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mc:AlternateContent xmlns:mc="http://schemas.openxmlformats.org/markup-compatibility/2006">
    <mc:Choice Requires="x15">
      <x15ac:absPath xmlns:x15ac="http://schemas.microsoft.com/office/spreadsheetml/2010/11/ac" url="C:\Users\jakubova\Desktop\"/>
    </mc:Choice>
  </mc:AlternateContent>
  <xr:revisionPtr revIDLastSave="0" documentId="13_ncr:1_{C5A29C95-D9BA-4114-A986-911859840592}" xr6:coauthVersionLast="46" xr6:coauthVersionMax="46" xr10:uidLastSave="{00000000-0000-0000-0000-000000000000}"/>
  <bookViews>
    <workbookView xWindow="-108" yWindow="-108" windowWidth="23256" windowHeight="12576" tabRatio="777" firstSheet="38" activeTab="40" xr2:uid="{00000000-000D-0000-FFFF-FFFF00000000}"/>
  </bookViews>
  <sheets>
    <sheet name="Rekapitulácia stavby" sheetId="1" r:id="rId1"/>
    <sheet name="S01-1 - SO 01 - Urgentný ..." sheetId="2" r:id="rId2"/>
    <sheet name="S01-2 - SO 01 - Urgentný ..." sheetId="3" r:id="rId3"/>
    <sheet name="S01-3 - SO 01 - Urgentný ..." sheetId="4" r:id="rId4"/>
    <sheet name="S01-4 - SO 01 - UK" sheetId="5" r:id="rId5"/>
    <sheet name="S01-5 - SO 01 - Urgentný ..." sheetId="6" r:id="rId6"/>
    <sheet name="S01-51 - SO 01 - Urgentný..." sheetId="7" r:id="rId7"/>
    <sheet name="S01-6 - SO 01 - Urgentný ..." sheetId="8" r:id="rId8"/>
    <sheet name="SO01-7.0 - SO 01-7 - Čist..." sheetId="9" r:id="rId9"/>
    <sheet name="S01-7.1 - SO 01-71 - Vsta..." sheetId="10" r:id="rId10"/>
    <sheet name="S01-7.2 - SO 01-72 - Zdra..." sheetId="11" r:id="rId11"/>
    <sheet name="S01-7.3 - SO 01-73 - Vzdu..." sheetId="12" r:id="rId12"/>
    <sheet name="S01-7.4 - SO 01-74 - Trub..." sheetId="13" r:id="rId13"/>
    <sheet name="S01-7.5 - SO 01-75 - ELI" sheetId="14" r:id="rId14"/>
    <sheet name="S01-7.6 - SO 01-76 - MaR" sheetId="15" r:id="rId15"/>
    <sheet name="S02-1 - SO 02 - OAIM - ASR" sheetId="16" r:id="rId16"/>
    <sheet name="S02-2 - SO 02 - OAIM - ZTI" sheetId="17" r:id="rId17"/>
    <sheet name="S02-3 - SO 02 - OAIM - MP" sheetId="18" r:id="rId18"/>
    <sheet name="S02-4 - SO 02 - UK" sheetId="19" r:id="rId19"/>
    <sheet name="S02-5 - SO 02 - OAIM - ELI" sheetId="20" r:id="rId20"/>
    <sheet name="S02-51 - SO 02 - OAIM - EPS" sheetId="21" r:id="rId21"/>
    <sheet name="S02-6.0 - SO 02-6 - Čisté..." sheetId="22" r:id="rId22"/>
    <sheet name="S02-6.1 - SO 02-61 - Vsta..." sheetId="23" r:id="rId23"/>
    <sheet name="S02-6.2 - SO 02-62 - Zdra..." sheetId="24" r:id="rId24"/>
    <sheet name="S02-6.3 - SO 02-63 - VZT" sheetId="25" r:id="rId25"/>
    <sheet name="S02-6.4 - SO 02-64 - Trub..." sheetId="26" r:id="rId26"/>
    <sheet name="S02-6.5 - SO 02-65 - ELI ..." sheetId="27" r:id="rId27"/>
    <sheet name="S02-6.6 - SO 02-66 - MaR" sheetId="28" r:id="rId28"/>
    <sheet name="S03-1 - SO 03 - Operačky ..." sheetId="29" r:id="rId29"/>
    <sheet name="S03-2 - SO 03 - Nadstavba..." sheetId="30" r:id="rId30"/>
    <sheet name="S03-3 - SO 03 - Operačky ..." sheetId="31" r:id="rId31"/>
    <sheet name="S03-4 - SO 03 - Operačky ..." sheetId="32" r:id="rId32"/>
    <sheet name="S03-5 - SO 03 - Operačky ..." sheetId="33" r:id="rId33"/>
    <sheet name="S03-61 - SO 03 - Operačky..." sheetId="34" r:id="rId34"/>
    <sheet name="S03-6 - SO 03 - Operačky ..." sheetId="35" r:id="rId35"/>
    <sheet name="S03-7 - SO 03 - Operačky ..." sheetId="36" r:id="rId36"/>
    <sheet name="S03-7.0 - SO 03-7 - Čisté..." sheetId="37" r:id="rId37"/>
    <sheet name="S03-8.1 - SO 03-81 - Vsta..." sheetId="38" r:id="rId38"/>
    <sheet name="S03-8.2 - SO 03-82 - Zdra..." sheetId="39" r:id="rId39"/>
    <sheet name="S03-8.3 - SO 03-83 - VZT" sheetId="40" r:id="rId40"/>
    <sheet name="S03-8.4 - SO 03-84 - Trub..." sheetId="41" r:id="rId41"/>
    <sheet name="S03-8.5 - SO 03-85 - ELI" sheetId="42" r:id="rId42"/>
    <sheet name="S03-8.6 - SO 03-86 - MaR" sheetId="43" r:id="rId43"/>
  </sheets>
  <definedNames>
    <definedName name="_xlnm._FilterDatabase" localSheetId="1" hidden="1">'S01-1 - SO 01 - Urgentný ...'!$C$140:$K$413</definedName>
    <definedName name="_xlnm._FilterDatabase" localSheetId="2" hidden="1">'S01-2 - SO 01 - Urgentný ...'!$C$129:$K$255</definedName>
    <definedName name="_xlnm._FilterDatabase" localSheetId="3" hidden="1">'S01-3 - SO 01 - Urgentný ...'!$C$125:$K$167</definedName>
    <definedName name="_xlnm._FilterDatabase" localSheetId="4" hidden="1">'S01-4 - SO 01 - UK'!$C$152:$K$367</definedName>
    <definedName name="_xlnm._FilterDatabase" localSheetId="5" hidden="1">'S01-5 - SO 01 - Urgentný ...'!$C$116:$K$313</definedName>
    <definedName name="_xlnm._FilterDatabase" localSheetId="6" hidden="1">'S01-51 - SO 01 - Urgentný...'!$C$116:$K$166</definedName>
    <definedName name="_xlnm._FilterDatabase" localSheetId="7" hidden="1">'S01-6 - SO 01 - Urgentný ...'!$C$162:$K$584</definedName>
    <definedName name="_xlnm._FilterDatabase" localSheetId="9" hidden="1">'S01-7.1 - SO 01-71 - Vsta...'!$C$119:$K$150</definedName>
    <definedName name="_xlnm._FilterDatabase" localSheetId="10" hidden="1">'S01-7.2 - SO 01-72 - Zdra...'!$C$116:$K$120</definedName>
    <definedName name="_xlnm._FilterDatabase" localSheetId="11" hidden="1">'S01-7.3 - SO 01-73 - Vzdu...'!$C$116:$K$157</definedName>
    <definedName name="_xlnm._FilterDatabase" localSheetId="12" hidden="1">'S01-7.4 - SO 01-74 - Trub...'!$C$119:$K$161</definedName>
    <definedName name="_xlnm._FilterDatabase" localSheetId="13" hidden="1">'S01-7.5 - SO 01-75 - ELI'!$C$124:$K$219</definedName>
    <definedName name="_xlnm._FilterDatabase" localSheetId="14" hidden="1">'S01-7.6 - SO 01-76 - MaR'!$C$124:$K$201</definedName>
    <definedName name="_xlnm._FilterDatabase" localSheetId="15" hidden="1">'S02-1 - SO 02 - OAIM - ASR'!$C$141:$K$393</definedName>
    <definedName name="_xlnm._FilterDatabase" localSheetId="16" hidden="1">'S02-2 - SO 02 - OAIM - ZTI'!$C$128:$K$264</definedName>
    <definedName name="_xlnm._FilterDatabase" localSheetId="17" hidden="1">'S02-3 - SO 02 - OAIM - MP'!$C$126:$K$167</definedName>
    <definedName name="_xlnm._FilterDatabase" localSheetId="18" hidden="1">'S02-4 - SO 02 - UK'!$C$160:$K$429</definedName>
    <definedName name="_xlnm._FilterDatabase" localSheetId="19" hidden="1">'S02-5 - SO 02 - OAIM - ELI'!$C$117:$K$324</definedName>
    <definedName name="_xlnm._FilterDatabase" localSheetId="20" hidden="1">'S02-51 - SO 02 - OAIM - EPS'!$C$116:$K$162</definedName>
    <definedName name="_xlnm._FilterDatabase" localSheetId="21" hidden="1">'S02-6.0 - SO 02-6 - Čisté...'!$C$116:$K$123</definedName>
    <definedName name="_xlnm._FilterDatabase" localSheetId="22" hidden="1">'S02-6.1 - SO 02-61 - Vsta...'!$C$119:$K$151</definedName>
    <definedName name="_xlnm._FilterDatabase" localSheetId="23" hidden="1">'S02-6.2 - SO 02-62 - Zdra...'!$C$116:$K$120</definedName>
    <definedName name="_xlnm._FilterDatabase" localSheetId="24" hidden="1">'S02-6.3 - SO 02-63 - VZT'!$C$118:$K$165</definedName>
    <definedName name="_xlnm._FilterDatabase" localSheetId="25" hidden="1">'S02-6.4 - SO 02-64 - Trub...'!$C$122:$K$179</definedName>
    <definedName name="_xlnm._FilterDatabase" localSheetId="26" hidden="1">'S02-6.5 - SO 02-65 - ELI ...'!$C$124:$K$224</definedName>
    <definedName name="_xlnm._FilterDatabase" localSheetId="27" hidden="1">'S02-6.6 - SO 02-66 - MaR'!$C$124:$K$204</definedName>
    <definedName name="_xlnm._FilterDatabase" localSheetId="28" hidden="1">'S03-1 - SO 03 - Operačky ...'!$C$137:$K$349</definedName>
    <definedName name="_xlnm._FilterDatabase" localSheetId="29" hidden="1">'S03-2 - SO 03 - Nadstavba...'!$C$130:$K$210</definedName>
    <definedName name="_xlnm._FilterDatabase" localSheetId="30" hidden="1">'S03-3 - SO 03 - Operačky ...'!$C$129:$K$242</definedName>
    <definedName name="_xlnm._FilterDatabase" localSheetId="31" hidden="1">'S03-4 - SO 03 - Operačky ...'!$C$124:$K$167</definedName>
    <definedName name="_xlnm._FilterDatabase" localSheetId="32" hidden="1">'S03-5 - SO 03 - Operačky ...'!$C$154:$K$387</definedName>
    <definedName name="_xlnm._FilterDatabase" localSheetId="34" hidden="1">'S03-6 - SO 03 - Operačky ...'!$C$117:$K$324</definedName>
    <definedName name="_xlnm._FilterDatabase" localSheetId="33" hidden="1">'S03-61 - SO 03 - Operačky...'!$C$116:$K$163</definedName>
    <definedName name="_xlnm._FilterDatabase" localSheetId="35" hidden="1">'S03-7 - SO 03 - Operačky ...'!$C$123:$K$152</definedName>
    <definedName name="_xlnm._FilterDatabase" localSheetId="36" hidden="1">'S03-7.0 - SO 03-7 - Čisté...'!$C$116:$K$123</definedName>
    <definedName name="_xlnm._FilterDatabase" localSheetId="37" hidden="1">'S03-8.1 - SO 03-81 - Vsta...'!$C$120:$K$178</definedName>
    <definedName name="_xlnm._FilterDatabase" localSheetId="38" hidden="1">'S03-8.2 - SO 03-82 - Zdra...'!$C$116:$K$120</definedName>
    <definedName name="_xlnm._FilterDatabase" localSheetId="39" hidden="1">'S03-8.3 - SO 03-83 - VZT'!$C$119:$K$213</definedName>
    <definedName name="_xlnm._FilterDatabase" localSheetId="40" hidden="1">'S03-8.4 - SO 03-84 - Trub...'!$C$127:$K$306</definedName>
    <definedName name="_xlnm._FilterDatabase" localSheetId="41" hidden="1">'S03-8.5 - SO 03-85 - ELI'!$C$143:$K$433</definedName>
    <definedName name="_xlnm._FilterDatabase" localSheetId="42" hidden="1">'S03-8.6 - SO 03-86 - MaR'!$C$139:$K$348</definedName>
    <definedName name="_xlnm._FilterDatabase" localSheetId="8" hidden="1">'SO01-7.0 - SO 01-7 - Čist...'!$C$116:$K$123</definedName>
    <definedName name="_xlnm.Print_Titles" localSheetId="0">'Rekapitulácia stavby'!$92:$92</definedName>
    <definedName name="_xlnm.Print_Titles" localSheetId="1">'S01-1 - SO 01 - Urgentný ...'!$140:$140</definedName>
    <definedName name="_xlnm.Print_Titles" localSheetId="2">'S01-2 - SO 01 - Urgentný ...'!$129:$129</definedName>
    <definedName name="_xlnm.Print_Titles" localSheetId="3">'S01-3 - SO 01 - Urgentný ...'!$125:$125</definedName>
    <definedName name="_xlnm.Print_Titles" localSheetId="4">'S01-4 - SO 01 - UK'!$152:$152</definedName>
    <definedName name="_xlnm.Print_Titles" localSheetId="5">'S01-5 - SO 01 - Urgentný ...'!$116:$116</definedName>
    <definedName name="_xlnm.Print_Titles" localSheetId="6">'S01-51 - SO 01 - Urgentný...'!$116:$116</definedName>
    <definedName name="_xlnm.Print_Titles" localSheetId="7">'S01-6 - SO 01 - Urgentný ...'!$162:$162</definedName>
    <definedName name="_xlnm.Print_Titles" localSheetId="9">'S01-7.1 - SO 01-71 - Vsta...'!$119:$119</definedName>
    <definedName name="_xlnm.Print_Titles" localSheetId="10">'S01-7.2 - SO 01-72 - Zdra...'!$116:$116</definedName>
    <definedName name="_xlnm.Print_Titles" localSheetId="11">'S01-7.3 - SO 01-73 - Vzdu...'!$116:$116</definedName>
    <definedName name="_xlnm.Print_Titles" localSheetId="12">'S01-7.4 - SO 01-74 - Trub...'!$119:$119</definedName>
    <definedName name="_xlnm.Print_Titles" localSheetId="13">'S01-7.5 - SO 01-75 - ELI'!$124:$124</definedName>
    <definedName name="_xlnm.Print_Titles" localSheetId="14">'S01-7.6 - SO 01-76 - MaR'!$124:$124</definedName>
    <definedName name="_xlnm.Print_Titles" localSheetId="15">'S02-1 - SO 02 - OAIM - ASR'!$141:$141</definedName>
    <definedName name="_xlnm.Print_Titles" localSheetId="16">'S02-2 - SO 02 - OAIM - ZTI'!$128:$128</definedName>
    <definedName name="_xlnm.Print_Titles" localSheetId="17">'S02-3 - SO 02 - OAIM - MP'!$126:$126</definedName>
    <definedName name="_xlnm.Print_Titles" localSheetId="18">'S02-4 - SO 02 - UK'!$160:$160</definedName>
    <definedName name="_xlnm.Print_Titles" localSheetId="19">'S02-5 - SO 02 - OAIM - ELI'!$117:$117</definedName>
    <definedName name="_xlnm.Print_Titles" localSheetId="20">'S02-51 - SO 02 - OAIM - EPS'!$116:$116</definedName>
    <definedName name="_xlnm.Print_Titles" localSheetId="21">'S02-6.0 - SO 02-6 - Čisté...'!$116:$116</definedName>
    <definedName name="_xlnm.Print_Titles" localSheetId="22">'S02-6.1 - SO 02-61 - Vsta...'!$119:$119</definedName>
    <definedName name="_xlnm.Print_Titles" localSheetId="23">'S02-6.2 - SO 02-62 - Zdra...'!$116:$116</definedName>
    <definedName name="_xlnm.Print_Titles" localSheetId="24">'S02-6.3 - SO 02-63 - VZT'!$118:$118</definedName>
    <definedName name="_xlnm.Print_Titles" localSheetId="25">'S02-6.4 - SO 02-64 - Trub...'!$122:$122</definedName>
    <definedName name="_xlnm.Print_Titles" localSheetId="26">'S02-6.5 - SO 02-65 - ELI ...'!$124:$124</definedName>
    <definedName name="_xlnm.Print_Titles" localSheetId="27">'S02-6.6 - SO 02-66 - MaR'!$124:$124</definedName>
    <definedName name="_xlnm.Print_Titles" localSheetId="28">'S03-1 - SO 03 - Operačky ...'!$137:$137</definedName>
    <definedName name="_xlnm.Print_Titles" localSheetId="29">'S03-2 - SO 03 - Nadstavba...'!$130:$130</definedName>
    <definedName name="_xlnm.Print_Titles" localSheetId="30">'S03-3 - SO 03 - Operačky ...'!$129:$129</definedName>
    <definedName name="_xlnm.Print_Titles" localSheetId="31">'S03-4 - SO 03 - Operačky ...'!$124:$124</definedName>
    <definedName name="_xlnm.Print_Titles" localSheetId="32">'S03-5 - SO 03 - Operačky ...'!$154:$154</definedName>
    <definedName name="_xlnm.Print_Titles" localSheetId="34">'S03-6 - SO 03 - Operačky ...'!$117:$117</definedName>
    <definedName name="_xlnm.Print_Titles" localSheetId="33">'S03-61 - SO 03 - Operačky...'!$116:$116</definedName>
    <definedName name="_xlnm.Print_Titles" localSheetId="35">'S03-7 - SO 03 - Operačky ...'!$123:$123</definedName>
    <definedName name="_xlnm.Print_Titles" localSheetId="36">'S03-7.0 - SO 03-7 - Čisté...'!$116:$116</definedName>
    <definedName name="_xlnm.Print_Titles" localSheetId="37">'S03-8.1 - SO 03-81 - Vsta...'!$120:$120</definedName>
    <definedName name="_xlnm.Print_Titles" localSheetId="38">'S03-8.2 - SO 03-82 - Zdra...'!$116:$116</definedName>
    <definedName name="_xlnm.Print_Titles" localSheetId="39">'S03-8.3 - SO 03-83 - VZT'!$119:$119</definedName>
    <definedName name="_xlnm.Print_Titles" localSheetId="40">'S03-8.4 - SO 03-84 - Trub...'!$127:$127</definedName>
    <definedName name="_xlnm.Print_Titles" localSheetId="41">'S03-8.5 - SO 03-85 - ELI'!$143:$143</definedName>
    <definedName name="_xlnm.Print_Titles" localSheetId="42">'S03-8.6 - SO 03-86 - MaR'!$139:$139</definedName>
    <definedName name="_xlnm.Print_Titles" localSheetId="8">'SO01-7.0 - SO 01-7 - Čist...'!$116:$116</definedName>
    <definedName name="_xlnm.Print_Area" localSheetId="0">'Rekapitulácia stavby'!$D$4:$AO$76,'Rekapitulácia stavby'!$C$82:$BD$136</definedName>
    <definedName name="_xlnm.Print_Area" localSheetId="1">'S01-1 - SO 01 - Urgentný ...'!$C$4:$J$76,'S01-1 - SO 01 - Urgentný ...'!$C$82:$J$122,'S01-1 - SO 01 - Urgentný ...'!$C$128:$K$413</definedName>
    <definedName name="_xlnm.Print_Area" localSheetId="2">'S01-2 - SO 01 - Urgentný ...'!$C$4:$J$76,'S01-2 - SO 01 - Urgentný ...'!$C$82:$J$111,'S01-2 - SO 01 - Urgentný ...'!$C$117:$K$255</definedName>
    <definedName name="_xlnm.Print_Area" localSheetId="3">'S01-3 - SO 01 - Urgentný ...'!$C$4:$J$76,'S01-3 - SO 01 - Urgentný ...'!$C$82:$J$107,'S01-3 - SO 01 - Urgentný ...'!$C$113:$K$167</definedName>
    <definedName name="_xlnm.Print_Area" localSheetId="4">'S01-4 - SO 01 - UK'!$C$4:$AF$76,'S01-4 - SO 01 - UK'!$C$82:$AF$134,'S01-4 - SO 01 - UK'!$C$140:$AF$367</definedName>
    <definedName name="_xlnm.Print_Area" localSheetId="5">'S01-5 - SO 01 - Urgentný ...'!$C$4:$J$76,'S01-5 - SO 01 - Urgentný ...'!$C$82:$J$98,'S01-5 - SO 01 - Urgentný ...'!$C$104:$K$313</definedName>
    <definedName name="_xlnm.Print_Area" localSheetId="6">'S01-51 - SO 01 - Urgentný...'!$C$4:$J$76,'S01-51 - SO 01 - Urgentný...'!$C$82:$J$98,'S01-51 - SO 01 - Urgentný...'!$C$104:$K$166</definedName>
    <definedName name="_xlnm.Print_Area" localSheetId="7">'S01-6 - SO 01 - Urgentný ...'!$C$4:$J$76,'S01-6 - SO 01 - Urgentný ...'!$C$82:$J$144,'S01-6 - SO 01 - Urgentný ...'!$C$150:$K$584</definedName>
    <definedName name="_xlnm.Print_Area" localSheetId="9">'S01-7.1 - SO 01-71 - Vsta...'!$C$4:$J$76,'S01-7.1 - SO 01-71 - Vsta...'!$C$82:$J$101,'S01-7.1 - SO 01-71 - Vsta...'!$C$107:$K$150</definedName>
    <definedName name="_xlnm.Print_Area" localSheetId="10">'S01-7.2 - SO 01-72 - Zdra...'!$C$4:$J$76,'S01-7.2 - SO 01-72 - Zdra...'!$C$82:$J$98,'S01-7.2 - SO 01-72 - Zdra...'!$C$104:$K$120</definedName>
    <definedName name="_xlnm.Print_Area" localSheetId="11">'S01-7.3 - SO 01-73 - Vzdu...'!$C$4:$J$76,'S01-7.3 - SO 01-73 - Vzdu...'!$C$82:$J$98,'S01-7.3 - SO 01-73 - Vzdu...'!$C$104:$K$157</definedName>
    <definedName name="_xlnm.Print_Area" localSheetId="12">'S01-7.4 - SO 01-74 - Trub...'!$C$4:$J$76,'S01-7.4 - SO 01-74 - Trub...'!$C$82:$J$101,'S01-7.4 - SO 01-74 - Trub...'!$C$107:$K$161</definedName>
    <definedName name="_xlnm.Print_Area" localSheetId="13">'S01-7.5 - SO 01-75 - ELI'!$C$4:$J$76,'S01-7.5 - SO 01-75 - ELI'!$C$82:$J$106,'S01-7.5 - SO 01-75 - ELI'!$C$112:$K$219</definedName>
    <definedName name="_xlnm.Print_Area" localSheetId="14">'S01-7.6 - SO 01-76 - MaR'!$C$4:$J$76,'S01-7.6 - SO 01-76 - MaR'!$C$82:$J$106,'S01-7.6 - SO 01-76 - MaR'!$C$112:$K$201</definedName>
    <definedName name="_xlnm.Print_Area" localSheetId="15">'S02-1 - SO 02 - OAIM - ASR'!$C$4:$J$76,'S02-1 - SO 02 - OAIM - ASR'!$C$82:$J$123,'S02-1 - SO 02 - OAIM - ASR'!$C$129:$K$393</definedName>
    <definedName name="_xlnm.Print_Area" localSheetId="16">'S02-2 - SO 02 - OAIM - ZTI'!$C$4:$J$76,'S02-2 - SO 02 - OAIM - ZTI'!$C$82:$J$110,'S02-2 - SO 02 - OAIM - ZTI'!$C$116:$K$264</definedName>
    <definedName name="_xlnm.Print_Area" localSheetId="17">'S02-3 - SO 02 - OAIM - MP'!$C$4:$J$76,'S02-3 - SO 02 - OAIM - MP'!$C$82:$J$108,'S02-3 - SO 02 - OAIM - MP'!$C$114:$K$167</definedName>
    <definedName name="_xlnm.Print_Area" localSheetId="18">'S02-4 - SO 02 - UK'!$C$4:$AE$76,'S02-4 - SO 02 - UK'!$C$82:$AF$142,'S02-4 - SO 02 - UK'!$C$148:$AF$429</definedName>
    <definedName name="_xlnm.Print_Area" localSheetId="19">'S02-5 - SO 02 - OAIM - ELI'!$C$4:$J$76,'S02-5 - SO 02 - OAIM - ELI'!$C$82:$J$99,'S02-5 - SO 02 - OAIM - ELI'!$C$105:$K$324</definedName>
    <definedName name="_xlnm.Print_Area" localSheetId="20">'S02-51 - SO 02 - OAIM - EPS'!$C$4:$J$76,'S02-51 - SO 02 - OAIM - EPS'!$C$82:$J$98,'S02-51 - SO 02 - OAIM - EPS'!$C$104:$K$162</definedName>
    <definedName name="_xlnm.Print_Area" localSheetId="21">'S02-6.0 - SO 02-6 - Čisté...'!$C$4:$J$76,'S02-6.0 - SO 02-6 - Čisté...'!$C$82:$J$98,'S02-6.0 - SO 02-6 - Čisté...'!$C$104:$K$123</definedName>
    <definedName name="_xlnm.Print_Area" localSheetId="22">'S02-6.1 - SO 02-61 - Vsta...'!$C$4:$J$76,'S02-6.1 - SO 02-61 - Vsta...'!$C$82:$J$101,'S02-6.1 - SO 02-61 - Vsta...'!$C$107:$K$151</definedName>
    <definedName name="_xlnm.Print_Area" localSheetId="23">'S02-6.2 - SO 02-62 - Zdra...'!$C$4:$J$76,'S02-6.2 - SO 02-62 - Zdra...'!$C$82:$J$98,'S02-6.2 - SO 02-62 - Zdra...'!$C$104:$K$120</definedName>
    <definedName name="_xlnm.Print_Area" localSheetId="24">'S02-6.3 - SO 02-63 - VZT'!$C$4:$J$76,'S02-6.3 - SO 02-63 - VZT'!$C$82:$J$100,'S02-6.3 - SO 02-63 - VZT'!$C$106:$K$165</definedName>
    <definedName name="_xlnm.Print_Area" localSheetId="25">'S02-6.4 - SO 02-64 - Trub...'!$C$4:$J$76,'S02-6.4 - SO 02-64 - Trub...'!$C$82:$J$104,'S02-6.4 - SO 02-64 - Trub...'!$C$110:$K$179</definedName>
    <definedName name="_xlnm.Print_Area" localSheetId="26">'S02-6.5 - SO 02-65 - ELI ...'!$C$4:$J$76,'S02-6.5 - SO 02-65 - ELI ...'!$C$82:$J$106,'S02-6.5 - SO 02-65 - ELI ...'!$C$112:$K$224</definedName>
    <definedName name="_xlnm.Print_Area" localSheetId="27">'S02-6.6 - SO 02-66 - MaR'!$C$4:$J$76,'S02-6.6 - SO 02-66 - MaR'!$C$82:$J$106,'S02-6.6 - SO 02-66 - MaR'!$C$112:$K$204</definedName>
    <definedName name="_xlnm.Print_Area" localSheetId="28">'S03-1 - SO 03 - Operačky ...'!$C$4:$J$76,'S03-1 - SO 03 - Operačky ...'!$C$82:$J$119,'S03-1 - SO 03 - Operačky ...'!$C$125:$K$349</definedName>
    <definedName name="_xlnm.Print_Area" localSheetId="29">'S03-2 - SO 03 - Nadstavba...'!$C$4:$J$76,'S03-2 - SO 03 - Nadstavba...'!$C$82:$J$112,'S03-2 - SO 03 - Nadstavba...'!$C$118:$K$210</definedName>
    <definedName name="_xlnm.Print_Area" localSheetId="30">'S03-3 - SO 03 - Operačky ...'!$C$4:$J$76,'S03-3 - SO 03 - Operačky ...'!$C$82:$J$111,'S03-3 - SO 03 - Operačky ...'!$C$117:$K$242</definedName>
    <definedName name="_xlnm.Print_Area" localSheetId="31">'S03-4 - SO 03 - Operačky ...'!$C$4:$J$76,'S03-4 - SO 03 - Operačky ...'!$C$82:$J$106,'S03-4 - SO 03 - Operačky ...'!$C$112:$K$167</definedName>
    <definedName name="_xlnm.Print_Area" localSheetId="32">'S03-5 - SO 03 - Operačky ...'!$C$4:$AF$76,'S03-5 - SO 03 - Operačky ...'!$C$82:$AF$136,'S03-5 - SO 03 - Operačky ...'!$C$142:$AF$387</definedName>
    <definedName name="_xlnm.Print_Area" localSheetId="34">'S03-6 - SO 03 - Operačky ...'!$C$4:$J$76,'S03-6 - SO 03 - Operačky ...'!$C$82:$J$99,'S03-6 - SO 03 - Operačky ...'!$C$105:$K$324</definedName>
    <definedName name="_xlnm.Print_Area" localSheetId="33">'S03-61 - SO 03 - Operačky...'!$C$4:$J$76,'S03-61 - SO 03 - Operačky...'!$C$82:$J$98,'S03-61 - SO 03 - Operačky...'!$C$104:$K$163</definedName>
    <definedName name="_xlnm.Print_Area" localSheetId="35">'S03-7 - SO 03 - Operačky ...'!$C$4:$J$76,'S03-7 - SO 03 - Operačky ...'!$C$82:$J$105,'S03-7 - SO 03 - Operačky ...'!$C$111:$K$152</definedName>
    <definedName name="_xlnm.Print_Area" localSheetId="36">'S03-7.0 - SO 03-7 - Čisté...'!$C$4:$J$76,'S03-7.0 - SO 03-7 - Čisté...'!$C$82:$J$98,'S03-7.0 - SO 03-7 - Čisté...'!$C$104:$K$123</definedName>
    <definedName name="_xlnm.Print_Area" localSheetId="37">'S03-8.1 - SO 03-81 - Vsta...'!$C$4:$J$76,'S03-8.1 - SO 03-81 - Vsta...'!$C$82:$J$102,'S03-8.1 - SO 03-81 - Vsta...'!$C$108:$K$178</definedName>
    <definedName name="_xlnm.Print_Area" localSheetId="38">'S03-8.2 - SO 03-82 - Zdra...'!$C$4:$J$76,'S03-8.2 - SO 03-82 - Zdra...'!$C$82:$J$98,'S03-8.2 - SO 03-82 - Zdra...'!$C$104:$K$120</definedName>
    <definedName name="_xlnm.Print_Area" localSheetId="39">'S03-8.3 - SO 03-83 - VZT'!$C$4:$J$76,'S03-8.3 - SO 03-83 - VZT'!$C$82:$J$101,'S03-8.3 - SO 03-83 - VZT'!$C$107:$K$213</definedName>
    <definedName name="_xlnm.Print_Area" localSheetId="40">'S03-8.4 - SO 03-84 - Trub...'!$C$4:$J$76,'S03-8.4 - SO 03-84 - Trub...'!$C$82:$J$109,'S03-8.4 - SO 03-84 - Trub...'!$C$115:$K$306</definedName>
    <definedName name="_xlnm.Print_Area" localSheetId="41">'S03-8.5 - SO 03-85 - ELI'!$C$4:$J$76,'S03-8.5 - SO 03-85 - ELI'!$C$82:$J$125,'S03-8.5 - SO 03-85 - ELI'!$C$131:$K$433</definedName>
    <definedName name="_xlnm.Print_Area" localSheetId="42">'S03-8.6 - SO 03-86 - MaR'!$C$4:$J$76,'S03-8.6 - SO 03-86 - MaR'!$C$82:$J$121,'S03-8.6 - SO 03-86 - MaR'!$C$127:$K$348</definedName>
    <definedName name="_xlnm.Print_Area" localSheetId="8">'SO01-7.0 - SO 01-7 - Čist...'!$C$4:$J$76,'SO01-7.0 - SO 01-7 - Čist...'!$C$82:$J$98,'SO01-7.0 - SO 01-7 - Čist...'!$C$104:$K$123</definedName>
  </definedNames>
  <calcPr calcId="181029" iterateCount="1"/>
</workbook>
</file>

<file path=xl/calcChain.xml><?xml version="1.0" encoding="utf-8"?>
<calcChain xmlns="http://schemas.openxmlformats.org/spreadsheetml/2006/main">
  <c r="AE122" i="2" l="1"/>
  <c r="AE281" i="2"/>
  <c r="AE111" i="2"/>
  <c r="AE114" i="5"/>
  <c r="AE113" i="5"/>
  <c r="AE141" i="8"/>
  <c r="AE106" i="16"/>
  <c r="AE110" i="16"/>
  <c r="AE113" i="16"/>
  <c r="AE120" i="16"/>
  <c r="AE175" i="19"/>
  <c r="AE176" i="19"/>
  <c r="AE121" i="40"/>
  <c r="AE96" i="19"/>
  <c r="AE168" i="38"/>
  <c r="AE174" i="38"/>
  <c r="AC281" i="2"/>
  <c r="AC280" i="2"/>
  <c r="AD166" i="7"/>
  <c r="AD165" i="7"/>
  <c r="AC120" i="7"/>
  <c r="AC119" i="7"/>
  <c r="AD162" i="21"/>
  <c r="AD161" i="21"/>
  <c r="AD160" i="34"/>
  <c r="AC128" i="34"/>
  <c r="AC122" i="34"/>
  <c r="AC121" i="34"/>
  <c r="AC127" i="34"/>
  <c r="AC129" i="34"/>
  <c r="AC130" i="34"/>
  <c r="AD163" i="34"/>
  <c r="AD162" i="34"/>
  <c r="AD366" i="5" l="1"/>
  <c r="AC194" i="5"/>
  <c r="AC161" i="5"/>
  <c r="AC159" i="31"/>
  <c r="AC158" i="31"/>
  <c r="AC157" i="31"/>
  <c r="AC156" i="31"/>
  <c r="AC155" i="31"/>
  <c r="AC153" i="31"/>
  <c r="AC257" i="29"/>
  <c r="AC256" i="29"/>
  <c r="AC255" i="29"/>
  <c r="AC254" i="29"/>
  <c r="AC253" i="29"/>
  <c r="AC252" i="29"/>
  <c r="AE251" i="29"/>
  <c r="AE250" i="29"/>
  <c r="AC155" i="38"/>
  <c r="AE337" i="5" l="1"/>
  <c r="AE338" i="5"/>
  <c r="AE326" i="5"/>
  <c r="AE238" i="29"/>
  <c r="AE239" i="29"/>
  <c r="AE240" i="29"/>
  <c r="AE241" i="29"/>
  <c r="AE242" i="29"/>
  <c r="AE244" i="29"/>
  <c r="AE245" i="29"/>
  <c r="AE246" i="29"/>
  <c r="AE276" i="41"/>
  <c r="AE277" i="41"/>
  <c r="AE278" i="41"/>
  <c r="AE279" i="41"/>
  <c r="AE280" i="41"/>
  <c r="AE281" i="41"/>
  <c r="AE282" i="41"/>
  <c r="AE283" i="41"/>
  <c r="AE284" i="41"/>
  <c r="AE285" i="41"/>
  <c r="AE286" i="41"/>
  <c r="AE287" i="41"/>
  <c r="AE288" i="41"/>
  <c r="AE289" i="41"/>
  <c r="AE290" i="41"/>
  <c r="AE291" i="41"/>
  <c r="AE292" i="41"/>
  <c r="AE293" i="41"/>
  <c r="AE294" i="41"/>
  <c r="AE295" i="41"/>
  <c r="AE296" i="41"/>
  <c r="AE297" i="41"/>
  <c r="AE298" i="41"/>
  <c r="AE299" i="41"/>
  <c r="AE300" i="41"/>
  <c r="AE301" i="41"/>
  <c r="AE302" i="41"/>
  <c r="AE303" i="41"/>
  <c r="AE304" i="41"/>
  <c r="AE305" i="41"/>
  <c r="AC150" i="30"/>
  <c r="AC265" i="35"/>
  <c r="AC262" i="35"/>
  <c r="AC261" i="35"/>
  <c r="AC257" i="35"/>
  <c r="AC254" i="35"/>
  <c r="AC251" i="35"/>
  <c r="AC250" i="35"/>
  <c r="AC247" i="35"/>
  <c r="AC246" i="35"/>
  <c r="AC243" i="35"/>
  <c r="AC242" i="35"/>
  <c r="AE266" i="35"/>
  <c r="AE263" i="35"/>
  <c r="AE259" i="35"/>
  <c r="AE255" i="35"/>
  <c r="AE252" i="35" l="1"/>
  <c r="AE248" i="35"/>
  <c r="AE244" i="35"/>
  <c r="AE270" i="20"/>
  <c r="AC269" i="20"/>
  <c r="AC268" i="20"/>
  <c r="AE266" i="20"/>
  <c r="AC264" i="20"/>
  <c r="AC265" i="20"/>
  <c r="AC262" i="20"/>
  <c r="AE261" i="20"/>
  <c r="AC260" i="20"/>
  <c r="AE258" i="20"/>
  <c r="AC257" i="20"/>
  <c r="AC256" i="20"/>
  <c r="AC253" i="20"/>
  <c r="AE254" i="20"/>
  <c r="AE239" i="6" l="1"/>
  <c r="AE240" i="6"/>
  <c r="AE241" i="6"/>
  <c r="AE242" i="6"/>
  <c r="AE244" i="6"/>
  <c r="AE235" i="6"/>
  <c r="AE231" i="6"/>
  <c r="AE227" i="6"/>
  <c r="AE223" i="6"/>
  <c r="AC243" i="6"/>
  <c r="AE243" i="6" s="1"/>
  <c r="AC240" i="6"/>
  <c r="AC238" i="6"/>
  <c r="AC234" i="6"/>
  <c r="AC233" i="6"/>
  <c r="AC230" i="6"/>
  <c r="AC229" i="6"/>
  <c r="AC226" i="6"/>
  <c r="AC225" i="6"/>
  <c r="AC222" i="6"/>
  <c r="AC221" i="6"/>
  <c r="AC289" i="35"/>
  <c r="AC231" i="35"/>
  <c r="AC230" i="35"/>
  <c r="AE139" i="34"/>
  <c r="AE236" i="35"/>
  <c r="AC179" i="35"/>
  <c r="AC178" i="35"/>
  <c r="AC211" i="35"/>
  <c r="AC210" i="35"/>
  <c r="AE218" i="31"/>
  <c r="AC158" i="32"/>
  <c r="AC150" i="32"/>
  <c r="AE150" i="32" s="1"/>
  <c r="AC149" i="32"/>
  <c r="AE149" i="32" s="1"/>
  <c r="AE137" i="32"/>
  <c r="AE138" i="32"/>
  <c r="AC144" i="32"/>
  <c r="AC143" i="32"/>
  <c r="AE143" i="32" s="1"/>
  <c r="AE167" i="32"/>
  <c r="AE166" i="32"/>
  <c r="AE165" i="32"/>
  <c r="AE164" i="32"/>
  <c r="AE163" i="32"/>
  <c r="AE162" i="32"/>
  <c r="AE161" i="32"/>
  <c r="AE160" i="32"/>
  <c r="AE159" i="32"/>
  <c r="AE158" i="32"/>
  <c r="AE156" i="32"/>
  <c r="AE155" i="32"/>
  <c r="AE154" i="32"/>
  <c r="AE153" i="32"/>
  <c r="AE152" i="32"/>
  <c r="AE151" i="32"/>
  <c r="AE147" i="32"/>
  <c r="AE146" i="32"/>
  <c r="AE144" i="32"/>
  <c r="AE141" i="32"/>
  <c r="AE140" i="32" s="1"/>
  <c r="AE101" i="32" s="1"/>
  <c r="AE139" i="32"/>
  <c r="AE136" i="32"/>
  <c r="AE135" i="32"/>
  <c r="AE134" i="32"/>
  <c r="AE133" i="32"/>
  <c r="AE130" i="32"/>
  <c r="AE129" i="32"/>
  <c r="AE128" i="32"/>
  <c r="AE119" i="32"/>
  <c r="AA119" i="32"/>
  <c r="AE89" i="32"/>
  <c r="AA89" i="32"/>
  <c r="AE37" i="32"/>
  <c r="AA37" i="32"/>
  <c r="AE36" i="32"/>
  <c r="AA36" i="32"/>
  <c r="AE35" i="32"/>
  <c r="AA35" i="32"/>
  <c r="AE33" i="32"/>
  <c r="AA33" i="32"/>
  <c r="AE24" i="32"/>
  <c r="Z24" i="32"/>
  <c r="AE122" i="32" s="1"/>
  <c r="AE23" i="32"/>
  <c r="AE21" i="32"/>
  <c r="Z21" i="32"/>
  <c r="AE91" i="32" s="1"/>
  <c r="AE20" i="32"/>
  <c r="AE15" i="32"/>
  <c r="Z15" i="32"/>
  <c r="AE14" i="32"/>
  <c r="AE318" i="29"/>
  <c r="AE319" i="29"/>
  <c r="AE320" i="29"/>
  <c r="AE321" i="29"/>
  <c r="AE322" i="29"/>
  <c r="AE198" i="29"/>
  <c r="AE155" i="36"/>
  <c r="AE156" i="36"/>
  <c r="AE157" i="36"/>
  <c r="AE154" i="36"/>
  <c r="AE162" i="7"/>
  <c r="AE161" i="7"/>
  <c r="AD313" i="6"/>
  <c r="AD312" i="6"/>
  <c r="AC159" i="6"/>
  <c r="AC158" i="6"/>
  <c r="AE303" i="5"/>
  <c r="AC300" i="5"/>
  <c r="AC323" i="16"/>
  <c r="AC142" i="3"/>
  <c r="AE142" i="3" s="1"/>
  <c r="AE145" i="3"/>
  <c r="AC169" i="3"/>
  <c r="AC167" i="3"/>
  <c r="AC277" i="5"/>
  <c r="AC272" i="5"/>
  <c r="AE265" i="5"/>
  <c r="AC264" i="5"/>
  <c r="AC271" i="5"/>
  <c r="AE271" i="5" s="1"/>
  <c r="AE266" i="5"/>
  <c r="AE268" i="5"/>
  <c r="AE269" i="5"/>
  <c r="AE263" i="5"/>
  <c r="AC261" i="5"/>
  <c r="AE247" i="5"/>
  <c r="AE245" i="5"/>
  <c r="AC244" i="5"/>
  <c r="AE244" i="5" s="1"/>
  <c r="AC243" i="5"/>
  <c r="AE243" i="5" s="1"/>
  <c r="AC257" i="5"/>
  <c r="AC240" i="5"/>
  <c r="AE240" i="5" s="1"/>
  <c r="AC249" i="5"/>
  <c r="AE249" i="5" s="1"/>
  <c r="AE248" i="5" s="1"/>
  <c r="AE241" i="5"/>
  <c r="AE242" i="5"/>
  <c r="AE246" i="5"/>
  <c r="AC201" i="5"/>
  <c r="AC232" i="5"/>
  <c r="AE232" i="5" s="1"/>
  <c r="AC227" i="5"/>
  <c r="AE227" i="5" s="1"/>
  <c r="AD233" i="5"/>
  <c r="AE226" i="5"/>
  <c r="AE228" i="5"/>
  <c r="AE229" i="5"/>
  <c r="AC231" i="5"/>
  <c r="AE231" i="5" s="1"/>
  <c r="AC230" i="5"/>
  <c r="AE230" i="5" s="1"/>
  <c r="AD329" i="5"/>
  <c r="AE313" i="5"/>
  <c r="AE312" i="5"/>
  <c r="AE311" i="5"/>
  <c r="AE310" i="5"/>
  <c r="AC308" i="5"/>
  <c r="AC307" i="5"/>
  <c r="AC328" i="5"/>
  <c r="AE328" i="5" s="1"/>
  <c r="AC327" i="5"/>
  <c r="AE327" i="5" s="1"/>
  <c r="AE418" i="2"/>
  <c r="AE417" i="2"/>
  <c r="AE416" i="2"/>
  <c r="AE415" i="2"/>
  <c r="AC413" i="2"/>
  <c r="AE412" i="2"/>
  <c r="AC409" i="2"/>
  <c r="AE409" i="2" s="1"/>
  <c r="AC406" i="2"/>
  <c r="AC405" i="2"/>
  <c r="AC403" i="2"/>
  <c r="AC402" i="2"/>
  <c r="AC400" i="2"/>
  <c r="AC398" i="2"/>
  <c r="AC397" i="2"/>
  <c r="AC394" i="2"/>
  <c r="AC390" i="2"/>
  <c r="AC377" i="2"/>
  <c r="AC348" i="2"/>
  <c r="AC347" i="2"/>
  <c r="AC345" i="2"/>
  <c r="AE342" i="2"/>
  <c r="AC278" i="2"/>
  <c r="AC277" i="2"/>
  <c r="AC276" i="2"/>
  <c r="AC275" i="2"/>
  <c r="AC274" i="2"/>
  <c r="AC271" i="2"/>
  <c r="AC262" i="2"/>
  <c r="AC259" i="2"/>
  <c r="AC238" i="2"/>
  <c r="AC237" i="2"/>
  <c r="AC225" i="2"/>
  <c r="AC219" i="2"/>
  <c r="AC207" i="2"/>
  <c r="AC204" i="2"/>
  <c r="AC195" i="2"/>
  <c r="AC194" i="2"/>
  <c r="AC193" i="2"/>
  <c r="AC191" i="2"/>
  <c r="AC187" i="2"/>
  <c r="AC186" i="2"/>
  <c r="AC170" i="2"/>
  <c r="AC163" i="2"/>
  <c r="AE163" i="2" s="1"/>
  <c r="AE159" i="2"/>
  <c r="AE207" i="30"/>
  <c r="AC167" i="30"/>
  <c r="AC166" i="30"/>
  <c r="AC165" i="30"/>
  <c r="AC164" i="30"/>
  <c r="AC151" i="31"/>
  <c r="AC349" i="29"/>
  <c r="AC186" i="33"/>
  <c r="AC185" i="33"/>
  <c r="AC345" i="33"/>
  <c r="AC333" i="33"/>
  <c r="AC328" i="33"/>
  <c r="AC324" i="33"/>
  <c r="AE320" i="33"/>
  <c r="AC325" i="33"/>
  <c r="AC306" i="33"/>
  <c r="AC301" i="33"/>
  <c r="AC307" i="33"/>
  <c r="AC221" i="33"/>
  <c r="AC220" i="33"/>
  <c r="AD376" i="33"/>
  <c r="AC360" i="33"/>
  <c r="AC359" i="33"/>
  <c r="AC146" i="31"/>
  <c r="AC144" i="31"/>
  <c r="AC242" i="31"/>
  <c r="AC239" i="31"/>
  <c r="AC238" i="31"/>
  <c r="AC237" i="31"/>
  <c r="AC236" i="31"/>
  <c r="AC235" i="31"/>
  <c r="AC233" i="31"/>
  <c r="AC229" i="31"/>
  <c r="AC228" i="31"/>
  <c r="AE227" i="31"/>
  <c r="AE226" i="31"/>
  <c r="AC219" i="31"/>
  <c r="AC215" i="31"/>
  <c r="AC213" i="31"/>
  <c r="AC212" i="31"/>
  <c r="AC211" i="31"/>
  <c r="AC208" i="31"/>
  <c r="AC207" i="31"/>
  <c r="AC206" i="31"/>
  <c r="AC203" i="31"/>
  <c r="AC202" i="31"/>
  <c r="AC201" i="31"/>
  <c r="AC200" i="31"/>
  <c r="AC199" i="31"/>
  <c r="AC198" i="31"/>
  <c r="AC194" i="31"/>
  <c r="AC193" i="31"/>
  <c r="AC178" i="31"/>
  <c r="AC177" i="31"/>
  <c r="AC176" i="31"/>
  <c r="AC171" i="31"/>
  <c r="AE267" i="35"/>
  <c r="AC175" i="35"/>
  <c r="AC174" i="35"/>
  <c r="AE121" i="35"/>
  <c r="AE120" i="35"/>
  <c r="AC346" i="29"/>
  <c r="AC345" i="29"/>
  <c r="AC342" i="29"/>
  <c r="AC343" i="29"/>
  <c r="AC331" i="29"/>
  <c r="AC329" i="29"/>
  <c r="AC330" i="29"/>
  <c r="AC302" i="29"/>
  <c r="AE292" i="29"/>
  <c r="AE291" i="29"/>
  <c r="AE290" i="29"/>
  <c r="AC287" i="29"/>
  <c r="AC286" i="29"/>
  <c r="AC285" i="29"/>
  <c r="AC264" i="29"/>
  <c r="AC263" i="29"/>
  <c r="AC262" i="29"/>
  <c r="AC259" i="29"/>
  <c r="AC237" i="29"/>
  <c r="AC211" i="29"/>
  <c r="AC210" i="29"/>
  <c r="AC194" i="29"/>
  <c r="AC185" i="29"/>
  <c r="AC184" i="29"/>
  <c r="AC183" i="29"/>
  <c r="AC181" i="29"/>
  <c r="AC157" i="29"/>
  <c r="AC156" i="29"/>
  <c r="AC155" i="29"/>
  <c r="AC148" i="29"/>
  <c r="AC144" i="29"/>
  <c r="AE414" i="2" l="1"/>
  <c r="AE239" i="5"/>
  <c r="AE148" i="32"/>
  <c r="AE145" i="32" s="1"/>
  <c r="AE103" i="32" s="1"/>
  <c r="AE127" i="32"/>
  <c r="AE126" i="32" s="1"/>
  <c r="AE153" i="36"/>
  <c r="AE157" i="32"/>
  <c r="AE132" i="32"/>
  <c r="AE100" i="32" s="1"/>
  <c r="AE105" i="32"/>
  <c r="AE98" i="32"/>
  <c r="AE92" i="32"/>
  <c r="AE142" i="32"/>
  <c r="AE102" i="32"/>
  <c r="AE131" i="32"/>
  <c r="AE121" i="32"/>
  <c r="AE97" i="32"/>
  <c r="AE104" i="36"/>
  <c r="AC348" i="29"/>
  <c r="AC340" i="29"/>
  <c r="AC338" i="29"/>
  <c r="AC337" i="29"/>
  <c r="AC334" i="29"/>
  <c r="AC333" i="29"/>
  <c r="AC283" i="29"/>
  <c r="AC281" i="29"/>
  <c r="AC279" i="29"/>
  <c r="AC278" i="29"/>
  <c r="AC276" i="29"/>
  <c r="AC275" i="29"/>
  <c r="AC273" i="29"/>
  <c r="AC272" i="29"/>
  <c r="AE271" i="29"/>
  <c r="AC247" i="29"/>
  <c r="AC243" i="29"/>
  <c r="AE243" i="29" s="1"/>
  <c r="AE235" i="29"/>
  <c r="AE227" i="29"/>
  <c r="AD226" i="29"/>
  <c r="AC224" i="29"/>
  <c r="AC222" i="29"/>
  <c r="AC218" i="29"/>
  <c r="AE217" i="29"/>
  <c r="AE208" i="29"/>
  <c r="AC207" i="29"/>
  <c r="AC204" i="29"/>
  <c r="AC197" i="29"/>
  <c r="AC182" i="29"/>
  <c r="AC180" i="29"/>
  <c r="AC179" i="29"/>
  <c r="AE178" i="29"/>
  <c r="AC177" i="29"/>
  <c r="AC176" i="29"/>
  <c r="AC175" i="29"/>
  <c r="AC174" i="29"/>
  <c r="AC172" i="29"/>
  <c r="AC171" i="29"/>
  <c r="AC170" i="29"/>
  <c r="AC160" i="29"/>
  <c r="AE146" i="29"/>
  <c r="AE147" i="29"/>
  <c r="AE148" i="29"/>
  <c r="AC145" i="29"/>
  <c r="AE143" i="29"/>
  <c r="AC142" i="29"/>
  <c r="AE142" i="29" s="1"/>
  <c r="AC141" i="29"/>
  <c r="AE204" i="31"/>
  <c r="AC152" i="31"/>
  <c r="AC149" i="31"/>
  <c r="AC148" i="31"/>
  <c r="AC141" i="31"/>
  <c r="AC147" i="31"/>
  <c r="AE336" i="29"/>
  <c r="AE298" i="29"/>
  <c r="AE299" i="29"/>
  <c r="AE300" i="29"/>
  <c r="AE301" i="29"/>
  <c r="AE282" i="29"/>
  <c r="AE228" i="29"/>
  <c r="AE229" i="29"/>
  <c r="AE230" i="29"/>
  <c r="AC220" i="29"/>
  <c r="AE249" i="29"/>
  <c r="AE215" i="29"/>
  <c r="AE196" i="29"/>
  <c r="AE163" i="29"/>
  <c r="AE164" i="29"/>
  <c r="AE165" i="29"/>
  <c r="AE166" i="29"/>
  <c r="AE167" i="29"/>
  <c r="AE168" i="29"/>
  <c r="AE191" i="29"/>
  <c r="AC154" i="31"/>
  <c r="AE152" i="30"/>
  <c r="AE150" i="30"/>
  <c r="AC176" i="6"/>
  <c r="AC159" i="30"/>
  <c r="AE159" i="30" s="1"/>
  <c r="AC158" i="30"/>
  <c r="AE158" i="30" s="1"/>
  <c r="AC157" i="30"/>
  <c r="AE157" i="30" s="1"/>
  <c r="AE210" i="30"/>
  <c r="AE209" i="30"/>
  <c r="AE208" i="30"/>
  <c r="AE206" i="30"/>
  <c r="AE203" i="30"/>
  <c r="AE202" i="30" s="1"/>
  <c r="AE109" i="30" s="1"/>
  <c r="AE201" i="30"/>
  <c r="AE199" i="30"/>
  <c r="AE198" i="30"/>
  <c r="AE197" i="30"/>
  <c r="AE195" i="30"/>
  <c r="AE194" i="30"/>
  <c r="AE193" i="30"/>
  <c r="AE192" i="30"/>
  <c r="AE191" i="30"/>
  <c r="AE190" i="30" s="1"/>
  <c r="AE189" i="30"/>
  <c r="AE188" i="30"/>
  <c r="AE187" i="30" s="1"/>
  <c r="AE186" i="30"/>
  <c r="AE185" i="30"/>
  <c r="AE184" i="30"/>
  <c r="AE183" i="30"/>
  <c r="AE182" i="30"/>
  <c r="AE181" i="30"/>
  <c r="AE180" i="30"/>
  <c r="AE178" i="30"/>
  <c r="AE177" i="30"/>
  <c r="AE176" i="30"/>
  <c r="AE175" i="30"/>
  <c r="AE174" i="30"/>
  <c r="AE173" i="30"/>
  <c r="AE172" i="30"/>
  <c r="AE171" i="30" s="1"/>
  <c r="AE169" i="30"/>
  <c r="AE168" i="30"/>
  <c r="AE167" i="30"/>
  <c r="AE166" i="30"/>
  <c r="AE165" i="30"/>
  <c r="AE164" i="30"/>
  <c r="AE163" i="30"/>
  <c r="AE162" i="30"/>
  <c r="AE161" i="30"/>
  <c r="AE160" i="30"/>
  <c r="AE155" i="30"/>
  <c r="AE154" i="30"/>
  <c r="AE153" i="30"/>
  <c r="AE151" i="30"/>
  <c r="AE149" i="30"/>
  <c r="AE148" i="30"/>
  <c r="AE147" i="30" s="1"/>
  <c r="AE146" i="30"/>
  <c r="AE145" i="30"/>
  <c r="AE144" i="30"/>
  <c r="AE143" i="30"/>
  <c r="AE142" i="30"/>
  <c r="AE141" i="30"/>
  <c r="AE140" i="30"/>
  <c r="AE139" i="30"/>
  <c r="AE138" i="30"/>
  <c r="AE137" i="30"/>
  <c r="AE135" i="30"/>
  <c r="AE134" i="30"/>
  <c r="AE125" i="30"/>
  <c r="AA125" i="30"/>
  <c r="AE89" i="30"/>
  <c r="AA89" i="30"/>
  <c r="AE37" i="30"/>
  <c r="AA37" i="30"/>
  <c r="AE36" i="30"/>
  <c r="AA36" i="30"/>
  <c r="AE35" i="30"/>
  <c r="AA35" i="30"/>
  <c r="AE33" i="30"/>
  <c r="AA33" i="30"/>
  <c r="AE24" i="30"/>
  <c r="Z24" i="30"/>
  <c r="AE23" i="30"/>
  <c r="AE21" i="30"/>
  <c r="Z21" i="30"/>
  <c r="AE127" i="30" s="1"/>
  <c r="AE20" i="30"/>
  <c r="AE15" i="30"/>
  <c r="Z15" i="30"/>
  <c r="AE14" i="30"/>
  <c r="AC163" i="35"/>
  <c r="AC162" i="35"/>
  <c r="AC151" i="35"/>
  <c r="AC150" i="35"/>
  <c r="AC147" i="35"/>
  <c r="AC146" i="35"/>
  <c r="AC141" i="35"/>
  <c r="AC140" i="35"/>
  <c r="AC139" i="35"/>
  <c r="AC138" i="35"/>
  <c r="AE213" i="40"/>
  <c r="AE212" i="40"/>
  <c r="AE211" i="40"/>
  <c r="AE210" i="40"/>
  <c r="AE208" i="40"/>
  <c r="AE206" i="40"/>
  <c r="AE204" i="40"/>
  <c r="AE203" i="40"/>
  <c r="AE202" i="40"/>
  <c r="AE201" i="40"/>
  <c r="AE200" i="40" s="1"/>
  <c r="AE100" i="40" s="1"/>
  <c r="AE199" i="40"/>
  <c r="AE198" i="40"/>
  <c r="AE197" i="40"/>
  <c r="AE196" i="40"/>
  <c r="AE195" i="40"/>
  <c r="AE193" i="40"/>
  <c r="AE191" i="40"/>
  <c r="AE189" i="40"/>
  <c r="AE187" i="40"/>
  <c r="AE186" i="40"/>
  <c r="AE185" i="40"/>
  <c r="AE183" i="40"/>
  <c r="AE181" i="40"/>
  <c r="AE180" i="40"/>
  <c r="AE178" i="40"/>
  <c r="AE176" i="40"/>
  <c r="AE174" i="40"/>
  <c r="AE172" i="40"/>
  <c r="AE171" i="40"/>
  <c r="AE169" i="40"/>
  <c r="AE167" i="40"/>
  <c r="AE165" i="40"/>
  <c r="AE163" i="40"/>
  <c r="AE162" i="40"/>
  <c r="AE160" i="40"/>
  <c r="AE158" i="40"/>
  <c r="AE156" i="40"/>
  <c r="AE154" i="40"/>
  <c r="AE152" i="40"/>
  <c r="AE151" i="40"/>
  <c r="AE150" i="40"/>
  <c r="AE148" i="40"/>
  <c r="AE147" i="40"/>
  <c r="AE146" i="40"/>
  <c r="AE144" i="40"/>
  <c r="AE142" i="40"/>
  <c r="AE141" i="40"/>
  <c r="AE140" i="40"/>
  <c r="AE138" i="40"/>
  <c r="AE136" i="40"/>
  <c r="AE134" i="40"/>
  <c r="AE132" i="40"/>
  <c r="AE131" i="40"/>
  <c r="AE129" i="40"/>
  <c r="AE128" i="40"/>
  <c r="AE126" i="40"/>
  <c r="AE124" i="40"/>
  <c r="AE123" i="40"/>
  <c r="AE122" i="40"/>
  <c r="AE114" i="40"/>
  <c r="AA114" i="40"/>
  <c r="AE89" i="40"/>
  <c r="AA89" i="40"/>
  <c r="AE37" i="40"/>
  <c r="AA37" i="40"/>
  <c r="AE36" i="40"/>
  <c r="AA36" i="40"/>
  <c r="AE35" i="40"/>
  <c r="AA35" i="40"/>
  <c r="AE33" i="40"/>
  <c r="AA33" i="40"/>
  <c r="AE24" i="40"/>
  <c r="Z24" i="40"/>
  <c r="AE92" i="40" s="1"/>
  <c r="AE23" i="40"/>
  <c r="AE21" i="40"/>
  <c r="Z21" i="40"/>
  <c r="AE116" i="40" s="1"/>
  <c r="AE20" i="40"/>
  <c r="AE15" i="40"/>
  <c r="Z15" i="40"/>
  <c r="AE14" i="40"/>
  <c r="AE163" i="34"/>
  <c r="AE162" i="34"/>
  <c r="AE160" i="34"/>
  <c r="AC159" i="34"/>
  <c r="AE159" i="34" s="1"/>
  <c r="AC158" i="34"/>
  <c r="AE158" i="34" s="1"/>
  <c r="AC157" i="34"/>
  <c r="AE157" i="34" s="1"/>
  <c r="AC156" i="34"/>
  <c r="AE156" i="34" s="1"/>
  <c r="AC155" i="34"/>
  <c r="AE155" i="34" s="1"/>
  <c r="AC154" i="34"/>
  <c r="AE154" i="34" s="1"/>
  <c r="AC153" i="34"/>
  <c r="AE153" i="34" s="1"/>
  <c r="AC152" i="34"/>
  <c r="AE152" i="34" s="1"/>
  <c r="AC151" i="34"/>
  <c r="AE151" i="34" s="1"/>
  <c r="AC150" i="34"/>
  <c r="AE150" i="34" s="1"/>
  <c r="AC149" i="34"/>
  <c r="AE149" i="34" s="1"/>
  <c r="AC148" i="34"/>
  <c r="AE148" i="34" s="1"/>
  <c r="AC147" i="34"/>
  <c r="AE147" i="34" s="1"/>
  <c r="AC146" i="34"/>
  <c r="AE146" i="34" s="1"/>
  <c r="AE138" i="34"/>
  <c r="AE137" i="34"/>
  <c r="AE136" i="34"/>
  <c r="AE135" i="34"/>
  <c r="AE134" i="34"/>
  <c r="AE133" i="34"/>
  <c r="AE132" i="34"/>
  <c r="AE131" i="34"/>
  <c r="AE130" i="34"/>
  <c r="AE129" i="34"/>
  <c r="AE128" i="34"/>
  <c r="AE122" i="34"/>
  <c r="AE121" i="34"/>
  <c r="AC120" i="34"/>
  <c r="AE120" i="34" s="1"/>
  <c r="AC119" i="34"/>
  <c r="AE119" i="34" s="1"/>
  <c r="AC145" i="34"/>
  <c r="AC144" i="34"/>
  <c r="AE144" i="34" s="1"/>
  <c r="AC143" i="34"/>
  <c r="AE143" i="34" s="1"/>
  <c r="AC142" i="34"/>
  <c r="AC141" i="34"/>
  <c r="AE141" i="34" s="1"/>
  <c r="AC140" i="34"/>
  <c r="AE140" i="34" s="1"/>
  <c r="AE161" i="34"/>
  <c r="AE145" i="34"/>
  <c r="AE142" i="34"/>
  <c r="AE127" i="34"/>
  <c r="AE126" i="34"/>
  <c r="AE125" i="34"/>
  <c r="AE124" i="34"/>
  <c r="AE123" i="34"/>
  <c r="AE111" i="34"/>
  <c r="AA111" i="34"/>
  <c r="AE89" i="34"/>
  <c r="AA89" i="34"/>
  <c r="AE37" i="34"/>
  <c r="AA37" i="34"/>
  <c r="AE36" i="34"/>
  <c r="AA36" i="34"/>
  <c r="AE35" i="34"/>
  <c r="AA35" i="34"/>
  <c r="AE33" i="34"/>
  <c r="AA33" i="34"/>
  <c r="AE24" i="34"/>
  <c r="Z24" i="34"/>
  <c r="AE92" i="34" s="1"/>
  <c r="AE23" i="34"/>
  <c r="AE21" i="34"/>
  <c r="Z21" i="34"/>
  <c r="AE91" i="34" s="1"/>
  <c r="AE20" i="34"/>
  <c r="AE15" i="34"/>
  <c r="Z15" i="34"/>
  <c r="AE14" i="34"/>
  <c r="AE162" i="21"/>
  <c r="AE161" i="21"/>
  <c r="AE138" i="21"/>
  <c r="AE137" i="21"/>
  <c r="AE136" i="21"/>
  <c r="AE135" i="21"/>
  <c r="AE134" i="21"/>
  <c r="AE133" i="21"/>
  <c r="AE132" i="21"/>
  <c r="AE131" i="21"/>
  <c r="AC144" i="21"/>
  <c r="AC143" i="21"/>
  <c r="AE143" i="21" s="1"/>
  <c r="AC142" i="21"/>
  <c r="AE142" i="21" s="1"/>
  <c r="AC141" i="21"/>
  <c r="AC140" i="21"/>
  <c r="AC139" i="21"/>
  <c r="AE160" i="21"/>
  <c r="AE159" i="21"/>
  <c r="AE158" i="21"/>
  <c r="AE157" i="21"/>
  <c r="AE156" i="21"/>
  <c r="AE155" i="21"/>
  <c r="AE154" i="21"/>
  <c r="AE153" i="21"/>
  <c r="AE152" i="21"/>
  <c r="AE151" i="21"/>
  <c r="AE150" i="21"/>
  <c r="AE149" i="21"/>
  <c r="AE148" i="21"/>
  <c r="AE147" i="21"/>
  <c r="AE146" i="21"/>
  <c r="AE145" i="21"/>
  <c r="AE144" i="21"/>
  <c r="AE141" i="21"/>
  <c r="AE140" i="21"/>
  <c r="AE139" i="21"/>
  <c r="AE130" i="21"/>
  <c r="AE129" i="21"/>
  <c r="AE128" i="21"/>
  <c r="AE127" i="21"/>
  <c r="AE126" i="21"/>
  <c r="AE125" i="21"/>
  <c r="AE124" i="21"/>
  <c r="AE123" i="21"/>
  <c r="AE122" i="21"/>
  <c r="AE121" i="21"/>
  <c r="AE120" i="21"/>
  <c r="AE119" i="21"/>
  <c r="AE111" i="21"/>
  <c r="AA111" i="21"/>
  <c r="AE89" i="21"/>
  <c r="AA89" i="21"/>
  <c r="AE37" i="21"/>
  <c r="AA37" i="21"/>
  <c r="AE36" i="21"/>
  <c r="AA36" i="21"/>
  <c r="AE35" i="21"/>
  <c r="AA35" i="21"/>
  <c r="AE33" i="21"/>
  <c r="AA33" i="21"/>
  <c r="AE24" i="21"/>
  <c r="Z24" i="21"/>
  <c r="AE92" i="21" s="1"/>
  <c r="AE23" i="21"/>
  <c r="AE21" i="21"/>
  <c r="Z21" i="21"/>
  <c r="AE91" i="21" s="1"/>
  <c r="AE20" i="21"/>
  <c r="AE15" i="21"/>
  <c r="Z15" i="21"/>
  <c r="AE14" i="21"/>
  <c r="AE166" i="7"/>
  <c r="AE165" i="7"/>
  <c r="AD163" i="7"/>
  <c r="AE163" i="7" s="1"/>
  <c r="AC160" i="7"/>
  <c r="AE160" i="7" s="1"/>
  <c r="AC159" i="7"/>
  <c r="AE159" i="7" s="1"/>
  <c r="AE158" i="7"/>
  <c r="AE157" i="7"/>
  <c r="AE156" i="7"/>
  <c r="AE155" i="7"/>
  <c r="AE154" i="7"/>
  <c r="AE153" i="7"/>
  <c r="AC152" i="7"/>
  <c r="AE152" i="7" s="1"/>
  <c r="AC151" i="7"/>
  <c r="AE151" i="7" s="1"/>
  <c r="AC150" i="7"/>
  <c r="AE150" i="7" s="1"/>
  <c r="AC149" i="7"/>
  <c r="AE149" i="7" s="1"/>
  <c r="AC146" i="7"/>
  <c r="AE146" i="7" s="1"/>
  <c r="AC145" i="7"/>
  <c r="AE145" i="7" s="1"/>
  <c r="AC144" i="7"/>
  <c r="AE144" i="7" s="1"/>
  <c r="AC143" i="7"/>
  <c r="AE143" i="7" s="1"/>
  <c r="AE136" i="7"/>
  <c r="AE135" i="7"/>
  <c r="AE134" i="7"/>
  <c r="AE133" i="7"/>
  <c r="AE132" i="7"/>
  <c r="AE131" i="7"/>
  <c r="AE130" i="7"/>
  <c r="AE129" i="7"/>
  <c r="AC128" i="7"/>
  <c r="AE128" i="7" s="1"/>
  <c r="AC127" i="7"/>
  <c r="AE127" i="7" s="1"/>
  <c r="AC126" i="7"/>
  <c r="AE126" i="7" s="1"/>
  <c r="AC125" i="7"/>
  <c r="AE125" i="7" s="1"/>
  <c r="AE164" i="7"/>
  <c r="AE148" i="7"/>
  <c r="AE147" i="7"/>
  <c r="AE142" i="7"/>
  <c r="AE141" i="7"/>
  <c r="AE140" i="7"/>
  <c r="AE139" i="7"/>
  <c r="AE138" i="7"/>
  <c r="AE137" i="7"/>
  <c r="AE124" i="7"/>
  <c r="AE123" i="7"/>
  <c r="AE122" i="7"/>
  <c r="AE121" i="7"/>
  <c r="AE120" i="7"/>
  <c r="AE119" i="7"/>
  <c r="AE111" i="7"/>
  <c r="AA111" i="7"/>
  <c r="AE89" i="7"/>
  <c r="AE37" i="7"/>
  <c r="AA37" i="7"/>
  <c r="AE36" i="7"/>
  <c r="AA36" i="7"/>
  <c r="AE35" i="7"/>
  <c r="AA35" i="7"/>
  <c r="AE33" i="7"/>
  <c r="AA33" i="7"/>
  <c r="AE24" i="7"/>
  <c r="Z24" i="7"/>
  <c r="AE114" i="7" s="1"/>
  <c r="AE23" i="7"/>
  <c r="AE133" i="30" l="1"/>
  <c r="AE98" i="30" s="1"/>
  <c r="AE108" i="30"/>
  <c r="AE200" i="30"/>
  <c r="AE125" i="32"/>
  <c r="AE125" i="40"/>
  <c r="AE98" i="40" s="1"/>
  <c r="AE164" i="40"/>
  <c r="AE99" i="40" s="1"/>
  <c r="AE136" i="30"/>
  <c r="AE205" i="30"/>
  <c r="AE156" i="30"/>
  <c r="AE132" i="30" s="1"/>
  <c r="AE179" i="30"/>
  <c r="AE104" i="30" s="1"/>
  <c r="AE104" i="32"/>
  <c r="AE118" i="7"/>
  <c r="AE117" i="7" s="1"/>
  <c r="AN100" i="1" s="1"/>
  <c r="AE118" i="21"/>
  <c r="AE97" i="21" s="1"/>
  <c r="AE118" i="34"/>
  <c r="AE117" i="34" s="1"/>
  <c r="AE99" i="32"/>
  <c r="AE106" i="30"/>
  <c r="AE204" i="30"/>
  <c r="AE103" i="30"/>
  <c r="AE105" i="30"/>
  <c r="AE196" i="30"/>
  <c r="AE107" i="30" s="1"/>
  <c r="AE99" i="30"/>
  <c r="AE91" i="30"/>
  <c r="AE92" i="30"/>
  <c r="AE91" i="40"/>
  <c r="AE113" i="34"/>
  <c r="AE114" i="34"/>
  <c r="AE113" i="21"/>
  <c r="AE114" i="21"/>
  <c r="AE92" i="7"/>
  <c r="AE170" i="30" l="1"/>
  <c r="AE131" i="30" s="1"/>
  <c r="AE101" i="30"/>
  <c r="AE97" i="34"/>
  <c r="AE110" i="30"/>
  <c r="AE96" i="32"/>
  <c r="AE30" i="32"/>
  <c r="AN125" i="1" s="1"/>
  <c r="AE111" i="30"/>
  <c r="AE97" i="30"/>
  <c r="AE100" i="30"/>
  <c r="AE117" i="21"/>
  <c r="AE97" i="7"/>
  <c r="AE30" i="7"/>
  <c r="AE96" i="7"/>
  <c r="AE102" i="30" l="1"/>
  <c r="AE120" i="40"/>
  <c r="AE97" i="40"/>
  <c r="AE96" i="21"/>
  <c r="AN114" i="1"/>
  <c r="AE96" i="34"/>
  <c r="AN127" i="1"/>
  <c r="AA34" i="32"/>
  <c r="AE34" i="32" s="1"/>
  <c r="AE39" i="32" s="1"/>
  <c r="AE96" i="30"/>
  <c r="AE30" i="34"/>
  <c r="AA34" i="34" s="1"/>
  <c r="AE34" i="34" s="1"/>
  <c r="AE30" i="21"/>
  <c r="AA34" i="21" s="1"/>
  <c r="AE34" i="21" s="1"/>
  <c r="AE39" i="21" s="1"/>
  <c r="AA34" i="7"/>
  <c r="AE34" i="7" s="1"/>
  <c r="AE39" i="7" s="1"/>
  <c r="AE30" i="40" l="1"/>
  <c r="AE96" i="40"/>
  <c r="AN133" i="1"/>
  <c r="AE30" i="30"/>
  <c r="AE39" i="34"/>
  <c r="AA34" i="40" l="1"/>
  <c r="AE34" i="40" s="1"/>
  <c r="AE39" i="40" s="1"/>
  <c r="AA34" i="30"/>
  <c r="AE34" i="30" s="1"/>
  <c r="AE39" i="30" s="1"/>
  <c r="AN123" i="1"/>
  <c r="AC371" i="16"/>
  <c r="AC323" i="29"/>
  <c r="AE314" i="29" l="1"/>
  <c r="AC313" i="29"/>
  <c r="AE312" i="29"/>
  <c r="AE311" i="29"/>
  <c r="AC310" i="29"/>
  <c r="AC308" i="29"/>
  <c r="AE307" i="29"/>
  <c r="AE360" i="16"/>
  <c r="AC359" i="16"/>
  <c r="AC358" i="16"/>
  <c r="AC357" i="16"/>
  <c r="AE371" i="2"/>
  <c r="AE370" i="2"/>
  <c r="AE369" i="2"/>
  <c r="AE368" i="2"/>
  <c r="AC367" i="2"/>
  <c r="AE363" i="2"/>
  <c r="AC362" i="2"/>
  <c r="AE361" i="2"/>
  <c r="AC360" i="2"/>
  <c r="AE359" i="2"/>
  <c r="AE358" i="2"/>
  <c r="AE357" i="2"/>
  <c r="AC356" i="2"/>
  <c r="AE355" i="2"/>
  <c r="AC354" i="2"/>
  <c r="AE353" i="2"/>
  <c r="AC352" i="2"/>
  <c r="AE351" i="2"/>
  <c r="AC350" i="2"/>
  <c r="AE119" i="24" l="1"/>
  <c r="AE118" i="24" s="1"/>
  <c r="AE111" i="24"/>
  <c r="AA111" i="24"/>
  <c r="AE89" i="24"/>
  <c r="AA89" i="24"/>
  <c r="AE37" i="24"/>
  <c r="AA37" i="24"/>
  <c r="AE36" i="24"/>
  <c r="AA36" i="24"/>
  <c r="AE35" i="24"/>
  <c r="AA35" i="24"/>
  <c r="AE33" i="24"/>
  <c r="AA33" i="24"/>
  <c r="AE24" i="24"/>
  <c r="Z24" i="24"/>
  <c r="AE92" i="24" s="1"/>
  <c r="AE23" i="24"/>
  <c r="AE21" i="24"/>
  <c r="Z21" i="24"/>
  <c r="AE113" i="24" s="1"/>
  <c r="AE20" i="24"/>
  <c r="AE18" i="24"/>
  <c r="AE15" i="24"/>
  <c r="Z15" i="24"/>
  <c r="AE14" i="24"/>
  <c r="AE97" i="24" l="1"/>
  <c r="AE117" i="24"/>
  <c r="AE114" i="24"/>
  <c r="AE91" i="24"/>
  <c r="AE30" i="24" l="1"/>
  <c r="AE96" i="24"/>
  <c r="AN117" i="1" s="1"/>
  <c r="AC233" i="17"/>
  <c r="AC195" i="19"/>
  <c r="AE229" i="17"/>
  <c r="AE228" i="17"/>
  <c r="AE227" i="17"/>
  <c r="AE226" i="17"/>
  <c r="AE225" i="17"/>
  <c r="AE224" i="17"/>
  <c r="AC190" i="17"/>
  <c r="AE190" i="17"/>
  <c r="AC169" i="17"/>
  <c r="AC261" i="17"/>
  <c r="AC174" i="17"/>
  <c r="AE365" i="16"/>
  <c r="AE366" i="16"/>
  <c r="AE364" i="16"/>
  <c r="AC315" i="16"/>
  <c r="AE314" i="16"/>
  <c r="AE310" i="16"/>
  <c r="AC265" i="16"/>
  <c r="AC264" i="16"/>
  <c r="AC263" i="16"/>
  <c r="AC262" i="16"/>
  <c r="AC261" i="16"/>
  <c r="AE259" i="16"/>
  <c r="AE258" i="16"/>
  <c r="AC252" i="16"/>
  <c r="AE184" i="16"/>
  <c r="AC339" i="16"/>
  <c r="AC336" i="16"/>
  <c r="AA34" i="24" l="1"/>
  <c r="AE34" i="24" s="1"/>
  <c r="AE39" i="24"/>
  <c r="AE139" i="23"/>
  <c r="AE199" i="38" l="1"/>
  <c r="AE197" i="38"/>
  <c r="AE195" i="38"/>
  <c r="AE193" i="38"/>
  <c r="AE191" i="38"/>
  <c r="AE189" i="38"/>
  <c r="AE187" i="38"/>
  <c r="AE185" i="38"/>
  <c r="AE183" i="38"/>
  <c r="AE181" i="38"/>
  <c r="AE179" i="38"/>
  <c r="AE153" i="38"/>
  <c r="AE151" i="38"/>
  <c r="AC177" i="38"/>
  <c r="AC176" i="38"/>
  <c r="AE176" i="38" s="1"/>
  <c r="AC173" i="38"/>
  <c r="AE173" i="38" s="1"/>
  <c r="AC170" i="38"/>
  <c r="AE170" i="38" s="1"/>
  <c r="AC158" i="38"/>
  <c r="AC150" i="38"/>
  <c r="AE150" i="38" s="1"/>
  <c r="AC149" i="38"/>
  <c r="AE149" i="38" s="1"/>
  <c r="AC138" i="38"/>
  <c r="AE138" i="38" s="1"/>
  <c r="AC137" i="38"/>
  <c r="AE137" i="38" s="1"/>
  <c r="AC127" i="38"/>
  <c r="AE127" i="38" s="1"/>
  <c r="AC125" i="38"/>
  <c r="AE125" i="38" s="1"/>
  <c r="AC124" i="38"/>
  <c r="AE124" i="38" s="1"/>
  <c r="AE158" i="23"/>
  <c r="AE156" i="23"/>
  <c r="AE154" i="23"/>
  <c r="AE152" i="23"/>
  <c r="AC151" i="23"/>
  <c r="AC150" i="23"/>
  <c r="AE150" i="23" s="1"/>
  <c r="AC149" i="23"/>
  <c r="AE149" i="23" s="1"/>
  <c r="AC137" i="23"/>
  <c r="AE137" i="23" s="1"/>
  <c r="AC126" i="23"/>
  <c r="AE126" i="23" s="1"/>
  <c r="AC124" i="23"/>
  <c r="AE124" i="23" s="1"/>
  <c r="AC123" i="23"/>
  <c r="AE123" i="23" s="1"/>
  <c r="AE153" i="10"/>
  <c r="AE151" i="10"/>
  <c r="AC150" i="10"/>
  <c r="AE150" i="10" s="1"/>
  <c r="AC149" i="10"/>
  <c r="AE149" i="10" s="1"/>
  <c r="AC136" i="10"/>
  <c r="AC135" i="10"/>
  <c r="AE135" i="10" s="1"/>
  <c r="AC134" i="10"/>
  <c r="AC131" i="10"/>
  <c r="AE131" i="10" s="1"/>
  <c r="AC128" i="10"/>
  <c r="AC125" i="10"/>
  <c r="AE125" i="10" s="1"/>
  <c r="AC124" i="10"/>
  <c r="AE124" i="10" s="1"/>
  <c r="AC123" i="10"/>
  <c r="AE178" i="38"/>
  <c r="AE177" i="38"/>
  <c r="AE175" i="38"/>
  <c r="AE172" i="38"/>
  <c r="AE171" i="38"/>
  <c r="AE169" i="38"/>
  <c r="AE167" i="38"/>
  <c r="AE99" i="38" s="1"/>
  <c r="AE166" i="38"/>
  <c r="AE165" i="38"/>
  <c r="AE164" i="38"/>
  <c r="AE163" i="38"/>
  <c r="AE162" i="38"/>
  <c r="AE161" i="38"/>
  <c r="AE159" i="38"/>
  <c r="AE158" i="38"/>
  <c r="AE157" i="38"/>
  <c r="AE156" i="38"/>
  <c r="AE155" i="38"/>
  <c r="AE148" i="38"/>
  <c r="AE147" i="38"/>
  <c r="AE145" i="38"/>
  <c r="AE144" i="38"/>
  <c r="AE143" i="38"/>
  <c r="AE142" i="38"/>
  <c r="AE141" i="38"/>
  <c r="AE140" i="38"/>
  <c r="AE139" i="38"/>
  <c r="AE136" i="38"/>
  <c r="AE135" i="38"/>
  <c r="AE134" i="38"/>
  <c r="AE133" i="38"/>
  <c r="AE132" i="38"/>
  <c r="AE131" i="38"/>
  <c r="AE130" i="38"/>
  <c r="AE129" i="38"/>
  <c r="AE128" i="38"/>
  <c r="AE126" i="38"/>
  <c r="AE123" i="38"/>
  <c r="AE115" i="38"/>
  <c r="AA115" i="38"/>
  <c r="AE89" i="38"/>
  <c r="AA89" i="38"/>
  <c r="AE37" i="38"/>
  <c r="AA37" i="38"/>
  <c r="AE36" i="38"/>
  <c r="AA36" i="38"/>
  <c r="AE35" i="38"/>
  <c r="AA35" i="38"/>
  <c r="AE33" i="38"/>
  <c r="AA33" i="38"/>
  <c r="AE24" i="38"/>
  <c r="Z24" i="38"/>
  <c r="AE118" i="38" s="1"/>
  <c r="AE23" i="38"/>
  <c r="AE21" i="38"/>
  <c r="Z21" i="38"/>
  <c r="AE91" i="38" s="1"/>
  <c r="Z15" i="38"/>
  <c r="AE14" i="38"/>
  <c r="AE148" i="10"/>
  <c r="AE147" i="10" s="1"/>
  <c r="AE146" i="10" s="1"/>
  <c r="AE145" i="10"/>
  <c r="AE144" i="10"/>
  <c r="AE143" i="10"/>
  <c r="AE142" i="10"/>
  <c r="AE141" i="10"/>
  <c r="AE140" i="10" s="1"/>
  <c r="AE139" i="10"/>
  <c r="AE138" i="10"/>
  <c r="AE137" i="10"/>
  <c r="AE136" i="10"/>
  <c r="AE134" i="10"/>
  <c r="AE133" i="10"/>
  <c r="AE132" i="10"/>
  <c r="AE130" i="10"/>
  <c r="AE129" i="10"/>
  <c r="AE128" i="10"/>
  <c r="AE127" i="10"/>
  <c r="AE126" i="10"/>
  <c r="AE123" i="10"/>
  <c r="AE122" i="10"/>
  <c r="AE114" i="10"/>
  <c r="AA114" i="10"/>
  <c r="AE89" i="10"/>
  <c r="AA89" i="10"/>
  <c r="AE37" i="10"/>
  <c r="AA37" i="10"/>
  <c r="AE36" i="10"/>
  <c r="AA36" i="10"/>
  <c r="AE35" i="10"/>
  <c r="AA35" i="10"/>
  <c r="AE33" i="10"/>
  <c r="AA33" i="10"/>
  <c r="AE24" i="10"/>
  <c r="Z24" i="10"/>
  <c r="AE92" i="10" s="1"/>
  <c r="AE23" i="10"/>
  <c r="AE21" i="10"/>
  <c r="Z21" i="10"/>
  <c r="AE116" i="10" s="1"/>
  <c r="AE15" i="10"/>
  <c r="Z15" i="10"/>
  <c r="AE14" i="10"/>
  <c r="AE151" i="23"/>
  <c r="AE146" i="23"/>
  <c r="AE145" i="23"/>
  <c r="AE144" i="23"/>
  <c r="AE143" i="23"/>
  <c r="AE142" i="23"/>
  <c r="AE141" i="23"/>
  <c r="AE138" i="23"/>
  <c r="AE136" i="23"/>
  <c r="AE135" i="23"/>
  <c r="AE134" i="23"/>
  <c r="AE133" i="23"/>
  <c r="AE132" i="23"/>
  <c r="AE131" i="23"/>
  <c r="AE130" i="23"/>
  <c r="AE129" i="23"/>
  <c r="AE128" i="23"/>
  <c r="AE127" i="23"/>
  <c r="AE125" i="23"/>
  <c r="AE122" i="23"/>
  <c r="AE114" i="23"/>
  <c r="AA114" i="23"/>
  <c r="AE89" i="23"/>
  <c r="AA89" i="23"/>
  <c r="AE37" i="23"/>
  <c r="AA37" i="23"/>
  <c r="AE36" i="23"/>
  <c r="AA36" i="23"/>
  <c r="AE35" i="23"/>
  <c r="AA35" i="23"/>
  <c r="AE33" i="23"/>
  <c r="AA33" i="23"/>
  <c r="AE24" i="23"/>
  <c r="Z24" i="23"/>
  <c r="AE92" i="23" s="1"/>
  <c r="AE23" i="23"/>
  <c r="AE21" i="23"/>
  <c r="Z21" i="23"/>
  <c r="AE116" i="23" s="1"/>
  <c r="AE20" i="23"/>
  <c r="AE18" i="23"/>
  <c r="AE15" i="23"/>
  <c r="Z15" i="23"/>
  <c r="AE14" i="23"/>
  <c r="AE148" i="23" l="1"/>
  <c r="AE147" i="23"/>
  <c r="AE122" i="38"/>
  <c r="AE121" i="23"/>
  <c r="AE120" i="23" s="1"/>
  <c r="AE121" i="10"/>
  <c r="AE120" i="10" s="1"/>
  <c r="AE160" i="38"/>
  <c r="AE140" i="23"/>
  <c r="AE98" i="10"/>
  <c r="AE117" i="23"/>
  <c r="AE98" i="38"/>
  <c r="AE92" i="38"/>
  <c r="AE101" i="38"/>
  <c r="AE100" i="38"/>
  <c r="AE97" i="38"/>
  <c r="AE98" i="23"/>
  <c r="AE100" i="23"/>
  <c r="AE117" i="10"/>
  <c r="AE100" i="10"/>
  <c r="AE99" i="10"/>
  <c r="AE97" i="10"/>
  <c r="AE117" i="38"/>
  <c r="AE91" i="10"/>
  <c r="AE91" i="23"/>
  <c r="AE160" i="2"/>
  <c r="AE168" i="2"/>
  <c r="AE221" i="2"/>
  <c r="AE220" i="2"/>
  <c r="AE226" i="2"/>
  <c r="AE233" i="2"/>
  <c r="AE234" i="2"/>
  <c r="AE235" i="2"/>
  <c r="AE272" i="2"/>
  <c r="AE291" i="2"/>
  <c r="AE305" i="2"/>
  <c r="AE304" i="2"/>
  <c r="AE303" i="2"/>
  <c r="AE302" i="2"/>
  <c r="AE376" i="2"/>
  <c r="AE375" i="2"/>
  <c r="AC410" i="2"/>
  <c r="AC396" i="2"/>
  <c r="AC395" i="2"/>
  <c r="AC392" i="2"/>
  <c r="AC388" i="2"/>
  <c r="AC386" i="2"/>
  <c r="AC384" i="2"/>
  <c r="AC314" i="2"/>
  <c r="AC311" i="2"/>
  <c r="AC300" i="2"/>
  <c r="AC296" i="2"/>
  <c r="AC293" i="2"/>
  <c r="AC292" i="2"/>
  <c r="AC273" i="2"/>
  <c r="AC270" i="2"/>
  <c r="AC269" i="2"/>
  <c r="AC268" i="2"/>
  <c r="AE266" i="2"/>
  <c r="AE267" i="2"/>
  <c r="AE265" i="2"/>
  <c r="AC263" i="2"/>
  <c r="AC252" i="2"/>
  <c r="AC251" i="2"/>
  <c r="AC250" i="2"/>
  <c r="AC249" i="2"/>
  <c r="AE242" i="2"/>
  <c r="AC230" i="2"/>
  <c r="AC224" i="2"/>
  <c r="AC217" i="2"/>
  <c r="AE205" i="2"/>
  <c r="AC203" i="2"/>
  <c r="AC200" i="2"/>
  <c r="AC198" i="2"/>
  <c r="AC197" i="2"/>
  <c r="AC196" i="2"/>
  <c r="AC192" i="2"/>
  <c r="AC190" i="2"/>
  <c r="AC189" i="2"/>
  <c r="AC188" i="2"/>
  <c r="AC185" i="2"/>
  <c r="AC184" i="2"/>
  <c r="AC183" i="2"/>
  <c r="AC182" i="2"/>
  <c r="AC181" i="2"/>
  <c r="AC179" i="2"/>
  <c r="AC178" i="2"/>
  <c r="AC176" i="2"/>
  <c r="AC173" i="2"/>
  <c r="AC172" i="2"/>
  <c r="AC171" i="2"/>
  <c r="AC169" i="2"/>
  <c r="AC167" i="2"/>
  <c r="AC166" i="2"/>
  <c r="AC164" i="2"/>
  <c r="AC157" i="2"/>
  <c r="AC153" i="2"/>
  <c r="AC152" i="2"/>
  <c r="AC149" i="2"/>
  <c r="AE121" i="38" l="1"/>
  <c r="AE97" i="23"/>
  <c r="AC302" i="16"/>
  <c r="AC257" i="16"/>
  <c r="AC255" i="16"/>
  <c r="AC249" i="16"/>
  <c r="AC158" i="16"/>
  <c r="AC156" i="16"/>
  <c r="AC151" i="16"/>
  <c r="AC150" i="16"/>
  <c r="AE96" i="23" l="1"/>
  <c r="AN116" i="1"/>
  <c r="AE30" i="23"/>
  <c r="AA34" i="23" s="1"/>
  <c r="AE34" i="23" s="1"/>
  <c r="AE39" i="23" s="1"/>
  <c r="AE30" i="38"/>
  <c r="AA34" i="38" s="1"/>
  <c r="AE34" i="38" s="1"/>
  <c r="AE39" i="38" s="1"/>
  <c r="AN131" i="1"/>
  <c r="AE96" i="38"/>
  <c r="AE30" i="10"/>
  <c r="AN103" i="1" s="1"/>
  <c r="AE96" i="10"/>
  <c r="AE216" i="31"/>
  <c r="AE214" i="31"/>
  <c r="AE209" i="31"/>
  <c r="AE191" i="31"/>
  <c r="AE192" i="31"/>
  <c r="AE185" i="31"/>
  <c r="AE186" i="31"/>
  <c r="AE184" i="31"/>
  <c r="AE180" i="31"/>
  <c r="AE181" i="31"/>
  <c r="AE182" i="31"/>
  <c r="AE183" i="31"/>
  <c r="AE179" i="31"/>
  <c r="AE147" i="31"/>
  <c r="AC217" i="31"/>
  <c r="AC210" i="31"/>
  <c r="AC205" i="31"/>
  <c r="AE196" i="31"/>
  <c r="AE197" i="31"/>
  <c r="AC190" i="31"/>
  <c r="AE190" i="31" s="1"/>
  <c r="AC189" i="31"/>
  <c r="AE189" i="31" s="1"/>
  <c r="AC188" i="31"/>
  <c r="AE188" i="31" s="1"/>
  <c r="AC187" i="31"/>
  <c r="AE187" i="31" s="1"/>
  <c r="AC361" i="33"/>
  <c r="AC172" i="31"/>
  <c r="AE144" i="31"/>
  <c r="AC139" i="31"/>
  <c r="AA34" i="10" l="1"/>
  <c r="AE34" i="10" s="1"/>
  <c r="AE39" i="10" s="1"/>
  <c r="AE349" i="29"/>
  <c r="AE348" i="29"/>
  <c r="AE346" i="29"/>
  <c r="AE345" i="29"/>
  <c r="AE344" i="29"/>
  <c r="AE343" i="29"/>
  <c r="AE342" i="29"/>
  <c r="AE340" i="29"/>
  <c r="AE339" i="29"/>
  <c r="AE338" i="29"/>
  <c r="AE337" i="29"/>
  <c r="AE335" i="29"/>
  <c r="AE334" i="29"/>
  <c r="AE333" i="29"/>
  <c r="AE332" i="29" s="1"/>
  <c r="AE331" i="29"/>
  <c r="AE330" i="29"/>
  <c r="AE329" i="29"/>
  <c r="AE328" i="29"/>
  <c r="AE327" i="29"/>
  <c r="AE326" i="29"/>
  <c r="AE325" i="29"/>
  <c r="AE323" i="29"/>
  <c r="AE317" i="29"/>
  <c r="AE316" i="29"/>
  <c r="AE315" i="29"/>
  <c r="AE313" i="29"/>
  <c r="AE310" i="29"/>
  <c r="AE309" i="29"/>
  <c r="AE308" i="29"/>
  <c r="AE306" i="29"/>
  <c r="AE305" i="29"/>
  <c r="AE304" i="29"/>
  <c r="AE302" i="29"/>
  <c r="AE297" i="29"/>
  <c r="AE296" i="29"/>
  <c r="AE295" i="29"/>
  <c r="AE294" i="29"/>
  <c r="AE293" i="29"/>
  <c r="AE289" i="29"/>
  <c r="AE288" i="29" s="1"/>
  <c r="AE287" i="29"/>
  <c r="AE286" i="29"/>
  <c r="AE285" i="29"/>
  <c r="AE284" i="29" s="1"/>
  <c r="AE283" i="29"/>
  <c r="AE281" i="29"/>
  <c r="AE279" i="29"/>
  <c r="AE278" i="29"/>
  <c r="AE277" i="29"/>
  <c r="AE276" i="29"/>
  <c r="AE275" i="29"/>
  <c r="AE273" i="29"/>
  <c r="AE272" i="29"/>
  <c r="AE270" i="29" s="1"/>
  <c r="AE269" i="29"/>
  <c r="AE268" i="29"/>
  <c r="AE267" i="29"/>
  <c r="AE266" i="29"/>
  <c r="AE265" i="29" s="1"/>
  <c r="AE264" i="29"/>
  <c r="AE263" i="29"/>
  <c r="AE262" i="29"/>
  <c r="AE261" i="29" s="1"/>
  <c r="AE259" i="29"/>
  <c r="AE257" i="29"/>
  <c r="AE256" i="29"/>
  <c r="AE255" i="29"/>
  <c r="AE254" i="29"/>
  <c r="AE253" i="29"/>
  <c r="AE252" i="29"/>
  <c r="AE248" i="29"/>
  <c r="AE247" i="29"/>
  <c r="AE237" i="29"/>
  <c r="AE236" i="29"/>
  <c r="AE234" i="29"/>
  <c r="AE233" i="29"/>
  <c r="AE232" i="29"/>
  <c r="AE231" i="29"/>
  <c r="AE226" i="29"/>
  <c r="AE224" i="29"/>
  <c r="AE223" i="29"/>
  <c r="AE222" i="29"/>
  <c r="AE220" i="29"/>
  <c r="AE218" i="29"/>
  <c r="AE216" i="29"/>
  <c r="AE214" i="29"/>
  <c r="AE212" i="29"/>
  <c r="AE211" i="29"/>
  <c r="AE210" i="29"/>
  <c r="AE207" i="29"/>
  <c r="AE206" i="29" s="1"/>
  <c r="AE205" i="29"/>
  <c r="AE204" i="29"/>
  <c r="AE203" i="29"/>
  <c r="AE202" i="29"/>
  <c r="AE201" i="29"/>
  <c r="AE199" i="29"/>
  <c r="AE197" i="29"/>
  <c r="AE195" i="29"/>
  <c r="AE194" i="29"/>
  <c r="AE193" i="29"/>
  <c r="AE192" i="29"/>
  <c r="AE190" i="29"/>
  <c r="AE189" i="29"/>
  <c r="AE188" i="29"/>
  <c r="AE187" i="29"/>
  <c r="AE186" i="29"/>
  <c r="AE185" i="29"/>
  <c r="AE184" i="29"/>
  <c r="AE183" i="29"/>
  <c r="AE182" i="29"/>
  <c r="AE181" i="29"/>
  <c r="AE180" i="29"/>
  <c r="AE179" i="29"/>
  <c r="AE177" i="29"/>
  <c r="AE176" i="29"/>
  <c r="AE175" i="29"/>
  <c r="AE174" i="29"/>
  <c r="AE173" i="29"/>
  <c r="AE172" i="29"/>
  <c r="AE171" i="29"/>
  <c r="AE170" i="29"/>
  <c r="AE162" i="29"/>
  <c r="AE160" i="29"/>
  <c r="AE159" i="29"/>
  <c r="AE158" i="29"/>
  <c r="AE157" i="29"/>
  <c r="AE156" i="29"/>
  <c r="AE155" i="29"/>
  <c r="AE154" i="29"/>
  <c r="AE153" i="29"/>
  <c r="AE152" i="29"/>
  <c r="AE151" i="29"/>
  <c r="AE150" i="29"/>
  <c r="AE149" i="29"/>
  <c r="AE145" i="29"/>
  <c r="AE144" i="29"/>
  <c r="AE141" i="29"/>
  <c r="AE132" i="29"/>
  <c r="AA132" i="29"/>
  <c r="AE89" i="29"/>
  <c r="AA89" i="29"/>
  <c r="AE37" i="29"/>
  <c r="AA37" i="29"/>
  <c r="AE36" i="29"/>
  <c r="AA36" i="29"/>
  <c r="AE35" i="29"/>
  <c r="AA35" i="29"/>
  <c r="AE33" i="29"/>
  <c r="AA33" i="29"/>
  <c r="AE24" i="29"/>
  <c r="Z24" i="29"/>
  <c r="AE92" i="29" s="1"/>
  <c r="AE23" i="29"/>
  <c r="AE21" i="29"/>
  <c r="Z21" i="29"/>
  <c r="AE91" i="29" s="1"/>
  <c r="AE20" i="29"/>
  <c r="AE18" i="29"/>
  <c r="AE15" i="29"/>
  <c r="Z15" i="29"/>
  <c r="AE14" i="29"/>
  <c r="AE200" i="29" l="1"/>
  <c r="AE347" i="29"/>
  <c r="AE225" i="29"/>
  <c r="AE104" i="29" s="1"/>
  <c r="AE341" i="29"/>
  <c r="AE161" i="29"/>
  <c r="AE99" i="29" s="1"/>
  <c r="AE274" i="29"/>
  <c r="AE324" i="29"/>
  <c r="AE140" i="29"/>
  <c r="AE169" i="29"/>
  <c r="AE100" i="29" s="1"/>
  <c r="AE209" i="29"/>
  <c r="AE280" i="29"/>
  <c r="AE260" i="29" s="1"/>
  <c r="AE303" i="29"/>
  <c r="AE114" i="29" s="1"/>
  <c r="AE109" i="29"/>
  <c r="AE102" i="29"/>
  <c r="AE118" i="29"/>
  <c r="AE108" i="29"/>
  <c r="AE113" i="29"/>
  <c r="AE107" i="29"/>
  <c r="AE112" i="29"/>
  <c r="AE116" i="29"/>
  <c r="AE110" i="29"/>
  <c r="AE117" i="29"/>
  <c r="AE101" i="29"/>
  <c r="AE111" i="29"/>
  <c r="AE115" i="29"/>
  <c r="AE98" i="29"/>
  <c r="AE103" i="29"/>
  <c r="AE258" i="29"/>
  <c r="AE105" i="29" s="1"/>
  <c r="AE134" i="29"/>
  <c r="AE135" i="29"/>
  <c r="AE139" i="29" l="1"/>
  <c r="AE138" i="29" s="1"/>
  <c r="AE106" i="29"/>
  <c r="AC226" i="3"/>
  <c r="AE97" i="29" l="1"/>
  <c r="AN122" i="1"/>
  <c r="AE168" i="3"/>
  <c r="AC220" i="3"/>
  <c r="AC219" i="3"/>
  <c r="AC218" i="3"/>
  <c r="AE214" i="3"/>
  <c r="AE215" i="3"/>
  <c r="AE216" i="3"/>
  <c r="AE217" i="3"/>
  <c r="AE213" i="3"/>
  <c r="AC203" i="3"/>
  <c r="AC202" i="3"/>
  <c r="AC200" i="3"/>
  <c r="AC199" i="3"/>
  <c r="AC198" i="3"/>
  <c r="AC211" i="3"/>
  <c r="AC210" i="3"/>
  <c r="AC208" i="3"/>
  <c r="AC207" i="3"/>
  <c r="AC206" i="3"/>
  <c r="AC205" i="3"/>
  <c r="AC192" i="3"/>
  <c r="AC191" i="3"/>
  <c r="AC189" i="3"/>
  <c r="AC188" i="3"/>
  <c r="AC187" i="3"/>
  <c r="AC184" i="3"/>
  <c r="AC182" i="3"/>
  <c r="AC176" i="3"/>
  <c r="AC174" i="3"/>
  <c r="AC173" i="3"/>
  <c r="AC155" i="3"/>
  <c r="AC154" i="3"/>
  <c r="AC153" i="3"/>
  <c r="AC152" i="3"/>
  <c r="AC151" i="3"/>
  <c r="AC150" i="3"/>
  <c r="AC141" i="3"/>
  <c r="AC144" i="3"/>
  <c r="AC147" i="3"/>
  <c r="AC146" i="3"/>
  <c r="AE30" i="29" l="1"/>
  <c r="AA34" i="29" s="1"/>
  <c r="AE34" i="29" s="1"/>
  <c r="AE39" i="29" s="1"/>
  <c r="AE96" i="29"/>
  <c r="AD195" i="5"/>
  <c r="AE272" i="5"/>
  <c r="AC162" i="5" l="1"/>
  <c r="AD333" i="5"/>
  <c r="AC332" i="5"/>
  <c r="AC331" i="5"/>
  <c r="AC267" i="5"/>
  <c r="AE267" i="5" s="1"/>
  <c r="AC319" i="5"/>
  <c r="AE319" i="5" s="1"/>
  <c r="AC318" i="5"/>
  <c r="AC316" i="5"/>
  <c r="AC222" i="5" l="1"/>
  <c r="J14" i="29" l="1"/>
  <c r="J15" i="29"/>
  <c r="F119" i="14"/>
  <c r="J14" i="10"/>
  <c r="J15" i="10"/>
  <c r="F124" i="3"/>
  <c r="AC375" i="16" l="1"/>
  <c r="AC386" i="16"/>
  <c r="AC283" i="16"/>
  <c r="AC267" i="16"/>
  <c r="AC176" i="16"/>
  <c r="AC179" i="16"/>
  <c r="AC170" i="16"/>
  <c r="AE152" i="36" l="1"/>
  <c r="AE151" i="36"/>
  <c r="AE149" i="36"/>
  <c r="AE148" i="36"/>
  <c r="AE147" i="36"/>
  <c r="AE146" i="36" s="1"/>
  <c r="AE143" i="36" s="1"/>
  <c r="AE144" i="36"/>
  <c r="AE142" i="36"/>
  <c r="AE141" i="36"/>
  <c r="AE140" i="36" s="1"/>
  <c r="AE138" i="36"/>
  <c r="AE137" i="36" s="1"/>
  <c r="AE136" i="36"/>
  <c r="AE135" i="36"/>
  <c r="AE134" i="36"/>
  <c r="AE131" i="36"/>
  <c r="AE128" i="36"/>
  <c r="AE126" i="36"/>
  <c r="AE133" i="36" l="1"/>
  <c r="AE130" i="36" s="1"/>
  <c r="AE125" i="36"/>
  <c r="AE584" i="8"/>
  <c r="AE583" i="8" s="1"/>
  <c r="AE581" i="8"/>
  <c r="AE577" i="8"/>
  <c r="AE575" i="8"/>
  <c r="AE573" i="8"/>
  <c r="AE571" i="8"/>
  <c r="AE564" i="8"/>
  <c r="AE563" i="8"/>
  <c r="AE561" i="8"/>
  <c r="AE559" i="8"/>
  <c r="AE557" i="8"/>
  <c r="AE555" i="8"/>
  <c r="AE554" i="8"/>
  <c r="AE553" i="8"/>
  <c r="AE551" i="8"/>
  <c r="AE550" i="8"/>
  <c r="AE548" i="8"/>
  <c r="AE546" i="8"/>
  <c r="AE544" i="8"/>
  <c r="AE543" i="8"/>
  <c r="AE542" i="8"/>
  <c r="AE541" i="8" s="1"/>
  <c r="AE538" i="8"/>
  <c r="AE536" i="8"/>
  <c r="AE535" i="8"/>
  <c r="AE534" i="8"/>
  <c r="AE533" i="8"/>
  <c r="AE530" i="8"/>
  <c r="AE528" i="8"/>
  <c r="AE527" i="8"/>
  <c r="AE526" i="8"/>
  <c r="AE525" i="8"/>
  <c r="AE524" i="8"/>
  <c r="AE521" i="8"/>
  <c r="AE517" i="8"/>
  <c r="AE515" i="8"/>
  <c r="AE513" i="8"/>
  <c r="AE511" i="8"/>
  <c r="AE510" i="8"/>
  <c r="AE508" i="8"/>
  <c r="AE506" i="8"/>
  <c r="AE503" i="8"/>
  <c r="AE502" i="8"/>
  <c r="AE500" i="8"/>
  <c r="AE498" i="8"/>
  <c r="AE496" i="8"/>
  <c r="AE495" i="8"/>
  <c r="AE494" i="8"/>
  <c r="AE493" i="8"/>
  <c r="AE490" i="8"/>
  <c r="AE488" i="8"/>
  <c r="AE486" i="8"/>
  <c r="AE484" i="8"/>
  <c r="AE483" i="8"/>
  <c r="AE482" i="8"/>
  <c r="AE480" i="8"/>
  <c r="AE479" i="8"/>
  <c r="AE478" i="8"/>
  <c r="AE476" i="8"/>
  <c r="AE475" i="8"/>
  <c r="AE474" i="8"/>
  <c r="AE471" i="8"/>
  <c r="AE470" i="8"/>
  <c r="AE469" i="8"/>
  <c r="AE468" i="8"/>
  <c r="AE467" i="8"/>
  <c r="AE466" i="8"/>
  <c r="AE465" i="8"/>
  <c r="AE464" i="8"/>
  <c r="AE462" i="8"/>
  <c r="AE460" i="8"/>
  <c r="AE459" i="8"/>
  <c r="AE458" i="8"/>
  <c r="AE456" i="8"/>
  <c r="AE455" i="8"/>
  <c r="AE454" i="8"/>
  <c r="AE452" i="8"/>
  <c r="AE451" i="8"/>
  <c r="AE450" i="8"/>
  <c r="AE448" i="8"/>
  <c r="AE447" i="8"/>
  <c r="AE446" i="8"/>
  <c r="AE445" i="8"/>
  <c r="AE444" i="8"/>
  <c r="AE443" i="8"/>
  <c r="AE442" i="8"/>
  <c r="AE441" i="8"/>
  <c r="AE440" i="8"/>
  <c r="AE439" i="8"/>
  <c r="AE438" i="8"/>
  <c r="AE420" i="8"/>
  <c r="AE419" i="8"/>
  <c r="AE417" i="8"/>
  <c r="AE415" i="8"/>
  <c r="AE413" i="8"/>
  <c r="AE411" i="8"/>
  <c r="AE410" i="8"/>
  <c r="AE409" i="8"/>
  <c r="AE408" i="8"/>
  <c r="AE407" i="8"/>
  <c r="AE406" i="8"/>
  <c r="AE405" i="8"/>
  <c r="AE402" i="8"/>
  <c r="AE400" i="8"/>
  <c r="AE398" i="8"/>
  <c r="AE396" i="8"/>
  <c r="AE395" i="8"/>
  <c r="AE393" i="8"/>
  <c r="AE392" i="8"/>
  <c r="AE390" i="8"/>
  <c r="AE389" i="8"/>
  <c r="AE388" i="8"/>
  <c r="AE387" i="8"/>
  <c r="AE386" i="8"/>
  <c r="AE384" i="8"/>
  <c r="AE382" i="8"/>
  <c r="AE381" i="8"/>
  <c r="AE379" i="8"/>
  <c r="AE378" i="8"/>
  <c r="AE376" i="8"/>
  <c r="AE375" i="8"/>
  <c r="AE374" i="8"/>
  <c r="AE373" i="8"/>
  <c r="AE372" i="8"/>
  <c r="AE370" i="8"/>
  <c r="AE369" i="8"/>
  <c r="AE368" i="8"/>
  <c r="AE366" i="8"/>
  <c r="AE365" i="8"/>
  <c r="AE364" i="8"/>
  <c r="AE363" i="8"/>
  <c r="AE361" i="8"/>
  <c r="AE360" i="8"/>
  <c r="AE356" i="8"/>
  <c r="AE354" i="8"/>
  <c r="AE352" i="8"/>
  <c r="AE351" i="8"/>
  <c r="AE350" i="8"/>
  <c r="AE349" i="8"/>
  <c r="AE348" i="8"/>
  <c r="AE347" i="8"/>
  <c r="AE346" i="8"/>
  <c r="AE345" i="8"/>
  <c r="AE344" i="8"/>
  <c r="AE343" i="8"/>
  <c r="AE342" i="8"/>
  <c r="AE341" i="8"/>
  <c r="AE340" i="8"/>
  <c r="AE339" i="8"/>
  <c r="AE338" i="8"/>
  <c r="AE337" i="8"/>
  <c r="AE336" i="8"/>
  <c r="AE335" i="8"/>
  <c r="AE334" i="8"/>
  <c r="AE333" i="8"/>
  <c r="AE331" i="8"/>
  <c r="AE330" i="8"/>
  <c r="AE329" i="8"/>
  <c r="AE328" i="8"/>
  <c r="AE327" i="8"/>
  <c r="AE326" i="8"/>
  <c r="AE325" i="8"/>
  <c r="AE324" i="8"/>
  <c r="AE323" i="8"/>
  <c r="AE322" i="8"/>
  <c r="AE321" i="8"/>
  <c r="AE320" i="8"/>
  <c r="AE318" i="8"/>
  <c r="AE317" i="8"/>
  <c r="AE316" i="8"/>
  <c r="AE315" i="8"/>
  <c r="AE314" i="8"/>
  <c r="AE313" i="8"/>
  <c r="AE312" i="8"/>
  <c r="AE311" i="8"/>
  <c r="AE310" i="8"/>
  <c r="AE309" i="8"/>
  <c r="AE308" i="8"/>
  <c r="AE307" i="8"/>
  <c r="AE305" i="8"/>
  <c r="AE304" i="8"/>
  <c r="AE303" i="8"/>
  <c r="AE302" i="8"/>
  <c r="AE301" i="8"/>
  <c r="AE300" i="8"/>
  <c r="AE299" i="8"/>
  <c r="AE298" i="8"/>
  <c r="AE297" i="8"/>
  <c r="AE296" i="8"/>
  <c r="AE294" i="8"/>
  <c r="AE293" i="8"/>
  <c r="AE292" i="8"/>
  <c r="AE290" i="8"/>
  <c r="AE289" i="8"/>
  <c r="AE288" i="8"/>
  <c r="AE285" i="8"/>
  <c r="AE284" i="8"/>
  <c r="AE278" i="8"/>
  <c r="AE276" i="8"/>
  <c r="AE269" i="8"/>
  <c r="AE268" i="8"/>
  <c r="AE267" i="8"/>
  <c r="AE266" i="8"/>
  <c r="AE265" i="8"/>
  <c r="AE264" i="8"/>
  <c r="AE263" i="8"/>
  <c r="AE262" i="8"/>
  <c r="AE261" i="8"/>
  <c r="AE260" i="8"/>
  <c r="AE259" i="8"/>
  <c r="AE258" i="8"/>
  <c r="AE257" i="8"/>
  <c r="AE256" i="8"/>
  <c r="AE255" i="8"/>
  <c r="AE254" i="8"/>
  <c r="AE253" i="8"/>
  <c r="AE252" i="8"/>
  <c r="AE251" i="8"/>
  <c r="AE250" i="8"/>
  <c r="AE249" i="8"/>
  <c r="AE247" i="8"/>
  <c r="AE244" i="8"/>
  <c r="AE243" i="8"/>
  <c r="AE242" i="8"/>
  <c r="AE241" i="8"/>
  <c r="AE240" i="8"/>
  <c r="AE239" i="8"/>
  <c r="AE238" i="8"/>
  <c r="AE237" i="8"/>
  <c r="AE236" i="8"/>
  <c r="AE235" i="8"/>
  <c r="AE234" i="8"/>
  <c r="AE233" i="8"/>
  <c r="AE232" i="8"/>
  <c r="AE231" i="8"/>
  <c r="AE230" i="8"/>
  <c r="AE229" i="8"/>
  <c r="AE228" i="8"/>
  <c r="AE227" i="8"/>
  <c r="AE226" i="8"/>
  <c r="AE225" i="8"/>
  <c r="AE224" i="8"/>
  <c r="AE223" i="8"/>
  <c r="AE222" i="8"/>
  <c r="AE220" i="8"/>
  <c r="AE219" i="8"/>
  <c r="AE218" i="8"/>
  <c r="AE217" i="8"/>
  <c r="AE216" i="8"/>
  <c r="AE215" i="8"/>
  <c r="AE213" i="8"/>
  <c r="AE212" i="8"/>
  <c r="AE211" i="8"/>
  <c r="AE210" i="8"/>
  <c r="AE209" i="8"/>
  <c r="AE208" i="8" s="1"/>
  <c r="AE206" i="8"/>
  <c r="AE204" i="8"/>
  <c r="AE203" i="8" s="1"/>
  <c r="AE201" i="8"/>
  <c r="AE199" i="8"/>
  <c r="AE198" i="8"/>
  <c r="AE197" i="8"/>
  <c r="AE196" i="8"/>
  <c r="AE195" i="8"/>
  <c r="AE194" i="8"/>
  <c r="AE193" i="8"/>
  <c r="AE192" i="8"/>
  <c r="AE191" i="8"/>
  <c r="AE188" i="8"/>
  <c r="AE187" i="8"/>
  <c r="AE186" i="8"/>
  <c r="AE185" i="8"/>
  <c r="AE184" i="8"/>
  <c r="AE183" i="8"/>
  <c r="AE182" i="8"/>
  <c r="AE181" i="8"/>
  <c r="AE180" i="8"/>
  <c r="AE178" i="8"/>
  <c r="AE177" i="8"/>
  <c r="AE176" i="8"/>
  <c r="AE175" i="8" s="1"/>
  <c r="AE174" i="8"/>
  <c r="AE173" i="8"/>
  <c r="AE172" i="8"/>
  <c r="AE171" i="8"/>
  <c r="AE170" i="8"/>
  <c r="AE214" i="8" l="1"/>
  <c r="AE295" i="8"/>
  <c r="AE416" i="8"/>
  <c r="AE463" i="8"/>
  <c r="AE492" i="8"/>
  <c r="AE487" i="8" s="1"/>
  <c r="AE497" i="8"/>
  <c r="AE523" i="8"/>
  <c r="AE520" i="8" s="1"/>
  <c r="AE169" i="8"/>
  <c r="AE179" i="8"/>
  <c r="AE221" i="8"/>
  <c r="AE291" i="8"/>
  <c r="AE371" i="8"/>
  <c r="AE287" i="8"/>
  <c r="AE319" i="8"/>
  <c r="AE362" i="8"/>
  <c r="AE367" i="8"/>
  <c r="AE532" i="8"/>
  <c r="AE529" i="8" s="1"/>
  <c r="AE537" i="8"/>
  <c r="AE558" i="8"/>
  <c r="AE385" i="8"/>
  <c r="AE404" i="8"/>
  <c r="AE399" i="8" s="1"/>
  <c r="AE437" i="8"/>
  <c r="AE124" i="36"/>
  <c r="AC239" i="16"/>
  <c r="AC143" i="31" l="1"/>
  <c r="AC192" i="17"/>
  <c r="AC166" i="17"/>
  <c r="AC252" i="3"/>
  <c r="AC251" i="3"/>
  <c r="AC250" i="3"/>
  <c r="AC247" i="3"/>
  <c r="AE427" i="8" l="1"/>
  <c r="AE428" i="8"/>
  <c r="AE429" i="8"/>
  <c r="AE161" i="13" l="1"/>
  <c r="AE160" i="13"/>
  <c r="AE159" i="13"/>
  <c r="AE158" i="13"/>
  <c r="AE157" i="13"/>
  <c r="AE156" i="13"/>
  <c r="AE155" i="13"/>
  <c r="AE154" i="13"/>
  <c r="AE153" i="13"/>
  <c r="AE152" i="13"/>
  <c r="AE151" i="13"/>
  <c r="AE150" i="13"/>
  <c r="AE149" i="13"/>
  <c r="AE148" i="13"/>
  <c r="AE147" i="13"/>
  <c r="AE146" i="13"/>
  <c r="AE145" i="13"/>
  <c r="AE144" i="13"/>
  <c r="AE143" i="13"/>
  <c r="AE142" i="13"/>
  <c r="AE140" i="13"/>
  <c r="AE139" i="13"/>
  <c r="AE138" i="13"/>
  <c r="AE137" i="13"/>
  <c r="AE136" i="13"/>
  <c r="AE135" i="13"/>
  <c r="AE133" i="13"/>
  <c r="AE131" i="13"/>
  <c r="AE130" i="13"/>
  <c r="AE129" i="13"/>
  <c r="AE128" i="13"/>
  <c r="AE127" i="13"/>
  <c r="AE126" i="13"/>
  <c r="AE125" i="13"/>
  <c r="AE124" i="13"/>
  <c r="AE122" i="13"/>
  <c r="AE98" i="13" s="1"/>
  <c r="AE114" i="13"/>
  <c r="AA114" i="13"/>
  <c r="AE89" i="13"/>
  <c r="AA89" i="13"/>
  <c r="AE37" i="13"/>
  <c r="AA37" i="13"/>
  <c r="AE36" i="13"/>
  <c r="AA36" i="13"/>
  <c r="AE35" i="13"/>
  <c r="AA35" i="13"/>
  <c r="AE33" i="13"/>
  <c r="AA33" i="13"/>
  <c r="AE24" i="13"/>
  <c r="Z24" i="13"/>
  <c r="AE117" i="13" s="1"/>
  <c r="AE23" i="13"/>
  <c r="AE21" i="13"/>
  <c r="Z21" i="13"/>
  <c r="AE91" i="13" s="1"/>
  <c r="AE20" i="13"/>
  <c r="AE15" i="13"/>
  <c r="AE14" i="13"/>
  <c r="AE179" i="26"/>
  <c r="AE178" i="26"/>
  <c r="AE177" i="26"/>
  <c r="AE176" i="26"/>
  <c r="AE175" i="26"/>
  <c r="AE174" i="26"/>
  <c r="AE173" i="26"/>
  <c r="AE172" i="26"/>
  <c r="AE171" i="26"/>
  <c r="AE170" i="26"/>
  <c r="AE169" i="26"/>
  <c r="AE168" i="26"/>
  <c r="AE167" i="26"/>
  <c r="AE166" i="26"/>
  <c r="AE165" i="26"/>
  <c r="AE164" i="26"/>
  <c r="AE163" i="26"/>
  <c r="AE162" i="26"/>
  <c r="AE161" i="26"/>
  <c r="AE160" i="26"/>
  <c r="AE159" i="26"/>
  <c r="AE158" i="26" s="1"/>
  <c r="AE103" i="26" s="1"/>
  <c r="AE157" i="26"/>
  <c r="AE156" i="26"/>
  <c r="AE155" i="26"/>
  <c r="AE154" i="26"/>
  <c r="AE153" i="26"/>
  <c r="AE152" i="26"/>
  <c r="AE151" i="26"/>
  <c r="AE150" i="26"/>
  <c r="AE149" i="26"/>
  <c r="AE148" i="26"/>
  <c r="AE147" i="26"/>
  <c r="AE146" i="26"/>
  <c r="AE145" i="26"/>
  <c r="AE144" i="26" s="1"/>
  <c r="AE102" i="26" s="1"/>
  <c r="AE143" i="26"/>
  <c r="AE142" i="26" s="1"/>
  <c r="AE101" i="26" s="1"/>
  <c r="AE141" i="26"/>
  <c r="AE140" i="26"/>
  <c r="AE139" i="26"/>
  <c r="AE138" i="26" s="1"/>
  <c r="AE100" i="26" s="1"/>
  <c r="AE137" i="26"/>
  <c r="AE136" i="26" s="1"/>
  <c r="AE99" i="26" s="1"/>
  <c r="AE135" i="26"/>
  <c r="AE134" i="26"/>
  <c r="AE133" i="26"/>
  <c r="AE132" i="26"/>
  <c r="AE131" i="26"/>
  <c r="AE130" i="26"/>
  <c r="AE129" i="26"/>
  <c r="AE128" i="26"/>
  <c r="AE127" i="26"/>
  <c r="AE126" i="26"/>
  <c r="AE125" i="26" s="1"/>
  <c r="AE117" i="26"/>
  <c r="AA117" i="26"/>
  <c r="AE89" i="26"/>
  <c r="AA89" i="26"/>
  <c r="AE37" i="26"/>
  <c r="AA37" i="26"/>
  <c r="AE36" i="26"/>
  <c r="AA36" i="26"/>
  <c r="AE35" i="26"/>
  <c r="AA35" i="26"/>
  <c r="AE33" i="26"/>
  <c r="AA33" i="26"/>
  <c r="AE24" i="26"/>
  <c r="Z24" i="26"/>
  <c r="AE120" i="26" s="1"/>
  <c r="AE23" i="26"/>
  <c r="AE21" i="26"/>
  <c r="Z21" i="26"/>
  <c r="AE91" i="26" s="1"/>
  <c r="AE20" i="26"/>
  <c r="AE15" i="26"/>
  <c r="AE14" i="26"/>
  <c r="AE306" i="41"/>
  <c r="AE275" i="41" s="1"/>
  <c r="AE274" i="41"/>
  <c r="AE273" i="41"/>
  <c r="AE272" i="41"/>
  <c r="AE271" i="41"/>
  <c r="AE270" i="41"/>
  <c r="AE269" i="41"/>
  <c r="AE268" i="41"/>
  <c r="AE267" i="41"/>
  <c r="AE266" i="41"/>
  <c r="AE265" i="41"/>
  <c r="AE264" i="41"/>
  <c r="AE263" i="41"/>
  <c r="AE261" i="41"/>
  <c r="AE260" i="41"/>
  <c r="AE259" i="41" s="1"/>
  <c r="AE106" i="41" s="1"/>
  <c r="AE258" i="41"/>
  <c r="AE257" i="41"/>
  <c r="AE256" i="41"/>
  <c r="AE255" i="41"/>
  <c r="AE254" i="41"/>
  <c r="AE252" i="41"/>
  <c r="AE251" i="41"/>
  <c r="AE250" i="41" s="1"/>
  <c r="AE104" i="41" s="1"/>
  <c r="AE249" i="41"/>
  <c r="AE248" i="41"/>
  <c r="AE247" i="41"/>
  <c r="AE246" i="41"/>
  <c r="AE245" i="41"/>
  <c r="AE244" i="41"/>
  <c r="AE243" i="41"/>
  <c r="AE242" i="41"/>
  <c r="AE241" i="41"/>
  <c r="AE240" i="41"/>
  <c r="AE239" i="41"/>
  <c r="AE238" i="41"/>
  <c r="AE237" i="41"/>
  <c r="AE236" i="41"/>
  <c r="AE234" i="41"/>
  <c r="AE233" i="41"/>
  <c r="AE232" i="41"/>
  <c r="AE231" i="41"/>
  <c r="AE230" i="41"/>
  <c r="AE229" i="41"/>
  <c r="AE228" i="41"/>
  <c r="AE227" i="41"/>
  <c r="AE226" i="41"/>
  <c r="AE225" i="41"/>
  <c r="AE224" i="41"/>
  <c r="AE223" i="41"/>
  <c r="AE222" i="41"/>
  <c r="AE221" i="41"/>
  <c r="AE220" i="41"/>
  <c r="AE219" i="41"/>
  <c r="AE218" i="41"/>
  <c r="AE217" i="41"/>
  <c r="AE216" i="41"/>
  <c r="AE214" i="41"/>
  <c r="AE213" i="41"/>
  <c r="AE211" i="41"/>
  <c r="AE210" i="41"/>
  <c r="AE209" i="41"/>
  <c r="AE208" i="41"/>
  <c r="AE207" i="41"/>
  <c r="AE205" i="41"/>
  <c r="AE204" i="41"/>
  <c r="AE202" i="41"/>
  <c r="AE201" i="41"/>
  <c r="AE200" i="41"/>
  <c r="AE199" i="41"/>
  <c r="AE198" i="41"/>
  <c r="AE197" i="41"/>
  <c r="AE196" i="41"/>
  <c r="AE195" i="41"/>
  <c r="AE194" i="41"/>
  <c r="AE193" i="41"/>
  <c r="AE192" i="41"/>
  <c r="AE191" i="41"/>
  <c r="AE190" i="41"/>
  <c r="AE189" i="41"/>
  <c r="AE188" i="41"/>
  <c r="AE187" i="41"/>
  <c r="AE186" i="41"/>
  <c r="AE185" i="41"/>
  <c r="AE184" i="41"/>
  <c r="AE183" i="41"/>
  <c r="AE182" i="41"/>
  <c r="AE180" i="41"/>
  <c r="AE179" i="41"/>
  <c r="AE178" i="41"/>
  <c r="AE177" i="41"/>
  <c r="AE176" i="41"/>
  <c r="AE175" i="41"/>
  <c r="AE174" i="41"/>
  <c r="AE173" i="41"/>
  <c r="AE172" i="41"/>
  <c r="AE171" i="41"/>
  <c r="AE170" i="41"/>
  <c r="AE169" i="41"/>
  <c r="AE168" i="41"/>
  <c r="AE167" i="41"/>
  <c r="AE166" i="41"/>
  <c r="AE165" i="41"/>
  <c r="AE164" i="41"/>
  <c r="AE163" i="41"/>
  <c r="AE162" i="41"/>
  <c r="AE161" i="41"/>
  <c r="AE160" i="41"/>
  <c r="AE159" i="41"/>
  <c r="AE158" i="41"/>
  <c r="AE157" i="41"/>
  <c r="AE156" i="41"/>
  <c r="AE155" i="41"/>
  <c r="AE153" i="41"/>
  <c r="AE151" i="41"/>
  <c r="AE150" i="41"/>
  <c r="AE148" i="41"/>
  <c r="AE147" i="41"/>
  <c r="AE145" i="41"/>
  <c r="AE143" i="41"/>
  <c r="AE142" i="41"/>
  <c r="AE141" i="41"/>
  <c r="AE139" i="41"/>
  <c r="AE138" i="41"/>
  <c r="AE136" i="41"/>
  <c r="AE134" i="41"/>
  <c r="AE131" i="41"/>
  <c r="AE122" i="41"/>
  <c r="AA122" i="41"/>
  <c r="AE89" i="41"/>
  <c r="AA89" i="41"/>
  <c r="AE37" i="41"/>
  <c r="AA37" i="41"/>
  <c r="AE36" i="41"/>
  <c r="AA36" i="41"/>
  <c r="AE35" i="41"/>
  <c r="AA35" i="41"/>
  <c r="AE33" i="41"/>
  <c r="AA33" i="41"/>
  <c r="AE24" i="41"/>
  <c r="Z24" i="41"/>
  <c r="AE125" i="41" s="1"/>
  <c r="AE23" i="41"/>
  <c r="AE21" i="41"/>
  <c r="Z21" i="41"/>
  <c r="AE124" i="41" s="1"/>
  <c r="AE20" i="41"/>
  <c r="AE15" i="41"/>
  <c r="AE14" i="41"/>
  <c r="AE98" i="26" l="1"/>
  <c r="AE124" i="26"/>
  <c r="AE130" i="41"/>
  <c r="AE212" i="41"/>
  <c r="AE101" i="41" s="1"/>
  <c r="AE107" i="41"/>
  <c r="AE262" i="41"/>
  <c r="AE123" i="13"/>
  <c r="AE141" i="13"/>
  <c r="AE100" i="13" s="1"/>
  <c r="AE99" i="41"/>
  <c r="AE203" i="41"/>
  <c r="AE235" i="41"/>
  <c r="AE103" i="41" s="1"/>
  <c r="AE105" i="41"/>
  <c r="AE253" i="41"/>
  <c r="AE215" i="41"/>
  <c r="AE102" i="41" s="1"/>
  <c r="AE100" i="41"/>
  <c r="AE206" i="41"/>
  <c r="AE119" i="26"/>
  <c r="AE108" i="41"/>
  <c r="AE99" i="13"/>
  <c r="AE116" i="13"/>
  <c r="AE98" i="41"/>
  <c r="AE92" i="41"/>
  <c r="AE92" i="13"/>
  <c r="AE92" i="26"/>
  <c r="AE91" i="41"/>
  <c r="AE121" i="13" l="1"/>
  <c r="AE97" i="13" s="1"/>
  <c r="AE97" i="26"/>
  <c r="AE123" i="26"/>
  <c r="AE120" i="13"/>
  <c r="AE129" i="41"/>
  <c r="AE97" i="41" s="1"/>
  <c r="AE30" i="26" l="1"/>
  <c r="AE96" i="26"/>
  <c r="AE96" i="13"/>
  <c r="AE30" i="13"/>
  <c r="AE128" i="41"/>
  <c r="AE96" i="41" s="1"/>
  <c r="AC162" i="31"/>
  <c r="AC165" i="3"/>
  <c r="AC178" i="3"/>
  <c r="AC193" i="3"/>
  <c r="AC279" i="35"/>
  <c r="AC278" i="35"/>
  <c r="AJ153" i="16"/>
  <c r="AJ154" i="16"/>
  <c r="AJ158" i="16"/>
  <c r="AJ159" i="16"/>
  <c r="AJ161" i="16"/>
  <c r="AJ162" i="16"/>
  <c r="AJ163" i="16"/>
  <c r="AJ164" i="16"/>
  <c r="AJ165" i="16"/>
  <c r="AJ166" i="16"/>
  <c r="AJ167" i="16"/>
  <c r="AJ168" i="16"/>
  <c r="AJ172" i="16"/>
  <c r="AJ176" i="16"/>
  <c r="AJ177" i="16"/>
  <c r="AJ180" i="16"/>
  <c r="AJ192" i="16"/>
  <c r="AJ203" i="16"/>
  <c r="AJ218" i="16"/>
  <c r="AJ219" i="16"/>
  <c r="AJ222" i="16"/>
  <c r="AJ223" i="16"/>
  <c r="AJ224" i="16"/>
  <c r="AJ225" i="16"/>
  <c r="AJ229" i="16"/>
  <c r="AJ230" i="16"/>
  <c r="AJ240" i="16"/>
  <c r="AJ241" i="16"/>
  <c r="AJ244" i="16"/>
  <c r="AJ245" i="16"/>
  <c r="AJ246" i="16"/>
  <c r="AJ278" i="16"/>
  <c r="AJ279" i="16"/>
  <c r="AJ281" i="16"/>
  <c r="AJ282" i="16"/>
  <c r="AJ284" i="16"/>
  <c r="AA34" i="13" l="1"/>
  <c r="AE34" i="13" s="1"/>
  <c r="AE39" i="13" s="1"/>
  <c r="AA34" i="26"/>
  <c r="AE34" i="26" s="1"/>
  <c r="AE39" i="26"/>
  <c r="AE30" i="41"/>
  <c r="AH151" i="16"/>
  <c r="AJ151" i="16" s="1"/>
  <c r="AH155" i="16"/>
  <c r="AJ155" i="16" s="1"/>
  <c r="AH156" i="16"/>
  <c r="AJ156" i="16" s="1"/>
  <c r="AH157" i="16"/>
  <c r="AJ157" i="16" s="1"/>
  <c r="AH160" i="16"/>
  <c r="AJ160" i="16" s="1"/>
  <c r="AH169" i="16"/>
  <c r="AJ169" i="16" s="1"/>
  <c r="AH170" i="16"/>
  <c r="AJ170" i="16" s="1"/>
  <c r="AH171" i="16"/>
  <c r="AJ171" i="16" s="1"/>
  <c r="AH175" i="16"/>
  <c r="AJ175" i="16" s="1"/>
  <c r="AH181" i="16"/>
  <c r="AJ181" i="16" s="1"/>
  <c r="AH182" i="16"/>
  <c r="AJ182" i="16" s="1"/>
  <c r="AH185" i="16"/>
  <c r="AJ185" i="16" s="1"/>
  <c r="AH186" i="16"/>
  <c r="AJ186" i="16" s="1"/>
  <c r="AH187" i="16"/>
  <c r="AJ187" i="16" s="1"/>
  <c r="AH188" i="16"/>
  <c r="AJ188" i="16" s="1"/>
  <c r="AH189" i="16"/>
  <c r="AJ189" i="16" s="1"/>
  <c r="AH193" i="16"/>
  <c r="AJ193" i="16" s="1"/>
  <c r="AH196" i="16"/>
  <c r="AJ196" i="16" s="1"/>
  <c r="AH197" i="16"/>
  <c r="AJ197" i="16" s="1"/>
  <c r="AH198" i="16"/>
  <c r="AJ198" i="16" s="1"/>
  <c r="AH199" i="16"/>
  <c r="AJ199" i="16" s="1"/>
  <c r="AH200" i="16"/>
  <c r="AJ200" i="16" s="1"/>
  <c r="AH201" i="16"/>
  <c r="AJ201" i="16" s="1"/>
  <c r="AH202" i="16"/>
  <c r="AJ202" i="16" s="1"/>
  <c r="AH204" i="16"/>
  <c r="AJ204" i="16" s="1"/>
  <c r="AH205" i="16"/>
  <c r="AJ205" i="16" s="1"/>
  <c r="AH206" i="16"/>
  <c r="AJ206" i="16" s="1"/>
  <c r="AH207" i="16"/>
  <c r="AJ207" i="16" s="1"/>
  <c r="AH208" i="16"/>
  <c r="AJ208" i="16" s="1"/>
  <c r="AH209" i="16"/>
  <c r="AJ209" i="16" s="1"/>
  <c r="AH210" i="16"/>
  <c r="AJ210" i="16" s="1"/>
  <c r="AH211" i="16"/>
  <c r="AJ211" i="16" s="1"/>
  <c r="AH212" i="16"/>
  <c r="AJ212" i="16" s="1"/>
  <c r="AH213" i="16"/>
  <c r="AJ213" i="16" s="1"/>
  <c r="AH214" i="16"/>
  <c r="AJ214" i="16" s="1"/>
  <c r="AH215" i="16"/>
  <c r="AJ215" i="16" s="1"/>
  <c r="AH216" i="16"/>
  <c r="AJ216" i="16" s="1"/>
  <c r="AH217" i="16"/>
  <c r="AJ217" i="16" s="1"/>
  <c r="AH220" i="16"/>
  <c r="AJ220" i="16" s="1"/>
  <c r="AH221" i="16"/>
  <c r="AJ221" i="16" s="1"/>
  <c r="AH226" i="16"/>
  <c r="AJ226" i="16" s="1"/>
  <c r="AH227" i="16"/>
  <c r="AJ227" i="16" s="1"/>
  <c r="AH228" i="16"/>
  <c r="AJ228" i="16" s="1"/>
  <c r="AH231" i="16"/>
  <c r="AJ231" i="16" s="1"/>
  <c r="AH232" i="16"/>
  <c r="AJ232" i="16" s="1"/>
  <c r="AH233" i="16"/>
  <c r="AJ233" i="16" s="1"/>
  <c r="AH234" i="16"/>
  <c r="AJ234" i="16" s="1"/>
  <c r="AH235" i="16"/>
  <c r="AJ235" i="16" s="1"/>
  <c r="AH236" i="16"/>
  <c r="AJ236" i="16" s="1"/>
  <c r="AH237" i="16"/>
  <c r="AJ237" i="16" s="1"/>
  <c r="AH238" i="16"/>
  <c r="AJ238" i="16" s="1"/>
  <c r="AH239" i="16"/>
  <c r="AJ239" i="16" s="1"/>
  <c r="AH242" i="16"/>
  <c r="AJ242" i="16" s="1"/>
  <c r="AH243" i="16"/>
  <c r="AJ243" i="16" s="1"/>
  <c r="AH247" i="16"/>
  <c r="AJ247" i="16" s="1"/>
  <c r="AH248" i="16"/>
  <c r="AJ248" i="16" s="1"/>
  <c r="AH249" i="16"/>
  <c r="AH250" i="16"/>
  <c r="AH251" i="16"/>
  <c r="AH252" i="16"/>
  <c r="AH253" i="16"/>
  <c r="AH254" i="16"/>
  <c r="AH255" i="16"/>
  <c r="AH256" i="16"/>
  <c r="AH257" i="16"/>
  <c r="AH260" i="16"/>
  <c r="AH261" i="16"/>
  <c r="AH262" i="16"/>
  <c r="AH263" i="16"/>
  <c r="AH264" i="16"/>
  <c r="AH266" i="16"/>
  <c r="AJ266" i="16" s="1"/>
  <c r="AH267" i="16"/>
  <c r="AJ267" i="16" s="1"/>
  <c r="AH268" i="16"/>
  <c r="AJ268" i="16" s="1"/>
  <c r="AH269" i="16"/>
  <c r="AJ269" i="16" s="1"/>
  <c r="AH270" i="16"/>
  <c r="AJ270" i="16" s="1"/>
  <c r="AH271" i="16"/>
  <c r="AJ271" i="16" s="1"/>
  <c r="AH272" i="16"/>
  <c r="AJ272" i="16" s="1"/>
  <c r="AH273" i="16"/>
  <c r="AJ273" i="16" s="1"/>
  <c r="AH274" i="16"/>
  <c r="AJ274" i="16" s="1"/>
  <c r="AH277" i="16"/>
  <c r="AJ277" i="16" s="1"/>
  <c r="AH280" i="16"/>
  <c r="AJ280" i="16" s="1"/>
  <c r="AH285" i="16"/>
  <c r="AJ285" i="16" s="1"/>
  <c r="AH286" i="16"/>
  <c r="AJ286" i="16" s="1"/>
  <c r="AH287" i="16"/>
  <c r="AJ287" i="16" s="1"/>
  <c r="AH288" i="16"/>
  <c r="AJ288" i="16" s="1"/>
  <c r="AH289" i="16"/>
  <c r="AJ289" i="16" s="1"/>
  <c r="AH290" i="16"/>
  <c r="AJ290" i="16" s="1"/>
  <c r="AH291" i="16"/>
  <c r="AJ291" i="16" s="1"/>
  <c r="AH293" i="16"/>
  <c r="AJ293" i="16" s="1"/>
  <c r="AH294" i="16"/>
  <c r="AJ294" i="16" s="1"/>
  <c r="AH295" i="16"/>
  <c r="AJ295" i="16" s="1"/>
  <c r="AH296" i="16"/>
  <c r="AJ296" i="16" s="1"/>
  <c r="AH297" i="16"/>
  <c r="AJ297" i="16" s="1"/>
  <c r="AH298" i="16"/>
  <c r="AJ298" i="16" s="1"/>
  <c r="AH299" i="16"/>
  <c r="AJ299" i="16" s="1"/>
  <c r="AH300" i="16"/>
  <c r="AJ300" i="16" s="1"/>
  <c r="AH301" i="16"/>
  <c r="AJ301" i="16" s="1"/>
  <c r="AH302" i="16"/>
  <c r="AH304" i="16"/>
  <c r="AJ304" i="16" s="1"/>
  <c r="AH305" i="16"/>
  <c r="AJ305" i="16" s="1"/>
  <c r="AH308" i="16"/>
  <c r="AJ308" i="16" s="1"/>
  <c r="AH309" i="16"/>
  <c r="AJ309" i="16" s="1"/>
  <c r="AH311" i="16"/>
  <c r="AJ311" i="16" s="1"/>
  <c r="AH312" i="16"/>
  <c r="AJ312" i="16" s="1"/>
  <c r="AH313" i="16"/>
  <c r="AJ313" i="16" s="1"/>
  <c r="AH316" i="16"/>
  <c r="AJ316" i="16" s="1"/>
  <c r="AH317" i="16"/>
  <c r="AJ317" i="16" s="1"/>
  <c r="AH318" i="16"/>
  <c r="AJ318" i="16" s="1"/>
  <c r="AH319" i="16"/>
  <c r="AJ319" i="16" s="1"/>
  <c r="AH320" i="16"/>
  <c r="AJ320" i="16" s="1"/>
  <c r="AH321" i="16"/>
  <c r="AJ321" i="16" s="1"/>
  <c r="AH322" i="16"/>
  <c r="AJ322" i="16" s="1"/>
  <c r="AH323" i="16"/>
  <c r="AJ323" i="16" s="1"/>
  <c r="AH324" i="16"/>
  <c r="AJ324" i="16" s="1"/>
  <c r="AH325" i="16"/>
  <c r="AJ325" i="16" s="1"/>
  <c r="AH326" i="16"/>
  <c r="AJ326" i="16" s="1"/>
  <c r="AH327" i="16"/>
  <c r="AJ327" i="16" s="1"/>
  <c r="AH328" i="16"/>
  <c r="AJ328" i="16" s="1"/>
  <c r="AH329" i="16"/>
  <c r="AJ329" i="16" s="1"/>
  <c r="AH330" i="16"/>
  <c r="AJ330" i="16" s="1"/>
  <c r="AH331" i="16"/>
  <c r="AJ331" i="16" s="1"/>
  <c r="AH332" i="16"/>
  <c r="AJ332" i="16" s="1"/>
  <c r="AH333" i="16"/>
  <c r="AJ333" i="16" s="1"/>
  <c r="AH334" i="16"/>
  <c r="AJ334" i="16" s="1"/>
  <c r="AH335" i="16"/>
  <c r="AJ335" i="16" s="1"/>
  <c r="AH336" i="16"/>
  <c r="AJ336" i="16" s="1"/>
  <c r="AH337" i="16"/>
  <c r="AJ337" i="16" s="1"/>
  <c r="AH338" i="16"/>
  <c r="AJ338" i="16" s="1"/>
  <c r="AH340" i="16"/>
  <c r="AJ340" i="16" s="1"/>
  <c r="AH341" i="16"/>
  <c r="AJ341" i="16" s="1"/>
  <c r="AH342" i="16"/>
  <c r="AJ342" i="16" s="1"/>
  <c r="AH343" i="16"/>
  <c r="AJ343" i="16" s="1"/>
  <c r="AH344" i="16"/>
  <c r="AJ344" i="16" s="1"/>
  <c r="AH345" i="16"/>
  <c r="AJ345" i="16" s="1"/>
  <c r="AH346" i="16"/>
  <c r="AJ346" i="16" s="1"/>
  <c r="AH347" i="16"/>
  <c r="AJ347" i="16" s="1"/>
  <c r="AH348" i="16"/>
  <c r="AJ348" i="16" s="1"/>
  <c r="AH349" i="16"/>
  <c r="AJ349" i="16" s="1"/>
  <c r="AH350" i="16"/>
  <c r="AJ350" i="16" s="1"/>
  <c r="AH351" i="16"/>
  <c r="AJ351" i="16" s="1"/>
  <c r="AH352" i="16"/>
  <c r="AJ352" i="16" s="1"/>
  <c r="AH353" i="16"/>
  <c r="AJ353" i="16" s="1"/>
  <c r="AH354" i="16"/>
  <c r="AJ354" i="16" s="1"/>
  <c r="AH355" i="16"/>
  <c r="AJ355" i="16" s="1"/>
  <c r="AH356" i="16"/>
  <c r="AJ356" i="16" s="1"/>
  <c r="AH357" i="16"/>
  <c r="AJ357" i="16" s="1"/>
  <c r="AH358" i="16"/>
  <c r="AJ358" i="16" s="1"/>
  <c r="AH359" i="16"/>
  <c r="AJ359" i="16" s="1"/>
  <c r="AH361" i="16"/>
  <c r="AJ361" i="16" s="1"/>
  <c r="AH362" i="16"/>
  <c r="AJ362" i="16" s="1"/>
  <c r="AH363" i="16"/>
  <c r="AJ363" i="16" s="1"/>
  <c r="AH367" i="16"/>
  <c r="AJ367" i="16" s="1"/>
  <c r="AH368" i="16"/>
  <c r="AJ368" i="16" s="1"/>
  <c r="AH369" i="16"/>
  <c r="AJ369" i="16" s="1"/>
  <c r="AH370" i="16"/>
  <c r="AJ370" i="16" s="1"/>
  <c r="AH372" i="16"/>
  <c r="AJ372" i="16" s="1"/>
  <c r="AH373" i="16"/>
  <c r="AJ373" i="16" s="1"/>
  <c r="AH374" i="16"/>
  <c r="AJ374" i="16" s="1"/>
  <c r="AH376" i="16"/>
  <c r="AJ376" i="16" s="1"/>
  <c r="AH377" i="16"/>
  <c r="AJ377" i="16" s="1"/>
  <c r="AH378" i="16"/>
  <c r="AJ378" i="16" s="1"/>
  <c r="AH380" i="16"/>
  <c r="AJ380" i="16" s="1"/>
  <c r="AH381" i="16"/>
  <c r="AJ381" i="16" s="1"/>
  <c r="AH382" i="16"/>
  <c r="AJ382" i="16" s="1"/>
  <c r="AH383" i="16"/>
  <c r="AJ383" i="16" s="1"/>
  <c r="AH384" i="16"/>
  <c r="AJ384" i="16" s="1"/>
  <c r="AH385" i="16"/>
  <c r="AJ385" i="16" s="1"/>
  <c r="AH387" i="16"/>
  <c r="AJ387" i="16" s="1"/>
  <c r="AH388" i="16"/>
  <c r="AJ388" i="16" s="1"/>
  <c r="AH389" i="16"/>
  <c r="AJ389" i="16" s="1"/>
  <c r="AH390" i="16"/>
  <c r="AJ390" i="16" s="1"/>
  <c r="AH391" i="16"/>
  <c r="AJ391" i="16" s="1"/>
  <c r="AH392" i="16"/>
  <c r="AJ392" i="16" s="1"/>
  <c r="AH393" i="16"/>
  <c r="AJ393" i="16" s="1"/>
  <c r="AH394" i="16"/>
  <c r="AJ394" i="16" s="1"/>
  <c r="AH150" i="16"/>
  <c r="AJ150" i="16" s="1"/>
  <c r="AA34" i="41" l="1"/>
  <c r="AE34" i="41" s="1"/>
  <c r="AE39" i="41" s="1"/>
  <c r="AN134" i="1"/>
  <c r="AH179" i="16"/>
  <c r="AJ179" i="16" s="1"/>
  <c r="AH183" i="16"/>
  <c r="AJ183" i="16" s="1"/>
  <c r="AH191" i="16"/>
  <c r="AJ191" i="16" s="1"/>
  <c r="AH194" i="16"/>
  <c r="AJ194" i="16" s="1"/>
  <c r="AH195" i="16"/>
  <c r="AJ195" i="16" s="1"/>
  <c r="AH190" i="16"/>
  <c r="AJ190" i="16" s="1"/>
  <c r="AD157" i="5"/>
  <c r="AC170" i="17"/>
  <c r="AC343" i="2"/>
  <c r="AC379" i="16"/>
  <c r="AC303" i="16"/>
  <c r="AC292" i="16"/>
  <c r="AH283" i="16"/>
  <c r="AJ283" i="16" s="1"/>
  <c r="AH292" i="16" l="1"/>
  <c r="AJ292" i="16" s="1"/>
  <c r="AH303" i="16"/>
  <c r="AJ303" i="16" s="1"/>
  <c r="AH379" i="16"/>
  <c r="AJ379" i="16" s="1"/>
  <c r="AH371" i="16"/>
  <c r="AJ371" i="16" s="1"/>
  <c r="AH375" i="16"/>
  <c r="AJ375" i="16" s="1"/>
  <c r="AH339" i="16"/>
  <c r="AJ339" i="16" s="1"/>
  <c r="AH386" i="16"/>
  <c r="AJ386" i="16" s="1"/>
  <c r="AE118" i="36"/>
  <c r="AA118" i="36"/>
  <c r="AE89" i="36"/>
  <c r="AA89" i="36"/>
  <c r="AE37" i="36"/>
  <c r="AA37" i="36"/>
  <c r="AE36" i="36"/>
  <c r="AA36" i="36"/>
  <c r="AE35" i="36"/>
  <c r="AA35" i="36"/>
  <c r="AE33" i="36"/>
  <c r="AA33" i="36"/>
  <c r="AE24" i="36"/>
  <c r="Z24" i="36"/>
  <c r="AE92" i="36" s="1"/>
  <c r="AE23" i="36"/>
  <c r="AE21" i="36"/>
  <c r="Z21" i="36"/>
  <c r="AE120" i="36" s="1"/>
  <c r="AE20" i="36"/>
  <c r="AE18" i="36"/>
  <c r="AE15" i="36"/>
  <c r="Z15" i="36"/>
  <c r="AE14" i="36"/>
  <c r="AE97" i="36" l="1"/>
  <c r="AE100" i="36"/>
  <c r="AE99" i="36"/>
  <c r="AE101" i="36"/>
  <c r="AE103" i="36"/>
  <c r="AE121" i="36"/>
  <c r="AE91" i="36"/>
  <c r="AE580" i="8"/>
  <c r="AE579" i="8" s="1"/>
  <c r="AE570" i="8"/>
  <c r="AE569" i="8"/>
  <c r="AE568" i="8"/>
  <c r="AE567" i="8"/>
  <c r="AE566" i="8"/>
  <c r="AE556" i="8"/>
  <c r="AE545" i="8" s="1"/>
  <c r="AE518" i="8"/>
  <c r="AE514" i="8"/>
  <c r="AE436" i="8"/>
  <c r="AE435" i="8"/>
  <c r="AE434" i="8"/>
  <c r="AE433" i="8"/>
  <c r="AE565" i="8" l="1"/>
  <c r="AE102" i="36"/>
  <c r="AE283" i="8"/>
  <c r="AE282" i="8"/>
  <c r="AE200" i="8"/>
  <c r="AE190" i="8" s="1"/>
  <c r="AE143" i="8"/>
  <c r="AE142" i="8"/>
  <c r="AE519" i="8"/>
  <c r="AE504" i="8" s="1"/>
  <c r="AE432" i="8"/>
  <c r="AE431" i="8"/>
  <c r="AE426" i="8"/>
  <c r="AE425" i="8"/>
  <c r="AE424" i="8"/>
  <c r="AE423" i="8"/>
  <c r="AE358" i="8"/>
  <c r="AE357" i="8" s="1"/>
  <c r="AE353" i="8" s="1"/>
  <c r="AE280" i="8"/>
  <c r="AE274" i="8"/>
  <c r="AE273" i="8"/>
  <c r="AE272" i="8" s="1"/>
  <c r="AE270" i="8"/>
  <c r="AE246" i="8" s="1"/>
  <c r="AE102" i="8"/>
  <c r="AE167" i="8"/>
  <c r="AE165" i="8"/>
  <c r="AE157" i="8"/>
  <c r="AA157" i="8"/>
  <c r="AE89" i="8"/>
  <c r="AA89" i="8"/>
  <c r="AE37" i="8"/>
  <c r="AA37" i="8"/>
  <c r="AE36" i="8"/>
  <c r="AA36" i="8"/>
  <c r="AE35" i="8"/>
  <c r="AA35" i="8"/>
  <c r="AE33" i="8"/>
  <c r="AA33" i="8"/>
  <c r="AE24" i="8"/>
  <c r="Z24" i="8"/>
  <c r="AE160" i="8" s="1"/>
  <c r="AE23" i="8"/>
  <c r="AE21" i="8"/>
  <c r="Z21" i="8"/>
  <c r="AE91" i="8" s="1"/>
  <c r="AE20" i="8"/>
  <c r="AE15" i="8"/>
  <c r="Z15" i="8"/>
  <c r="AE14" i="8"/>
  <c r="AE205" i="8" l="1"/>
  <c r="AE164" i="8"/>
  <c r="AE279" i="8"/>
  <c r="AE275" i="8" s="1"/>
  <c r="AE422" i="8"/>
  <c r="AE430" i="8"/>
  <c r="AE98" i="36"/>
  <c r="AE116" i="8"/>
  <c r="AE122" i="8"/>
  <c r="AE126" i="8"/>
  <c r="AE100" i="8"/>
  <c r="AE106" i="8"/>
  <c r="AE112" i="8"/>
  <c r="AE101" i="8"/>
  <c r="AE104" i="8"/>
  <c r="AE111" i="8"/>
  <c r="AE114" i="8"/>
  <c r="AE139" i="8"/>
  <c r="AE105" i="8"/>
  <c r="AE108" i="8"/>
  <c r="AE117" i="8"/>
  <c r="AE118" i="8"/>
  <c r="AE130" i="8"/>
  <c r="AE138" i="8"/>
  <c r="AE127" i="8"/>
  <c r="AE131" i="8"/>
  <c r="AE134" i="8"/>
  <c r="AE136" i="8"/>
  <c r="AE140" i="8"/>
  <c r="AE132" i="8"/>
  <c r="AE137" i="8"/>
  <c r="AE120" i="8"/>
  <c r="AE124" i="8"/>
  <c r="AE113" i="8"/>
  <c r="AE119" i="8"/>
  <c r="AE128" i="8"/>
  <c r="AE98" i="8"/>
  <c r="AE92" i="8"/>
  <c r="AE159" i="8"/>
  <c r="AE302" i="16"/>
  <c r="AH265" i="16"/>
  <c r="AE264" i="16"/>
  <c r="AE263" i="16"/>
  <c r="AE262" i="16"/>
  <c r="AE261" i="16"/>
  <c r="AE257" i="16"/>
  <c r="AE256" i="16"/>
  <c r="AE255" i="16"/>
  <c r="AE252" i="16"/>
  <c r="AE249" i="16"/>
  <c r="AE412" i="8" l="1"/>
  <c r="AE163" i="8" s="1"/>
  <c r="AE125" i="8"/>
  <c r="AE96" i="36"/>
  <c r="AE30" i="36"/>
  <c r="AA34" i="36" s="1"/>
  <c r="AE109" i="8"/>
  <c r="AE110" i="8"/>
  <c r="AE121" i="8"/>
  <c r="AE103" i="8"/>
  <c r="AE99" i="8"/>
  <c r="AE135" i="8"/>
  <c r="AE129" i="8"/>
  <c r="AE133" i="8"/>
  <c r="AE123" i="8"/>
  <c r="AE107" i="8"/>
  <c r="AE234" i="31"/>
  <c r="AE242" i="31"/>
  <c r="AC241" i="31"/>
  <c r="AE219" i="31"/>
  <c r="AE212" i="31"/>
  <c r="AE207" i="31"/>
  <c r="AE174" i="31"/>
  <c r="AE162" i="31"/>
  <c r="AE161" i="31" s="1"/>
  <c r="AE160" i="31"/>
  <c r="AE143" i="31"/>
  <c r="AE142" i="31" s="1"/>
  <c r="AE139" i="31"/>
  <c r="AE138" i="31"/>
  <c r="AE136" i="31"/>
  <c r="AE135" i="31"/>
  <c r="AE134" i="31"/>
  <c r="AE133" i="31"/>
  <c r="AE240" i="31"/>
  <c r="AE239" i="31"/>
  <c r="AE238" i="31"/>
  <c r="AE237" i="31"/>
  <c r="AE236" i="31"/>
  <c r="AE233" i="31"/>
  <c r="AE232" i="31"/>
  <c r="AE231" i="31"/>
  <c r="AE230" i="31"/>
  <c r="AE225" i="31"/>
  <c r="AE224" i="31"/>
  <c r="AE223" i="31"/>
  <c r="AE222" i="31"/>
  <c r="AE221" i="31"/>
  <c r="AE217" i="31"/>
  <c r="AE213" i="31"/>
  <c r="AE211" i="31"/>
  <c r="AE210" i="31"/>
  <c r="AE208" i="31"/>
  <c r="AE206" i="31"/>
  <c r="AE205" i="31"/>
  <c r="AE203" i="31"/>
  <c r="AE202" i="31"/>
  <c r="AE201" i="31"/>
  <c r="AE198" i="31"/>
  <c r="AE194" i="31"/>
  <c r="AE176" i="31"/>
  <c r="AE175" i="31"/>
  <c r="AE169" i="31"/>
  <c r="AE168" i="31"/>
  <c r="AE167" i="31"/>
  <c r="AE166" i="31"/>
  <c r="AE165" i="31"/>
  <c r="AE159" i="31"/>
  <c r="AE152" i="31"/>
  <c r="AE151" i="31"/>
  <c r="AE149" i="31"/>
  <c r="AE148" i="31"/>
  <c r="AE146" i="31"/>
  <c r="AE141" i="31"/>
  <c r="AE124" i="31"/>
  <c r="AA124" i="31"/>
  <c r="AE89" i="31"/>
  <c r="AA89" i="31"/>
  <c r="AE37" i="31"/>
  <c r="AA37" i="31"/>
  <c r="AE36" i="31"/>
  <c r="AA36" i="31"/>
  <c r="AE35" i="31"/>
  <c r="AA35" i="31"/>
  <c r="AE33" i="31"/>
  <c r="AA33" i="31"/>
  <c r="AE24" i="31"/>
  <c r="Z24" i="31"/>
  <c r="AE92" i="31" s="1"/>
  <c r="AE23" i="31"/>
  <c r="AE21" i="31"/>
  <c r="Z21" i="31"/>
  <c r="AE126" i="31" s="1"/>
  <c r="AE20" i="31"/>
  <c r="AE15" i="31"/>
  <c r="Z15" i="31"/>
  <c r="AE14" i="31"/>
  <c r="AE166" i="17"/>
  <c r="AE165" i="17" s="1"/>
  <c r="AE264" i="17"/>
  <c r="AE263" i="17"/>
  <c r="AE262" i="17" s="1"/>
  <c r="AE261" i="17"/>
  <c r="AE257" i="17"/>
  <c r="AE256" i="17"/>
  <c r="AE255" i="17"/>
  <c r="AE254" i="17"/>
  <c r="AE253" i="17"/>
  <c r="AE252" i="17"/>
  <c r="AE251" i="17"/>
  <c r="AE250" i="17"/>
  <c r="AE249" i="17"/>
  <c r="AE248" i="17"/>
  <c r="AE247" i="17"/>
  <c r="AE239" i="17"/>
  <c r="AE238" i="17"/>
  <c r="AE237" i="17"/>
  <c r="AE236" i="17"/>
  <c r="AE235" i="17"/>
  <c r="AE233" i="17"/>
  <c r="AC232" i="17"/>
  <c r="AC231" i="17"/>
  <c r="AC230" i="17"/>
  <c r="AC223" i="17"/>
  <c r="AC220" i="17"/>
  <c r="AC219" i="17"/>
  <c r="AC218" i="17"/>
  <c r="AC212" i="17"/>
  <c r="AC211" i="17"/>
  <c r="AC210" i="17"/>
  <c r="AC209" i="17"/>
  <c r="AC207" i="17"/>
  <c r="AC205" i="17"/>
  <c r="AE204" i="17"/>
  <c r="AE203" i="17"/>
  <c r="AE202" i="17"/>
  <c r="AC200" i="17"/>
  <c r="AC199" i="17"/>
  <c r="AC198" i="17"/>
  <c r="AC197" i="17"/>
  <c r="AC196" i="17"/>
  <c r="AC195" i="17"/>
  <c r="AC194" i="17"/>
  <c r="AE192" i="17"/>
  <c r="AE187" i="17"/>
  <c r="AE186" i="17"/>
  <c r="AE185" i="17"/>
  <c r="AC179" i="17"/>
  <c r="AC178" i="17"/>
  <c r="AC177" i="17"/>
  <c r="AC176" i="17"/>
  <c r="AC175" i="17"/>
  <c r="AC173" i="17"/>
  <c r="AC172" i="17"/>
  <c r="AE172" i="17" s="1"/>
  <c r="AE170" i="17"/>
  <c r="AE164" i="17"/>
  <c r="AE163" i="17"/>
  <c r="AE162" i="17"/>
  <c r="AE161" i="17"/>
  <c r="AE160" i="17"/>
  <c r="AE159" i="17" s="1"/>
  <c r="AE157" i="17"/>
  <c r="AE156" i="17"/>
  <c r="AE155" i="17"/>
  <c r="AE154" i="17"/>
  <c r="AE153" i="17" s="1"/>
  <c r="AE152" i="17"/>
  <c r="AE151" i="17"/>
  <c r="AE150" i="17"/>
  <c r="AE149" i="17"/>
  <c r="AE148" i="17"/>
  <c r="AE147" i="17"/>
  <c r="AE146" i="17"/>
  <c r="AE144" i="17"/>
  <c r="AC139" i="17"/>
  <c r="AC138" i="17"/>
  <c r="AC137" i="17"/>
  <c r="AE135" i="17"/>
  <c r="AE134" i="17"/>
  <c r="AE246" i="17"/>
  <c r="AE245" i="17"/>
  <c r="AE244" i="17"/>
  <c r="AE243" i="17"/>
  <c r="AE242" i="17"/>
  <c r="AE241" i="17"/>
  <c r="AE240" i="17"/>
  <c r="AE222" i="17"/>
  <c r="AE221" i="17"/>
  <c r="AE217" i="17"/>
  <c r="AE216" i="17"/>
  <c r="AE215" i="17"/>
  <c r="AE214" i="17"/>
  <c r="AE213" i="17"/>
  <c r="AE208" i="17"/>
  <c r="AE206" i="17"/>
  <c r="AE201" i="17"/>
  <c r="AE191" i="17"/>
  <c r="AE189" i="17"/>
  <c r="AE188" i="17"/>
  <c r="AE184" i="17"/>
  <c r="AE183" i="17"/>
  <c r="AE182" i="17"/>
  <c r="AE181" i="17"/>
  <c r="AE180" i="17"/>
  <c r="AE176" i="17"/>
  <c r="AE175" i="17"/>
  <c r="AE142" i="17"/>
  <c r="AE141" i="17"/>
  <c r="AE140" i="17"/>
  <c r="AE136" i="17"/>
  <c r="AE133" i="17"/>
  <c r="AE132" i="17"/>
  <c r="AE123" i="17"/>
  <c r="AA123" i="17"/>
  <c r="AE89" i="17"/>
  <c r="AA89" i="17"/>
  <c r="AE37" i="17"/>
  <c r="AA37" i="17"/>
  <c r="AE36" i="17"/>
  <c r="AA36" i="17"/>
  <c r="AE35" i="17"/>
  <c r="AA35" i="17"/>
  <c r="AE33" i="17"/>
  <c r="AA33" i="17"/>
  <c r="AE24" i="17"/>
  <c r="Z24" i="17"/>
  <c r="AE126" i="17" s="1"/>
  <c r="AE23" i="17"/>
  <c r="AE21" i="17"/>
  <c r="Z21" i="17"/>
  <c r="AE91" i="17" s="1"/>
  <c r="AE20" i="17"/>
  <c r="AE15" i="17"/>
  <c r="Z15" i="17"/>
  <c r="AE14" i="17"/>
  <c r="AC158" i="3"/>
  <c r="AC212" i="3"/>
  <c r="AC204" i="3"/>
  <c r="AE204" i="3" s="1"/>
  <c r="AC190" i="3"/>
  <c r="AE190" i="3" s="1"/>
  <c r="AC179" i="3"/>
  <c r="AC177" i="3"/>
  <c r="AC175" i="3"/>
  <c r="AE175" i="3" s="1"/>
  <c r="AE162" i="3"/>
  <c r="AE161" i="3"/>
  <c r="AC164" i="3"/>
  <c r="AC163" i="3"/>
  <c r="AE163" i="3" s="1"/>
  <c r="AC156" i="3"/>
  <c r="AE156" i="3" s="1"/>
  <c r="AE155" i="3"/>
  <c r="AE152" i="3"/>
  <c r="AE144" i="3"/>
  <c r="AE141" i="3"/>
  <c r="AC139" i="3"/>
  <c r="AE139" i="3" s="1"/>
  <c r="AC138" i="3"/>
  <c r="AE138" i="3" s="1"/>
  <c r="AC136" i="3"/>
  <c r="AE136" i="3" s="1"/>
  <c r="AC135" i="3"/>
  <c r="AE135" i="3" s="1"/>
  <c r="AC134" i="3"/>
  <c r="AE134" i="3" s="1"/>
  <c r="AC133" i="3"/>
  <c r="AE133" i="3" s="1"/>
  <c r="AE255" i="3"/>
  <c r="AE254" i="3"/>
  <c r="AE253" i="3" s="1"/>
  <c r="AE252" i="3"/>
  <c r="AE251" i="3"/>
  <c r="AE250" i="3"/>
  <c r="AE249" i="3"/>
  <c r="AE248" i="3"/>
  <c r="AE247" i="3"/>
  <c r="AE246" i="3"/>
  <c r="AE245" i="3"/>
  <c r="AE244" i="3"/>
  <c r="AE243" i="3"/>
  <c r="AE242" i="3"/>
  <c r="AE241" i="3"/>
  <c r="AE240" i="3"/>
  <c r="AE239" i="3"/>
  <c r="AE238" i="3"/>
  <c r="AE237" i="3"/>
  <c r="AE236" i="3"/>
  <c r="AE235" i="3"/>
  <c r="AE234" i="3"/>
  <c r="AE233" i="3"/>
  <c r="AE232" i="3"/>
  <c r="AE231" i="3"/>
  <c r="AE230" i="3"/>
  <c r="AE229" i="3"/>
  <c r="AE228" i="3"/>
  <c r="AE227" i="3" s="1"/>
  <c r="AE226" i="3"/>
  <c r="AE220" i="3"/>
  <c r="AE219" i="3"/>
  <c r="AE218" i="3"/>
  <c r="AE212" i="3"/>
  <c r="AE211" i="3"/>
  <c r="AE210" i="3"/>
  <c r="AE209" i="3"/>
  <c r="AE208" i="3"/>
  <c r="AE207" i="3"/>
  <c r="AE206" i="3"/>
  <c r="AE205" i="3"/>
  <c r="AE203" i="3"/>
  <c r="AE202" i="3"/>
  <c r="AE201" i="3"/>
  <c r="AE200" i="3"/>
  <c r="AE199" i="3"/>
  <c r="AE198" i="3"/>
  <c r="AE197" i="3"/>
  <c r="AE196" i="3"/>
  <c r="AE195" i="3"/>
  <c r="AE194" i="3"/>
  <c r="AE193" i="3"/>
  <c r="AE192" i="3"/>
  <c r="AE191" i="3"/>
  <c r="AE189" i="3"/>
  <c r="AE188" i="3"/>
  <c r="AE187" i="3"/>
  <c r="AE186" i="3"/>
  <c r="AE184" i="3"/>
  <c r="AE183" i="3"/>
  <c r="AE182" i="3"/>
  <c r="AE181" i="3"/>
  <c r="AE180" i="3"/>
  <c r="AE179" i="3"/>
  <c r="AE178" i="3"/>
  <c r="AE177" i="3"/>
  <c r="AE176" i="3"/>
  <c r="AE174" i="3"/>
  <c r="AE173" i="3"/>
  <c r="AE172" i="3"/>
  <c r="AE171" i="3"/>
  <c r="AE169" i="3"/>
  <c r="AE167" i="3"/>
  <c r="AE166" i="3" s="1"/>
  <c r="AE165" i="3"/>
  <c r="AE164" i="3"/>
  <c r="AE158" i="3"/>
  <c r="AE157" i="3" s="1"/>
  <c r="AE154" i="3"/>
  <c r="AE153" i="3"/>
  <c r="AE151" i="3"/>
  <c r="AE150" i="3"/>
  <c r="AE149" i="3"/>
  <c r="AE148" i="3" s="1"/>
  <c r="AE147" i="3"/>
  <c r="AE146" i="3"/>
  <c r="AE124" i="3"/>
  <c r="AA124" i="3"/>
  <c r="AE89" i="3"/>
  <c r="AA89" i="3"/>
  <c r="AE37" i="3"/>
  <c r="AA37" i="3"/>
  <c r="AE36" i="3"/>
  <c r="AA36" i="3"/>
  <c r="AE35" i="3"/>
  <c r="AA35" i="3"/>
  <c r="AE33" i="3"/>
  <c r="AA33" i="3"/>
  <c r="AE24" i="3"/>
  <c r="Z24" i="3"/>
  <c r="AE127" i="3" s="1"/>
  <c r="AE23" i="3"/>
  <c r="AE21" i="3"/>
  <c r="Z21" i="3"/>
  <c r="AE91" i="3" s="1"/>
  <c r="AE20" i="3"/>
  <c r="AE15" i="3"/>
  <c r="Z15" i="3"/>
  <c r="AE14" i="3"/>
  <c r="AE185" i="3" l="1"/>
  <c r="AE132" i="3"/>
  <c r="AE137" i="3"/>
  <c r="AE99" i="3" s="1"/>
  <c r="AE145" i="31"/>
  <c r="AE160" i="3"/>
  <c r="AE143" i="17"/>
  <c r="AE99" i="17" s="1"/>
  <c r="AE100" i="3"/>
  <c r="AE140" i="3"/>
  <c r="AE145" i="17"/>
  <c r="AE234" i="17"/>
  <c r="AE170" i="3"/>
  <c r="AE143" i="3"/>
  <c r="AE131" i="3" s="1"/>
  <c r="AE132" i="31"/>
  <c r="AE137" i="31"/>
  <c r="AE164" i="31"/>
  <c r="AE110" i="3"/>
  <c r="AE98" i="3"/>
  <c r="AE101" i="31"/>
  <c r="AE140" i="31"/>
  <c r="AE100" i="31" s="1"/>
  <c r="AE99" i="31"/>
  <c r="AE98" i="31"/>
  <c r="AE101" i="3"/>
  <c r="AE106" i="3"/>
  <c r="AE102" i="3"/>
  <c r="AE154" i="31"/>
  <c r="AE153" i="31"/>
  <c r="AE177" i="31"/>
  <c r="AE157" i="31"/>
  <c r="AE158" i="31"/>
  <c r="AE171" i="31"/>
  <c r="AE178" i="31"/>
  <c r="AE228" i="31"/>
  <c r="AE200" i="31"/>
  <c r="AE155" i="31"/>
  <c r="AE172" i="31"/>
  <c r="AE193" i="31"/>
  <c r="AE229" i="31"/>
  <c r="AE241" i="31"/>
  <c r="AE102" i="31"/>
  <c r="AE156" i="31"/>
  <c r="AE199" i="31"/>
  <c r="AE195" i="31" s="1"/>
  <c r="AE215" i="31"/>
  <c r="AE235" i="31"/>
  <c r="AE200" i="17"/>
  <c r="AE220" i="17"/>
  <c r="AE232" i="17"/>
  <c r="AE139" i="17"/>
  <c r="AE197" i="17"/>
  <c r="AE207" i="17"/>
  <c r="AE212" i="17"/>
  <c r="AE223" i="17"/>
  <c r="AE138" i="17"/>
  <c r="AE169" i="17"/>
  <c r="AE168" i="17" s="1"/>
  <c r="AE211" i="17"/>
  <c r="AE179" i="17"/>
  <c r="AE173" i="17"/>
  <c r="AE171" i="17" s="1"/>
  <c r="AE177" i="17"/>
  <c r="AE194" i="17"/>
  <c r="AE198" i="17"/>
  <c r="AE209" i="17"/>
  <c r="AE218" i="17"/>
  <c r="AE230" i="17"/>
  <c r="AE196" i="17"/>
  <c r="AE205" i="17"/>
  <c r="AE137" i="17"/>
  <c r="AE131" i="17" s="1"/>
  <c r="AE130" i="17" s="1"/>
  <c r="AE100" i="17"/>
  <c r="AE101" i="17"/>
  <c r="AE102" i="17"/>
  <c r="AE174" i="17"/>
  <c r="AE178" i="17"/>
  <c r="AE195" i="17"/>
  <c r="AE199" i="17"/>
  <c r="AE210" i="17"/>
  <c r="AE219" i="17"/>
  <c r="AE231" i="17"/>
  <c r="AE109" i="3"/>
  <c r="AN129" i="1"/>
  <c r="AE34" i="36"/>
  <c r="AE39" i="36" s="1"/>
  <c r="AE107" i="3"/>
  <c r="AE108" i="3"/>
  <c r="AE108" i="17"/>
  <c r="AE105" i="3"/>
  <c r="AE115" i="8"/>
  <c r="AE97" i="8"/>
  <c r="AE109" i="17"/>
  <c r="AE104" i="31"/>
  <c r="AE91" i="31"/>
  <c r="AE103" i="17"/>
  <c r="AE92" i="17"/>
  <c r="AE125" i="17"/>
  <c r="AE103" i="3"/>
  <c r="AE92" i="3"/>
  <c r="AC317" i="35"/>
  <c r="AE305" i="35"/>
  <c r="AE304" i="35"/>
  <c r="AE301" i="35"/>
  <c r="AE300" i="35"/>
  <c r="AC296" i="35"/>
  <c r="AE295" i="35"/>
  <c r="AE294" i="35"/>
  <c r="AE293" i="35"/>
  <c r="AE292" i="35"/>
  <c r="AE291" i="35"/>
  <c r="AE290" i="35"/>
  <c r="AC288" i="35"/>
  <c r="AC285" i="35"/>
  <c r="AC284" i="35"/>
  <c r="AC280" i="35"/>
  <c r="AC271" i="35"/>
  <c r="AC270" i="35"/>
  <c r="AC258" i="35"/>
  <c r="AC256" i="35"/>
  <c r="AC253" i="35"/>
  <c r="AC229" i="35"/>
  <c r="AC228" i="35"/>
  <c r="AC213" i="35"/>
  <c r="AC212" i="35"/>
  <c r="AC199" i="35"/>
  <c r="AC198" i="35"/>
  <c r="AE193" i="35"/>
  <c r="AE192" i="35"/>
  <c r="AE191" i="35"/>
  <c r="AE190" i="35"/>
  <c r="AE187" i="35"/>
  <c r="AE186" i="35"/>
  <c r="AC181" i="35"/>
  <c r="AC180" i="35"/>
  <c r="AE165" i="35"/>
  <c r="AE164" i="35"/>
  <c r="AC161" i="35"/>
  <c r="AC160" i="35"/>
  <c r="AC159" i="35"/>
  <c r="AC158" i="35"/>
  <c r="AE157" i="35"/>
  <c r="AE156" i="35"/>
  <c r="AC155" i="35"/>
  <c r="AC154" i="35"/>
  <c r="AC153" i="35"/>
  <c r="AC152" i="35"/>
  <c r="AC133" i="35"/>
  <c r="AC132" i="35"/>
  <c r="AC131" i="35"/>
  <c r="AC130" i="35"/>
  <c r="AE129" i="35"/>
  <c r="AE128" i="35"/>
  <c r="AE167" i="17" l="1"/>
  <c r="AE129" i="17" s="1"/>
  <c r="AE193" i="17"/>
  <c r="AE170" i="31"/>
  <c r="AE106" i="17"/>
  <c r="AE98" i="17"/>
  <c r="AE220" i="31"/>
  <c r="AE159" i="3"/>
  <c r="AE130" i="3" s="1"/>
  <c r="AE173" i="31"/>
  <c r="AE163" i="31" s="1"/>
  <c r="AE150" i="31"/>
  <c r="AE131" i="31" s="1"/>
  <c r="AE106" i="31"/>
  <c r="AE108" i="31"/>
  <c r="AE109" i="31"/>
  <c r="AE107" i="17"/>
  <c r="AE107" i="31"/>
  <c r="AE110" i="31"/>
  <c r="AE97" i="17"/>
  <c r="AE104" i="3"/>
  <c r="AE96" i="8"/>
  <c r="AE30" i="8"/>
  <c r="AE105" i="17"/>
  <c r="AE324" i="35"/>
  <c r="AE323" i="35"/>
  <c r="AE322" i="35"/>
  <c r="AE321" i="35"/>
  <c r="AE320" i="35"/>
  <c r="AE319" i="35"/>
  <c r="AE318" i="35"/>
  <c r="AE317" i="35"/>
  <c r="AE315" i="35"/>
  <c r="AE314" i="35"/>
  <c r="AE313" i="35"/>
  <c r="AE312" i="35"/>
  <c r="AE311" i="35"/>
  <c r="AE310" i="35"/>
  <c r="AE309" i="35"/>
  <c r="AE308" i="35"/>
  <c r="AE307" i="35"/>
  <c r="AE306" i="35"/>
  <c r="AE303" i="35"/>
  <c r="AE302" i="35"/>
  <c r="AE299" i="35"/>
  <c r="AE298" i="35"/>
  <c r="AE297" i="35"/>
  <c r="AE296" i="35"/>
  <c r="AE289" i="35"/>
  <c r="AE288" i="35"/>
  <c r="AE287" i="35"/>
  <c r="AE286" i="35"/>
  <c r="AE285" i="35"/>
  <c r="AE284" i="35"/>
  <c r="AE283" i="35"/>
  <c r="AE282" i="35"/>
  <c r="AE281" i="35"/>
  <c r="AE280" i="35"/>
  <c r="AE279" i="35"/>
  <c r="AE278" i="35"/>
  <c r="AE277" i="35"/>
  <c r="AE276" i="35"/>
  <c r="AE275" i="35"/>
  <c r="AE274" i="35"/>
  <c r="AE273" i="35"/>
  <c r="AE272" i="35"/>
  <c r="AE271" i="35"/>
  <c r="AE270" i="35"/>
  <c r="AE269" i="35"/>
  <c r="AE268" i="35"/>
  <c r="AE265" i="35"/>
  <c r="AE264" i="35"/>
  <c r="AE262" i="35"/>
  <c r="AE261" i="35"/>
  <c r="AE260" i="35"/>
  <c r="AE258" i="35"/>
  <c r="AE257" i="35"/>
  <c r="AE256" i="35"/>
  <c r="AE254" i="35"/>
  <c r="AE253" i="35"/>
  <c r="AE251" i="35"/>
  <c r="AE250" i="35"/>
  <c r="AE249" i="35"/>
  <c r="AE247" i="35"/>
  <c r="AE246" i="35"/>
  <c r="AE245" i="35"/>
  <c r="AE243" i="35"/>
  <c r="AE242" i="35"/>
  <c r="AE241" i="35"/>
  <c r="AE240" i="35"/>
  <c r="AE239" i="35"/>
  <c r="AE238" i="35"/>
  <c r="AE237" i="35"/>
  <c r="AE235" i="35"/>
  <c r="AE234" i="35"/>
  <c r="AE233" i="35"/>
  <c r="AE232" i="35"/>
  <c r="AE231" i="35"/>
  <c r="AE230" i="35"/>
  <c r="AE229" i="35"/>
  <c r="AE228" i="35"/>
  <c r="AE227" i="35"/>
  <c r="AE226" i="35"/>
  <c r="AE225" i="35"/>
  <c r="AE224" i="35"/>
  <c r="AE223" i="35"/>
  <c r="AE222" i="35"/>
  <c r="AE221" i="35"/>
  <c r="AE220" i="35"/>
  <c r="AE219" i="35"/>
  <c r="AE218" i="35"/>
  <c r="AE217" i="35"/>
  <c r="AE216" i="35"/>
  <c r="AE215" i="35"/>
  <c r="AE214" i="35"/>
  <c r="AE213" i="35"/>
  <c r="AE212" i="35"/>
  <c r="AE211" i="35"/>
  <c r="AE210" i="35"/>
  <c r="AE209" i="35"/>
  <c r="AE208" i="35"/>
  <c r="AE207" i="35"/>
  <c r="AE206" i="35"/>
  <c r="AE205" i="35"/>
  <c r="AE204" i="35"/>
  <c r="AE203" i="35"/>
  <c r="AE202" i="35"/>
  <c r="AE201" i="35"/>
  <c r="AE200" i="35"/>
  <c r="AE199" i="35"/>
  <c r="AE198" i="35"/>
  <c r="AE197" i="35"/>
  <c r="AE196" i="35"/>
  <c r="AE195" i="35"/>
  <c r="AE194" i="35"/>
  <c r="AE189" i="35"/>
  <c r="AE188" i="35"/>
  <c r="AE185" i="35"/>
  <c r="AE184" i="35"/>
  <c r="AE183" i="35"/>
  <c r="AE182" i="35"/>
  <c r="AE181" i="35"/>
  <c r="AE180" i="35"/>
  <c r="AE179" i="35"/>
  <c r="AE178" i="35"/>
  <c r="AE177" i="35"/>
  <c r="AE176" i="35"/>
  <c r="AE175" i="35"/>
  <c r="AE174" i="35"/>
  <c r="AE173" i="35"/>
  <c r="AE172" i="35"/>
  <c r="AE171" i="35"/>
  <c r="AE170" i="35"/>
  <c r="AE169" i="35"/>
  <c r="AE168" i="35"/>
  <c r="AE167" i="35"/>
  <c r="AE166" i="35"/>
  <c r="AE163" i="35"/>
  <c r="AE162" i="35"/>
  <c r="AE161" i="35"/>
  <c r="AE160" i="35"/>
  <c r="AE159" i="35"/>
  <c r="AE158" i="35"/>
  <c r="AE155" i="35"/>
  <c r="AE154" i="35"/>
  <c r="AE153" i="35"/>
  <c r="AE152" i="35"/>
  <c r="AE151" i="35"/>
  <c r="AE150" i="35"/>
  <c r="AE149" i="35"/>
  <c r="AE148" i="35"/>
  <c r="AE147" i="35"/>
  <c r="AE146" i="35"/>
  <c r="AE145" i="35"/>
  <c r="AE144" i="35"/>
  <c r="AE143" i="35"/>
  <c r="AE142" i="35"/>
  <c r="AE141" i="35"/>
  <c r="AE140" i="35"/>
  <c r="AE139" i="35"/>
  <c r="AE138" i="35"/>
  <c r="AE137" i="35"/>
  <c r="AE136" i="35"/>
  <c r="AE135" i="35"/>
  <c r="AE134" i="35"/>
  <c r="AE133" i="35"/>
  <c r="AE132" i="35"/>
  <c r="AE131" i="35"/>
  <c r="AE130" i="35"/>
  <c r="AE127" i="35"/>
  <c r="AE126" i="35"/>
  <c r="AE125" i="35"/>
  <c r="AE124" i="35"/>
  <c r="AE123" i="35"/>
  <c r="AE122" i="35"/>
  <c r="AE119" i="35" s="1"/>
  <c r="AE112" i="35"/>
  <c r="AA112" i="35"/>
  <c r="AE89" i="35"/>
  <c r="AA89" i="35"/>
  <c r="AE37" i="35"/>
  <c r="AA37" i="35"/>
  <c r="AE36" i="35"/>
  <c r="AA36" i="35"/>
  <c r="AE35" i="35"/>
  <c r="AA35" i="35"/>
  <c r="AE33" i="35"/>
  <c r="AA33" i="35"/>
  <c r="AE24" i="35"/>
  <c r="Z24" i="35"/>
  <c r="AE92" i="35" s="1"/>
  <c r="AE23" i="35"/>
  <c r="AE21" i="35"/>
  <c r="Z21" i="35"/>
  <c r="AE114" i="35" s="1"/>
  <c r="AE20" i="35"/>
  <c r="AE15" i="35"/>
  <c r="Z15" i="35"/>
  <c r="AE14" i="35"/>
  <c r="AE316" i="35" l="1"/>
  <c r="AE118" i="35"/>
  <c r="AE130" i="31"/>
  <c r="AN101" i="1"/>
  <c r="AA34" i="8"/>
  <c r="AE98" i="35"/>
  <c r="AE103" i="31"/>
  <c r="AE104" i="17"/>
  <c r="AE105" i="31"/>
  <c r="AE97" i="31"/>
  <c r="AE30" i="3"/>
  <c r="AA34" i="3" s="1"/>
  <c r="AE97" i="3"/>
  <c r="AE34" i="8"/>
  <c r="AE39" i="8" s="1"/>
  <c r="AE91" i="35"/>
  <c r="AE115" i="35"/>
  <c r="AE96" i="35" l="1"/>
  <c r="AE30" i="17"/>
  <c r="AE30" i="31"/>
  <c r="AE96" i="3"/>
  <c r="AE96" i="17"/>
  <c r="AN96" i="1"/>
  <c r="AE34" i="3"/>
  <c r="AE39" i="3" s="1"/>
  <c r="AE97" i="35"/>
  <c r="AC320" i="20"/>
  <c r="AC319" i="20"/>
  <c r="AC318" i="20"/>
  <c r="AC317" i="20"/>
  <c r="AE317" i="20" s="1"/>
  <c r="AC315" i="20"/>
  <c r="AE315" i="20" s="1"/>
  <c r="AC314" i="20"/>
  <c r="AE314" i="20" s="1"/>
  <c r="AC312" i="20"/>
  <c r="AE312" i="20" s="1"/>
  <c r="AC310" i="20"/>
  <c r="AE310" i="20" s="1"/>
  <c r="AC311" i="20"/>
  <c r="AE311" i="20" s="1"/>
  <c r="AC308" i="20"/>
  <c r="AC307" i="20"/>
  <c r="AC306" i="20"/>
  <c r="AE306" i="20" s="1"/>
  <c r="AE304" i="20"/>
  <c r="AE303" i="20"/>
  <c r="AE302" i="20"/>
  <c r="AE294" i="20"/>
  <c r="AE293" i="20"/>
  <c r="AC285" i="20"/>
  <c r="AE284" i="20"/>
  <c r="AE283" i="20"/>
  <c r="AC280" i="20"/>
  <c r="AC279" i="20"/>
  <c r="AE275" i="20"/>
  <c r="AC274" i="20"/>
  <c r="AE274" i="20" s="1"/>
  <c r="AC273" i="20"/>
  <c r="AE265" i="20"/>
  <c r="AE264" i="20"/>
  <c r="AC263" i="20"/>
  <c r="AE263" i="20" s="1"/>
  <c r="AE257" i="20"/>
  <c r="AE256" i="20"/>
  <c r="AC255" i="20"/>
  <c r="AE255" i="20" s="1"/>
  <c r="AE253" i="20"/>
  <c r="AC252" i="20"/>
  <c r="AE252" i="20" s="1"/>
  <c r="AC251" i="20"/>
  <c r="AC250" i="20"/>
  <c r="AE250" i="20" s="1"/>
  <c r="AC249" i="20"/>
  <c r="AE249" i="20" s="1"/>
  <c r="AE248" i="20"/>
  <c r="AE247" i="20"/>
  <c r="AE246" i="20"/>
  <c r="AE245" i="20"/>
  <c r="AC242" i="20"/>
  <c r="AC241" i="20"/>
  <c r="AE232" i="20"/>
  <c r="AE231" i="20"/>
  <c r="AE230" i="20"/>
  <c r="AE229" i="20"/>
  <c r="AE228" i="20"/>
  <c r="AE227" i="20"/>
  <c r="AE226" i="20"/>
  <c r="AE225" i="20"/>
  <c r="AC222" i="20"/>
  <c r="AE222" i="20" s="1"/>
  <c r="AC221" i="20"/>
  <c r="AE221" i="20" s="1"/>
  <c r="AC206" i="20"/>
  <c r="AE206" i="20" s="1"/>
  <c r="AC205" i="20"/>
  <c r="AE202" i="20"/>
  <c r="AE201" i="20"/>
  <c r="AC196" i="20"/>
  <c r="AE196" i="20" s="1"/>
  <c r="AC195" i="20"/>
  <c r="AE195" i="20" s="1"/>
  <c r="AC194" i="20"/>
  <c r="AE194" i="20" s="1"/>
  <c r="AC193" i="20"/>
  <c r="AE193" i="20" s="1"/>
  <c r="AC190" i="20"/>
  <c r="AC189" i="20"/>
  <c r="AE186" i="20"/>
  <c r="AE185" i="20"/>
  <c r="AE184" i="20"/>
  <c r="AE183" i="20"/>
  <c r="AC180" i="20"/>
  <c r="AE180" i="20" s="1"/>
  <c r="AC179" i="20"/>
  <c r="AE179" i="20" s="1"/>
  <c r="AC178" i="20"/>
  <c r="AC177" i="20"/>
  <c r="AC176" i="20"/>
  <c r="AE176" i="20" s="1"/>
  <c r="AC175" i="20"/>
  <c r="AE175" i="20" s="1"/>
  <c r="AC174" i="20"/>
  <c r="AC173" i="20"/>
  <c r="AE150" i="20"/>
  <c r="AE149" i="20"/>
  <c r="AE148" i="20"/>
  <c r="AE147" i="20"/>
  <c r="AC140" i="20"/>
  <c r="AE140" i="20" s="1"/>
  <c r="AC139" i="20"/>
  <c r="AE139" i="20" s="1"/>
  <c r="AE134" i="20"/>
  <c r="AE132" i="20"/>
  <c r="AE131" i="20"/>
  <c r="AE130" i="20"/>
  <c r="AE121" i="20"/>
  <c r="AE120" i="20"/>
  <c r="AE324" i="20"/>
  <c r="AE323" i="20"/>
  <c r="AE322" i="20"/>
  <c r="AE321" i="20"/>
  <c r="AE320" i="20"/>
  <c r="AE319" i="20"/>
  <c r="AE318" i="20"/>
  <c r="AE313" i="20"/>
  <c r="AE309" i="20"/>
  <c r="AE308" i="20"/>
  <c r="AE307" i="20"/>
  <c r="AE305" i="20"/>
  <c r="AE301" i="20"/>
  <c r="AE300" i="20"/>
  <c r="AE299" i="20"/>
  <c r="AE298" i="20"/>
  <c r="AE297" i="20"/>
  <c r="AE296" i="20"/>
  <c r="AE295" i="20"/>
  <c r="AE292" i="20"/>
  <c r="AE291" i="20"/>
  <c r="AE290" i="20"/>
  <c r="AE289" i="20"/>
  <c r="AE288" i="20"/>
  <c r="AE287" i="20"/>
  <c r="AE286" i="20"/>
  <c r="AE285" i="20"/>
  <c r="AE282" i="20"/>
  <c r="AE281" i="20"/>
  <c r="AE280" i="20"/>
  <c r="AE279" i="20"/>
  <c r="AE278" i="20"/>
  <c r="AE277" i="20"/>
  <c r="AE276" i="20"/>
  <c r="AE273" i="20"/>
  <c r="AE272" i="20"/>
  <c r="AE271" i="20"/>
  <c r="AE269" i="20"/>
  <c r="AE268" i="20"/>
  <c r="AE267" i="20"/>
  <c r="AE262" i="20"/>
  <c r="AE260" i="20"/>
  <c r="AE259" i="20"/>
  <c r="AE251" i="20"/>
  <c r="AE244" i="20"/>
  <c r="AE243" i="20"/>
  <c r="AE242" i="20"/>
  <c r="AE241" i="20"/>
  <c r="AE240" i="20"/>
  <c r="AE239" i="20"/>
  <c r="AE238" i="20"/>
  <c r="AE237" i="20"/>
  <c r="AE236" i="20"/>
  <c r="AE235" i="20"/>
  <c r="AE234" i="20"/>
  <c r="AE233" i="20"/>
  <c r="AE224" i="20"/>
  <c r="AE223" i="20"/>
  <c r="AE220" i="20"/>
  <c r="AE219" i="20"/>
  <c r="AE218" i="20"/>
  <c r="AE217" i="20"/>
  <c r="AE216" i="20"/>
  <c r="AE215" i="20"/>
  <c r="AE214" i="20"/>
  <c r="AE213" i="20"/>
  <c r="AE212" i="20"/>
  <c r="AE211" i="20"/>
  <c r="AE210" i="20"/>
  <c r="AE209" i="20"/>
  <c r="AE208" i="20"/>
  <c r="AE207" i="20"/>
  <c r="AE205" i="20"/>
  <c r="AE204" i="20"/>
  <c r="AE203" i="20"/>
  <c r="AE200" i="20"/>
  <c r="AE199" i="20"/>
  <c r="AE198" i="20"/>
  <c r="AE197" i="20"/>
  <c r="AE192" i="20"/>
  <c r="AE191" i="20"/>
  <c r="AE190" i="20"/>
  <c r="AE189" i="20"/>
  <c r="AE188" i="20"/>
  <c r="AE187" i="20"/>
  <c r="AE182" i="20"/>
  <c r="AE181" i="20"/>
  <c r="AE178" i="20"/>
  <c r="AE177" i="20"/>
  <c r="AE174" i="20"/>
  <c r="AE173" i="20"/>
  <c r="AE172" i="20"/>
  <c r="AE171" i="20"/>
  <c r="AE170" i="20"/>
  <c r="AE169" i="20"/>
  <c r="AE168" i="20"/>
  <c r="AE167" i="20"/>
  <c r="AE166" i="20"/>
  <c r="AE165" i="20"/>
  <c r="AE164" i="20"/>
  <c r="AE163" i="20"/>
  <c r="AE162" i="20"/>
  <c r="AE161" i="20"/>
  <c r="AE160" i="20"/>
  <c r="AE159" i="20"/>
  <c r="AE158" i="20"/>
  <c r="AE157" i="20"/>
  <c r="AE156" i="20"/>
  <c r="AE155" i="20"/>
  <c r="AE154" i="20"/>
  <c r="AE153" i="20"/>
  <c r="AE152" i="20"/>
  <c r="AE151" i="20"/>
  <c r="AE146" i="20"/>
  <c r="AE145" i="20"/>
  <c r="AE144" i="20"/>
  <c r="AE143" i="20"/>
  <c r="AE142" i="20"/>
  <c r="AE141" i="20"/>
  <c r="AE138" i="20"/>
  <c r="AE137" i="20"/>
  <c r="AE136" i="20"/>
  <c r="AE135" i="20"/>
  <c r="AE133" i="20"/>
  <c r="AE129" i="20"/>
  <c r="AE128" i="20"/>
  <c r="AE127" i="20"/>
  <c r="AE126" i="20"/>
  <c r="AE125" i="20"/>
  <c r="AE124" i="20"/>
  <c r="AE123" i="20"/>
  <c r="AE122" i="20"/>
  <c r="AE112" i="20"/>
  <c r="AA112" i="20"/>
  <c r="AE89" i="20"/>
  <c r="AA89" i="20"/>
  <c r="AE37" i="20"/>
  <c r="AA37" i="20"/>
  <c r="AE36" i="20"/>
  <c r="AA36" i="20"/>
  <c r="AE35" i="20"/>
  <c r="AA35" i="20"/>
  <c r="AE33" i="20"/>
  <c r="AA33" i="20"/>
  <c r="AE24" i="20"/>
  <c r="Z24" i="20"/>
  <c r="AE92" i="20" s="1"/>
  <c r="AE23" i="20"/>
  <c r="AE21" i="20"/>
  <c r="Z21" i="20"/>
  <c r="AE114" i="20" s="1"/>
  <c r="AE20" i="20"/>
  <c r="AE15" i="20"/>
  <c r="Z15" i="20"/>
  <c r="AE14" i="20"/>
  <c r="AE316" i="20" l="1"/>
  <c r="AE98" i="20" s="1"/>
  <c r="AE119" i="20"/>
  <c r="AE118" i="20" s="1"/>
  <c r="AN110" i="1"/>
  <c r="AA34" i="17"/>
  <c r="AN124" i="1"/>
  <c r="AA34" i="31"/>
  <c r="AE30" i="35"/>
  <c r="AE96" i="31"/>
  <c r="AE34" i="31"/>
  <c r="AE39" i="31" s="1"/>
  <c r="AE34" i="17"/>
  <c r="AE39" i="17" s="1"/>
  <c r="AE91" i="20"/>
  <c r="AE115" i="20"/>
  <c r="AE301" i="6"/>
  <c r="AE300" i="6"/>
  <c r="AE299" i="6"/>
  <c r="AE298" i="6"/>
  <c r="AC254" i="6"/>
  <c r="AC253" i="6"/>
  <c r="AC252" i="6"/>
  <c r="AC251" i="6"/>
  <c r="AC248" i="6"/>
  <c r="AC247" i="6"/>
  <c r="AC228" i="6"/>
  <c r="AC224" i="6"/>
  <c r="AC216" i="6"/>
  <c r="AC215" i="6"/>
  <c r="AC214" i="6"/>
  <c r="AC213" i="6"/>
  <c r="AE206" i="6"/>
  <c r="AE205" i="6"/>
  <c r="AE204" i="6"/>
  <c r="AE203" i="6"/>
  <c r="AE202" i="6"/>
  <c r="AE201" i="6"/>
  <c r="AE198" i="6"/>
  <c r="AE197" i="6"/>
  <c r="AE196" i="6"/>
  <c r="AE195" i="6"/>
  <c r="AE186" i="6"/>
  <c r="AE185" i="6"/>
  <c r="AC182" i="6"/>
  <c r="AC181" i="6"/>
  <c r="AE184" i="6"/>
  <c r="AE183" i="6"/>
  <c r="AE34" i="35" l="1"/>
  <c r="AE39" i="35" s="1"/>
  <c r="AA34" i="35"/>
  <c r="AN128" i="1"/>
  <c r="AE96" i="20"/>
  <c r="AE97" i="20"/>
  <c r="AE124" i="6"/>
  <c r="AE123" i="6"/>
  <c r="AE30" i="20" l="1"/>
  <c r="AC303" i="6"/>
  <c r="AC302" i="6"/>
  <c r="AE302" i="6" s="1"/>
  <c r="AC297" i="6"/>
  <c r="AC294" i="6"/>
  <c r="AE277" i="6"/>
  <c r="AC283" i="6"/>
  <c r="AE283" i="6" s="1"/>
  <c r="AC282" i="6"/>
  <c r="AE282" i="6" s="1"/>
  <c r="AC281" i="6"/>
  <c r="AC280" i="6"/>
  <c r="AE280" i="6" s="1"/>
  <c r="AC279" i="6"/>
  <c r="AE276" i="6"/>
  <c r="AC274" i="6"/>
  <c r="AC273" i="6"/>
  <c r="AC268" i="6"/>
  <c r="AE268" i="6" s="1"/>
  <c r="AC267" i="6"/>
  <c r="AE267" i="6" s="1"/>
  <c r="AE263" i="6"/>
  <c r="AC262" i="6"/>
  <c r="AE262" i="6" s="1"/>
  <c r="AC261" i="6"/>
  <c r="AC256" i="6"/>
  <c r="AE256" i="6" s="1"/>
  <c r="AC255" i="6"/>
  <c r="AE255" i="6" s="1"/>
  <c r="AE178" i="6"/>
  <c r="AE177" i="6"/>
  <c r="AC145" i="6"/>
  <c r="AE145" i="6" s="1"/>
  <c r="AC141" i="6"/>
  <c r="AC140" i="6"/>
  <c r="AE138" i="6"/>
  <c r="AC137" i="6"/>
  <c r="AE137" i="6" s="1"/>
  <c r="AC136" i="6"/>
  <c r="AC134" i="6"/>
  <c r="AE134" i="6" s="1"/>
  <c r="AC133" i="6"/>
  <c r="AE133" i="6" s="1"/>
  <c r="AC132" i="6"/>
  <c r="AE132" i="6" s="1"/>
  <c r="AC131" i="6"/>
  <c r="AE131" i="6" s="1"/>
  <c r="AC129" i="6"/>
  <c r="AE129" i="6" s="1"/>
  <c r="AE128" i="6"/>
  <c r="AE127" i="6"/>
  <c r="AC126" i="6"/>
  <c r="AE126" i="6" s="1"/>
  <c r="AC125" i="6"/>
  <c r="AE125" i="6" s="1"/>
  <c r="AC122" i="6"/>
  <c r="AE122" i="6" s="1"/>
  <c r="AC121" i="6"/>
  <c r="AE121" i="6" s="1"/>
  <c r="AE313" i="6"/>
  <c r="AE312" i="6"/>
  <c r="AE311" i="6"/>
  <c r="AE310" i="6"/>
  <c r="AE309" i="6"/>
  <c r="AE308" i="6"/>
  <c r="AE307" i="6"/>
  <c r="AE306" i="6"/>
  <c r="AE305" i="6"/>
  <c r="AE304" i="6"/>
  <c r="AE303" i="6"/>
  <c r="AE297" i="6"/>
  <c r="AE296" i="6"/>
  <c r="AE295" i="6"/>
  <c r="AE294" i="6"/>
  <c r="AE293" i="6"/>
  <c r="AE292" i="6"/>
  <c r="AE291" i="6"/>
  <c r="AE290" i="6"/>
  <c r="AE289" i="6"/>
  <c r="AE288" i="6"/>
  <c r="AE287" i="6"/>
  <c r="AE286" i="6"/>
  <c r="AE285" i="6"/>
  <c r="AE284" i="6"/>
  <c r="AE281" i="6"/>
  <c r="AE279" i="6"/>
  <c r="AE278" i="6"/>
  <c r="AE275" i="6"/>
  <c r="AE274" i="6"/>
  <c r="AE273" i="6"/>
  <c r="AE272" i="6"/>
  <c r="AE271" i="6"/>
  <c r="AE270" i="6"/>
  <c r="AE269" i="6"/>
  <c r="AE266" i="6"/>
  <c r="AE265" i="6"/>
  <c r="AE264" i="6"/>
  <c r="AE261" i="6"/>
  <c r="AE260" i="6"/>
  <c r="AE259" i="6"/>
  <c r="AE258" i="6"/>
  <c r="AE257" i="6"/>
  <c r="AE254" i="6"/>
  <c r="AE253" i="6"/>
  <c r="AE252" i="6"/>
  <c r="AE251" i="6"/>
  <c r="AE250" i="6"/>
  <c r="AE249" i="6"/>
  <c r="AE248" i="6"/>
  <c r="AE247" i="6"/>
  <c r="AE246" i="6"/>
  <c r="AE245" i="6"/>
  <c r="AE238" i="6"/>
  <c r="AE237" i="6"/>
  <c r="AE236" i="6"/>
  <c r="AE234" i="6"/>
  <c r="AE233" i="6"/>
  <c r="AE232" i="6"/>
  <c r="AE230" i="6"/>
  <c r="AE229" i="6"/>
  <c r="AE228" i="6"/>
  <c r="AE226" i="6"/>
  <c r="AE225" i="6"/>
  <c r="AE224" i="6"/>
  <c r="AE222" i="6"/>
  <c r="AE221" i="6"/>
  <c r="AE220" i="6"/>
  <c r="AE219" i="6"/>
  <c r="AE218" i="6"/>
  <c r="AE217" i="6"/>
  <c r="AE216" i="6"/>
  <c r="AE215" i="6"/>
  <c r="AE214" i="6"/>
  <c r="AE213" i="6"/>
  <c r="AE212" i="6"/>
  <c r="AE211" i="6"/>
  <c r="AE210" i="6"/>
  <c r="AE209" i="6"/>
  <c r="AE208" i="6"/>
  <c r="AE207" i="6"/>
  <c r="AE200" i="6"/>
  <c r="AE199" i="6"/>
  <c r="AE194" i="6"/>
  <c r="AE193" i="6"/>
  <c r="AE192" i="6"/>
  <c r="AE191" i="6"/>
  <c r="AE190" i="6"/>
  <c r="AE189" i="6"/>
  <c r="AE188" i="6"/>
  <c r="AE187" i="6"/>
  <c r="AE182" i="6"/>
  <c r="AE181" i="6"/>
  <c r="AE180" i="6"/>
  <c r="AE179" i="6"/>
  <c r="AE176" i="6"/>
  <c r="AE175" i="6"/>
  <c r="AE174" i="6"/>
  <c r="AE173" i="6"/>
  <c r="AE172" i="6"/>
  <c r="AE171" i="6"/>
  <c r="AE170" i="6"/>
  <c r="AE169" i="6"/>
  <c r="AE168" i="6"/>
  <c r="AE167" i="6"/>
  <c r="AE166" i="6"/>
  <c r="AE165" i="6"/>
  <c r="AE164" i="6"/>
  <c r="AE163" i="6"/>
  <c r="AE162" i="6"/>
  <c r="AE161" i="6"/>
  <c r="AE160" i="6"/>
  <c r="AE159" i="6"/>
  <c r="AE158" i="6"/>
  <c r="AE157" i="6"/>
  <c r="AE156" i="6"/>
  <c r="AE155" i="6"/>
  <c r="AE154" i="6"/>
  <c r="AE153" i="6"/>
  <c r="AE152" i="6"/>
  <c r="AE151" i="6"/>
  <c r="AE150" i="6"/>
  <c r="AE149" i="6"/>
  <c r="AE148" i="6"/>
  <c r="AE147" i="6"/>
  <c r="AE146" i="6"/>
  <c r="AE144" i="6"/>
  <c r="AE143" i="6"/>
  <c r="AE142" i="6"/>
  <c r="AE141" i="6"/>
  <c r="AE140" i="6"/>
  <c r="AE139" i="6"/>
  <c r="AE136" i="6"/>
  <c r="AE135" i="6"/>
  <c r="AE130" i="6"/>
  <c r="AE120" i="6"/>
  <c r="AE119" i="6"/>
  <c r="AE118" i="6" s="1"/>
  <c r="AE117" i="6" s="1"/>
  <c r="AE111" i="6"/>
  <c r="AA111" i="6"/>
  <c r="AE89" i="6"/>
  <c r="AA89" i="6"/>
  <c r="AE37" i="6"/>
  <c r="AA37" i="6"/>
  <c r="AE36" i="6"/>
  <c r="AA36" i="6"/>
  <c r="AE35" i="6"/>
  <c r="AA35" i="6"/>
  <c r="AA33" i="6"/>
  <c r="AE24" i="6"/>
  <c r="Z24" i="6"/>
  <c r="AE114" i="6" s="1"/>
  <c r="AE23" i="6"/>
  <c r="AN113" i="1" l="1"/>
  <c r="AA34" i="20"/>
  <c r="AE34" i="20"/>
  <c r="AE39" i="20" s="1"/>
  <c r="AE92" i="6"/>
  <c r="AE223" i="2"/>
  <c r="AE97" i="6" l="1"/>
  <c r="AE280" i="2"/>
  <c r="AE279" i="2" s="1"/>
  <c r="AE406" i="2"/>
  <c r="AE413" i="2"/>
  <c r="AE411" i="2"/>
  <c r="AE410" i="2"/>
  <c r="AE408" i="2"/>
  <c r="AE394" i="2"/>
  <c r="AE405" i="2"/>
  <c r="AC404" i="2"/>
  <c r="AE404" i="2" s="1"/>
  <c r="AE403" i="2"/>
  <c r="AE402" i="2"/>
  <c r="AE400" i="2"/>
  <c r="AE396" i="2"/>
  <c r="AE395" i="2"/>
  <c r="AE392" i="2"/>
  <c r="AC391" i="2"/>
  <c r="AE391" i="2" s="1"/>
  <c r="AE390" i="2"/>
  <c r="AE388" i="2"/>
  <c r="AE384" i="2"/>
  <c r="AC381" i="2"/>
  <c r="AE381" i="2" s="1"/>
  <c r="AE348" i="2"/>
  <c r="AE347" i="2"/>
  <c r="AC346" i="2"/>
  <c r="AE346" i="2" s="1"/>
  <c r="AE345" i="2"/>
  <c r="AE343" i="2"/>
  <c r="AE319" i="2"/>
  <c r="AE318" i="2"/>
  <c r="AE317" i="2"/>
  <c r="AE314" i="2"/>
  <c r="AE311" i="2"/>
  <c r="AE308" i="2"/>
  <c r="AE289" i="2"/>
  <c r="AE288" i="2" s="1"/>
  <c r="AE286" i="2"/>
  <c r="AE285" i="2"/>
  <c r="AE287" i="2"/>
  <c r="AE278" i="2"/>
  <c r="AE276" i="2"/>
  <c r="AE275" i="2"/>
  <c r="AE274" i="2"/>
  <c r="AE271" i="2"/>
  <c r="AE260" i="2"/>
  <c r="AC257" i="2"/>
  <c r="AE257" i="2" s="1"/>
  <c r="AE232" i="2"/>
  <c r="AE231" i="2"/>
  <c r="AE237" i="2"/>
  <c r="AE230" i="2"/>
  <c r="AE229" i="2"/>
  <c r="AE228" i="2"/>
  <c r="AE225" i="2"/>
  <c r="AE215" i="2"/>
  <c r="AE214" i="2"/>
  <c r="AE212" i="2"/>
  <c r="AE211" i="2"/>
  <c r="AE210" i="2"/>
  <c r="AE209" i="2"/>
  <c r="AE208" i="2"/>
  <c r="AE207" i="2"/>
  <c r="AE206" i="2"/>
  <c r="AE204" i="2"/>
  <c r="AE203" i="2"/>
  <c r="AE202" i="2"/>
  <c r="AE198" i="2"/>
  <c r="AE197" i="2"/>
  <c r="AE195" i="2"/>
  <c r="AE194" i="2"/>
  <c r="AE193" i="2"/>
  <c r="AE191" i="2"/>
  <c r="AE190" i="2"/>
  <c r="AE186" i="2"/>
  <c r="AE183" i="2"/>
  <c r="AE182" i="2"/>
  <c r="AE181" i="2"/>
  <c r="AC180" i="2"/>
  <c r="AE180" i="2" s="1"/>
  <c r="AE150" i="2"/>
  <c r="AE162" i="2"/>
  <c r="AE151" i="2"/>
  <c r="AE149" i="2"/>
  <c r="AE146" i="2"/>
  <c r="AE145" i="2" s="1"/>
  <c r="AE99" i="2" s="1"/>
  <c r="AE144" i="2"/>
  <c r="AE143" i="2" s="1"/>
  <c r="AE98" i="2" s="1"/>
  <c r="AE277" i="2"/>
  <c r="AE170" i="2"/>
  <c r="AE169" i="2"/>
  <c r="AE399" i="2"/>
  <c r="AE398" i="2"/>
  <c r="AE397" i="2"/>
  <c r="AE393" i="2"/>
  <c r="AE387" i="2"/>
  <c r="AE386" i="2"/>
  <c r="AE385" i="2"/>
  <c r="AE383" i="2"/>
  <c r="AE382" i="2"/>
  <c r="AE380" i="2"/>
  <c r="AE379" i="2"/>
  <c r="AE377" i="2"/>
  <c r="AE374" i="2"/>
  <c r="AE373" i="2"/>
  <c r="AE372" i="2"/>
  <c r="AE367" i="2"/>
  <c r="AE366" i="2"/>
  <c r="AE365" i="2"/>
  <c r="AE364" i="2"/>
  <c r="AE362" i="2"/>
  <c r="AE360" i="2"/>
  <c r="AE356" i="2"/>
  <c r="AE354" i="2"/>
  <c r="AE352" i="2"/>
  <c r="AE350" i="2"/>
  <c r="AE349" i="2"/>
  <c r="AE341" i="2"/>
  <c r="AE340" i="2"/>
  <c r="AE339" i="2"/>
  <c r="AE338" i="2"/>
  <c r="AE337" i="2"/>
  <c r="AE336" i="2"/>
  <c r="AE335" i="2"/>
  <c r="AE334" i="2"/>
  <c r="AE333" i="2"/>
  <c r="AE332" i="2"/>
  <c r="AE331" i="2"/>
  <c r="AE330" i="2"/>
  <c r="AE329" i="2"/>
  <c r="AE328" i="2"/>
  <c r="AE327" i="2"/>
  <c r="AE326" i="2"/>
  <c r="AE325" i="2"/>
  <c r="AE324" i="2"/>
  <c r="AE323" i="2"/>
  <c r="AE322" i="2"/>
  <c r="AE321" i="2"/>
  <c r="AE320" i="2"/>
  <c r="AE316" i="2"/>
  <c r="AE313" i="2"/>
  <c r="AE312" i="2"/>
  <c r="AE310" i="2"/>
  <c r="AE309" i="2" s="1"/>
  <c r="AE307" i="2"/>
  <c r="AE306" i="2" s="1"/>
  <c r="AE301" i="2"/>
  <c r="AE300" i="2"/>
  <c r="AE299" i="2"/>
  <c r="AE298" i="2"/>
  <c r="AE297" i="2"/>
  <c r="AE296" i="2"/>
  <c r="AE295" i="2"/>
  <c r="AE293" i="2"/>
  <c r="AE292" i="2"/>
  <c r="AE284" i="2"/>
  <c r="AE283" i="2"/>
  <c r="AE273" i="2"/>
  <c r="AE270" i="2"/>
  <c r="AE269" i="2"/>
  <c r="AE268" i="2"/>
  <c r="AE264" i="2"/>
  <c r="AE263" i="2"/>
  <c r="AE262" i="2"/>
  <c r="AE261" i="2"/>
  <c r="AE259" i="2"/>
  <c r="AE258" i="2"/>
  <c r="AE256" i="2"/>
  <c r="AE255" i="2"/>
  <c r="AE254" i="2"/>
  <c r="AE253" i="2"/>
  <c r="AE252" i="2"/>
  <c r="AE251" i="2"/>
  <c r="AE250" i="2"/>
  <c r="AE249" i="2"/>
  <c r="AE248" i="2"/>
  <c r="AE247" i="2"/>
  <c r="AE246" i="2"/>
  <c r="AE245" i="2"/>
  <c r="AE244" i="2"/>
  <c r="AE243" i="2"/>
  <c r="AE241" i="2"/>
  <c r="AE239" i="2"/>
  <c r="AE238" i="2"/>
  <c r="AE236" i="2"/>
  <c r="AE227" i="2"/>
  <c r="AE224" i="2"/>
  <c r="AE219" i="2"/>
  <c r="AE218" i="2" s="1"/>
  <c r="AE217" i="2"/>
  <c r="AE216" i="2" s="1"/>
  <c r="AE104" i="2" s="1"/>
  <c r="AE201" i="2"/>
  <c r="AE200" i="2"/>
  <c r="AE199" i="2"/>
  <c r="AE196" i="2"/>
  <c r="AE192" i="2"/>
  <c r="AE189" i="2"/>
  <c r="AE188" i="2"/>
  <c r="AE187" i="2"/>
  <c r="AE185" i="2"/>
  <c r="AE184" i="2"/>
  <c r="AE179" i="2"/>
  <c r="AE178" i="2"/>
  <c r="AE176" i="2"/>
  <c r="AE175" i="2" s="1"/>
  <c r="AE101" i="2" s="1"/>
  <c r="AE174" i="2"/>
  <c r="AE173" i="2"/>
  <c r="AE172" i="2"/>
  <c r="AE171" i="2"/>
  <c r="AE167" i="2"/>
  <c r="AE166" i="2"/>
  <c r="AE165" i="2"/>
  <c r="AE164" i="2"/>
  <c r="AE161" i="2"/>
  <c r="AE158" i="2"/>
  <c r="AE157" i="2"/>
  <c r="AE156" i="2"/>
  <c r="AE155" i="2"/>
  <c r="AE154" i="2"/>
  <c r="AE153" i="2"/>
  <c r="AE152" i="2"/>
  <c r="AE148" i="2"/>
  <c r="AE135" i="2"/>
  <c r="AE89" i="2"/>
  <c r="AE37" i="2"/>
  <c r="AA37" i="2"/>
  <c r="AE36" i="2"/>
  <c r="AA36" i="2"/>
  <c r="AE35" i="2"/>
  <c r="AA35" i="2"/>
  <c r="AE33" i="2"/>
  <c r="AA33" i="2"/>
  <c r="AE24" i="2"/>
  <c r="Z24" i="2"/>
  <c r="AE138" i="2" s="1"/>
  <c r="AE23" i="2"/>
  <c r="AE21" i="2"/>
  <c r="Z21" i="2"/>
  <c r="AE137" i="2" s="1"/>
  <c r="AE20" i="2"/>
  <c r="AE15" i="2"/>
  <c r="Z15" i="2"/>
  <c r="AE14" i="2"/>
  <c r="Z13" i="2"/>
  <c r="AE282" i="2" l="1"/>
  <c r="AE294" i="2"/>
  <c r="AE407" i="2"/>
  <c r="AE177" i="2"/>
  <c r="AE102" i="2" s="1"/>
  <c r="AE222" i="2"/>
  <c r="AE378" i="2"/>
  <c r="AE389" i="2"/>
  <c r="AE147" i="2"/>
  <c r="AE290" i="2"/>
  <c r="AE344" i="2"/>
  <c r="AE117" i="2" s="1"/>
  <c r="AE240" i="2"/>
  <c r="AE315" i="2"/>
  <c r="AE116" i="2" s="1"/>
  <c r="AE213" i="2"/>
  <c r="AE103" i="2" s="1"/>
  <c r="AE401" i="2"/>
  <c r="AE115" i="2"/>
  <c r="AE106" i="2"/>
  <c r="AE113" i="2"/>
  <c r="AE118" i="2"/>
  <c r="AE112" i="2"/>
  <c r="AE119" i="2"/>
  <c r="AE105" i="2"/>
  <c r="AE121" i="2"/>
  <c r="AE114" i="2"/>
  <c r="AE96" i="6"/>
  <c r="AE30" i="6"/>
  <c r="AA34" i="6" s="1"/>
  <c r="AE91" i="2"/>
  <c r="AE108" i="2"/>
  <c r="AE92" i="2"/>
  <c r="AE142" i="2" l="1"/>
  <c r="AE100" i="2"/>
  <c r="AE109" i="2"/>
  <c r="AE97" i="2"/>
  <c r="AN99" i="1"/>
  <c r="AE34" i="6"/>
  <c r="AE33" i="6"/>
  <c r="AE107" i="2"/>
  <c r="AE120" i="2"/>
  <c r="AE110" i="2"/>
  <c r="AE291" i="16"/>
  <c r="AE157" i="16"/>
  <c r="AE390" i="16"/>
  <c r="AE389" i="16" s="1"/>
  <c r="AE352" i="16"/>
  <c r="AE351" i="16"/>
  <c r="AE350" i="16"/>
  <c r="AE349" i="16"/>
  <c r="AE348" i="16"/>
  <c r="AE347" i="16"/>
  <c r="AE346" i="16"/>
  <c r="AE345" i="16"/>
  <c r="AE344" i="16"/>
  <c r="AE343" i="16"/>
  <c r="AE342" i="16"/>
  <c r="AE341" i="16"/>
  <c r="AE368" i="16"/>
  <c r="AE354" i="16"/>
  <c r="AE309" i="16"/>
  <c r="AE305" i="16"/>
  <c r="AE304" i="16" s="1"/>
  <c r="AE280" i="16"/>
  <c r="AE141" i="2" l="1"/>
  <c r="AE96" i="2" s="1"/>
  <c r="AE340" i="16"/>
  <c r="AH315" i="16"/>
  <c r="AJ315" i="16" s="1"/>
  <c r="AE39" i="6"/>
  <c r="AE243" i="16"/>
  <c r="AE242" i="16"/>
  <c r="AE233" i="16"/>
  <c r="AE221" i="16"/>
  <c r="AE217" i="16"/>
  <c r="AE216" i="16"/>
  <c r="AE215" i="16"/>
  <c r="AE214" i="16"/>
  <c r="AE213" i="16"/>
  <c r="AE212" i="16"/>
  <c r="AE211" i="16"/>
  <c r="AE210" i="16"/>
  <c r="AE189" i="16"/>
  <c r="AE188" i="16"/>
  <c r="AE187" i="16"/>
  <c r="AE186" i="16"/>
  <c r="AE185" i="16"/>
  <c r="AE175" i="16"/>
  <c r="AC173" i="16"/>
  <c r="AE393" i="16"/>
  <c r="AE392" i="16" s="1"/>
  <c r="AE391" i="16" s="1"/>
  <c r="AE121" i="16" s="1"/>
  <c r="AE388" i="16"/>
  <c r="AE387" i="16" s="1"/>
  <c r="AE119" i="16" s="1"/>
  <c r="AE386" i="16"/>
  <c r="AE385" i="16"/>
  <c r="AE384" i="16"/>
  <c r="AE382" i="16"/>
  <c r="AE381" i="16"/>
  <c r="AE379" i="16"/>
  <c r="AE378" i="16"/>
  <c r="AE377" i="16"/>
  <c r="AE375" i="16"/>
  <c r="AE374" i="16"/>
  <c r="AE373" i="16"/>
  <c r="AE371" i="16"/>
  <c r="AE370" i="16"/>
  <c r="AE369" i="16"/>
  <c r="AE367" i="16"/>
  <c r="AE363" i="16"/>
  <c r="AE362" i="16"/>
  <c r="AE361" i="16"/>
  <c r="AE359" i="16"/>
  <c r="AE358" i="16"/>
  <c r="AE357" i="16"/>
  <c r="AE356" i="16"/>
  <c r="AE355" i="16"/>
  <c r="AE339" i="16"/>
  <c r="AE338" i="16"/>
  <c r="AE337" i="16"/>
  <c r="AE336" i="16"/>
  <c r="AE335" i="16"/>
  <c r="AE334" i="16"/>
  <c r="AE333" i="16"/>
  <c r="AE332" i="16"/>
  <c r="AE331" i="16"/>
  <c r="AE330" i="16"/>
  <c r="AE329" i="16"/>
  <c r="AE328" i="16"/>
  <c r="AE327" i="16"/>
  <c r="AE326" i="16"/>
  <c r="AE325" i="16"/>
  <c r="AE324" i="16"/>
  <c r="AE323" i="16"/>
  <c r="AE322" i="16"/>
  <c r="AE321" i="16"/>
  <c r="AE320" i="16"/>
  <c r="AE319" i="16"/>
  <c r="AE318" i="16"/>
  <c r="AE317" i="16"/>
  <c r="AE315" i="16"/>
  <c r="AE313" i="16"/>
  <c r="AE312" i="16"/>
  <c r="AE311" i="16"/>
  <c r="AE303" i="16"/>
  <c r="AE301" i="16"/>
  <c r="AE300" i="16"/>
  <c r="AE299" i="16"/>
  <c r="AE298" i="16"/>
  <c r="AE297" i="16"/>
  <c r="AE296" i="16"/>
  <c r="AE295" i="16"/>
  <c r="AE294" i="16"/>
  <c r="AE292" i="16"/>
  <c r="AE290" i="16"/>
  <c r="AE289" i="16"/>
  <c r="AE288" i="16"/>
  <c r="AE287" i="16"/>
  <c r="AE286" i="16"/>
  <c r="AE285" i="16"/>
  <c r="AE283" i="16"/>
  <c r="AE282" i="16"/>
  <c r="AE281" i="16"/>
  <c r="AE279" i="16"/>
  <c r="AE278" i="16"/>
  <c r="AE277" i="16"/>
  <c r="AE274" i="16"/>
  <c r="AE273" i="16"/>
  <c r="AE272" i="16"/>
  <c r="AE271" i="16"/>
  <c r="AE270" i="16"/>
  <c r="AE267" i="16"/>
  <c r="AE265" i="16"/>
  <c r="AE260" i="16"/>
  <c r="AE254" i="16"/>
  <c r="AE253" i="16"/>
  <c r="AE251" i="16"/>
  <c r="AE250" i="16"/>
  <c r="AE248" i="16"/>
  <c r="AE247" i="16"/>
  <c r="AE246" i="16"/>
  <c r="AE245" i="16"/>
  <c r="AE244" i="16"/>
  <c r="AE240" i="16"/>
  <c r="AE239" i="16"/>
  <c r="AE238" i="16"/>
  <c r="AE237" i="16"/>
  <c r="AE236" i="16"/>
  <c r="AE235" i="16"/>
  <c r="AE234" i="16"/>
  <c r="AE232" i="16"/>
  <c r="AE231" i="16"/>
  <c r="AE230" i="16"/>
  <c r="AE229" i="16"/>
  <c r="AE228" i="16"/>
  <c r="AE227" i="16"/>
  <c r="AE226" i="16"/>
  <c r="AE224" i="16"/>
  <c r="AE223" i="16"/>
  <c r="AE222" i="16"/>
  <c r="AE220" i="16"/>
  <c r="AE219" i="16"/>
  <c r="AE209" i="16"/>
  <c r="AE208" i="16"/>
  <c r="AE207" i="16"/>
  <c r="AE206" i="16"/>
  <c r="AE205" i="16"/>
  <c r="AE204" i="16"/>
  <c r="AE202" i="16"/>
  <c r="AE201" i="16"/>
  <c r="AE200" i="16"/>
  <c r="AE199" i="16"/>
  <c r="AE198" i="16"/>
  <c r="AE197" i="16"/>
  <c r="AE196" i="16"/>
  <c r="AE195" i="16"/>
  <c r="AE194" i="16"/>
  <c r="AE193" i="16"/>
  <c r="AE192" i="16"/>
  <c r="AE191" i="16"/>
  <c r="AE190" i="16"/>
  <c r="AE183" i="16"/>
  <c r="AE182" i="16"/>
  <c r="AE181" i="16"/>
  <c r="AE179" i="16"/>
  <c r="AE177" i="16"/>
  <c r="AE176" i="16"/>
  <c r="AE172" i="16"/>
  <c r="AE171" i="16"/>
  <c r="AE170" i="16"/>
  <c r="AE169" i="16"/>
  <c r="AE167" i="16"/>
  <c r="AE166" i="16"/>
  <c r="AE165" i="16"/>
  <c r="AE164" i="16"/>
  <c r="AE163" i="16"/>
  <c r="AE162" i="16"/>
  <c r="AE161" i="16"/>
  <c r="AE160" i="16"/>
  <c r="AE159" i="16"/>
  <c r="AE158" i="16"/>
  <c r="AE156" i="16"/>
  <c r="AE155" i="16"/>
  <c r="AE154" i="16"/>
  <c r="AE153" i="16"/>
  <c r="AE151" i="16"/>
  <c r="AE150" i="16"/>
  <c r="AE149" i="16"/>
  <c r="AE148" i="16"/>
  <c r="AE147" i="16"/>
  <c r="AE146" i="16"/>
  <c r="AE136" i="16"/>
  <c r="AE89" i="16"/>
  <c r="AE37" i="16"/>
  <c r="AA37" i="16"/>
  <c r="AE36" i="16"/>
  <c r="AA36" i="16"/>
  <c r="AE35" i="16"/>
  <c r="AA35" i="16"/>
  <c r="AE33" i="16"/>
  <c r="AA33" i="16"/>
  <c r="AE24" i="16"/>
  <c r="Z24" i="16"/>
  <c r="AE139" i="16" s="1"/>
  <c r="AE23" i="16"/>
  <c r="AE21" i="16"/>
  <c r="Z21" i="16"/>
  <c r="AE138" i="16" s="1"/>
  <c r="AE20" i="16"/>
  <c r="AE15" i="16"/>
  <c r="Z15" i="16"/>
  <c r="AE14" i="16"/>
  <c r="AE180" i="16" l="1"/>
  <c r="AE203" i="16"/>
  <c r="AE284" i="16"/>
  <c r="AE308" i="16"/>
  <c r="AE111" i="16" s="1"/>
  <c r="AE316" i="16"/>
  <c r="AE353" i="16"/>
  <c r="AE380" i="16"/>
  <c r="AE218" i="16"/>
  <c r="AE102" i="16" s="1"/>
  <c r="AE376" i="16"/>
  <c r="AE144" i="16"/>
  <c r="AE269" i="16"/>
  <c r="AE107" i="16" s="1"/>
  <c r="AE241" i="16"/>
  <c r="AE104" i="16" s="1"/>
  <c r="AE225" i="16"/>
  <c r="AE293" i="16"/>
  <c r="AE372" i="16"/>
  <c r="AE383" i="16"/>
  <c r="AE118" i="16" s="1"/>
  <c r="AE266" i="16"/>
  <c r="AE105" i="16" s="1"/>
  <c r="AE114" i="16"/>
  <c r="AE122" i="16"/>
  <c r="AE173" i="16"/>
  <c r="AH173" i="16"/>
  <c r="AJ173" i="16" s="1"/>
  <c r="AJ144" i="16" s="1"/>
  <c r="AE116" i="16"/>
  <c r="AE117" i="16"/>
  <c r="AE112" i="16"/>
  <c r="AE100" i="16"/>
  <c r="AE109" i="16"/>
  <c r="AA34" i="2"/>
  <c r="AE30" i="2"/>
  <c r="AE103" i="16"/>
  <c r="AE91" i="16"/>
  <c r="AE92" i="16"/>
  <c r="AE177" i="5"/>
  <c r="AE167" i="5"/>
  <c r="AC301" i="5"/>
  <c r="AE302" i="5"/>
  <c r="AC221" i="5"/>
  <c r="AE168" i="16" l="1"/>
  <c r="AE143" i="16" s="1"/>
  <c r="AE268" i="16"/>
  <c r="AE98" i="16"/>
  <c r="AE34" i="2"/>
  <c r="AE39" i="2" s="1"/>
  <c r="AN95" i="1"/>
  <c r="AE101" i="16"/>
  <c r="AE108" i="16"/>
  <c r="AE115" i="16"/>
  <c r="AC409" i="19"/>
  <c r="AC408" i="19"/>
  <c r="AC407" i="19"/>
  <c r="AC406" i="19"/>
  <c r="AC405" i="19"/>
  <c r="AC404" i="19"/>
  <c r="AC403" i="19"/>
  <c r="AC402" i="19"/>
  <c r="AE364" i="5"/>
  <c r="AE363" i="5"/>
  <c r="AE362" i="5"/>
  <c r="AE361" i="5"/>
  <c r="AE360" i="5"/>
  <c r="AE357" i="5"/>
  <c r="AE356" i="5"/>
  <c r="AE355" i="5"/>
  <c r="AE354" i="5"/>
  <c r="AE353" i="5"/>
  <c r="AE351" i="5"/>
  <c r="AE350" i="5"/>
  <c r="AE349" i="5"/>
  <c r="AE347" i="5"/>
  <c r="AE345" i="5"/>
  <c r="AE344" i="5"/>
  <c r="AE343" i="5"/>
  <c r="AE342" i="5"/>
  <c r="AE341" i="5"/>
  <c r="AE336" i="5"/>
  <c r="AE325" i="5"/>
  <c r="AE324" i="5"/>
  <c r="AE323" i="5"/>
  <c r="AE322" i="5"/>
  <c r="AE320" i="5"/>
  <c r="AE318" i="5"/>
  <c r="AE316" i="5"/>
  <c r="AE315" i="5" s="1"/>
  <c r="AE307" i="5"/>
  <c r="AC306" i="5"/>
  <c r="AE306" i="5" s="1"/>
  <c r="AE301" i="5"/>
  <c r="AE300" i="5"/>
  <c r="AE299" i="5" s="1"/>
  <c r="AE298" i="5"/>
  <c r="AE297" i="5"/>
  <c r="AE296" i="5"/>
  <c r="AE295" i="5"/>
  <c r="AE294" i="5"/>
  <c r="AE293" i="5"/>
  <c r="AE292" i="5"/>
  <c r="AE291" i="5"/>
  <c r="AE290" i="5"/>
  <c r="AE289" i="5"/>
  <c r="AE288" i="5"/>
  <c r="AE287" i="5"/>
  <c r="AE286" i="5"/>
  <c r="AE285" i="5"/>
  <c r="AE282" i="5"/>
  <c r="AE281" i="5"/>
  <c r="AE280" i="5"/>
  <c r="AE279" i="5" s="1"/>
  <c r="AE278" i="5"/>
  <c r="AE277" i="5"/>
  <c r="AE276" i="5"/>
  <c r="AE275" i="5"/>
  <c r="AE274" i="5" s="1"/>
  <c r="AE308" i="5"/>
  <c r="AE309" i="5"/>
  <c r="AE314" i="5"/>
  <c r="AE270" i="5"/>
  <c r="AE264" i="5"/>
  <c r="AE261" i="5"/>
  <c r="AE260" i="5"/>
  <c r="AE259" i="5" s="1"/>
  <c r="AE258" i="5"/>
  <c r="AE257" i="5"/>
  <c r="AE256" i="5"/>
  <c r="AE255" i="5"/>
  <c r="AE253" i="5"/>
  <c r="AE252" i="5"/>
  <c r="AE251" i="5"/>
  <c r="AE238" i="5"/>
  <c r="AE237" i="5"/>
  <c r="AE236" i="5"/>
  <c r="AE233" i="5"/>
  <c r="AE225" i="5"/>
  <c r="AE224" i="5" s="1"/>
  <c r="AE254" i="5" l="1"/>
  <c r="AE340" i="5"/>
  <c r="AE250" i="5"/>
  <c r="AE115" i="5" s="1"/>
  <c r="AE317" i="5"/>
  <c r="AE352" i="5"/>
  <c r="AE335" i="5"/>
  <c r="AE235" i="5"/>
  <c r="AE234" i="5" s="1"/>
  <c r="AE262" i="5"/>
  <c r="AE284" i="5"/>
  <c r="AE122" i="5" s="1"/>
  <c r="AE305" i="5"/>
  <c r="AE359" i="5"/>
  <c r="AE358" i="5" s="1"/>
  <c r="AE132" i="5" s="1"/>
  <c r="AE142" i="16"/>
  <c r="AE97" i="16"/>
  <c r="AE99" i="16"/>
  <c r="AE131" i="5"/>
  <c r="AE127" i="5"/>
  <c r="AE110" i="5"/>
  <c r="AE116" i="5"/>
  <c r="AE117" i="5"/>
  <c r="AE126" i="5"/>
  <c r="AE118" i="5"/>
  <c r="AE121" i="5"/>
  <c r="AE218" i="5"/>
  <c r="AC216" i="5"/>
  <c r="AC215" i="5"/>
  <c r="AE211" i="5"/>
  <c r="AE209" i="5"/>
  <c r="AC208" i="5"/>
  <c r="AE207" i="5"/>
  <c r="AE206" i="5"/>
  <c r="AE205" i="5"/>
  <c r="AE203" i="5"/>
  <c r="AC202" i="5"/>
  <c r="AC198" i="5"/>
  <c r="AC197" i="5"/>
  <c r="AE193" i="5"/>
  <c r="AC191" i="5"/>
  <c r="AE192" i="5"/>
  <c r="AE190" i="5"/>
  <c r="AE188" i="5"/>
  <c r="AE187" i="5"/>
  <c r="AE186" i="5"/>
  <c r="AE185" i="5"/>
  <c r="AE183" i="5"/>
  <c r="AE182" i="5" s="1"/>
  <c r="AE103" i="5" s="1"/>
  <c r="AE181" i="5"/>
  <c r="AE180" i="5"/>
  <c r="AC178" i="5"/>
  <c r="AE172" i="5"/>
  <c r="AE171" i="5" s="1"/>
  <c r="AE101" i="5" s="1"/>
  <c r="AC170" i="5"/>
  <c r="AE170" i="5" s="1"/>
  <c r="AC169" i="5"/>
  <c r="AC165" i="5"/>
  <c r="AE165" i="5" s="1"/>
  <c r="AC163" i="5"/>
  <c r="AC160" i="5"/>
  <c r="AC156" i="5"/>
  <c r="AC155" i="5"/>
  <c r="AE273" i="5" l="1"/>
  <c r="AE119" i="5" s="1"/>
  <c r="AE112" i="5"/>
  <c r="AE184" i="5"/>
  <c r="AE104" i="5" s="1"/>
  <c r="AE111" i="5"/>
  <c r="AE120" i="5"/>
  <c r="AE130" i="5"/>
  <c r="AE30" i="16"/>
  <c r="AA34" i="16" s="1"/>
  <c r="AE96" i="16"/>
  <c r="AE380" i="33"/>
  <c r="AE379" i="33"/>
  <c r="AE373" i="33"/>
  <c r="AE372" i="33"/>
  <c r="AE371" i="33"/>
  <c r="AE369" i="33"/>
  <c r="AE368" i="33"/>
  <c r="AE367" i="33"/>
  <c r="AE357" i="33"/>
  <c r="AE356" i="33"/>
  <c r="AE355" i="33"/>
  <c r="AE354" i="33"/>
  <c r="AE353" i="33"/>
  <c r="AE352" i="33"/>
  <c r="AE351" i="33"/>
  <c r="AE350" i="33" s="1"/>
  <c r="AE344" i="33"/>
  <c r="AE343" i="33"/>
  <c r="AE342" i="33"/>
  <c r="AE331" i="33"/>
  <c r="AE330" i="33"/>
  <c r="AE327" i="33"/>
  <c r="AE323" i="33"/>
  <c r="AE314" i="33"/>
  <c r="AE313" i="33"/>
  <c r="AE311" i="33"/>
  <c r="AE306" i="33"/>
  <c r="AE304" i="33"/>
  <c r="AE303" i="33"/>
  <c r="AE302" i="33"/>
  <c r="AE284" i="33"/>
  <c r="AE282" i="33"/>
  <c r="AE277" i="33"/>
  <c r="AE274" i="33"/>
  <c r="AE273" i="33"/>
  <c r="AE267" i="33"/>
  <c r="AE264" i="33"/>
  <c r="AE263" i="33"/>
  <c r="AE258" i="33"/>
  <c r="AE257" i="33"/>
  <c r="AE253" i="33"/>
  <c r="AE252" i="33"/>
  <c r="AE250" i="33"/>
  <c r="AE249" i="33"/>
  <c r="AE326" i="33" l="1"/>
  <c r="AE366" i="33"/>
  <c r="AE130" i="33"/>
  <c r="AE132" i="33"/>
  <c r="AN109" i="1"/>
  <c r="AE34" i="16"/>
  <c r="AE39" i="16" s="1"/>
  <c r="AE248" i="33"/>
  <c r="AE245" i="33"/>
  <c r="AE244" i="33"/>
  <c r="AE243" i="33"/>
  <c r="AE242" i="33"/>
  <c r="AE240" i="33"/>
  <c r="AE239" i="33"/>
  <c r="AE238" i="33"/>
  <c r="AE237" i="33"/>
  <c r="AE236" i="33"/>
  <c r="AE235" i="33"/>
  <c r="AE234" i="33"/>
  <c r="AE232" i="33"/>
  <c r="AE231" i="33"/>
  <c r="AE230" i="33" s="1"/>
  <c r="AE229" i="33"/>
  <c r="AE228" i="33"/>
  <c r="AE227" i="33"/>
  <c r="AE214" i="33"/>
  <c r="AE212" i="33"/>
  <c r="AE208" i="33"/>
  <c r="AE206" i="33"/>
  <c r="AE197" i="33"/>
  <c r="AE193" i="33"/>
  <c r="AE195" i="33"/>
  <c r="AE189" i="33"/>
  <c r="AE183" i="33"/>
  <c r="AE182" i="33"/>
  <c r="AE181" i="33"/>
  <c r="AE179" i="33"/>
  <c r="AE178" i="33"/>
  <c r="AE177" i="33"/>
  <c r="AE175" i="33"/>
  <c r="AE174" i="33"/>
  <c r="AE173" i="33"/>
  <c r="AE172" i="33" s="1"/>
  <c r="AE171" i="33"/>
  <c r="AE170" i="33"/>
  <c r="AE169" i="33"/>
  <c r="AE157" i="33"/>
  <c r="AE387" i="33"/>
  <c r="AE386" i="33"/>
  <c r="AE383" i="33"/>
  <c r="AE382" i="33"/>
  <c r="AE381" i="33"/>
  <c r="AE377" i="33" s="1"/>
  <c r="AE376" i="33"/>
  <c r="AE374" i="33"/>
  <c r="AE370" i="33" s="1"/>
  <c r="AE364" i="33"/>
  <c r="AE362" i="33"/>
  <c r="AE361" i="33"/>
  <c r="AE360" i="33"/>
  <c r="AE359" i="33"/>
  <c r="AE347" i="33"/>
  <c r="AE340" i="33" s="1"/>
  <c r="AE346" i="33"/>
  <c r="AE345" i="33"/>
  <c r="AE339" i="33"/>
  <c r="AE338" i="33"/>
  <c r="AE337" i="33" s="1"/>
  <c r="AE336" i="33"/>
  <c r="AE335" i="33"/>
  <c r="AE334" i="33"/>
  <c r="AE333" i="33"/>
  <c r="AE329" i="33" s="1"/>
  <c r="AE332" i="33"/>
  <c r="AE328" i="33"/>
  <c r="AE325" i="33"/>
  <c r="AE324" i="33"/>
  <c r="AE322" i="33"/>
  <c r="AE321" i="33"/>
  <c r="AE319" i="33"/>
  <c r="AE318" i="33"/>
  <c r="AE317" i="33"/>
  <c r="AE316" i="33"/>
  <c r="AE315" i="33"/>
  <c r="AE312" i="33" s="1"/>
  <c r="AE310" i="33" s="1"/>
  <c r="AE309" i="33"/>
  <c r="AE308" i="33"/>
  <c r="AE307" i="33"/>
  <c r="AE305" i="33"/>
  <c r="AE301" i="33"/>
  <c r="AE300" i="33" s="1"/>
  <c r="AE299" i="33"/>
  <c r="AE298" i="33"/>
  <c r="AE297" i="33"/>
  <c r="AE296" i="33"/>
  <c r="AE295" i="33"/>
  <c r="AE294" i="33"/>
  <c r="AE292" i="33"/>
  <c r="AE291" i="33"/>
  <c r="AE290" i="33" s="1"/>
  <c r="AE289" i="33"/>
  <c r="AE288" i="33"/>
  <c r="AE287" i="33" s="1"/>
  <c r="AE286" i="33"/>
  <c r="AE285" i="33"/>
  <c r="AE283" i="33" s="1"/>
  <c r="AE281" i="33"/>
  <c r="AE280" i="33"/>
  <c r="AE279" i="33"/>
  <c r="AE276" i="33"/>
  <c r="AE275" i="33"/>
  <c r="AE272" i="33" s="1"/>
  <c r="AE271" i="33"/>
  <c r="AE270" i="33"/>
  <c r="AE269" i="33"/>
  <c r="AE268" i="33"/>
  <c r="AE266" i="33" s="1"/>
  <c r="AE262" i="33"/>
  <c r="AE261" i="33"/>
  <c r="AE259" i="33"/>
  <c r="AE256" i="33"/>
  <c r="AE255" i="33"/>
  <c r="AE251" i="33" s="1"/>
  <c r="AE223" i="33"/>
  <c r="AE222" i="33"/>
  <c r="AE221" i="33"/>
  <c r="AE220" i="33"/>
  <c r="AE219" i="33"/>
  <c r="AE218" i="33"/>
  <c r="AE217" i="33"/>
  <c r="AE215" i="33"/>
  <c r="AE213" i="33"/>
  <c r="AE211" i="33"/>
  <c r="AE210" i="33"/>
  <c r="AE207" i="33"/>
  <c r="AE205" i="33"/>
  <c r="AE203" i="33"/>
  <c r="AE202" i="33"/>
  <c r="AE107" i="33" s="1"/>
  <c r="AE201" i="33"/>
  <c r="AE200" i="33"/>
  <c r="AE198" i="33"/>
  <c r="AE194" i="33"/>
  <c r="AE192" i="33"/>
  <c r="AE191" i="33"/>
  <c r="AE188" i="33"/>
  <c r="AE187" i="33"/>
  <c r="AE186" i="33"/>
  <c r="AE185" i="33"/>
  <c r="AE165" i="33"/>
  <c r="AE164" i="33"/>
  <c r="AE163" i="33"/>
  <c r="AE161" i="33"/>
  <c r="AE159" i="33"/>
  <c r="AE149" i="33"/>
  <c r="AA149" i="33"/>
  <c r="AE89" i="33"/>
  <c r="AA89" i="33"/>
  <c r="AE37" i="33"/>
  <c r="AA37" i="33"/>
  <c r="AE36" i="33"/>
  <c r="AA36" i="33"/>
  <c r="AE35" i="33"/>
  <c r="AA35" i="33"/>
  <c r="AE33" i="33"/>
  <c r="AA33" i="33"/>
  <c r="AE24" i="33"/>
  <c r="Z24" i="33"/>
  <c r="AE23" i="33"/>
  <c r="AE21" i="33"/>
  <c r="Z21" i="33"/>
  <c r="AE151" i="33" s="1"/>
  <c r="AE20" i="33"/>
  <c r="AE15" i="33"/>
  <c r="Z15" i="33"/>
  <c r="AE14" i="33"/>
  <c r="AE414" i="19"/>
  <c r="AE184" i="33" l="1"/>
  <c r="AE190" i="33"/>
  <c r="AE199" i="33"/>
  <c r="AE204" i="33"/>
  <c r="AE108" i="33" s="1"/>
  <c r="AE278" i="33"/>
  <c r="AE358" i="33"/>
  <c r="AE348" i="33" s="1"/>
  <c r="AE156" i="33"/>
  <c r="AE196" i="33"/>
  <c r="AE105" i="33" s="1"/>
  <c r="AE293" i="33"/>
  <c r="AE168" i="33"/>
  <c r="AE226" i="33"/>
  <c r="AE113" i="33"/>
  <c r="AE246" i="33"/>
  <c r="AE209" i="33"/>
  <c r="AE216" i="33"/>
  <c r="AE385" i="33"/>
  <c r="AE180" i="33"/>
  <c r="AE233" i="33"/>
  <c r="AE134" i="33"/>
  <c r="AE120" i="33"/>
  <c r="AE127" i="33"/>
  <c r="AE176" i="33"/>
  <c r="AE101" i="33" s="1"/>
  <c r="AE118" i="33"/>
  <c r="AE125" i="33"/>
  <c r="AE103" i="33"/>
  <c r="AE104" i="33"/>
  <c r="AE124" i="33"/>
  <c r="AE100" i="33"/>
  <c r="AE133" i="33"/>
  <c r="AE114" i="33"/>
  <c r="AE128" i="33"/>
  <c r="AE115" i="33"/>
  <c r="AE126" i="33"/>
  <c r="AE135" i="33"/>
  <c r="AE119" i="33"/>
  <c r="AE99" i="33"/>
  <c r="AE117" i="33"/>
  <c r="AE102" i="33"/>
  <c r="AE106" i="33"/>
  <c r="AE116" i="33"/>
  <c r="AE121" i="33"/>
  <c r="AE92" i="33"/>
  <c r="AE91" i="33"/>
  <c r="AE413" i="19"/>
  <c r="AE412" i="19"/>
  <c r="AE411" i="19"/>
  <c r="AE410" i="19"/>
  <c r="AE409" i="19"/>
  <c r="AE408" i="19"/>
  <c r="AE407" i="19"/>
  <c r="AE406" i="19"/>
  <c r="AE405" i="19"/>
  <c r="AE404" i="19"/>
  <c r="AE403" i="19"/>
  <c r="AE402" i="19"/>
  <c r="AE381" i="19"/>
  <c r="AE380" i="19"/>
  <c r="AE370" i="19"/>
  <c r="AE369" i="19"/>
  <c r="AE361" i="19"/>
  <c r="AE360" i="19"/>
  <c r="AE359" i="19"/>
  <c r="AE358" i="19"/>
  <c r="AE357" i="19"/>
  <c r="AE355" i="19"/>
  <c r="AE354" i="19"/>
  <c r="AE347" i="19"/>
  <c r="AE346" i="19"/>
  <c r="AE345" i="19"/>
  <c r="AE335" i="19"/>
  <c r="AE305" i="19"/>
  <c r="AE286" i="19"/>
  <c r="AE269" i="19"/>
  <c r="AE263" i="19"/>
  <c r="AE261" i="19"/>
  <c r="AE225" i="33" l="1"/>
  <c r="AE155" i="33"/>
  <c r="AE356" i="19"/>
  <c r="AE166" i="33"/>
  <c r="AE98" i="33" s="1"/>
  <c r="AE131" i="33"/>
  <c r="AE110" i="33"/>
  <c r="AE123" i="33"/>
  <c r="AE111" i="33"/>
  <c r="AE132" i="19"/>
  <c r="AE353" i="19"/>
  <c r="AE352" i="19" s="1"/>
  <c r="AE97" i="33"/>
  <c r="AE109" i="33"/>
  <c r="AE122" i="33"/>
  <c r="AE129" i="33"/>
  <c r="AE256" i="19"/>
  <c r="AE252" i="19"/>
  <c r="AE250" i="19"/>
  <c r="AE229" i="19"/>
  <c r="AE227" i="19"/>
  <c r="AE226" i="19" s="1"/>
  <c r="J230" i="19"/>
  <c r="AE220" i="19"/>
  <c r="AE217" i="19"/>
  <c r="AE216" i="19"/>
  <c r="AE207" i="19"/>
  <c r="AE191" i="19"/>
  <c r="AE190" i="19"/>
  <c r="AE189" i="19"/>
  <c r="AE187" i="19"/>
  <c r="AE186" i="19"/>
  <c r="AE185" i="19"/>
  <c r="AE184" i="19"/>
  <c r="AE182" i="19"/>
  <c r="AE181" i="19"/>
  <c r="AE180" i="19"/>
  <c r="AE179" i="19"/>
  <c r="AE178" i="19"/>
  <c r="AE429" i="19"/>
  <c r="AE428" i="19"/>
  <c r="AE426" i="19"/>
  <c r="AE425" i="19"/>
  <c r="AE424" i="19"/>
  <c r="AE423" i="19"/>
  <c r="AE422" i="19"/>
  <c r="AE421" i="19"/>
  <c r="AE420" i="19"/>
  <c r="AE419" i="19"/>
  <c r="AE418" i="19"/>
  <c r="AE417" i="19"/>
  <c r="AE416" i="19"/>
  <c r="AE415" i="19"/>
  <c r="AE400" i="19"/>
  <c r="AE399" i="19"/>
  <c r="AE396" i="19"/>
  <c r="AE395" i="19"/>
  <c r="AE394" i="19"/>
  <c r="AE393" i="19"/>
  <c r="AE392" i="19"/>
  <c r="AE391" i="19"/>
  <c r="AE390" i="19"/>
  <c r="AE389" i="19"/>
  <c r="AE388" i="19"/>
  <c r="AE384" i="19"/>
  <c r="AE383" i="19"/>
  <c r="AE382" i="19"/>
  <c r="AE379" i="19" s="1"/>
  <c r="AE378" i="19" s="1"/>
  <c r="AE377" i="19"/>
  <c r="AE375" i="19"/>
  <c r="AE374" i="19"/>
  <c r="AE373" i="19"/>
  <c r="AE372" i="19"/>
  <c r="AE368" i="19"/>
  <c r="AE367" i="19"/>
  <c r="AE366" i="19"/>
  <c r="AE365" i="19"/>
  <c r="AE364" i="19"/>
  <c r="AE363" i="19"/>
  <c r="AE350" i="19"/>
  <c r="AE349" i="19"/>
  <c r="AE348" i="19"/>
  <c r="AE342" i="19"/>
  <c r="AE341" i="19"/>
  <c r="AE340" i="19"/>
  <c r="AE339" i="19"/>
  <c r="AE337" i="19"/>
  <c r="AE336" i="19"/>
  <c r="AE334" i="19"/>
  <c r="AE333" i="19"/>
  <c r="AE332" i="19"/>
  <c r="AE331" i="19"/>
  <c r="AE330" i="19"/>
  <c r="AE329" i="19"/>
  <c r="AE127" i="19"/>
  <c r="AE326" i="19"/>
  <c r="AE325" i="19"/>
  <c r="AE324" i="19"/>
  <c r="AE322" i="19"/>
  <c r="AE321" i="19"/>
  <c r="AE320" i="19"/>
  <c r="AE123" i="19"/>
  <c r="AE316" i="19"/>
  <c r="AE315" i="19"/>
  <c r="AE314" i="19"/>
  <c r="AE313" i="19"/>
  <c r="AE312" i="19"/>
  <c r="AE311" i="19"/>
  <c r="AE309" i="19"/>
  <c r="AE308" i="19"/>
  <c r="AE306" i="19"/>
  <c r="AE304" i="19"/>
  <c r="AE303" i="19"/>
  <c r="AE302" i="19"/>
  <c r="AE301" i="19"/>
  <c r="AE300" i="19"/>
  <c r="AE299" i="19"/>
  <c r="AE298" i="19"/>
  <c r="AE297" i="19"/>
  <c r="AE296" i="19"/>
  <c r="AE295" i="19"/>
  <c r="AE294" i="19"/>
  <c r="AE292" i="19"/>
  <c r="AE290" i="19"/>
  <c r="AE289" i="19"/>
  <c r="AE288" i="19"/>
  <c r="AE284" i="19"/>
  <c r="AE282" i="19"/>
  <c r="AE281" i="19"/>
  <c r="AE280" i="19"/>
  <c r="AE279" i="19"/>
  <c r="AE278" i="19"/>
  <c r="AE277" i="19"/>
  <c r="AE276" i="19"/>
  <c r="AE274" i="19"/>
  <c r="AE273" i="19"/>
  <c r="AE271" i="19"/>
  <c r="AE270" i="19"/>
  <c r="AE267" i="19"/>
  <c r="AE265" i="19"/>
  <c r="AE264" i="19"/>
  <c r="AE262" i="19"/>
  <c r="AE259" i="19"/>
  <c r="AE258" i="19"/>
  <c r="AE257" i="19"/>
  <c r="AE255" i="19"/>
  <c r="AE253" i="19"/>
  <c r="AE251" i="19"/>
  <c r="AE248" i="19"/>
  <c r="AE247" i="19"/>
  <c r="AE246" i="19"/>
  <c r="AE245" i="19"/>
  <c r="AE244" i="19"/>
  <c r="AE243" i="19"/>
  <c r="AE241" i="19"/>
  <c r="AE240" i="19"/>
  <c r="AE238" i="19"/>
  <c r="AE236" i="19"/>
  <c r="AE235" i="19"/>
  <c r="AE234" i="19"/>
  <c r="AE233" i="19"/>
  <c r="AE232" i="19"/>
  <c r="AE231" i="19"/>
  <c r="AE230" i="19"/>
  <c r="AE223" i="19"/>
  <c r="AE222" i="19"/>
  <c r="AE221" i="19"/>
  <c r="AE218" i="19"/>
  <c r="AE215" i="19"/>
  <c r="AE213" i="19"/>
  <c r="AE212" i="19"/>
  <c r="AE211" i="19"/>
  <c r="AE210" i="19"/>
  <c r="AE209" i="19"/>
  <c r="AE208" i="19"/>
  <c r="AE205" i="19"/>
  <c r="AE204" i="19"/>
  <c r="AE202" i="19"/>
  <c r="AE201" i="19"/>
  <c r="AE199" i="19"/>
  <c r="AE198" i="19"/>
  <c r="AE196" i="19"/>
  <c r="AE195" i="19"/>
  <c r="AE194" i="19"/>
  <c r="AE193" i="19"/>
  <c r="AE174" i="19"/>
  <c r="AE173" i="19"/>
  <c r="AE172" i="19"/>
  <c r="AE170" i="19"/>
  <c r="AE168" i="19"/>
  <c r="AE166" i="19"/>
  <c r="AE164" i="19"/>
  <c r="AE155" i="19"/>
  <c r="AA155" i="19"/>
  <c r="AE89" i="19"/>
  <c r="AA89" i="19"/>
  <c r="AE37" i="19"/>
  <c r="AA37" i="19"/>
  <c r="AE36" i="19"/>
  <c r="AA36" i="19"/>
  <c r="AE35" i="19"/>
  <c r="AA35" i="19"/>
  <c r="AE33" i="19"/>
  <c r="AA33" i="19"/>
  <c r="AE24" i="19"/>
  <c r="Z24" i="19"/>
  <c r="AE158" i="19" s="1"/>
  <c r="AE23" i="19"/>
  <c r="AE21" i="19"/>
  <c r="Z21" i="19"/>
  <c r="AE157" i="19" s="1"/>
  <c r="AE20" i="19"/>
  <c r="AE15" i="19"/>
  <c r="Z15" i="19"/>
  <c r="AE14" i="19"/>
  <c r="AE219" i="5"/>
  <c r="AE214" i="5"/>
  <c r="AE212" i="5"/>
  <c r="AE208" i="5"/>
  <c r="AE200" i="5"/>
  <c r="AE166" i="5"/>
  <c r="E13" i="5"/>
  <c r="E13" i="2"/>
  <c r="AE367" i="5"/>
  <c r="AE366" i="5"/>
  <c r="AE365" i="5" s="1"/>
  <c r="AE333" i="5"/>
  <c r="AE332" i="5"/>
  <c r="AE331" i="5"/>
  <c r="AE329" i="5"/>
  <c r="AE321" i="5" s="1"/>
  <c r="AE304" i="5" s="1"/>
  <c r="AE223" i="5"/>
  <c r="AE222" i="5"/>
  <c r="AE221" i="5"/>
  <c r="AE217" i="5"/>
  <c r="AE216" i="5"/>
  <c r="AE215" i="5"/>
  <c r="AE210" i="5"/>
  <c r="AE204" i="5"/>
  <c r="AE202" i="5"/>
  <c r="AE201" i="5"/>
  <c r="AE198" i="5"/>
  <c r="AE197" i="5"/>
  <c r="AE195" i="5"/>
  <c r="AE194" i="5"/>
  <c r="AE191" i="5"/>
  <c r="AE179" i="5"/>
  <c r="AE178" i="5"/>
  <c r="AE176" i="5"/>
  <c r="AE175" i="5"/>
  <c r="AE174" i="5"/>
  <c r="AE169" i="5"/>
  <c r="AE168" i="5"/>
  <c r="AE163" i="5"/>
  <c r="AE162" i="5"/>
  <c r="AE161" i="5"/>
  <c r="AE159" i="5" s="1"/>
  <c r="AE160" i="5"/>
  <c r="AE157" i="5"/>
  <c r="AE156" i="5"/>
  <c r="AE155" i="5"/>
  <c r="AE154" i="5" s="1"/>
  <c r="AE147" i="5"/>
  <c r="AA147" i="5"/>
  <c r="AE89" i="5"/>
  <c r="AA89" i="5"/>
  <c r="AE37" i="5"/>
  <c r="AA37" i="5"/>
  <c r="AE36" i="5"/>
  <c r="AA36" i="5"/>
  <c r="AE35" i="5"/>
  <c r="AA35" i="5"/>
  <c r="AE33" i="5"/>
  <c r="AA33" i="5"/>
  <c r="AE24" i="5"/>
  <c r="Z24" i="5"/>
  <c r="AE92" i="5" s="1"/>
  <c r="AE23" i="5"/>
  <c r="AE21" i="5"/>
  <c r="Z21" i="5"/>
  <c r="AE149" i="5" s="1"/>
  <c r="AE20" i="5"/>
  <c r="AE15" i="5"/>
  <c r="AE14" i="5"/>
  <c r="J302" i="43"/>
  <c r="J37" i="43"/>
  <c r="J36" i="43"/>
  <c r="AY136" i="1" s="1"/>
  <c r="J35" i="43"/>
  <c r="AX136" i="1"/>
  <c r="BI348" i="43"/>
  <c r="BH348" i="43"/>
  <c r="BG348" i="43"/>
  <c r="BE348" i="43"/>
  <c r="T348" i="43"/>
  <c r="R348" i="43"/>
  <c r="P348" i="43"/>
  <c r="BK348" i="43"/>
  <c r="BK344" i="43" s="1"/>
  <c r="J348" i="43"/>
  <c r="BF348" i="43" s="1"/>
  <c r="BI347" i="43"/>
  <c r="BH347" i="43"/>
  <c r="BG347" i="43"/>
  <c r="BE347" i="43"/>
  <c r="T347" i="43"/>
  <c r="R347" i="43"/>
  <c r="P347" i="43"/>
  <c r="BK347" i="43"/>
  <c r="J347" i="43"/>
  <c r="BF347" i="43"/>
  <c r="BI346" i="43"/>
  <c r="BH346" i="43"/>
  <c r="BG346" i="43"/>
  <c r="BE346" i="43"/>
  <c r="T346" i="43"/>
  <c r="R346" i="43"/>
  <c r="P346" i="43"/>
  <c r="BK346" i="43"/>
  <c r="J346" i="43"/>
  <c r="BF346" i="43" s="1"/>
  <c r="BI345" i="43"/>
  <c r="BH345" i="43"/>
  <c r="BG345" i="43"/>
  <c r="BE345" i="43"/>
  <c r="T345" i="43"/>
  <c r="R345" i="43"/>
  <c r="R344" i="43"/>
  <c r="P345" i="43"/>
  <c r="BK345" i="43"/>
  <c r="J344" i="43"/>
  <c r="J120" i="43" s="1"/>
  <c r="J345" i="43"/>
  <c r="BF345" i="43" s="1"/>
  <c r="BI343" i="43"/>
  <c r="BH343" i="43"/>
  <c r="BG343" i="43"/>
  <c r="BE343" i="43"/>
  <c r="T343" i="43"/>
  <c r="R343" i="43"/>
  <c r="P343" i="43"/>
  <c r="BK343" i="43"/>
  <c r="J343" i="43"/>
  <c r="BF343" i="43" s="1"/>
  <c r="BI342" i="43"/>
  <c r="BH342" i="43"/>
  <c r="BG342" i="43"/>
  <c r="BE342" i="43"/>
  <c r="T342" i="43"/>
  <c r="R342" i="43"/>
  <c r="P342" i="43"/>
  <c r="BK342" i="43"/>
  <c r="J342" i="43"/>
  <c r="BF342" i="43" s="1"/>
  <c r="BI341" i="43"/>
  <c r="BH341" i="43"/>
  <c r="BG341" i="43"/>
  <c r="BE341" i="43"/>
  <c r="T341" i="43"/>
  <c r="R341" i="43"/>
  <c r="P341" i="43"/>
  <c r="BK341" i="43"/>
  <c r="J341" i="43"/>
  <c r="BF341" i="43" s="1"/>
  <c r="BI340" i="43"/>
  <c r="BH340" i="43"/>
  <c r="BG340" i="43"/>
  <c r="BE340" i="43"/>
  <c r="T340" i="43"/>
  <c r="R340" i="43"/>
  <c r="P340" i="43"/>
  <c r="BK340" i="43"/>
  <c r="J340" i="43"/>
  <c r="BF340" i="43" s="1"/>
  <c r="BI338" i="43"/>
  <c r="BH338" i="43"/>
  <c r="BG338" i="43"/>
  <c r="BE338" i="43"/>
  <c r="T338" i="43"/>
  <c r="R338" i="43"/>
  <c r="P338" i="43"/>
  <c r="BK338" i="43"/>
  <c r="J338" i="43"/>
  <c r="BF338" i="43"/>
  <c r="BI337" i="43"/>
  <c r="BH337" i="43"/>
  <c r="BG337" i="43"/>
  <c r="BE337" i="43"/>
  <c r="T337" i="43"/>
  <c r="T335" i="43" s="1"/>
  <c r="R337" i="43"/>
  <c r="P337" i="43"/>
  <c r="BK337" i="43"/>
  <c r="J337" i="43"/>
  <c r="BF337" i="43" s="1"/>
  <c r="BI336" i="43"/>
  <c r="BH336" i="43"/>
  <c r="BG336" i="43"/>
  <c r="BE336" i="43"/>
  <c r="T336" i="43"/>
  <c r="R336" i="43"/>
  <c r="P336" i="43"/>
  <c r="P335" i="43" s="1"/>
  <c r="BK336" i="43"/>
  <c r="J336" i="43"/>
  <c r="BF336" i="43" s="1"/>
  <c r="BI334" i="43"/>
  <c r="BH334" i="43"/>
  <c r="BG334" i="43"/>
  <c r="BE334" i="43"/>
  <c r="T334" i="43"/>
  <c r="R334" i="43"/>
  <c r="P334" i="43"/>
  <c r="BK334" i="43"/>
  <c r="J334" i="43"/>
  <c r="BF334" i="43" s="1"/>
  <c r="BI333" i="43"/>
  <c r="BH333" i="43"/>
  <c r="BG333" i="43"/>
  <c r="BE333" i="43"/>
  <c r="T333" i="43"/>
  <c r="R333" i="43"/>
  <c r="P333" i="43"/>
  <c r="BK333" i="43"/>
  <c r="J333" i="43"/>
  <c r="BF333" i="43" s="1"/>
  <c r="BI332" i="43"/>
  <c r="BH332" i="43"/>
  <c r="BG332" i="43"/>
  <c r="BE332" i="43"/>
  <c r="T332" i="43"/>
  <c r="R332" i="43"/>
  <c r="P332" i="43"/>
  <c r="BK332" i="43"/>
  <c r="J332" i="43"/>
  <c r="BF332" i="43" s="1"/>
  <c r="BI331" i="43"/>
  <c r="BH331" i="43"/>
  <c r="BG331" i="43"/>
  <c r="BE331" i="43"/>
  <c r="T331" i="43"/>
  <c r="R331" i="43"/>
  <c r="P331" i="43"/>
  <c r="BK331" i="43"/>
  <c r="J331" i="43"/>
  <c r="BF331" i="43" s="1"/>
  <c r="BI330" i="43"/>
  <c r="BH330" i="43"/>
  <c r="BG330" i="43"/>
  <c r="BE330" i="43"/>
  <c r="T330" i="43"/>
  <c r="R330" i="43"/>
  <c r="P330" i="43"/>
  <c r="BK330" i="43"/>
  <c r="J330" i="43"/>
  <c r="BF330" i="43"/>
  <c r="BI329" i="43"/>
  <c r="BH329" i="43"/>
  <c r="BG329" i="43"/>
  <c r="BE329" i="43"/>
  <c r="T329" i="43"/>
  <c r="R329" i="43"/>
  <c r="P329" i="43"/>
  <c r="BK329" i="43"/>
  <c r="J329" i="43"/>
  <c r="BF329" i="43" s="1"/>
  <c r="BI328" i="43"/>
  <c r="BH328" i="43"/>
  <c r="BG328" i="43"/>
  <c r="BE328" i="43"/>
  <c r="T328" i="43"/>
  <c r="R328" i="43"/>
  <c r="P328" i="43"/>
  <c r="BK328" i="43"/>
  <c r="J328" i="43"/>
  <c r="BF328" i="43"/>
  <c r="BI327" i="43"/>
  <c r="BH327" i="43"/>
  <c r="BG327" i="43"/>
  <c r="BE327" i="43"/>
  <c r="T327" i="43"/>
  <c r="R327" i="43"/>
  <c r="P327" i="43"/>
  <c r="BK327" i="43"/>
  <c r="J327" i="43"/>
  <c r="BF327" i="43" s="1"/>
  <c r="BI326" i="43"/>
  <c r="BH326" i="43"/>
  <c r="BG326" i="43"/>
  <c r="BE326" i="43"/>
  <c r="T326" i="43"/>
  <c r="R326" i="43"/>
  <c r="P326" i="43"/>
  <c r="BK326" i="43"/>
  <c r="J326" i="43"/>
  <c r="BF326" i="43" s="1"/>
  <c r="BI325" i="43"/>
  <c r="BH325" i="43"/>
  <c r="BG325" i="43"/>
  <c r="BE325" i="43"/>
  <c r="T325" i="43"/>
  <c r="R325" i="43"/>
  <c r="P325" i="43"/>
  <c r="BK325" i="43"/>
  <c r="J325" i="43"/>
  <c r="BF325" i="43" s="1"/>
  <c r="BI324" i="43"/>
  <c r="BH324" i="43"/>
  <c r="BG324" i="43"/>
  <c r="BE324" i="43"/>
  <c r="T324" i="43"/>
  <c r="R324" i="43"/>
  <c r="P324" i="43"/>
  <c r="P323" i="43"/>
  <c r="BK324" i="43"/>
  <c r="J324" i="43"/>
  <c r="BF324" i="43"/>
  <c r="BI322" i="43"/>
  <c r="BH322" i="43"/>
  <c r="BG322" i="43"/>
  <c r="BE322" i="43"/>
  <c r="T322" i="43"/>
  <c r="R322" i="43"/>
  <c r="P322" i="43"/>
  <c r="BK322" i="43"/>
  <c r="J322" i="43"/>
  <c r="BF322" i="43" s="1"/>
  <c r="BI321" i="43"/>
  <c r="BH321" i="43"/>
  <c r="BG321" i="43"/>
  <c r="BE321" i="43"/>
  <c r="T321" i="43"/>
  <c r="R321" i="43"/>
  <c r="P321" i="43"/>
  <c r="BK321" i="43"/>
  <c r="J321" i="43"/>
  <c r="BF321" i="43" s="1"/>
  <c r="BI320" i="43"/>
  <c r="BH320" i="43"/>
  <c r="BG320" i="43"/>
  <c r="BE320" i="43"/>
  <c r="T320" i="43"/>
  <c r="R320" i="43"/>
  <c r="P320" i="43"/>
  <c r="BK320" i="43"/>
  <c r="J320" i="43"/>
  <c r="BF320" i="43"/>
  <c r="BI319" i="43"/>
  <c r="BH319" i="43"/>
  <c r="BG319" i="43"/>
  <c r="BE319" i="43"/>
  <c r="T319" i="43"/>
  <c r="R319" i="43"/>
  <c r="P319" i="43"/>
  <c r="BK319" i="43"/>
  <c r="J319" i="43"/>
  <c r="BF319" i="43" s="1"/>
  <c r="BI318" i="43"/>
  <c r="BH318" i="43"/>
  <c r="BG318" i="43"/>
  <c r="BE318" i="43"/>
  <c r="T318" i="43"/>
  <c r="R318" i="43"/>
  <c r="P318" i="43"/>
  <c r="BK318" i="43"/>
  <c r="J318" i="43"/>
  <c r="BF318" i="43"/>
  <c r="BI317" i="43"/>
  <c r="BH317" i="43"/>
  <c r="BG317" i="43"/>
  <c r="BE317" i="43"/>
  <c r="T317" i="43"/>
  <c r="R317" i="43"/>
  <c r="P317" i="43"/>
  <c r="BK317" i="43"/>
  <c r="J317" i="43"/>
  <c r="BF317" i="43" s="1"/>
  <c r="BI316" i="43"/>
  <c r="BH316" i="43"/>
  <c r="BG316" i="43"/>
  <c r="BE316" i="43"/>
  <c r="T316" i="43"/>
  <c r="R316" i="43"/>
  <c r="P316" i="43"/>
  <c r="BK316" i="43"/>
  <c r="BK312" i="43" s="1"/>
  <c r="J316" i="43"/>
  <c r="BF316" i="43" s="1"/>
  <c r="BI315" i="43"/>
  <c r="BH315" i="43"/>
  <c r="BG315" i="43"/>
  <c r="BE315" i="43"/>
  <c r="T315" i="43"/>
  <c r="R315" i="43"/>
  <c r="R312" i="43" s="1"/>
  <c r="P315" i="43"/>
  <c r="BK315" i="43"/>
  <c r="J315" i="43"/>
  <c r="BF315" i="43" s="1"/>
  <c r="BI314" i="43"/>
  <c r="BH314" i="43"/>
  <c r="BG314" i="43"/>
  <c r="BE314" i="43"/>
  <c r="T314" i="43"/>
  <c r="R314" i="43"/>
  <c r="P314" i="43"/>
  <c r="BK314" i="43"/>
  <c r="J314" i="43"/>
  <c r="BF314" i="43" s="1"/>
  <c r="BI313" i="43"/>
  <c r="BH313" i="43"/>
  <c r="BG313" i="43"/>
  <c r="BE313" i="43"/>
  <c r="T313" i="43"/>
  <c r="R313" i="43"/>
  <c r="P313" i="43"/>
  <c r="BK313" i="43"/>
  <c r="J312" i="43"/>
  <c r="J116" i="43" s="1"/>
  <c r="J313" i="43"/>
  <c r="BF313" i="43" s="1"/>
  <c r="BI311" i="43"/>
  <c r="BH311" i="43"/>
  <c r="BG311" i="43"/>
  <c r="BE311" i="43"/>
  <c r="T311" i="43"/>
  <c r="R311" i="43"/>
  <c r="P311" i="43"/>
  <c r="BK311" i="43"/>
  <c r="J311" i="43"/>
  <c r="BF311" i="43"/>
  <c r="BI310" i="43"/>
  <c r="BH310" i="43"/>
  <c r="BG310" i="43"/>
  <c r="BE310" i="43"/>
  <c r="T310" i="43"/>
  <c r="R310" i="43"/>
  <c r="P310" i="43"/>
  <c r="BK310" i="43"/>
  <c r="J310" i="43"/>
  <c r="BF310" i="43" s="1"/>
  <c r="BI309" i="43"/>
  <c r="BH309" i="43"/>
  <c r="BG309" i="43"/>
  <c r="BE309" i="43"/>
  <c r="T309" i="43"/>
  <c r="R309" i="43"/>
  <c r="P309" i="43"/>
  <c r="BK309" i="43"/>
  <c r="J309" i="43"/>
  <c r="BF309" i="43"/>
  <c r="BI308" i="43"/>
  <c r="BH308" i="43"/>
  <c r="BG308" i="43"/>
  <c r="BE308" i="43"/>
  <c r="T308" i="43"/>
  <c r="R308" i="43"/>
  <c r="P308" i="43"/>
  <c r="BK308" i="43"/>
  <c r="J308" i="43"/>
  <c r="BF308" i="43" s="1"/>
  <c r="BI307" i="43"/>
  <c r="BH307" i="43"/>
  <c r="BG307" i="43"/>
  <c r="BE307" i="43"/>
  <c r="T307" i="43"/>
  <c r="R307" i="43"/>
  <c r="P307" i="43"/>
  <c r="BK307" i="43"/>
  <c r="J307" i="43"/>
  <c r="BF307" i="43" s="1"/>
  <c r="BI305" i="43"/>
  <c r="BH305" i="43"/>
  <c r="BG305" i="43"/>
  <c r="BE305" i="43"/>
  <c r="T305" i="43"/>
  <c r="R305" i="43"/>
  <c r="P305" i="43"/>
  <c r="BK305" i="43"/>
  <c r="J305" i="43"/>
  <c r="BF305" i="43" s="1"/>
  <c r="BI304" i="43"/>
  <c r="BH304" i="43"/>
  <c r="BG304" i="43"/>
  <c r="BE304" i="43"/>
  <c r="T304" i="43"/>
  <c r="T303" i="43"/>
  <c r="R304" i="43"/>
  <c r="R303" i="43" s="1"/>
  <c r="P304" i="43"/>
  <c r="P303" i="43"/>
  <c r="BK304" i="43"/>
  <c r="J304" i="43"/>
  <c r="BF304" i="43" s="1"/>
  <c r="J113" i="43"/>
  <c r="BI301" i="43"/>
  <c r="BH301" i="43"/>
  <c r="BG301" i="43"/>
  <c r="BE301" i="43"/>
  <c r="T301" i="43"/>
  <c r="R301" i="43"/>
  <c r="P301" i="43"/>
  <c r="BK301" i="43"/>
  <c r="J301" i="43"/>
  <c r="BF301" i="43" s="1"/>
  <c r="BI300" i="43"/>
  <c r="BH300" i="43"/>
  <c r="BG300" i="43"/>
  <c r="BE300" i="43"/>
  <c r="T300" i="43"/>
  <c r="R300" i="43"/>
  <c r="P300" i="43"/>
  <c r="BK300" i="43"/>
  <c r="J300" i="43"/>
  <c r="BF300" i="43" s="1"/>
  <c r="BI299" i="43"/>
  <c r="BH299" i="43"/>
  <c r="BG299" i="43"/>
  <c r="BE299" i="43"/>
  <c r="T299" i="43"/>
  <c r="R299" i="43"/>
  <c r="R297" i="43" s="1"/>
  <c r="P299" i="43"/>
  <c r="BK299" i="43"/>
  <c r="J299" i="43"/>
  <c r="BF299" i="43"/>
  <c r="BI298" i="43"/>
  <c r="BH298" i="43"/>
  <c r="BG298" i="43"/>
  <c r="BE298" i="43"/>
  <c r="T298" i="43"/>
  <c r="R298" i="43"/>
  <c r="P298" i="43"/>
  <c r="BK298" i="43"/>
  <c r="BK297" i="43" s="1"/>
  <c r="J297" i="43" s="1"/>
  <c r="J112" i="43" s="1"/>
  <c r="J298" i="43"/>
  <c r="BF298" i="43" s="1"/>
  <c r="BI296" i="43"/>
  <c r="BH296" i="43"/>
  <c r="BG296" i="43"/>
  <c r="BE296" i="43"/>
  <c r="T296" i="43"/>
  <c r="R296" i="43"/>
  <c r="P296" i="43"/>
  <c r="BK296" i="43"/>
  <c r="J296" i="43"/>
  <c r="BF296" i="43" s="1"/>
  <c r="BI295" i="43"/>
  <c r="BH295" i="43"/>
  <c r="BG295" i="43"/>
  <c r="BE295" i="43"/>
  <c r="T295" i="43"/>
  <c r="R295" i="43"/>
  <c r="P295" i="43"/>
  <c r="BK295" i="43"/>
  <c r="J295" i="43"/>
  <c r="BF295" i="43" s="1"/>
  <c r="BI294" i="43"/>
  <c r="BH294" i="43"/>
  <c r="BG294" i="43"/>
  <c r="BE294" i="43"/>
  <c r="T294" i="43"/>
  <c r="R294" i="43"/>
  <c r="P294" i="43"/>
  <c r="BK294" i="43"/>
  <c r="J294" i="43"/>
  <c r="BF294" i="43" s="1"/>
  <c r="BI293" i="43"/>
  <c r="BH293" i="43"/>
  <c r="BG293" i="43"/>
  <c r="BE293" i="43"/>
  <c r="T293" i="43"/>
  <c r="R293" i="43"/>
  <c r="P293" i="43"/>
  <c r="BK293" i="43"/>
  <c r="J293" i="43"/>
  <c r="BF293" i="43"/>
  <c r="BI291" i="43"/>
  <c r="BH291" i="43"/>
  <c r="BG291" i="43"/>
  <c r="BE291" i="43"/>
  <c r="T291" i="43"/>
  <c r="R291" i="43"/>
  <c r="P291" i="43"/>
  <c r="BK291" i="43"/>
  <c r="J291" i="43"/>
  <c r="BF291" i="43" s="1"/>
  <c r="BI290" i="43"/>
  <c r="BH290" i="43"/>
  <c r="BG290" i="43"/>
  <c r="BE290" i="43"/>
  <c r="T290" i="43"/>
  <c r="R290" i="43"/>
  <c r="P290" i="43"/>
  <c r="BK290" i="43"/>
  <c r="J290" i="43"/>
  <c r="BF290" i="43" s="1"/>
  <c r="BI289" i="43"/>
  <c r="BH289" i="43"/>
  <c r="BG289" i="43"/>
  <c r="BE289" i="43"/>
  <c r="T289" i="43"/>
  <c r="R289" i="43"/>
  <c r="P289" i="43"/>
  <c r="BK289" i="43"/>
  <c r="J289" i="43"/>
  <c r="BF289" i="43" s="1"/>
  <c r="BI287" i="43"/>
  <c r="BH287" i="43"/>
  <c r="BG287" i="43"/>
  <c r="BE287" i="43"/>
  <c r="T287" i="43"/>
  <c r="R287" i="43"/>
  <c r="P287" i="43"/>
  <c r="BK287" i="43"/>
  <c r="J287" i="43"/>
  <c r="BF287" i="43" s="1"/>
  <c r="BI286" i="43"/>
  <c r="BH286" i="43"/>
  <c r="BG286" i="43"/>
  <c r="BE286" i="43"/>
  <c r="T286" i="43"/>
  <c r="R286" i="43"/>
  <c r="P286" i="43"/>
  <c r="BK286" i="43"/>
  <c r="J286" i="43"/>
  <c r="BF286" i="43" s="1"/>
  <c r="BI285" i="43"/>
  <c r="BH285" i="43"/>
  <c r="BG285" i="43"/>
  <c r="BE285" i="43"/>
  <c r="T285" i="43"/>
  <c r="R285" i="43"/>
  <c r="P285" i="43"/>
  <c r="BK285" i="43"/>
  <c r="J285" i="43"/>
  <c r="BF285" i="43" s="1"/>
  <c r="BI284" i="43"/>
  <c r="BH284" i="43"/>
  <c r="BG284" i="43"/>
  <c r="BE284" i="43"/>
  <c r="T284" i="43"/>
  <c r="R284" i="43"/>
  <c r="P284" i="43"/>
  <c r="BK284" i="43"/>
  <c r="J284" i="43"/>
  <c r="BF284" i="43" s="1"/>
  <c r="BI283" i="43"/>
  <c r="BH283" i="43"/>
  <c r="BG283" i="43"/>
  <c r="BE283" i="43"/>
  <c r="T283" i="43"/>
  <c r="R283" i="43"/>
  <c r="P283" i="43"/>
  <c r="BK283" i="43"/>
  <c r="J283" i="43"/>
  <c r="BF283" i="43" s="1"/>
  <c r="BI282" i="43"/>
  <c r="BH282" i="43"/>
  <c r="BG282" i="43"/>
  <c r="BE282" i="43"/>
  <c r="T282" i="43"/>
  <c r="R282" i="43"/>
  <c r="P282" i="43"/>
  <c r="BK282" i="43"/>
  <c r="J282" i="43"/>
  <c r="BF282" i="43" s="1"/>
  <c r="BI281" i="43"/>
  <c r="BH281" i="43"/>
  <c r="BG281" i="43"/>
  <c r="BE281" i="43"/>
  <c r="T281" i="43"/>
  <c r="R281" i="43"/>
  <c r="P281" i="43"/>
  <c r="BK281" i="43"/>
  <c r="J281" i="43"/>
  <c r="BF281" i="43" s="1"/>
  <c r="BI280" i="43"/>
  <c r="BH280" i="43"/>
  <c r="BG280" i="43"/>
  <c r="BE280" i="43"/>
  <c r="T280" i="43"/>
  <c r="R280" i="43"/>
  <c r="P280" i="43"/>
  <c r="BK280" i="43"/>
  <c r="J280" i="43"/>
  <c r="BF280" i="43" s="1"/>
  <c r="BI279" i="43"/>
  <c r="BH279" i="43"/>
  <c r="BG279" i="43"/>
  <c r="BE279" i="43"/>
  <c r="T279" i="43"/>
  <c r="R279" i="43"/>
  <c r="P279" i="43"/>
  <c r="BK279" i="43"/>
  <c r="J279" i="43"/>
  <c r="BF279" i="43" s="1"/>
  <c r="BI278" i="43"/>
  <c r="BH278" i="43"/>
  <c r="BG278" i="43"/>
  <c r="BE278" i="43"/>
  <c r="T278" i="43"/>
  <c r="R278" i="43"/>
  <c r="P278" i="43"/>
  <c r="BK278" i="43"/>
  <c r="J278" i="43"/>
  <c r="BF278" i="43" s="1"/>
  <c r="BI277" i="43"/>
  <c r="BH277" i="43"/>
  <c r="BG277" i="43"/>
  <c r="BE277" i="43"/>
  <c r="T277" i="43"/>
  <c r="R277" i="43"/>
  <c r="P277" i="43"/>
  <c r="BK277" i="43"/>
  <c r="J277" i="43"/>
  <c r="BF277" i="43"/>
  <c r="BI276" i="43"/>
  <c r="BH276" i="43"/>
  <c r="BG276" i="43"/>
  <c r="BE276" i="43"/>
  <c r="T276" i="43"/>
  <c r="R276" i="43"/>
  <c r="P276" i="43"/>
  <c r="BK276" i="43"/>
  <c r="J276" i="43"/>
  <c r="BF276" i="43" s="1"/>
  <c r="BI275" i="43"/>
  <c r="BH275" i="43"/>
  <c r="BG275" i="43"/>
  <c r="BE275" i="43"/>
  <c r="T275" i="43"/>
  <c r="R275" i="43"/>
  <c r="P275" i="43"/>
  <c r="BK275" i="43"/>
  <c r="J275" i="43"/>
  <c r="BF275" i="43"/>
  <c r="BI274" i="43"/>
  <c r="BH274" i="43"/>
  <c r="BG274" i="43"/>
  <c r="BE274" i="43"/>
  <c r="T274" i="43"/>
  <c r="R274" i="43"/>
  <c r="P274" i="43"/>
  <c r="BK274" i="43"/>
  <c r="J274" i="43"/>
  <c r="BF274" i="43" s="1"/>
  <c r="BI273" i="43"/>
  <c r="BH273" i="43"/>
  <c r="BG273" i="43"/>
  <c r="BE273" i="43"/>
  <c r="T273" i="43"/>
  <c r="R273" i="43"/>
  <c r="P273" i="43"/>
  <c r="BK273" i="43"/>
  <c r="J273" i="43"/>
  <c r="BF273" i="43" s="1"/>
  <c r="BI271" i="43"/>
  <c r="BH271" i="43"/>
  <c r="BG271" i="43"/>
  <c r="BE271" i="43"/>
  <c r="T271" i="43"/>
  <c r="R271" i="43"/>
  <c r="P271" i="43"/>
  <c r="BK271" i="43"/>
  <c r="J271" i="43"/>
  <c r="BF271" i="43"/>
  <c r="BI270" i="43"/>
  <c r="BH270" i="43"/>
  <c r="BG270" i="43"/>
  <c r="BE270" i="43"/>
  <c r="T270" i="43"/>
  <c r="R270" i="43"/>
  <c r="P270" i="43"/>
  <c r="BK270" i="43"/>
  <c r="J270" i="43"/>
  <c r="BF270" i="43" s="1"/>
  <c r="BI269" i="43"/>
  <c r="BH269" i="43"/>
  <c r="BG269" i="43"/>
  <c r="BE269" i="43"/>
  <c r="T269" i="43"/>
  <c r="R269" i="43"/>
  <c r="P269" i="43"/>
  <c r="BK269" i="43"/>
  <c r="J269" i="43"/>
  <c r="BF269" i="43" s="1"/>
  <c r="BI268" i="43"/>
  <c r="BH268" i="43"/>
  <c r="BG268" i="43"/>
  <c r="BE268" i="43"/>
  <c r="T268" i="43"/>
  <c r="R268" i="43"/>
  <c r="P268" i="43"/>
  <c r="BK268" i="43"/>
  <c r="J268" i="43"/>
  <c r="BF268" i="43" s="1"/>
  <c r="BI267" i="43"/>
  <c r="BH267" i="43"/>
  <c r="BG267" i="43"/>
  <c r="BE267" i="43"/>
  <c r="T267" i="43"/>
  <c r="R267" i="43"/>
  <c r="P267" i="43"/>
  <c r="BK267" i="43"/>
  <c r="J267" i="43"/>
  <c r="BF267" i="43" s="1"/>
  <c r="BI266" i="43"/>
  <c r="BH266" i="43"/>
  <c r="BG266" i="43"/>
  <c r="BE266" i="43"/>
  <c r="T266" i="43"/>
  <c r="R266" i="43"/>
  <c r="P266" i="43"/>
  <c r="BK266" i="43"/>
  <c r="J266" i="43"/>
  <c r="BF266" i="43" s="1"/>
  <c r="BI265" i="43"/>
  <c r="BH265" i="43"/>
  <c r="BG265" i="43"/>
  <c r="BE265" i="43"/>
  <c r="T265" i="43"/>
  <c r="R265" i="43"/>
  <c r="P265" i="43"/>
  <c r="BK265" i="43"/>
  <c r="J265" i="43"/>
  <c r="BF265" i="43" s="1"/>
  <c r="BI264" i="43"/>
  <c r="BH264" i="43"/>
  <c r="BG264" i="43"/>
  <c r="BE264" i="43"/>
  <c r="T264" i="43"/>
  <c r="R264" i="43"/>
  <c r="P264" i="43"/>
  <c r="BK264" i="43"/>
  <c r="J264" i="43"/>
  <c r="BF264" i="43" s="1"/>
  <c r="BI263" i="43"/>
  <c r="BH263" i="43"/>
  <c r="BG263" i="43"/>
  <c r="BE263" i="43"/>
  <c r="T263" i="43"/>
  <c r="R263" i="43"/>
  <c r="P263" i="43"/>
  <c r="BK263" i="43"/>
  <c r="J263" i="43"/>
  <c r="BF263" i="43" s="1"/>
  <c r="BI262" i="43"/>
  <c r="BH262" i="43"/>
  <c r="BG262" i="43"/>
  <c r="BE262" i="43"/>
  <c r="T262" i="43"/>
  <c r="R262" i="43"/>
  <c r="P262" i="43"/>
  <c r="BK262" i="43"/>
  <c r="J262" i="43"/>
  <c r="BF262" i="43" s="1"/>
  <c r="BI261" i="43"/>
  <c r="BH261" i="43"/>
  <c r="BG261" i="43"/>
  <c r="BE261" i="43"/>
  <c r="T261" i="43"/>
  <c r="R261" i="43"/>
  <c r="P261" i="43"/>
  <c r="BK261" i="43"/>
  <c r="J261" i="43"/>
  <c r="BF261" i="43" s="1"/>
  <c r="BI260" i="43"/>
  <c r="BH260" i="43"/>
  <c r="BG260" i="43"/>
  <c r="BE260" i="43"/>
  <c r="T260" i="43"/>
  <c r="R260" i="43"/>
  <c r="P260" i="43"/>
  <c r="BK260" i="43"/>
  <c r="J260" i="43"/>
  <c r="BF260" i="43" s="1"/>
  <c r="BI259" i="43"/>
  <c r="BH259" i="43"/>
  <c r="BG259" i="43"/>
  <c r="BE259" i="43"/>
  <c r="T259" i="43"/>
  <c r="R259" i="43"/>
  <c r="P259" i="43"/>
  <c r="BK259" i="43"/>
  <c r="J259" i="43"/>
  <c r="BF259" i="43" s="1"/>
  <c r="BI258" i="43"/>
  <c r="BH258" i="43"/>
  <c r="BG258" i="43"/>
  <c r="BE258" i="43"/>
  <c r="T258" i="43"/>
  <c r="R258" i="43"/>
  <c r="P258" i="43"/>
  <c r="BK258" i="43"/>
  <c r="J258" i="43"/>
  <c r="BF258" i="43" s="1"/>
  <c r="BI257" i="43"/>
  <c r="BH257" i="43"/>
  <c r="BG257" i="43"/>
  <c r="BE257" i="43"/>
  <c r="T257" i="43"/>
  <c r="R257" i="43"/>
  <c r="P257" i="43"/>
  <c r="BK257" i="43"/>
  <c r="J257" i="43"/>
  <c r="BF257" i="43"/>
  <c r="BI256" i="43"/>
  <c r="BH256" i="43"/>
  <c r="BG256" i="43"/>
  <c r="BE256" i="43"/>
  <c r="T256" i="43"/>
  <c r="R256" i="43"/>
  <c r="P256" i="43"/>
  <c r="BK256" i="43"/>
  <c r="J256" i="43"/>
  <c r="BF256" i="43" s="1"/>
  <c r="BI255" i="43"/>
  <c r="BH255" i="43"/>
  <c r="BG255" i="43"/>
  <c r="BE255" i="43"/>
  <c r="T255" i="43"/>
  <c r="R255" i="43"/>
  <c r="P255" i="43"/>
  <c r="BK255" i="43"/>
  <c r="J255" i="43"/>
  <c r="BF255" i="43"/>
  <c r="BI254" i="43"/>
  <c r="BH254" i="43"/>
  <c r="BG254" i="43"/>
  <c r="BE254" i="43"/>
  <c r="T254" i="43"/>
  <c r="T253" i="43" s="1"/>
  <c r="R254" i="43"/>
  <c r="P254" i="43"/>
  <c r="BK254" i="43"/>
  <c r="J254" i="43"/>
  <c r="BF254" i="43" s="1"/>
  <c r="BI252" i="43"/>
  <c r="BH252" i="43"/>
  <c r="BG252" i="43"/>
  <c r="BE252" i="43"/>
  <c r="T252" i="43"/>
  <c r="R252" i="43"/>
  <c r="P252" i="43"/>
  <c r="BK252" i="43"/>
  <c r="J252" i="43"/>
  <c r="BF252" i="43" s="1"/>
  <c r="BI251" i="43"/>
  <c r="BH251" i="43"/>
  <c r="BG251" i="43"/>
  <c r="BE251" i="43"/>
  <c r="T251" i="43"/>
  <c r="R251" i="43"/>
  <c r="P251" i="43"/>
  <c r="BK251" i="43"/>
  <c r="J251" i="43"/>
  <c r="BF251" i="43"/>
  <c r="BI250" i="43"/>
  <c r="BH250" i="43"/>
  <c r="BG250" i="43"/>
  <c r="BE250" i="43"/>
  <c r="T250" i="43"/>
  <c r="R250" i="43"/>
  <c r="P250" i="43"/>
  <c r="BK250" i="43"/>
  <c r="J250" i="43"/>
  <c r="BF250" i="43" s="1"/>
  <c r="BI249" i="43"/>
  <c r="BH249" i="43"/>
  <c r="BG249" i="43"/>
  <c r="BE249" i="43"/>
  <c r="T249" i="43"/>
  <c r="R249" i="43"/>
  <c r="P249" i="43"/>
  <c r="BK249" i="43"/>
  <c r="J249" i="43"/>
  <c r="BF249" i="43"/>
  <c r="BI248" i="43"/>
  <c r="BH248" i="43"/>
  <c r="BG248" i="43"/>
  <c r="BE248" i="43"/>
  <c r="T248" i="43"/>
  <c r="R248" i="43"/>
  <c r="P248" i="43"/>
  <c r="BK248" i="43"/>
  <c r="J248" i="43"/>
  <c r="BF248" i="43" s="1"/>
  <c r="BI247" i="43"/>
  <c r="BH247" i="43"/>
  <c r="BG247" i="43"/>
  <c r="BE247" i="43"/>
  <c r="T247" i="43"/>
  <c r="R247" i="43"/>
  <c r="P247" i="43"/>
  <c r="BK247" i="43"/>
  <c r="J247" i="43"/>
  <c r="BF247" i="43" s="1"/>
  <c r="BI246" i="43"/>
  <c r="BH246" i="43"/>
  <c r="BG246" i="43"/>
  <c r="BE246" i="43"/>
  <c r="T246" i="43"/>
  <c r="R246" i="43"/>
  <c r="P246" i="43"/>
  <c r="BK246" i="43"/>
  <c r="J246" i="43"/>
  <c r="BF246" i="43" s="1"/>
  <c r="BI245" i="43"/>
  <c r="BH245" i="43"/>
  <c r="BG245" i="43"/>
  <c r="BE245" i="43"/>
  <c r="T245" i="43"/>
  <c r="R245" i="43"/>
  <c r="P245" i="43"/>
  <c r="BK245" i="43"/>
  <c r="J245" i="43"/>
  <c r="BF245" i="43" s="1"/>
  <c r="BI244" i="43"/>
  <c r="BH244" i="43"/>
  <c r="BG244" i="43"/>
  <c r="BE244" i="43"/>
  <c r="T244" i="43"/>
  <c r="R244" i="43"/>
  <c r="P244" i="43"/>
  <c r="BK244" i="43"/>
  <c r="J244" i="43"/>
  <c r="BF244" i="43" s="1"/>
  <c r="BI243" i="43"/>
  <c r="BH243" i="43"/>
  <c r="BG243" i="43"/>
  <c r="BE243" i="43"/>
  <c r="T243" i="43"/>
  <c r="R243" i="43"/>
  <c r="P243" i="43"/>
  <c r="BK243" i="43"/>
  <c r="J243" i="43"/>
  <c r="BF243" i="43" s="1"/>
  <c r="BI242" i="43"/>
  <c r="BH242" i="43"/>
  <c r="BG242" i="43"/>
  <c r="BE242" i="43"/>
  <c r="T242" i="43"/>
  <c r="R242" i="43"/>
  <c r="R235" i="43" s="1"/>
  <c r="P242" i="43"/>
  <c r="BK242" i="43"/>
  <c r="J242" i="43"/>
  <c r="BF242" i="43" s="1"/>
  <c r="BI241" i="43"/>
  <c r="BH241" i="43"/>
  <c r="BG241" i="43"/>
  <c r="BE241" i="43"/>
  <c r="T241" i="43"/>
  <c r="R241" i="43"/>
  <c r="P241" i="43"/>
  <c r="BK241" i="43"/>
  <c r="J241" i="43"/>
  <c r="BF241" i="43" s="1"/>
  <c r="BI240" i="43"/>
  <c r="BH240" i="43"/>
  <c r="BG240" i="43"/>
  <c r="BE240" i="43"/>
  <c r="T240" i="43"/>
  <c r="R240" i="43"/>
  <c r="P240" i="43"/>
  <c r="BK240" i="43"/>
  <c r="J240" i="43"/>
  <c r="BF240" i="43" s="1"/>
  <c r="BI239" i="43"/>
  <c r="BH239" i="43"/>
  <c r="BG239" i="43"/>
  <c r="BE239" i="43"/>
  <c r="T239" i="43"/>
  <c r="R239" i="43"/>
  <c r="P239" i="43"/>
  <c r="BK239" i="43"/>
  <c r="J239" i="43"/>
  <c r="BF239" i="43" s="1"/>
  <c r="BI238" i="43"/>
  <c r="BH238" i="43"/>
  <c r="BG238" i="43"/>
  <c r="BE238" i="43"/>
  <c r="T238" i="43"/>
  <c r="R238" i="43"/>
  <c r="P238" i="43"/>
  <c r="BK238" i="43"/>
  <c r="J238" i="43"/>
  <c r="BF238" i="43" s="1"/>
  <c r="BI237" i="43"/>
  <c r="BH237" i="43"/>
  <c r="BG237" i="43"/>
  <c r="BE237" i="43"/>
  <c r="T237" i="43"/>
  <c r="R237" i="43"/>
  <c r="P237" i="43"/>
  <c r="BK237" i="43"/>
  <c r="J237" i="43"/>
  <c r="BF237" i="43" s="1"/>
  <c r="BI236" i="43"/>
  <c r="BH236" i="43"/>
  <c r="BG236" i="43"/>
  <c r="BE236" i="43"/>
  <c r="T236" i="43"/>
  <c r="R236" i="43"/>
  <c r="P236" i="43"/>
  <c r="BK236" i="43"/>
  <c r="J236" i="43"/>
  <c r="BF236" i="43"/>
  <c r="BI234" i="43"/>
  <c r="BH234" i="43"/>
  <c r="BG234" i="43"/>
  <c r="BE234" i="43"/>
  <c r="T234" i="43"/>
  <c r="R234" i="43"/>
  <c r="P234" i="43"/>
  <c r="BK234" i="43"/>
  <c r="J234" i="43"/>
  <c r="BF234" i="43" s="1"/>
  <c r="BI233" i="43"/>
  <c r="BH233" i="43"/>
  <c r="BG233" i="43"/>
  <c r="BE233" i="43"/>
  <c r="T233" i="43"/>
  <c r="R233" i="43"/>
  <c r="P233" i="43"/>
  <c r="BK233" i="43"/>
  <c r="J233" i="43"/>
  <c r="BF233" i="43" s="1"/>
  <c r="BI232" i="43"/>
  <c r="BH232" i="43"/>
  <c r="BG232" i="43"/>
  <c r="BE232" i="43"/>
  <c r="T232" i="43"/>
  <c r="R232" i="43"/>
  <c r="P232" i="43"/>
  <c r="BK232" i="43"/>
  <c r="J232" i="43"/>
  <c r="BF232" i="43" s="1"/>
  <c r="BI231" i="43"/>
  <c r="BH231" i="43"/>
  <c r="BG231" i="43"/>
  <c r="BE231" i="43"/>
  <c r="T231" i="43"/>
  <c r="R231" i="43"/>
  <c r="P231" i="43"/>
  <c r="BK231" i="43"/>
  <c r="J231" i="43"/>
  <c r="BF231" i="43" s="1"/>
  <c r="BI230" i="43"/>
  <c r="BH230" i="43"/>
  <c r="BG230" i="43"/>
  <c r="BE230" i="43"/>
  <c r="T230" i="43"/>
  <c r="R230" i="43"/>
  <c r="P230" i="43"/>
  <c r="BK230" i="43"/>
  <c r="J230" i="43"/>
  <c r="BF230" i="43" s="1"/>
  <c r="BI229" i="43"/>
  <c r="BH229" i="43"/>
  <c r="BG229" i="43"/>
  <c r="BE229" i="43"/>
  <c r="T229" i="43"/>
  <c r="R229" i="43"/>
  <c r="P229" i="43"/>
  <c r="BK229" i="43"/>
  <c r="J229" i="43"/>
  <c r="BF229" i="43"/>
  <c r="BI228" i="43"/>
  <c r="BH228" i="43"/>
  <c r="BG228" i="43"/>
  <c r="BE228" i="43"/>
  <c r="T228" i="43"/>
  <c r="R228" i="43"/>
  <c r="P228" i="43"/>
  <c r="BK228" i="43"/>
  <c r="J228" i="43"/>
  <c r="BF228" i="43" s="1"/>
  <c r="BI227" i="43"/>
  <c r="BH227" i="43"/>
  <c r="BG227" i="43"/>
  <c r="BE227" i="43"/>
  <c r="T227" i="43"/>
  <c r="R227" i="43"/>
  <c r="P227" i="43"/>
  <c r="BK227" i="43"/>
  <c r="J227" i="43"/>
  <c r="BF227" i="43" s="1"/>
  <c r="BI226" i="43"/>
  <c r="BH226" i="43"/>
  <c r="BG226" i="43"/>
  <c r="BE226" i="43"/>
  <c r="T226" i="43"/>
  <c r="R226" i="43"/>
  <c r="P226" i="43"/>
  <c r="BK226" i="43"/>
  <c r="J226" i="43"/>
  <c r="BF226" i="43" s="1"/>
  <c r="BI225" i="43"/>
  <c r="BH225" i="43"/>
  <c r="BG225" i="43"/>
  <c r="BE225" i="43"/>
  <c r="T225" i="43"/>
  <c r="R225" i="43"/>
  <c r="P225" i="43"/>
  <c r="BK225" i="43"/>
  <c r="J225" i="43"/>
  <c r="BF225" i="43" s="1"/>
  <c r="BI224" i="43"/>
  <c r="BH224" i="43"/>
  <c r="BG224" i="43"/>
  <c r="BE224" i="43"/>
  <c r="T224" i="43"/>
  <c r="R224" i="43"/>
  <c r="P224" i="43"/>
  <c r="BK224" i="43"/>
  <c r="J224" i="43"/>
  <c r="BF224" i="43" s="1"/>
  <c r="BI223" i="43"/>
  <c r="BH223" i="43"/>
  <c r="BG223" i="43"/>
  <c r="BE223" i="43"/>
  <c r="T223" i="43"/>
  <c r="R223" i="43"/>
  <c r="P223" i="43"/>
  <c r="BK223" i="43"/>
  <c r="J223" i="43"/>
  <c r="BF223" i="43" s="1"/>
  <c r="BI222" i="43"/>
  <c r="BH222" i="43"/>
  <c r="BG222" i="43"/>
  <c r="BE222" i="43"/>
  <c r="T222" i="43"/>
  <c r="R222" i="43"/>
  <c r="R221" i="43" s="1"/>
  <c r="P222" i="43"/>
  <c r="BK222" i="43"/>
  <c r="J222" i="43"/>
  <c r="BF222" i="43" s="1"/>
  <c r="BI219" i="43"/>
  <c r="BH219" i="43"/>
  <c r="BG219" i="43"/>
  <c r="BE219" i="43"/>
  <c r="T219" i="43"/>
  <c r="R219" i="43"/>
  <c r="P219" i="43"/>
  <c r="BK219" i="43"/>
  <c r="J219" i="43"/>
  <c r="BF219" i="43" s="1"/>
  <c r="BI218" i="43"/>
  <c r="BH218" i="43"/>
  <c r="BG218" i="43"/>
  <c r="BE218" i="43"/>
  <c r="T218" i="43"/>
  <c r="R218" i="43"/>
  <c r="P218" i="43"/>
  <c r="BK218" i="43"/>
  <c r="J218" i="43"/>
  <c r="BF218" i="43" s="1"/>
  <c r="BI217" i="43"/>
  <c r="BH217" i="43"/>
  <c r="BG217" i="43"/>
  <c r="BE217" i="43"/>
  <c r="T217" i="43"/>
  <c r="R217" i="43"/>
  <c r="R215" i="43" s="1"/>
  <c r="P217" i="43"/>
  <c r="BK217" i="43"/>
  <c r="J217" i="43"/>
  <c r="BF217" i="43"/>
  <c r="BI216" i="43"/>
  <c r="BH216" i="43"/>
  <c r="BG216" i="43"/>
  <c r="BE216" i="43"/>
  <c r="T216" i="43"/>
  <c r="R216" i="43"/>
  <c r="P216" i="43"/>
  <c r="BK216" i="43"/>
  <c r="J216" i="43"/>
  <c r="BF216" i="43" s="1"/>
  <c r="BI214" i="43"/>
  <c r="BH214" i="43"/>
  <c r="BG214" i="43"/>
  <c r="BE214" i="43"/>
  <c r="T214" i="43"/>
  <c r="R214" i="43"/>
  <c r="P214" i="43"/>
  <c r="BK214" i="43"/>
  <c r="J214" i="43"/>
  <c r="BF214" i="43" s="1"/>
  <c r="BI213" i="43"/>
  <c r="BH213" i="43"/>
  <c r="BG213" i="43"/>
  <c r="BE213" i="43"/>
  <c r="T213" i="43"/>
  <c r="R213" i="43"/>
  <c r="P213" i="43"/>
  <c r="BK213" i="43"/>
  <c r="J213" i="43"/>
  <c r="BF213" i="43" s="1"/>
  <c r="BI212" i="43"/>
  <c r="BH212" i="43"/>
  <c r="BG212" i="43"/>
  <c r="BE212" i="43"/>
  <c r="T212" i="43"/>
  <c r="R212" i="43"/>
  <c r="P212" i="43"/>
  <c r="BK212" i="43"/>
  <c r="J212" i="43"/>
  <c r="BF212" i="43" s="1"/>
  <c r="BI211" i="43"/>
  <c r="BH211" i="43"/>
  <c r="BG211" i="43"/>
  <c r="BE211" i="43"/>
  <c r="T211" i="43"/>
  <c r="T210" i="43" s="1"/>
  <c r="R211" i="43"/>
  <c r="P211" i="43"/>
  <c r="BK211" i="43"/>
  <c r="J211" i="43"/>
  <c r="BF211" i="43" s="1"/>
  <c r="BI209" i="43"/>
  <c r="BH209" i="43"/>
  <c r="BG209" i="43"/>
  <c r="BE209" i="43"/>
  <c r="T209" i="43"/>
  <c r="R209" i="43"/>
  <c r="P209" i="43"/>
  <c r="BK209" i="43"/>
  <c r="J209" i="43"/>
  <c r="BF209" i="43" s="1"/>
  <c r="BI208" i="43"/>
  <c r="BH208" i="43"/>
  <c r="BG208" i="43"/>
  <c r="BE208" i="43"/>
  <c r="T208" i="43"/>
  <c r="R208" i="43"/>
  <c r="P208" i="43"/>
  <c r="BK208" i="43"/>
  <c r="J208" i="43"/>
  <c r="BF208" i="43" s="1"/>
  <c r="BI207" i="43"/>
  <c r="BH207" i="43"/>
  <c r="BG207" i="43"/>
  <c r="BE207" i="43"/>
  <c r="T207" i="43"/>
  <c r="R207" i="43"/>
  <c r="P207" i="43"/>
  <c r="BK207" i="43"/>
  <c r="J207" i="43"/>
  <c r="BF207" i="43"/>
  <c r="BI205" i="43"/>
  <c r="BH205" i="43"/>
  <c r="BG205" i="43"/>
  <c r="BE205" i="43"/>
  <c r="T205" i="43"/>
  <c r="R205" i="43"/>
  <c r="P205" i="43"/>
  <c r="BK205" i="43"/>
  <c r="J205" i="43"/>
  <c r="BF205" i="43" s="1"/>
  <c r="BI204" i="43"/>
  <c r="BH204" i="43"/>
  <c r="BG204" i="43"/>
  <c r="BE204" i="43"/>
  <c r="T204" i="43"/>
  <c r="R204" i="43"/>
  <c r="P204" i="43"/>
  <c r="BK204" i="43"/>
  <c r="J204" i="43"/>
  <c r="BF204" i="43" s="1"/>
  <c r="BI203" i="43"/>
  <c r="BH203" i="43"/>
  <c r="BG203" i="43"/>
  <c r="BE203" i="43"/>
  <c r="T203" i="43"/>
  <c r="R203" i="43"/>
  <c r="P203" i="43"/>
  <c r="BK203" i="43"/>
  <c r="J203" i="43"/>
  <c r="BF203" i="43"/>
  <c r="BI202" i="43"/>
  <c r="BH202" i="43"/>
  <c r="BG202" i="43"/>
  <c r="BE202" i="43"/>
  <c r="T202" i="43"/>
  <c r="R202" i="43"/>
  <c r="P202" i="43"/>
  <c r="BK202" i="43"/>
  <c r="J202" i="43"/>
  <c r="BF202" i="43" s="1"/>
  <c r="BI201" i="43"/>
  <c r="BH201" i="43"/>
  <c r="BG201" i="43"/>
  <c r="BE201" i="43"/>
  <c r="T201" i="43"/>
  <c r="R201" i="43"/>
  <c r="P201" i="43"/>
  <c r="BK201" i="43"/>
  <c r="J201" i="43"/>
  <c r="BF201" i="43" s="1"/>
  <c r="BI200" i="43"/>
  <c r="BH200" i="43"/>
  <c r="BG200" i="43"/>
  <c r="BE200" i="43"/>
  <c r="T200" i="43"/>
  <c r="R200" i="43"/>
  <c r="P200" i="43"/>
  <c r="BK200" i="43"/>
  <c r="J200" i="43"/>
  <c r="BF200" i="43" s="1"/>
  <c r="BI199" i="43"/>
  <c r="BH199" i="43"/>
  <c r="BG199" i="43"/>
  <c r="BE199" i="43"/>
  <c r="T199" i="43"/>
  <c r="R199" i="43"/>
  <c r="P199" i="43"/>
  <c r="BK199" i="43"/>
  <c r="J199" i="43"/>
  <c r="BF199" i="43" s="1"/>
  <c r="BI198" i="43"/>
  <c r="BH198" i="43"/>
  <c r="BG198" i="43"/>
  <c r="BE198" i="43"/>
  <c r="T198" i="43"/>
  <c r="R198" i="43"/>
  <c r="P198" i="43"/>
  <c r="BK198" i="43"/>
  <c r="J198" i="43"/>
  <c r="BF198" i="43" s="1"/>
  <c r="BI197" i="43"/>
  <c r="BH197" i="43"/>
  <c r="BG197" i="43"/>
  <c r="BE197" i="43"/>
  <c r="T197" i="43"/>
  <c r="R197" i="43"/>
  <c r="P197" i="43"/>
  <c r="BK197" i="43"/>
  <c r="J197" i="43"/>
  <c r="BF197" i="43" s="1"/>
  <c r="BI196" i="43"/>
  <c r="BH196" i="43"/>
  <c r="BG196" i="43"/>
  <c r="BE196" i="43"/>
  <c r="T196" i="43"/>
  <c r="R196" i="43"/>
  <c r="P196" i="43"/>
  <c r="BK196" i="43"/>
  <c r="J196" i="43"/>
  <c r="BF196" i="43" s="1"/>
  <c r="BI195" i="43"/>
  <c r="BH195" i="43"/>
  <c r="BG195" i="43"/>
  <c r="BE195" i="43"/>
  <c r="T195" i="43"/>
  <c r="R195" i="43"/>
  <c r="P195" i="43"/>
  <c r="BK195" i="43"/>
  <c r="J195" i="43"/>
  <c r="BF195" i="43"/>
  <c r="BI194" i="43"/>
  <c r="BH194" i="43"/>
  <c r="BG194" i="43"/>
  <c r="BE194" i="43"/>
  <c r="T194" i="43"/>
  <c r="R194" i="43"/>
  <c r="P194" i="43"/>
  <c r="BK194" i="43"/>
  <c r="J194" i="43"/>
  <c r="BF194" i="43" s="1"/>
  <c r="BI193" i="43"/>
  <c r="BH193" i="43"/>
  <c r="BG193" i="43"/>
  <c r="BE193" i="43"/>
  <c r="T193" i="43"/>
  <c r="R193" i="43"/>
  <c r="P193" i="43"/>
  <c r="BK193" i="43"/>
  <c r="J193" i="43"/>
  <c r="BF193" i="43"/>
  <c r="BI192" i="43"/>
  <c r="BH192" i="43"/>
  <c r="BG192" i="43"/>
  <c r="BE192" i="43"/>
  <c r="T192" i="43"/>
  <c r="R192" i="43"/>
  <c r="P192" i="43"/>
  <c r="BK192" i="43"/>
  <c r="J192" i="43"/>
  <c r="BF192" i="43" s="1"/>
  <c r="BI190" i="43"/>
  <c r="BH190" i="43"/>
  <c r="BG190" i="43"/>
  <c r="BE190" i="43"/>
  <c r="T190" i="43"/>
  <c r="R190" i="43"/>
  <c r="P190" i="43"/>
  <c r="BK190" i="43"/>
  <c r="J190" i="43"/>
  <c r="BF190" i="43" s="1"/>
  <c r="BI189" i="43"/>
  <c r="BH189" i="43"/>
  <c r="BG189" i="43"/>
  <c r="BE189" i="43"/>
  <c r="T189" i="43"/>
  <c r="R189" i="43"/>
  <c r="P189" i="43"/>
  <c r="BK189" i="43"/>
  <c r="J189" i="43"/>
  <c r="BF189" i="43"/>
  <c r="BI188" i="43"/>
  <c r="BH188" i="43"/>
  <c r="BG188" i="43"/>
  <c r="BE188" i="43"/>
  <c r="T188" i="43"/>
  <c r="R188" i="43"/>
  <c r="P188" i="43"/>
  <c r="BK188" i="43"/>
  <c r="J188" i="43"/>
  <c r="BF188" i="43" s="1"/>
  <c r="BI187" i="43"/>
  <c r="BH187" i="43"/>
  <c r="BG187" i="43"/>
  <c r="BE187" i="43"/>
  <c r="T187" i="43"/>
  <c r="R187" i="43"/>
  <c r="P187" i="43"/>
  <c r="BK187" i="43"/>
  <c r="J187" i="43"/>
  <c r="BF187" i="43"/>
  <c r="BI186" i="43"/>
  <c r="BH186" i="43"/>
  <c r="BG186" i="43"/>
  <c r="BE186" i="43"/>
  <c r="T186" i="43"/>
  <c r="R186" i="43"/>
  <c r="P186" i="43"/>
  <c r="BK186" i="43"/>
  <c r="J186" i="43"/>
  <c r="BF186" i="43" s="1"/>
  <c r="BI185" i="43"/>
  <c r="BH185" i="43"/>
  <c r="BG185" i="43"/>
  <c r="BE185" i="43"/>
  <c r="T185" i="43"/>
  <c r="R185" i="43"/>
  <c r="P185" i="43"/>
  <c r="BK185" i="43"/>
  <c r="J185" i="43"/>
  <c r="BF185" i="43" s="1"/>
  <c r="BI184" i="43"/>
  <c r="BH184" i="43"/>
  <c r="BG184" i="43"/>
  <c r="BE184" i="43"/>
  <c r="T184" i="43"/>
  <c r="R184" i="43"/>
  <c r="P184" i="43"/>
  <c r="BK184" i="43"/>
  <c r="J184" i="43"/>
  <c r="BF184" i="43" s="1"/>
  <c r="BI183" i="43"/>
  <c r="BH183" i="43"/>
  <c r="BG183" i="43"/>
  <c r="BE183" i="43"/>
  <c r="T183" i="43"/>
  <c r="R183" i="43"/>
  <c r="P183" i="43"/>
  <c r="BK183" i="43"/>
  <c r="J183" i="43"/>
  <c r="BF183" i="43" s="1"/>
  <c r="BI182" i="43"/>
  <c r="BH182" i="43"/>
  <c r="BG182" i="43"/>
  <c r="BE182" i="43"/>
  <c r="T182" i="43"/>
  <c r="R182" i="43"/>
  <c r="P182" i="43"/>
  <c r="BK182" i="43"/>
  <c r="J182" i="43"/>
  <c r="BF182" i="43" s="1"/>
  <c r="BI181" i="43"/>
  <c r="BH181" i="43"/>
  <c r="BG181" i="43"/>
  <c r="BE181" i="43"/>
  <c r="T181" i="43"/>
  <c r="R181" i="43"/>
  <c r="P181" i="43"/>
  <c r="BK181" i="43"/>
  <c r="J181" i="43"/>
  <c r="BF181" i="43"/>
  <c r="BI180" i="43"/>
  <c r="BH180" i="43"/>
  <c r="BG180" i="43"/>
  <c r="BE180" i="43"/>
  <c r="T180" i="43"/>
  <c r="R180" i="43"/>
  <c r="P180" i="43"/>
  <c r="BK180" i="43"/>
  <c r="J180" i="43"/>
  <c r="BF180" i="43" s="1"/>
  <c r="BI179" i="43"/>
  <c r="BH179" i="43"/>
  <c r="BG179" i="43"/>
  <c r="BE179" i="43"/>
  <c r="T179" i="43"/>
  <c r="R179" i="43"/>
  <c r="P179" i="43"/>
  <c r="BK179" i="43"/>
  <c r="J179" i="43"/>
  <c r="BF179" i="43" s="1"/>
  <c r="BI178" i="43"/>
  <c r="BH178" i="43"/>
  <c r="BG178" i="43"/>
  <c r="BE178" i="43"/>
  <c r="T178" i="43"/>
  <c r="R178" i="43"/>
  <c r="P178" i="43"/>
  <c r="BK178" i="43"/>
  <c r="J178" i="43"/>
  <c r="BF178" i="43" s="1"/>
  <c r="BI177" i="43"/>
  <c r="BH177" i="43"/>
  <c r="BG177" i="43"/>
  <c r="BE177" i="43"/>
  <c r="T177" i="43"/>
  <c r="R177" i="43"/>
  <c r="P177" i="43"/>
  <c r="BK177" i="43"/>
  <c r="J177" i="43"/>
  <c r="BF177" i="43"/>
  <c r="BI176" i="43"/>
  <c r="BH176" i="43"/>
  <c r="BG176" i="43"/>
  <c r="BE176" i="43"/>
  <c r="T176" i="43"/>
  <c r="R176" i="43"/>
  <c r="P176" i="43"/>
  <c r="BK176" i="43"/>
  <c r="J176" i="43"/>
  <c r="BF176" i="43" s="1"/>
  <c r="BI175" i="43"/>
  <c r="BH175" i="43"/>
  <c r="BG175" i="43"/>
  <c r="BE175" i="43"/>
  <c r="T175" i="43"/>
  <c r="R175" i="43"/>
  <c r="P175" i="43"/>
  <c r="BK175" i="43"/>
  <c r="J175" i="43"/>
  <c r="BF175" i="43"/>
  <c r="BI174" i="43"/>
  <c r="BH174" i="43"/>
  <c r="BG174" i="43"/>
  <c r="BE174" i="43"/>
  <c r="T174" i="43"/>
  <c r="R174" i="43"/>
  <c r="P174" i="43"/>
  <c r="BK174" i="43"/>
  <c r="J174" i="43"/>
  <c r="BF174" i="43" s="1"/>
  <c r="BI173" i="43"/>
  <c r="BH173" i="43"/>
  <c r="BG173" i="43"/>
  <c r="BE173" i="43"/>
  <c r="T173" i="43"/>
  <c r="R173" i="43"/>
  <c r="P173" i="43"/>
  <c r="BK173" i="43"/>
  <c r="J173" i="43"/>
  <c r="BF173" i="43"/>
  <c r="BI171" i="43"/>
  <c r="BH171" i="43"/>
  <c r="BG171" i="43"/>
  <c r="BE171" i="43"/>
  <c r="T171" i="43"/>
  <c r="R171" i="43"/>
  <c r="P171" i="43"/>
  <c r="BK171" i="43"/>
  <c r="J171" i="43"/>
  <c r="BF171" i="43"/>
  <c r="BI170" i="43"/>
  <c r="BH170" i="43"/>
  <c r="BG170" i="43"/>
  <c r="BE170" i="43"/>
  <c r="T170" i="43"/>
  <c r="R170" i="43"/>
  <c r="P170" i="43"/>
  <c r="BK170" i="43"/>
  <c r="J170" i="43"/>
  <c r="BF170" i="43" s="1"/>
  <c r="BI169" i="43"/>
  <c r="BH169" i="43"/>
  <c r="BG169" i="43"/>
  <c r="BE169" i="43"/>
  <c r="T169" i="43"/>
  <c r="R169" i="43"/>
  <c r="P169" i="43"/>
  <c r="BK169" i="43"/>
  <c r="J169" i="43"/>
  <c r="BF169" i="43"/>
  <c r="BI168" i="43"/>
  <c r="BH168" i="43"/>
  <c r="BG168" i="43"/>
  <c r="BE168" i="43"/>
  <c r="T168" i="43"/>
  <c r="R168" i="43"/>
  <c r="P168" i="43"/>
  <c r="BK168" i="43"/>
  <c r="J168" i="43"/>
  <c r="BF168" i="43" s="1"/>
  <c r="BI167" i="43"/>
  <c r="BH167" i="43"/>
  <c r="BG167" i="43"/>
  <c r="BE167" i="43"/>
  <c r="T167" i="43"/>
  <c r="R167" i="43"/>
  <c r="P167" i="43"/>
  <c r="BK167" i="43"/>
  <c r="J167" i="43"/>
  <c r="BF167" i="43"/>
  <c r="BI166" i="43"/>
  <c r="BH166" i="43"/>
  <c r="BG166" i="43"/>
  <c r="BE166" i="43"/>
  <c r="T166" i="43"/>
  <c r="R166" i="43"/>
  <c r="P166" i="43"/>
  <c r="BK166" i="43"/>
  <c r="J166" i="43"/>
  <c r="BF166" i="43" s="1"/>
  <c r="BI165" i="43"/>
  <c r="BH165" i="43"/>
  <c r="BG165" i="43"/>
  <c r="BE165" i="43"/>
  <c r="T165" i="43"/>
  <c r="R165" i="43"/>
  <c r="P165" i="43"/>
  <c r="BK165" i="43"/>
  <c r="J165" i="43"/>
  <c r="BF165" i="43" s="1"/>
  <c r="BI164" i="43"/>
  <c r="BH164" i="43"/>
  <c r="BG164" i="43"/>
  <c r="BE164" i="43"/>
  <c r="T164" i="43"/>
  <c r="R164" i="43"/>
  <c r="P164" i="43"/>
  <c r="BK164" i="43"/>
  <c r="J164" i="43"/>
  <c r="BF164" i="43" s="1"/>
  <c r="BI163" i="43"/>
  <c r="BH163" i="43"/>
  <c r="BG163" i="43"/>
  <c r="BE163" i="43"/>
  <c r="T163" i="43"/>
  <c r="R163" i="43"/>
  <c r="P163" i="43"/>
  <c r="BK163" i="43"/>
  <c r="J163" i="43"/>
  <c r="BF163" i="43"/>
  <c r="BI162" i="43"/>
  <c r="BH162" i="43"/>
  <c r="BG162" i="43"/>
  <c r="BE162" i="43"/>
  <c r="T162" i="43"/>
  <c r="R162" i="43"/>
  <c r="P162" i="43"/>
  <c r="BK162" i="43"/>
  <c r="J162" i="43"/>
  <c r="BF162" i="43" s="1"/>
  <c r="BI161" i="43"/>
  <c r="BH161" i="43"/>
  <c r="BG161" i="43"/>
  <c r="BE161" i="43"/>
  <c r="T161" i="43"/>
  <c r="R161" i="43"/>
  <c r="P161" i="43"/>
  <c r="BK161" i="43"/>
  <c r="J161" i="43"/>
  <c r="BF161" i="43"/>
  <c r="BI160" i="43"/>
  <c r="BH160" i="43"/>
  <c r="BG160" i="43"/>
  <c r="BE160" i="43"/>
  <c r="T160" i="43"/>
  <c r="R160" i="43"/>
  <c r="P160" i="43"/>
  <c r="BK160" i="43"/>
  <c r="J160" i="43"/>
  <c r="BF160" i="43" s="1"/>
  <c r="BI158" i="43"/>
  <c r="BH158" i="43"/>
  <c r="BG158" i="43"/>
  <c r="BE158" i="43"/>
  <c r="T158" i="43"/>
  <c r="R158" i="43"/>
  <c r="P158" i="43"/>
  <c r="BK158" i="43"/>
  <c r="J158" i="43"/>
  <c r="BF158" i="43" s="1"/>
  <c r="BI157" i="43"/>
  <c r="BH157" i="43"/>
  <c r="BG157" i="43"/>
  <c r="BE157" i="43"/>
  <c r="T157" i="43"/>
  <c r="R157" i="43"/>
  <c r="P157" i="43"/>
  <c r="BK157" i="43"/>
  <c r="J157" i="43"/>
  <c r="BF157" i="43"/>
  <c r="BI156" i="43"/>
  <c r="BH156" i="43"/>
  <c r="BG156" i="43"/>
  <c r="BE156" i="43"/>
  <c r="T156" i="43"/>
  <c r="R156" i="43"/>
  <c r="P156" i="43"/>
  <c r="BK156" i="43"/>
  <c r="J156" i="43"/>
  <c r="BF156" i="43" s="1"/>
  <c r="BI155" i="43"/>
  <c r="BH155" i="43"/>
  <c r="BG155" i="43"/>
  <c r="BE155" i="43"/>
  <c r="T155" i="43"/>
  <c r="R155" i="43"/>
  <c r="P155" i="43"/>
  <c r="BK155" i="43"/>
  <c r="J155" i="43"/>
  <c r="BF155" i="43" s="1"/>
  <c r="BI154" i="43"/>
  <c r="BH154" i="43"/>
  <c r="BG154" i="43"/>
  <c r="BE154" i="43"/>
  <c r="T154" i="43"/>
  <c r="R154" i="43"/>
  <c r="P154" i="43"/>
  <c r="BK154" i="43"/>
  <c r="J154" i="43"/>
  <c r="BF154" i="43" s="1"/>
  <c r="BI153" i="43"/>
  <c r="BH153" i="43"/>
  <c r="BG153" i="43"/>
  <c r="BE153" i="43"/>
  <c r="T153" i="43"/>
  <c r="R153" i="43"/>
  <c r="P153" i="43"/>
  <c r="BK153" i="43"/>
  <c r="J153" i="43"/>
  <c r="BF153" i="43"/>
  <c r="BI152" i="43"/>
  <c r="BH152" i="43"/>
  <c r="BG152" i="43"/>
  <c r="BE152" i="43"/>
  <c r="T152" i="43"/>
  <c r="R152" i="43"/>
  <c r="P152" i="43"/>
  <c r="BK152" i="43"/>
  <c r="J152" i="43"/>
  <c r="BF152" i="43" s="1"/>
  <c r="BI151" i="43"/>
  <c r="BH151" i="43"/>
  <c r="BG151" i="43"/>
  <c r="BE151" i="43"/>
  <c r="T151" i="43"/>
  <c r="R151" i="43"/>
  <c r="P151" i="43"/>
  <c r="BK151" i="43"/>
  <c r="J151" i="43"/>
  <c r="BF151" i="43"/>
  <c r="BI150" i="43"/>
  <c r="BH150" i="43"/>
  <c r="BG150" i="43"/>
  <c r="BE150" i="43"/>
  <c r="T150" i="43"/>
  <c r="R150" i="43"/>
  <c r="P150" i="43"/>
  <c r="BK150" i="43"/>
  <c r="J150" i="43"/>
  <c r="BF150" i="43" s="1"/>
  <c r="BI149" i="43"/>
  <c r="BH149" i="43"/>
  <c r="BG149" i="43"/>
  <c r="BE149" i="43"/>
  <c r="T149" i="43"/>
  <c r="R149" i="43"/>
  <c r="P149" i="43"/>
  <c r="BK149" i="43"/>
  <c r="J149" i="43"/>
  <c r="BF149" i="43" s="1"/>
  <c r="BI148" i="43"/>
  <c r="BH148" i="43"/>
  <c r="BG148" i="43"/>
  <c r="BE148" i="43"/>
  <c r="T148" i="43"/>
  <c r="R148" i="43"/>
  <c r="P148" i="43"/>
  <c r="BK148" i="43"/>
  <c r="J148" i="43"/>
  <c r="BF148" i="43" s="1"/>
  <c r="BI147" i="43"/>
  <c r="BH147" i="43"/>
  <c r="BG147" i="43"/>
  <c r="BE147" i="43"/>
  <c r="T147" i="43"/>
  <c r="R147" i="43"/>
  <c r="P147" i="43"/>
  <c r="BK147" i="43"/>
  <c r="J147" i="43"/>
  <c r="BF147" i="43" s="1"/>
  <c r="BI146" i="43"/>
  <c r="BH146" i="43"/>
  <c r="BG146" i="43"/>
  <c r="BE146" i="43"/>
  <c r="T146" i="43"/>
  <c r="R146" i="43"/>
  <c r="P146" i="43"/>
  <c r="BK146" i="43"/>
  <c r="J146" i="43"/>
  <c r="BF146" i="43" s="1"/>
  <c r="BI145" i="43"/>
  <c r="BH145" i="43"/>
  <c r="BG145" i="43"/>
  <c r="BE145" i="43"/>
  <c r="T145" i="43"/>
  <c r="R145" i="43"/>
  <c r="P145" i="43"/>
  <c r="BK145" i="43"/>
  <c r="J145" i="43"/>
  <c r="BF145" i="43"/>
  <c r="BI144" i="43"/>
  <c r="BH144" i="43"/>
  <c r="BG144" i="43"/>
  <c r="BE144" i="43"/>
  <c r="T144" i="43"/>
  <c r="R144" i="43"/>
  <c r="P144" i="43"/>
  <c r="BK144" i="43"/>
  <c r="J144" i="43"/>
  <c r="BF144" i="43" s="1"/>
  <c r="BI143" i="43"/>
  <c r="BH143" i="43"/>
  <c r="BG143" i="43"/>
  <c r="BE143" i="43"/>
  <c r="T143" i="43"/>
  <c r="R143" i="43"/>
  <c r="P143" i="43"/>
  <c r="BK143" i="43"/>
  <c r="J143" i="43"/>
  <c r="BF143" i="43" s="1"/>
  <c r="F134" i="43"/>
  <c r="F89" i="43"/>
  <c r="J24" i="43"/>
  <c r="E24" i="43"/>
  <c r="J92" i="43" s="1"/>
  <c r="J23" i="43"/>
  <c r="J21" i="43"/>
  <c r="E21" i="43"/>
  <c r="J136" i="43" s="1"/>
  <c r="J20" i="43"/>
  <c r="J18" i="43"/>
  <c r="J15" i="43"/>
  <c r="E15" i="43"/>
  <c r="J14" i="43"/>
  <c r="J134" i="43"/>
  <c r="J396" i="42"/>
  <c r="J355" i="42"/>
  <c r="J306" i="42"/>
  <c r="J251" i="42"/>
  <c r="J108" i="42" s="1"/>
  <c r="J204" i="42"/>
  <c r="J147" i="42"/>
  <c r="J146" i="42"/>
  <c r="J37" i="42"/>
  <c r="J36" i="42"/>
  <c r="AY135" i="1" s="1"/>
  <c r="J35" i="42"/>
  <c r="AX135" i="1" s="1"/>
  <c r="BI433" i="42"/>
  <c r="BH433" i="42"/>
  <c r="BG433" i="42"/>
  <c r="BE433" i="42"/>
  <c r="T433" i="42"/>
  <c r="R433" i="42"/>
  <c r="P433" i="42"/>
  <c r="BK433" i="42"/>
  <c r="J433" i="42"/>
  <c r="BF433" i="42" s="1"/>
  <c r="BI432" i="42"/>
  <c r="BH432" i="42"/>
  <c r="BG432" i="42"/>
  <c r="BE432" i="42"/>
  <c r="T432" i="42"/>
  <c r="R432" i="42"/>
  <c r="P432" i="42"/>
  <c r="BK432" i="42"/>
  <c r="J432" i="42"/>
  <c r="BF432" i="42" s="1"/>
  <c r="BI431" i="42"/>
  <c r="BH431" i="42"/>
  <c r="BG431" i="42"/>
  <c r="BE431" i="42"/>
  <c r="T431" i="42"/>
  <c r="R431" i="42"/>
  <c r="P431" i="42"/>
  <c r="BK431" i="42"/>
  <c r="J431" i="42"/>
  <c r="BF431" i="42" s="1"/>
  <c r="BI430" i="42"/>
  <c r="BH430" i="42"/>
  <c r="BG430" i="42"/>
  <c r="BE430" i="42"/>
  <c r="T430" i="42"/>
  <c r="R430" i="42"/>
  <c r="P430" i="42"/>
  <c r="BK430" i="42"/>
  <c r="J430" i="42"/>
  <c r="BF430" i="42" s="1"/>
  <c r="BI428" i="42"/>
  <c r="BH428" i="42"/>
  <c r="BG428" i="42"/>
  <c r="BE428" i="42"/>
  <c r="T428" i="42"/>
  <c r="R428" i="42"/>
  <c r="P428" i="42"/>
  <c r="BK428" i="42"/>
  <c r="J428" i="42"/>
  <c r="BF428" i="42" s="1"/>
  <c r="BI427" i="42"/>
  <c r="BH427" i="42"/>
  <c r="BG427" i="42"/>
  <c r="BE427" i="42"/>
  <c r="T427" i="42"/>
  <c r="R427" i="42"/>
  <c r="P427" i="42"/>
  <c r="BK427" i="42"/>
  <c r="J427" i="42"/>
  <c r="BF427" i="42" s="1"/>
  <c r="BI426" i="42"/>
  <c r="BH426" i="42"/>
  <c r="BG426" i="42"/>
  <c r="BE426" i="42"/>
  <c r="T426" i="42"/>
  <c r="R426" i="42"/>
  <c r="P426" i="42"/>
  <c r="BK426" i="42"/>
  <c r="J426" i="42"/>
  <c r="BF426" i="42" s="1"/>
  <c r="BI425" i="42"/>
  <c r="BH425" i="42"/>
  <c r="BG425" i="42"/>
  <c r="BE425" i="42"/>
  <c r="T425" i="42"/>
  <c r="R425" i="42"/>
  <c r="P425" i="42"/>
  <c r="BK425" i="42"/>
  <c r="J425" i="42"/>
  <c r="BF425" i="42" s="1"/>
  <c r="BI424" i="42"/>
  <c r="BH424" i="42"/>
  <c r="BG424" i="42"/>
  <c r="BE424" i="42"/>
  <c r="T424" i="42"/>
  <c r="R424" i="42"/>
  <c r="P424" i="42"/>
  <c r="BK424" i="42"/>
  <c r="J424" i="42"/>
  <c r="BF424" i="42" s="1"/>
  <c r="BI423" i="42"/>
  <c r="BH423" i="42"/>
  <c r="BG423" i="42"/>
  <c r="BE423" i="42"/>
  <c r="T423" i="42"/>
  <c r="R423" i="42"/>
  <c r="P423" i="42"/>
  <c r="BK423" i="42"/>
  <c r="J423" i="42"/>
  <c r="BF423" i="42" s="1"/>
  <c r="BI422" i="42"/>
  <c r="BH422" i="42"/>
  <c r="BG422" i="42"/>
  <c r="BE422" i="42"/>
  <c r="T422" i="42"/>
  <c r="R422" i="42"/>
  <c r="P422" i="42"/>
  <c r="BK422" i="42"/>
  <c r="J422" i="42"/>
  <c r="BF422" i="42" s="1"/>
  <c r="BI421" i="42"/>
  <c r="BH421" i="42"/>
  <c r="BG421" i="42"/>
  <c r="BE421" i="42"/>
  <c r="T421" i="42"/>
  <c r="R421" i="42"/>
  <c r="P421" i="42"/>
  <c r="BK421" i="42"/>
  <c r="J421" i="42"/>
  <c r="BF421" i="42" s="1"/>
  <c r="BI420" i="42"/>
  <c r="BH420" i="42"/>
  <c r="BG420" i="42"/>
  <c r="BE420" i="42"/>
  <c r="T420" i="42"/>
  <c r="R420" i="42"/>
  <c r="P420" i="42"/>
  <c r="BK420" i="42"/>
  <c r="J420" i="42"/>
  <c r="BF420" i="42" s="1"/>
  <c r="BI419" i="42"/>
  <c r="BH419" i="42"/>
  <c r="BG419" i="42"/>
  <c r="BE419" i="42"/>
  <c r="T419" i="42"/>
  <c r="R419" i="42"/>
  <c r="P419" i="42"/>
  <c r="BK419" i="42"/>
  <c r="J419" i="42"/>
  <c r="BF419" i="42" s="1"/>
  <c r="BI418" i="42"/>
  <c r="BH418" i="42"/>
  <c r="BG418" i="42"/>
  <c r="BE418" i="42"/>
  <c r="T418" i="42"/>
  <c r="R418" i="42"/>
  <c r="P418" i="42"/>
  <c r="BK418" i="42"/>
  <c r="J418" i="42"/>
  <c r="BF418" i="42" s="1"/>
  <c r="BI417" i="42"/>
  <c r="BH417" i="42"/>
  <c r="BG417" i="42"/>
  <c r="BE417" i="42"/>
  <c r="T417" i="42"/>
  <c r="R417" i="42"/>
  <c r="P417" i="42"/>
  <c r="BK417" i="42"/>
  <c r="J417" i="42"/>
  <c r="BF417" i="42" s="1"/>
  <c r="BI416" i="42"/>
  <c r="BH416" i="42"/>
  <c r="BG416" i="42"/>
  <c r="BE416" i="42"/>
  <c r="T416" i="42"/>
  <c r="R416" i="42"/>
  <c r="P416" i="42"/>
  <c r="BK416" i="42"/>
  <c r="J416" i="42"/>
  <c r="BF416" i="42"/>
  <c r="BI415" i="42"/>
  <c r="BH415" i="42"/>
  <c r="BG415" i="42"/>
  <c r="BE415" i="42"/>
  <c r="T415" i="42"/>
  <c r="R415" i="42"/>
  <c r="P415" i="42"/>
  <c r="BK415" i="42"/>
  <c r="J415" i="42"/>
  <c r="BF415" i="42"/>
  <c r="BI414" i="42"/>
  <c r="BH414" i="42"/>
  <c r="BG414" i="42"/>
  <c r="BE414" i="42"/>
  <c r="T414" i="42"/>
  <c r="R414" i="42"/>
  <c r="P414" i="42"/>
  <c r="BK414" i="42"/>
  <c r="J414" i="42"/>
  <c r="BF414" i="42"/>
  <c r="BI413" i="42"/>
  <c r="BH413" i="42"/>
  <c r="BG413" i="42"/>
  <c r="BE413" i="42"/>
  <c r="T413" i="42"/>
  <c r="R413" i="42"/>
  <c r="P413" i="42"/>
  <c r="BK413" i="42"/>
  <c r="J413" i="42"/>
  <c r="BF413" i="42"/>
  <c r="BI412" i="42"/>
  <c r="BH412" i="42"/>
  <c r="BG412" i="42"/>
  <c r="BE412" i="42"/>
  <c r="T412" i="42"/>
  <c r="R412" i="42"/>
  <c r="P412" i="42"/>
  <c r="BK412" i="42"/>
  <c r="J412" i="42"/>
  <c r="BF412" i="42"/>
  <c r="BI411" i="42"/>
  <c r="BH411" i="42"/>
  <c r="BG411" i="42"/>
  <c r="BE411" i="42"/>
  <c r="T411" i="42"/>
  <c r="R411" i="42"/>
  <c r="P411" i="42"/>
  <c r="BK411" i="42"/>
  <c r="J411" i="42"/>
  <c r="BF411" i="42"/>
  <c r="BI410" i="42"/>
  <c r="BH410" i="42"/>
  <c r="BG410" i="42"/>
  <c r="BE410" i="42"/>
  <c r="T410" i="42"/>
  <c r="R410" i="42"/>
  <c r="P410" i="42"/>
  <c r="BK410" i="42"/>
  <c r="J410" i="42"/>
  <c r="BF410" i="42"/>
  <c r="BI409" i="42"/>
  <c r="BH409" i="42"/>
  <c r="BG409" i="42"/>
  <c r="BE409" i="42"/>
  <c r="T409" i="42"/>
  <c r="R409" i="42"/>
  <c r="P409" i="42"/>
  <c r="BK409" i="42"/>
  <c r="J409" i="42"/>
  <c r="BF409" i="42"/>
  <c r="BI408" i="42"/>
  <c r="BH408" i="42"/>
  <c r="BG408" i="42"/>
  <c r="BE408" i="42"/>
  <c r="T408" i="42"/>
  <c r="R408" i="42"/>
  <c r="P408" i="42"/>
  <c r="BK408" i="42"/>
  <c r="J408" i="42"/>
  <c r="BF408" i="42"/>
  <c r="BI407" i="42"/>
  <c r="BH407" i="42"/>
  <c r="BG407" i="42"/>
  <c r="BE407" i="42"/>
  <c r="T407" i="42"/>
  <c r="R407" i="42"/>
  <c r="P407" i="42"/>
  <c r="BK407" i="42"/>
  <c r="J407" i="42"/>
  <c r="BF407" i="42"/>
  <c r="BI406" i="42"/>
  <c r="BH406" i="42"/>
  <c r="BG406" i="42"/>
  <c r="BE406" i="42"/>
  <c r="T406" i="42"/>
  <c r="R406" i="42"/>
  <c r="P406" i="42"/>
  <c r="BK406" i="42"/>
  <c r="J406" i="42"/>
  <c r="BF406" i="42"/>
  <c r="BI405" i="42"/>
  <c r="BH405" i="42"/>
  <c r="BG405" i="42"/>
  <c r="BE405" i="42"/>
  <c r="T405" i="42"/>
  <c r="R405" i="42"/>
  <c r="P405" i="42"/>
  <c r="BK405" i="42"/>
  <c r="J405" i="42"/>
  <c r="BF405" i="42"/>
  <c r="BI404" i="42"/>
  <c r="BH404" i="42"/>
  <c r="BG404" i="42"/>
  <c r="BE404" i="42"/>
  <c r="T404" i="42"/>
  <c r="R404" i="42"/>
  <c r="P404" i="42"/>
  <c r="BK404" i="42"/>
  <c r="J404" i="42"/>
  <c r="BF404" i="42"/>
  <c r="BI403" i="42"/>
  <c r="BH403" i="42"/>
  <c r="BG403" i="42"/>
  <c r="BE403" i="42"/>
  <c r="T403" i="42"/>
  <c r="R403" i="42"/>
  <c r="P403" i="42"/>
  <c r="BK403" i="42"/>
  <c r="J403" i="42"/>
  <c r="BF403" i="42"/>
  <c r="BI402" i="42"/>
  <c r="BH402" i="42"/>
  <c r="BG402" i="42"/>
  <c r="BE402" i="42"/>
  <c r="T402" i="42"/>
  <c r="R402" i="42"/>
  <c r="P402" i="42"/>
  <c r="BK402" i="42"/>
  <c r="J402" i="42"/>
  <c r="BF402" i="42"/>
  <c r="BI401" i="42"/>
  <c r="BH401" i="42"/>
  <c r="BG401" i="42"/>
  <c r="BE401" i="42"/>
  <c r="T401" i="42"/>
  <c r="R401" i="42"/>
  <c r="P401" i="42"/>
  <c r="BK401" i="42"/>
  <c r="J401" i="42"/>
  <c r="BF401" i="42"/>
  <c r="BI400" i="42"/>
  <c r="BH400" i="42"/>
  <c r="BG400" i="42"/>
  <c r="BE400" i="42"/>
  <c r="T400" i="42"/>
  <c r="R400" i="42"/>
  <c r="R397" i="42" s="1"/>
  <c r="P400" i="42"/>
  <c r="BK400" i="42"/>
  <c r="J400" i="42"/>
  <c r="BF400" i="42"/>
  <c r="BI399" i="42"/>
  <c r="BH399" i="42"/>
  <c r="BG399" i="42"/>
  <c r="BE399" i="42"/>
  <c r="T399" i="42"/>
  <c r="R399" i="42"/>
  <c r="P399" i="42"/>
  <c r="BK399" i="42"/>
  <c r="J399" i="42"/>
  <c r="BF399" i="42"/>
  <c r="BI398" i="42"/>
  <c r="BH398" i="42"/>
  <c r="BG398" i="42"/>
  <c r="BE398" i="42"/>
  <c r="T398" i="42"/>
  <c r="T397" i="42"/>
  <c r="R398" i="42"/>
  <c r="P398" i="42"/>
  <c r="BK398" i="42"/>
  <c r="J398" i="42"/>
  <c r="BF398" i="42" s="1"/>
  <c r="J122" i="42"/>
  <c r="BI395" i="42"/>
  <c r="BH395" i="42"/>
  <c r="BG395" i="42"/>
  <c r="BE395" i="42"/>
  <c r="T395" i="42"/>
  <c r="R395" i="42"/>
  <c r="P395" i="42"/>
  <c r="BK395" i="42"/>
  <c r="J395" i="42"/>
  <c r="BF395" i="42" s="1"/>
  <c r="BI394" i="42"/>
  <c r="BH394" i="42"/>
  <c r="BG394" i="42"/>
  <c r="BE394" i="42"/>
  <c r="T394" i="42"/>
  <c r="R394" i="42"/>
  <c r="P394" i="42"/>
  <c r="BK394" i="42"/>
  <c r="J394" i="42"/>
  <c r="BF394" i="42" s="1"/>
  <c r="BI393" i="42"/>
  <c r="BH393" i="42"/>
  <c r="BG393" i="42"/>
  <c r="BE393" i="42"/>
  <c r="T393" i="42"/>
  <c r="R393" i="42"/>
  <c r="P393" i="42"/>
  <c r="BK393" i="42"/>
  <c r="J393" i="42"/>
  <c r="BF393" i="42" s="1"/>
  <c r="BI391" i="42"/>
  <c r="BH391" i="42"/>
  <c r="BG391" i="42"/>
  <c r="BE391" i="42"/>
  <c r="T391" i="42"/>
  <c r="R391" i="42"/>
  <c r="P391" i="42"/>
  <c r="BK391" i="42"/>
  <c r="J391" i="42"/>
  <c r="BF391" i="42" s="1"/>
  <c r="BI390" i="42"/>
  <c r="BH390" i="42"/>
  <c r="BG390" i="42"/>
  <c r="BE390" i="42"/>
  <c r="T390" i="42"/>
  <c r="R390" i="42"/>
  <c r="P390" i="42"/>
  <c r="BK390" i="42"/>
  <c r="J390" i="42"/>
  <c r="BF390" i="42" s="1"/>
  <c r="BI389" i="42"/>
  <c r="BH389" i="42"/>
  <c r="BG389" i="42"/>
  <c r="BE389" i="42"/>
  <c r="T389" i="42"/>
  <c r="R389" i="42"/>
  <c r="P389" i="42"/>
  <c r="BK389" i="42"/>
  <c r="J389" i="42"/>
  <c r="BF389" i="42" s="1"/>
  <c r="BI388" i="42"/>
  <c r="BH388" i="42"/>
  <c r="BG388" i="42"/>
  <c r="BE388" i="42"/>
  <c r="T388" i="42"/>
  <c r="R388" i="42"/>
  <c r="P388" i="42"/>
  <c r="BK388" i="42"/>
  <c r="J388" i="42"/>
  <c r="BF388" i="42" s="1"/>
  <c r="BI387" i="42"/>
  <c r="BH387" i="42"/>
  <c r="BG387" i="42"/>
  <c r="BE387" i="42"/>
  <c r="T387" i="42"/>
  <c r="R387" i="42"/>
  <c r="P387" i="42"/>
  <c r="BK387" i="42"/>
  <c r="J387" i="42"/>
  <c r="BF387" i="42" s="1"/>
  <c r="BI386" i="42"/>
  <c r="BH386" i="42"/>
  <c r="BG386" i="42"/>
  <c r="BE386" i="42"/>
  <c r="T386" i="42"/>
  <c r="R386" i="42"/>
  <c r="P386" i="42"/>
  <c r="BK386" i="42"/>
  <c r="J386" i="42"/>
  <c r="BF386" i="42" s="1"/>
  <c r="BI385" i="42"/>
  <c r="BH385" i="42"/>
  <c r="BG385" i="42"/>
  <c r="BE385" i="42"/>
  <c r="T385" i="42"/>
  <c r="R385" i="42"/>
  <c r="P385" i="42"/>
  <c r="BK385" i="42"/>
  <c r="J385" i="42"/>
  <c r="BF385" i="42" s="1"/>
  <c r="BI384" i="42"/>
  <c r="BH384" i="42"/>
  <c r="BG384" i="42"/>
  <c r="BE384" i="42"/>
  <c r="T384" i="42"/>
  <c r="R384" i="42"/>
  <c r="P384" i="42"/>
  <c r="BK384" i="42"/>
  <c r="J384" i="42"/>
  <c r="BF384" i="42" s="1"/>
  <c r="BI383" i="42"/>
  <c r="BH383" i="42"/>
  <c r="BG383" i="42"/>
  <c r="BE383" i="42"/>
  <c r="T383" i="42"/>
  <c r="R383" i="42"/>
  <c r="P383" i="42"/>
  <c r="BK383" i="42"/>
  <c r="J383" i="42"/>
  <c r="BF383" i="42" s="1"/>
  <c r="BI382" i="42"/>
  <c r="BH382" i="42"/>
  <c r="BG382" i="42"/>
  <c r="BE382" i="42"/>
  <c r="T382" i="42"/>
  <c r="R382" i="42"/>
  <c r="P382" i="42"/>
  <c r="BK382" i="42"/>
  <c r="J382" i="42"/>
  <c r="BF382" i="42" s="1"/>
  <c r="BI381" i="42"/>
  <c r="BH381" i="42"/>
  <c r="BG381" i="42"/>
  <c r="BE381" i="42"/>
  <c r="T381" i="42"/>
  <c r="R381" i="42"/>
  <c r="P381" i="42"/>
  <c r="BK381" i="42"/>
  <c r="J381" i="42"/>
  <c r="BF381" i="42" s="1"/>
  <c r="BI380" i="42"/>
  <c r="BH380" i="42"/>
  <c r="BG380" i="42"/>
  <c r="BE380" i="42"/>
  <c r="T380" i="42"/>
  <c r="R380" i="42"/>
  <c r="P380" i="42"/>
  <c r="BK380" i="42"/>
  <c r="J380" i="42"/>
  <c r="BF380" i="42"/>
  <c r="BI379" i="42"/>
  <c r="BH379" i="42"/>
  <c r="BG379" i="42"/>
  <c r="BE379" i="42"/>
  <c r="T379" i="42"/>
  <c r="R379" i="42"/>
  <c r="P379" i="42"/>
  <c r="BK379" i="42"/>
  <c r="J379" i="42"/>
  <c r="BF379" i="42" s="1"/>
  <c r="BI378" i="42"/>
  <c r="BH378" i="42"/>
  <c r="BG378" i="42"/>
  <c r="BE378" i="42"/>
  <c r="T378" i="42"/>
  <c r="R378" i="42"/>
  <c r="P378" i="42"/>
  <c r="BK378" i="42"/>
  <c r="J378" i="42"/>
  <c r="BF378" i="42" s="1"/>
  <c r="BI377" i="42"/>
  <c r="BH377" i="42"/>
  <c r="BG377" i="42"/>
  <c r="BE377" i="42"/>
  <c r="T377" i="42"/>
  <c r="R377" i="42"/>
  <c r="P377" i="42"/>
  <c r="BK377" i="42"/>
  <c r="J377" i="42"/>
  <c r="BF377" i="42" s="1"/>
  <c r="BI376" i="42"/>
  <c r="BH376" i="42"/>
  <c r="BG376" i="42"/>
  <c r="BE376" i="42"/>
  <c r="T376" i="42"/>
  <c r="R376" i="42"/>
  <c r="P376" i="42"/>
  <c r="BK376" i="42"/>
  <c r="J376" i="42"/>
  <c r="BF376" i="42"/>
  <c r="BI375" i="42"/>
  <c r="BH375" i="42"/>
  <c r="BG375" i="42"/>
  <c r="BE375" i="42"/>
  <c r="T375" i="42"/>
  <c r="R375" i="42"/>
  <c r="P375" i="42"/>
  <c r="BK375" i="42"/>
  <c r="J375" i="42"/>
  <c r="BF375" i="42" s="1"/>
  <c r="BI374" i="42"/>
  <c r="BH374" i="42"/>
  <c r="BG374" i="42"/>
  <c r="BE374" i="42"/>
  <c r="T374" i="42"/>
  <c r="R374" i="42"/>
  <c r="P374" i="42"/>
  <c r="BK374" i="42"/>
  <c r="J374" i="42"/>
  <c r="BF374" i="42" s="1"/>
  <c r="BI373" i="42"/>
  <c r="BH373" i="42"/>
  <c r="BG373" i="42"/>
  <c r="BE373" i="42"/>
  <c r="T373" i="42"/>
  <c r="R373" i="42"/>
  <c r="P373" i="42"/>
  <c r="BK373" i="42"/>
  <c r="J373" i="42"/>
  <c r="BF373" i="42" s="1"/>
  <c r="BI372" i="42"/>
  <c r="BH372" i="42"/>
  <c r="BG372" i="42"/>
  <c r="BE372" i="42"/>
  <c r="T372" i="42"/>
  <c r="R372" i="42"/>
  <c r="P372" i="42"/>
  <c r="BK372" i="42"/>
  <c r="BK366" i="42" s="1"/>
  <c r="J366" i="42" s="1"/>
  <c r="J120" i="42" s="1"/>
  <c r="J372" i="42"/>
  <c r="BF372" i="42"/>
  <c r="BI371" i="42"/>
  <c r="BH371" i="42"/>
  <c r="BG371" i="42"/>
  <c r="BE371" i="42"/>
  <c r="T371" i="42"/>
  <c r="R371" i="42"/>
  <c r="P371" i="42"/>
  <c r="BK371" i="42"/>
  <c r="J371" i="42"/>
  <c r="BF371" i="42" s="1"/>
  <c r="BI370" i="42"/>
  <c r="BH370" i="42"/>
  <c r="BG370" i="42"/>
  <c r="BE370" i="42"/>
  <c r="T370" i="42"/>
  <c r="R370" i="42"/>
  <c r="P370" i="42"/>
  <c r="BK370" i="42"/>
  <c r="J370" i="42"/>
  <c r="BF370" i="42" s="1"/>
  <c r="BI369" i="42"/>
  <c r="BH369" i="42"/>
  <c r="BG369" i="42"/>
  <c r="BE369" i="42"/>
  <c r="T369" i="42"/>
  <c r="R369" i="42"/>
  <c r="P369" i="42"/>
  <c r="BK369" i="42"/>
  <c r="J369" i="42"/>
  <c r="BF369" i="42" s="1"/>
  <c r="BI368" i="42"/>
  <c r="BH368" i="42"/>
  <c r="BG368" i="42"/>
  <c r="BE368" i="42"/>
  <c r="T368" i="42"/>
  <c r="R368" i="42"/>
  <c r="P368" i="42"/>
  <c r="BK368" i="42"/>
  <c r="J368" i="42"/>
  <c r="BF368" i="42"/>
  <c r="BI367" i="42"/>
  <c r="BH367" i="42"/>
  <c r="BG367" i="42"/>
  <c r="BE367" i="42"/>
  <c r="T367" i="42"/>
  <c r="R367" i="42"/>
  <c r="P367" i="42"/>
  <c r="P366" i="42" s="1"/>
  <c r="BK367" i="42"/>
  <c r="J367" i="42"/>
  <c r="BF367" i="42" s="1"/>
  <c r="BI365" i="42"/>
  <c r="BH365" i="42"/>
  <c r="BG365" i="42"/>
  <c r="BE365" i="42"/>
  <c r="T365" i="42"/>
  <c r="R365" i="42"/>
  <c r="P365" i="42"/>
  <c r="BK365" i="42"/>
  <c r="J365" i="42"/>
  <c r="BF365" i="42" s="1"/>
  <c r="BI364" i="42"/>
  <c r="BH364" i="42"/>
  <c r="BG364" i="42"/>
  <c r="BE364" i="42"/>
  <c r="T364" i="42"/>
  <c r="R364" i="42"/>
  <c r="P364" i="42"/>
  <c r="P361" i="42" s="1"/>
  <c r="BK364" i="42"/>
  <c r="J364" i="42"/>
  <c r="BF364" i="42" s="1"/>
  <c r="BI363" i="42"/>
  <c r="BH363" i="42"/>
  <c r="BG363" i="42"/>
  <c r="BE363" i="42"/>
  <c r="T363" i="42"/>
  <c r="T361" i="42" s="1"/>
  <c r="R363" i="42"/>
  <c r="P363" i="42"/>
  <c r="BK363" i="42"/>
  <c r="J363" i="42"/>
  <c r="BF363" i="42" s="1"/>
  <c r="BI362" i="42"/>
  <c r="BH362" i="42"/>
  <c r="BG362" i="42"/>
  <c r="BE362" i="42"/>
  <c r="T362" i="42"/>
  <c r="R362" i="42"/>
  <c r="R361" i="42" s="1"/>
  <c r="P362" i="42"/>
  <c r="BK362" i="42"/>
  <c r="J362" i="42"/>
  <c r="BF362" i="42"/>
  <c r="BI360" i="42"/>
  <c r="BH360" i="42"/>
  <c r="BG360" i="42"/>
  <c r="BE360" i="42"/>
  <c r="T360" i="42"/>
  <c r="R360" i="42"/>
  <c r="R356" i="42" s="1"/>
  <c r="P360" i="42"/>
  <c r="BK360" i="42"/>
  <c r="J360" i="42"/>
  <c r="BF360" i="42"/>
  <c r="BI359" i="42"/>
  <c r="BH359" i="42"/>
  <c r="BG359" i="42"/>
  <c r="BE359" i="42"/>
  <c r="T359" i="42"/>
  <c r="R359" i="42"/>
  <c r="P359" i="42"/>
  <c r="BK359" i="42"/>
  <c r="J359" i="42"/>
  <c r="BF359" i="42" s="1"/>
  <c r="BI358" i="42"/>
  <c r="BH358" i="42"/>
  <c r="BG358" i="42"/>
  <c r="BE358" i="42"/>
  <c r="T358" i="42"/>
  <c r="R358" i="42"/>
  <c r="P358" i="42"/>
  <c r="P356" i="42" s="1"/>
  <c r="BK358" i="42"/>
  <c r="J358" i="42"/>
  <c r="BF358" i="42" s="1"/>
  <c r="BI357" i="42"/>
  <c r="BH357" i="42"/>
  <c r="BG357" i="42"/>
  <c r="BE357" i="42"/>
  <c r="T357" i="42"/>
  <c r="T356" i="42" s="1"/>
  <c r="R357" i="42"/>
  <c r="P357" i="42"/>
  <c r="BK357" i="42"/>
  <c r="J357" i="42"/>
  <c r="BF357" i="42"/>
  <c r="J117" i="42"/>
  <c r="BI353" i="42"/>
  <c r="BH353" i="42"/>
  <c r="BG353" i="42"/>
  <c r="BE353" i="42"/>
  <c r="T353" i="42"/>
  <c r="R353" i="42"/>
  <c r="P353" i="42"/>
  <c r="BK353" i="42"/>
  <c r="J353" i="42"/>
  <c r="BF353" i="42" s="1"/>
  <c r="BI352" i="42"/>
  <c r="BH352" i="42"/>
  <c r="BG352" i="42"/>
  <c r="BE352" i="42"/>
  <c r="T352" i="42"/>
  <c r="R352" i="42"/>
  <c r="P352" i="42"/>
  <c r="BK352" i="42"/>
  <c r="J352" i="42"/>
  <c r="BF352" i="42" s="1"/>
  <c r="BI351" i="42"/>
  <c r="BH351" i="42"/>
  <c r="BG351" i="42"/>
  <c r="BE351" i="42"/>
  <c r="T351" i="42"/>
  <c r="R351" i="42"/>
  <c r="R349" i="42" s="1"/>
  <c r="P351" i="42"/>
  <c r="BK351" i="42"/>
  <c r="J351" i="42"/>
  <c r="BF351" i="42" s="1"/>
  <c r="BI350" i="42"/>
  <c r="BH350" i="42"/>
  <c r="BG350" i="42"/>
  <c r="BE350" i="42"/>
  <c r="T350" i="42"/>
  <c r="R350" i="42"/>
  <c r="P350" i="42"/>
  <c r="BK350" i="42"/>
  <c r="J350" i="42"/>
  <c r="BF350" i="42" s="1"/>
  <c r="BI348" i="42"/>
  <c r="BH348" i="42"/>
  <c r="BG348" i="42"/>
  <c r="BE348" i="42"/>
  <c r="T348" i="42"/>
  <c r="R348" i="42"/>
  <c r="P348" i="42"/>
  <c r="BK348" i="42"/>
  <c r="J348" i="42"/>
  <c r="BF348" i="42" s="1"/>
  <c r="BI347" i="42"/>
  <c r="BH347" i="42"/>
  <c r="BG347" i="42"/>
  <c r="BE347" i="42"/>
  <c r="T347" i="42"/>
  <c r="R347" i="42"/>
  <c r="P347" i="42"/>
  <c r="BK347" i="42"/>
  <c r="J347" i="42"/>
  <c r="BF347" i="42"/>
  <c r="BI346" i="42"/>
  <c r="BH346" i="42"/>
  <c r="BG346" i="42"/>
  <c r="BE346" i="42"/>
  <c r="T346" i="42"/>
  <c r="R346" i="42"/>
  <c r="P346" i="42"/>
  <c r="BK346" i="42"/>
  <c r="J346" i="42"/>
  <c r="BF346" i="42" s="1"/>
  <c r="BI345" i="42"/>
  <c r="BH345" i="42"/>
  <c r="BG345" i="42"/>
  <c r="BE345" i="42"/>
  <c r="T345" i="42"/>
  <c r="R345" i="42"/>
  <c r="P345" i="42"/>
  <c r="BK345" i="42"/>
  <c r="J345" i="42"/>
  <c r="BF345" i="42" s="1"/>
  <c r="BI344" i="42"/>
  <c r="BH344" i="42"/>
  <c r="BG344" i="42"/>
  <c r="BE344" i="42"/>
  <c r="T344" i="42"/>
  <c r="R344" i="42"/>
  <c r="P344" i="42"/>
  <c r="BK344" i="42"/>
  <c r="J344" i="42"/>
  <c r="BF344" i="42" s="1"/>
  <c r="BI343" i="42"/>
  <c r="BH343" i="42"/>
  <c r="BG343" i="42"/>
  <c r="BE343" i="42"/>
  <c r="T343" i="42"/>
  <c r="R343" i="42"/>
  <c r="P343" i="42"/>
  <c r="BK343" i="42"/>
  <c r="J343" i="42"/>
  <c r="BF343" i="42"/>
  <c r="BI342" i="42"/>
  <c r="BH342" i="42"/>
  <c r="BG342" i="42"/>
  <c r="BE342" i="42"/>
  <c r="T342" i="42"/>
  <c r="R342" i="42"/>
  <c r="P342" i="42"/>
  <c r="BK342" i="42"/>
  <c r="J342" i="42"/>
  <c r="BF342" i="42" s="1"/>
  <c r="BI341" i="42"/>
  <c r="BH341" i="42"/>
  <c r="BG341" i="42"/>
  <c r="BE341" i="42"/>
  <c r="T341" i="42"/>
  <c r="R341" i="42"/>
  <c r="P341" i="42"/>
  <c r="BK341" i="42"/>
  <c r="J341" i="42"/>
  <c r="BF341" i="42" s="1"/>
  <c r="BI340" i="42"/>
  <c r="BH340" i="42"/>
  <c r="BG340" i="42"/>
  <c r="BE340" i="42"/>
  <c r="T340" i="42"/>
  <c r="R340" i="42"/>
  <c r="P340" i="42"/>
  <c r="BK340" i="42"/>
  <c r="J340" i="42"/>
  <c r="BF340" i="42" s="1"/>
  <c r="BI339" i="42"/>
  <c r="BH339" i="42"/>
  <c r="BG339" i="42"/>
  <c r="BE339" i="42"/>
  <c r="T339" i="42"/>
  <c r="R339" i="42"/>
  <c r="P339" i="42"/>
  <c r="BK339" i="42"/>
  <c r="J339" i="42"/>
  <c r="BF339" i="42" s="1"/>
  <c r="BI338" i="42"/>
  <c r="BH338" i="42"/>
  <c r="BG338" i="42"/>
  <c r="BE338" i="42"/>
  <c r="T338" i="42"/>
  <c r="R338" i="42"/>
  <c r="P338" i="42"/>
  <c r="BK338" i="42"/>
  <c r="J338" i="42"/>
  <c r="BF338" i="42" s="1"/>
  <c r="BI337" i="42"/>
  <c r="BH337" i="42"/>
  <c r="BG337" i="42"/>
  <c r="BE337" i="42"/>
  <c r="T337" i="42"/>
  <c r="R337" i="42"/>
  <c r="P337" i="42"/>
  <c r="BK337" i="42"/>
  <c r="J337" i="42"/>
  <c r="BF337" i="42" s="1"/>
  <c r="BI336" i="42"/>
  <c r="BH336" i="42"/>
  <c r="BG336" i="42"/>
  <c r="BE336" i="42"/>
  <c r="T336" i="42"/>
  <c r="R336" i="42"/>
  <c r="P336" i="42"/>
  <c r="BK336" i="42"/>
  <c r="J336" i="42"/>
  <c r="BF336" i="42" s="1"/>
  <c r="BI335" i="42"/>
  <c r="BH335" i="42"/>
  <c r="BG335" i="42"/>
  <c r="BE335" i="42"/>
  <c r="T335" i="42"/>
  <c r="R335" i="42"/>
  <c r="P335" i="42"/>
  <c r="BK335" i="42"/>
  <c r="J335" i="42"/>
  <c r="BF335" i="42" s="1"/>
  <c r="BI334" i="42"/>
  <c r="BH334" i="42"/>
  <c r="BG334" i="42"/>
  <c r="BE334" i="42"/>
  <c r="T334" i="42"/>
  <c r="R334" i="42"/>
  <c r="P334" i="42"/>
  <c r="BK334" i="42"/>
  <c r="J334" i="42"/>
  <c r="BF334" i="42" s="1"/>
  <c r="BI333" i="42"/>
  <c r="BH333" i="42"/>
  <c r="BG333" i="42"/>
  <c r="BE333" i="42"/>
  <c r="T333" i="42"/>
  <c r="R333" i="42"/>
  <c r="P333" i="42"/>
  <c r="BK333" i="42"/>
  <c r="J333" i="42"/>
  <c r="BF333" i="42" s="1"/>
  <c r="BI332" i="42"/>
  <c r="BH332" i="42"/>
  <c r="BG332" i="42"/>
  <c r="BE332" i="42"/>
  <c r="T332" i="42"/>
  <c r="R332" i="42"/>
  <c r="P332" i="42"/>
  <c r="BK332" i="42"/>
  <c r="J332" i="42"/>
  <c r="BF332" i="42" s="1"/>
  <c r="BI331" i="42"/>
  <c r="BH331" i="42"/>
  <c r="BG331" i="42"/>
  <c r="BE331" i="42"/>
  <c r="T331" i="42"/>
  <c r="R331" i="42"/>
  <c r="P331" i="42"/>
  <c r="BK331" i="42"/>
  <c r="J331" i="42"/>
  <c r="BF331" i="42" s="1"/>
  <c r="BI330" i="42"/>
  <c r="BH330" i="42"/>
  <c r="BG330" i="42"/>
  <c r="BE330" i="42"/>
  <c r="T330" i="42"/>
  <c r="R330" i="42"/>
  <c r="P330" i="42"/>
  <c r="BK330" i="42"/>
  <c r="J330" i="42"/>
  <c r="BF330" i="42" s="1"/>
  <c r="BI329" i="42"/>
  <c r="BH329" i="42"/>
  <c r="BG329" i="42"/>
  <c r="BE329" i="42"/>
  <c r="T329" i="42"/>
  <c r="R329" i="42"/>
  <c r="P329" i="42"/>
  <c r="BK329" i="42"/>
  <c r="J329" i="42"/>
  <c r="BF329" i="42" s="1"/>
  <c r="BI328" i="42"/>
  <c r="BH328" i="42"/>
  <c r="BG328" i="42"/>
  <c r="BE328" i="42"/>
  <c r="T328" i="42"/>
  <c r="R328" i="42"/>
  <c r="P328" i="42"/>
  <c r="BK328" i="42"/>
  <c r="J328" i="42"/>
  <c r="BF328" i="42" s="1"/>
  <c r="BI327" i="42"/>
  <c r="BH327" i="42"/>
  <c r="BG327" i="42"/>
  <c r="BE327" i="42"/>
  <c r="T327" i="42"/>
  <c r="R327" i="42"/>
  <c r="P327" i="42"/>
  <c r="BK327" i="42"/>
  <c r="J327" i="42"/>
  <c r="BF327" i="42" s="1"/>
  <c r="BI326" i="42"/>
  <c r="BH326" i="42"/>
  <c r="BG326" i="42"/>
  <c r="BE326" i="42"/>
  <c r="T326" i="42"/>
  <c r="R326" i="42"/>
  <c r="P326" i="42"/>
  <c r="BK326" i="42"/>
  <c r="J326" i="42"/>
  <c r="BF326" i="42" s="1"/>
  <c r="BI325" i="42"/>
  <c r="BH325" i="42"/>
  <c r="BG325" i="42"/>
  <c r="BE325" i="42"/>
  <c r="T325" i="42"/>
  <c r="R325" i="42"/>
  <c r="P325" i="42"/>
  <c r="BK325" i="42"/>
  <c r="J325" i="42"/>
  <c r="BF325" i="42" s="1"/>
  <c r="BI324" i="42"/>
  <c r="BH324" i="42"/>
  <c r="BG324" i="42"/>
  <c r="BE324" i="42"/>
  <c r="T324" i="42"/>
  <c r="R324" i="42"/>
  <c r="P324" i="42"/>
  <c r="BK324" i="42"/>
  <c r="J324" i="42"/>
  <c r="BF324" i="42" s="1"/>
  <c r="BI323" i="42"/>
  <c r="BH323" i="42"/>
  <c r="BG323" i="42"/>
  <c r="BE323" i="42"/>
  <c r="T323" i="42"/>
  <c r="R323" i="42"/>
  <c r="P323" i="42"/>
  <c r="BK323" i="42"/>
  <c r="J323" i="42"/>
  <c r="BF323" i="42" s="1"/>
  <c r="BI322" i="42"/>
  <c r="BH322" i="42"/>
  <c r="BG322" i="42"/>
  <c r="BE322" i="42"/>
  <c r="T322" i="42"/>
  <c r="R322" i="42"/>
  <c r="P322" i="42"/>
  <c r="BK322" i="42"/>
  <c r="J322" i="42"/>
  <c r="BF322" i="42" s="1"/>
  <c r="BI321" i="42"/>
  <c r="BH321" i="42"/>
  <c r="BG321" i="42"/>
  <c r="BE321" i="42"/>
  <c r="T321" i="42"/>
  <c r="R321" i="42"/>
  <c r="P321" i="42"/>
  <c r="BK321" i="42"/>
  <c r="J321" i="42"/>
  <c r="BF321" i="42" s="1"/>
  <c r="BI320" i="42"/>
  <c r="BH320" i="42"/>
  <c r="BG320" i="42"/>
  <c r="BE320" i="42"/>
  <c r="T320" i="42"/>
  <c r="R320" i="42"/>
  <c r="P320" i="42"/>
  <c r="BK320" i="42"/>
  <c r="J320" i="42"/>
  <c r="BF320" i="42" s="1"/>
  <c r="BI319" i="42"/>
  <c r="BH319" i="42"/>
  <c r="BG319" i="42"/>
  <c r="BE319" i="42"/>
  <c r="T319" i="42"/>
  <c r="R319" i="42"/>
  <c r="P319" i="42"/>
  <c r="BK319" i="42"/>
  <c r="J319" i="42"/>
  <c r="BF319" i="42" s="1"/>
  <c r="BI318" i="42"/>
  <c r="BH318" i="42"/>
  <c r="BG318" i="42"/>
  <c r="BE318" i="42"/>
  <c r="T318" i="42"/>
  <c r="R318" i="42"/>
  <c r="P318" i="42"/>
  <c r="BK318" i="42"/>
  <c r="J318" i="42"/>
  <c r="BF318" i="42" s="1"/>
  <c r="BI317" i="42"/>
  <c r="BH317" i="42"/>
  <c r="BG317" i="42"/>
  <c r="BE317" i="42"/>
  <c r="T317" i="42"/>
  <c r="R317" i="42"/>
  <c r="P317" i="42"/>
  <c r="BK317" i="42"/>
  <c r="J317" i="42"/>
  <c r="BF317" i="42" s="1"/>
  <c r="BI316" i="42"/>
  <c r="BH316" i="42"/>
  <c r="BG316" i="42"/>
  <c r="BE316" i="42"/>
  <c r="T316" i="42"/>
  <c r="R316" i="42"/>
  <c r="P316" i="42"/>
  <c r="BK316" i="42"/>
  <c r="J316" i="42"/>
  <c r="BF316" i="42" s="1"/>
  <c r="BI315" i="42"/>
  <c r="BH315" i="42"/>
  <c r="BG315" i="42"/>
  <c r="BE315" i="42"/>
  <c r="T315" i="42"/>
  <c r="R315" i="42"/>
  <c r="P315" i="42"/>
  <c r="BK315" i="42"/>
  <c r="J315" i="42"/>
  <c r="BF315" i="42" s="1"/>
  <c r="BI314" i="42"/>
  <c r="BH314" i="42"/>
  <c r="BG314" i="42"/>
  <c r="BE314" i="42"/>
  <c r="T314" i="42"/>
  <c r="R314" i="42"/>
  <c r="P314" i="42"/>
  <c r="BK314" i="42"/>
  <c r="J314" i="42"/>
  <c r="BF314" i="42" s="1"/>
  <c r="BI313" i="42"/>
  <c r="BH313" i="42"/>
  <c r="BG313" i="42"/>
  <c r="BE313" i="42"/>
  <c r="T313" i="42"/>
  <c r="R313" i="42"/>
  <c r="P313" i="42"/>
  <c r="BK313" i="42"/>
  <c r="J313" i="42"/>
  <c r="BF313" i="42" s="1"/>
  <c r="BI312" i="42"/>
  <c r="BH312" i="42"/>
  <c r="BG312" i="42"/>
  <c r="BE312" i="42"/>
  <c r="T312" i="42"/>
  <c r="R312" i="42"/>
  <c r="P312" i="42"/>
  <c r="BK312" i="42"/>
  <c r="J312" i="42"/>
  <c r="BF312" i="42" s="1"/>
  <c r="BI311" i="42"/>
  <c r="BH311" i="42"/>
  <c r="BG311" i="42"/>
  <c r="BE311" i="42"/>
  <c r="T311" i="42"/>
  <c r="R311" i="42"/>
  <c r="P311" i="42"/>
  <c r="BK311" i="42"/>
  <c r="J311" i="42"/>
  <c r="BF311" i="42" s="1"/>
  <c r="BI310" i="42"/>
  <c r="BH310" i="42"/>
  <c r="BG310" i="42"/>
  <c r="BE310" i="42"/>
  <c r="T310" i="42"/>
  <c r="R310" i="42"/>
  <c r="P310" i="42"/>
  <c r="BK310" i="42"/>
  <c r="J310" i="42"/>
  <c r="BF310" i="42" s="1"/>
  <c r="BI309" i="42"/>
  <c r="BH309" i="42"/>
  <c r="BG309" i="42"/>
  <c r="BE309" i="42"/>
  <c r="T309" i="42"/>
  <c r="R309" i="42"/>
  <c r="P309" i="42"/>
  <c r="BK309" i="42"/>
  <c r="J309" i="42"/>
  <c r="BF309" i="42" s="1"/>
  <c r="BI308" i="42"/>
  <c r="BH308" i="42"/>
  <c r="BG308" i="42"/>
  <c r="BE308" i="42"/>
  <c r="T308" i="42"/>
  <c r="R308" i="42"/>
  <c r="R307" i="42" s="1"/>
  <c r="P308" i="42"/>
  <c r="BK308" i="42"/>
  <c r="BK307" i="42" s="1"/>
  <c r="J307" i="42" s="1"/>
  <c r="J114" i="42" s="1"/>
  <c r="J308" i="42"/>
  <c r="BF308" i="42" s="1"/>
  <c r="J113" i="42"/>
  <c r="BI305" i="42"/>
  <c r="BH305" i="42"/>
  <c r="BG305" i="42"/>
  <c r="BE305" i="42"/>
  <c r="T305" i="42"/>
  <c r="R305" i="42"/>
  <c r="P305" i="42"/>
  <c r="BK305" i="42"/>
  <c r="J305" i="42"/>
  <c r="BF305" i="42" s="1"/>
  <c r="BI304" i="42"/>
  <c r="BH304" i="42"/>
  <c r="BG304" i="42"/>
  <c r="BE304" i="42"/>
  <c r="T304" i="42"/>
  <c r="R304" i="42"/>
  <c r="P304" i="42"/>
  <c r="BK304" i="42"/>
  <c r="J304" i="42"/>
  <c r="BF304" i="42" s="1"/>
  <c r="BI303" i="42"/>
  <c r="BH303" i="42"/>
  <c r="BG303" i="42"/>
  <c r="BE303" i="42"/>
  <c r="T303" i="42"/>
  <c r="R303" i="42"/>
  <c r="P303" i="42"/>
  <c r="BK303" i="42"/>
  <c r="J303" i="42"/>
  <c r="BF303" i="42" s="1"/>
  <c r="BI301" i="42"/>
  <c r="BH301" i="42"/>
  <c r="BG301" i="42"/>
  <c r="BE301" i="42"/>
  <c r="T301" i="42"/>
  <c r="R301" i="42"/>
  <c r="P301" i="42"/>
  <c r="BK301" i="42"/>
  <c r="J301" i="42"/>
  <c r="BF301" i="42" s="1"/>
  <c r="BI300" i="42"/>
  <c r="BH300" i="42"/>
  <c r="BG300" i="42"/>
  <c r="BE300" i="42"/>
  <c r="T300" i="42"/>
  <c r="R300" i="42"/>
  <c r="P300" i="42"/>
  <c r="BK300" i="42"/>
  <c r="J300" i="42"/>
  <c r="BF300" i="42" s="1"/>
  <c r="BI299" i="42"/>
  <c r="BH299" i="42"/>
  <c r="BG299" i="42"/>
  <c r="BE299" i="42"/>
  <c r="T299" i="42"/>
  <c r="R299" i="42"/>
  <c r="P299" i="42"/>
  <c r="BK299" i="42"/>
  <c r="J299" i="42"/>
  <c r="BF299" i="42" s="1"/>
  <c r="BI298" i="42"/>
  <c r="BH298" i="42"/>
  <c r="BG298" i="42"/>
  <c r="BE298" i="42"/>
  <c r="T298" i="42"/>
  <c r="R298" i="42"/>
  <c r="P298" i="42"/>
  <c r="BK298" i="42"/>
  <c r="J298" i="42"/>
  <c r="BF298" i="42" s="1"/>
  <c r="BI297" i="42"/>
  <c r="BH297" i="42"/>
  <c r="BG297" i="42"/>
  <c r="BE297" i="42"/>
  <c r="T297" i="42"/>
  <c r="R297" i="42"/>
  <c r="P297" i="42"/>
  <c r="BK297" i="42"/>
  <c r="J297" i="42"/>
  <c r="BF297" i="42" s="1"/>
  <c r="BI296" i="42"/>
  <c r="BH296" i="42"/>
  <c r="BG296" i="42"/>
  <c r="BE296" i="42"/>
  <c r="T296" i="42"/>
  <c r="R296" i="42"/>
  <c r="P296" i="42"/>
  <c r="BK296" i="42"/>
  <c r="J296" i="42"/>
  <c r="BF296" i="42" s="1"/>
  <c r="BI295" i="42"/>
  <c r="BH295" i="42"/>
  <c r="BG295" i="42"/>
  <c r="BE295" i="42"/>
  <c r="T295" i="42"/>
  <c r="R295" i="42"/>
  <c r="P295" i="42"/>
  <c r="BK295" i="42"/>
  <c r="J295" i="42"/>
  <c r="BF295" i="42" s="1"/>
  <c r="BI294" i="42"/>
  <c r="BH294" i="42"/>
  <c r="BG294" i="42"/>
  <c r="BE294" i="42"/>
  <c r="T294" i="42"/>
  <c r="R294" i="42"/>
  <c r="P294" i="42"/>
  <c r="BK294" i="42"/>
  <c r="J294" i="42"/>
  <c r="BF294" i="42" s="1"/>
  <c r="BI293" i="42"/>
  <c r="BH293" i="42"/>
  <c r="BG293" i="42"/>
  <c r="BE293" i="42"/>
  <c r="T293" i="42"/>
  <c r="R293" i="42"/>
  <c r="P293" i="42"/>
  <c r="BK293" i="42"/>
  <c r="J293" i="42"/>
  <c r="BF293" i="42" s="1"/>
  <c r="BI292" i="42"/>
  <c r="BH292" i="42"/>
  <c r="BG292" i="42"/>
  <c r="BE292" i="42"/>
  <c r="T292" i="42"/>
  <c r="R292" i="42"/>
  <c r="P292" i="42"/>
  <c r="BK292" i="42"/>
  <c r="J292" i="42"/>
  <c r="BF292" i="42" s="1"/>
  <c r="BI291" i="42"/>
  <c r="BH291" i="42"/>
  <c r="BG291" i="42"/>
  <c r="BE291" i="42"/>
  <c r="T291" i="42"/>
  <c r="R291" i="42"/>
  <c r="P291" i="42"/>
  <c r="BK291" i="42"/>
  <c r="J291" i="42"/>
  <c r="BF291" i="42" s="1"/>
  <c r="BI290" i="42"/>
  <c r="BH290" i="42"/>
  <c r="BG290" i="42"/>
  <c r="BE290" i="42"/>
  <c r="T290" i="42"/>
  <c r="R290" i="42"/>
  <c r="P290" i="42"/>
  <c r="BK290" i="42"/>
  <c r="J290" i="42"/>
  <c r="BF290" i="42" s="1"/>
  <c r="BI289" i="42"/>
  <c r="BH289" i="42"/>
  <c r="BG289" i="42"/>
  <c r="BE289" i="42"/>
  <c r="T289" i="42"/>
  <c r="R289" i="42"/>
  <c r="P289" i="42"/>
  <c r="BK289" i="42"/>
  <c r="J289" i="42"/>
  <c r="BF289" i="42" s="1"/>
  <c r="BI288" i="42"/>
  <c r="BH288" i="42"/>
  <c r="BG288" i="42"/>
  <c r="BE288" i="42"/>
  <c r="T288" i="42"/>
  <c r="R288" i="42"/>
  <c r="P288" i="42"/>
  <c r="BK288" i="42"/>
  <c r="J288" i="42"/>
  <c r="BF288" i="42" s="1"/>
  <c r="BI287" i="42"/>
  <c r="BH287" i="42"/>
  <c r="BG287" i="42"/>
  <c r="BE287" i="42"/>
  <c r="T287" i="42"/>
  <c r="R287" i="42"/>
  <c r="P287" i="42"/>
  <c r="BK287" i="42"/>
  <c r="J287" i="42"/>
  <c r="BF287" i="42" s="1"/>
  <c r="BI286" i="42"/>
  <c r="BH286" i="42"/>
  <c r="BG286" i="42"/>
  <c r="BE286" i="42"/>
  <c r="T286" i="42"/>
  <c r="R286" i="42"/>
  <c r="P286" i="42"/>
  <c r="BK286" i="42"/>
  <c r="J286" i="42"/>
  <c r="BF286" i="42" s="1"/>
  <c r="BI285" i="42"/>
  <c r="BH285" i="42"/>
  <c r="BG285" i="42"/>
  <c r="BE285" i="42"/>
  <c r="T285" i="42"/>
  <c r="R285" i="42"/>
  <c r="P285" i="42"/>
  <c r="BK285" i="42"/>
  <c r="J285" i="42"/>
  <c r="BF285" i="42" s="1"/>
  <c r="BI284" i="42"/>
  <c r="BH284" i="42"/>
  <c r="BG284" i="42"/>
  <c r="BE284" i="42"/>
  <c r="T284" i="42"/>
  <c r="R284" i="42"/>
  <c r="P284" i="42"/>
  <c r="BK284" i="42"/>
  <c r="J284" i="42"/>
  <c r="BF284" i="42" s="1"/>
  <c r="BI283" i="42"/>
  <c r="BH283" i="42"/>
  <c r="BG283" i="42"/>
  <c r="BE283" i="42"/>
  <c r="T283" i="42"/>
  <c r="R283" i="42"/>
  <c r="P283" i="42"/>
  <c r="BK283" i="42"/>
  <c r="J283" i="42"/>
  <c r="BF283" i="42" s="1"/>
  <c r="BI282" i="42"/>
  <c r="BH282" i="42"/>
  <c r="BG282" i="42"/>
  <c r="BE282" i="42"/>
  <c r="T282" i="42"/>
  <c r="R282" i="42"/>
  <c r="P282" i="42"/>
  <c r="BK282" i="42"/>
  <c r="J282" i="42"/>
  <c r="BF282" i="42" s="1"/>
  <c r="BI281" i="42"/>
  <c r="BH281" i="42"/>
  <c r="BG281" i="42"/>
  <c r="BE281" i="42"/>
  <c r="T281" i="42"/>
  <c r="R281" i="42"/>
  <c r="P281" i="42"/>
  <c r="BK281" i="42"/>
  <c r="J281" i="42"/>
  <c r="BF281" i="42" s="1"/>
  <c r="BI280" i="42"/>
  <c r="BH280" i="42"/>
  <c r="BG280" i="42"/>
  <c r="BE280" i="42"/>
  <c r="T280" i="42"/>
  <c r="R280" i="42"/>
  <c r="P280" i="42"/>
  <c r="BK280" i="42"/>
  <c r="J280" i="42"/>
  <c r="BF280" i="42" s="1"/>
  <c r="BI279" i="42"/>
  <c r="BH279" i="42"/>
  <c r="BG279" i="42"/>
  <c r="BE279" i="42"/>
  <c r="T279" i="42"/>
  <c r="R279" i="42"/>
  <c r="P279" i="42"/>
  <c r="BK279" i="42"/>
  <c r="J279" i="42"/>
  <c r="BF279" i="42" s="1"/>
  <c r="BI278" i="42"/>
  <c r="BH278" i="42"/>
  <c r="BG278" i="42"/>
  <c r="BE278" i="42"/>
  <c r="T278" i="42"/>
  <c r="R278" i="42"/>
  <c r="P278" i="42"/>
  <c r="BK278" i="42"/>
  <c r="J278" i="42"/>
  <c r="BF278" i="42" s="1"/>
  <c r="BI277" i="42"/>
  <c r="BH277" i="42"/>
  <c r="BG277" i="42"/>
  <c r="BE277" i="42"/>
  <c r="T277" i="42"/>
  <c r="R277" i="42"/>
  <c r="P277" i="42"/>
  <c r="BK277" i="42"/>
  <c r="J277" i="42"/>
  <c r="BF277" i="42" s="1"/>
  <c r="BI276" i="42"/>
  <c r="BH276" i="42"/>
  <c r="BG276" i="42"/>
  <c r="BE276" i="42"/>
  <c r="T276" i="42"/>
  <c r="R276" i="42"/>
  <c r="P276" i="42"/>
  <c r="BK276" i="42"/>
  <c r="J276" i="42"/>
  <c r="BF276" i="42" s="1"/>
  <c r="BI275" i="42"/>
  <c r="BH275" i="42"/>
  <c r="BG275" i="42"/>
  <c r="BE275" i="42"/>
  <c r="T275" i="42"/>
  <c r="R275" i="42"/>
  <c r="P275" i="42"/>
  <c r="BK275" i="42"/>
  <c r="J275" i="42"/>
  <c r="BF275" i="42" s="1"/>
  <c r="BI274" i="42"/>
  <c r="BH274" i="42"/>
  <c r="BG274" i="42"/>
  <c r="BE274" i="42"/>
  <c r="T274" i="42"/>
  <c r="R274" i="42"/>
  <c r="P274" i="42"/>
  <c r="BK274" i="42"/>
  <c r="J274" i="42"/>
  <c r="BF274" i="42" s="1"/>
  <c r="BI273" i="42"/>
  <c r="BH273" i="42"/>
  <c r="BG273" i="42"/>
  <c r="BE273" i="42"/>
  <c r="T273" i="42"/>
  <c r="R273" i="42"/>
  <c r="P273" i="42"/>
  <c r="BK273" i="42"/>
  <c r="J273" i="42"/>
  <c r="BF273" i="42" s="1"/>
  <c r="BI272" i="42"/>
  <c r="BH272" i="42"/>
  <c r="BG272" i="42"/>
  <c r="BE272" i="42"/>
  <c r="T272" i="42"/>
  <c r="R272" i="42"/>
  <c r="P272" i="42"/>
  <c r="BK272" i="42"/>
  <c r="J272" i="42"/>
  <c r="BF272" i="42" s="1"/>
  <c r="BI271" i="42"/>
  <c r="BH271" i="42"/>
  <c r="BG271" i="42"/>
  <c r="BE271" i="42"/>
  <c r="T271" i="42"/>
  <c r="R271" i="42"/>
  <c r="P271" i="42"/>
  <c r="P268" i="42" s="1"/>
  <c r="BK271" i="42"/>
  <c r="J271" i="42"/>
  <c r="BF271" i="42" s="1"/>
  <c r="BI270" i="42"/>
  <c r="BH270" i="42"/>
  <c r="BG270" i="42"/>
  <c r="BE270" i="42"/>
  <c r="T270" i="42"/>
  <c r="R270" i="42"/>
  <c r="P270" i="42"/>
  <c r="BK270" i="42"/>
  <c r="J270" i="42"/>
  <c r="BF270" i="42" s="1"/>
  <c r="BI269" i="42"/>
  <c r="BH269" i="42"/>
  <c r="BG269" i="42"/>
  <c r="BE269" i="42"/>
  <c r="T269" i="42"/>
  <c r="R269" i="42"/>
  <c r="P269" i="42"/>
  <c r="BK269" i="42"/>
  <c r="J269" i="42"/>
  <c r="BF269" i="42"/>
  <c r="BI267" i="42"/>
  <c r="BH267" i="42"/>
  <c r="BG267" i="42"/>
  <c r="BE267" i="42"/>
  <c r="T267" i="42"/>
  <c r="R267" i="42"/>
  <c r="P267" i="42"/>
  <c r="BK267" i="42"/>
  <c r="J267" i="42"/>
  <c r="BF267" i="42"/>
  <c r="BI266" i="42"/>
  <c r="BH266" i="42"/>
  <c r="BG266" i="42"/>
  <c r="BE266" i="42"/>
  <c r="T266" i="42"/>
  <c r="R266" i="42"/>
  <c r="P266" i="42"/>
  <c r="BK266" i="42"/>
  <c r="J266" i="42"/>
  <c r="BF266" i="42" s="1"/>
  <c r="BI265" i="42"/>
  <c r="BH265" i="42"/>
  <c r="BG265" i="42"/>
  <c r="BE265" i="42"/>
  <c r="T265" i="42"/>
  <c r="R265" i="42"/>
  <c r="P265" i="42"/>
  <c r="BK265" i="42"/>
  <c r="J265" i="42"/>
  <c r="BF265" i="42" s="1"/>
  <c r="BI264" i="42"/>
  <c r="BH264" i="42"/>
  <c r="BG264" i="42"/>
  <c r="BE264" i="42"/>
  <c r="T264" i="42"/>
  <c r="R264" i="42"/>
  <c r="P264" i="42"/>
  <c r="BK264" i="42"/>
  <c r="J264" i="42"/>
  <c r="BF264" i="42" s="1"/>
  <c r="BI263" i="42"/>
  <c r="BH263" i="42"/>
  <c r="BG263" i="42"/>
  <c r="BE263" i="42"/>
  <c r="T263" i="42"/>
  <c r="R263" i="42"/>
  <c r="P263" i="42"/>
  <c r="BK263" i="42"/>
  <c r="BK261" i="42" s="1"/>
  <c r="J261" i="42" s="1"/>
  <c r="J110" i="42" s="1"/>
  <c r="J263" i="42"/>
  <c r="BF263" i="42"/>
  <c r="BI262" i="42"/>
  <c r="BH262" i="42"/>
  <c r="BG262" i="42"/>
  <c r="BE262" i="42"/>
  <c r="T262" i="42"/>
  <c r="R262" i="42"/>
  <c r="R261" i="42" s="1"/>
  <c r="P262" i="42"/>
  <c r="BK262" i="42"/>
  <c r="J262" i="42"/>
  <c r="BF262" i="42" s="1"/>
  <c r="BI260" i="42"/>
  <c r="BH260" i="42"/>
  <c r="BG260" i="42"/>
  <c r="BE260" i="42"/>
  <c r="T260" i="42"/>
  <c r="R260" i="42"/>
  <c r="P260" i="42"/>
  <c r="BK260" i="42"/>
  <c r="J260" i="42"/>
  <c r="BF260" i="42" s="1"/>
  <c r="BI259" i="42"/>
  <c r="BH259" i="42"/>
  <c r="BG259" i="42"/>
  <c r="BE259" i="42"/>
  <c r="T259" i="42"/>
  <c r="R259" i="42"/>
  <c r="P259" i="42"/>
  <c r="BK259" i="42"/>
  <c r="J259" i="42"/>
  <c r="BF259" i="42" s="1"/>
  <c r="BI258" i="42"/>
  <c r="BH258" i="42"/>
  <c r="BG258" i="42"/>
  <c r="BE258" i="42"/>
  <c r="T258" i="42"/>
  <c r="R258" i="42"/>
  <c r="P258" i="42"/>
  <c r="BK258" i="42"/>
  <c r="J258" i="42"/>
  <c r="BF258" i="42" s="1"/>
  <c r="BI257" i="42"/>
  <c r="BH257" i="42"/>
  <c r="BG257" i="42"/>
  <c r="BE257" i="42"/>
  <c r="T257" i="42"/>
  <c r="R257" i="42"/>
  <c r="P257" i="42"/>
  <c r="BK257" i="42"/>
  <c r="J257" i="42"/>
  <c r="BF257" i="42"/>
  <c r="BI256" i="42"/>
  <c r="BH256" i="42"/>
  <c r="BG256" i="42"/>
  <c r="BE256" i="42"/>
  <c r="T256" i="42"/>
  <c r="R256" i="42"/>
  <c r="P256" i="42"/>
  <c r="BK256" i="42"/>
  <c r="J256" i="42"/>
  <c r="BF256" i="42" s="1"/>
  <c r="BI255" i="42"/>
  <c r="BH255" i="42"/>
  <c r="BG255" i="42"/>
  <c r="BE255" i="42"/>
  <c r="T255" i="42"/>
  <c r="R255" i="42"/>
  <c r="P255" i="42"/>
  <c r="P252" i="42" s="1"/>
  <c r="BK255" i="42"/>
  <c r="J255" i="42"/>
  <c r="BF255" i="42" s="1"/>
  <c r="BI253" i="42"/>
  <c r="BH253" i="42"/>
  <c r="BG253" i="42"/>
  <c r="BE253" i="42"/>
  <c r="T253" i="42"/>
  <c r="R253" i="42"/>
  <c r="P253" i="42"/>
  <c r="BK253" i="42"/>
  <c r="J253" i="42"/>
  <c r="BF253" i="42"/>
  <c r="BI249" i="42"/>
  <c r="BH249" i="42"/>
  <c r="BG249" i="42"/>
  <c r="BE249" i="42"/>
  <c r="T249" i="42"/>
  <c r="R249" i="42"/>
  <c r="P249" i="42"/>
  <c r="BK249" i="42"/>
  <c r="J249" i="42"/>
  <c r="BF249" i="42" s="1"/>
  <c r="BI248" i="42"/>
  <c r="BH248" i="42"/>
  <c r="BG248" i="42"/>
  <c r="BE248" i="42"/>
  <c r="T248" i="42"/>
  <c r="R248" i="42"/>
  <c r="P248" i="42"/>
  <c r="BK248" i="42"/>
  <c r="J248" i="42"/>
  <c r="BF248" i="42" s="1"/>
  <c r="BI247" i="42"/>
  <c r="BH247" i="42"/>
  <c r="BG247" i="42"/>
  <c r="BE247" i="42"/>
  <c r="T247" i="42"/>
  <c r="R247" i="42"/>
  <c r="P247" i="42"/>
  <c r="BK247" i="42"/>
  <c r="J247" i="42"/>
  <c r="BF247" i="42" s="1"/>
  <c r="BI246" i="42"/>
  <c r="BH246" i="42"/>
  <c r="BG246" i="42"/>
  <c r="BE246" i="42"/>
  <c r="T246" i="42"/>
  <c r="R246" i="42"/>
  <c r="P246" i="42"/>
  <c r="BK246" i="42"/>
  <c r="J246" i="42"/>
  <c r="BF246" i="42" s="1"/>
  <c r="BI244" i="42"/>
  <c r="BH244" i="42"/>
  <c r="BG244" i="42"/>
  <c r="BE244" i="42"/>
  <c r="T244" i="42"/>
  <c r="R244" i="42"/>
  <c r="P244" i="42"/>
  <c r="BK244" i="42"/>
  <c r="J244" i="42"/>
  <c r="BF244" i="42" s="1"/>
  <c r="BI243" i="42"/>
  <c r="BH243" i="42"/>
  <c r="BG243" i="42"/>
  <c r="BE243" i="42"/>
  <c r="T243" i="42"/>
  <c r="R243" i="42"/>
  <c r="P243" i="42"/>
  <c r="BK243" i="42"/>
  <c r="J243" i="42"/>
  <c r="BF243" i="42"/>
  <c r="BI242" i="42"/>
  <c r="BH242" i="42"/>
  <c r="BG242" i="42"/>
  <c r="BE242" i="42"/>
  <c r="T242" i="42"/>
  <c r="R242" i="42"/>
  <c r="P242" i="42"/>
  <c r="BK242" i="42"/>
  <c r="J242" i="42"/>
  <c r="BF242" i="42"/>
  <c r="BI241" i="42"/>
  <c r="BH241" i="42"/>
  <c r="BG241" i="42"/>
  <c r="BE241" i="42"/>
  <c r="T241" i="42"/>
  <c r="R241" i="42"/>
  <c r="P241" i="42"/>
  <c r="BK241" i="42"/>
  <c r="J241" i="42"/>
  <c r="BF241" i="42"/>
  <c r="BI240" i="42"/>
  <c r="BH240" i="42"/>
  <c r="BG240" i="42"/>
  <c r="BE240" i="42"/>
  <c r="T240" i="42"/>
  <c r="R240" i="42"/>
  <c r="P240" i="42"/>
  <c r="BK240" i="42"/>
  <c r="J240" i="42"/>
  <c r="BF240" i="42"/>
  <c r="BI239" i="42"/>
  <c r="BH239" i="42"/>
  <c r="BG239" i="42"/>
  <c r="BE239" i="42"/>
  <c r="T239" i="42"/>
  <c r="R239" i="42"/>
  <c r="P239" i="42"/>
  <c r="BK239" i="42"/>
  <c r="J239" i="42"/>
  <c r="BF239" i="42"/>
  <c r="BI238" i="42"/>
  <c r="BH238" i="42"/>
  <c r="BG238" i="42"/>
  <c r="BE238" i="42"/>
  <c r="T238" i="42"/>
  <c r="R238" i="42"/>
  <c r="P238" i="42"/>
  <c r="BK238" i="42"/>
  <c r="J238" i="42"/>
  <c r="BF238" i="42"/>
  <c r="BI237" i="42"/>
  <c r="BH237" i="42"/>
  <c r="BG237" i="42"/>
  <c r="BE237" i="42"/>
  <c r="T237" i="42"/>
  <c r="R237" i="42"/>
  <c r="P237" i="42"/>
  <c r="BK237" i="42"/>
  <c r="J237" i="42"/>
  <c r="BF237" i="42"/>
  <c r="BI236" i="42"/>
  <c r="BH236" i="42"/>
  <c r="BG236" i="42"/>
  <c r="BE236" i="42"/>
  <c r="T236" i="42"/>
  <c r="R236" i="42"/>
  <c r="P236" i="42"/>
  <c r="BK236" i="42"/>
  <c r="J236" i="42"/>
  <c r="BF236" i="42"/>
  <c r="BI235" i="42"/>
  <c r="BH235" i="42"/>
  <c r="BG235" i="42"/>
  <c r="BE235" i="42"/>
  <c r="T235" i="42"/>
  <c r="R235" i="42"/>
  <c r="P235" i="42"/>
  <c r="BK235" i="42"/>
  <c r="J235" i="42"/>
  <c r="BF235" i="42"/>
  <c r="BI234" i="42"/>
  <c r="BH234" i="42"/>
  <c r="BG234" i="42"/>
  <c r="BE234" i="42"/>
  <c r="T234" i="42"/>
  <c r="R234" i="42"/>
  <c r="P234" i="42"/>
  <c r="BK234" i="42"/>
  <c r="J234" i="42"/>
  <c r="BF234" i="42"/>
  <c r="BI233" i="42"/>
  <c r="BH233" i="42"/>
  <c r="BG233" i="42"/>
  <c r="BE233" i="42"/>
  <c r="T233" i="42"/>
  <c r="R233" i="42"/>
  <c r="P233" i="42"/>
  <c r="BK233" i="42"/>
  <c r="J233" i="42"/>
  <c r="BF233" i="42"/>
  <c r="BI232" i="42"/>
  <c r="BH232" i="42"/>
  <c r="BG232" i="42"/>
  <c r="BE232" i="42"/>
  <c r="T232" i="42"/>
  <c r="R232" i="42"/>
  <c r="P232" i="42"/>
  <c r="BK232" i="42"/>
  <c r="J232" i="42"/>
  <c r="BF232" i="42"/>
  <c r="BI231" i="42"/>
  <c r="BH231" i="42"/>
  <c r="BG231" i="42"/>
  <c r="BE231" i="42"/>
  <c r="T231" i="42"/>
  <c r="R231" i="42"/>
  <c r="P231" i="42"/>
  <c r="BK231" i="42"/>
  <c r="J231" i="42"/>
  <c r="BF231" i="42"/>
  <c r="BI230" i="42"/>
  <c r="BH230" i="42"/>
  <c r="BG230" i="42"/>
  <c r="BE230" i="42"/>
  <c r="T230" i="42"/>
  <c r="R230" i="42"/>
  <c r="P230" i="42"/>
  <c r="BK230" i="42"/>
  <c r="J230" i="42"/>
  <c r="BF230" i="42"/>
  <c r="BI229" i="42"/>
  <c r="BH229" i="42"/>
  <c r="BG229" i="42"/>
  <c r="BE229" i="42"/>
  <c r="T229" i="42"/>
  <c r="R229" i="42"/>
  <c r="P229" i="42"/>
  <c r="BK229" i="42"/>
  <c r="J229" i="42"/>
  <c r="BF229" i="42"/>
  <c r="BI228" i="42"/>
  <c r="BH228" i="42"/>
  <c r="BG228" i="42"/>
  <c r="BE228" i="42"/>
  <c r="T228" i="42"/>
  <c r="R228" i="42"/>
  <c r="P228" i="42"/>
  <c r="BK228" i="42"/>
  <c r="J228" i="42"/>
  <c r="BF228" i="42"/>
  <c r="BI227" i="42"/>
  <c r="BH227" i="42"/>
  <c r="BG227" i="42"/>
  <c r="BE227" i="42"/>
  <c r="T227" i="42"/>
  <c r="R227" i="42"/>
  <c r="P227" i="42"/>
  <c r="BK227" i="42"/>
  <c r="J227" i="42"/>
  <c r="BF227" i="42"/>
  <c r="BI226" i="42"/>
  <c r="BH226" i="42"/>
  <c r="BG226" i="42"/>
  <c r="BE226" i="42"/>
  <c r="T226" i="42"/>
  <c r="R226" i="42"/>
  <c r="P226" i="42"/>
  <c r="BK226" i="42"/>
  <c r="J226" i="42"/>
  <c r="BF226" i="42"/>
  <c r="BI225" i="42"/>
  <c r="BH225" i="42"/>
  <c r="BG225" i="42"/>
  <c r="BE225" i="42"/>
  <c r="T225" i="42"/>
  <c r="R225" i="42"/>
  <c r="P225" i="42"/>
  <c r="BK225" i="42"/>
  <c r="J225" i="42"/>
  <c r="BF225" i="42"/>
  <c r="BI224" i="42"/>
  <c r="BH224" i="42"/>
  <c r="BG224" i="42"/>
  <c r="BE224" i="42"/>
  <c r="T224" i="42"/>
  <c r="R224" i="42"/>
  <c r="P224" i="42"/>
  <c r="BK224" i="42"/>
  <c r="J224" i="42"/>
  <c r="BF224" i="42"/>
  <c r="BI223" i="42"/>
  <c r="BH223" i="42"/>
  <c r="BG223" i="42"/>
  <c r="BE223" i="42"/>
  <c r="T223" i="42"/>
  <c r="R223" i="42"/>
  <c r="P223" i="42"/>
  <c r="BK223" i="42"/>
  <c r="J223" i="42"/>
  <c r="BF223" i="42"/>
  <c r="BI222" i="42"/>
  <c r="BH222" i="42"/>
  <c r="BG222" i="42"/>
  <c r="BE222" i="42"/>
  <c r="T222" i="42"/>
  <c r="R222" i="42"/>
  <c r="P222" i="42"/>
  <c r="BK222" i="42"/>
  <c r="J222" i="42"/>
  <c r="BF222" i="42"/>
  <c r="BI221" i="42"/>
  <c r="BH221" i="42"/>
  <c r="BG221" i="42"/>
  <c r="BE221" i="42"/>
  <c r="T221" i="42"/>
  <c r="R221" i="42"/>
  <c r="P221" i="42"/>
  <c r="BK221" i="42"/>
  <c r="J221" i="42"/>
  <c r="BF221" i="42"/>
  <c r="BI220" i="42"/>
  <c r="BH220" i="42"/>
  <c r="BG220" i="42"/>
  <c r="BE220" i="42"/>
  <c r="T220" i="42"/>
  <c r="R220" i="42"/>
  <c r="P220" i="42"/>
  <c r="BK220" i="42"/>
  <c r="J220" i="42"/>
  <c r="BF220" i="42"/>
  <c r="BI219" i="42"/>
  <c r="BH219" i="42"/>
  <c r="BG219" i="42"/>
  <c r="BE219" i="42"/>
  <c r="T219" i="42"/>
  <c r="R219" i="42"/>
  <c r="P219" i="42"/>
  <c r="BK219" i="42"/>
  <c r="J219" i="42"/>
  <c r="BF219" i="42"/>
  <c r="BI218" i="42"/>
  <c r="BH218" i="42"/>
  <c r="BG218" i="42"/>
  <c r="BE218" i="42"/>
  <c r="T218" i="42"/>
  <c r="R218" i="42"/>
  <c r="P218" i="42"/>
  <c r="BK218" i="42"/>
  <c r="J218" i="42"/>
  <c r="BF218" i="42"/>
  <c r="BI217" i="42"/>
  <c r="BH217" i="42"/>
  <c r="BG217" i="42"/>
  <c r="BE217" i="42"/>
  <c r="T217" i="42"/>
  <c r="R217" i="42"/>
  <c r="P217" i="42"/>
  <c r="BK217" i="42"/>
  <c r="J217" i="42"/>
  <c r="BF217" i="42"/>
  <c r="BI216" i="42"/>
  <c r="BH216" i="42"/>
  <c r="BG216" i="42"/>
  <c r="BE216" i="42"/>
  <c r="T216" i="42"/>
  <c r="R216" i="42"/>
  <c r="P216" i="42"/>
  <c r="BK216" i="42"/>
  <c r="J216" i="42"/>
  <c r="BF216" i="42"/>
  <c r="BI215" i="42"/>
  <c r="BH215" i="42"/>
  <c r="BG215" i="42"/>
  <c r="BE215" i="42"/>
  <c r="T215" i="42"/>
  <c r="R215" i="42"/>
  <c r="P215" i="42"/>
  <c r="BK215" i="42"/>
  <c r="J215" i="42"/>
  <c r="BF215" i="42"/>
  <c r="BI214" i="42"/>
  <c r="BH214" i="42"/>
  <c r="BG214" i="42"/>
  <c r="BE214" i="42"/>
  <c r="T214" i="42"/>
  <c r="R214" i="42"/>
  <c r="P214" i="42"/>
  <c r="BK214" i="42"/>
  <c r="J214" i="42"/>
  <c r="BF214" i="42"/>
  <c r="BI213" i="42"/>
  <c r="BH213" i="42"/>
  <c r="BG213" i="42"/>
  <c r="BE213" i="42"/>
  <c r="T213" i="42"/>
  <c r="R213" i="42"/>
  <c r="P213" i="42"/>
  <c r="BK213" i="42"/>
  <c r="J213" i="42"/>
  <c r="BF213" i="42"/>
  <c r="BI212" i="42"/>
  <c r="BH212" i="42"/>
  <c r="BG212" i="42"/>
  <c r="BE212" i="42"/>
  <c r="T212" i="42"/>
  <c r="R212" i="42"/>
  <c r="P212" i="42"/>
  <c r="BK212" i="42"/>
  <c r="J212" i="42"/>
  <c r="BF212" i="42"/>
  <c r="BI211" i="42"/>
  <c r="BH211" i="42"/>
  <c r="BG211" i="42"/>
  <c r="BE211" i="42"/>
  <c r="T211" i="42"/>
  <c r="R211" i="42"/>
  <c r="P211" i="42"/>
  <c r="BK211" i="42"/>
  <c r="J211" i="42"/>
  <c r="BF211" i="42"/>
  <c r="BI210" i="42"/>
  <c r="BH210" i="42"/>
  <c r="BG210" i="42"/>
  <c r="BE210" i="42"/>
  <c r="T210" i="42"/>
  <c r="R210" i="42"/>
  <c r="P210" i="42"/>
  <c r="BK210" i="42"/>
  <c r="J210" i="42"/>
  <c r="BF210" i="42"/>
  <c r="BI209" i="42"/>
  <c r="BH209" i="42"/>
  <c r="BG209" i="42"/>
  <c r="BE209" i="42"/>
  <c r="T209" i="42"/>
  <c r="R209" i="42"/>
  <c r="P209" i="42"/>
  <c r="BK209" i="42"/>
  <c r="J209" i="42"/>
  <c r="BF209" i="42"/>
  <c r="BI208" i="42"/>
  <c r="BH208" i="42"/>
  <c r="BG208" i="42"/>
  <c r="BE208" i="42"/>
  <c r="T208" i="42"/>
  <c r="R208" i="42"/>
  <c r="R205" i="42" s="1"/>
  <c r="P208" i="42"/>
  <c r="BK208" i="42"/>
  <c r="J208" i="42"/>
  <c r="BF208" i="42"/>
  <c r="BI207" i="42"/>
  <c r="BH207" i="42"/>
  <c r="BG207" i="42"/>
  <c r="BE207" i="42"/>
  <c r="T207" i="42"/>
  <c r="R207" i="42"/>
  <c r="P207" i="42"/>
  <c r="BK207" i="42"/>
  <c r="BK205" i="42" s="1"/>
  <c r="J205" i="42" s="1"/>
  <c r="J105" i="42" s="1"/>
  <c r="J207" i="42"/>
  <c r="BF207" i="42"/>
  <c r="BI206" i="42"/>
  <c r="BH206" i="42"/>
  <c r="BG206" i="42"/>
  <c r="BE206" i="42"/>
  <c r="T206" i="42"/>
  <c r="T205" i="42"/>
  <c r="R206" i="42"/>
  <c r="P206" i="42"/>
  <c r="P205" i="42"/>
  <c r="BK206" i="42"/>
  <c r="J206" i="42"/>
  <c r="BF206" i="42" s="1"/>
  <c r="J104" i="42"/>
  <c r="BI203" i="42"/>
  <c r="BH203" i="42"/>
  <c r="BG203" i="42"/>
  <c r="BE203" i="42"/>
  <c r="T203" i="42"/>
  <c r="R203" i="42"/>
  <c r="P203" i="42"/>
  <c r="BK203" i="42"/>
  <c r="J203" i="42"/>
  <c r="BF203" i="42" s="1"/>
  <c r="BI202" i="42"/>
  <c r="BH202" i="42"/>
  <c r="BG202" i="42"/>
  <c r="BE202" i="42"/>
  <c r="T202" i="42"/>
  <c r="R202" i="42"/>
  <c r="P202" i="42"/>
  <c r="BK202" i="42"/>
  <c r="J202" i="42"/>
  <c r="BF202" i="42" s="1"/>
  <c r="BI201" i="42"/>
  <c r="BH201" i="42"/>
  <c r="BG201" i="42"/>
  <c r="BE201" i="42"/>
  <c r="T201" i="42"/>
  <c r="R201" i="42"/>
  <c r="P201" i="42"/>
  <c r="BK201" i="42"/>
  <c r="J201" i="42"/>
  <c r="BF201" i="42" s="1"/>
  <c r="BI199" i="42"/>
  <c r="BH199" i="42"/>
  <c r="BG199" i="42"/>
  <c r="BE199" i="42"/>
  <c r="T199" i="42"/>
  <c r="R199" i="42"/>
  <c r="P199" i="42"/>
  <c r="BK199" i="42"/>
  <c r="J199" i="42"/>
  <c r="BF199" i="42" s="1"/>
  <c r="BI198" i="42"/>
  <c r="BH198" i="42"/>
  <c r="BG198" i="42"/>
  <c r="BE198" i="42"/>
  <c r="T198" i="42"/>
  <c r="R198" i="42"/>
  <c r="P198" i="42"/>
  <c r="BK198" i="42"/>
  <c r="J198" i="42"/>
  <c r="BF198" i="42" s="1"/>
  <c r="BI197" i="42"/>
  <c r="BH197" i="42"/>
  <c r="BG197" i="42"/>
  <c r="BE197" i="42"/>
  <c r="T197" i="42"/>
  <c r="R197" i="42"/>
  <c r="P197" i="42"/>
  <c r="BK197" i="42"/>
  <c r="J197" i="42"/>
  <c r="BF197" i="42" s="1"/>
  <c r="BI196" i="42"/>
  <c r="BH196" i="42"/>
  <c r="BG196" i="42"/>
  <c r="BE196" i="42"/>
  <c r="T196" i="42"/>
  <c r="R196" i="42"/>
  <c r="P196" i="42"/>
  <c r="BK196" i="42"/>
  <c r="J196" i="42"/>
  <c r="BF196" i="42" s="1"/>
  <c r="BI195" i="42"/>
  <c r="BH195" i="42"/>
  <c r="BG195" i="42"/>
  <c r="BE195" i="42"/>
  <c r="T195" i="42"/>
  <c r="R195" i="42"/>
  <c r="P195" i="42"/>
  <c r="BK195" i="42"/>
  <c r="J195" i="42"/>
  <c r="BF195" i="42" s="1"/>
  <c r="BI194" i="42"/>
  <c r="BH194" i="42"/>
  <c r="BG194" i="42"/>
  <c r="BE194" i="42"/>
  <c r="T194" i="42"/>
  <c r="R194" i="42"/>
  <c r="P194" i="42"/>
  <c r="BK194" i="42"/>
  <c r="J194" i="42"/>
  <c r="BF194" i="42" s="1"/>
  <c r="BI193" i="42"/>
  <c r="BH193" i="42"/>
  <c r="BG193" i="42"/>
  <c r="BE193" i="42"/>
  <c r="T193" i="42"/>
  <c r="R193" i="42"/>
  <c r="P193" i="42"/>
  <c r="BK193" i="42"/>
  <c r="J193" i="42"/>
  <c r="BF193" i="42" s="1"/>
  <c r="BI192" i="42"/>
  <c r="BH192" i="42"/>
  <c r="BG192" i="42"/>
  <c r="BE192" i="42"/>
  <c r="T192" i="42"/>
  <c r="R192" i="42"/>
  <c r="P192" i="42"/>
  <c r="BK192" i="42"/>
  <c r="J192" i="42"/>
  <c r="BF192" i="42" s="1"/>
  <c r="BI191" i="42"/>
  <c r="BH191" i="42"/>
  <c r="BG191" i="42"/>
  <c r="BE191" i="42"/>
  <c r="T191" i="42"/>
  <c r="R191" i="42"/>
  <c r="P191" i="42"/>
  <c r="BK191" i="42"/>
  <c r="J191" i="42"/>
  <c r="BF191" i="42" s="1"/>
  <c r="BI190" i="42"/>
  <c r="BH190" i="42"/>
  <c r="BG190" i="42"/>
  <c r="BE190" i="42"/>
  <c r="T190" i="42"/>
  <c r="R190" i="42"/>
  <c r="P190" i="42"/>
  <c r="BK190" i="42"/>
  <c r="J190" i="42"/>
  <c r="BF190" i="42" s="1"/>
  <c r="BI189" i="42"/>
  <c r="BH189" i="42"/>
  <c r="BG189" i="42"/>
  <c r="BE189" i="42"/>
  <c r="T189" i="42"/>
  <c r="R189" i="42"/>
  <c r="P189" i="42"/>
  <c r="BK189" i="42"/>
  <c r="J189" i="42"/>
  <c r="BF189" i="42"/>
  <c r="BI188" i="42"/>
  <c r="BH188" i="42"/>
  <c r="BG188" i="42"/>
  <c r="BE188" i="42"/>
  <c r="T188" i="42"/>
  <c r="R188" i="42"/>
  <c r="P188" i="42"/>
  <c r="BK188" i="42"/>
  <c r="J188" i="42"/>
  <c r="BF188" i="42" s="1"/>
  <c r="BI187" i="42"/>
  <c r="BH187" i="42"/>
  <c r="BG187" i="42"/>
  <c r="BE187" i="42"/>
  <c r="T187" i="42"/>
  <c r="R187" i="42"/>
  <c r="P187" i="42"/>
  <c r="BK187" i="42"/>
  <c r="J187" i="42"/>
  <c r="BF187" i="42" s="1"/>
  <c r="BI186" i="42"/>
  <c r="BH186" i="42"/>
  <c r="BG186" i="42"/>
  <c r="BE186" i="42"/>
  <c r="T186" i="42"/>
  <c r="R186" i="42"/>
  <c r="P186" i="42"/>
  <c r="BK186" i="42"/>
  <c r="J186" i="42"/>
  <c r="BF186" i="42" s="1"/>
  <c r="BI185" i="42"/>
  <c r="BH185" i="42"/>
  <c r="BG185" i="42"/>
  <c r="BE185" i="42"/>
  <c r="T185" i="42"/>
  <c r="R185" i="42"/>
  <c r="P185" i="42"/>
  <c r="BK185" i="42"/>
  <c r="J185" i="42"/>
  <c r="BF185" i="42"/>
  <c r="BI184" i="42"/>
  <c r="BH184" i="42"/>
  <c r="BG184" i="42"/>
  <c r="BE184" i="42"/>
  <c r="T184" i="42"/>
  <c r="R184" i="42"/>
  <c r="P184" i="42"/>
  <c r="BK184" i="42"/>
  <c r="J184" i="42"/>
  <c r="BF184" i="42" s="1"/>
  <c r="BI183" i="42"/>
  <c r="BH183" i="42"/>
  <c r="BG183" i="42"/>
  <c r="BE183" i="42"/>
  <c r="T183" i="42"/>
  <c r="R183" i="42"/>
  <c r="P183" i="42"/>
  <c r="BK183" i="42"/>
  <c r="J183" i="42"/>
  <c r="BF183" i="42" s="1"/>
  <c r="BI182" i="42"/>
  <c r="BH182" i="42"/>
  <c r="BG182" i="42"/>
  <c r="BE182" i="42"/>
  <c r="T182" i="42"/>
  <c r="R182" i="42"/>
  <c r="P182" i="42"/>
  <c r="BK182" i="42"/>
  <c r="J182" i="42"/>
  <c r="BF182" i="42" s="1"/>
  <c r="BI181" i="42"/>
  <c r="BH181" i="42"/>
  <c r="BG181" i="42"/>
  <c r="BE181" i="42"/>
  <c r="T181" i="42"/>
  <c r="R181" i="42"/>
  <c r="P181" i="42"/>
  <c r="BK181" i="42"/>
  <c r="J181" i="42"/>
  <c r="BF181" i="42"/>
  <c r="BI180" i="42"/>
  <c r="BH180" i="42"/>
  <c r="BG180" i="42"/>
  <c r="BE180" i="42"/>
  <c r="T180" i="42"/>
  <c r="R180" i="42"/>
  <c r="P180" i="42"/>
  <c r="BK180" i="42"/>
  <c r="J180" i="42"/>
  <c r="BF180" i="42" s="1"/>
  <c r="BI179" i="42"/>
  <c r="BH179" i="42"/>
  <c r="BG179" i="42"/>
  <c r="BE179" i="42"/>
  <c r="T179" i="42"/>
  <c r="R179" i="42"/>
  <c r="P179" i="42"/>
  <c r="BK179" i="42"/>
  <c r="J179" i="42"/>
  <c r="BF179" i="42" s="1"/>
  <c r="BI178" i="42"/>
  <c r="BH178" i="42"/>
  <c r="BG178" i="42"/>
  <c r="BE178" i="42"/>
  <c r="T178" i="42"/>
  <c r="R178" i="42"/>
  <c r="P178" i="42"/>
  <c r="BK178" i="42"/>
  <c r="J178" i="42"/>
  <c r="BF178" i="42" s="1"/>
  <c r="BI177" i="42"/>
  <c r="BH177" i="42"/>
  <c r="BG177" i="42"/>
  <c r="BE177" i="42"/>
  <c r="T177" i="42"/>
  <c r="R177" i="42"/>
  <c r="P177" i="42"/>
  <c r="BK177" i="42"/>
  <c r="J177" i="42"/>
  <c r="BF177" i="42"/>
  <c r="BI176" i="42"/>
  <c r="BH176" i="42"/>
  <c r="BG176" i="42"/>
  <c r="BE176" i="42"/>
  <c r="T176" i="42"/>
  <c r="R176" i="42"/>
  <c r="P176" i="42"/>
  <c r="BK176" i="42"/>
  <c r="J176" i="42"/>
  <c r="BF176" i="42" s="1"/>
  <c r="BI175" i="42"/>
  <c r="BH175" i="42"/>
  <c r="BG175" i="42"/>
  <c r="BE175" i="42"/>
  <c r="T175" i="42"/>
  <c r="R175" i="42"/>
  <c r="P175" i="42"/>
  <c r="BK175" i="42"/>
  <c r="J175" i="42"/>
  <c r="BF175" i="42" s="1"/>
  <c r="BI174" i="42"/>
  <c r="BH174" i="42"/>
  <c r="BG174" i="42"/>
  <c r="BE174" i="42"/>
  <c r="T174" i="42"/>
  <c r="R174" i="42"/>
  <c r="P174" i="42"/>
  <c r="BK174" i="42"/>
  <c r="J174" i="42"/>
  <c r="BF174" i="42" s="1"/>
  <c r="BI173" i="42"/>
  <c r="BH173" i="42"/>
  <c r="BG173" i="42"/>
  <c r="BE173" i="42"/>
  <c r="T173" i="42"/>
  <c r="R173" i="42"/>
  <c r="P173" i="42"/>
  <c r="BK173" i="42"/>
  <c r="J173" i="42"/>
  <c r="BF173" i="42"/>
  <c r="BI172" i="42"/>
  <c r="BH172" i="42"/>
  <c r="BG172" i="42"/>
  <c r="BE172" i="42"/>
  <c r="T172" i="42"/>
  <c r="R172" i="42"/>
  <c r="P172" i="42"/>
  <c r="BK172" i="42"/>
  <c r="J172" i="42"/>
  <c r="BF172" i="42" s="1"/>
  <c r="BI171" i="42"/>
  <c r="BH171" i="42"/>
  <c r="BG171" i="42"/>
  <c r="BE171" i="42"/>
  <c r="T171" i="42"/>
  <c r="R171" i="42"/>
  <c r="P171" i="42"/>
  <c r="BK171" i="42"/>
  <c r="J171" i="42"/>
  <c r="BF171" i="42" s="1"/>
  <c r="BI170" i="42"/>
  <c r="BH170" i="42"/>
  <c r="BG170" i="42"/>
  <c r="BE170" i="42"/>
  <c r="T170" i="42"/>
  <c r="R170" i="42"/>
  <c r="P170" i="42"/>
  <c r="BK170" i="42"/>
  <c r="J170" i="42"/>
  <c r="BF170" i="42" s="1"/>
  <c r="BI169" i="42"/>
  <c r="BH169" i="42"/>
  <c r="BG169" i="42"/>
  <c r="BE169" i="42"/>
  <c r="T169" i="42"/>
  <c r="R169" i="42"/>
  <c r="P169" i="42"/>
  <c r="BK169" i="42"/>
  <c r="J169" i="42"/>
  <c r="BF169" i="42"/>
  <c r="BI167" i="42"/>
  <c r="BH167" i="42"/>
  <c r="BG167" i="42"/>
  <c r="BE167" i="42"/>
  <c r="T167" i="42"/>
  <c r="R167" i="42"/>
  <c r="P167" i="42"/>
  <c r="BK167" i="42"/>
  <c r="J167" i="42"/>
  <c r="BF167" i="42"/>
  <c r="BI166" i="42"/>
  <c r="BH166" i="42"/>
  <c r="BG166" i="42"/>
  <c r="BE166" i="42"/>
  <c r="T166" i="42"/>
  <c r="R166" i="42"/>
  <c r="P166" i="42"/>
  <c r="BK166" i="42"/>
  <c r="J166" i="42"/>
  <c r="BF166" i="42" s="1"/>
  <c r="BI165" i="42"/>
  <c r="BH165" i="42"/>
  <c r="BG165" i="42"/>
  <c r="BE165" i="42"/>
  <c r="T165" i="42"/>
  <c r="R165" i="42"/>
  <c r="P165" i="42"/>
  <c r="BK165" i="42"/>
  <c r="J165" i="42"/>
  <c r="BF165" i="42" s="1"/>
  <c r="BI164" i="42"/>
  <c r="BH164" i="42"/>
  <c r="BG164" i="42"/>
  <c r="BE164" i="42"/>
  <c r="T164" i="42"/>
  <c r="R164" i="42"/>
  <c r="P164" i="42"/>
  <c r="BK164" i="42"/>
  <c r="J164" i="42"/>
  <c r="BF164" i="42" s="1"/>
  <c r="BI163" i="42"/>
  <c r="BH163" i="42"/>
  <c r="BG163" i="42"/>
  <c r="BE163" i="42"/>
  <c r="T163" i="42"/>
  <c r="R163" i="42"/>
  <c r="P163" i="42"/>
  <c r="BK163" i="42"/>
  <c r="J163" i="42"/>
  <c r="BF163" i="42"/>
  <c r="BI162" i="42"/>
  <c r="BH162" i="42"/>
  <c r="BG162" i="42"/>
  <c r="BE162" i="42"/>
  <c r="T162" i="42"/>
  <c r="R162" i="42"/>
  <c r="P162" i="42"/>
  <c r="BK162" i="42"/>
  <c r="J162" i="42"/>
  <c r="BF162" i="42" s="1"/>
  <c r="BI161" i="42"/>
  <c r="BH161" i="42"/>
  <c r="BG161" i="42"/>
  <c r="BE161" i="42"/>
  <c r="T161" i="42"/>
  <c r="R161" i="42"/>
  <c r="P161" i="42"/>
  <c r="BK161" i="42"/>
  <c r="J161" i="42"/>
  <c r="BF161" i="42" s="1"/>
  <c r="BI159" i="42"/>
  <c r="BH159" i="42"/>
  <c r="BG159" i="42"/>
  <c r="BE159" i="42"/>
  <c r="T159" i="42"/>
  <c r="R159" i="42"/>
  <c r="P159" i="42"/>
  <c r="BK159" i="42"/>
  <c r="J159" i="42"/>
  <c r="BF159" i="42" s="1"/>
  <c r="BI158" i="42"/>
  <c r="BH158" i="42"/>
  <c r="BG158" i="42"/>
  <c r="BE158" i="42"/>
  <c r="T158" i="42"/>
  <c r="R158" i="42"/>
  <c r="P158" i="42"/>
  <c r="BK158" i="42"/>
  <c r="J158" i="42"/>
  <c r="BF158" i="42" s="1"/>
  <c r="BI157" i="42"/>
  <c r="BH157" i="42"/>
  <c r="BG157" i="42"/>
  <c r="BE157" i="42"/>
  <c r="T157" i="42"/>
  <c r="R157" i="42"/>
  <c r="P157" i="42"/>
  <c r="BK157" i="42"/>
  <c r="J157" i="42"/>
  <c r="BF157" i="42"/>
  <c r="BI156" i="42"/>
  <c r="BH156" i="42"/>
  <c r="BG156" i="42"/>
  <c r="BE156" i="42"/>
  <c r="T156" i="42"/>
  <c r="R156" i="42"/>
  <c r="P156" i="42"/>
  <c r="BK156" i="42"/>
  <c r="J156" i="42"/>
  <c r="BF156" i="42" s="1"/>
  <c r="BI155" i="42"/>
  <c r="BH155" i="42"/>
  <c r="BG155" i="42"/>
  <c r="BE155" i="42"/>
  <c r="T155" i="42"/>
  <c r="R155" i="42"/>
  <c r="P155" i="42"/>
  <c r="BK155" i="42"/>
  <c r="J155" i="42"/>
  <c r="BF155" i="42" s="1"/>
  <c r="BI154" i="42"/>
  <c r="BH154" i="42"/>
  <c r="BG154" i="42"/>
  <c r="BE154" i="42"/>
  <c r="T154" i="42"/>
  <c r="R154" i="42"/>
  <c r="P154" i="42"/>
  <c r="BK154" i="42"/>
  <c r="J154" i="42"/>
  <c r="BF154" i="42" s="1"/>
  <c r="BI153" i="42"/>
  <c r="BH153" i="42"/>
  <c r="BG153" i="42"/>
  <c r="BE153" i="42"/>
  <c r="T153" i="42"/>
  <c r="R153" i="42"/>
  <c r="P153" i="42"/>
  <c r="BK153" i="42"/>
  <c r="J153" i="42"/>
  <c r="BF153" i="42"/>
  <c r="BI152" i="42"/>
  <c r="BH152" i="42"/>
  <c r="BG152" i="42"/>
  <c r="BE152" i="42"/>
  <c r="T152" i="42"/>
  <c r="R152" i="42"/>
  <c r="P152" i="42"/>
  <c r="BK152" i="42"/>
  <c r="J152" i="42"/>
  <c r="BF152" i="42" s="1"/>
  <c r="BI151" i="42"/>
  <c r="BH151" i="42"/>
  <c r="BG151" i="42"/>
  <c r="BE151" i="42"/>
  <c r="T151" i="42"/>
  <c r="R151" i="42"/>
  <c r="P151" i="42"/>
  <c r="BK151" i="42"/>
  <c r="J151" i="42"/>
  <c r="BF151" i="42" s="1"/>
  <c r="BI150" i="42"/>
  <c r="BH150" i="42"/>
  <c r="BG150" i="42"/>
  <c r="BE150" i="42"/>
  <c r="T150" i="42"/>
  <c r="R150" i="42"/>
  <c r="P150" i="42"/>
  <c r="BK150" i="42"/>
  <c r="J150" i="42"/>
  <c r="BF150" i="42" s="1"/>
  <c r="BI149" i="42"/>
  <c r="BH149" i="42"/>
  <c r="BG149" i="42"/>
  <c r="BE149" i="42"/>
  <c r="T149" i="42"/>
  <c r="R149" i="42"/>
  <c r="P149" i="42"/>
  <c r="BK149" i="42"/>
  <c r="BK148" i="42" s="1"/>
  <c r="J148" i="42" s="1"/>
  <c r="J100" i="42" s="1"/>
  <c r="J149" i="42"/>
  <c r="BF149" i="42"/>
  <c r="J99" i="42"/>
  <c r="J98" i="42"/>
  <c r="F138" i="42"/>
  <c r="F89" i="42"/>
  <c r="J24" i="42"/>
  <c r="E24" i="42"/>
  <c r="J92" i="42" s="1"/>
  <c r="J23" i="42"/>
  <c r="J21" i="42"/>
  <c r="E21" i="42"/>
  <c r="J20" i="42"/>
  <c r="J18" i="42"/>
  <c r="J15" i="42"/>
  <c r="E15" i="42"/>
  <c r="J14" i="42"/>
  <c r="J138" i="42"/>
  <c r="J89" i="42"/>
  <c r="J37" i="41"/>
  <c r="J36" i="41"/>
  <c r="AY134" i="1" s="1"/>
  <c r="J35" i="41"/>
  <c r="AX134" i="1"/>
  <c r="BI306" i="41"/>
  <c r="BH306" i="41"/>
  <c r="BG306" i="41"/>
  <c r="BE306" i="41"/>
  <c r="BK306" i="41"/>
  <c r="J306" i="41"/>
  <c r="BF306" i="41" s="1"/>
  <c r="BI305" i="41"/>
  <c r="BH305" i="41"/>
  <c r="BG305" i="41"/>
  <c r="BE305" i="41"/>
  <c r="BK305" i="41"/>
  <c r="J305" i="41"/>
  <c r="BF305" i="41"/>
  <c r="BI304" i="41"/>
  <c r="BH304" i="41"/>
  <c r="BG304" i="41"/>
  <c r="BE304" i="41"/>
  <c r="BK304" i="41"/>
  <c r="J304" i="41"/>
  <c r="BF304" i="41" s="1"/>
  <c r="BI303" i="41"/>
  <c r="BH303" i="41"/>
  <c r="BG303" i="41"/>
  <c r="BE303" i="41"/>
  <c r="BK303" i="41"/>
  <c r="J303" i="41"/>
  <c r="BF303" i="41"/>
  <c r="BI302" i="41"/>
  <c r="BH302" i="41"/>
  <c r="BG302" i="41"/>
  <c r="BE302" i="41"/>
  <c r="BK302" i="41"/>
  <c r="J302" i="41"/>
  <c r="BF302" i="41" s="1"/>
  <c r="BI301" i="41"/>
  <c r="BH301" i="41"/>
  <c r="BG301" i="41"/>
  <c r="BE301" i="41"/>
  <c r="BK301" i="41"/>
  <c r="J301" i="41"/>
  <c r="BF301" i="41"/>
  <c r="BI300" i="41"/>
  <c r="BH300" i="41"/>
  <c r="BG300" i="41"/>
  <c r="BE300" i="41"/>
  <c r="BK300" i="41"/>
  <c r="J300" i="41"/>
  <c r="BF300" i="41" s="1"/>
  <c r="BI299" i="41"/>
  <c r="BH299" i="41"/>
  <c r="BG299" i="41"/>
  <c r="BE299" i="41"/>
  <c r="BK299" i="41"/>
  <c r="J299" i="41"/>
  <c r="BF299" i="41"/>
  <c r="BI298" i="41"/>
  <c r="BH298" i="41"/>
  <c r="BG298" i="41"/>
  <c r="BE298" i="41"/>
  <c r="T298" i="41"/>
  <c r="R298" i="41"/>
  <c r="P298" i="41"/>
  <c r="BK298" i="41"/>
  <c r="J298" i="41"/>
  <c r="BF298" i="41" s="1"/>
  <c r="BI297" i="41"/>
  <c r="BH297" i="41"/>
  <c r="BG297" i="41"/>
  <c r="BE297" i="41"/>
  <c r="T297" i="41"/>
  <c r="R297" i="41"/>
  <c r="P297" i="41"/>
  <c r="BK297" i="41"/>
  <c r="J297" i="41"/>
  <c r="BF297" i="41" s="1"/>
  <c r="BI296" i="41"/>
  <c r="BH296" i="41"/>
  <c r="BG296" i="41"/>
  <c r="BE296" i="41"/>
  <c r="T296" i="41"/>
  <c r="R296" i="41"/>
  <c r="P296" i="41"/>
  <c r="BK296" i="41"/>
  <c r="J296" i="41"/>
  <c r="BF296" i="41" s="1"/>
  <c r="BI295" i="41"/>
  <c r="BH295" i="41"/>
  <c r="BG295" i="41"/>
  <c r="BE295" i="41"/>
  <c r="T295" i="41"/>
  <c r="R295" i="41"/>
  <c r="P295" i="41"/>
  <c r="BK295" i="41"/>
  <c r="J295" i="41"/>
  <c r="BF295" i="41" s="1"/>
  <c r="BI294" i="41"/>
  <c r="BH294" i="41"/>
  <c r="BG294" i="41"/>
  <c r="BE294" i="41"/>
  <c r="T294" i="41"/>
  <c r="R294" i="41"/>
  <c r="P294" i="41"/>
  <c r="BK294" i="41"/>
  <c r="J294" i="41"/>
  <c r="BF294" i="41" s="1"/>
  <c r="BI293" i="41"/>
  <c r="BH293" i="41"/>
  <c r="BG293" i="41"/>
  <c r="BE293" i="41"/>
  <c r="T293" i="41"/>
  <c r="R293" i="41"/>
  <c r="P293" i="41"/>
  <c r="BK293" i="41"/>
  <c r="J293" i="41"/>
  <c r="BF293" i="41"/>
  <c r="BI292" i="41"/>
  <c r="BH292" i="41"/>
  <c r="BG292" i="41"/>
  <c r="BE292" i="41"/>
  <c r="T292" i="41"/>
  <c r="R292" i="41"/>
  <c r="P292" i="41"/>
  <c r="BK292" i="41"/>
  <c r="J292" i="41"/>
  <c r="BF292" i="41" s="1"/>
  <c r="BI291" i="41"/>
  <c r="BH291" i="41"/>
  <c r="BG291" i="41"/>
  <c r="BE291" i="41"/>
  <c r="T291" i="41"/>
  <c r="R291" i="41"/>
  <c r="P291" i="41"/>
  <c r="BK291" i="41"/>
  <c r="J291" i="41"/>
  <c r="BF291" i="41" s="1"/>
  <c r="BI290" i="41"/>
  <c r="BH290" i="41"/>
  <c r="BG290" i="41"/>
  <c r="BE290" i="41"/>
  <c r="T290" i="41"/>
  <c r="R290" i="41"/>
  <c r="P290" i="41"/>
  <c r="BK290" i="41"/>
  <c r="J290" i="41"/>
  <c r="BF290" i="41" s="1"/>
  <c r="BI289" i="41"/>
  <c r="BH289" i="41"/>
  <c r="BG289" i="41"/>
  <c r="BE289" i="41"/>
  <c r="T289" i="41"/>
  <c r="R289" i="41"/>
  <c r="P289" i="41"/>
  <c r="BK289" i="41"/>
  <c r="J289" i="41"/>
  <c r="BF289" i="41" s="1"/>
  <c r="BI288" i="41"/>
  <c r="BH288" i="41"/>
  <c r="BG288" i="41"/>
  <c r="BE288" i="41"/>
  <c r="T288" i="41"/>
  <c r="R288" i="41"/>
  <c r="P288" i="41"/>
  <c r="BK288" i="41"/>
  <c r="J288" i="41"/>
  <c r="BF288" i="41" s="1"/>
  <c r="BI287" i="41"/>
  <c r="BH287" i="41"/>
  <c r="BG287" i="41"/>
  <c r="BE287" i="41"/>
  <c r="T287" i="41"/>
  <c r="R287" i="41"/>
  <c r="P287" i="41"/>
  <c r="BK287" i="41"/>
  <c r="J287" i="41"/>
  <c r="BF287" i="41" s="1"/>
  <c r="BI286" i="41"/>
  <c r="BH286" i="41"/>
  <c r="BG286" i="41"/>
  <c r="BE286" i="41"/>
  <c r="T286" i="41"/>
  <c r="R286" i="41"/>
  <c r="P286" i="41"/>
  <c r="BK286" i="41"/>
  <c r="J286" i="41"/>
  <c r="BF286" i="41" s="1"/>
  <c r="BI284" i="41"/>
  <c r="BH284" i="41"/>
  <c r="BG284" i="41"/>
  <c r="BE284" i="41"/>
  <c r="BK284" i="41"/>
  <c r="J284" i="41"/>
  <c r="BF284" i="41"/>
  <c r="BI282" i="41"/>
  <c r="BH282" i="41"/>
  <c r="BG282" i="41"/>
  <c r="BE282" i="41"/>
  <c r="BK282" i="41"/>
  <c r="J282" i="41"/>
  <c r="BF282" i="41" s="1"/>
  <c r="BI281" i="41"/>
  <c r="BH281" i="41"/>
  <c r="BG281" i="41"/>
  <c r="BE281" i="41"/>
  <c r="BK281" i="41"/>
  <c r="J281" i="41"/>
  <c r="BF281" i="41" s="1"/>
  <c r="BI280" i="41"/>
  <c r="BH280" i="41"/>
  <c r="BG280" i="41"/>
  <c r="BE280" i="41"/>
  <c r="BK280" i="41"/>
  <c r="J280" i="41"/>
  <c r="BF280" i="41"/>
  <c r="BI279" i="41"/>
  <c r="BH279" i="41"/>
  <c r="BG279" i="41"/>
  <c r="BE279" i="41"/>
  <c r="BK279" i="41"/>
  <c r="J279" i="41"/>
  <c r="BF279" i="41" s="1"/>
  <c r="BI278" i="41"/>
  <c r="BH278" i="41"/>
  <c r="BG278" i="41"/>
  <c r="BE278" i="41"/>
  <c r="BK278" i="41"/>
  <c r="J278" i="41"/>
  <c r="BF278" i="41"/>
  <c r="BI277" i="41"/>
  <c r="BH277" i="41"/>
  <c r="BG277" i="41"/>
  <c r="BE277" i="41"/>
  <c r="BK277" i="41"/>
  <c r="J277" i="41"/>
  <c r="BF277" i="41" s="1"/>
  <c r="BI276" i="41"/>
  <c r="BH276" i="41"/>
  <c r="BG276" i="41"/>
  <c r="BE276" i="41"/>
  <c r="BK276" i="41"/>
  <c r="J276" i="41"/>
  <c r="BF276" i="41" s="1"/>
  <c r="BI274" i="41"/>
  <c r="BH274" i="41"/>
  <c r="BG274" i="41"/>
  <c r="BE274" i="41"/>
  <c r="T274" i="41"/>
  <c r="R274" i="41"/>
  <c r="P274" i="41"/>
  <c r="BK274" i="41"/>
  <c r="J274" i="41"/>
  <c r="BF274" i="41" s="1"/>
  <c r="BI273" i="41"/>
  <c r="BH273" i="41"/>
  <c r="BG273" i="41"/>
  <c r="BE273" i="41"/>
  <c r="T273" i="41"/>
  <c r="R273" i="41"/>
  <c r="P273" i="41"/>
  <c r="BK273" i="41"/>
  <c r="J273" i="41"/>
  <c r="BF273" i="41" s="1"/>
  <c r="BI272" i="41"/>
  <c r="BH272" i="41"/>
  <c r="BG272" i="41"/>
  <c r="BE272" i="41"/>
  <c r="T272" i="41"/>
  <c r="R272" i="41"/>
  <c r="P272" i="41"/>
  <c r="BK272" i="41"/>
  <c r="J272" i="41"/>
  <c r="BF272" i="41"/>
  <c r="BI271" i="41"/>
  <c r="BH271" i="41"/>
  <c r="BG271" i="41"/>
  <c r="BE271" i="41"/>
  <c r="T271" i="41"/>
  <c r="R271" i="41"/>
  <c r="P271" i="41"/>
  <c r="BK271" i="41"/>
  <c r="J271" i="41"/>
  <c r="BF271" i="41" s="1"/>
  <c r="BI270" i="41"/>
  <c r="BH270" i="41"/>
  <c r="BG270" i="41"/>
  <c r="BE270" i="41"/>
  <c r="T270" i="41"/>
  <c r="R270" i="41"/>
  <c r="P270" i="41"/>
  <c r="BK270" i="41"/>
  <c r="J270" i="41"/>
  <c r="BF270" i="41" s="1"/>
  <c r="BI269" i="41"/>
  <c r="BH269" i="41"/>
  <c r="BG269" i="41"/>
  <c r="BE269" i="41"/>
  <c r="T269" i="41"/>
  <c r="R269" i="41"/>
  <c r="P269" i="41"/>
  <c r="BK269" i="41"/>
  <c r="J269" i="41"/>
  <c r="BF269" i="41" s="1"/>
  <c r="BI268" i="41"/>
  <c r="BH268" i="41"/>
  <c r="BG268" i="41"/>
  <c r="BE268" i="41"/>
  <c r="T268" i="41"/>
  <c r="R268" i="41"/>
  <c r="P268" i="41"/>
  <c r="BK268" i="41"/>
  <c r="J268" i="41"/>
  <c r="BF268" i="41"/>
  <c r="BI267" i="41"/>
  <c r="BH267" i="41"/>
  <c r="BG267" i="41"/>
  <c r="BE267" i="41"/>
  <c r="T267" i="41"/>
  <c r="R267" i="41"/>
  <c r="P267" i="41"/>
  <c r="BK267" i="41"/>
  <c r="J267" i="41"/>
  <c r="BF267" i="41" s="1"/>
  <c r="BI266" i="41"/>
  <c r="BH266" i="41"/>
  <c r="BG266" i="41"/>
  <c r="BE266" i="41"/>
  <c r="T266" i="41"/>
  <c r="R266" i="41"/>
  <c r="P266" i="41"/>
  <c r="P262" i="41" s="1"/>
  <c r="BK266" i="41"/>
  <c r="J266" i="41"/>
  <c r="BF266" i="41" s="1"/>
  <c r="BI265" i="41"/>
  <c r="BH265" i="41"/>
  <c r="BG265" i="41"/>
  <c r="BE265" i="41"/>
  <c r="T265" i="41"/>
  <c r="R265" i="41"/>
  <c r="P265" i="41"/>
  <c r="BK265" i="41"/>
  <c r="J265" i="41"/>
  <c r="BF265" i="41" s="1"/>
  <c r="BI264" i="41"/>
  <c r="BH264" i="41"/>
  <c r="BG264" i="41"/>
  <c r="BE264" i="41"/>
  <c r="T264" i="41"/>
  <c r="R264" i="41"/>
  <c r="P264" i="41"/>
  <c r="BK264" i="41"/>
  <c r="J264" i="41"/>
  <c r="BF264" i="41"/>
  <c r="BI263" i="41"/>
  <c r="BH263" i="41"/>
  <c r="BG263" i="41"/>
  <c r="BE263" i="41"/>
  <c r="T263" i="41"/>
  <c r="R263" i="41"/>
  <c r="P263" i="41"/>
  <c r="BK263" i="41"/>
  <c r="J263" i="41"/>
  <c r="BF263" i="41" s="1"/>
  <c r="BI261" i="41"/>
  <c r="BH261" i="41"/>
  <c r="BG261" i="41"/>
  <c r="BE261" i="41"/>
  <c r="T261" i="41"/>
  <c r="R261" i="41"/>
  <c r="P261" i="41"/>
  <c r="BK261" i="41"/>
  <c r="J261" i="41"/>
  <c r="BF261" i="41"/>
  <c r="BI260" i="41"/>
  <c r="BH260" i="41"/>
  <c r="BG260" i="41"/>
  <c r="BE260" i="41"/>
  <c r="T260" i="41"/>
  <c r="T259" i="41" s="1"/>
  <c r="R260" i="41"/>
  <c r="R259" i="41" s="1"/>
  <c r="P260" i="41"/>
  <c r="P259" i="41" s="1"/>
  <c r="BK260" i="41"/>
  <c r="BK259" i="41"/>
  <c r="J259" i="41" s="1"/>
  <c r="J106" i="41" s="1"/>
  <c r="J260" i="41"/>
  <c r="BF260" i="41" s="1"/>
  <c r="BI258" i="41"/>
  <c r="BH258" i="41"/>
  <c r="BG258" i="41"/>
  <c r="BE258" i="41"/>
  <c r="T258" i="41"/>
  <c r="R258" i="41"/>
  <c r="P258" i="41"/>
  <c r="BK258" i="41"/>
  <c r="J258" i="41"/>
  <c r="BF258" i="41" s="1"/>
  <c r="BI257" i="41"/>
  <c r="BH257" i="41"/>
  <c r="BG257" i="41"/>
  <c r="BE257" i="41"/>
  <c r="T257" i="41"/>
  <c r="R257" i="41"/>
  <c r="P257" i="41"/>
  <c r="BK257" i="41"/>
  <c r="J257" i="41"/>
  <c r="BF257" i="41" s="1"/>
  <c r="BI256" i="41"/>
  <c r="BH256" i="41"/>
  <c r="BG256" i="41"/>
  <c r="BE256" i="41"/>
  <c r="T256" i="41"/>
  <c r="R256" i="41"/>
  <c r="P256" i="41"/>
  <c r="BK256" i="41"/>
  <c r="J256" i="41"/>
  <c r="BF256" i="41"/>
  <c r="BI255" i="41"/>
  <c r="BH255" i="41"/>
  <c r="BG255" i="41"/>
  <c r="BE255" i="41"/>
  <c r="T255" i="41"/>
  <c r="R255" i="41"/>
  <c r="P255" i="41"/>
  <c r="BK255" i="41"/>
  <c r="J255" i="41"/>
  <c r="BF255" i="41" s="1"/>
  <c r="BI254" i="41"/>
  <c r="BH254" i="41"/>
  <c r="BG254" i="41"/>
  <c r="BE254" i="41"/>
  <c r="T254" i="41"/>
  <c r="R254" i="41"/>
  <c r="P254" i="41"/>
  <c r="BK254" i="41"/>
  <c r="J254" i="41"/>
  <c r="BF254" i="41" s="1"/>
  <c r="BI252" i="41"/>
  <c r="BH252" i="41"/>
  <c r="BG252" i="41"/>
  <c r="BE252" i="41"/>
  <c r="T252" i="41"/>
  <c r="R252" i="41"/>
  <c r="P252" i="41"/>
  <c r="BK252" i="41"/>
  <c r="J252" i="41"/>
  <c r="BF252" i="41"/>
  <c r="BI251" i="41"/>
  <c r="BH251" i="41"/>
  <c r="BG251" i="41"/>
  <c r="BE251" i="41"/>
  <c r="T251" i="41"/>
  <c r="T250" i="41" s="1"/>
  <c r="R251" i="41"/>
  <c r="P251" i="41"/>
  <c r="P250" i="41" s="1"/>
  <c r="BK251" i="41"/>
  <c r="J251" i="41"/>
  <c r="BF251" i="41" s="1"/>
  <c r="BI249" i="41"/>
  <c r="BH249" i="41"/>
  <c r="BG249" i="41"/>
  <c r="BE249" i="41"/>
  <c r="T249" i="41"/>
  <c r="R249" i="41"/>
  <c r="P249" i="41"/>
  <c r="BK249" i="41"/>
  <c r="J249" i="41"/>
  <c r="BF249" i="41" s="1"/>
  <c r="BI248" i="41"/>
  <c r="BH248" i="41"/>
  <c r="BG248" i="41"/>
  <c r="BE248" i="41"/>
  <c r="T248" i="41"/>
  <c r="R248" i="41"/>
  <c r="P248" i="41"/>
  <c r="BK248" i="41"/>
  <c r="J248" i="41"/>
  <c r="BF248" i="41" s="1"/>
  <c r="BI247" i="41"/>
  <c r="BH247" i="41"/>
  <c r="BG247" i="41"/>
  <c r="BE247" i="41"/>
  <c r="T247" i="41"/>
  <c r="R247" i="41"/>
  <c r="P247" i="41"/>
  <c r="BK247" i="41"/>
  <c r="J247" i="41"/>
  <c r="BF247" i="41" s="1"/>
  <c r="BI246" i="41"/>
  <c r="BH246" i="41"/>
  <c r="BG246" i="41"/>
  <c r="BE246" i="41"/>
  <c r="T246" i="41"/>
  <c r="R246" i="41"/>
  <c r="P246" i="41"/>
  <c r="BK246" i="41"/>
  <c r="J246" i="41"/>
  <c r="BF246" i="41"/>
  <c r="BI245" i="41"/>
  <c r="BH245" i="41"/>
  <c r="BG245" i="41"/>
  <c r="BE245" i="41"/>
  <c r="T245" i="41"/>
  <c r="R245" i="41"/>
  <c r="P245" i="41"/>
  <c r="BK245" i="41"/>
  <c r="J245" i="41"/>
  <c r="BF245" i="41" s="1"/>
  <c r="BI244" i="41"/>
  <c r="BH244" i="41"/>
  <c r="BG244" i="41"/>
  <c r="BE244" i="41"/>
  <c r="T244" i="41"/>
  <c r="R244" i="41"/>
  <c r="P244" i="41"/>
  <c r="BK244" i="41"/>
  <c r="J244" i="41"/>
  <c r="BF244" i="41" s="1"/>
  <c r="BI243" i="41"/>
  <c r="BH243" i="41"/>
  <c r="BG243" i="41"/>
  <c r="BE243" i="41"/>
  <c r="T243" i="41"/>
  <c r="R243" i="41"/>
  <c r="P243" i="41"/>
  <c r="BK243" i="41"/>
  <c r="J243" i="41"/>
  <c r="BF243" i="41" s="1"/>
  <c r="BI242" i="41"/>
  <c r="BH242" i="41"/>
  <c r="BG242" i="41"/>
  <c r="BE242" i="41"/>
  <c r="T242" i="41"/>
  <c r="R242" i="41"/>
  <c r="P242" i="41"/>
  <c r="BK242" i="41"/>
  <c r="J242" i="41"/>
  <c r="BF242" i="41"/>
  <c r="BI241" i="41"/>
  <c r="BH241" i="41"/>
  <c r="BG241" i="41"/>
  <c r="BE241" i="41"/>
  <c r="T241" i="41"/>
  <c r="R241" i="41"/>
  <c r="P241" i="41"/>
  <c r="BK241" i="41"/>
  <c r="J241" i="41"/>
  <c r="BF241" i="41" s="1"/>
  <c r="BI240" i="41"/>
  <c r="BH240" i="41"/>
  <c r="BG240" i="41"/>
  <c r="BE240" i="41"/>
  <c r="T240" i="41"/>
  <c r="R240" i="41"/>
  <c r="P240" i="41"/>
  <c r="BK240" i="41"/>
  <c r="J240" i="41"/>
  <c r="BF240" i="41" s="1"/>
  <c r="BI239" i="41"/>
  <c r="BH239" i="41"/>
  <c r="BG239" i="41"/>
  <c r="BE239" i="41"/>
  <c r="T239" i="41"/>
  <c r="R239" i="41"/>
  <c r="P239" i="41"/>
  <c r="BK239" i="41"/>
  <c r="J239" i="41"/>
  <c r="BF239" i="41" s="1"/>
  <c r="BI238" i="41"/>
  <c r="BH238" i="41"/>
  <c r="BG238" i="41"/>
  <c r="BE238" i="41"/>
  <c r="T238" i="41"/>
  <c r="R238" i="41"/>
  <c r="P238" i="41"/>
  <c r="BK238" i="41"/>
  <c r="J238" i="41"/>
  <c r="BF238" i="41"/>
  <c r="BI237" i="41"/>
  <c r="BH237" i="41"/>
  <c r="BG237" i="41"/>
  <c r="BE237" i="41"/>
  <c r="T237" i="41"/>
  <c r="R237" i="41"/>
  <c r="P237" i="41"/>
  <c r="BK237" i="41"/>
  <c r="J237" i="41"/>
  <c r="BF237" i="41" s="1"/>
  <c r="BI236" i="41"/>
  <c r="BH236" i="41"/>
  <c r="BG236" i="41"/>
  <c r="BE236" i="41"/>
  <c r="T236" i="41"/>
  <c r="R236" i="41"/>
  <c r="P236" i="41"/>
  <c r="P235" i="41"/>
  <c r="BK236" i="41"/>
  <c r="J236" i="41"/>
  <c r="BF236" i="41" s="1"/>
  <c r="BI234" i="41"/>
  <c r="BH234" i="41"/>
  <c r="BG234" i="41"/>
  <c r="BE234" i="41"/>
  <c r="T234" i="41"/>
  <c r="R234" i="41"/>
  <c r="P234" i="41"/>
  <c r="BK234" i="41"/>
  <c r="J234" i="41"/>
  <c r="BF234" i="41" s="1"/>
  <c r="BI233" i="41"/>
  <c r="BH233" i="41"/>
  <c r="BG233" i="41"/>
  <c r="BE233" i="41"/>
  <c r="T233" i="41"/>
  <c r="R233" i="41"/>
  <c r="P233" i="41"/>
  <c r="BK233" i="41"/>
  <c r="J233" i="41"/>
  <c r="BF233" i="41" s="1"/>
  <c r="BI232" i="41"/>
  <c r="BH232" i="41"/>
  <c r="BG232" i="41"/>
  <c r="BE232" i="41"/>
  <c r="T232" i="41"/>
  <c r="R232" i="41"/>
  <c r="P232" i="41"/>
  <c r="BK232" i="41"/>
  <c r="J232" i="41"/>
  <c r="BF232" i="41" s="1"/>
  <c r="BI231" i="41"/>
  <c r="BH231" i="41"/>
  <c r="BG231" i="41"/>
  <c r="BE231" i="41"/>
  <c r="T231" i="41"/>
  <c r="R231" i="41"/>
  <c r="P231" i="41"/>
  <c r="BK231" i="41"/>
  <c r="J231" i="41"/>
  <c r="BF231" i="41" s="1"/>
  <c r="BI230" i="41"/>
  <c r="BH230" i="41"/>
  <c r="BG230" i="41"/>
  <c r="BE230" i="41"/>
  <c r="T230" i="41"/>
  <c r="R230" i="41"/>
  <c r="P230" i="41"/>
  <c r="BK230" i="41"/>
  <c r="J230" i="41"/>
  <c r="BF230" i="41" s="1"/>
  <c r="BI229" i="41"/>
  <c r="BH229" i="41"/>
  <c r="BG229" i="41"/>
  <c r="BE229" i="41"/>
  <c r="T229" i="41"/>
  <c r="R229" i="41"/>
  <c r="P229" i="41"/>
  <c r="BK229" i="41"/>
  <c r="J229" i="41"/>
  <c r="BF229" i="41" s="1"/>
  <c r="BI228" i="41"/>
  <c r="BH228" i="41"/>
  <c r="BG228" i="41"/>
  <c r="BE228" i="41"/>
  <c r="T228" i="41"/>
  <c r="R228" i="41"/>
  <c r="P228" i="41"/>
  <c r="BK228" i="41"/>
  <c r="J228" i="41"/>
  <c r="BF228" i="41" s="1"/>
  <c r="BI227" i="41"/>
  <c r="BH227" i="41"/>
  <c r="BG227" i="41"/>
  <c r="BE227" i="41"/>
  <c r="T227" i="41"/>
  <c r="R227" i="41"/>
  <c r="P227" i="41"/>
  <c r="BK227" i="41"/>
  <c r="J227" i="41"/>
  <c r="BF227" i="41"/>
  <c r="BI226" i="41"/>
  <c r="BH226" i="41"/>
  <c r="BG226" i="41"/>
  <c r="BE226" i="41"/>
  <c r="T226" i="41"/>
  <c r="R226" i="41"/>
  <c r="P226" i="41"/>
  <c r="BK226" i="41"/>
  <c r="J226" i="41"/>
  <c r="BF226" i="41" s="1"/>
  <c r="BI225" i="41"/>
  <c r="BH225" i="41"/>
  <c r="BG225" i="41"/>
  <c r="BE225" i="41"/>
  <c r="T225" i="41"/>
  <c r="R225" i="41"/>
  <c r="P225" i="41"/>
  <c r="BK225" i="41"/>
  <c r="J225" i="41"/>
  <c r="BF225" i="41" s="1"/>
  <c r="BI224" i="41"/>
  <c r="BH224" i="41"/>
  <c r="BG224" i="41"/>
  <c r="BE224" i="41"/>
  <c r="T224" i="41"/>
  <c r="R224" i="41"/>
  <c r="P224" i="41"/>
  <c r="BK224" i="41"/>
  <c r="J224" i="41"/>
  <c r="BF224" i="41" s="1"/>
  <c r="BI223" i="41"/>
  <c r="BH223" i="41"/>
  <c r="BG223" i="41"/>
  <c r="BE223" i="41"/>
  <c r="T223" i="41"/>
  <c r="R223" i="41"/>
  <c r="P223" i="41"/>
  <c r="BK223" i="41"/>
  <c r="J223" i="41"/>
  <c r="BF223" i="41"/>
  <c r="BI222" i="41"/>
  <c r="BH222" i="41"/>
  <c r="BG222" i="41"/>
  <c r="BE222" i="41"/>
  <c r="T222" i="41"/>
  <c r="R222" i="41"/>
  <c r="P222" i="41"/>
  <c r="BK222" i="41"/>
  <c r="J222" i="41"/>
  <c r="BF222" i="41" s="1"/>
  <c r="BI221" i="41"/>
  <c r="BH221" i="41"/>
  <c r="BG221" i="41"/>
  <c r="BE221" i="41"/>
  <c r="T221" i="41"/>
  <c r="R221" i="41"/>
  <c r="P221" i="41"/>
  <c r="BK221" i="41"/>
  <c r="J221" i="41"/>
  <c r="BF221" i="41" s="1"/>
  <c r="BI220" i="41"/>
  <c r="BH220" i="41"/>
  <c r="BG220" i="41"/>
  <c r="BE220" i="41"/>
  <c r="T220" i="41"/>
  <c r="R220" i="41"/>
  <c r="P220" i="41"/>
  <c r="BK220" i="41"/>
  <c r="J220" i="41"/>
  <c r="BF220" i="41" s="1"/>
  <c r="BI219" i="41"/>
  <c r="BH219" i="41"/>
  <c r="BG219" i="41"/>
  <c r="BE219" i="41"/>
  <c r="T219" i="41"/>
  <c r="R219" i="41"/>
  <c r="P219" i="41"/>
  <c r="BK219" i="41"/>
  <c r="J219" i="41"/>
  <c r="BF219" i="41"/>
  <c r="BI218" i="41"/>
  <c r="BH218" i="41"/>
  <c r="BG218" i="41"/>
  <c r="BE218" i="41"/>
  <c r="T218" i="41"/>
  <c r="R218" i="41"/>
  <c r="P218" i="41"/>
  <c r="BK218" i="41"/>
  <c r="J218" i="41"/>
  <c r="BF218" i="41" s="1"/>
  <c r="BI217" i="41"/>
  <c r="BH217" i="41"/>
  <c r="BG217" i="41"/>
  <c r="BE217" i="41"/>
  <c r="T217" i="41"/>
  <c r="R217" i="41"/>
  <c r="P217" i="41"/>
  <c r="BK217" i="41"/>
  <c r="J217" i="41"/>
  <c r="BF217" i="41" s="1"/>
  <c r="BI216" i="41"/>
  <c r="BH216" i="41"/>
  <c r="BG216" i="41"/>
  <c r="BE216" i="41"/>
  <c r="T216" i="41"/>
  <c r="T215" i="41" s="1"/>
  <c r="R216" i="41"/>
  <c r="P216" i="41"/>
  <c r="BK216" i="41"/>
  <c r="J216" i="41"/>
  <c r="BF216" i="41" s="1"/>
  <c r="BI214" i="41"/>
  <c r="BH214" i="41"/>
  <c r="BG214" i="41"/>
  <c r="BE214" i="41"/>
  <c r="T214" i="41"/>
  <c r="R214" i="41"/>
  <c r="P214" i="41"/>
  <c r="BK214" i="41"/>
  <c r="BK212" i="41" s="1"/>
  <c r="J212" i="41" s="1"/>
  <c r="J101" i="41" s="1"/>
  <c r="J214" i="41"/>
  <c r="BF214" i="41" s="1"/>
  <c r="BI213" i="41"/>
  <c r="BH213" i="41"/>
  <c r="BG213" i="41"/>
  <c r="BE213" i="41"/>
  <c r="T213" i="41"/>
  <c r="T212" i="41" s="1"/>
  <c r="R213" i="41"/>
  <c r="P213" i="41"/>
  <c r="P212" i="41"/>
  <c r="BK213" i="41"/>
  <c r="J213" i="41"/>
  <c r="BF213" i="41" s="1"/>
  <c r="BI211" i="41"/>
  <c r="BH211" i="41"/>
  <c r="BG211" i="41"/>
  <c r="BE211" i="41"/>
  <c r="T211" i="41"/>
  <c r="R211" i="41"/>
  <c r="P211" i="41"/>
  <c r="BK211" i="41"/>
  <c r="J211" i="41"/>
  <c r="BF211" i="41"/>
  <c r="BI210" i="41"/>
  <c r="BH210" i="41"/>
  <c r="BG210" i="41"/>
  <c r="BE210" i="41"/>
  <c r="T210" i="41"/>
  <c r="R210" i="41"/>
  <c r="P210" i="41"/>
  <c r="BK210" i="41"/>
  <c r="J210" i="41"/>
  <c r="BF210" i="41" s="1"/>
  <c r="BI209" i="41"/>
  <c r="BH209" i="41"/>
  <c r="BG209" i="41"/>
  <c r="BE209" i="41"/>
  <c r="T209" i="41"/>
  <c r="R209" i="41"/>
  <c r="P209" i="41"/>
  <c r="BK209" i="41"/>
  <c r="J209" i="41"/>
  <c r="BF209" i="41" s="1"/>
  <c r="BI208" i="41"/>
  <c r="BH208" i="41"/>
  <c r="BG208" i="41"/>
  <c r="BE208" i="41"/>
  <c r="T208" i="41"/>
  <c r="T206" i="41" s="1"/>
  <c r="R208" i="41"/>
  <c r="P208" i="41"/>
  <c r="BK208" i="41"/>
  <c r="J208" i="41"/>
  <c r="BF208" i="41" s="1"/>
  <c r="BI207" i="41"/>
  <c r="BH207" i="41"/>
  <c r="BG207" i="41"/>
  <c r="BE207" i="41"/>
  <c r="T207" i="41"/>
  <c r="R207" i="41"/>
  <c r="P207" i="41"/>
  <c r="BK207" i="41"/>
  <c r="J207" i="41"/>
  <c r="BF207" i="41" s="1"/>
  <c r="BI205" i="41"/>
  <c r="BH205" i="41"/>
  <c r="BG205" i="41"/>
  <c r="BE205" i="41"/>
  <c r="T205" i="41"/>
  <c r="R205" i="41"/>
  <c r="P205" i="41"/>
  <c r="BK205" i="41"/>
  <c r="BK203" i="41" s="1"/>
  <c r="J203" i="41" s="1"/>
  <c r="J99" i="41" s="1"/>
  <c r="J205" i="41"/>
  <c r="BF205" i="41"/>
  <c r="BI204" i="41"/>
  <c r="BH204" i="41"/>
  <c r="BG204" i="41"/>
  <c r="BE204" i="41"/>
  <c r="T204" i="41"/>
  <c r="R204" i="41"/>
  <c r="R203" i="41" s="1"/>
  <c r="P204" i="41"/>
  <c r="P203" i="41" s="1"/>
  <c r="BK204" i="41"/>
  <c r="J204" i="41"/>
  <c r="BF204" i="41" s="1"/>
  <c r="BI202" i="41"/>
  <c r="BH202" i="41"/>
  <c r="BG202" i="41"/>
  <c r="BE202" i="41"/>
  <c r="T202" i="41"/>
  <c r="R202" i="41"/>
  <c r="P202" i="41"/>
  <c r="BK202" i="41"/>
  <c r="J202" i="41"/>
  <c r="BF202" i="41" s="1"/>
  <c r="BI201" i="41"/>
  <c r="BH201" i="41"/>
  <c r="BG201" i="41"/>
  <c r="BE201" i="41"/>
  <c r="T201" i="41"/>
  <c r="R201" i="41"/>
  <c r="P201" i="41"/>
  <c r="BK201" i="41"/>
  <c r="J201" i="41"/>
  <c r="BF201" i="41" s="1"/>
  <c r="BI200" i="41"/>
  <c r="BH200" i="41"/>
  <c r="BG200" i="41"/>
  <c r="BE200" i="41"/>
  <c r="T200" i="41"/>
  <c r="R200" i="41"/>
  <c r="P200" i="41"/>
  <c r="BK200" i="41"/>
  <c r="J200" i="41"/>
  <c r="BF200" i="41" s="1"/>
  <c r="BI199" i="41"/>
  <c r="BH199" i="41"/>
  <c r="BG199" i="41"/>
  <c r="BE199" i="41"/>
  <c r="T199" i="41"/>
  <c r="R199" i="41"/>
  <c r="P199" i="41"/>
  <c r="BK199" i="41"/>
  <c r="J199" i="41"/>
  <c r="BF199" i="41"/>
  <c r="BI198" i="41"/>
  <c r="BH198" i="41"/>
  <c r="BG198" i="41"/>
  <c r="BE198" i="41"/>
  <c r="T198" i="41"/>
  <c r="R198" i="41"/>
  <c r="P198" i="41"/>
  <c r="BK198" i="41"/>
  <c r="J198" i="41"/>
  <c r="BF198" i="41" s="1"/>
  <c r="BI197" i="41"/>
  <c r="BH197" i="41"/>
  <c r="BG197" i="41"/>
  <c r="BE197" i="41"/>
  <c r="T197" i="41"/>
  <c r="R197" i="41"/>
  <c r="P197" i="41"/>
  <c r="BK197" i="41"/>
  <c r="J197" i="41"/>
  <c r="BF197" i="41" s="1"/>
  <c r="BI196" i="41"/>
  <c r="BH196" i="41"/>
  <c r="BG196" i="41"/>
  <c r="BE196" i="41"/>
  <c r="T196" i="41"/>
  <c r="R196" i="41"/>
  <c r="P196" i="41"/>
  <c r="BK196" i="41"/>
  <c r="J196" i="41"/>
  <c r="BF196" i="41" s="1"/>
  <c r="BI195" i="41"/>
  <c r="BH195" i="41"/>
  <c r="BG195" i="41"/>
  <c r="BE195" i="41"/>
  <c r="T195" i="41"/>
  <c r="R195" i="41"/>
  <c r="P195" i="41"/>
  <c r="BK195" i="41"/>
  <c r="J195" i="41"/>
  <c r="BF195" i="41"/>
  <c r="BI194" i="41"/>
  <c r="BH194" i="41"/>
  <c r="BG194" i="41"/>
  <c r="BE194" i="41"/>
  <c r="T194" i="41"/>
  <c r="R194" i="41"/>
  <c r="P194" i="41"/>
  <c r="BK194" i="41"/>
  <c r="J194" i="41"/>
  <c r="BF194" i="41" s="1"/>
  <c r="BI193" i="41"/>
  <c r="BH193" i="41"/>
  <c r="BG193" i="41"/>
  <c r="BE193" i="41"/>
  <c r="T193" i="41"/>
  <c r="R193" i="41"/>
  <c r="P193" i="41"/>
  <c r="BK193" i="41"/>
  <c r="J193" i="41"/>
  <c r="BF193" i="41" s="1"/>
  <c r="BI192" i="41"/>
  <c r="BH192" i="41"/>
  <c r="BG192" i="41"/>
  <c r="BE192" i="41"/>
  <c r="T192" i="41"/>
  <c r="R192" i="41"/>
  <c r="P192" i="41"/>
  <c r="BK192" i="41"/>
  <c r="J192" i="41"/>
  <c r="BF192" i="41" s="1"/>
  <c r="BI191" i="41"/>
  <c r="BH191" i="41"/>
  <c r="BG191" i="41"/>
  <c r="BE191" i="41"/>
  <c r="T191" i="41"/>
  <c r="R191" i="41"/>
  <c r="P191" i="41"/>
  <c r="BK191" i="41"/>
  <c r="J191" i="41"/>
  <c r="BF191" i="41"/>
  <c r="BI190" i="41"/>
  <c r="BH190" i="41"/>
  <c r="BG190" i="41"/>
  <c r="BE190" i="41"/>
  <c r="T190" i="41"/>
  <c r="R190" i="41"/>
  <c r="P190" i="41"/>
  <c r="BK190" i="41"/>
  <c r="J190" i="41"/>
  <c r="BF190" i="41" s="1"/>
  <c r="BI189" i="41"/>
  <c r="BH189" i="41"/>
  <c r="BG189" i="41"/>
  <c r="BE189" i="41"/>
  <c r="T189" i="41"/>
  <c r="R189" i="41"/>
  <c r="P189" i="41"/>
  <c r="BK189" i="41"/>
  <c r="J189" i="41"/>
  <c r="BF189" i="41" s="1"/>
  <c r="BI188" i="41"/>
  <c r="BH188" i="41"/>
  <c r="BG188" i="41"/>
  <c r="BE188" i="41"/>
  <c r="T188" i="41"/>
  <c r="R188" i="41"/>
  <c r="P188" i="41"/>
  <c r="BK188" i="41"/>
  <c r="J188" i="41"/>
  <c r="BF188" i="41" s="1"/>
  <c r="BI187" i="41"/>
  <c r="BH187" i="41"/>
  <c r="BG187" i="41"/>
  <c r="BE187" i="41"/>
  <c r="T187" i="41"/>
  <c r="R187" i="41"/>
  <c r="P187" i="41"/>
  <c r="BK187" i="41"/>
  <c r="J187" i="41"/>
  <c r="BF187" i="41"/>
  <c r="BI186" i="41"/>
  <c r="BH186" i="41"/>
  <c r="BG186" i="41"/>
  <c r="BE186" i="41"/>
  <c r="T186" i="41"/>
  <c r="R186" i="41"/>
  <c r="P186" i="41"/>
  <c r="BK186" i="41"/>
  <c r="J186" i="41"/>
  <c r="BF186" i="41" s="1"/>
  <c r="BI185" i="41"/>
  <c r="BH185" i="41"/>
  <c r="BG185" i="41"/>
  <c r="BE185" i="41"/>
  <c r="T185" i="41"/>
  <c r="T130" i="41" s="1"/>
  <c r="R185" i="41"/>
  <c r="P185" i="41"/>
  <c r="BK185" i="41"/>
  <c r="J185" i="41"/>
  <c r="BF185" i="41" s="1"/>
  <c r="BI184" i="41"/>
  <c r="BH184" i="41"/>
  <c r="BG184" i="41"/>
  <c r="BE184" i="41"/>
  <c r="T184" i="41"/>
  <c r="R184" i="41"/>
  <c r="P184" i="41"/>
  <c r="BK184" i="41"/>
  <c r="J184" i="41"/>
  <c r="BF184" i="41" s="1"/>
  <c r="BI183" i="41"/>
  <c r="BH183" i="41"/>
  <c r="BG183" i="41"/>
  <c r="BE183" i="41"/>
  <c r="T183" i="41"/>
  <c r="R183" i="41"/>
  <c r="P183" i="41"/>
  <c r="BK183" i="41"/>
  <c r="J183" i="41"/>
  <c r="BF183" i="41"/>
  <c r="BI182" i="41"/>
  <c r="BH182" i="41"/>
  <c r="BG182" i="41"/>
  <c r="BE182" i="41"/>
  <c r="T182" i="41"/>
  <c r="R182" i="41"/>
  <c r="P182" i="41"/>
  <c r="BK182" i="41"/>
  <c r="J182" i="41"/>
  <c r="BF182" i="41"/>
  <c r="BI180" i="41"/>
  <c r="BH180" i="41"/>
  <c r="BG180" i="41"/>
  <c r="BE180" i="41"/>
  <c r="T180" i="41"/>
  <c r="R180" i="41"/>
  <c r="P180" i="41"/>
  <c r="BK180" i="41"/>
  <c r="J180" i="41"/>
  <c r="BF180" i="41"/>
  <c r="BI179" i="41"/>
  <c r="BH179" i="41"/>
  <c r="BG179" i="41"/>
  <c r="BE179" i="41"/>
  <c r="T179" i="41"/>
  <c r="R179" i="41"/>
  <c r="P179" i="41"/>
  <c r="BK179" i="41"/>
  <c r="J179" i="41"/>
  <c r="BF179" i="41"/>
  <c r="BI178" i="41"/>
  <c r="BH178" i="41"/>
  <c r="BG178" i="41"/>
  <c r="BE178" i="41"/>
  <c r="T178" i="41"/>
  <c r="R178" i="41"/>
  <c r="P178" i="41"/>
  <c r="BK178" i="41"/>
  <c r="J178" i="41"/>
  <c r="BF178" i="41"/>
  <c r="BI177" i="41"/>
  <c r="BH177" i="41"/>
  <c r="BG177" i="41"/>
  <c r="BE177" i="41"/>
  <c r="T177" i="41"/>
  <c r="R177" i="41"/>
  <c r="P177" i="41"/>
  <c r="BK177" i="41"/>
  <c r="J177" i="41"/>
  <c r="BF177" i="41"/>
  <c r="BI176" i="41"/>
  <c r="BH176" i="41"/>
  <c r="BG176" i="41"/>
  <c r="BE176" i="41"/>
  <c r="T176" i="41"/>
  <c r="R176" i="41"/>
  <c r="P176" i="41"/>
  <c r="BK176" i="41"/>
  <c r="J176" i="41"/>
  <c r="BF176" i="41"/>
  <c r="BI175" i="41"/>
  <c r="BH175" i="41"/>
  <c r="BG175" i="41"/>
  <c r="BE175" i="41"/>
  <c r="T175" i="41"/>
  <c r="R175" i="41"/>
  <c r="P175" i="41"/>
  <c r="BK175" i="41"/>
  <c r="J175" i="41"/>
  <c r="BF175" i="41"/>
  <c r="BI174" i="41"/>
  <c r="BH174" i="41"/>
  <c r="BG174" i="41"/>
  <c r="BE174" i="41"/>
  <c r="T174" i="41"/>
  <c r="R174" i="41"/>
  <c r="P174" i="41"/>
  <c r="BK174" i="41"/>
  <c r="J174" i="41"/>
  <c r="BF174" i="41"/>
  <c r="BI173" i="41"/>
  <c r="BH173" i="41"/>
  <c r="BG173" i="41"/>
  <c r="BE173" i="41"/>
  <c r="T173" i="41"/>
  <c r="R173" i="41"/>
  <c r="P173" i="41"/>
  <c r="BK173" i="41"/>
  <c r="J173" i="41"/>
  <c r="BF173" i="41"/>
  <c r="BI172" i="41"/>
  <c r="BH172" i="41"/>
  <c r="BG172" i="41"/>
  <c r="BE172" i="41"/>
  <c r="T172" i="41"/>
  <c r="R172" i="41"/>
  <c r="P172" i="41"/>
  <c r="BK172" i="41"/>
  <c r="J172" i="41"/>
  <c r="BF172" i="41"/>
  <c r="BI171" i="41"/>
  <c r="BH171" i="41"/>
  <c r="BG171" i="41"/>
  <c r="BE171" i="41"/>
  <c r="T171" i="41"/>
  <c r="R171" i="41"/>
  <c r="P171" i="41"/>
  <c r="BK171" i="41"/>
  <c r="J171" i="41"/>
  <c r="BF171" i="41"/>
  <c r="BI170" i="41"/>
  <c r="BH170" i="41"/>
  <c r="BG170" i="41"/>
  <c r="BE170" i="41"/>
  <c r="T170" i="41"/>
  <c r="R170" i="41"/>
  <c r="P170" i="41"/>
  <c r="BK170" i="41"/>
  <c r="J170" i="41"/>
  <c r="BF170" i="41"/>
  <c r="BI169" i="41"/>
  <c r="BH169" i="41"/>
  <c r="BG169" i="41"/>
  <c r="BE169" i="41"/>
  <c r="T169" i="41"/>
  <c r="R169" i="41"/>
  <c r="P169" i="41"/>
  <c r="BK169" i="41"/>
  <c r="J169" i="41"/>
  <c r="BF169" i="41"/>
  <c r="BI168" i="41"/>
  <c r="BH168" i="41"/>
  <c r="BG168" i="41"/>
  <c r="BE168" i="41"/>
  <c r="T168" i="41"/>
  <c r="R168" i="41"/>
  <c r="P168" i="41"/>
  <c r="BK168" i="41"/>
  <c r="J168" i="41"/>
  <c r="BF168" i="41"/>
  <c r="BI167" i="41"/>
  <c r="BH167" i="41"/>
  <c r="BG167" i="41"/>
  <c r="BE167" i="41"/>
  <c r="T167" i="41"/>
  <c r="R167" i="41"/>
  <c r="P167" i="41"/>
  <c r="BK167" i="41"/>
  <c r="J167" i="41"/>
  <c r="BF167" i="41"/>
  <c r="BI166" i="41"/>
  <c r="BH166" i="41"/>
  <c r="BG166" i="41"/>
  <c r="BE166" i="41"/>
  <c r="T166" i="41"/>
  <c r="R166" i="41"/>
  <c r="P166" i="41"/>
  <c r="BK166" i="41"/>
  <c r="J166" i="41"/>
  <c r="BF166" i="41"/>
  <c r="BI165" i="41"/>
  <c r="BH165" i="41"/>
  <c r="BG165" i="41"/>
  <c r="BE165" i="41"/>
  <c r="T165" i="41"/>
  <c r="R165" i="41"/>
  <c r="P165" i="41"/>
  <c r="BK165" i="41"/>
  <c r="J165" i="41"/>
  <c r="BF165" i="41"/>
  <c r="BI164" i="41"/>
  <c r="BH164" i="41"/>
  <c r="BG164" i="41"/>
  <c r="BE164" i="41"/>
  <c r="T164" i="41"/>
  <c r="R164" i="41"/>
  <c r="P164" i="41"/>
  <c r="BK164" i="41"/>
  <c r="J164" i="41"/>
  <c r="BF164" i="41"/>
  <c r="BI163" i="41"/>
  <c r="BH163" i="41"/>
  <c r="BG163" i="41"/>
  <c r="BE163" i="41"/>
  <c r="T163" i="41"/>
  <c r="R163" i="41"/>
  <c r="P163" i="41"/>
  <c r="BK163" i="41"/>
  <c r="J163" i="41"/>
  <c r="BF163" i="41"/>
  <c r="BI162" i="41"/>
  <c r="BH162" i="41"/>
  <c r="BG162" i="41"/>
  <c r="BE162" i="41"/>
  <c r="T162" i="41"/>
  <c r="R162" i="41"/>
  <c r="P162" i="41"/>
  <c r="BK162" i="41"/>
  <c r="J162" i="41"/>
  <c r="BF162" i="41"/>
  <c r="BI161" i="41"/>
  <c r="BH161" i="41"/>
  <c r="BG161" i="41"/>
  <c r="BE161" i="41"/>
  <c r="T161" i="41"/>
  <c r="R161" i="41"/>
  <c r="P161" i="41"/>
  <c r="BK161" i="41"/>
  <c r="J161" i="41"/>
  <c r="BF161" i="41"/>
  <c r="BI160" i="41"/>
  <c r="BH160" i="41"/>
  <c r="BG160" i="41"/>
  <c r="BE160" i="41"/>
  <c r="T160" i="41"/>
  <c r="R160" i="41"/>
  <c r="P160" i="41"/>
  <c r="BK160" i="41"/>
  <c r="J160" i="41"/>
  <c r="BF160" i="41"/>
  <c r="BI159" i="41"/>
  <c r="BH159" i="41"/>
  <c r="BG159" i="41"/>
  <c r="BE159" i="41"/>
  <c r="T159" i="41"/>
  <c r="R159" i="41"/>
  <c r="P159" i="41"/>
  <c r="BK159" i="41"/>
  <c r="J159" i="41"/>
  <c r="BF159" i="41"/>
  <c r="BI158" i="41"/>
  <c r="BH158" i="41"/>
  <c r="BG158" i="41"/>
  <c r="BE158" i="41"/>
  <c r="T158" i="41"/>
  <c r="R158" i="41"/>
  <c r="P158" i="41"/>
  <c r="BK158" i="41"/>
  <c r="J158" i="41"/>
  <c r="BF158" i="41"/>
  <c r="BI157" i="41"/>
  <c r="BH157" i="41"/>
  <c r="BG157" i="41"/>
  <c r="BE157" i="41"/>
  <c r="T157" i="41"/>
  <c r="R157" i="41"/>
  <c r="P157" i="41"/>
  <c r="BK157" i="41"/>
  <c r="J157" i="41"/>
  <c r="BF157" i="41"/>
  <c r="BI156" i="41"/>
  <c r="BH156" i="41"/>
  <c r="BG156" i="41"/>
  <c r="BE156" i="41"/>
  <c r="T156" i="41"/>
  <c r="R156" i="41"/>
  <c r="P156" i="41"/>
  <c r="BK156" i="41"/>
  <c r="J156" i="41"/>
  <c r="BF156" i="41"/>
  <c r="BI155" i="41"/>
  <c r="BH155" i="41"/>
  <c r="BG155" i="41"/>
  <c r="BE155" i="41"/>
  <c r="T155" i="41"/>
  <c r="R155" i="41"/>
  <c r="P155" i="41"/>
  <c r="BK155" i="41"/>
  <c r="J155" i="41"/>
  <c r="BF155" i="41"/>
  <c r="BI153" i="41"/>
  <c r="BH153" i="41"/>
  <c r="BG153" i="41"/>
  <c r="BE153" i="41"/>
  <c r="T153" i="41"/>
  <c r="R153" i="41"/>
  <c r="P153" i="41"/>
  <c r="BK153" i="41"/>
  <c r="J153" i="41"/>
  <c r="BF153" i="41"/>
  <c r="BI151" i="41"/>
  <c r="BH151" i="41"/>
  <c r="BG151" i="41"/>
  <c r="BE151" i="41"/>
  <c r="T151" i="41"/>
  <c r="R151" i="41"/>
  <c r="P151" i="41"/>
  <c r="BK151" i="41"/>
  <c r="J151" i="41"/>
  <c r="BF151" i="41"/>
  <c r="BI150" i="41"/>
  <c r="BH150" i="41"/>
  <c r="BG150" i="41"/>
  <c r="BE150" i="41"/>
  <c r="T150" i="41"/>
  <c r="R150" i="41"/>
  <c r="P150" i="41"/>
  <c r="BK150" i="41"/>
  <c r="J150" i="41"/>
  <c r="BF150" i="41"/>
  <c r="BI148" i="41"/>
  <c r="BH148" i="41"/>
  <c r="BG148" i="41"/>
  <c r="BE148" i="41"/>
  <c r="T148" i="41"/>
  <c r="R148" i="41"/>
  <c r="P148" i="41"/>
  <c r="BK148" i="41"/>
  <c r="J148" i="41"/>
  <c r="BF148" i="41"/>
  <c r="BI147" i="41"/>
  <c r="BH147" i="41"/>
  <c r="BG147" i="41"/>
  <c r="BE147" i="41"/>
  <c r="T147" i="41"/>
  <c r="R147" i="41"/>
  <c r="P147" i="41"/>
  <c r="BK147" i="41"/>
  <c r="J147" i="41"/>
  <c r="BF147" i="41"/>
  <c r="BI145" i="41"/>
  <c r="BH145" i="41"/>
  <c r="BG145" i="41"/>
  <c r="BE145" i="41"/>
  <c r="T145" i="41"/>
  <c r="R145" i="41"/>
  <c r="P145" i="41"/>
  <c r="BK145" i="41"/>
  <c r="J145" i="41"/>
  <c r="BF145" i="41"/>
  <c r="BI143" i="41"/>
  <c r="BH143" i="41"/>
  <c r="BG143" i="41"/>
  <c r="BE143" i="41"/>
  <c r="T143" i="41"/>
  <c r="R143" i="41"/>
  <c r="P143" i="41"/>
  <c r="BK143" i="41"/>
  <c r="J143" i="41"/>
  <c r="BF143" i="41"/>
  <c r="BI142" i="41"/>
  <c r="BH142" i="41"/>
  <c r="BG142" i="41"/>
  <c r="BE142" i="41"/>
  <c r="T142" i="41"/>
  <c r="R142" i="41"/>
  <c r="P142" i="41"/>
  <c r="BK142" i="41"/>
  <c r="J142" i="41"/>
  <c r="BF142" i="41"/>
  <c r="BI141" i="41"/>
  <c r="BH141" i="41"/>
  <c r="BG141" i="41"/>
  <c r="BE141" i="41"/>
  <c r="T141" i="41"/>
  <c r="R141" i="41"/>
  <c r="P141" i="41"/>
  <c r="BK141" i="41"/>
  <c r="J141" i="41"/>
  <c r="BF141" i="41"/>
  <c r="BI139" i="41"/>
  <c r="BH139" i="41"/>
  <c r="BG139" i="41"/>
  <c r="BE139" i="41"/>
  <c r="T139" i="41"/>
  <c r="R139" i="41"/>
  <c r="P139" i="41"/>
  <c r="BK139" i="41"/>
  <c r="J139" i="41"/>
  <c r="BF139" i="41"/>
  <c r="BI138" i="41"/>
  <c r="BH138" i="41"/>
  <c r="BG138" i="41"/>
  <c r="BE138" i="41"/>
  <c r="T138" i="41"/>
  <c r="R138" i="41"/>
  <c r="P138" i="41"/>
  <c r="BK138" i="41"/>
  <c r="J138" i="41"/>
  <c r="BF138" i="41"/>
  <c r="BI136" i="41"/>
  <c r="BH136" i="41"/>
  <c r="BG136" i="41"/>
  <c r="BE136" i="41"/>
  <c r="T136" i="41"/>
  <c r="R136" i="41"/>
  <c r="P136" i="41"/>
  <c r="BK136" i="41"/>
  <c r="J136" i="41"/>
  <c r="BF136" i="41"/>
  <c r="BI134" i="41"/>
  <c r="BH134" i="41"/>
  <c r="BG134" i="41"/>
  <c r="BE134" i="41"/>
  <c r="T134" i="41"/>
  <c r="R134" i="41"/>
  <c r="R130" i="41" s="1"/>
  <c r="P134" i="41"/>
  <c r="BK134" i="41"/>
  <c r="J134" i="41"/>
  <c r="BF134" i="41"/>
  <c r="BI131" i="41"/>
  <c r="BH131" i="41"/>
  <c r="BG131" i="41"/>
  <c r="BE131" i="41"/>
  <c r="T131" i="41"/>
  <c r="R131" i="41"/>
  <c r="P131" i="41"/>
  <c r="P130" i="41" s="1"/>
  <c r="BK131" i="41"/>
  <c r="J131" i="41"/>
  <c r="BF131" i="41" s="1"/>
  <c r="F122" i="41"/>
  <c r="F89" i="41"/>
  <c r="J24" i="41"/>
  <c r="E24" i="41"/>
  <c r="J23" i="41"/>
  <c r="J21" i="41"/>
  <c r="E21" i="41"/>
  <c r="J91" i="41" s="1"/>
  <c r="J20" i="41"/>
  <c r="J18" i="41"/>
  <c r="J15" i="41"/>
  <c r="E15" i="41"/>
  <c r="J14" i="41"/>
  <c r="J89" i="41"/>
  <c r="J37" i="40"/>
  <c r="J36" i="40"/>
  <c r="AY133" i="1" s="1"/>
  <c r="J35" i="40"/>
  <c r="AX133" i="1" s="1"/>
  <c r="BI213" i="40"/>
  <c r="BH213" i="40"/>
  <c r="BG213" i="40"/>
  <c r="BE213" i="40"/>
  <c r="T213" i="40"/>
  <c r="R213" i="40"/>
  <c r="P213" i="40"/>
  <c r="BK213" i="40"/>
  <c r="J213" i="40"/>
  <c r="BF213" i="40" s="1"/>
  <c r="BI212" i="40"/>
  <c r="BH212" i="40"/>
  <c r="BG212" i="40"/>
  <c r="BE212" i="40"/>
  <c r="T212" i="40"/>
  <c r="R212" i="40"/>
  <c r="P212" i="40"/>
  <c r="BK212" i="40"/>
  <c r="J212" i="40"/>
  <c r="BF212" i="40" s="1"/>
  <c r="BI211" i="40"/>
  <c r="BH211" i="40"/>
  <c r="BG211" i="40"/>
  <c r="BE211" i="40"/>
  <c r="T211" i="40"/>
  <c r="R211" i="40"/>
  <c r="P211" i="40"/>
  <c r="BK211" i="40"/>
  <c r="J211" i="40"/>
  <c r="BF211" i="40" s="1"/>
  <c r="BI210" i="40"/>
  <c r="BH210" i="40"/>
  <c r="BG210" i="40"/>
  <c r="BE210" i="40"/>
  <c r="T210" i="40"/>
  <c r="R210" i="40"/>
  <c r="P210" i="40"/>
  <c r="BK210" i="40"/>
  <c r="J210" i="40"/>
  <c r="BF210" i="40" s="1"/>
  <c r="BI208" i="40"/>
  <c r="BH208" i="40"/>
  <c r="BG208" i="40"/>
  <c r="BE208" i="40"/>
  <c r="T208" i="40"/>
  <c r="R208" i="40"/>
  <c r="P208" i="40"/>
  <c r="BK208" i="40"/>
  <c r="J208" i="40"/>
  <c r="BF208" i="40" s="1"/>
  <c r="BI206" i="40"/>
  <c r="BH206" i="40"/>
  <c r="BG206" i="40"/>
  <c r="BE206" i="40"/>
  <c r="T206" i="40"/>
  <c r="R206" i="40"/>
  <c r="P206" i="40"/>
  <c r="BK206" i="40"/>
  <c r="J206" i="40"/>
  <c r="BF206" i="40" s="1"/>
  <c r="BI204" i="40"/>
  <c r="BH204" i="40"/>
  <c r="BG204" i="40"/>
  <c r="BE204" i="40"/>
  <c r="T204" i="40"/>
  <c r="R204" i="40"/>
  <c r="P204" i="40"/>
  <c r="BK204" i="40"/>
  <c r="J204" i="40"/>
  <c r="BF204" i="40" s="1"/>
  <c r="BI203" i="40"/>
  <c r="BH203" i="40"/>
  <c r="BG203" i="40"/>
  <c r="BE203" i="40"/>
  <c r="T203" i="40"/>
  <c r="R203" i="40"/>
  <c r="P203" i="40"/>
  <c r="BK203" i="40"/>
  <c r="J203" i="40"/>
  <c r="BF203" i="40" s="1"/>
  <c r="BI202" i="40"/>
  <c r="BH202" i="40"/>
  <c r="BG202" i="40"/>
  <c r="BE202" i="40"/>
  <c r="T202" i="40"/>
  <c r="R202" i="40"/>
  <c r="P202" i="40"/>
  <c r="BK202" i="40"/>
  <c r="J202" i="40"/>
  <c r="BF202" i="40" s="1"/>
  <c r="BI201" i="40"/>
  <c r="BH201" i="40"/>
  <c r="BG201" i="40"/>
  <c r="BE201" i="40"/>
  <c r="T201" i="40"/>
  <c r="T200" i="40" s="1"/>
  <c r="R201" i="40"/>
  <c r="P201" i="40"/>
  <c r="BK201" i="40"/>
  <c r="J201" i="40"/>
  <c r="BF201" i="40"/>
  <c r="BI199" i="40"/>
  <c r="BH199" i="40"/>
  <c r="BG199" i="40"/>
  <c r="BE199" i="40"/>
  <c r="T199" i="40"/>
  <c r="R199" i="40"/>
  <c r="P199" i="40"/>
  <c r="BK199" i="40"/>
  <c r="J199" i="40"/>
  <c r="BF199" i="40" s="1"/>
  <c r="BI198" i="40"/>
  <c r="BH198" i="40"/>
  <c r="BG198" i="40"/>
  <c r="BE198" i="40"/>
  <c r="T198" i="40"/>
  <c r="R198" i="40"/>
  <c r="P198" i="40"/>
  <c r="BK198" i="40"/>
  <c r="J198" i="40"/>
  <c r="BF198" i="40" s="1"/>
  <c r="BI197" i="40"/>
  <c r="BH197" i="40"/>
  <c r="BG197" i="40"/>
  <c r="BE197" i="40"/>
  <c r="T197" i="40"/>
  <c r="R197" i="40"/>
  <c r="P197" i="40"/>
  <c r="BK197" i="40"/>
  <c r="J197" i="40"/>
  <c r="BF197" i="40" s="1"/>
  <c r="BI196" i="40"/>
  <c r="BH196" i="40"/>
  <c r="BG196" i="40"/>
  <c r="BE196" i="40"/>
  <c r="T196" i="40"/>
  <c r="R196" i="40"/>
  <c r="P196" i="40"/>
  <c r="BK196" i="40"/>
  <c r="J196" i="40"/>
  <c r="BF196" i="40" s="1"/>
  <c r="BI195" i="40"/>
  <c r="BH195" i="40"/>
  <c r="BG195" i="40"/>
  <c r="BE195" i="40"/>
  <c r="T195" i="40"/>
  <c r="R195" i="40"/>
  <c r="P195" i="40"/>
  <c r="BK195" i="40"/>
  <c r="J195" i="40"/>
  <c r="BF195" i="40" s="1"/>
  <c r="BI193" i="40"/>
  <c r="BH193" i="40"/>
  <c r="BG193" i="40"/>
  <c r="BE193" i="40"/>
  <c r="T193" i="40"/>
  <c r="R193" i="40"/>
  <c r="P193" i="40"/>
  <c r="BK193" i="40"/>
  <c r="J193" i="40"/>
  <c r="BF193" i="40" s="1"/>
  <c r="BI191" i="40"/>
  <c r="BH191" i="40"/>
  <c r="BG191" i="40"/>
  <c r="BE191" i="40"/>
  <c r="T191" i="40"/>
  <c r="R191" i="40"/>
  <c r="P191" i="40"/>
  <c r="BK191" i="40"/>
  <c r="J191" i="40"/>
  <c r="BF191" i="40" s="1"/>
  <c r="BI189" i="40"/>
  <c r="BH189" i="40"/>
  <c r="BG189" i="40"/>
  <c r="BE189" i="40"/>
  <c r="T189" i="40"/>
  <c r="R189" i="40"/>
  <c r="P189" i="40"/>
  <c r="BK189" i="40"/>
  <c r="J189" i="40"/>
  <c r="BF189" i="40" s="1"/>
  <c r="BI187" i="40"/>
  <c r="BH187" i="40"/>
  <c r="BG187" i="40"/>
  <c r="BE187" i="40"/>
  <c r="T187" i="40"/>
  <c r="R187" i="40"/>
  <c r="P187" i="40"/>
  <c r="BK187" i="40"/>
  <c r="J187" i="40"/>
  <c r="BF187" i="40" s="1"/>
  <c r="BI186" i="40"/>
  <c r="BH186" i="40"/>
  <c r="BG186" i="40"/>
  <c r="BE186" i="40"/>
  <c r="T186" i="40"/>
  <c r="R186" i="40"/>
  <c r="P186" i="40"/>
  <c r="BK186" i="40"/>
  <c r="J186" i="40"/>
  <c r="BF186" i="40" s="1"/>
  <c r="BI185" i="40"/>
  <c r="BH185" i="40"/>
  <c r="BG185" i="40"/>
  <c r="BE185" i="40"/>
  <c r="T185" i="40"/>
  <c r="R185" i="40"/>
  <c r="P185" i="40"/>
  <c r="BK185" i="40"/>
  <c r="J185" i="40"/>
  <c r="BF185" i="40" s="1"/>
  <c r="BI183" i="40"/>
  <c r="BH183" i="40"/>
  <c r="BG183" i="40"/>
  <c r="BE183" i="40"/>
  <c r="T183" i="40"/>
  <c r="R183" i="40"/>
  <c r="P183" i="40"/>
  <c r="BK183" i="40"/>
  <c r="J183" i="40"/>
  <c r="BF183" i="40" s="1"/>
  <c r="BI181" i="40"/>
  <c r="BH181" i="40"/>
  <c r="BG181" i="40"/>
  <c r="BE181" i="40"/>
  <c r="T181" i="40"/>
  <c r="R181" i="40"/>
  <c r="P181" i="40"/>
  <c r="BK181" i="40"/>
  <c r="J181" i="40"/>
  <c r="BF181" i="40" s="1"/>
  <c r="BI180" i="40"/>
  <c r="BH180" i="40"/>
  <c r="BG180" i="40"/>
  <c r="BE180" i="40"/>
  <c r="T180" i="40"/>
  <c r="R180" i="40"/>
  <c r="P180" i="40"/>
  <c r="BK180" i="40"/>
  <c r="J180" i="40"/>
  <c r="BF180" i="40" s="1"/>
  <c r="BI178" i="40"/>
  <c r="BH178" i="40"/>
  <c r="BG178" i="40"/>
  <c r="BE178" i="40"/>
  <c r="T178" i="40"/>
  <c r="R178" i="40"/>
  <c r="P178" i="40"/>
  <c r="BK178" i="40"/>
  <c r="J178" i="40"/>
  <c r="BF178" i="40" s="1"/>
  <c r="BI176" i="40"/>
  <c r="BH176" i="40"/>
  <c r="BG176" i="40"/>
  <c r="BE176" i="40"/>
  <c r="T176" i="40"/>
  <c r="R176" i="40"/>
  <c r="P176" i="40"/>
  <c r="BK176" i="40"/>
  <c r="J176" i="40"/>
  <c r="BF176" i="40" s="1"/>
  <c r="BI174" i="40"/>
  <c r="BH174" i="40"/>
  <c r="BG174" i="40"/>
  <c r="BE174" i="40"/>
  <c r="T174" i="40"/>
  <c r="R174" i="40"/>
  <c r="P174" i="40"/>
  <c r="BK174" i="40"/>
  <c r="J174" i="40"/>
  <c r="BF174" i="40" s="1"/>
  <c r="BI172" i="40"/>
  <c r="BH172" i="40"/>
  <c r="BG172" i="40"/>
  <c r="BE172" i="40"/>
  <c r="T172" i="40"/>
  <c r="R172" i="40"/>
  <c r="P172" i="40"/>
  <c r="BK172" i="40"/>
  <c r="J172" i="40"/>
  <c r="BF172" i="40" s="1"/>
  <c r="BI171" i="40"/>
  <c r="BH171" i="40"/>
  <c r="BG171" i="40"/>
  <c r="BE171" i="40"/>
  <c r="T171" i="40"/>
  <c r="R171" i="40"/>
  <c r="P171" i="40"/>
  <c r="BK171" i="40"/>
  <c r="J171" i="40"/>
  <c r="BF171" i="40" s="1"/>
  <c r="BI169" i="40"/>
  <c r="BH169" i="40"/>
  <c r="BG169" i="40"/>
  <c r="BE169" i="40"/>
  <c r="T169" i="40"/>
  <c r="R169" i="40"/>
  <c r="P169" i="40"/>
  <c r="BK169" i="40"/>
  <c r="J169" i="40"/>
  <c r="BF169" i="40" s="1"/>
  <c r="BI167" i="40"/>
  <c r="BH167" i="40"/>
  <c r="BG167" i="40"/>
  <c r="BE167" i="40"/>
  <c r="T167" i="40"/>
  <c r="R167" i="40"/>
  <c r="P167" i="40"/>
  <c r="BK167" i="40"/>
  <c r="J167" i="40"/>
  <c r="BF167" i="40" s="1"/>
  <c r="BI165" i="40"/>
  <c r="BH165" i="40"/>
  <c r="BG165" i="40"/>
  <c r="BE165" i="40"/>
  <c r="T165" i="40"/>
  <c r="T164" i="40" s="1"/>
  <c r="R165" i="40"/>
  <c r="P165" i="40"/>
  <c r="BK165" i="40"/>
  <c r="J165" i="40"/>
  <c r="BF165" i="40" s="1"/>
  <c r="BI163" i="40"/>
  <c r="BH163" i="40"/>
  <c r="BG163" i="40"/>
  <c r="BE163" i="40"/>
  <c r="T163" i="40"/>
  <c r="R163" i="40"/>
  <c r="P163" i="40"/>
  <c r="BK163" i="40"/>
  <c r="J163" i="40"/>
  <c r="BF163" i="40" s="1"/>
  <c r="BI162" i="40"/>
  <c r="BH162" i="40"/>
  <c r="BG162" i="40"/>
  <c r="BE162" i="40"/>
  <c r="T162" i="40"/>
  <c r="R162" i="40"/>
  <c r="P162" i="40"/>
  <c r="BK162" i="40"/>
  <c r="J162" i="40"/>
  <c r="BF162" i="40" s="1"/>
  <c r="BI160" i="40"/>
  <c r="BH160" i="40"/>
  <c r="BG160" i="40"/>
  <c r="BE160" i="40"/>
  <c r="T160" i="40"/>
  <c r="R160" i="40"/>
  <c r="P160" i="40"/>
  <c r="BK160" i="40"/>
  <c r="J160" i="40"/>
  <c r="BF160" i="40" s="1"/>
  <c r="BI158" i="40"/>
  <c r="BH158" i="40"/>
  <c r="BG158" i="40"/>
  <c r="BE158" i="40"/>
  <c r="T158" i="40"/>
  <c r="R158" i="40"/>
  <c r="P158" i="40"/>
  <c r="BK158" i="40"/>
  <c r="J158" i="40"/>
  <c r="BF158" i="40" s="1"/>
  <c r="BI156" i="40"/>
  <c r="BH156" i="40"/>
  <c r="BG156" i="40"/>
  <c r="BE156" i="40"/>
  <c r="T156" i="40"/>
  <c r="R156" i="40"/>
  <c r="P156" i="40"/>
  <c r="BK156" i="40"/>
  <c r="J156" i="40"/>
  <c r="BF156" i="40" s="1"/>
  <c r="BI154" i="40"/>
  <c r="BH154" i="40"/>
  <c r="BG154" i="40"/>
  <c r="BE154" i="40"/>
  <c r="T154" i="40"/>
  <c r="R154" i="40"/>
  <c r="P154" i="40"/>
  <c r="BK154" i="40"/>
  <c r="J154" i="40"/>
  <c r="BF154" i="40" s="1"/>
  <c r="BI152" i="40"/>
  <c r="BH152" i="40"/>
  <c r="BG152" i="40"/>
  <c r="BE152" i="40"/>
  <c r="T152" i="40"/>
  <c r="R152" i="40"/>
  <c r="P152" i="40"/>
  <c r="BK152" i="40"/>
  <c r="J152" i="40"/>
  <c r="BF152" i="40" s="1"/>
  <c r="BI151" i="40"/>
  <c r="BH151" i="40"/>
  <c r="BG151" i="40"/>
  <c r="BE151" i="40"/>
  <c r="T151" i="40"/>
  <c r="R151" i="40"/>
  <c r="P151" i="40"/>
  <c r="BK151" i="40"/>
  <c r="J151" i="40"/>
  <c r="BF151" i="40" s="1"/>
  <c r="BI150" i="40"/>
  <c r="BH150" i="40"/>
  <c r="BG150" i="40"/>
  <c r="BE150" i="40"/>
  <c r="T150" i="40"/>
  <c r="R150" i="40"/>
  <c r="P150" i="40"/>
  <c r="BK150" i="40"/>
  <c r="J150" i="40"/>
  <c r="BF150" i="40" s="1"/>
  <c r="BI148" i="40"/>
  <c r="BH148" i="40"/>
  <c r="BG148" i="40"/>
  <c r="BE148" i="40"/>
  <c r="T148" i="40"/>
  <c r="R148" i="40"/>
  <c r="P148" i="40"/>
  <c r="BK148" i="40"/>
  <c r="J148" i="40"/>
  <c r="BF148" i="40" s="1"/>
  <c r="BI147" i="40"/>
  <c r="BH147" i="40"/>
  <c r="BG147" i="40"/>
  <c r="BE147" i="40"/>
  <c r="T147" i="40"/>
  <c r="R147" i="40"/>
  <c r="P147" i="40"/>
  <c r="BK147" i="40"/>
  <c r="J147" i="40"/>
  <c r="BF147" i="40" s="1"/>
  <c r="BI146" i="40"/>
  <c r="BH146" i="40"/>
  <c r="BG146" i="40"/>
  <c r="BE146" i="40"/>
  <c r="T146" i="40"/>
  <c r="R146" i="40"/>
  <c r="P146" i="40"/>
  <c r="BK146" i="40"/>
  <c r="J146" i="40"/>
  <c r="BF146" i="40" s="1"/>
  <c r="BI144" i="40"/>
  <c r="BH144" i="40"/>
  <c r="BG144" i="40"/>
  <c r="BE144" i="40"/>
  <c r="T144" i="40"/>
  <c r="R144" i="40"/>
  <c r="P144" i="40"/>
  <c r="BK144" i="40"/>
  <c r="J144" i="40"/>
  <c r="BF144" i="40" s="1"/>
  <c r="BI142" i="40"/>
  <c r="BH142" i="40"/>
  <c r="BG142" i="40"/>
  <c r="BE142" i="40"/>
  <c r="T142" i="40"/>
  <c r="R142" i="40"/>
  <c r="P142" i="40"/>
  <c r="BK142" i="40"/>
  <c r="J142" i="40"/>
  <c r="BF142" i="40" s="1"/>
  <c r="BI141" i="40"/>
  <c r="BH141" i="40"/>
  <c r="BG141" i="40"/>
  <c r="BE141" i="40"/>
  <c r="T141" i="40"/>
  <c r="R141" i="40"/>
  <c r="P141" i="40"/>
  <c r="BK141" i="40"/>
  <c r="J141" i="40"/>
  <c r="BF141" i="40" s="1"/>
  <c r="BI140" i="40"/>
  <c r="BH140" i="40"/>
  <c r="BG140" i="40"/>
  <c r="BE140" i="40"/>
  <c r="T140" i="40"/>
  <c r="R140" i="40"/>
  <c r="P140" i="40"/>
  <c r="BK140" i="40"/>
  <c r="J140" i="40"/>
  <c r="BF140" i="40" s="1"/>
  <c r="BI138" i="40"/>
  <c r="BH138" i="40"/>
  <c r="BG138" i="40"/>
  <c r="BE138" i="40"/>
  <c r="T138" i="40"/>
  <c r="R138" i="40"/>
  <c r="P138" i="40"/>
  <c r="BK138" i="40"/>
  <c r="J138" i="40"/>
  <c r="BF138" i="40" s="1"/>
  <c r="BI136" i="40"/>
  <c r="BH136" i="40"/>
  <c r="BG136" i="40"/>
  <c r="BE136" i="40"/>
  <c r="T136" i="40"/>
  <c r="R136" i="40"/>
  <c r="P136" i="40"/>
  <c r="BK136" i="40"/>
  <c r="J136" i="40"/>
  <c r="BF136" i="40" s="1"/>
  <c r="BI134" i="40"/>
  <c r="BH134" i="40"/>
  <c r="BG134" i="40"/>
  <c r="BE134" i="40"/>
  <c r="T134" i="40"/>
  <c r="R134" i="40"/>
  <c r="P134" i="40"/>
  <c r="BK134" i="40"/>
  <c r="J134" i="40"/>
  <c r="BF134" i="40" s="1"/>
  <c r="BI132" i="40"/>
  <c r="BH132" i="40"/>
  <c r="BG132" i="40"/>
  <c r="BE132" i="40"/>
  <c r="T132" i="40"/>
  <c r="R132" i="40"/>
  <c r="P132" i="40"/>
  <c r="BK132" i="40"/>
  <c r="J132" i="40"/>
  <c r="BF132" i="40" s="1"/>
  <c r="BI131" i="40"/>
  <c r="BH131" i="40"/>
  <c r="BG131" i="40"/>
  <c r="BE131" i="40"/>
  <c r="T131" i="40"/>
  <c r="R131" i="40"/>
  <c r="P131" i="40"/>
  <c r="BK131" i="40"/>
  <c r="J131" i="40"/>
  <c r="BF131" i="40" s="1"/>
  <c r="BI129" i="40"/>
  <c r="BH129" i="40"/>
  <c r="BG129" i="40"/>
  <c r="BE129" i="40"/>
  <c r="T129" i="40"/>
  <c r="R129" i="40"/>
  <c r="P129" i="40"/>
  <c r="BK129" i="40"/>
  <c r="J129" i="40"/>
  <c r="BF129" i="40" s="1"/>
  <c r="BI128" i="40"/>
  <c r="BH128" i="40"/>
  <c r="BG128" i="40"/>
  <c r="BE128" i="40"/>
  <c r="T128" i="40"/>
  <c r="R128" i="40"/>
  <c r="P128" i="40"/>
  <c r="BK128" i="40"/>
  <c r="J128" i="40"/>
  <c r="BF128" i="40" s="1"/>
  <c r="BI126" i="40"/>
  <c r="BH126" i="40"/>
  <c r="BG126" i="40"/>
  <c r="BE126" i="40"/>
  <c r="T126" i="40"/>
  <c r="R126" i="40"/>
  <c r="P126" i="40"/>
  <c r="BK126" i="40"/>
  <c r="BK125" i="40" s="1"/>
  <c r="J125" i="40" s="1"/>
  <c r="J98" i="40" s="1"/>
  <c r="J126" i="40"/>
  <c r="BF126" i="40"/>
  <c r="BI124" i="40"/>
  <c r="BH124" i="40"/>
  <c r="BG124" i="40"/>
  <c r="BE124" i="40"/>
  <c r="T124" i="40"/>
  <c r="R124" i="40"/>
  <c r="P124" i="40"/>
  <c r="BK124" i="40"/>
  <c r="J124" i="40"/>
  <c r="BF124" i="40" s="1"/>
  <c r="BI123" i="40"/>
  <c r="BH123" i="40"/>
  <c r="BG123" i="40"/>
  <c r="BE123" i="40"/>
  <c r="T123" i="40"/>
  <c r="R123" i="40"/>
  <c r="P123" i="40"/>
  <c r="BK123" i="40"/>
  <c r="J123" i="40"/>
  <c r="BF123" i="40" s="1"/>
  <c r="BI122" i="40"/>
  <c r="BH122" i="40"/>
  <c r="BG122" i="40"/>
  <c r="F35" i="40" s="1"/>
  <c r="BB133" i="1" s="1"/>
  <c r="BE122" i="40"/>
  <c r="T122" i="40"/>
  <c r="R122" i="40"/>
  <c r="P122" i="40"/>
  <c r="BK122" i="40"/>
  <c r="J122" i="40"/>
  <c r="BF122" i="40" s="1"/>
  <c r="F114" i="40"/>
  <c r="F89" i="40"/>
  <c r="J24" i="40"/>
  <c r="E24" i="40"/>
  <c r="J92" i="40" s="1"/>
  <c r="J23" i="40"/>
  <c r="J21" i="40"/>
  <c r="E21" i="40"/>
  <c r="J116" i="40" s="1"/>
  <c r="J20" i="40"/>
  <c r="J18" i="40"/>
  <c r="J15" i="40"/>
  <c r="E15" i="40"/>
  <c r="J14" i="40"/>
  <c r="J114" i="40"/>
  <c r="J37" i="39"/>
  <c r="J36" i="39"/>
  <c r="AY132" i="1" s="1"/>
  <c r="J35" i="39"/>
  <c r="AX132" i="1"/>
  <c r="BI119" i="39"/>
  <c r="F37" i="39" s="1"/>
  <c r="BD132" i="1" s="1"/>
  <c r="BH119" i="39"/>
  <c r="F36" i="39" s="1"/>
  <c r="BC132" i="1" s="1"/>
  <c r="BG119" i="39"/>
  <c r="F35" i="39" s="1"/>
  <c r="BB132" i="1" s="1"/>
  <c r="BE119" i="39"/>
  <c r="J33" i="39" s="1"/>
  <c r="AV132" i="1" s="1"/>
  <c r="F33" i="39"/>
  <c r="AZ132" i="1" s="1"/>
  <c r="T119" i="39"/>
  <c r="T118" i="39"/>
  <c r="T117" i="39" s="1"/>
  <c r="R119" i="39"/>
  <c r="R118" i="39" s="1"/>
  <c r="R117" i="39" s="1"/>
  <c r="P119" i="39"/>
  <c r="P118" i="39" s="1"/>
  <c r="P117" i="39" s="1"/>
  <c r="AU132" i="1" s="1"/>
  <c r="BK119" i="39"/>
  <c r="BK118" i="39" s="1"/>
  <c r="J119" i="39"/>
  <c r="BF119" i="39" s="1"/>
  <c r="F111" i="39"/>
  <c r="F89" i="39"/>
  <c r="J24" i="39"/>
  <c r="E24" i="39"/>
  <c r="J114" i="39" s="1"/>
  <c r="J23" i="39"/>
  <c r="J21" i="39"/>
  <c r="E21" i="39"/>
  <c r="J91" i="39" s="1"/>
  <c r="J20" i="39"/>
  <c r="J18" i="39"/>
  <c r="J15" i="39"/>
  <c r="E15" i="39"/>
  <c r="J14" i="39"/>
  <c r="J89" i="39"/>
  <c r="J167" i="38"/>
  <c r="J37" i="38"/>
  <c r="J36" i="38"/>
  <c r="AY131" i="1" s="1"/>
  <c r="J35" i="38"/>
  <c r="AX131" i="1" s="1"/>
  <c r="BI178" i="38"/>
  <c r="BH178" i="38"/>
  <c r="BG178" i="38"/>
  <c r="BE178" i="38"/>
  <c r="T178" i="38"/>
  <c r="R178" i="38"/>
  <c r="P178" i="38"/>
  <c r="BK178" i="38"/>
  <c r="J178" i="38"/>
  <c r="BF178" i="38" s="1"/>
  <c r="BI177" i="38"/>
  <c r="BH177" i="38"/>
  <c r="BG177" i="38"/>
  <c r="BE177" i="38"/>
  <c r="T177" i="38"/>
  <c r="R177" i="38"/>
  <c r="P177" i="38"/>
  <c r="BK177" i="38"/>
  <c r="J177" i="38"/>
  <c r="BF177" i="38" s="1"/>
  <c r="BI176" i="38"/>
  <c r="BH176" i="38"/>
  <c r="BG176" i="38"/>
  <c r="BE176" i="38"/>
  <c r="T176" i="38"/>
  <c r="R176" i="38"/>
  <c r="P176" i="38"/>
  <c r="BK176" i="38"/>
  <c r="J176" i="38"/>
  <c r="BF176" i="38" s="1"/>
  <c r="BI175" i="38"/>
  <c r="BH175" i="38"/>
  <c r="BG175" i="38"/>
  <c r="BE175" i="38"/>
  <c r="T175" i="38"/>
  <c r="R175" i="38"/>
  <c r="P175" i="38"/>
  <c r="BK175" i="38"/>
  <c r="J175" i="38"/>
  <c r="BF175" i="38" s="1"/>
  <c r="BI173" i="38"/>
  <c r="BH173" i="38"/>
  <c r="BG173" i="38"/>
  <c r="BE173" i="38"/>
  <c r="T173" i="38"/>
  <c r="R173" i="38"/>
  <c r="P173" i="38"/>
  <c r="BK173" i="38"/>
  <c r="J173" i="38"/>
  <c r="BF173" i="38" s="1"/>
  <c r="BI172" i="38"/>
  <c r="BH172" i="38"/>
  <c r="BG172" i="38"/>
  <c r="BE172" i="38"/>
  <c r="T172" i="38"/>
  <c r="R172" i="38"/>
  <c r="P172" i="38"/>
  <c r="BK172" i="38"/>
  <c r="J172" i="38"/>
  <c r="BF172" i="38" s="1"/>
  <c r="BI171" i="38"/>
  <c r="BH171" i="38"/>
  <c r="BG171" i="38"/>
  <c r="BE171" i="38"/>
  <c r="T171" i="38"/>
  <c r="R171" i="38"/>
  <c r="P171" i="38"/>
  <c r="BK171" i="38"/>
  <c r="J171" i="38"/>
  <c r="BF171" i="38" s="1"/>
  <c r="BI170" i="38"/>
  <c r="BH170" i="38"/>
  <c r="BG170" i="38"/>
  <c r="BE170" i="38"/>
  <c r="T170" i="38"/>
  <c r="R170" i="38"/>
  <c r="P170" i="38"/>
  <c r="BK170" i="38"/>
  <c r="J170" i="38"/>
  <c r="BF170" i="38" s="1"/>
  <c r="BI169" i="38"/>
  <c r="BH169" i="38"/>
  <c r="BG169" i="38"/>
  <c r="BE169" i="38"/>
  <c r="T169" i="38"/>
  <c r="R169" i="38"/>
  <c r="P169" i="38"/>
  <c r="BK169" i="38"/>
  <c r="J169" i="38"/>
  <c r="BF169" i="38" s="1"/>
  <c r="J99" i="38"/>
  <c r="BI166" i="38"/>
  <c r="BH166" i="38"/>
  <c r="BG166" i="38"/>
  <c r="BE166" i="38"/>
  <c r="T166" i="38"/>
  <c r="R166" i="38"/>
  <c r="P166" i="38"/>
  <c r="BK166" i="38"/>
  <c r="J166" i="38"/>
  <c r="BF166" i="38" s="1"/>
  <c r="BI165" i="38"/>
  <c r="BH165" i="38"/>
  <c r="BG165" i="38"/>
  <c r="BE165" i="38"/>
  <c r="T165" i="38"/>
  <c r="R165" i="38"/>
  <c r="P165" i="38"/>
  <c r="BK165" i="38"/>
  <c r="J165" i="38"/>
  <c r="BF165" i="38" s="1"/>
  <c r="BI164" i="38"/>
  <c r="BH164" i="38"/>
  <c r="BG164" i="38"/>
  <c r="BE164" i="38"/>
  <c r="T164" i="38"/>
  <c r="R164" i="38"/>
  <c r="P164" i="38"/>
  <c r="BK164" i="38"/>
  <c r="J164" i="38"/>
  <c r="BF164" i="38" s="1"/>
  <c r="BI163" i="38"/>
  <c r="BH163" i="38"/>
  <c r="BG163" i="38"/>
  <c r="BE163" i="38"/>
  <c r="T163" i="38"/>
  <c r="R163" i="38"/>
  <c r="P163" i="38"/>
  <c r="BK163" i="38"/>
  <c r="J163" i="38"/>
  <c r="BF163" i="38" s="1"/>
  <c r="BI162" i="38"/>
  <c r="BH162" i="38"/>
  <c r="BG162" i="38"/>
  <c r="BE162" i="38"/>
  <c r="T162" i="38"/>
  <c r="R162" i="38"/>
  <c r="P162" i="38"/>
  <c r="BK162" i="38"/>
  <c r="J162" i="38"/>
  <c r="BF162" i="38" s="1"/>
  <c r="BI161" i="38"/>
  <c r="BH161" i="38"/>
  <c r="BG161" i="38"/>
  <c r="BE161" i="38"/>
  <c r="T161" i="38"/>
  <c r="R161" i="38"/>
  <c r="P161" i="38"/>
  <c r="BK161" i="38"/>
  <c r="J161" i="38"/>
  <c r="BF161" i="38" s="1"/>
  <c r="BI159" i="38"/>
  <c r="BH159" i="38"/>
  <c r="BG159" i="38"/>
  <c r="BE159" i="38"/>
  <c r="T159" i="38"/>
  <c r="R159" i="38"/>
  <c r="P159" i="38"/>
  <c r="BK159" i="38"/>
  <c r="J159" i="38"/>
  <c r="BF159" i="38" s="1"/>
  <c r="BI158" i="38"/>
  <c r="BH158" i="38"/>
  <c r="BG158" i="38"/>
  <c r="BE158" i="38"/>
  <c r="T158" i="38"/>
  <c r="R158" i="38"/>
  <c r="P158" i="38"/>
  <c r="BK158" i="38"/>
  <c r="J158" i="38"/>
  <c r="BF158" i="38" s="1"/>
  <c r="BI157" i="38"/>
  <c r="BH157" i="38"/>
  <c r="BG157" i="38"/>
  <c r="BE157" i="38"/>
  <c r="T157" i="38"/>
  <c r="R157" i="38"/>
  <c r="P157" i="38"/>
  <c r="BK157" i="38"/>
  <c r="J157" i="38"/>
  <c r="BF157" i="38" s="1"/>
  <c r="BI156" i="38"/>
  <c r="BH156" i="38"/>
  <c r="BG156" i="38"/>
  <c r="BE156" i="38"/>
  <c r="T156" i="38"/>
  <c r="R156" i="38"/>
  <c r="P156" i="38"/>
  <c r="BK156" i="38"/>
  <c r="J156" i="38"/>
  <c r="BF156" i="38" s="1"/>
  <c r="BI155" i="38"/>
  <c r="BH155" i="38"/>
  <c r="BG155" i="38"/>
  <c r="BE155" i="38"/>
  <c r="T155" i="38"/>
  <c r="R155" i="38"/>
  <c r="P155" i="38"/>
  <c r="BK155" i="38"/>
  <c r="J155" i="38"/>
  <c r="BF155" i="38" s="1"/>
  <c r="BI150" i="38"/>
  <c r="BH150" i="38"/>
  <c r="BG150" i="38"/>
  <c r="BE150" i="38"/>
  <c r="T150" i="38"/>
  <c r="R150" i="38"/>
  <c r="P150" i="38"/>
  <c r="BK150" i="38"/>
  <c r="J150" i="38"/>
  <c r="BF150" i="38" s="1"/>
  <c r="BI149" i="38"/>
  <c r="BH149" i="38"/>
  <c r="BG149" i="38"/>
  <c r="BE149" i="38"/>
  <c r="T149" i="38"/>
  <c r="R149" i="38"/>
  <c r="P149" i="38"/>
  <c r="BK149" i="38"/>
  <c r="J149" i="38"/>
  <c r="BF149" i="38" s="1"/>
  <c r="BI148" i="38"/>
  <c r="BH148" i="38"/>
  <c r="BG148" i="38"/>
  <c r="BE148" i="38"/>
  <c r="T148" i="38"/>
  <c r="R148" i="38"/>
  <c r="P148" i="38"/>
  <c r="BK148" i="38"/>
  <c r="J148" i="38"/>
  <c r="BF148" i="38"/>
  <c r="BI147" i="38"/>
  <c r="BH147" i="38"/>
  <c r="BG147" i="38"/>
  <c r="BE147" i="38"/>
  <c r="T147" i="38"/>
  <c r="R147" i="38"/>
  <c r="P147" i="38"/>
  <c r="BK147" i="38"/>
  <c r="J147" i="38"/>
  <c r="BF147" i="38" s="1"/>
  <c r="BI145" i="38"/>
  <c r="BH145" i="38"/>
  <c r="BG145" i="38"/>
  <c r="BE145" i="38"/>
  <c r="T145" i="38"/>
  <c r="R145" i="38"/>
  <c r="P145" i="38"/>
  <c r="BK145" i="38"/>
  <c r="J145" i="38"/>
  <c r="BF145" i="38" s="1"/>
  <c r="BI144" i="38"/>
  <c r="BH144" i="38"/>
  <c r="BG144" i="38"/>
  <c r="BE144" i="38"/>
  <c r="T144" i="38"/>
  <c r="R144" i="38"/>
  <c r="P144" i="38"/>
  <c r="BK144" i="38"/>
  <c r="J144" i="38"/>
  <c r="BF144" i="38" s="1"/>
  <c r="BI143" i="38"/>
  <c r="BH143" i="38"/>
  <c r="BG143" i="38"/>
  <c r="BE143" i="38"/>
  <c r="T143" i="38"/>
  <c r="R143" i="38"/>
  <c r="P143" i="38"/>
  <c r="BK143" i="38"/>
  <c r="J143" i="38"/>
  <c r="BF143" i="38" s="1"/>
  <c r="BI142" i="38"/>
  <c r="BH142" i="38"/>
  <c r="BG142" i="38"/>
  <c r="BE142" i="38"/>
  <c r="T142" i="38"/>
  <c r="R142" i="38"/>
  <c r="P142" i="38"/>
  <c r="BK142" i="38"/>
  <c r="J142" i="38"/>
  <c r="BF142" i="38" s="1"/>
  <c r="BI141" i="38"/>
  <c r="BH141" i="38"/>
  <c r="BG141" i="38"/>
  <c r="BE141" i="38"/>
  <c r="T141" i="38"/>
  <c r="R141" i="38"/>
  <c r="P141" i="38"/>
  <c r="BK141" i="38"/>
  <c r="J141" i="38"/>
  <c r="BF141" i="38" s="1"/>
  <c r="BI140" i="38"/>
  <c r="BH140" i="38"/>
  <c r="BG140" i="38"/>
  <c r="BE140" i="38"/>
  <c r="T140" i="38"/>
  <c r="R140" i="38"/>
  <c r="P140" i="38"/>
  <c r="BK140" i="38"/>
  <c r="J140" i="38"/>
  <c r="BF140" i="38" s="1"/>
  <c r="BI139" i="38"/>
  <c r="BH139" i="38"/>
  <c r="BG139" i="38"/>
  <c r="BE139" i="38"/>
  <c r="T139" i="38"/>
  <c r="R139" i="38"/>
  <c r="P139" i="38"/>
  <c r="BK139" i="38"/>
  <c r="J139" i="38"/>
  <c r="BF139" i="38" s="1"/>
  <c r="BI138" i="38"/>
  <c r="BH138" i="38"/>
  <c r="BG138" i="38"/>
  <c r="BE138" i="38"/>
  <c r="T138" i="38"/>
  <c r="R138" i="38"/>
  <c r="P138" i="38"/>
  <c r="BK138" i="38"/>
  <c r="J138" i="38"/>
  <c r="BF138" i="38" s="1"/>
  <c r="BI137" i="38"/>
  <c r="BH137" i="38"/>
  <c r="BG137" i="38"/>
  <c r="BE137" i="38"/>
  <c r="T137" i="38"/>
  <c r="R137" i="38"/>
  <c r="P137" i="38"/>
  <c r="BK137" i="38"/>
  <c r="J137" i="38"/>
  <c r="BF137" i="38" s="1"/>
  <c r="BI136" i="38"/>
  <c r="BH136" i="38"/>
  <c r="BG136" i="38"/>
  <c r="BE136" i="38"/>
  <c r="T136" i="38"/>
  <c r="R136" i="38"/>
  <c r="P136" i="38"/>
  <c r="BK136" i="38"/>
  <c r="J136" i="38"/>
  <c r="BF136" i="38" s="1"/>
  <c r="BI135" i="38"/>
  <c r="BH135" i="38"/>
  <c r="BG135" i="38"/>
  <c r="BE135" i="38"/>
  <c r="T135" i="38"/>
  <c r="R135" i="38"/>
  <c r="P135" i="38"/>
  <c r="BK135" i="38"/>
  <c r="J135" i="38"/>
  <c r="BF135" i="38" s="1"/>
  <c r="BI134" i="38"/>
  <c r="BH134" i="38"/>
  <c r="BG134" i="38"/>
  <c r="BE134" i="38"/>
  <c r="T134" i="38"/>
  <c r="R134" i="38"/>
  <c r="P134" i="38"/>
  <c r="BK134" i="38"/>
  <c r="J134" i="38"/>
  <c r="BF134" i="38" s="1"/>
  <c r="BI133" i="38"/>
  <c r="BH133" i="38"/>
  <c r="BG133" i="38"/>
  <c r="BE133" i="38"/>
  <c r="T133" i="38"/>
  <c r="R133" i="38"/>
  <c r="P133" i="38"/>
  <c r="BK133" i="38"/>
  <c r="J133" i="38"/>
  <c r="BF133" i="38" s="1"/>
  <c r="BI132" i="38"/>
  <c r="BH132" i="38"/>
  <c r="BG132" i="38"/>
  <c r="BE132" i="38"/>
  <c r="T132" i="38"/>
  <c r="R132" i="38"/>
  <c r="P132" i="38"/>
  <c r="BK132" i="38"/>
  <c r="J132" i="38"/>
  <c r="BF132" i="38" s="1"/>
  <c r="BI131" i="38"/>
  <c r="BH131" i="38"/>
  <c r="BG131" i="38"/>
  <c r="BE131" i="38"/>
  <c r="T131" i="38"/>
  <c r="R131" i="38"/>
  <c r="P131" i="38"/>
  <c r="BK131" i="38"/>
  <c r="J131" i="38"/>
  <c r="BF131" i="38" s="1"/>
  <c r="BI130" i="38"/>
  <c r="BH130" i="38"/>
  <c r="BG130" i="38"/>
  <c r="BE130" i="38"/>
  <c r="T130" i="38"/>
  <c r="R130" i="38"/>
  <c r="P130" i="38"/>
  <c r="BK130" i="38"/>
  <c r="J130" i="38"/>
  <c r="BF130" i="38" s="1"/>
  <c r="BI129" i="38"/>
  <c r="BH129" i="38"/>
  <c r="BG129" i="38"/>
  <c r="BE129" i="38"/>
  <c r="T129" i="38"/>
  <c r="R129" i="38"/>
  <c r="P129" i="38"/>
  <c r="BK129" i="38"/>
  <c r="J129" i="38"/>
  <c r="BF129" i="38" s="1"/>
  <c r="BI128" i="38"/>
  <c r="BH128" i="38"/>
  <c r="BG128" i="38"/>
  <c r="BE128" i="38"/>
  <c r="T128" i="38"/>
  <c r="R128" i="38"/>
  <c r="P128" i="38"/>
  <c r="BK128" i="38"/>
  <c r="J128" i="38"/>
  <c r="BF128" i="38" s="1"/>
  <c r="BI127" i="38"/>
  <c r="BH127" i="38"/>
  <c r="BG127" i="38"/>
  <c r="BE127" i="38"/>
  <c r="T127" i="38"/>
  <c r="R127" i="38"/>
  <c r="P127" i="38"/>
  <c r="BK127" i="38"/>
  <c r="J127" i="38"/>
  <c r="BF127" i="38" s="1"/>
  <c r="BI126" i="38"/>
  <c r="BH126" i="38"/>
  <c r="BG126" i="38"/>
  <c r="BE126" i="38"/>
  <c r="T126" i="38"/>
  <c r="R126" i="38"/>
  <c r="P126" i="38"/>
  <c r="BK126" i="38"/>
  <c r="J126" i="38"/>
  <c r="BF126" i="38" s="1"/>
  <c r="BI125" i="38"/>
  <c r="BH125" i="38"/>
  <c r="BG125" i="38"/>
  <c r="BE125" i="38"/>
  <c r="T125" i="38"/>
  <c r="R125" i="38"/>
  <c r="P125" i="38"/>
  <c r="BK125" i="38"/>
  <c r="J125" i="38"/>
  <c r="BF125" i="38" s="1"/>
  <c r="BI124" i="38"/>
  <c r="BH124" i="38"/>
  <c r="BG124" i="38"/>
  <c r="BE124" i="38"/>
  <c r="T124" i="38"/>
  <c r="R124" i="38"/>
  <c r="P124" i="38"/>
  <c r="BK124" i="38"/>
  <c r="J124" i="38"/>
  <c r="BF124" i="38" s="1"/>
  <c r="BI123" i="38"/>
  <c r="BH123" i="38"/>
  <c r="BG123" i="38"/>
  <c r="BE123" i="38"/>
  <c r="T123" i="38"/>
  <c r="R123" i="38"/>
  <c r="P123" i="38"/>
  <c r="BK123" i="38"/>
  <c r="J123" i="38"/>
  <c r="BF123" i="38" s="1"/>
  <c r="F115" i="38"/>
  <c r="F89" i="38"/>
  <c r="J24" i="38"/>
  <c r="E24" i="38"/>
  <c r="J23" i="38"/>
  <c r="J21" i="38"/>
  <c r="E21" i="38"/>
  <c r="J117" i="38" s="1"/>
  <c r="J20" i="38"/>
  <c r="J18" i="38"/>
  <c r="J15" i="38"/>
  <c r="E15" i="38"/>
  <c r="J14" i="38"/>
  <c r="J89" i="38"/>
  <c r="J37" i="37"/>
  <c r="J36" i="37"/>
  <c r="AY130" i="1" s="1"/>
  <c r="J35" i="37"/>
  <c r="AX130" i="1" s="1"/>
  <c r="BI123" i="37"/>
  <c r="BH123" i="37"/>
  <c r="BG123" i="37"/>
  <c r="BE123" i="37"/>
  <c r="T123" i="37"/>
  <c r="R123" i="37"/>
  <c r="P123" i="37"/>
  <c r="BK123" i="37"/>
  <c r="J123" i="37"/>
  <c r="BF123" i="37" s="1"/>
  <c r="BI122" i="37"/>
  <c r="BH122" i="37"/>
  <c r="BG122" i="37"/>
  <c r="BE122" i="37"/>
  <c r="T122" i="37"/>
  <c r="R122" i="37"/>
  <c r="P122" i="37"/>
  <c r="BK122" i="37"/>
  <c r="J122" i="37"/>
  <c r="BF122" i="37" s="1"/>
  <c r="BI121" i="37"/>
  <c r="BH121" i="37"/>
  <c r="BG121" i="37"/>
  <c r="BE121" i="37"/>
  <c r="T121" i="37"/>
  <c r="R121" i="37"/>
  <c r="P121" i="37"/>
  <c r="BK121" i="37"/>
  <c r="J121" i="37"/>
  <c r="BF121" i="37" s="1"/>
  <c r="BI120" i="37"/>
  <c r="BH120" i="37"/>
  <c r="BG120" i="37"/>
  <c r="BE120" i="37"/>
  <c r="T120" i="37"/>
  <c r="R120" i="37"/>
  <c r="P120" i="37"/>
  <c r="BK120" i="37"/>
  <c r="J120" i="37"/>
  <c r="BF120" i="37" s="1"/>
  <c r="BI119" i="37"/>
  <c r="BH119" i="37"/>
  <c r="F36" i="37"/>
  <c r="BC130" i="1" s="1"/>
  <c r="BG119" i="37"/>
  <c r="BE119" i="37"/>
  <c r="J33" i="37" s="1"/>
  <c r="AV130" i="1" s="1"/>
  <c r="F33" i="37"/>
  <c r="AZ130" i="1" s="1"/>
  <c r="T119" i="37"/>
  <c r="R119" i="37"/>
  <c r="R118" i="37" s="1"/>
  <c r="R117" i="37" s="1"/>
  <c r="P119" i="37"/>
  <c r="P118" i="37" s="1"/>
  <c r="P117" i="37" s="1"/>
  <c r="AU130" i="1" s="1"/>
  <c r="BK119" i="37"/>
  <c r="J119" i="37"/>
  <c r="BF119" i="37" s="1"/>
  <c r="J34" i="37" s="1"/>
  <c r="AW130" i="1" s="1"/>
  <c r="F111" i="37"/>
  <c r="F89" i="37"/>
  <c r="J24" i="37"/>
  <c r="E24" i="37"/>
  <c r="J92" i="37" s="1"/>
  <c r="J114" i="37"/>
  <c r="J23" i="37"/>
  <c r="J21" i="37"/>
  <c r="E21" i="37"/>
  <c r="J20" i="37"/>
  <c r="J18" i="37"/>
  <c r="J15" i="37"/>
  <c r="E15" i="37"/>
  <c r="J14" i="37"/>
  <c r="J111" i="37"/>
  <c r="J89" i="37"/>
  <c r="J37" i="36"/>
  <c r="J36" i="36"/>
  <c r="AY129" i="1" s="1"/>
  <c r="J35" i="36"/>
  <c r="AX129" i="1" s="1"/>
  <c r="BI152" i="36"/>
  <c r="BH152" i="36"/>
  <c r="BG152" i="36"/>
  <c r="BE152" i="36"/>
  <c r="BK152" i="36"/>
  <c r="J152" i="36"/>
  <c r="BF152" i="36"/>
  <c r="BI151" i="36"/>
  <c r="BH151" i="36"/>
  <c r="BG151" i="36"/>
  <c r="BE151" i="36"/>
  <c r="BK151" i="36"/>
  <c r="J151" i="36"/>
  <c r="BF151" i="36"/>
  <c r="BI149" i="36"/>
  <c r="BH149" i="36"/>
  <c r="BG149" i="36"/>
  <c r="BE149" i="36"/>
  <c r="BK149" i="36"/>
  <c r="J149" i="36"/>
  <c r="BF149" i="36"/>
  <c r="BI148" i="36"/>
  <c r="BH148" i="36"/>
  <c r="BG148" i="36"/>
  <c r="BE148" i="36"/>
  <c r="BK148" i="36"/>
  <c r="J148" i="36"/>
  <c r="BF148" i="36" s="1"/>
  <c r="BI147" i="36"/>
  <c r="BH147" i="36"/>
  <c r="BG147" i="36"/>
  <c r="BE147" i="36"/>
  <c r="BK147" i="36"/>
  <c r="J147" i="36"/>
  <c r="BF147" i="36" s="1"/>
  <c r="BI144" i="36"/>
  <c r="BH144" i="36"/>
  <c r="BG144" i="36"/>
  <c r="BE144" i="36"/>
  <c r="BK144" i="36"/>
  <c r="J144" i="36"/>
  <c r="BF144" i="36" s="1"/>
  <c r="BI142" i="36"/>
  <c r="BH142" i="36"/>
  <c r="BG142" i="36"/>
  <c r="BE142" i="36"/>
  <c r="BK142" i="36"/>
  <c r="J142" i="36"/>
  <c r="BF142" i="36" s="1"/>
  <c r="BI141" i="36"/>
  <c r="BH141" i="36"/>
  <c r="BG141" i="36"/>
  <c r="BE141" i="36"/>
  <c r="BK141" i="36"/>
  <c r="J141" i="36"/>
  <c r="BF141" i="36" s="1"/>
  <c r="BI138" i="36"/>
  <c r="BH138" i="36"/>
  <c r="BG138" i="36"/>
  <c r="BE138" i="36"/>
  <c r="BK138" i="36"/>
  <c r="J138" i="36"/>
  <c r="BF138" i="36" s="1"/>
  <c r="BI136" i="36"/>
  <c r="BH136" i="36"/>
  <c r="BG136" i="36"/>
  <c r="BE136" i="36"/>
  <c r="BK136" i="36"/>
  <c r="J136" i="36"/>
  <c r="BF136" i="36" s="1"/>
  <c r="BI135" i="36"/>
  <c r="BH135" i="36"/>
  <c r="BG135" i="36"/>
  <c r="BE135" i="36"/>
  <c r="BK135" i="36"/>
  <c r="J135" i="36"/>
  <c r="BF135" i="36" s="1"/>
  <c r="BI134" i="36"/>
  <c r="BH134" i="36"/>
  <c r="BG134" i="36"/>
  <c r="BE134" i="36"/>
  <c r="BK134" i="36"/>
  <c r="J134" i="36"/>
  <c r="BF134" i="36" s="1"/>
  <c r="BI131" i="36"/>
  <c r="BH131" i="36"/>
  <c r="BG131" i="36"/>
  <c r="BE131" i="36"/>
  <c r="BK131" i="36"/>
  <c r="J131" i="36"/>
  <c r="BF131" i="36" s="1"/>
  <c r="BI128" i="36"/>
  <c r="BH128" i="36"/>
  <c r="BG128" i="36"/>
  <c r="BE128" i="36"/>
  <c r="BK128" i="36"/>
  <c r="J128" i="36"/>
  <c r="BF128" i="36"/>
  <c r="BI126" i="36"/>
  <c r="BH126" i="36"/>
  <c r="BG126" i="36"/>
  <c r="BE126" i="36"/>
  <c r="BK126" i="36"/>
  <c r="J126" i="36"/>
  <c r="BF126" i="36"/>
  <c r="F118" i="36"/>
  <c r="F89" i="36"/>
  <c r="J24" i="36"/>
  <c r="E24" i="36"/>
  <c r="J121" i="36" s="1"/>
  <c r="J23" i="36"/>
  <c r="J21" i="36"/>
  <c r="E21" i="36"/>
  <c r="J91" i="36" s="1"/>
  <c r="J20" i="36"/>
  <c r="J18" i="36"/>
  <c r="J15" i="36"/>
  <c r="E15" i="36"/>
  <c r="J14" i="36"/>
  <c r="J89" i="36"/>
  <c r="J118" i="36"/>
  <c r="J37" i="35"/>
  <c r="J36" i="35"/>
  <c r="AY128" i="1" s="1"/>
  <c r="J35" i="35"/>
  <c r="AX128" i="1" s="1"/>
  <c r="BI324" i="35"/>
  <c r="BH324" i="35"/>
  <c r="BG324" i="35"/>
  <c r="BE324" i="35"/>
  <c r="T324" i="35"/>
  <c r="R324" i="35"/>
  <c r="P324" i="35"/>
  <c r="BK324" i="35"/>
  <c r="J324" i="35"/>
  <c r="BF324" i="35" s="1"/>
  <c r="BI323" i="35"/>
  <c r="BH323" i="35"/>
  <c r="BG323" i="35"/>
  <c r="BE323" i="35"/>
  <c r="T323" i="35"/>
  <c r="R323" i="35"/>
  <c r="P323" i="35"/>
  <c r="BK323" i="35"/>
  <c r="J323" i="35"/>
  <c r="BF323" i="35" s="1"/>
  <c r="BI322" i="35"/>
  <c r="BH322" i="35"/>
  <c r="BG322" i="35"/>
  <c r="BE322" i="35"/>
  <c r="T322" i="35"/>
  <c r="R322" i="35"/>
  <c r="P322" i="35"/>
  <c r="BK322" i="35"/>
  <c r="J322" i="35"/>
  <c r="BF322" i="35" s="1"/>
  <c r="BI321" i="35"/>
  <c r="BH321" i="35"/>
  <c r="BG321" i="35"/>
  <c r="BE321" i="35"/>
  <c r="T321" i="35"/>
  <c r="R321" i="35"/>
  <c r="P321" i="35"/>
  <c r="BK321" i="35"/>
  <c r="J321" i="35"/>
  <c r="BF321" i="35" s="1"/>
  <c r="BI320" i="35"/>
  <c r="BH320" i="35"/>
  <c r="BG320" i="35"/>
  <c r="BE320" i="35"/>
  <c r="T320" i="35"/>
  <c r="R320" i="35"/>
  <c r="P320" i="35"/>
  <c r="BK320" i="35"/>
  <c r="J320" i="35"/>
  <c r="BF320" i="35" s="1"/>
  <c r="BI319" i="35"/>
  <c r="BH319" i="35"/>
  <c r="BG319" i="35"/>
  <c r="BE319" i="35"/>
  <c r="T319" i="35"/>
  <c r="R319" i="35"/>
  <c r="P319" i="35"/>
  <c r="BK319" i="35"/>
  <c r="J319" i="35"/>
  <c r="BF319" i="35" s="1"/>
  <c r="BI318" i="35"/>
  <c r="BH318" i="35"/>
  <c r="BG318" i="35"/>
  <c r="BE318" i="35"/>
  <c r="T318" i="35"/>
  <c r="R318" i="35"/>
  <c r="P318" i="35"/>
  <c r="BK318" i="35"/>
  <c r="J318" i="35"/>
  <c r="BF318" i="35" s="1"/>
  <c r="BI317" i="35"/>
  <c r="BH317" i="35"/>
  <c r="BG317" i="35"/>
  <c r="BE317" i="35"/>
  <c r="T317" i="35"/>
  <c r="R317" i="35"/>
  <c r="P317" i="35"/>
  <c r="BK317" i="35"/>
  <c r="J317" i="35"/>
  <c r="BF317" i="35" s="1"/>
  <c r="BI315" i="35"/>
  <c r="BH315" i="35"/>
  <c r="BG315" i="35"/>
  <c r="BE315" i="35"/>
  <c r="T315" i="35"/>
  <c r="R315" i="35"/>
  <c r="P315" i="35"/>
  <c r="BK315" i="35"/>
  <c r="J315" i="35"/>
  <c r="BF315" i="35" s="1"/>
  <c r="BI314" i="35"/>
  <c r="BH314" i="35"/>
  <c r="BG314" i="35"/>
  <c r="BE314" i="35"/>
  <c r="T314" i="35"/>
  <c r="R314" i="35"/>
  <c r="P314" i="35"/>
  <c r="BK314" i="35"/>
  <c r="J314" i="35"/>
  <c r="BF314" i="35" s="1"/>
  <c r="BI313" i="35"/>
  <c r="BH313" i="35"/>
  <c r="BG313" i="35"/>
  <c r="BE313" i="35"/>
  <c r="T313" i="35"/>
  <c r="R313" i="35"/>
  <c r="P313" i="35"/>
  <c r="BK313" i="35"/>
  <c r="J313" i="35"/>
  <c r="BF313" i="35" s="1"/>
  <c r="BI312" i="35"/>
  <c r="BH312" i="35"/>
  <c r="BG312" i="35"/>
  <c r="BE312" i="35"/>
  <c r="T312" i="35"/>
  <c r="R312" i="35"/>
  <c r="P312" i="35"/>
  <c r="BK312" i="35"/>
  <c r="J312" i="35"/>
  <c r="BF312" i="35" s="1"/>
  <c r="BI311" i="35"/>
  <c r="BH311" i="35"/>
  <c r="BG311" i="35"/>
  <c r="BE311" i="35"/>
  <c r="T311" i="35"/>
  <c r="R311" i="35"/>
  <c r="P311" i="35"/>
  <c r="BK311" i="35"/>
  <c r="J311" i="35"/>
  <c r="BF311" i="35" s="1"/>
  <c r="BI310" i="35"/>
  <c r="BH310" i="35"/>
  <c r="BG310" i="35"/>
  <c r="BE310" i="35"/>
  <c r="T310" i="35"/>
  <c r="R310" i="35"/>
  <c r="P310" i="35"/>
  <c r="BK310" i="35"/>
  <c r="J310" i="35"/>
  <c r="BF310" i="35" s="1"/>
  <c r="BI309" i="35"/>
  <c r="BH309" i="35"/>
  <c r="BG309" i="35"/>
  <c r="BE309" i="35"/>
  <c r="T309" i="35"/>
  <c r="R309" i="35"/>
  <c r="P309" i="35"/>
  <c r="BK309" i="35"/>
  <c r="J309" i="35"/>
  <c r="BF309" i="35" s="1"/>
  <c r="BI308" i="35"/>
  <c r="BH308" i="35"/>
  <c r="BG308" i="35"/>
  <c r="BE308" i="35"/>
  <c r="T308" i="35"/>
  <c r="R308" i="35"/>
  <c r="P308" i="35"/>
  <c r="BK308" i="35"/>
  <c r="J308" i="35"/>
  <c r="BF308" i="35" s="1"/>
  <c r="BI307" i="35"/>
  <c r="BH307" i="35"/>
  <c r="BG307" i="35"/>
  <c r="BE307" i="35"/>
  <c r="T307" i="35"/>
  <c r="R307" i="35"/>
  <c r="P307" i="35"/>
  <c r="BK307" i="35"/>
  <c r="J307" i="35"/>
  <c r="BF307" i="35" s="1"/>
  <c r="BI306" i="35"/>
  <c r="BH306" i="35"/>
  <c r="BG306" i="35"/>
  <c r="BE306" i="35"/>
  <c r="T306" i="35"/>
  <c r="R306" i="35"/>
  <c r="P306" i="35"/>
  <c r="BK306" i="35"/>
  <c r="J306" i="35"/>
  <c r="BF306" i="35" s="1"/>
  <c r="BI303" i="35"/>
  <c r="BH303" i="35"/>
  <c r="BG303" i="35"/>
  <c r="BE303" i="35"/>
  <c r="T303" i="35"/>
  <c r="R303" i="35"/>
  <c r="P303" i="35"/>
  <c r="BK303" i="35"/>
  <c r="J303" i="35"/>
  <c r="BF303" i="35" s="1"/>
  <c r="BI302" i="35"/>
  <c r="BH302" i="35"/>
  <c r="BG302" i="35"/>
  <c r="BE302" i="35"/>
  <c r="T302" i="35"/>
  <c r="R302" i="35"/>
  <c r="P302" i="35"/>
  <c r="BK302" i="35"/>
  <c r="J302" i="35"/>
  <c r="BF302" i="35" s="1"/>
  <c r="BI299" i="35"/>
  <c r="BH299" i="35"/>
  <c r="BG299" i="35"/>
  <c r="BE299" i="35"/>
  <c r="T299" i="35"/>
  <c r="R299" i="35"/>
  <c r="P299" i="35"/>
  <c r="BK299" i="35"/>
  <c r="J299" i="35"/>
  <c r="BF299" i="35" s="1"/>
  <c r="BI298" i="35"/>
  <c r="BH298" i="35"/>
  <c r="BG298" i="35"/>
  <c r="BE298" i="35"/>
  <c r="T298" i="35"/>
  <c r="R298" i="35"/>
  <c r="P298" i="35"/>
  <c r="BK298" i="35"/>
  <c r="J298" i="35"/>
  <c r="BF298" i="35" s="1"/>
  <c r="BI297" i="35"/>
  <c r="BH297" i="35"/>
  <c r="BG297" i="35"/>
  <c r="BE297" i="35"/>
  <c r="T297" i="35"/>
  <c r="R297" i="35"/>
  <c r="P297" i="35"/>
  <c r="BK297" i="35"/>
  <c r="J297" i="35"/>
  <c r="BF297" i="35" s="1"/>
  <c r="BI296" i="35"/>
  <c r="BH296" i="35"/>
  <c r="BG296" i="35"/>
  <c r="BE296" i="35"/>
  <c r="T296" i="35"/>
  <c r="R296" i="35"/>
  <c r="P296" i="35"/>
  <c r="BK296" i="35"/>
  <c r="J296" i="35"/>
  <c r="BF296" i="35" s="1"/>
  <c r="BI289" i="35"/>
  <c r="BH289" i="35"/>
  <c r="BG289" i="35"/>
  <c r="BE289" i="35"/>
  <c r="T289" i="35"/>
  <c r="R289" i="35"/>
  <c r="P289" i="35"/>
  <c r="BK289" i="35"/>
  <c r="J289" i="35"/>
  <c r="BF289" i="35" s="1"/>
  <c r="BI288" i="35"/>
  <c r="BH288" i="35"/>
  <c r="BG288" i="35"/>
  <c r="BE288" i="35"/>
  <c r="T288" i="35"/>
  <c r="R288" i="35"/>
  <c r="P288" i="35"/>
  <c r="BK288" i="35"/>
  <c r="J288" i="35"/>
  <c r="BF288" i="35" s="1"/>
  <c r="BI287" i="35"/>
  <c r="BH287" i="35"/>
  <c r="BG287" i="35"/>
  <c r="BE287" i="35"/>
  <c r="T287" i="35"/>
  <c r="R287" i="35"/>
  <c r="P287" i="35"/>
  <c r="BK287" i="35"/>
  <c r="J287" i="35"/>
  <c r="BF287" i="35" s="1"/>
  <c r="BI286" i="35"/>
  <c r="BH286" i="35"/>
  <c r="BG286" i="35"/>
  <c r="BE286" i="35"/>
  <c r="T286" i="35"/>
  <c r="R286" i="35"/>
  <c r="P286" i="35"/>
  <c r="BK286" i="35"/>
  <c r="J286" i="35"/>
  <c r="BF286" i="35" s="1"/>
  <c r="BI285" i="35"/>
  <c r="BH285" i="35"/>
  <c r="BG285" i="35"/>
  <c r="BE285" i="35"/>
  <c r="T285" i="35"/>
  <c r="R285" i="35"/>
  <c r="P285" i="35"/>
  <c r="BK285" i="35"/>
  <c r="J285" i="35"/>
  <c r="BF285" i="35" s="1"/>
  <c r="BI284" i="35"/>
  <c r="BH284" i="35"/>
  <c r="BG284" i="35"/>
  <c r="BE284" i="35"/>
  <c r="T284" i="35"/>
  <c r="R284" i="35"/>
  <c r="P284" i="35"/>
  <c r="BK284" i="35"/>
  <c r="J284" i="35"/>
  <c r="BF284" i="35" s="1"/>
  <c r="BI283" i="35"/>
  <c r="BH283" i="35"/>
  <c r="BG283" i="35"/>
  <c r="BE283" i="35"/>
  <c r="T283" i="35"/>
  <c r="R283" i="35"/>
  <c r="P283" i="35"/>
  <c r="BK283" i="35"/>
  <c r="J283" i="35"/>
  <c r="BF283" i="35" s="1"/>
  <c r="BI282" i="35"/>
  <c r="BH282" i="35"/>
  <c r="BG282" i="35"/>
  <c r="BE282" i="35"/>
  <c r="T282" i="35"/>
  <c r="R282" i="35"/>
  <c r="P282" i="35"/>
  <c r="BK282" i="35"/>
  <c r="J282" i="35"/>
  <c r="BF282" i="35" s="1"/>
  <c r="BI281" i="35"/>
  <c r="BH281" i="35"/>
  <c r="BG281" i="35"/>
  <c r="BE281" i="35"/>
  <c r="T281" i="35"/>
  <c r="R281" i="35"/>
  <c r="P281" i="35"/>
  <c r="BK281" i="35"/>
  <c r="J281" i="35"/>
  <c r="BF281" i="35" s="1"/>
  <c r="BI280" i="35"/>
  <c r="BH280" i="35"/>
  <c r="BG280" i="35"/>
  <c r="BE280" i="35"/>
  <c r="T280" i="35"/>
  <c r="R280" i="35"/>
  <c r="P280" i="35"/>
  <c r="BK280" i="35"/>
  <c r="J280" i="35"/>
  <c r="BF280" i="35" s="1"/>
  <c r="BI279" i="35"/>
  <c r="BH279" i="35"/>
  <c r="BG279" i="35"/>
  <c r="BE279" i="35"/>
  <c r="T279" i="35"/>
  <c r="R279" i="35"/>
  <c r="P279" i="35"/>
  <c r="BK279" i="35"/>
  <c r="J279" i="35"/>
  <c r="BF279" i="35" s="1"/>
  <c r="BI278" i="35"/>
  <c r="BH278" i="35"/>
  <c r="BG278" i="35"/>
  <c r="BE278" i="35"/>
  <c r="T278" i="35"/>
  <c r="R278" i="35"/>
  <c r="P278" i="35"/>
  <c r="BK278" i="35"/>
  <c r="J278" i="35"/>
  <c r="BF278" i="35" s="1"/>
  <c r="BI277" i="35"/>
  <c r="BH277" i="35"/>
  <c r="BG277" i="35"/>
  <c r="BE277" i="35"/>
  <c r="T277" i="35"/>
  <c r="R277" i="35"/>
  <c r="P277" i="35"/>
  <c r="BK277" i="35"/>
  <c r="J277" i="35"/>
  <c r="BF277" i="35" s="1"/>
  <c r="BI276" i="35"/>
  <c r="BH276" i="35"/>
  <c r="BG276" i="35"/>
  <c r="BE276" i="35"/>
  <c r="T276" i="35"/>
  <c r="R276" i="35"/>
  <c r="P276" i="35"/>
  <c r="BK276" i="35"/>
  <c r="J276" i="35"/>
  <c r="BF276" i="35" s="1"/>
  <c r="BI275" i="35"/>
  <c r="BH275" i="35"/>
  <c r="BG275" i="35"/>
  <c r="BE275" i="35"/>
  <c r="T275" i="35"/>
  <c r="R275" i="35"/>
  <c r="P275" i="35"/>
  <c r="BK275" i="35"/>
  <c r="J275" i="35"/>
  <c r="BF275" i="35" s="1"/>
  <c r="BI274" i="35"/>
  <c r="BH274" i="35"/>
  <c r="BG274" i="35"/>
  <c r="BE274" i="35"/>
  <c r="T274" i="35"/>
  <c r="R274" i="35"/>
  <c r="P274" i="35"/>
  <c r="BK274" i="35"/>
  <c r="J274" i="35"/>
  <c r="BF274" i="35" s="1"/>
  <c r="BI273" i="35"/>
  <c r="BH273" i="35"/>
  <c r="BG273" i="35"/>
  <c r="BE273" i="35"/>
  <c r="T273" i="35"/>
  <c r="R273" i="35"/>
  <c r="P273" i="35"/>
  <c r="BK273" i="35"/>
  <c r="J273" i="35"/>
  <c r="BF273" i="35" s="1"/>
  <c r="BI272" i="35"/>
  <c r="BH272" i="35"/>
  <c r="BG272" i="35"/>
  <c r="BE272" i="35"/>
  <c r="T272" i="35"/>
  <c r="R272" i="35"/>
  <c r="P272" i="35"/>
  <c r="BK272" i="35"/>
  <c r="J272" i="35"/>
  <c r="BF272" i="35" s="1"/>
  <c r="BI271" i="35"/>
  <c r="BH271" i="35"/>
  <c r="BG271" i="35"/>
  <c r="BE271" i="35"/>
  <c r="T271" i="35"/>
  <c r="R271" i="35"/>
  <c r="P271" i="35"/>
  <c r="BK271" i="35"/>
  <c r="J271" i="35"/>
  <c r="BF271" i="35" s="1"/>
  <c r="BI270" i="35"/>
  <c r="BH270" i="35"/>
  <c r="BG270" i="35"/>
  <c r="BE270" i="35"/>
  <c r="T270" i="35"/>
  <c r="R270" i="35"/>
  <c r="P270" i="35"/>
  <c r="BK270" i="35"/>
  <c r="J270" i="35"/>
  <c r="BF270" i="35" s="1"/>
  <c r="BI269" i="35"/>
  <c r="BH269" i="35"/>
  <c r="BG269" i="35"/>
  <c r="BE269" i="35"/>
  <c r="T269" i="35"/>
  <c r="R269" i="35"/>
  <c r="P269" i="35"/>
  <c r="BK269" i="35"/>
  <c r="J269" i="35"/>
  <c r="BF269" i="35" s="1"/>
  <c r="BI268" i="35"/>
  <c r="BH268" i="35"/>
  <c r="BG268" i="35"/>
  <c r="BE268" i="35"/>
  <c r="T268" i="35"/>
  <c r="R268" i="35"/>
  <c r="P268" i="35"/>
  <c r="BK268" i="35"/>
  <c r="J268" i="35"/>
  <c r="BF268" i="35" s="1"/>
  <c r="BI265" i="35"/>
  <c r="BH265" i="35"/>
  <c r="BG265" i="35"/>
  <c r="BE265" i="35"/>
  <c r="T265" i="35"/>
  <c r="R265" i="35"/>
  <c r="P265" i="35"/>
  <c r="BK265" i="35"/>
  <c r="J265" i="35"/>
  <c r="BF265" i="35" s="1"/>
  <c r="BI264" i="35"/>
  <c r="BH264" i="35"/>
  <c r="BG264" i="35"/>
  <c r="BE264" i="35"/>
  <c r="T264" i="35"/>
  <c r="R264" i="35"/>
  <c r="P264" i="35"/>
  <c r="BK264" i="35"/>
  <c r="J264" i="35"/>
  <c r="BF264" i="35" s="1"/>
  <c r="BI262" i="35"/>
  <c r="BH262" i="35"/>
  <c r="BG262" i="35"/>
  <c r="BE262" i="35"/>
  <c r="T262" i="35"/>
  <c r="R262" i="35"/>
  <c r="P262" i="35"/>
  <c r="BK262" i="35"/>
  <c r="J262" i="35"/>
  <c r="BF262" i="35" s="1"/>
  <c r="BI261" i="35"/>
  <c r="BH261" i="35"/>
  <c r="BG261" i="35"/>
  <c r="BE261" i="35"/>
  <c r="T261" i="35"/>
  <c r="R261" i="35"/>
  <c r="P261" i="35"/>
  <c r="BK261" i="35"/>
  <c r="J261" i="35"/>
  <c r="BF261" i="35" s="1"/>
  <c r="BI260" i="35"/>
  <c r="BH260" i="35"/>
  <c r="BG260" i="35"/>
  <c r="BE260" i="35"/>
  <c r="T260" i="35"/>
  <c r="R260" i="35"/>
  <c r="P260" i="35"/>
  <c r="BK260" i="35"/>
  <c r="J260" i="35"/>
  <c r="BF260" i="35" s="1"/>
  <c r="BI258" i="35"/>
  <c r="BH258" i="35"/>
  <c r="BG258" i="35"/>
  <c r="BE258" i="35"/>
  <c r="T258" i="35"/>
  <c r="R258" i="35"/>
  <c r="P258" i="35"/>
  <c r="BK258" i="35"/>
  <c r="J258" i="35"/>
  <c r="BF258" i="35" s="1"/>
  <c r="BI257" i="35"/>
  <c r="BH257" i="35"/>
  <c r="BG257" i="35"/>
  <c r="BE257" i="35"/>
  <c r="T257" i="35"/>
  <c r="R257" i="35"/>
  <c r="P257" i="35"/>
  <c r="BK257" i="35"/>
  <c r="J257" i="35"/>
  <c r="BF257" i="35" s="1"/>
  <c r="BI256" i="35"/>
  <c r="BH256" i="35"/>
  <c r="BG256" i="35"/>
  <c r="BE256" i="35"/>
  <c r="T256" i="35"/>
  <c r="R256" i="35"/>
  <c r="P256" i="35"/>
  <c r="BK256" i="35"/>
  <c r="J256" i="35"/>
  <c r="BF256" i="35" s="1"/>
  <c r="BI254" i="35"/>
  <c r="BH254" i="35"/>
  <c r="BG254" i="35"/>
  <c r="BE254" i="35"/>
  <c r="T254" i="35"/>
  <c r="R254" i="35"/>
  <c r="P254" i="35"/>
  <c r="BK254" i="35"/>
  <c r="J254" i="35"/>
  <c r="BF254" i="35" s="1"/>
  <c r="BI253" i="35"/>
  <c r="BH253" i="35"/>
  <c r="BG253" i="35"/>
  <c r="BE253" i="35"/>
  <c r="T253" i="35"/>
  <c r="R253" i="35"/>
  <c r="P253" i="35"/>
  <c r="BK253" i="35"/>
  <c r="J253" i="35"/>
  <c r="BF253" i="35" s="1"/>
  <c r="BI251" i="35"/>
  <c r="BH251" i="35"/>
  <c r="BG251" i="35"/>
  <c r="BE251" i="35"/>
  <c r="T251" i="35"/>
  <c r="R251" i="35"/>
  <c r="P251" i="35"/>
  <c r="BK251" i="35"/>
  <c r="J251" i="35"/>
  <c r="BF251" i="35" s="1"/>
  <c r="BI250" i="35"/>
  <c r="BH250" i="35"/>
  <c r="BG250" i="35"/>
  <c r="BE250" i="35"/>
  <c r="T250" i="35"/>
  <c r="R250" i="35"/>
  <c r="P250" i="35"/>
  <c r="BK250" i="35"/>
  <c r="J250" i="35"/>
  <c r="BF250" i="35" s="1"/>
  <c r="BI249" i="35"/>
  <c r="BH249" i="35"/>
  <c r="BG249" i="35"/>
  <c r="BE249" i="35"/>
  <c r="T249" i="35"/>
  <c r="R249" i="35"/>
  <c r="P249" i="35"/>
  <c r="BK249" i="35"/>
  <c r="J249" i="35"/>
  <c r="BF249" i="35" s="1"/>
  <c r="BI247" i="35"/>
  <c r="BH247" i="35"/>
  <c r="BG247" i="35"/>
  <c r="BE247" i="35"/>
  <c r="T247" i="35"/>
  <c r="R247" i="35"/>
  <c r="P247" i="35"/>
  <c r="BK247" i="35"/>
  <c r="J247" i="35"/>
  <c r="BF247" i="35" s="1"/>
  <c r="BI246" i="35"/>
  <c r="BH246" i="35"/>
  <c r="BG246" i="35"/>
  <c r="BE246" i="35"/>
  <c r="T246" i="35"/>
  <c r="R246" i="35"/>
  <c r="P246" i="35"/>
  <c r="BK246" i="35"/>
  <c r="J246" i="35"/>
  <c r="BF246" i="35" s="1"/>
  <c r="BI245" i="35"/>
  <c r="BH245" i="35"/>
  <c r="BG245" i="35"/>
  <c r="BE245" i="35"/>
  <c r="T245" i="35"/>
  <c r="R245" i="35"/>
  <c r="P245" i="35"/>
  <c r="BK245" i="35"/>
  <c r="J245" i="35"/>
  <c r="BF245" i="35" s="1"/>
  <c r="BI243" i="35"/>
  <c r="BH243" i="35"/>
  <c r="BG243" i="35"/>
  <c r="BE243" i="35"/>
  <c r="T243" i="35"/>
  <c r="R243" i="35"/>
  <c r="P243" i="35"/>
  <c r="BK243" i="35"/>
  <c r="J243" i="35"/>
  <c r="BF243" i="35" s="1"/>
  <c r="BI242" i="35"/>
  <c r="BH242" i="35"/>
  <c r="BG242" i="35"/>
  <c r="BE242" i="35"/>
  <c r="T242" i="35"/>
  <c r="R242" i="35"/>
  <c r="P242" i="35"/>
  <c r="BK242" i="35"/>
  <c r="J242" i="35"/>
  <c r="BF242" i="35" s="1"/>
  <c r="BI241" i="35"/>
  <c r="BH241" i="35"/>
  <c r="BG241" i="35"/>
  <c r="BE241" i="35"/>
  <c r="T241" i="35"/>
  <c r="R241" i="35"/>
  <c r="P241" i="35"/>
  <c r="BK241" i="35"/>
  <c r="J241" i="35"/>
  <c r="BF241" i="35" s="1"/>
  <c r="BI240" i="35"/>
  <c r="BH240" i="35"/>
  <c r="BG240" i="35"/>
  <c r="BE240" i="35"/>
  <c r="T240" i="35"/>
  <c r="R240" i="35"/>
  <c r="P240" i="35"/>
  <c r="BK240" i="35"/>
  <c r="J240" i="35"/>
  <c r="BF240" i="35" s="1"/>
  <c r="BI239" i="35"/>
  <c r="BH239" i="35"/>
  <c r="BG239" i="35"/>
  <c r="BE239" i="35"/>
  <c r="T239" i="35"/>
  <c r="R239" i="35"/>
  <c r="P239" i="35"/>
  <c r="BK239" i="35"/>
  <c r="J239" i="35"/>
  <c r="BF239" i="35" s="1"/>
  <c r="BI238" i="35"/>
  <c r="BH238" i="35"/>
  <c r="BG238" i="35"/>
  <c r="BE238" i="35"/>
  <c r="T238" i="35"/>
  <c r="R238" i="35"/>
  <c r="P238" i="35"/>
  <c r="BK238" i="35"/>
  <c r="J238" i="35"/>
  <c r="BF238" i="35" s="1"/>
  <c r="BI237" i="35"/>
  <c r="BH237" i="35"/>
  <c r="BG237" i="35"/>
  <c r="BE237" i="35"/>
  <c r="T237" i="35"/>
  <c r="R237" i="35"/>
  <c r="P237" i="35"/>
  <c r="BK237" i="35"/>
  <c r="J237" i="35"/>
  <c r="BF237" i="35" s="1"/>
  <c r="BI235" i="35"/>
  <c r="BH235" i="35"/>
  <c r="BG235" i="35"/>
  <c r="BE235" i="35"/>
  <c r="T235" i="35"/>
  <c r="R235" i="35"/>
  <c r="P235" i="35"/>
  <c r="BK235" i="35"/>
  <c r="J235" i="35"/>
  <c r="BF235" i="35" s="1"/>
  <c r="BI234" i="35"/>
  <c r="BH234" i="35"/>
  <c r="BG234" i="35"/>
  <c r="BE234" i="35"/>
  <c r="T234" i="35"/>
  <c r="R234" i="35"/>
  <c r="P234" i="35"/>
  <c r="BK234" i="35"/>
  <c r="J234" i="35"/>
  <c r="BF234" i="35" s="1"/>
  <c r="BI233" i="35"/>
  <c r="BH233" i="35"/>
  <c r="BG233" i="35"/>
  <c r="BE233" i="35"/>
  <c r="T233" i="35"/>
  <c r="R233" i="35"/>
  <c r="P233" i="35"/>
  <c r="BK233" i="35"/>
  <c r="J233" i="35"/>
  <c r="BF233" i="35" s="1"/>
  <c r="BI232" i="35"/>
  <c r="BH232" i="35"/>
  <c r="BG232" i="35"/>
  <c r="BE232" i="35"/>
  <c r="T232" i="35"/>
  <c r="R232" i="35"/>
  <c r="P232" i="35"/>
  <c r="BK232" i="35"/>
  <c r="J232" i="35"/>
  <c r="BF232" i="35" s="1"/>
  <c r="BI231" i="35"/>
  <c r="BH231" i="35"/>
  <c r="BG231" i="35"/>
  <c r="BE231" i="35"/>
  <c r="T231" i="35"/>
  <c r="R231" i="35"/>
  <c r="P231" i="35"/>
  <c r="BK231" i="35"/>
  <c r="J231" i="35"/>
  <c r="BF231" i="35" s="1"/>
  <c r="BI230" i="35"/>
  <c r="BH230" i="35"/>
  <c r="BG230" i="35"/>
  <c r="BE230" i="35"/>
  <c r="T230" i="35"/>
  <c r="R230" i="35"/>
  <c r="P230" i="35"/>
  <c r="BK230" i="35"/>
  <c r="J230" i="35"/>
  <c r="BF230" i="35" s="1"/>
  <c r="BI229" i="35"/>
  <c r="BH229" i="35"/>
  <c r="BG229" i="35"/>
  <c r="BE229" i="35"/>
  <c r="T229" i="35"/>
  <c r="R229" i="35"/>
  <c r="P229" i="35"/>
  <c r="BK229" i="35"/>
  <c r="J229" i="35"/>
  <c r="BF229" i="35" s="1"/>
  <c r="BI228" i="35"/>
  <c r="BH228" i="35"/>
  <c r="BG228" i="35"/>
  <c r="BE228" i="35"/>
  <c r="T228" i="35"/>
  <c r="R228" i="35"/>
  <c r="P228" i="35"/>
  <c r="BK228" i="35"/>
  <c r="J228" i="35"/>
  <c r="BF228" i="35" s="1"/>
  <c r="BI227" i="35"/>
  <c r="BH227" i="35"/>
  <c r="BG227" i="35"/>
  <c r="BE227" i="35"/>
  <c r="T227" i="35"/>
  <c r="R227" i="35"/>
  <c r="P227" i="35"/>
  <c r="BK227" i="35"/>
  <c r="J227" i="35"/>
  <c r="BF227" i="35" s="1"/>
  <c r="BI226" i="35"/>
  <c r="BH226" i="35"/>
  <c r="BG226" i="35"/>
  <c r="BE226" i="35"/>
  <c r="T226" i="35"/>
  <c r="R226" i="35"/>
  <c r="P226" i="35"/>
  <c r="BK226" i="35"/>
  <c r="J226" i="35"/>
  <c r="BF226" i="35" s="1"/>
  <c r="BI225" i="35"/>
  <c r="BH225" i="35"/>
  <c r="BG225" i="35"/>
  <c r="BE225" i="35"/>
  <c r="T225" i="35"/>
  <c r="R225" i="35"/>
  <c r="P225" i="35"/>
  <c r="BK225" i="35"/>
  <c r="J225" i="35"/>
  <c r="BF225" i="35" s="1"/>
  <c r="BI224" i="35"/>
  <c r="BH224" i="35"/>
  <c r="BG224" i="35"/>
  <c r="BE224" i="35"/>
  <c r="T224" i="35"/>
  <c r="R224" i="35"/>
  <c r="P224" i="35"/>
  <c r="BK224" i="35"/>
  <c r="J224" i="35"/>
  <c r="BF224" i="35" s="1"/>
  <c r="BI223" i="35"/>
  <c r="BH223" i="35"/>
  <c r="BG223" i="35"/>
  <c r="BE223" i="35"/>
  <c r="T223" i="35"/>
  <c r="R223" i="35"/>
  <c r="P223" i="35"/>
  <c r="BK223" i="35"/>
  <c r="J223" i="35"/>
  <c r="BF223" i="35" s="1"/>
  <c r="BI222" i="35"/>
  <c r="BH222" i="35"/>
  <c r="BG222" i="35"/>
  <c r="BE222" i="35"/>
  <c r="T222" i="35"/>
  <c r="R222" i="35"/>
  <c r="P222" i="35"/>
  <c r="BK222" i="35"/>
  <c r="J222" i="35"/>
  <c r="BF222" i="35" s="1"/>
  <c r="BI221" i="35"/>
  <c r="BH221" i="35"/>
  <c r="BG221" i="35"/>
  <c r="BE221" i="35"/>
  <c r="T221" i="35"/>
  <c r="R221" i="35"/>
  <c r="P221" i="35"/>
  <c r="BK221" i="35"/>
  <c r="J221" i="35"/>
  <c r="BF221" i="35" s="1"/>
  <c r="BI220" i="35"/>
  <c r="BH220" i="35"/>
  <c r="BG220" i="35"/>
  <c r="BE220" i="35"/>
  <c r="T220" i="35"/>
  <c r="R220" i="35"/>
  <c r="P220" i="35"/>
  <c r="BK220" i="35"/>
  <c r="J220" i="35"/>
  <c r="BF220" i="35" s="1"/>
  <c r="BI219" i="35"/>
  <c r="BH219" i="35"/>
  <c r="BG219" i="35"/>
  <c r="BE219" i="35"/>
  <c r="T219" i="35"/>
  <c r="R219" i="35"/>
  <c r="P219" i="35"/>
  <c r="BK219" i="35"/>
  <c r="J219" i="35"/>
  <c r="BF219" i="35" s="1"/>
  <c r="BI218" i="35"/>
  <c r="BH218" i="35"/>
  <c r="BG218" i="35"/>
  <c r="BE218" i="35"/>
  <c r="T218" i="35"/>
  <c r="R218" i="35"/>
  <c r="P218" i="35"/>
  <c r="BK218" i="35"/>
  <c r="J218" i="35"/>
  <c r="BF218" i="35" s="1"/>
  <c r="BI217" i="35"/>
  <c r="BH217" i="35"/>
  <c r="BG217" i="35"/>
  <c r="BE217" i="35"/>
  <c r="T217" i="35"/>
  <c r="R217" i="35"/>
  <c r="P217" i="35"/>
  <c r="BK217" i="35"/>
  <c r="J217" i="35"/>
  <c r="BF217" i="35" s="1"/>
  <c r="BI216" i="35"/>
  <c r="BH216" i="35"/>
  <c r="BG216" i="35"/>
  <c r="BE216" i="35"/>
  <c r="T216" i="35"/>
  <c r="R216" i="35"/>
  <c r="P216" i="35"/>
  <c r="BK216" i="35"/>
  <c r="J216" i="35"/>
  <c r="BF216" i="35" s="1"/>
  <c r="BI215" i="35"/>
  <c r="BH215" i="35"/>
  <c r="BG215" i="35"/>
  <c r="BE215" i="35"/>
  <c r="T215" i="35"/>
  <c r="R215" i="35"/>
  <c r="P215" i="35"/>
  <c r="BK215" i="35"/>
  <c r="J215" i="35"/>
  <c r="BF215" i="35" s="1"/>
  <c r="BI214" i="35"/>
  <c r="BH214" i="35"/>
  <c r="BG214" i="35"/>
  <c r="BE214" i="35"/>
  <c r="T214" i="35"/>
  <c r="R214" i="35"/>
  <c r="P214" i="35"/>
  <c r="BK214" i="35"/>
  <c r="J214" i="35"/>
  <c r="BF214" i="35" s="1"/>
  <c r="BI213" i="35"/>
  <c r="BH213" i="35"/>
  <c r="BG213" i="35"/>
  <c r="BE213" i="35"/>
  <c r="T213" i="35"/>
  <c r="R213" i="35"/>
  <c r="P213" i="35"/>
  <c r="BK213" i="35"/>
  <c r="J213" i="35"/>
  <c r="BF213" i="35" s="1"/>
  <c r="BI212" i="35"/>
  <c r="BH212" i="35"/>
  <c r="BG212" i="35"/>
  <c r="BE212" i="35"/>
  <c r="T212" i="35"/>
  <c r="R212" i="35"/>
  <c r="P212" i="35"/>
  <c r="BK212" i="35"/>
  <c r="J212" i="35"/>
  <c r="BF212" i="35" s="1"/>
  <c r="BI211" i="35"/>
  <c r="BH211" i="35"/>
  <c r="BG211" i="35"/>
  <c r="BE211" i="35"/>
  <c r="T211" i="35"/>
  <c r="R211" i="35"/>
  <c r="P211" i="35"/>
  <c r="BK211" i="35"/>
  <c r="J211" i="35"/>
  <c r="BF211" i="35" s="1"/>
  <c r="BI210" i="35"/>
  <c r="BH210" i="35"/>
  <c r="BG210" i="35"/>
  <c r="BE210" i="35"/>
  <c r="T210" i="35"/>
  <c r="R210" i="35"/>
  <c r="P210" i="35"/>
  <c r="BK210" i="35"/>
  <c r="J210" i="35"/>
  <c r="BF210" i="35" s="1"/>
  <c r="BI209" i="35"/>
  <c r="BH209" i="35"/>
  <c r="BG209" i="35"/>
  <c r="BE209" i="35"/>
  <c r="T209" i="35"/>
  <c r="R209" i="35"/>
  <c r="P209" i="35"/>
  <c r="BK209" i="35"/>
  <c r="J209" i="35"/>
  <c r="BF209" i="35" s="1"/>
  <c r="BI208" i="35"/>
  <c r="BH208" i="35"/>
  <c r="BG208" i="35"/>
  <c r="BE208" i="35"/>
  <c r="T208" i="35"/>
  <c r="R208" i="35"/>
  <c r="P208" i="35"/>
  <c r="BK208" i="35"/>
  <c r="J208" i="35"/>
  <c r="BF208" i="35" s="1"/>
  <c r="BI207" i="35"/>
  <c r="BH207" i="35"/>
  <c r="BG207" i="35"/>
  <c r="BE207" i="35"/>
  <c r="T207" i="35"/>
  <c r="R207" i="35"/>
  <c r="P207" i="35"/>
  <c r="BK207" i="35"/>
  <c r="J207" i="35"/>
  <c r="BF207" i="35" s="1"/>
  <c r="BI206" i="35"/>
  <c r="BH206" i="35"/>
  <c r="BG206" i="35"/>
  <c r="BE206" i="35"/>
  <c r="T206" i="35"/>
  <c r="R206" i="35"/>
  <c r="P206" i="35"/>
  <c r="BK206" i="35"/>
  <c r="J206" i="35"/>
  <c r="BF206" i="35" s="1"/>
  <c r="BI205" i="35"/>
  <c r="BH205" i="35"/>
  <c r="BG205" i="35"/>
  <c r="BE205" i="35"/>
  <c r="T205" i="35"/>
  <c r="R205" i="35"/>
  <c r="P205" i="35"/>
  <c r="BK205" i="35"/>
  <c r="J205" i="35"/>
  <c r="BF205" i="35" s="1"/>
  <c r="BI204" i="35"/>
  <c r="BH204" i="35"/>
  <c r="BG204" i="35"/>
  <c r="BE204" i="35"/>
  <c r="T204" i="35"/>
  <c r="R204" i="35"/>
  <c r="P204" i="35"/>
  <c r="BK204" i="35"/>
  <c r="J204" i="35"/>
  <c r="BF204" i="35" s="1"/>
  <c r="BI203" i="35"/>
  <c r="BH203" i="35"/>
  <c r="BG203" i="35"/>
  <c r="BE203" i="35"/>
  <c r="T203" i="35"/>
  <c r="R203" i="35"/>
  <c r="P203" i="35"/>
  <c r="BK203" i="35"/>
  <c r="J203" i="35"/>
  <c r="BF203" i="35" s="1"/>
  <c r="BI202" i="35"/>
  <c r="BH202" i="35"/>
  <c r="BG202" i="35"/>
  <c r="BE202" i="35"/>
  <c r="T202" i="35"/>
  <c r="R202" i="35"/>
  <c r="P202" i="35"/>
  <c r="BK202" i="35"/>
  <c r="J202" i="35"/>
  <c r="BF202" i="35" s="1"/>
  <c r="BI201" i="35"/>
  <c r="BH201" i="35"/>
  <c r="BG201" i="35"/>
  <c r="BE201" i="35"/>
  <c r="T201" i="35"/>
  <c r="R201" i="35"/>
  <c r="P201" i="35"/>
  <c r="BK201" i="35"/>
  <c r="J201" i="35"/>
  <c r="BF201" i="35" s="1"/>
  <c r="BI200" i="35"/>
  <c r="BH200" i="35"/>
  <c r="BG200" i="35"/>
  <c r="BE200" i="35"/>
  <c r="T200" i="35"/>
  <c r="R200" i="35"/>
  <c r="P200" i="35"/>
  <c r="BK200" i="35"/>
  <c r="J200" i="35"/>
  <c r="BF200" i="35" s="1"/>
  <c r="BI199" i="35"/>
  <c r="BH199" i="35"/>
  <c r="BG199" i="35"/>
  <c r="BE199" i="35"/>
  <c r="T199" i="35"/>
  <c r="R199" i="35"/>
  <c r="P199" i="35"/>
  <c r="BK199" i="35"/>
  <c r="J199" i="35"/>
  <c r="BF199" i="35" s="1"/>
  <c r="BI198" i="35"/>
  <c r="BH198" i="35"/>
  <c r="BG198" i="35"/>
  <c r="BE198" i="35"/>
  <c r="T198" i="35"/>
  <c r="R198" i="35"/>
  <c r="P198" i="35"/>
  <c r="BK198" i="35"/>
  <c r="J198" i="35"/>
  <c r="BF198" i="35" s="1"/>
  <c r="BI197" i="35"/>
  <c r="BH197" i="35"/>
  <c r="BG197" i="35"/>
  <c r="BE197" i="35"/>
  <c r="T197" i="35"/>
  <c r="R197" i="35"/>
  <c r="P197" i="35"/>
  <c r="BK197" i="35"/>
  <c r="J197" i="35"/>
  <c r="BF197" i="35" s="1"/>
  <c r="BI196" i="35"/>
  <c r="BH196" i="35"/>
  <c r="BG196" i="35"/>
  <c r="BE196" i="35"/>
  <c r="T196" i="35"/>
  <c r="R196" i="35"/>
  <c r="P196" i="35"/>
  <c r="BK196" i="35"/>
  <c r="J196" i="35"/>
  <c r="BF196" i="35" s="1"/>
  <c r="BI195" i="35"/>
  <c r="BH195" i="35"/>
  <c r="BG195" i="35"/>
  <c r="BE195" i="35"/>
  <c r="T195" i="35"/>
  <c r="R195" i="35"/>
  <c r="P195" i="35"/>
  <c r="BK195" i="35"/>
  <c r="J195" i="35"/>
  <c r="BF195" i="35" s="1"/>
  <c r="BI194" i="35"/>
  <c r="BH194" i="35"/>
  <c r="BG194" i="35"/>
  <c r="BE194" i="35"/>
  <c r="T194" i="35"/>
  <c r="R194" i="35"/>
  <c r="P194" i="35"/>
  <c r="BK194" i="35"/>
  <c r="J194" i="35"/>
  <c r="BF194" i="35" s="1"/>
  <c r="BI189" i="35"/>
  <c r="BH189" i="35"/>
  <c r="BG189" i="35"/>
  <c r="BE189" i="35"/>
  <c r="T189" i="35"/>
  <c r="R189" i="35"/>
  <c r="P189" i="35"/>
  <c r="BK189" i="35"/>
  <c r="J189" i="35"/>
  <c r="BF189" i="35" s="1"/>
  <c r="BI188" i="35"/>
  <c r="BH188" i="35"/>
  <c r="BG188" i="35"/>
  <c r="BE188" i="35"/>
  <c r="T188" i="35"/>
  <c r="R188" i="35"/>
  <c r="P188" i="35"/>
  <c r="BK188" i="35"/>
  <c r="J188" i="35"/>
  <c r="BF188" i="35" s="1"/>
  <c r="BI185" i="35"/>
  <c r="BH185" i="35"/>
  <c r="BG185" i="35"/>
  <c r="BE185" i="35"/>
  <c r="T185" i="35"/>
  <c r="R185" i="35"/>
  <c r="P185" i="35"/>
  <c r="BK185" i="35"/>
  <c r="J185" i="35"/>
  <c r="BF185" i="35" s="1"/>
  <c r="BI184" i="35"/>
  <c r="BH184" i="35"/>
  <c r="BG184" i="35"/>
  <c r="BE184" i="35"/>
  <c r="T184" i="35"/>
  <c r="R184" i="35"/>
  <c r="P184" i="35"/>
  <c r="BK184" i="35"/>
  <c r="J184" i="35"/>
  <c r="BF184" i="35" s="1"/>
  <c r="BI183" i="35"/>
  <c r="BH183" i="35"/>
  <c r="BG183" i="35"/>
  <c r="BE183" i="35"/>
  <c r="T183" i="35"/>
  <c r="R183" i="35"/>
  <c r="P183" i="35"/>
  <c r="BK183" i="35"/>
  <c r="J183" i="35"/>
  <c r="BF183" i="35" s="1"/>
  <c r="BI182" i="35"/>
  <c r="BH182" i="35"/>
  <c r="BG182" i="35"/>
  <c r="BE182" i="35"/>
  <c r="T182" i="35"/>
  <c r="R182" i="35"/>
  <c r="P182" i="35"/>
  <c r="BK182" i="35"/>
  <c r="J182" i="35"/>
  <c r="BF182" i="35" s="1"/>
  <c r="BI181" i="35"/>
  <c r="BH181" i="35"/>
  <c r="BG181" i="35"/>
  <c r="BE181" i="35"/>
  <c r="T181" i="35"/>
  <c r="R181" i="35"/>
  <c r="P181" i="35"/>
  <c r="BK181" i="35"/>
  <c r="J181" i="35"/>
  <c r="BF181" i="35" s="1"/>
  <c r="BI180" i="35"/>
  <c r="BH180" i="35"/>
  <c r="BG180" i="35"/>
  <c r="BE180" i="35"/>
  <c r="T180" i="35"/>
  <c r="R180" i="35"/>
  <c r="P180" i="35"/>
  <c r="BK180" i="35"/>
  <c r="J180" i="35"/>
  <c r="BF180" i="35" s="1"/>
  <c r="BI179" i="35"/>
  <c r="BH179" i="35"/>
  <c r="BG179" i="35"/>
  <c r="BE179" i="35"/>
  <c r="T179" i="35"/>
  <c r="R179" i="35"/>
  <c r="P179" i="35"/>
  <c r="BK179" i="35"/>
  <c r="J179" i="35"/>
  <c r="BF179" i="35" s="1"/>
  <c r="BI178" i="35"/>
  <c r="BH178" i="35"/>
  <c r="BG178" i="35"/>
  <c r="BE178" i="35"/>
  <c r="T178" i="35"/>
  <c r="R178" i="35"/>
  <c r="P178" i="35"/>
  <c r="BK178" i="35"/>
  <c r="J178" i="35"/>
  <c r="BF178" i="35" s="1"/>
  <c r="BI177" i="35"/>
  <c r="BH177" i="35"/>
  <c r="BG177" i="35"/>
  <c r="BE177" i="35"/>
  <c r="T177" i="35"/>
  <c r="R177" i="35"/>
  <c r="P177" i="35"/>
  <c r="BK177" i="35"/>
  <c r="J177" i="35"/>
  <c r="BF177" i="35" s="1"/>
  <c r="BI176" i="35"/>
  <c r="BH176" i="35"/>
  <c r="BG176" i="35"/>
  <c r="BE176" i="35"/>
  <c r="T176" i="35"/>
  <c r="R176" i="35"/>
  <c r="P176" i="35"/>
  <c r="BK176" i="35"/>
  <c r="J176" i="35"/>
  <c r="BF176" i="35" s="1"/>
  <c r="BI175" i="35"/>
  <c r="BH175" i="35"/>
  <c r="BG175" i="35"/>
  <c r="BE175" i="35"/>
  <c r="T175" i="35"/>
  <c r="R175" i="35"/>
  <c r="P175" i="35"/>
  <c r="BK175" i="35"/>
  <c r="J175" i="35"/>
  <c r="BF175" i="35" s="1"/>
  <c r="BI174" i="35"/>
  <c r="BH174" i="35"/>
  <c r="BG174" i="35"/>
  <c r="BE174" i="35"/>
  <c r="T174" i="35"/>
  <c r="R174" i="35"/>
  <c r="P174" i="35"/>
  <c r="BK174" i="35"/>
  <c r="J174" i="35"/>
  <c r="BF174" i="35" s="1"/>
  <c r="BI173" i="35"/>
  <c r="BH173" i="35"/>
  <c r="BG173" i="35"/>
  <c r="BE173" i="35"/>
  <c r="T173" i="35"/>
  <c r="R173" i="35"/>
  <c r="P173" i="35"/>
  <c r="BK173" i="35"/>
  <c r="J173" i="35"/>
  <c r="BF173" i="35" s="1"/>
  <c r="BI172" i="35"/>
  <c r="BH172" i="35"/>
  <c r="BG172" i="35"/>
  <c r="BE172" i="35"/>
  <c r="T172" i="35"/>
  <c r="R172" i="35"/>
  <c r="P172" i="35"/>
  <c r="BK172" i="35"/>
  <c r="J172" i="35"/>
  <c r="BF172" i="35" s="1"/>
  <c r="BI171" i="35"/>
  <c r="BH171" i="35"/>
  <c r="BG171" i="35"/>
  <c r="BE171" i="35"/>
  <c r="T171" i="35"/>
  <c r="R171" i="35"/>
  <c r="P171" i="35"/>
  <c r="BK171" i="35"/>
  <c r="J171" i="35"/>
  <c r="BF171" i="35" s="1"/>
  <c r="BI170" i="35"/>
  <c r="BH170" i="35"/>
  <c r="BG170" i="35"/>
  <c r="BE170" i="35"/>
  <c r="T170" i="35"/>
  <c r="R170" i="35"/>
  <c r="P170" i="35"/>
  <c r="BK170" i="35"/>
  <c r="J170" i="35"/>
  <c r="BF170" i="35" s="1"/>
  <c r="BI169" i="35"/>
  <c r="BH169" i="35"/>
  <c r="BG169" i="35"/>
  <c r="BE169" i="35"/>
  <c r="T169" i="35"/>
  <c r="R169" i="35"/>
  <c r="P169" i="35"/>
  <c r="BK169" i="35"/>
  <c r="J169" i="35"/>
  <c r="BF169" i="35" s="1"/>
  <c r="BI168" i="35"/>
  <c r="BH168" i="35"/>
  <c r="BG168" i="35"/>
  <c r="BE168" i="35"/>
  <c r="T168" i="35"/>
  <c r="R168" i="35"/>
  <c r="P168" i="35"/>
  <c r="BK168" i="35"/>
  <c r="J168" i="35"/>
  <c r="BF168" i="35" s="1"/>
  <c r="BI167" i="35"/>
  <c r="BH167" i="35"/>
  <c r="BG167" i="35"/>
  <c r="BE167" i="35"/>
  <c r="T167" i="35"/>
  <c r="R167" i="35"/>
  <c r="P167" i="35"/>
  <c r="BK167" i="35"/>
  <c r="J167" i="35"/>
  <c r="BF167" i="35" s="1"/>
  <c r="BI166" i="35"/>
  <c r="BH166" i="35"/>
  <c r="BG166" i="35"/>
  <c r="BE166" i="35"/>
  <c r="T166" i="35"/>
  <c r="R166" i="35"/>
  <c r="P166" i="35"/>
  <c r="BK166" i="35"/>
  <c r="J166" i="35"/>
  <c r="BF166" i="35" s="1"/>
  <c r="BI163" i="35"/>
  <c r="BH163" i="35"/>
  <c r="BG163" i="35"/>
  <c r="BE163" i="35"/>
  <c r="T163" i="35"/>
  <c r="R163" i="35"/>
  <c r="P163" i="35"/>
  <c r="BK163" i="35"/>
  <c r="J163" i="35"/>
  <c r="BF163" i="35" s="1"/>
  <c r="BI162" i="35"/>
  <c r="BH162" i="35"/>
  <c r="BG162" i="35"/>
  <c r="BE162" i="35"/>
  <c r="T162" i="35"/>
  <c r="R162" i="35"/>
  <c r="P162" i="35"/>
  <c r="BK162" i="35"/>
  <c r="J162" i="35"/>
  <c r="BF162" i="35" s="1"/>
  <c r="BI161" i="35"/>
  <c r="BH161" i="35"/>
  <c r="BG161" i="35"/>
  <c r="BE161" i="35"/>
  <c r="T161" i="35"/>
  <c r="R161" i="35"/>
  <c r="P161" i="35"/>
  <c r="BK161" i="35"/>
  <c r="J161" i="35"/>
  <c r="BF161" i="35" s="1"/>
  <c r="BI160" i="35"/>
  <c r="BH160" i="35"/>
  <c r="BG160" i="35"/>
  <c r="BE160" i="35"/>
  <c r="T160" i="35"/>
  <c r="R160" i="35"/>
  <c r="P160" i="35"/>
  <c r="BK160" i="35"/>
  <c r="J160" i="35"/>
  <c r="BF160" i="35" s="1"/>
  <c r="BI159" i="35"/>
  <c r="BH159" i="35"/>
  <c r="BG159" i="35"/>
  <c r="BE159" i="35"/>
  <c r="T159" i="35"/>
  <c r="R159" i="35"/>
  <c r="P159" i="35"/>
  <c r="BK159" i="35"/>
  <c r="J159" i="35"/>
  <c r="BF159" i="35" s="1"/>
  <c r="BI158" i="35"/>
  <c r="BH158" i="35"/>
  <c r="BG158" i="35"/>
  <c r="BE158" i="35"/>
  <c r="T158" i="35"/>
  <c r="R158" i="35"/>
  <c r="P158" i="35"/>
  <c r="BK158" i="35"/>
  <c r="J158" i="35"/>
  <c r="BF158" i="35" s="1"/>
  <c r="BI155" i="35"/>
  <c r="BH155" i="35"/>
  <c r="BG155" i="35"/>
  <c r="BE155" i="35"/>
  <c r="T155" i="35"/>
  <c r="R155" i="35"/>
  <c r="P155" i="35"/>
  <c r="BK155" i="35"/>
  <c r="J155" i="35"/>
  <c r="BF155" i="35" s="1"/>
  <c r="BI154" i="35"/>
  <c r="BH154" i="35"/>
  <c r="BG154" i="35"/>
  <c r="BE154" i="35"/>
  <c r="T154" i="35"/>
  <c r="R154" i="35"/>
  <c r="P154" i="35"/>
  <c r="BK154" i="35"/>
  <c r="J154" i="35"/>
  <c r="BF154" i="35" s="1"/>
  <c r="BI153" i="35"/>
  <c r="BH153" i="35"/>
  <c r="BG153" i="35"/>
  <c r="BE153" i="35"/>
  <c r="T153" i="35"/>
  <c r="R153" i="35"/>
  <c r="P153" i="35"/>
  <c r="BK153" i="35"/>
  <c r="J153" i="35"/>
  <c r="BF153" i="35" s="1"/>
  <c r="BI152" i="35"/>
  <c r="BH152" i="35"/>
  <c r="BG152" i="35"/>
  <c r="BE152" i="35"/>
  <c r="T152" i="35"/>
  <c r="R152" i="35"/>
  <c r="P152" i="35"/>
  <c r="BK152" i="35"/>
  <c r="J152" i="35"/>
  <c r="BF152" i="35" s="1"/>
  <c r="BI151" i="35"/>
  <c r="BH151" i="35"/>
  <c r="BG151" i="35"/>
  <c r="BE151" i="35"/>
  <c r="T151" i="35"/>
  <c r="R151" i="35"/>
  <c r="P151" i="35"/>
  <c r="BK151" i="35"/>
  <c r="J151" i="35"/>
  <c r="BF151" i="35" s="1"/>
  <c r="BI150" i="35"/>
  <c r="BH150" i="35"/>
  <c r="BG150" i="35"/>
  <c r="BE150" i="35"/>
  <c r="T150" i="35"/>
  <c r="R150" i="35"/>
  <c r="P150" i="35"/>
  <c r="BK150" i="35"/>
  <c r="J150" i="35"/>
  <c r="BF150" i="35" s="1"/>
  <c r="BI149" i="35"/>
  <c r="BH149" i="35"/>
  <c r="BG149" i="35"/>
  <c r="BE149" i="35"/>
  <c r="T149" i="35"/>
  <c r="R149" i="35"/>
  <c r="P149" i="35"/>
  <c r="BK149" i="35"/>
  <c r="J149" i="35"/>
  <c r="BF149" i="35" s="1"/>
  <c r="BI148" i="35"/>
  <c r="BH148" i="35"/>
  <c r="BG148" i="35"/>
  <c r="BE148" i="35"/>
  <c r="T148" i="35"/>
  <c r="R148" i="35"/>
  <c r="P148" i="35"/>
  <c r="BK148" i="35"/>
  <c r="J148" i="35"/>
  <c r="BF148" i="35" s="1"/>
  <c r="BI147" i="35"/>
  <c r="BH147" i="35"/>
  <c r="BG147" i="35"/>
  <c r="BE147" i="35"/>
  <c r="T147" i="35"/>
  <c r="R147" i="35"/>
  <c r="P147" i="35"/>
  <c r="BK147" i="35"/>
  <c r="J147" i="35"/>
  <c r="BF147" i="35" s="1"/>
  <c r="BI146" i="35"/>
  <c r="BH146" i="35"/>
  <c r="BG146" i="35"/>
  <c r="BE146" i="35"/>
  <c r="T146" i="35"/>
  <c r="R146" i="35"/>
  <c r="P146" i="35"/>
  <c r="BK146" i="35"/>
  <c r="J146" i="35"/>
  <c r="BF146" i="35" s="1"/>
  <c r="BI145" i="35"/>
  <c r="BH145" i="35"/>
  <c r="BG145" i="35"/>
  <c r="BE145" i="35"/>
  <c r="T145" i="35"/>
  <c r="R145" i="35"/>
  <c r="P145" i="35"/>
  <c r="BK145" i="35"/>
  <c r="J145" i="35"/>
  <c r="BF145" i="35" s="1"/>
  <c r="BI144" i="35"/>
  <c r="BH144" i="35"/>
  <c r="BG144" i="35"/>
  <c r="BE144" i="35"/>
  <c r="T144" i="35"/>
  <c r="R144" i="35"/>
  <c r="P144" i="35"/>
  <c r="BK144" i="35"/>
  <c r="J144" i="35"/>
  <c r="BF144" i="35" s="1"/>
  <c r="BI143" i="35"/>
  <c r="BH143" i="35"/>
  <c r="BG143" i="35"/>
  <c r="BE143" i="35"/>
  <c r="T143" i="35"/>
  <c r="R143" i="35"/>
  <c r="P143" i="35"/>
  <c r="BK143" i="35"/>
  <c r="J143" i="35"/>
  <c r="BF143" i="35" s="1"/>
  <c r="BI142" i="35"/>
  <c r="BH142" i="35"/>
  <c r="BG142" i="35"/>
  <c r="BE142" i="35"/>
  <c r="T142" i="35"/>
  <c r="R142" i="35"/>
  <c r="P142" i="35"/>
  <c r="BK142" i="35"/>
  <c r="J142" i="35"/>
  <c r="BF142" i="35" s="1"/>
  <c r="BI141" i="35"/>
  <c r="BH141" i="35"/>
  <c r="BG141" i="35"/>
  <c r="BE141" i="35"/>
  <c r="T141" i="35"/>
  <c r="R141" i="35"/>
  <c r="P141" i="35"/>
  <c r="BK141" i="35"/>
  <c r="J141" i="35"/>
  <c r="BF141" i="35" s="1"/>
  <c r="BI140" i="35"/>
  <c r="BH140" i="35"/>
  <c r="BG140" i="35"/>
  <c r="BE140" i="35"/>
  <c r="T140" i="35"/>
  <c r="R140" i="35"/>
  <c r="P140" i="35"/>
  <c r="BK140" i="35"/>
  <c r="J140" i="35"/>
  <c r="BF140" i="35" s="1"/>
  <c r="BI139" i="35"/>
  <c r="BH139" i="35"/>
  <c r="BG139" i="35"/>
  <c r="BE139" i="35"/>
  <c r="T139" i="35"/>
  <c r="R139" i="35"/>
  <c r="P139" i="35"/>
  <c r="BK139" i="35"/>
  <c r="J139" i="35"/>
  <c r="BF139" i="35" s="1"/>
  <c r="BI138" i="35"/>
  <c r="BH138" i="35"/>
  <c r="BG138" i="35"/>
  <c r="BE138" i="35"/>
  <c r="T138" i="35"/>
  <c r="R138" i="35"/>
  <c r="P138" i="35"/>
  <c r="BK138" i="35"/>
  <c r="J138" i="35"/>
  <c r="BF138" i="35" s="1"/>
  <c r="BI137" i="35"/>
  <c r="BH137" i="35"/>
  <c r="BG137" i="35"/>
  <c r="BE137" i="35"/>
  <c r="T137" i="35"/>
  <c r="R137" i="35"/>
  <c r="P137" i="35"/>
  <c r="BK137" i="35"/>
  <c r="J137" i="35"/>
  <c r="BF137" i="35" s="1"/>
  <c r="BI136" i="35"/>
  <c r="BH136" i="35"/>
  <c r="BG136" i="35"/>
  <c r="BE136" i="35"/>
  <c r="T136" i="35"/>
  <c r="R136" i="35"/>
  <c r="P136" i="35"/>
  <c r="BK136" i="35"/>
  <c r="J136" i="35"/>
  <c r="BF136" i="35" s="1"/>
  <c r="BI135" i="35"/>
  <c r="BH135" i="35"/>
  <c r="BG135" i="35"/>
  <c r="BE135" i="35"/>
  <c r="T135" i="35"/>
  <c r="R135" i="35"/>
  <c r="P135" i="35"/>
  <c r="BK135" i="35"/>
  <c r="J135" i="35"/>
  <c r="BF135" i="35" s="1"/>
  <c r="BI134" i="35"/>
  <c r="BH134" i="35"/>
  <c r="BG134" i="35"/>
  <c r="BE134" i="35"/>
  <c r="T134" i="35"/>
  <c r="R134" i="35"/>
  <c r="P134" i="35"/>
  <c r="BK134" i="35"/>
  <c r="J134" i="35"/>
  <c r="BF134" i="35" s="1"/>
  <c r="BI133" i="35"/>
  <c r="BH133" i="35"/>
  <c r="BG133" i="35"/>
  <c r="BE133" i="35"/>
  <c r="T133" i="35"/>
  <c r="R133" i="35"/>
  <c r="P133" i="35"/>
  <c r="BK133" i="35"/>
  <c r="J133" i="35"/>
  <c r="BF133" i="35" s="1"/>
  <c r="BI132" i="35"/>
  <c r="BH132" i="35"/>
  <c r="BG132" i="35"/>
  <c r="BE132" i="35"/>
  <c r="T132" i="35"/>
  <c r="R132" i="35"/>
  <c r="P132" i="35"/>
  <c r="BK132" i="35"/>
  <c r="J132" i="35"/>
  <c r="BF132" i="35" s="1"/>
  <c r="BI131" i="35"/>
  <c r="BH131" i="35"/>
  <c r="BG131" i="35"/>
  <c r="BE131" i="35"/>
  <c r="T131" i="35"/>
  <c r="R131" i="35"/>
  <c r="P131" i="35"/>
  <c r="BK131" i="35"/>
  <c r="J131" i="35"/>
  <c r="BF131" i="35" s="1"/>
  <c r="BI130" i="35"/>
  <c r="BH130" i="35"/>
  <c r="BG130" i="35"/>
  <c r="BE130" i="35"/>
  <c r="T130" i="35"/>
  <c r="R130" i="35"/>
  <c r="P130" i="35"/>
  <c r="BK130" i="35"/>
  <c r="J130" i="35"/>
  <c r="BF130" i="35" s="1"/>
  <c r="BI127" i="35"/>
  <c r="BH127" i="35"/>
  <c r="BG127" i="35"/>
  <c r="BE127" i="35"/>
  <c r="T127" i="35"/>
  <c r="R127" i="35"/>
  <c r="P127" i="35"/>
  <c r="BK127" i="35"/>
  <c r="J127" i="35"/>
  <c r="BF127" i="35" s="1"/>
  <c r="BI126" i="35"/>
  <c r="BH126" i="35"/>
  <c r="BG126" i="35"/>
  <c r="BE126" i="35"/>
  <c r="T126" i="35"/>
  <c r="R126" i="35"/>
  <c r="P126" i="35"/>
  <c r="BK126" i="35"/>
  <c r="J126" i="35"/>
  <c r="BF126" i="35" s="1"/>
  <c r="BI125" i="35"/>
  <c r="BH125" i="35"/>
  <c r="BG125" i="35"/>
  <c r="BE125" i="35"/>
  <c r="T125" i="35"/>
  <c r="R125" i="35"/>
  <c r="P125" i="35"/>
  <c r="BK125" i="35"/>
  <c r="J125" i="35"/>
  <c r="BF125" i="35" s="1"/>
  <c r="BI124" i="35"/>
  <c r="BH124" i="35"/>
  <c r="BG124" i="35"/>
  <c r="BE124" i="35"/>
  <c r="T124" i="35"/>
  <c r="R124" i="35"/>
  <c r="P124" i="35"/>
  <c r="BK124" i="35"/>
  <c r="J124" i="35"/>
  <c r="BF124" i="35" s="1"/>
  <c r="BI123" i="35"/>
  <c r="BH123" i="35"/>
  <c r="BG123" i="35"/>
  <c r="BE123" i="35"/>
  <c r="T123" i="35"/>
  <c r="R123" i="35"/>
  <c r="P123" i="35"/>
  <c r="BK123" i="35"/>
  <c r="J123" i="35"/>
  <c r="BF123" i="35" s="1"/>
  <c r="BI122" i="35"/>
  <c r="BH122" i="35"/>
  <c r="BG122" i="35"/>
  <c r="BE122" i="35"/>
  <c r="T122" i="35"/>
  <c r="R122" i="35"/>
  <c r="P122" i="35"/>
  <c r="BK122" i="35"/>
  <c r="J122" i="35"/>
  <c r="BF122" i="35" s="1"/>
  <c r="F112" i="35"/>
  <c r="F89" i="35"/>
  <c r="J24" i="35"/>
  <c r="E24" i="35"/>
  <c r="J115" i="35" s="1"/>
  <c r="J23" i="35"/>
  <c r="J21" i="35"/>
  <c r="E21" i="35"/>
  <c r="J91" i="35" s="1"/>
  <c r="J20" i="35"/>
  <c r="J18" i="35"/>
  <c r="J15" i="35"/>
  <c r="E15" i="35"/>
  <c r="J14" i="35"/>
  <c r="J89" i="35"/>
  <c r="J37" i="34"/>
  <c r="J36" i="34"/>
  <c r="AY127" i="1" s="1"/>
  <c r="J35" i="34"/>
  <c r="AX127" i="1" s="1"/>
  <c r="BI163" i="34"/>
  <c r="BH163" i="34"/>
  <c r="BG163" i="34"/>
  <c r="BE163" i="34"/>
  <c r="T163" i="34"/>
  <c r="R163" i="34"/>
  <c r="P163" i="34"/>
  <c r="BK163" i="34"/>
  <c r="J163" i="34"/>
  <c r="BF163" i="34" s="1"/>
  <c r="BI162" i="34"/>
  <c r="BH162" i="34"/>
  <c r="BG162" i="34"/>
  <c r="BE162" i="34"/>
  <c r="T162" i="34"/>
  <c r="R162" i="34"/>
  <c r="P162" i="34"/>
  <c r="BK162" i="34"/>
  <c r="J162" i="34"/>
  <c r="BF162" i="34" s="1"/>
  <c r="BI161" i="34"/>
  <c r="BH161" i="34"/>
  <c r="BG161" i="34"/>
  <c r="BE161" i="34"/>
  <c r="T161" i="34"/>
  <c r="R161" i="34"/>
  <c r="P161" i="34"/>
  <c r="BK161" i="34"/>
  <c r="J161" i="34"/>
  <c r="BF161" i="34" s="1"/>
  <c r="BI160" i="34"/>
  <c r="BH160" i="34"/>
  <c r="BG160" i="34"/>
  <c r="BE160" i="34"/>
  <c r="T160" i="34"/>
  <c r="R160" i="34"/>
  <c r="P160" i="34"/>
  <c r="BK160" i="34"/>
  <c r="J160" i="34"/>
  <c r="BF160" i="34" s="1"/>
  <c r="BI159" i="34"/>
  <c r="BH159" i="34"/>
  <c r="BG159" i="34"/>
  <c r="BE159" i="34"/>
  <c r="T159" i="34"/>
  <c r="R159" i="34"/>
  <c r="P159" i="34"/>
  <c r="BK159" i="34"/>
  <c r="J159" i="34"/>
  <c r="BF159" i="34" s="1"/>
  <c r="BI158" i="34"/>
  <c r="BH158" i="34"/>
  <c r="BG158" i="34"/>
  <c r="BE158" i="34"/>
  <c r="T158" i="34"/>
  <c r="R158" i="34"/>
  <c r="P158" i="34"/>
  <c r="BK158" i="34"/>
  <c r="J158" i="34"/>
  <c r="BF158" i="34" s="1"/>
  <c r="BI157" i="34"/>
  <c r="BH157" i="34"/>
  <c r="BG157" i="34"/>
  <c r="BE157" i="34"/>
  <c r="T157" i="34"/>
  <c r="R157" i="34"/>
  <c r="P157" i="34"/>
  <c r="BK157" i="34"/>
  <c r="J157" i="34"/>
  <c r="BF157" i="34" s="1"/>
  <c r="BI156" i="34"/>
  <c r="BH156" i="34"/>
  <c r="BG156" i="34"/>
  <c r="BE156" i="34"/>
  <c r="T156" i="34"/>
  <c r="R156" i="34"/>
  <c r="P156" i="34"/>
  <c r="BK156" i="34"/>
  <c r="J156" i="34"/>
  <c r="BF156" i="34" s="1"/>
  <c r="BI155" i="34"/>
  <c r="BH155" i="34"/>
  <c r="BG155" i="34"/>
  <c r="BE155" i="34"/>
  <c r="T155" i="34"/>
  <c r="R155" i="34"/>
  <c r="P155" i="34"/>
  <c r="BK155" i="34"/>
  <c r="J155" i="34"/>
  <c r="BF155" i="34" s="1"/>
  <c r="BI154" i="34"/>
  <c r="BH154" i="34"/>
  <c r="BG154" i="34"/>
  <c r="BE154" i="34"/>
  <c r="T154" i="34"/>
  <c r="R154" i="34"/>
  <c r="P154" i="34"/>
  <c r="BK154" i="34"/>
  <c r="J154" i="34"/>
  <c r="BF154" i="34" s="1"/>
  <c r="BI153" i="34"/>
  <c r="BH153" i="34"/>
  <c r="BG153" i="34"/>
  <c r="BE153" i="34"/>
  <c r="T153" i="34"/>
  <c r="R153" i="34"/>
  <c r="P153" i="34"/>
  <c r="BK153" i="34"/>
  <c r="J153" i="34"/>
  <c r="BF153" i="34" s="1"/>
  <c r="BI152" i="34"/>
  <c r="BH152" i="34"/>
  <c r="BG152" i="34"/>
  <c r="BE152" i="34"/>
  <c r="T152" i="34"/>
  <c r="R152" i="34"/>
  <c r="P152" i="34"/>
  <c r="BK152" i="34"/>
  <c r="J152" i="34"/>
  <c r="BF152" i="34" s="1"/>
  <c r="BI151" i="34"/>
  <c r="BH151" i="34"/>
  <c r="BG151" i="34"/>
  <c r="BE151" i="34"/>
  <c r="T151" i="34"/>
  <c r="R151" i="34"/>
  <c r="P151" i="34"/>
  <c r="BK151" i="34"/>
  <c r="J151" i="34"/>
  <c r="BF151" i="34" s="1"/>
  <c r="BI150" i="34"/>
  <c r="BH150" i="34"/>
  <c r="BG150" i="34"/>
  <c r="BE150" i="34"/>
  <c r="T150" i="34"/>
  <c r="R150" i="34"/>
  <c r="P150" i="34"/>
  <c r="BK150" i="34"/>
  <c r="J150" i="34"/>
  <c r="BF150" i="34" s="1"/>
  <c r="BI149" i="34"/>
  <c r="BH149" i="34"/>
  <c r="BG149" i="34"/>
  <c r="BE149" i="34"/>
  <c r="T149" i="34"/>
  <c r="R149" i="34"/>
  <c r="P149" i="34"/>
  <c r="BK149" i="34"/>
  <c r="J149" i="34"/>
  <c r="BF149" i="34" s="1"/>
  <c r="BI148" i="34"/>
  <c r="BH148" i="34"/>
  <c r="BG148" i="34"/>
  <c r="BE148" i="34"/>
  <c r="T148" i="34"/>
  <c r="R148" i="34"/>
  <c r="P148" i="34"/>
  <c r="BK148" i="34"/>
  <c r="J148" i="34"/>
  <c r="BF148" i="34" s="1"/>
  <c r="BI147" i="34"/>
  <c r="BH147" i="34"/>
  <c r="BG147" i="34"/>
  <c r="BE147" i="34"/>
  <c r="T147" i="34"/>
  <c r="R147" i="34"/>
  <c r="P147" i="34"/>
  <c r="BK147" i="34"/>
  <c r="J147" i="34"/>
  <c r="BF147" i="34" s="1"/>
  <c r="BI146" i="34"/>
  <c r="BH146" i="34"/>
  <c r="BG146" i="34"/>
  <c r="BE146" i="34"/>
  <c r="T146" i="34"/>
  <c r="R146" i="34"/>
  <c r="P146" i="34"/>
  <c r="BK146" i="34"/>
  <c r="J146" i="34"/>
  <c r="BF146" i="34" s="1"/>
  <c r="BI145" i="34"/>
  <c r="BH145" i="34"/>
  <c r="BG145" i="34"/>
  <c r="BE145" i="34"/>
  <c r="T145" i="34"/>
  <c r="R145" i="34"/>
  <c r="P145" i="34"/>
  <c r="BK145" i="34"/>
  <c r="J145" i="34"/>
  <c r="BF145" i="34" s="1"/>
  <c r="BI144" i="34"/>
  <c r="BH144" i="34"/>
  <c r="BG144" i="34"/>
  <c r="BE144" i="34"/>
  <c r="T144" i="34"/>
  <c r="R144" i="34"/>
  <c r="P144" i="34"/>
  <c r="BK144" i="34"/>
  <c r="J144" i="34"/>
  <c r="BF144" i="34" s="1"/>
  <c r="BI143" i="34"/>
  <c r="BH143" i="34"/>
  <c r="BG143" i="34"/>
  <c r="BE143" i="34"/>
  <c r="T143" i="34"/>
  <c r="R143" i="34"/>
  <c r="P143" i="34"/>
  <c r="BK143" i="34"/>
  <c r="J143" i="34"/>
  <c r="BF143" i="34" s="1"/>
  <c r="BI142" i="34"/>
  <c r="BH142" i="34"/>
  <c r="BG142" i="34"/>
  <c r="BE142" i="34"/>
  <c r="T142" i="34"/>
  <c r="R142" i="34"/>
  <c r="P142" i="34"/>
  <c r="BK142" i="34"/>
  <c r="J142" i="34"/>
  <c r="BF142" i="34" s="1"/>
  <c r="BI141" i="34"/>
  <c r="BH141" i="34"/>
  <c r="BG141" i="34"/>
  <c r="BE141" i="34"/>
  <c r="T141" i="34"/>
  <c r="R141" i="34"/>
  <c r="P141" i="34"/>
  <c r="BK141" i="34"/>
  <c r="J141" i="34"/>
  <c r="BF141" i="34" s="1"/>
  <c r="BI140" i="34"/>
  <c r="BH140" i="34"/>
  <c r="BG140" i="34"/>
  <c r="BE140" i="34"/>
  <c r="T140" i="34"/>
  <c r="R140" i="34"/>
  <c r="P140" i="34"/>
  <c r="BK140" i="34"/>
  <c r="J140" i="34"/>
  <c r="BF140" i="34" s="1"/>
  <c r="BI130" i="34"/>
  <c r="BH130" i="34"/>
  <c r="BG130" i="34"/>
  <c r="BE130" i="34"/>
  <c r="T130" i="34"/>
  <c r="R130" i="34"/>
  <c r="P130" i="34"/>
  <c r="BK130" i="34"/>
  <c r="J130" i="34"/>
  <c r="BF130" i="34" s="1"/>
  <c r="BI129" i="34"/>
  <c r="BH129" i="34"/>
  <c r="BG129" i="34"/>
  <c r="BE129" i="34"/>
  <c r="T129" i="34"/>
  <c r="R129" i="34"/>
  <c r="P129" i="34"/>
  <c r="BK129" i="34"/>
  <c r="J129" i="34"/>
  <c r="BF129" i="34" s="1"/>
  <c r="BI128" i="34"/>
  <c r="BH128" i="34"/>
  <c r="BG128" i="34"/>
  <c r="BE128" i="34"/>
  <c r="T128" i="34"/>
  <c r="R128" i="34"/>
  <c r="P128" i="34"/>
  <c r="BK128" i="34"/>
  <c r="J128" i="34"/>
  <c r="BF128" i="34" s="1"/>
  <c r="BI127" i="34"/>
  <c r="BH127" i="34"/>
  <c r="BG127" i="34"/>
  <c r="BE127" i="34"/>
  <c r="T127" i="34"/>
  <c r="R127" i="34"/>
  <c r="P127" i="34"/>
  <c r="BK127" i="34"/>
  <c r="J127" i="34"/>
  <c r="BF127" i="34" s="1"/>
  <c r="BI126" i="34"/>
  <c r="BH126" i="34"/>
  <c r="BG126" i="34"/>
  <c r="BE126" i="34"/>
  <c r="T126" i="34"/>
  <c r="R126" i="34"/>
  <c r="P126" i="34"/>
  <c r="BK126" i="34"/>
  <c r="J126" i="34"/>
  <c r="BF126" i="34" s="1"/>
  <c r="BI125" i="34"/>
  <c r="BH125" i="34"/>
  <c r="BG125" i="34"/>
  <c r="BE125" i="34"/>
  <c r="T125" i="34"/>
  <c r="R125" i="34"/>
  <c r="P125" i="34"/>
  <c r="BK125" i="34"/>
  <c r="J125" i="34"/>
  <c r="BF125" i="34" s="1"/>
  <c r="BI124" i="34"/>
  <c r="BH124" i="34"/>
  <c r="BG124" i="34"/>
  <c r="BE124" i="34"/>
  <c r="T124" i="34"/>
  <c r="R124" i="34"/>
  <c r="P124" i="34"/>
  <c r="BK124" i="34"/>
  <c r="J124" i="34"/>
  <c r="BF124" i="34" s="1"/>
  <c r="BI123" i="34"/>
  <c r="BH123" i="34"/>
  <c r="BG123" i="34"/>
  <c r="BE123" i="34"/>
  <c r="T123" i="34"/>
  <c r="R123" i="34"/>
  <c r="P123" i="34"/>
  <c r="BK123" i="34"/>
  <c r="J123" i="34"/>
  <c r="BF123" i="34" s="1"/>
  <c r="BI122" i="34"/>
  <c r="BH122" i="34"/>
  <c r="BG122" i="34"/>
  <c r="BE122" i="34"/>
  <c r="T122" i="34"/>
  <c r="R122" i="34"/>
  <c r="P122" i="34"/>
  <c r="BK122" i="34"/>
  <c r="J122" i="34"/>
  <c r="BF122" i="34" s="1"/>
  <c r="BI121" i="34"/>
  <c r="BH121" i="34"/>
  <c r="BG121" i="34"/>
  <c r="BE121" i="34"/>
  <c r="T121" i="34"/>
  <c r="R121" i="34"/>
  <c r="P121" i="34"/>
  <c r="BK121" i="34"/>
  <c r="J121" i="34"/>
  <c r="BF121" i="34" s="1"/>
  <c r="BI120" i="34"/>
  <c r="BH120" i="34"/>
  <c r="BG120" i="34"/>
  <c r="BE120" i="34"/>
  <c r="T120" i="34"/>
  <c r="R120" i="34"/>
  <c r="P120" i="34"/>
  <c r="BK120" i="34"/>
  <c r="J120" i="34"/>
  <c r="BF120" i="34" s="1"/>
  <c r="BI119" i="34"/>
  <c r="BH119" i="34"/>
  <c r="BG119" i="34"/>
  <c r="BE119" i="34"/>
  <c r="T119" i="34"/>
  <c r="T118" i="34" s="1"/>
  <c r="T117" i="34" s="1"/>
  <c r="R119" i="34"/>
  <c r="P119" i="34"/>
  <c r="BK119" i="34"/>
  <c r="J119" i="34"/>
  <c r="BF119" i="34" s="1"/>
  <c r="F111" i="34"/>
  <c r="F89" i="34"/>
  <c r="J24" i="34"/>
  <c r="E24" i="34"/>
  <c r="J114" i="34" s="1"/>
  <c r="J23" i="34"/>
  <c r="J21" i="34"/>
  <c r="E21" i="34"/>
  <c r="J113" i="34" s="1"/>
  <c r="J20" i="34"/>
  <c r="J18" i="34"/>
  <c r="J15" i="34"/>
  <c r="E15" i="34"/>
  <c r="J14" i="34"/>
  <c r="J111" i="34"/>
  <c r="J37" i="33"/>
  <c r="J36" i="33"/>
  <c r="AY126" i="1" s="1"/>
  <c r="J35" i="33"/>
  <c r="AX126" i="1" s="1"/>
  <c r="BI387" i="33"/>
  <c r="BH387" i="33"/>
  <c r="BG387" i="33"/>
  <c r="BE387" i="33"/>
  <c r="T387" i="33"/>
  <c r="R387" i="33"/>
  <c r="P387" i="33"/>
  <c r="BK387" i="33"/>
  <c r="J387" i="33"/>
  <c r="BF387" i="33" s="1"/>
  <c r="BI386" i="33"/>
  <c r="BH386" i="33"/>
  <c r="BG386" i="33"/>
  <c r="BE386" i="33"/>
  <c r="T386" i="33"/>
  <c r="R386" i="33"/>
  <c r="P386" i="33"/>
  <c r="BK386" i="33"/>
  <c r="J386" i="33"/>
  <c r="BF386" i="33" s="1"/>
  <c r="BI383" i="33"/>
  <c r="BH383" i="33"/>
  <c r="BG383" i="33"/>
  <c r="BE383" i="33"/>
  <c r="T383" i="33"/>
  <c r="R383" i="33"/>
  <c r="P383" i="33"/>
  <c r="BK383" i="33"/>
  <c r="J383" i="33"/>
  <c r="BF383" i="33" s="1"/>
  <c r="BI382" i="33"/>
  <c r="BH382" i="33"/>
  <c r="BG382" i="33"/>
  <c r="BE382" i="33"/>
  <c r="T382" i="33"/>
  <c r="R382" i="33"/>
  <c r="P382" i="33"/>
  <c r="BK382" i="33"/>
  <c r="J382" i="33"/>
  <c r="BF382" i="33" s="1"/>
  <c r="BI381" i="33"/>
  <c r="BH381" i="33"/>
  <c r="BG381" i="33"/>
  <c r="BE381" i="33"/>
  <c r="T381" i="33"/>
  <c r="R381" i="33"/>
  <c r="P381" i="33"/>
  <c r="BK381" i="33"/>
  <c r="J381" i="33"/>
  <c r="BF381" i="33" s="1"/>
  <c r="BI376" i="33"/>
  <c r="BH376" i="33"/>
  <c r="BG376" i="33"/>
  <c r="BE376" i="33"/>
  <c r="T376" i="33"/>
  <c r="R376" i="33"/>
  <c r="P376" i="33"/>
  <c r="BK376" i="33"/>
  <c r="J376" i="33"/>
  <c r="BF376" i="33" s="1"/>
  <c r="BI374" i="33"/>
  <c r="BH374" i="33"/>
  <c r="BG374" i="33"/>
  <c r="BE374" i="33"/>
  <c r="T374" i="33"/>
  <c r="R374" i="33"/>
  <c r="P374" i="33"/>
  <c r="BK374" i="33"/>
  <c r="J374" i="33"/>
  <c r="BF374" i="33" s="1"/>
  <c r="BI364" i="33"/>
  <c r="BH364" i="33"/>
  <c r="BG364" i="33"/>
  <c r="BE364" i="33"/>
  <c r="T364" i="33"/>
  <c r="R364" i="33"/>
  <c r="P364" i="33"/>
  <c r="BK364" i="33"/>
  <c r="J364" i="33"/>
  <c r="BF364" i="33" s="1"/>
  <c r="BI362" i="33"/>
  <c r="BH362" i="33"/>
  <c r="BG362" i="33"/>
  <c r="BE362" i="33"/>
  <c r="T362" i="33"/>
  <c r="R362" i="33"/>
  <c r="P362" i="33"/>
  <c r="BK362" i="33"/>
  <c r="J362" i="33"/>
  <c r="BF362" i="33" s="1"/>
  <c r="BI361" i="33"/>
  <c r="BH361" i="33"/>
  <c r="BG361" i="33"/>
  <c r="BE361" i="33"/>
  <c r="T361" i="33"/>
  <c r="R361" i="33"/>
  <c r="P361" i="33"/>
  <c r="BK361" i="33"/>
  <c r="J361" i="33"/>
  <c r="BF361" i="33" s="1"/>
  <c r="BI360" i="33"/>
  <c r="BH360" i="33"/>
  <c r="BG360" i="33"/>
  <c r="BE360" i="33"/>
  <c r="T360" i="33"/>
  <c r="R360" i="33"/>
  <c r="P360" i="33"/>
  <c r="BK360" i="33"/>
  <c r="J360" i="33"/>
  <c r="BF360" i="33" s="1"/>
  <c r="BI359" i="33"/>
  <c r="BH359" i="33"/>
  <c r="BG359" i="33"/>
  <c r="BE359" i="33"/>
  <c r="T359" i="33"/>
  <c r="R359" i="33"/>
  <c r="P359" i="33"/>
  <c r="BK359" i="33"/>
  <c r="J359" i="33"/>
  <c r="BF359" i="33" s="1"/>
  <c r="BI347" i="33"/>
  <c r="BH347" i="33"/>
  <c r="BG347" i="33"/>
  <c r="BE347" i="33"/>
  <c r="T347" i="33"/>
  <c r="R347" i="33"/>
  <c r="P347" i="33"/>
  <c r="BK347" i="33"/>
  <c r="J347" i="33"/>
  <c r="BF347" i="33" s="1"/>
  <c r="BI346" i="33"/>
  <c r="BH346" i="33"/>
  <c r="BG346" i="33"/>
  <c r="BE346" i="33"/>
  <c r="T346" i="33"/>
  <c r="R346" i="33"/>
  <c r="P346" i="33"/>
  <c r="BK346" i="33"/>
  <c r="J346" i="33"/>
  <c r="BF346" i="33" s="1"/>
  <c r="BI345" i="33"/>
  <c r="BH345" i="33"/>
  <c r="BG345" i="33"/>
  <c r="BE345" i="33"/>
  <c r="T345" i="33"/>
  <c r="R345" i="33"/>
  <c r="P345" i="33"/>
  <c r="BK345" i="33"/>
  <c r="J345" i="33"/>
  <c r="BF345" i="33" s="1"/>
  <c r="BI339" i="33"/>
  <c r="BH339" i="33"/>
  <c r="BG339" i="33"/>
  <c r="BE339" i="33"/>
  <c r="T339" i="33"/>
  <c r="R339" i="33"/>
  <c r="P339" i="33"/>
  <c r="BK339" i="33"/>
  <c r="J339" i="33"/>
  <c r="BF339" i="33" s="1"/>
  <c r="BI338" i="33"/>
  <c r="BH338" i="33"/>
  <c r="BG338" i="33"/>
  <c r="BE338" i="33"/>
  <c r="T338" i="33"/>
  <c r="R338" i="33"/>
  <c r="P338" i="33"/>
  <c r="BK338" i="33"/>
  <c r="J338" i="33"/>
  <c r="BF338" i="33" s="1"/>
  <c r="BI336" i="33"/>
  <c r="BH336" i="33"/>
  <c r="BG336" i="33"/>
  <c r="BE336" i="33"/>
  <c r="T336" i="33"/>
  <c r="R336" i="33"/>
  <c r="P336" i="33"/>
  <c r="BK336" i="33"/>
  <c r="J336" i="33"/>
  <c r="BF336" i="33" s="1"/>
  <c r="BI335" i="33"/>
  <c r="BH335" i="33"/>
  <c r="BG335" i="33"/>
  <c r="BE335" i="33"/>
  <c r="T335" i="33"/>
  <c r="R335" i="33"/>
  <c r="P335" i="33"/>
  <c r="BK335" i="33"/>
  <c r="J335" i="33"/>
  <c r="BF335" i="33" s="1"/>
  <c r="BI334" i="33"/>
  <c r="BH334" i="33"/>
  <c r="BG334" i="33"/>
  <c r="BE334" i="33"/>
  <c r="T334" i="33"/>
  <c r="R334" i="33"/>
  <c r="P334" i="33"/>
  <c r="BK334" i="33"/>
  <c r="J334" i="33"/>
  <c r="BF334" i="33" s="1"/>
  <c r="BI333" i="33"/>
  <c r="BH333" i="33"/>
  <c r="BG333" i="33"/>
  <c r="BE333" i="33"/>
  <c r="T333" i="33"/>
  <c r="R333" i="33"/>
  <c r="P333" i="33"/>
  <c r="BK333" i="33"/>
  <c r="J333" i="33"/>
  <c r="BF333" i="33" s="1"/>
  <c r="BI332" i="33"/>
  <c r="BH332" i="33"/>
  <c r="BG332" i="33"/>
  <c r="BE332" i="33"/>
  <c r="T332" i="33"/>
  <c r="R332" i="33"/>
  <c r="P332" i="33"/>
  <c r="BK332" i="33"/>
  <c r="J332" i="33"/>
  <c r="BF332" i="33" s="1"/>
  <c r="BI328" i="33"/>
  <c r="BH328" i="33"/>
  <c r="BG328" i="33"/>
  <c r="BE328" i="33"/>
  <c r="T328" i="33"/>
  <c r="T326" i="33" s="1"/>
  <c r="R328" i="33"/>
  <c r="R326" i="33" s="1"/>
  <c r="P328" i="33"/>
  <c r="P326" i="33" s="1"/>
  <c r="BK328" i="33"/>
  <c r="BK326" i="33" s="1"/>
  <c r="J326" i="33" s="1"/>
  <c r="J125" i="33" s="1"/>
  <c r="J328" i="33"/>
  <c r="BF328" i="33" s="1"/>
  <c r="BI325" i="33"/>
  <c r="BH325" i="33"/>
  <c r="BG325" i="33"/>
  <c r="BE325" i="33"/>
  <c r="T325" i="33"/>
  <c r="R325" i="33"/>
  <c r="P325" i="33"/>
  <c r="BK325" i="33"/>
  <c r="J325" i="33"/>
  <c r="BF325" i="33" s="1"/>
  <c r="BI324" i="33"/>
  <c r="BH324" i="33"/>
  <c r="BG324" i="33"/>
  <c r="BE324" i="33"/>
  <c r="T324" i="33"/>
  <c r="R324" i="33"/>
  <c r="P324" i="33"/>
  <c r="BK324" i="33"/>
  <c r="J324" i="33"/>
  <c r="BF324" i="33" s="1"/>
  <c r="BI322" i="33"/>
  <c r="BH322" i="33"/>
  <c r="BG322" i="33"/>
  <c r="BE322" i="33"/>
  <c r="T322" i="33"/>
  <c r="R322" i="33"/>
  <c r="P322" i="33"/>
  <c r="BK322" i="33"/>
  <c r="J322" i="33"/>
  <c r="BF322" i="33" s="1"/>
  <c r="BI321" i="33"/>
  <c r="BH321" i="33"/>
  <c r="BG321" i="33"/>
  <c r="BE321" i="33"/>
  <c r="T321" i="33"/>
  <c r="R321" i="33"/>
  <c r="P321" i="33"/>
  <c r="BK321" i="33"/>
  <c r="J321" i="33"/>
  <c r="BF321" i="33" s="1"/>
  <c r="BI319" i="33"/>
  <c r="BH319" i="33"/>
  <c r="BG319" i="33"/>
  <c r="BE319" i="33"/>
  <c r="T319" i="33"/>
  <c r="R319" i="33"/>
  <c r="P319" i="33"/>
  <c r="BK319" i="33"/>
  <c r="J319" i="33"/>
  <c r="BF319" i="33" s="1"/>
  <c r="BI318" i="33"/>
  <c r="BH318" i="33"/>
  <c r="BG318" i="33"/>
  <c r="BE318" i="33"/>
  <c r="T318" i="33"/>
  <c r="R318" i="33"/>
  <c r="P318" i="33"/>
  <c r="BK318" i="33"/>
  <c r="J318" i="33"/>
  <c r="BF318" i="33" s="1"/>
  <c r="BI317" i="33"/>
  <c r="BH317" i="33"/>
  <c r="BG317" i="33"/>
  <c r="BE317" i="33"/>
  <c r="T317" i="33"/>
  <c r="R317" i="33"/>
  <c r="P317" i="33"/>
  <c r="BK317" i="33"/>
  <c r="J317" i="33"/>
  <c r="BF317" i="33" s="1"/>
  <c r="BI316" i="33"/>
  <c r="BH316" i="33"/>
  <c r="BG316" i="33"/>
  <c r="BE316" i="33"/>
  <c r="T316" i="33"/>
  <c r="R316" i="33"/>
  <c r="P316" i="33"/>
  <c r="BK316" i="33"/>
  <c r="J316" i="33"/>
  <c r="BF316" i="33" s="1"/>
  <c r="BI315" i="33"/>
  <c r="BH315" i="33"/>
  <c r="BG315" i="33"/>
  <c r="BE315" i="33"/>
  <c r="T315" i="33"/>
  <c r="R315" i="33"/>
  <c r="P315" i="33"/>
  <c r="BK315" i="33"/>
  <c r="J315" i="33"/>
  <c r="BF315" i="33" s="1"/>
  <c r="BI309" i="33"/>
  <c r="BH309" i="33"/>
  <c r="BG309" i="33"/>
  <c r="BE309" i="33"/>
  <c r="T309" i="33"/>
  <c r="R309" i="33"/>
  <c r="P309" i="33"/>
  <c r="BK309" i="33"/>
  <c r="J309" i="33"/>
  <c r="BF309" i="33" s="1"/>
  <c r="BI308" i="33"/>
  <c r="BH308" i="33"/>
  <c r="BG308" i="33"/>
  <c r="BE308" i="33"/>
  <c r="T308" i="33"/>
  <c r="R308" i="33"/>
  <c r="P308" i="33"/>
  <c r="BK308" i="33"/>
  <c r="J308" i="33"/>
  <c r="BF308" i="33" s="1"/>
  <c r="BI307" i="33"/>
  <c r="BH307" i="33"/>
  <c r="BG307" i="33"/>
  <c r="BE307" i="33"/>
  <c r="T307" i="33"/>
  <c r="R307" i="33"/>
  <c r="P307" i="33"/>
  <c r="BK307" i="33"/>
  <c r="J307" i="33"/>
  <c r="BF307" i="33" s="1"/>
  <c r="BI305" i="33"/>
  <c r="BH305" i="33"/>
  <c r="BG305" i="33"/>
  <c r="BE305" i="33"/>
  <c r="T305" i="33"/>
  <c r="R305" i="33"/>
  <c r="P305" i="33"/>
  <c r="BK305" i="33"/>
  <c r="J305" i="33"/>
  <c r="BF305" i="33" s="1"/>
  <c r="BI301" i="33"/>
  <c r="BH301" i="33"/>
  <c r="BG301" i="33"/>
  <c r="BE301" i="33"/>
  <c r="T301" i="33"/>
  <c r="R301" i="33"/>
  <c r="P301" i="33"/>
  <c r="BK301" i="33"/>
  <c r="J301" i="33"/>
  <c r="BF301" i="33" s="1"/>
  <c r="BI299" i="33"/>
  <c r="BH299" i="33"/>
  <c r="BG299" i="33"/>
  <c r="BE299" i="33"/>
  <c r="T299" i="33"/>
  <c r="R299" i="33"/>
  <c r="P299" i="33"/>
  <c r="BK299" i="33"/>
  <c r="J299" i="33"/>
  <c r="BF299" i="33" s="1"/>
  <c r="BI298" i="33"/>
  <c r="BH298" i="33"/>
  <c r="BG298" i="33"/>
  <c r="BE298" i="33"/>
  <c r="T298" i="33"/>
  <c r="R298" i="33"/>
  <c r="P298" i="33"/>
  <c r="BK298" i="33"/>
  <c r="J298" i="33"/>
  <c r="BF298" i="33" s="1"/>
  <c r="BI297" i="33"/>
  <c r="BH297" i="33"/>
  <c r="BG297" i="33"/>
  <c r="BE297" i="33"/>
  <c r="T297" i="33"/>
  <c r="R297" i="33"/>
  <c r="P297" i="33"/>
  <c r="BK297" i="33"/>
  <c r="J297" i="33"/>
  <c r="BF297" i="33" s="1"/>
  <c r="BI296" i="33"/>
  <c r="BH296" i="33"/>
  <c r="BG296" i="33"/>
  <c r="BE296" i="33"/>
  <c r="T296" i="33"/>
  <c r="R296" i="33"/>
  <c r="P296" i="33"/>
  <c r="BK296" i="33"/>
  <c r="J296" i="33"/>
  <c r="BF296" i="33" s="1"/>
  <c r="BI295" i="33"/>
  <c r="BH295" i="33"/>
  <c r="BG295" i="33"/>
  <c r="BE295" i="33"/>
  <c r="T295" i="33"/>
  <c r="R295" i="33"/>
  <c r="P295" i="33"/>
  <c r="BK295" i="33"/>
  <c r="J295" i="33"/>
  <c r="BF295" i="33" s="1"/>
  <c r="BI294" i="33"/>
  <c r="BH294" i="33"/>
  <c r="BG294" i="33"/>
  <c r="BE294" i="33"/>
  <c r="T294" i="33"/>
  <c r="R294" i="33"/>
  <c r="P294" i="33"/>
  <c r="BK294" i="33"/>
  <c r="J294" i="33"/>
  <c r="BF294" i="33" s="1"/>
  <c r="BI292" i="33"/>
  <c r="BH292" i="33"/>
  <c r="BG292" i="33"/>
  <c r="BE292" i="33"/>
  <c r="T292" i="33"/>
  <c r="R292" i="33"/>
  <c r="P292" i="33"/>
  <c r="BK292" i="33"/>
  <c r="J292" i="33"/>
  <c r="BF292" i="33" s="1"/>
  <c r="BI291" i="33"/>
  <c r="BH291" i="33"/>
  <c r="BG291" i="33"/>
  <c r="BE291" i="33"/>
  <c r="T291" i="33"/>
  <c r="R291" i="33"/>
  <c r="P291" i="33"/>
  <c r="BK291" i="33"/>
  <c r="J291" i="33"/>
  <c r="BF291" i="33" s="1"/>
  <c r="BI289" i="33"/>
  <c r="BH289" i="33"/>
  <c r="BG289" i="33"/>
  <c r="BE289" i="33"/>
  <c r="T289" i="33"/>
  <c r="R289" i="33"/>
  <c r="P289" i="33"/>
  <c r="BK289" i="33"/>
  <c r="J289" i="33"/>
  <c r="BF289" i="33" s="1"/>
  <c r="BI288" i="33"/>
  <c r="BH288" i="33"/>
  <c r="BG288" i="33"/>
  <c r="BE288" i="33"/>
  <c r="T288" i="33"/>
  <c r="R288" i="33"/>
  <c r="P288" i="33"/>
  <c r="BK288" i="33"/>
  <c r="J288" i="33"/>
  <c r="BF288" i="33" s="1"/>
  <c r="BI286" i="33"/>
  <c r="BH286" i="33"/>
  <c r="BG286" i="33"/>
  <c r="BE286" i="33"/>
  <c r="T286" i="33"/>
  <c r="R286" i="33"/>
  <c r="P286" i="33"/>
  <c r="BK286" i="33"/>
  <c r="J286" i="33"/>
  <c r="BF286" i="33" s="1"/>
  <c r="BI285" i="33"/>
  <c r="BH285" i="33"/>
  <c r="BG285" i="33"/>
  <c r="BE285" i="33"/>
  <c r="T285" i="33"/>
  <c r="R285" i="33"/>
  <c r="P285" i="33"/>
  <c r="BK285" i="33"/>
  <c r="J285" i="33"/>
  <c r="BF285" i="33" s="1"/>
  <c r="BI281" i="33"/>
  <c r="BH281" i="33"/>
  <c r="BG281" i="33"/>
  <c r="BE281" i="33"/>
  <c r="T281" i="33"/>
  <c r="R281" i="33"/>
  <c r="P281" i="33"/>
  <c r="BK281" i="33"/>
  <c r="J281" i="33"/>
  <c r="BF281" i="33" s="1"/>
  <c r="BI280" i="33"/>
  <c r="BH280" i="33"/>
  <c r="BG280" i="33"/>
  <c r="BE280" i="33"/>
  <c r="T280" i="33"/>
  <c r="R280" i="33"/>
  <c r="P280" i="33"/>
  <c r="BK280" i="33"/>
  <c r="J280" i="33"/>
  <c r="BF280" i="33" s="1"/>
  <c r="BI279" i="33"/>
  <c r="BH279" i="33"/>
  <c r="BG279" i="33"/>
  <c r="BE279" i="33"/>
  <c r="T279" i="33"/>
  <c r="R279" i="33"/>
  <c r="P279" i="33"/>
  <c r="BK279" i="33"/>
  <c r="J279" i="33"/>
  <c r="BF279" i="33" s="1"/>
  <c r="BI276" i="33"/>
  <c r="BH276" i="33"/>
  <c r="BG276" i="33"/>
  <c r="BE276" i="33"/>
  <c r="T276" i="33"/>
  <c r="R276" i="33"/>
  <c r="P276" i="33"/>
  <c r="BK276" i="33"/>
  <c r="J276" i="33"/>
  <c r="BF276" i="33" s="1"/>
  <c r="BI275" i="33"/>
  <c r="BH275" i="33"/>
  <c r="BG275" i="33"/>
  <c r="BE275" i="33"/>
  <c r="T275" i="33"/>
  <c r="R275" i="33"/>
  <c r="P275" i="33"/>
  <c r="BK275" i="33"/>
  <c r="J275" i="33"/>
  <c r="BF275" i="33" s="1"/>
  <c r="BI274" i="33"/>
  <c r="BH274" i="33"/>
  <c r="BG274" i="33"/>
  <c r="BE274" i="33"/>
  <c r="T274" i="33"/>
  <c r="R274" i="33"/>
  <c r="P274" i="33"/>
  <c r="BK274" i="33"/>
  <c r="J274" i="33"/>
  <c r="BF274" i="33" s="1"/>
  <c r="BI271" i="33"/>
  <c r="BH271" i="33"/>
  <c r="BG271" i="33"/>
  <c r="BE271" i="33"/>
  <c r="T271" i="33"/>
  <c r="R271" i="33"/>
  <c r="P271" i="33"/>
  <c r="BK271" i="33"/>
  <c r="J271" i="33"/>
  <c r="BF271" i="33" s="1"/>
  <c r="BI270" i="33"/>
  <c r="BH270" i="33"/>
  <c r="BG270" i="33"/>
  <c r="BE270" i="33"/>
  <c r="T270" i="33"/>
  <c r="R270" i="33"/>
  <c r="P270" i="33"/>
  <c r="BK270" i="33"/>
  <c r="J270" i="33"/>
  <c r="BF270" i="33" s="1"/>
  <c r="BI269" i="33"/>
  <c r="BH269" i="33"/>
  <c r="BG269" i="33"/>
  <c r="BE269" i="33"/>
  <c r="T269" i="33"/>
  <c r="R269" i="33"/>
  <c r="P269" i="33"/>
  <c r="BK269" i="33"/>
  <c r="J269" i="33"/>
  <c r="BF269" i="33" s="1"/>
  <c r="BI268" i="33"/>
  <c r="BH268" i="33"/>
  <c r="BG268" i="33"/>
  <c r="BE268" i="33"/>
  <c r="T268" i="33"/>
  <c r="R268" i="33"/>
  <c r="P268" i="33"/>
  <c r="BK268" i="33"/>
  <c r="J268" i="33"/>
  <c r="BF268" i="33" s="1"/>
  <c r="BI262" i="33"/>
  <c r="BH262" i="33"/>
  <c r="BG262" i="33"/>
  <c r="BE262" i="33"/>
  <c r="T262" i="33"/>
  <c r="R262" i="33"/>
  <c r="P262" i="33"/>
  <c r="BK262" i="33"/>
  <c r="J262" i="33"/>
  <c r="BF262" i="33" s="1"/>
  <c r="BI261" i="33"/>
  <c r="BH261" i="33"/>
  <c r="BG261" i="33"/>
  <c r="BE261" i="33"/>
  <c r="T261" i="33"/>
  <c r="R261" i="33"/>
  <c r="P261" i="33"/>
  <c r="BK261" i="33"/>
  <c r="J261" i="33"/>
  <c r="BF261" i="33" s="1"/>
  <c r="BI259" i="33"/>
  <c r="BH259" i="33"/>
  <c r="BG259" i="33"/>
  <c r="BE259" i="33"/>
  <c r="T259" i="33"/>
  <c r="R259" i="33"/>
  <c r="P259" i="33"/>
  <c r="BK259" i="33"/>
  <c r="J259" i="33"/>
  <c r="BF259" i="33" s="1"/>
  <c r="BI256" i="33"/>
  <c r="BH256" i="33"/>
  <c r="BG256" i="33"/>
  <c r="BE256" i="33"/>
  <c r="T256" i="33"/>
  <c r="R256" i="33"/>
  <c r="P256" i="33"/>
  <c r="BK256" i="33"/>
  <c r="J256" i="33"/>
  <c r="BF256" i="33" s="1"/>
  <c r="BI255" i="33"/>
  <c r="BH255" i="33"/>
  <c r="BG255" i="33"/>
  <c r="BE255" i="33"/>
  <c r="T255" i="33"/>
  <c r="R255" i="33"/>
  <c r="P255" i="33"/>
  <c r="BK255" i="33"/>
  <c r="J255" i="33"/>
  <c r="BF255" i="33" s="1"/>
  <c r="BI223" i="33"/>
  <c r="BH223" i="33"/>
  <c r="BG223" i="33"/>
  <c r="BE223" i="33"/>
  <c r="T223" i="33"/>
  <c r="R223" i="33"/>
  <c r="P223" i="33"/>
  <c r="BK223" i="33"/>
  <c r="J223" i="33"/>
  <c r="BF223" i="33" s="1"/>
  <c r="BI222" i="33"/>
  <c r="BH222" i="33"/>
  <c r="BG222" i="33"/>
  <c r="BE222" i="33"/>
  <c r="T222" i="33"/>
  <c r="R222" i="33"/>
  <c r="P222" i="33"/>
  <c r="BK222" i="33"/>
  <c r="J222" i="33"/>
  <c r="BF222" i="33" s="1"/>
  <c r="BI221" i="33"/>
  <c r="BH221" i="33"/>
  <c r="BG221" i="33"/>
  <c r="BE221" i="33"/>
  <c r="T221" i="33"/>
  <c r="R221" i="33"/>
  <c r="P221" i="33"/>
  <c r="BK221" i="33"/>
  <c r="J221" i="33"/>
  <c r="BF221" i="33" s="1"/>
  <c r="BI220" i="33"/>
  <c r="BH220" i="33"/>
  <c r="BG220" i="33"/>
  <c r="BE220" i="33"/>
  <c r="T220" i="33"/>
  <c r="R220" i="33"/>
  <c r="P220" i="33"/>
  <c r="BK220" i="33"/>
  <c r="J220" i="33"/>
  <c r="BF220" i="33" s="1"/>
  <c r="BI219" i="33"/>
  <c r="BH219" i="33"/>
  <c r="BG219" i="33"/>
  <c r="BE219" i="33"/>
  <c r="T219" i="33"/>
  <c r="R219" i="33"/>
  <c r="P219" i="33"/>
  <c r="BK219" i="33"/>
  <c r="J219" i="33"/>
  <c r="BF219" i="33" s="1"/>
  <c r="BI218" i="33"/>
  <c r="BH218" i="33"/>
  <c r="BG218" i="33"/>
  <c r="BE218" i="33"/>
  <c r="T218" i="33"/>
  <c r="R218" i="33"/>
  <c r="P218" i="33"/>
  <c r="BK218" i="33"/>
  <c r="J218" i="33"/>
  <c r="BF218" i="33" s="1"/>
  <c r="BI217" i="33"/>
  <c r="BH217" i="33"/>
  <c r="BG217" i="33"/>
  <c r="BE217" i="33"/>
  <c r="T217" i="33"/>
  <c r="R217" i="33"/>
  <c r="P217" i="33"/>
  <c r="BK217" i="33"/>
  <c r="J217" i="33"/>
  <c r="BF217" i="33" s="1"/>
  <c r="BI215" i="33"/>
  <c r="BH215" i="33"/>
  <c r="BG215" i="33"/>
  <c r="BE215" i="33"/>
  <c r="T215" i="33"/>
  <c r="R215" i="33"/>
  <c r="P215" i="33"/>
  <c r="BK215" i="33"/>
  <c r="J215" i="33"/>
  <c r="BF215" i="33" s="1"/>
  <c r="BI213" i="33"/>
  <c r="BH213" i="33"/>
  <c r="BG213" i="33"/>
  <c r="BE213" i="33"/>
  <c r="T213" i="33"/>
  <c r="R213" i="33"/>
  <c r="P213" i="33"/>
  <c r="BK213" i="33"/>
  <c r="J213" i="33"/>
  <c r="BF213" i="33" s="1"/>
  <c r="BI211" i="33"/>
  <c r="BH211" i="33"/>
  <c r="BG211" i="33"/>
  <c r="BE211" i="33"/>
  <c r="T211" i="33"/>
  <c r="R211" i="33"/>
  <c r="P211" i="33"/>
  <c r="BK211" i="33"/>
  <c r="J211" i="33"/>
  <c r="BF211" i="33" s="1"/>
  <c r="BI210" i="33"/>
  <c r="BH210" i="33"/>
  <c r="BG210" i="33"/>
  <c r="BE210" i="33"/>
  <c r="T210" i="33"/>
  <c r="R210" i="33"/>
  <c r="P210" i="33"/>
  <c r="BK210" i="33"/>
  <c r="J210" i="33"/>
  <c r="BF210" i="33" s="1"/>
  <c r="BI207" i="33"/>
  <c r="BH207" i="33"/>
  <c r="BG207" i="33"/>
  <c r="BE207" i="33"/>
  <c r="T207" i="33"/>
  <c r="R207" i="33"/>
  <c r="P207" i="33"/>
  <c r="BK207" i="33"/>
  <c r="J207" i="33"/>
  <c r="BF207" i="33" s="1"/>
  <c r="BI205" i="33"/>
  <c r="BH205" i="33"/>
  <c r="BG205" i="33"/>
  <c r="BE205" i="33"/>
  <c r="T205" i="33"/>
  <c r="R205" i="33"/>
  <c r="P205" i="33"/>
  <c r="BK205" i="33"/>
  <c r="J205" i="33"/>
  <c r="BF205" i="33" s="1"/>
  <c r="BI203" i="33"/>
  <c r="BH203" i="33"/>
  <c r="BG203" i="33"/>
  <c r="BE203" i="33"/>
  <c r="T203" i="33"/>
  <c r="T202" i="33" s="1"/>
  <c r="R203" i="33"/>
  <c r="R202" i="33" s="1"/>
  <c r="P203" i="33"/>
  <c r="P202" i="33" s="1"/>
  <c r="BK203" i="33"/>
  <c r="BK202" i="33" s="1"/>
  <c r="J202" i="33" s="1"/>
  <c r="J107" i="33" s="1"/>
  <c r="J203" i="33"/>
  <c r="BF203" i="33" s="1"/>
  <c r="BI201" i="33"/>
  <c r="BH201" i="33"/>
  <c r="BG201" i="33"/>
  <c r="BE201" i="33"/>
  <c r="T201" i="33"/>
  <c r="R201" i="33"/>
  <c r="P201" i="33"/>
  <c r="BK201" i="33"/>
  <c r="J201" i="33"/>
  <c r="BF201" i="33" s="1"/>
  <c r="BI200" i="33"/>
  <c r="BH200" i="33"/>
  <c r="BG200" i="33"/>
  <c r="BE200" i="33"/>
  <c r="T200" i="33"/>
  <c r="R200" i="33"/>
  <c r="P200" i="33"/>
  <c r="BK200" i="33"/>
  <c r="J200" i="33"/>
  <c r="BF200" i="33" s="1"/>
  <c r="BI198" i="33"/>
  <c r="BH198" i="33"/>
  <c r="BG198" i="33"/>
  <c r="BE198" i="33"/>
  <c r="T198" i="33"/>
  <c r="T196" i="33" s="1"/>
  <c r="R198" i="33"/>
  <c r="R196" i="33" s="1"/>
  <c r="P198" i="33"/>
  <c r="P196" i="33" s="1"/>
  <c r="BK198" i="33"/>
  <c r="BK196" i="33" s="1"/>
  <c r="J196" i="33" s="1"/>
  <c r="J105" i="33" s="1"/>
  <c r="J198" i="33"/>
  <c r="BF198" i="33" s="1"/>
  <c r="BI194" i="33"/>
  <c r="BH194" i="33"/>
  <c r="BG194" i="33"/>
  <c r="BE194" i="33"/>
  <c r="T194" i="33"/>
  <c r="R194" i="33"/>
  <c r="P194" i="33"/>
  <c r="BK194" i="33"/>
  <c r="J194" i="33"/>
  <c r="BF194" i="33" s="1"/>
  <c r="BI192" i="33"/>
  <c r="BH192" i="33"/>
  <c r="BG192" i="33"/>
  <c r="BE192" i="33"/>
  <c r="T192" i="33"/>
  <c r="R192" i="33"/>
  <c r="P192" i="33"/>
  <c r="BK192" i="33"/>
  <c r="J192" i="33"/>
  <c r="BF192" i="33" s="1"/>
  <c r="BI191" i="33"/>
  <c r="BH191" i="33"/>
  <c r="BG191" i="33"/>
  <c r="BE191" i="33"/>
  <c r="T191" i="33"/>
  <c r="R191" i="33"/>
  <c r="P191" i="33"/>
  <c r="BK191" i="33"/>
  <c r="J191" i="33"/>
  <c r="BF191" i="33" s="1"/>
  <c r="BI188" i="33"/>
  <c r="BH188" i="33"/>
  <c r="BG188" i="33"/>
  <c r="BE188" i="33"/>
  <c r="T188" i="33"/>
  <c r="R188" i="33"/>
  <c r="P188" i="33"/>
  <c r="BK188" i="33"/>
  <c r="J188" i="33"/>
  <c r="BF188" i="33" s="1"/>
  <c r="BI187" i="33"/>
  <c r="BH187" i="33"/>
  <c r="BG187" i="33"/>
  <c r="BE187" i="33"/>
  <c r="T187" i="33"/>
  <c r="R187" i="33"/>
  <c r="P187" i="33"/>
  <c r="BK187" i="33"/>
  <c r="J187" i="33"/>
  <c r="BF187" i="33" s="1"/>
  <c r="BI186" i="33"/>
  <c r="BH186" i="33"/>
  <c r="BG186" i="33"/>
  <c r="BE186" i="33"/>
  <c r="T186" i="33"/>
  <c r="R186" i="33"/>
  <c r="P186" i="33"/>
  <c r="BK186" i="33"/>
  <c r="J186" i="33"/>
  <c r="BF186" i="33" s="1"/>
  <c r="BI185" i="33"/>
  <c r="BH185" i="33"/>
  <c r="BG185" i="33"/>
  <c r="BE185" i="33"/>
  <c r="T185" i="33"/>
  <c r="R185" i="33"/>
  <c r="P185" i="33"/>
  <c r="BK185" i="33"/>
  <c r="J185" i="33"/>
  <c r="BF185" i="33" s="1"/>
  <c r="BI165" i="33"/>
  <c r="BH165" i="33"/>
  <c r="BG165" i="33"/>
  <c r="BE165" i="33"/>
  <c r="T165" i="33"/>
  <c r="R165" i="33"/>
  <c r="P165" i="33"/>
  <c r="BK165" i="33"/>
  <c r="J165" i="33"/>
  <c r="BF165" i="33" s="1"/>
  <c r="BI164" i="33"/>
  <c r="BH164" i="33"/>
  <c r="BG164" i="33"/>
  <c r="BE164" i="33"/>
  <c r="T164" i="33"/>
  <c r="R164" i="33"/>
  <c r="P164" i="33"/>
  <c r="BK164" i="33"/>
  <c r="J164" i="33"/>
  <c r="BF164" i="33" s="1"/>
  <c r="BI163" i="33"/>
  <c r="BH163" i="33"/>
  <c r="BG163" i="33"/>
  <c r="BE163" i="33"/>
  <c r="T163" i="33"/>
  <c r="R163" i="33"/>
  <c r="P163" i="33"/>
  <c r="BK163" i="33"/>
  <c r="J163" i="33"/>
  <c r="BF163" i="33" s="1"/>
  <c r="BI161" i="33"/>
  <c r="BH161" i="33"/>
  <c r="BG161" i="33"/>
  <c r="BE161" i="33"/>
  <c r="T161" i="33"/>
  <c r="R161" i="33"/>
  <c r="P161" i="33"/>
  <c r="BK161" i="33"/>
  <c r="J161" i="33"/>
  <c r="BF161" i="33" s="1"/>
  <c r="BI159" i="33"/>
  <c r="BH159" i="33"/>
  <c r="BG159" i="33"/>
  <c r="BE159" i="33"/>
  <c r="T159" i="33"/>
  <c r="R159" i="33"/>
  <c r="P159" i="33"/>
  <c r="BK159" i="33"/>
  <c r="J159" i="33"/>
  <c r="BF159" i="33" s="1"/>
  <c r="F149" i="33"/>
  <c r="F89" i="33"/>
  <c r="J24" i="33"/>
  <c r="E24" i="33"/>
  <c r="J152" i="33" s="1"/>
  <c r="J23" i="33"/>
  <c r="J21" i="33"/>
  <c r="E21" i="33"/>
  <c r="J91" i="33" s="1"/>
  <c r="J20" i="33"/>
  <c r="J18" i="33"/>
  <c r="J15" i="33"/>
  <c r="E15" i="33"/>
  <c r="J14" i="33"/>
  <c r="J89" i="33"/>
  <c r="J37" i="32"/>
  <c r="J36" i="32"/>
  <c r="AY125" i="1" s="1"/>
  <c r="J35" i="32"/>
  <c r="AX125" i="1" s="1"/>
  <c r="BI167" i="32"/>
  <c r="BH167" i="32"/>
  <c r="BG167" i="32"/>
  <c r="BE167" i="32"/>
  <c r="T167" i="32"/>
  <c r="R167" i="32"/>
  <c r="P167" i="32"/>
  <c r="BK167" i="32"/>
  <c r="J167" i="32"/>
  <c r="BF167" i="32" s="1"/>
  <c r="BI166" i="32"/>
  <c r="BH166" i="32"/>
  <c r="BG166" i="32"/>
  <c r="BE166" i="32"/>
  <c r="T166" i="32"/>
  <c r="R166" i="32"/>
  <c r="P166" i="32"/>
  <c r="BK166" i="32"/>
  <c r="J166" i="32"/>
  <c r="BF166" i="32" s="1"/>
  <c r="BI165" i="32"/>
  <c r="BH165" i="32"/>
  <c r="BG165" i="32"/>
  <c r="BE165" i="32"/>
  <c r="T165" i="32"/>
  <c r="R165" i="32"/>
  <c r="P165" i="32"/>
  <c r="BK165" i="32"/>
  <c r="J165" i="32"/>
  <c r="BF165" i="32" s="1"/>
  <c r="BI164" i="32"/>
  <c r="BH164" i="32"/>
  <c r="BG164" i="32"/>
  <c r="BE164" i="32"/>
  <c r="T164" i="32"/>
  <c r="R164" i="32"/>
  <c r="P164" i="32"/>
  <c r="BK164" i="32"/>
  <c r="J164" i="32"/>
  <c r="BF164" i="32" s="1"/>
  <c r="BI163" i="32"/>
  <c r="BH163" i="32"/>
  <c r="BG163" i="32"/>
  <c r="BE163" i="32"/>
  <c r="T163" i="32"/>
  <c r="R163" i="32"/>
  <c r="P163" i="32"/>
  <c r="BK163" i="32"/>
  <c r="J163" i="32"/>
  <c r="BF163" i="32" s="1"/>
  <c r="BI162" i="32"/>
  <c r="BH162" i="32"/>
  <c r="BG162" i="32"/>
  <c r="BE162" i="32"/>
  <c r="T162" i="32"/>
  <c r="R162" i="32"/>
  <c r="P162" i="32"/>
  <c r="BK162" i="32"/>
  <c r="J162" i="32"/>
  <c r="BF162" i="32" s="1"/>
  <c r="BI161" i="32"/>
  <c r="BH161" i="32"/>
  <c r="BG161" i="32"/>
  <c r="BE161" i="32"/>
  <c r="T161" i="32"/>
  <c r="R161" i="32"/>
  <c r="P161" i="32"/>
  <c r="BK161" i="32"/>
  <c r="J161" i="32"/>
  <c r="BF161" i="32" s="1"/>
  <c r="BI160" i="32"/>
  <c r="BH160" i="32"/>
  <c r="BG160" i="32"/>
  <c r="BE160" i="32"/>
  <c r="T160" i="32"/>
  <c r="R160" i="32"/>
  <c r="P160" i="32"/>
  <c r="BK160" i="32"/>
  <c r="J160" i="32"/>
  <c r="BF160" i="32" s="1"/>
  <c r="BI159" i="32"/>
  <c r="BH159" i="32"/>
  <c r="BG159" i="32"/>
  <c r="BE159" i="32"/>
  <c r="T159" i="32"/>
  <c r="R159" i="32"/>
  <c r="P159" i="32"/>
  <c r="BK159" i="32"/>
  <c r="J159" i="32"/>
  <c r="BF159" i="32" s="1"/>
  <c r="BI158" i="32"/>
  <c r="BH158" i="32"/>
  <c r="BG158" i="32"/>
  <c r="BE158" i="32"/>
  <c r="T158" i="32"/>
  <c r="R158" i="32"/>
  <c r="P158" i="32"/>
  <c r="BK158" i="32"/>
  <c r="J158" i="32"/>
  <c r="BF158" i="32" s="1"/>
  <c r="BI156" i="32"/>
  <c r="BH156" i="32"/>
  <c r="BG156" i="32"/>
  <c r="BE156" i="32"/>
  <c r="T156" i="32"/>
  <c r="R156" i="32"/>
  <c r="P156" i="32"/>
  <c r="BK156" i="32"/>
  <c r="J156" i="32"/>
  <c r="BF156" i="32" s="1"/>
  <c r="BI155" i="32"/>
  <c r="BH155" i="32"/>
  <c r="BG155" i="32"/>
  <c r="BE155" i="32"/>
  <c r="T155" i="32"/>
  <c r="R155" i="32"/>
  <c r="P155" i="32"/>
  <c r="BK155" i="32"/>
  <c r="J155" i="32"/>
  <c r="BF155" i="32" s="1"/>
  <c r="BI154" i="32"/>
  <c r="BH154" i="32"/>
  <c r="BG154" i="32"/>
  <c r="BE154" i="32"/>
  <c r="T154" i="32"/>
  <c r="R154" i="32"/>
  <c r="P154" i="32"/>
  <c r="BK154" i="32"/>
  <c r="J154" i="32"/>
  <c r="BF154" i="32" s="1"/>
  <c r="BI153" i="32"/>
  <c r="BH153" i="32"/>
  <c r="BG153" i="32"/>
  <c r="BE153" i="32"/>
  <c r="T153" i="32"/>
  <c r="R153" i="32"/>
  <c r="P153" i="32"/>
  <c r="BK153" i="32"/>
  <c r="J153" i="32"/>
  <c r="BF153" i="32" s="1"/>
  <c r="BI152" i="32"/>
  <c r="BH152" i="32"/>
  <c r="BG152" i="32"/>
  <c r="BE152" i="32"/>
  <c r="T152" i="32"/>
  <c r="R152" i="32"/>
  <c r="P152" i="32"/>
  <c r="BK152" i="32"/>
  <c r="J152" i="32"/>
  <c r="BF152" i="32" s="1"/>
  <c r="BI151" i="32"/>
  <c r="BH151" i="32"/>
  <c r="BG151" i="32"/>
  <c r="BE151" i="32"/>
  <c r="T151" i="32"/>
  <c r="R151" i="32"/>
  <c r="P151" i="32"/>
  <c r="BK151" i="32"/>
  <c r="J151" i="32"/>
  <c r="BF151" i="32" s="1"/>
  <c r="BI150" i="32"/>
  <c r="BH150" i="32"/>
  <c r="BG150" i="32"/>
  <c r="BE150" i="32"/>
  <c r="T150" i="32"/>
  <c r="R150" i="32"/>
  <c r="P150" i="32"/>
  <c r="BK150" i="32"/>
  <c r="J150" i="32"/>
  <c r="BF150" i="32" s="1"/>
  <c r="BI149" i="32"/>
  <c r="BH149" i="32"/>
  <c r="BG149" i="32"/>
  <c r="BE149" i="32"/>
  <c r="T149" i="32"/>
  <c r="R149" i="32"/>
  <c r="P149" i="32"/>
  <c r="BK149" i="32"/>
  <c r="J149" i="32"/>
  <c r="BF149" i="32"/>
  <c r="BI147" i="32"/>
  <c r="BH147" i="32"/>
  <c r="BG147" i="32"/>
  <c r="BE147" i="32"/>
  <c r="T147" i="32"/>
  <c r="R147" i="32"/>
  <c r="P147" i="32"/>
  <c r="BK147" i="32"/>
  <c r="J147" i="32"/>
  <c r="BF147" i="32" s="1"/>
  <c r="BI146" i="32"/>
  <c r="BH146" i="32"/>
  <c r="BG146" i="32"/>
  <c r="BE146" i="32"/>
  <c r="T146" i="32"/>
  <c r="R146" i="32"/>
  <c r="P146" i="32"/>
  <c r="BK146" i="32"/>
  <c r="J146" i="32"/>
  <c r="BF146" i="32" s="1"/>
  <c r="BI144" i="32"/>
  <c r="BH144" i="32"/>
  <c r="BG144" i="32"/>
  <c r="BE144" i="32"/>
  <c r="T144" i="32"/>
  <c r="R144" i="32"/>
  <c r="P144" i="32"/>
  <c r="BK144" i="32"/>
  <c r="J144" i="32"/>
  <c r="BF144" i="32" s="1"/>
  <c r="BI143" i="32"/>
  <c r="BH143" i="32"/>
  <c r="BG143" i="32"/>
  <c r="BE143" i="32"/>
  <c r="T143" i="32"/>
  <c r="T142" i="32" s="1"/>
  <c r="R143" i="32"/>
  <c r="P143" i="32"/>
  <c r="BK143" i="32"/>
  <c r="J143" i="32"/>
  <c r="BF143" i="32" s="1"/>
  <c r="BI141" i="32"/>
  <c r="BH141" i="32"/>
  <c r="BG141" i="32"/>
  <c r="BE141" i="32"/>
  <c r="T141" i="32"/>
  <c r="T140" i="32" s="1"/>
  <c r="R141" i="32"/>
  <c r="R140" i="32" s="1"/>
  <c r="P141" i="32"/>
  <c r="P140" i="32" s="1"/>
  <c r="BK141" i="32"/>
  <c r="BK140" i="32" s="1"/>
  <c r="J140" i="32" s="1"/>
  <c r="J101" i="32" s="1"/>
  <c r="J141" i="32"/>
  <c r="BF141" i="32" s="1"/>
  <c r="BI139" i="32"/>
  <c r="BH139" i="32"/>
  <c r="BG139" i="32"/>
  <c r="BE139" i="32"/>
  <c r="T139" i="32"/>
  <c r="R139" i="32"/>
  <c r="P139" i="32"/>
  <c r="BK139" i="32"/>
  <c r="J139" i="32"/>
  <c r="BF139" i="32" s="1"/>
  <c r="BI136" i="32"/>
  <c r="BH136" i="32"/>
  <c r="BG136" i="32"/>
  <c r="BE136" i="32"/>
  <c r="T136" i="32"/>
  <c r="R136" i="32"/>
  <c r="P136" i="32"/>
  <c r="BK136" i="32"/>
  <c r="J136" i="32"/>
  <c r="BF136" i="32" s="1"/>
  <c r="BI135" i="32"/>
  <c r="BH135" i="32"/>
  <c r="BG135" i="32"/>
  <c r="BE135" i="32"/>
  <c r="T135" i="32"/>
  <c r="R135" i="32"/>
  <c r="P135" i="32"/>
  <c r="BK135" i="32"/>
  <c r="J135" i="32"/>
  <c r="BF135" i="32" s="1"/>
  <c r="BI134" i="32"/>
  <c r="BH134" i="32"/>
  <c r="BG134" i="32"/>
  <c r="BE134" i="32"/>
  <c r="T134" i="32"/>
  <c r="R134" i="32"/>
  <c r="P134" i="32"/>
  <c r="BK134" i="32"/>
  <c r="J134" i="32"/>
  <c r="BF134" i="32" s="1"/>
  <c r="BI133" i="32"/>
  <c r="BH133" i="32"/>
  <c r="BG133" i="32"/>
  <c r="BE133" i="32"/>
  <c r="T133" i="32"/>
  <c r="R133" i="32"/>
  <c r="P133" i="32"/>
  <c r="BK133" i="32"/>
  <c r="J133" i="32"/>
  <c r="BF133" i="32" s="1"/>
  <c r="BI130" i="32"/>
  <c r="BH130" i="32"/>
  <c r="BG130" i="32"/>
  <c r="BE130" i="32"/>
  <c r="T130" i="32"/>
  <c r="R130" i="32"/>
  <c r="P130" i="32"/>
  <c r="BK130" i="32"/>
  <c r="J130" i="32"/>
  <c r="BF130" i="32" s="1"/>
  <c r="BI129" i="32"/>
  <c r="BH129" i="32"/>
  <c r="BG129" i="32"/>
  <c r="BE129" i="32"/>
  <c r="T129" i="32"/>
  <c r="R129" i="32"/>
  <c r="P129" i="32"/>
  <c r="BK129" i="32"/>
  <c r="J129" i="32"/>
  <c r="BF129" i="32" s="1"/>
  <c r="BI128" i="32"/>
  <c r="BH128" i="32"/>
  <c r="BG128" i="32"/>
  <c r="BE128" i="32"/>
  <c r="T128" i="32"/>
  <c r="R128" i="32"/>
  <c r="P128" i="32"/>
  <c r="BK128" i="32"/>
  <c r="BK127" i="32" s="1"/>
  <c r="J127" i="32" s="1"/>
  <c r="J98" i="32" s="1"/>
  <c r="J128" i="32"/>
  <c r="BF128" i="32" s="1"/>
  <c r="F119" i="32"/>
  <c r="F89" i="32"/>
  <c r="J24" i="32"/>
  <c r="E24" i="32"/>
  <c r="J92" i="32" s="1"/>
  <c r="J23" i="32"/>
  <c r="J21" i="32"/>
  <c r="E21" i="32"/>
  <c r="J121" i="32" s="1"/>
  <c r="J20" i="32"/>
  <c r="J18" i="32"/>
  <c r="J15" i="32"/>
  <c r="E15" i="32"/>
  <c r="J14" i="32"/>
  <c r="J119" i="32"/>
  <c r="J89" i="32"/>
  <c r="J37" i="31"/>
  <c r="J36" i="31"/>
  <c r="AY124" i="1" s="1"/>
  <c r="J35" i="31"/>
  <c r="AX124" i="1" s="1"/>
  <c r="BI242" i="31"/>
  <c r="BH242" i="31"/>
  <c r="BG242" i="31"/>
  <c r="BE242" i="31"/>
  <c r="T242" i="31"/>
  <c r="R242" i="31"/>
  <c r="P242" i="31"/>
  <c r="BK242" i="31"/>
  <c r="J242" i="31"/>
  <c r="BF242" i="31" s="1"/>
  <c r="BI241" i="31"/>
  <c r="BH241" i="31"/>
  <c r="BG241" i="31"/>
  <c r="BE241" i="31"/>
  <c r="T241" i="31"/>
  <c r="R241" i="31"/>
  <c r="P241" i="31"/>
  <c r="BK241" i="31"/>
  <c r="J241" i="31"/>
  <c r="BF241" i="31" s="1"/>
  <c r="BI240" i="31"/>
  <c r="BH240" i="31"/>
  <c r="BG240" i="31"/>
  <c r="BE240" i="31"/>
  <c r="T240" i="31"/>
  <c r="R240" i="31"/>
  <c r="P240" i="31"/>
  <c r="BK240" i="31"/>
  <c r="J240" i="31"/>
  <c r="BF240" i="31" s="1"/>
  <c r="BI239" i="31"/>
  <c r="BH239" i="31"/>
  <c r="BG239" i="31"/>
  <c r="BE239" i="31"/>
  <c r="T239" i="31"/>
  <c r="R239" i="31"/>
  <c r="P239" i="31"/>
  <c r="BK239" i="31"/>
  <c r="J239" i="31"/>
  <c r="BF239" i="31" s="1"/>
  <c r="BI238" i="31"/>
  <c r="BH238" i="31"/>
  <c r="BG238" i="31"/>
  <c r="BE238" i="31"/>
  <c r="T238" i="31"/>
  <c r="R238" i="31"/>
  <c r="P238" i="31"/>
  <c r="BK238" i="31"/>
  <c r="J238" i="31"/>
  <c r="BF238" i="31" s="1"/>
  <c r="BI237" i="31"/>
  <c r="BH237" i="31"/>
  <c r="BG237" i="31"/>
  <c r="BE237" i="31"/>
  <c r="T237" i="31"/>
  <c r="R237" i="31"/>
  <c r="P237" i="31"/>
  <c r="BK237" i="31"/>
  <c r="J237" i="31"/>
  <c r="BF237" i="31" s="1"/>
  <c r="BI236" i="31"/>
  <c r="BH236" i="31"/>
  <c r="BG236" i="31"/>
  <c r="BE236" i="31"/>
  <c r="T236" i="31"/>
  <c r="R236" i="31"/>
  <c r="P236" i="31"/>
  <c r="BK236" i="31"/>
  <c r="J236" i="31"/>
  <c r="BF236" i="31" s="1"/>
  <c r="BI235" i="31"/>
  <c r="BH235" i="31"/>
  <c r="BG235" i="31"/>
  <c r="BE235" i="31"/>
  <c r="T235" i="31"/>
  <c r="R235" i="31"/>
  <c r="P235" i="31"/>
  <c r="BK235" i="31"/>
  <c r="J235" i="31"/>
  <c r="BF235" i="31" s="1"/>
  <c r="BI233" i="31"/>
  <c r="BH233" i="31"/>
  <c r="BG233" i="31"/>
  <c r="BE233" i="31"/>
  <c r="T233" i="31"/>
  <c r="R233" i="31"/>
  <c r="P233" i="31"/>
  <c r="BK233" i="31"/>
  <c r="J233" i="31"/>
  <c r="BF233" i="31" s="1"/>
  <c r="BI232" i="31"/>
  <c r="BH232" i="31"/>
  <c r="BG232" i="31"/>
  <c r="BE232" i="31"/>
  <c r="T232" i="31"/>
  <c r="R232" i="31"/>
  <c r="P232" i="31"/>
  <c r="BK232" i="31"/>
  <c r="J232" i="31"/>
  <c r="BF232" i="31" s="1"/>
  <c r="BI231" i="31"/>
  <c r="BH231" i="31"/>
  <c r="BG231" i="31"/>
  <c r="BE231" i="31"/>
  <c r="T231" i="31"/>
  <c r="R231" i="31"/>
  <c r="P231" i="31"/>
  <c r="BK231" i="31"/>
  <c r="J231" i="31"/>
  <c r="BF231" i="31" s="1"/>
  <c r="BI230" i="31"/>
  <c r="BH230" i="31"/>
  <c r="BG230" i="31"/>
  <c r="BE230" i="31"/>
  <c r="T230" i="31"/>
  <c r="R230" i="31"/>
  <c r="P230" i="31"/>
  <c r="BK230" i="31"/>
  <c r="J230" i="31"/>
  <c r="BF230" i="31" s="1"/>
  <c r="BI229" i="31"/>
  <c r="BH229" i="31"/>
  <c r="BG229" i="31"/>
  <c r="BE229" i="31"/>
  <c r="T229" i="31"/>
  <c r="R229" i="31"/>
  <c r="P229" i="31"/>
  <c r="BK229" i="31"/>
  <c r="J229" i="31"/>
  <c r="BF229" i="31" s="1"/>
  <c r="BI228" i="31"/>
  <c r="BH228" i="31"/>
  <c r="BG228" i="31"/>
  <c r="BE228" i="31"/>
  <c r="T228" i="31"/>
  <c r="R228" i="31"/>
  <c r="P228" i="31"/>
  <c r="BK228" i="31"/>
  <c r="J228" i="31"/>
  <c r="BF228" i="31" s="1"/>
  <c r="BI225" i="31"/>
  <c r="BH225" i="31"/>
  <c r="BG225" i="31"/>
  <c r="BE225" i="31"/>
  <c r="T225" i="31"/>
  <c r="R225" i="31"/>
  <c r="P225" i="31"/>
  <c r="BK225" i="31"/>
  <c r="J225" i="31"/>
  <c r="BF225" i="31" s="1"/>
  <c r="BI224" i="31"/>
  <c r="BH224" i="31"/>
  <c r="BG224" i="31"/>
  <c r="BE224" i="31"/>
  <c r="T224" i="31"/>
  <c r="R224" i="31"/>
  <c r="P224" i="31"/>
  <c r="BK224" i="31"/>
  <c r="J224" i="31"/>
  <c r="BF224" i="31" s="1"/>
  <c r="BI223" i="31"/>
  <c r="BH223" i="31"/>
  <c r="BG223" i="31"/>
  <c r="BE223" i="31"/>
  <c r="T223" i="31"/>
  <c r="R223" i="31"/>
  <c r="P223" i="31"/>
  <c r="BK223" i="31"/>
  <c r="J223" i="31"/>
  <c r="BF223" i="31" s="1"/>
  <c r="BI222" i="31"/>
  <c r="BH222" i="31"/>
  <c r="BG222" i="31"/>
  <c r="BE222" i="31"/>
  <c r="T222" i="31"/>
  <c r="R222" i="31"/>
  <c r="P222" i="31"/>
  <c r="BK222" i="31"/>
  <c r="J222" i="31"/>
  <c r="BF222" i="31" s="1"/>
  <c r="BI221" i="31"/>
  <c r="BH221" i="31"/>
  <c r="BG221" i="31"/>
  <c r="BE221" i="31"/>
  <c r="T221" i="31"/>
  <c r="R221" i="31"/>
  <c r="P221" i="31"/>
  <c r="BK221" i="31"/>
  <c r="J221" i="31"/>
  <c r="BF221" i="31" s="1"/>
  <c r="BI219" i="31"/>
  <c r="BH219" i="31"/>
  <c r="BG219" i="31"/>
  <c r="BE219" i="31"/>
  <c r="T219" i="31"/>
  <c r="R219" i="31"/>
  <c r="P219" i="31"/>
  <c r="BK219" i="31"/>
  <c r="J219" i="31"/>
  <c r="BF219" i="31" s="1"/>
  <c r="BI217" i="31"/>
  <c r="BH217" i="31"/>
  <c r="BG217" i="31"/>
  <c r="BE217" i="31"/>
  <c r="T217" i="31"/>
  <c r="R217" i="31"/>
  <c r="P217" i="31"/>
  <c r="BK217" i="31"/>
  <c r="J217" i="31"/>
  <c r="BF217" i="31" s="1"/>
  <c r="BI215" i="31"/>
  <c r="BH215" i="31"/>
  <c r="BG215" i="31"/>
  <c r="BE215" i="31"/>
  <c r="T215" i="31"/>
  <c r="R215" i="31"/>
  <c r="P215" i="31"/>
  <c r="BK215" i="31"/>
  <c r="J215" i="31"/>
  <c r="BF215" i="31" s="1"/>
  <c r="BI213" i="31"/>
  <c r="BH213" i="31"/>
  <c r="BG213" i="31"/>
  <c r="BE213" i="31"/>
  <c r="T213" i="31"/>
  <c r="R213" i="31"/>
  <c r="P213" i="31"/>
  <c r="BK213" i="31"/>
  <c r="J213" i="31"/>
  <c r="BF213" i="31" s="1"/>
  <c r="BI211" i="31"/>
  <c r="BH211" i="31"/>
  <c r="BG211" i="31"/>
  <c r="BE211" i="31"/>
  <c r="T211" i="31"/>
  <c r="R211" i="31"/>
  <c r="P211" i="31"/>
  <c r="BK211" i="31"/>
  <c r="J211" i="31"/>
  <c r="BF211" i="31" s="1"/>
  <c r="BI210" i="31"/>
  <c r="BH210" i="31"/>
  <c r="BG210" i="31"/>
  <c r="BE210" i="31"/>
  <c r="T210" i="31"/>
  <c r="R210" i="31"/>
  <c r="P210" i="31"/>
  <c r="BK210" i="31"/>
  <c r="J210" i="31"/>
  <c r="BF210" i="31" s="1"/>
  <c r="BI208" i="31"/>
  <c r="BH208" i="31"/>
  <c r="BG208" i="31"/>
  <c r="BE208" i="31"/>
  <c r="T208" i="31"/>
  <c r="R208" i="31"/>
  <c r="P208" i="31"/>
  <c r="BK208" i="31"/>
  <c r="J208" i="31"/>
  <c r="BF208" i="31" s="1"/>
  <c r="BI206" i="31"/>
  <c r="BH206" i="31"/>
  <c r="BG206" i="31"/>
  <c r="BE206" i="31"/>
  <c r="T206" i="31"/>
  <c r="R206" i="31"/>
  <c r="P206" i="31"/>
  <c r="BK206" i="31"/>
  <c r="J206" i="31"/>
  <c r="BF206" i="31" s="1"/>
  <c r="BI205" i="31"/>
  <c r="BH205" i="31"/>
  <c r="BG205" i="31"/>
  <c r="BE205" i="31"/>
  <c r="T205" i="31"/>
  <c r="R205" i="31"/>
  <c r="P205" i="31"/>
  <c r="BK205" i="31"/>
  <c r="J205" i="31"/>
  <c r="BF205" i="31" s="1"/>
  <c r="BI203" i="31"/>
  <c r="BH203" i="31"/>
  <c r="BG203" i="31"/>
  <c r="BE203" i="31"/>
  <c r="T203" i="31"/>
  <c r="R203" i="31"/>
  <c r="P203" i="31"/>
  <c r="BK203" i="31"/>
  <c r="J203" i="31"/>
  <c r="BF203" i="31" s="1"/>
  <c r="BI202" i="31"/>
  <c r="BH202" i="31"/>
  <c r="BG202" i="31"/>
  <c r="BE202" i="31"/>
  <c r="T202" i="31"/>
  <c r="R202" i="31"/>
  <c r="P202" i="31"/>
  <c r="BK202" i="31"/>
  <c r="J202" i="31"/>
  <c r="BF202" i="31" s="1"/>
  <c r="BI201" i="31"/>
  <c r="BH201" i="31"/>
  <c r="BG201" i="31"/>
  <c r="BE201" i="31"/>
  <c r="T201" i="31"/>
  <c r="R201" i="31"/>
  <c r="P201" i="31"/>
  <c r="BK201" i="31"/>
  <c r="J201" i="31"/>
  <c r="BF201" i="31" s="1"/>
  <c r="BI200" i="31"/>
  <c r="BH200" i="31"/>
  <c r="BG200" i="31"/>
  <c r="BE200" i="31"/>
  <c r="T200" i="31"/>
  <c r="R200" i="31"/>
  <c r="P200" i="31"/>
  <c r="BK200" i="31"/>
  <c r="J200" i="31"/>
  <c r="BF200" i="31" s="1"/>
  <c r="BI199" i="31"/>
  <c r="BH199" i="31"/>
  <c r="BG199" i="31"/>
  <c r="BE199" i="31"/>
  <c r="T199" i="31"/>
  <c r="R199" i="31"/>
  <c r="P199" i="31"/>
  <c r="BK199" i="31"/>
  <c r="J199" i="31"/>
  <c r="BF199" i="31" s="1"/>
  <c r="BI198" i="31"/>
  <c r="BH198" i="31"/>
  <c r="BG198" i="31"/>
  <c r="BE198" i="31"/>
  <c r="T198" i="31"/>
  <c r="R198" i="31"/>
  <c r="P198" i="31"/>
  <c r="BK198" i="31"/>
  <c r="J198" i="31"/>
  <c r="BF198" i="31" s="1"/>
  <c r="BI194" i="31"/>
  <c r="BH194" i="31"/>
  <c r="BG194" i="31"/>
  <c r="BE194" i="31"/>
  <c r="T194" i="31"/>
  <c r="R194" i="31"/>
  <c r="P194" i="31"/>
  <c r="BK194" i="31"/>
  <c r="J194" i="31"/>
  <c r="BF194" i="31" s="1"/>
  <c r="BI193" i="31"/>
  <c r="BH193" i="31"/>
  <c r="BG193" i="31"/>
  <c r="BE193" i="31"/>
  <c r="T193" i="31"/>
  <c r="R193" i="31"/>
  <c r="P193" i="31"/>
  <c r="BK193" i="31"/>
  <c r="J193" i="31"/>
  <c r="BF193" i="31" s="1"/>
  <c r="BI178" i="31"/>
  <c r="BH178" i="31"/>
  <c r="BG178" i="31"/>
  <c r="BE178" i="31"/>
  <c r="T178" i="31"/>
  <c r="R178" i="31"/>
  <c r="P178" i="31"/>
  <c r="BK178" i="31"/>
  <c r="J178" i="31"/>
  <c r="BF178" i="31" s="1"/>
  <c r="BI177" i="31"/>
  <c r="BH177" i="31"/>
  <c r="BG177" i="31"/>
  <c r="BE177" i="31"/>
  <c r="T177" i="31"/>
  <c r="R177" i="31"/>
  <c r="P177" i="31"/>
  <c r="BK177" i="31"/>
  <c r="J177" i="31"/>
  <c r="BF177" i="31" s="1"/>
  <c r="BI176" i="31"/>
  <c r="BH176" i="31"/>
  <c r="BG176" i="31"/>
  <c r="BE176" i="31"/>
  <c r="T176" i="31"/>
  <c r="R176" i="31"/>
  <c r="P176" i="31"/>
  <c r="BK176" i="31"/>
  <c r="J176" i="31"/>
  <c r="BF176" i="31" s="1"/>
  <c r="BI175" i="31"/>
  <c r="BH175" i="31"/>
  <c r="BG175" i="31"/>
  <c r="BE175" i="31"/>
  <c r="T175" i="31"/>
  <c r="R175" i="31"/>
  <c r="P175" i="31"/>
  <c r="BK175" i="31"/>
  <c r="J175" i="31"/>
  <c r="BF175" i="31" s="1"/>
  <c r="BI172" i="31"/>
  <c r="BH172" i="31"/>
  <c r="BG172" i="31"/>
  <c r="BE172" i="31"/>
  <c r="T172" i="31"/>
  <c r="R172" i="31"/>
  <c r="P172" i="31"/>
  <c r="BK172" i="31"/>
  <c r="J172" i="31"/>
  <c r="BF172" i="31" s="1"/>
  <c r="BI171" i="31"/>
  <c r="BH171" i="31"/>
  <c r="BG171" i="31"/>
  <c r="BE171" i="31"/>
  <c r="T171" i="31"/>
  <c r="R171" i="31"/>
  <c r="P171" i="31"/>
  <c r="BK171" i="31"/>
  <c r="J171" i="31"/>
  <c r="BF171" i="31" s="1"/>
  <c r="BI169" i="31"/>
  <c r="BH169" i="31"/>
  <c r="BG169" i="31"/>
  <c r="BE169" i="31"/>
  <c r="T169" i="31"/>
  <c r="R169" i="31"/>
  <c r="P169" i="31"/>
  <c r="BK169" i="31"/>
  <c r="J169" i="31"/>
  <c r="BF169" i="31" s="1"/>
  <c r="BI168" i="31"/>
  <c r="BH168" i="31"/>
  <c r="BG168" i="31"/>
  <c r="BE168" i="31"/>
  <c r="T168" i="31"/>
  <c r="R168" i="31"/>
  <c r="P168" i="31"/>
  <c r="BK168" i="31"/>
  <c r="J168" i="31"/>
  <c r="BF168" i="31" s="1"/>
  <c r="BI167" i="31"/>
  <c r="BH167" i="31"/>
  <c r="BG167" i="31"/>
  <c r="BE167" i="31"/>
  <c r="T167" i="31"/>
  <c r="R167" i="31"/>
  <c r="P167" i="31"/>
  <c r="BK167" i="31"/>
  <c r="J167" i="31"/>
  <c r="BF167" i="31" s="1"/>
  <c r="BI166" i="31"/>
  <c r="BH166" i="31"/>
  <c r="BG166" i="31"/>
  <c r="BE166" i="31"/>
  <c r="T166" i="31"/>
  <c r="R166" i="31"/>
  <c r="P166" i="31"/>
  <c r="BK166" i="31"/>
  <c r="J166" i="31"/>
  <c r="BF166" i="31" s="1"/>
  <c r="BI165" i="31"/>
  <c r="BH165" i="31"/>
  <c r="BG165" i="31"/>
  <c r="BE165" i="31"/>
  <c r="T165" i="31"/>
  <c r="R165" i="31"/>
  <c r="P165" i="31"/>
  <c r="BK165" i="31"/>
  <c r="J165" i="31"/>
  <c r="BF165" i="31" s="1"/>
  <c r="BI162" i="31"/>
  <c r="BH162" i="31"/>
  <c r="BG162" i="31"/>
  <c r="BE162" i="31"/>
  <c r="T162" i="31"/>
  <c r="T161" i="31" s="1"/>
  <c r="R162" i="31"/>
  <c r="R161" i="31" s="1"/>
  <c r="P162" i="31"/>
  <c r="P161" i="31" s="1"/>
  <c r="BK162" i="31"/>
  <c r="BK161" i="31" s="1"/>
  <c r="J161" i="31" s="1"/>
  <c r="J104" i="31" s="1"/>
  <c r="J162" i="31"/>
  <c r="BF162" i="31" s="1"/>
  <c r="BI159" i="31"/>
  <c r="BH159" i="31"/>
  <c r="BG159" i="31"/>
  <c r="BE159" i="31"/>
  <c r="T159" i="31"/>
  <c r="R159" i="31"/>
  <c r="P159" i="31"/>
  <c r="BK159" i="31"/>
  <c r="J159" i="31"/>
  <c r="BF159" i="31" s="1"/>
  <c r="BI158" i="31"/>
  <c r="BH158" i="31"/>
  <c r="BG158" i="31"/>
  <c r="BE158" i="31"/>
  <c r="T158" i="31"/>
  <c r="R158" i="31"/>
  <c r="P158" i="31"/>
  <c r="BK158" i="31"/>
  <c r="J158" i="31"/>
  <c r="BF158" i="31" s="1"/>
  <c r="BI157" i="31"/>
  <c r="BH157" i="31"/>
  <c r="BG157" i="31"/>
  <c r="BE157" i="31"/>
  <c r="T157" i="31"/>
  <c r="R157" i="31"/>
  <c r="P157" i="31"/>
  <c r="BK157" i="31"/>
  <c r="J157" i="31"/>
  <c r="BF157" i="31" s="1"/>
  <c r="BI156" i="31"/>
  <c r="BH156" i="31"/>
  <c r="BG156" i="31"/>
  <c r="BE156" i="31"/>
  <c r="T156" i="31"/>
  <c r="R156" i="31"/>
  <c r="P156" i="31"/>
  <c r="BK156" i="31"/>
  <c r="J156" i="31"/>
  <c r="BF156" i="31" s="1"/>
  <c r="BI155" i="31"/>
  <c r="BH155" i="31"/>
  <c r="BG155" i="31"/>
  <c r="BE155" i="31"/>
  <c r="T155" i="31"/>
  <c r="R155" i="31"/>
  <c r="P155" i="31"/>
  <c r="BK155" i="31"/>
  <c r="J155" i="31"/>
  <c r="BF155" i="31" s="1"/>
  <c r="BI154" i="31"/>
  <c r="BH154" i="31"/>
  <c r="BG154" i="31"/>
  <c r="BE154" i="31"/>
  <c r="T154" i="31"/>
  <c r="R154" i="31"/>
  <c r="P154" i="31"/>
  <c r="BK154" i="31"/>
  <c r="J154" i="31"/>
  <c r="BF154" i="31" s="1"/>
  <c r="BI153" i="31"/>
  <c r="BH153" i="31"/>
  <c r="BG153" i="31"/>
  <c r="BE153" i="31"/>
  <c r="T153" i="31"/>
  <c r="R153" i="31"/>
  <c r="P153" i="31"/>
  <c r="BK153" i="31"/>
  <c r="J153" i="31"/>
  <c r="BF153" i="31" s="1"/>
  <c r="BI152" i="31"/>
  <c r="BH152" i="31"/>
  <c r="BG152" i="31"/>
  <c r="BE152" i="31"/>
  <c r="T152" i="31"/>
  <c r="R152" i="31"/>
  <c r="P152" i="31"/>
  <c r="BK152" i="31"/>
  <c r="J152" i="31"/>
  <c r="BF152" i="31" s="1"/>
  <c r="BI151" i="31"/>
  <c r="BH151" i="31"/>
  <c r="BG151" i="31"/>
  <c r="BE151" i="31"/>
  <c r="T151" i="31"/>
  <c r="R151" i="31"/>
  <c r="P151" i="31"/>
  <c r="BK151" i="31"/>
  <c r="J151" i="31"/>
  <c r="BF151" i="31" s="1"/>
  <c r="BI149" i="31"/>
  <c r="BH149" i="31"/>
  <c r="BG149" i="31"/>
  <c r="BE149" i="31"/>
  <c r="T149" i="31"/>
  <c r="R149" i="31"/>
  <c r="P149" i="31"/>
  <c r="BK149" i="31"/>
  <c r="J149" i="31"/>
  <c r="BF149" i="31" s="1"/>
  <c r="BI148" i="31"/>
  <c r="BH148" i="31"/>
  <c r="BG148" i="31"/>
  <c r="BE148" i="31"/>
  <c r="T148" i="31"/>
  <c r="R148" i="31"/>
  <c r="P148" i="31"/>
  <c r="BK148" i="31"/>
  <c r="J148" i="31"/>
  <c r="BF148" i="31" s="1"/>
  <c r="BI146" i="31"/>
  <c r="BH146" i="31"/>
  <c r="BG146" i="31"/>
  <c r="BE146" i="31"/>
  <c r="T146" i="31"/>
  <c r="R146" i="31"/>
  <c r="P146" i="31"/>
  <c r="BK146" i="31"/>
  <c r="J146" i="31"/>
  <c r="BF146" i="31" s="1"/>
  <c r="BI143" i="31"/>
  <c r="BH143" i="31"/>
  <c r="BG143" i="31"/>
  <c r="BE143" i="31"/>
  <c r="T143" i="31"/>
  <c r="T142" i="31" s="1"/>
  <c r="R143" i="31"/>
  <c r="R142" i="31" s="1"/>
  <c r="P143" i="31"/>
  <c r="P142" i="31" s="1"/>
  <c r="BK143" i="31"/>
  <c r="BK142" i="31" s="1"/>
  <c r="J142" i="31" s="1"/>
  <c r="J101" i="31" s="1"/>
  <c r="J143" i="31"/>
  <c r="BF143" i="31" s="1"/>
  <c r="BI141" i="31"/>
  <c r="BH141" i="31"/>
  <c r="BG141" i="31"/>
  <c r="BE141" i="31"/>
  <c r="T141" i="31"/>
  <c r="T140" i="31" s="1"/>
  <c r="R141" i="31"/>
  <c r="R140" i="31" s="1"/>
  <c r="P141" i="31"/>
  <c r="P140" i="31" s="1"/>
  <c r="BK141" i="31"/>
  <c r="BK140" i="31" s="1"/>
  <c r="J140" i="31" s="1"/>
  <c r="J100" i="31" s="1"/>
  <c r="J141" i="31"/>
  <c r="BF141" i="31" s="1"/>
  <c r="F124" i="31"/>
  <c r="F89" i="31"/>
  <c r="J24" i="31"/>
  <c r="E24" i="31"/>
  <c r="J92" i="31" s="1"/>
  <c r="J23" i="31"/>
  <c r="J21" i="31"/>
  <c r="E21" i="31"/>
  <c r="J91" i="31" s="1"/>
  <c r="J20" i="31"/>
  <c r="J18" i="31"/>
  <c r="J15" i="31"/>
  <c r="E15" i="31"/>
  <c r="J14" i="31"/>
  <c r="J124" i="31"/>
  <c r="J89" i="31"/>
  <c r="J37" i="30"/>
  <c r="J36" i="30"/>
  <c r="AY123" i="1" s="1"/>
  <c r="J35" i="30"/>
  <c r="AX123" i="1" s="1"/>
  <c r="BI210" i="30"/>
  <c r="BH210" i="30"/>
  <c r="BG210" i="30"/>
  <c r="BE210" i="30"/>
  <c r="T210" i="30"/>
  <c r="R210" i="30"/>
  <c r="P210" i="30"/>
  <c r="BK210" i="30"/>
  <c r="J210" i="30"/>
  <c r="BF210" i="30" s="1"/>
  <c r="BI209" i="30"/>
  <c r="BH209" i="30"/>
  <c r="BG209" i="30"/>
  <c r="BE209" i="30"/>
  <c r="T209" i="30"/>
  <c r="R209" i="30"/>
  <c r="P209" i="30"/>
  <c r="BK209" i="30"/>
  <c r="J209" i="30"/>
  <c r="BF209" i="30" s="1"/>
  <c r="BI208" i="30"/>
  <c r="BH208" i="30"/>
  <c r="BG208" i="30"/>
  <c r="BE208" i="30"/>
  <c r="T208" i="30"/>
  <c r="R208" i="30"/>
  <c r="P208" i="30"/>
  <c r="BK208" i="30"/>
  <c r="J208" i="30"/>
  <c r="BF208" i="30" s="1"/>
  <c r="BI206" i="30"/>
  <c r="BH206" i="30"/>
  <c r="BG206" i="30"/>
  <c r="BE206" i="30"/>
  <c r="T206" i="30"/>
  <c r="R206" i="30"/>
  <c r="P206" i="30"/>
  <c r="BK206" i="30"/>
  <c r="J206" i="30"/>
  <c r="BF206" i="30" s="1"/>
  <c r="BI203" i="30"/>
  <c r="BH203" i="30"/>
  <c r="BG203" i="30"/>
  <c r="BE203" i="30"/>
  <c r="T203" i="30"/>
  <c r="T202" i="30" s="1"/>
  <c r="R203" i="30"/>
  <c r="R202" i="30" s="1"/>
  <c r="P203" i="30"/>
  <c r="P202" i="30"/>
  <c r="BK203" i="30"/>
  <c r="BK202" i="30" s="1"/>
  <c r="J202" i="30" s="1"/>
  <c r="J109" i="30" s="1"/>
  <c r="J203" i="30"/>
  <c r="BF203" i="30" s="1"/>
  <c r="BI201" i="30"/>
  <c r="BH201" i="30"/>
  <c r="BG201" i="30"/>
  <c r="BE201" i="30"/>
  <c r="T201" i="30"/>
  <c r="T200" i="30" s="1"/>
  <c r="R201" i="30"/>
  <c r="R200" i="30" s="1"/>
  <c r="P201" i="30"/>
  <c r="P200" i="30" s="1"/>
  <c r="BK201" i="30"/>
  <c r="BK200" i="30"/>
  <c r="J200" i="30" s="1"/>
  <c r="J108" i="30" s="1"/>
  <c r="J201" i="30"/>
  <c r="BF201" i="30" s="1"/>
  <c r="BI199" i="30"/>
  <c r="BH199" i="30"/>
  <c r="BG199" i="30"/>
  <c r="BE199" i="30"/>
  <c r="T199" i="30"/>
  <c r="R199" i="30"/>
  <c r="P199" i="30"/>
  <c r="BK199" i="30"/>
  <c r="J199" i="30"/>
  <c r="BF199" i="30" s="1"/>
  <c r="BI198" i="30"/>
  <c r="BH198" i="30"/>
  <c r="BG198" i="30"/>
  <c r="BE198" i="30"/>
  <c r="T198" i="30"/>
  <c r="R198" i="30"/>
  <c r="P198" i="30"/>
  <c r="BK198" i="30"/>
  <c r="J198" i="30"/>
  <c r="BF198" i="30"/>
  <c r="BI197" i="30"/>
  <c r="BH197" i="30"/>
  <c r="BG197" i="30"/>
  <c r="BE197" i="30"/>
  <c r="T197" i="30"/>
  <c r="R197" i="30"/>
  <c r="P197" i="30"/>
  <c r="BK197" i="30"/>
  <c r="J197" i="30"/>
  <c r="BF197" i="30" s="1"/>
  <c r="BI195" i="30"/>
  <c r="BH195" i="30"/>
  <c r="BG195" i="30"/>
  <c r="BE195" i="30"/>
  <c r="T195" i="30"/>
  <c r="R195" i="30"/>
  <c r="P195" i="30"/>
  <c r="BK195" i="30"/>
  <c r="J195" i="30"/>
  <c r="BF195" i="30" s="1"/>
  <c r="BI194" i="30"/>
  <c r="BH194" i="30"/>
  <c r="BG194" i="30"/>
  <c r="BE194" i="30"/>
  <c r="T194" i="30"/>
  <c r="R194" i="30"/>
  <c r="P194" i="30"/>
  <c r="BK194" i="30"/>
  <c r="J194" i="30"/>
  <c r="BF194" i="30" s="1"/>
  <c r="BI193" i="30"/>
  <c r="BH193" i="30"/>
  <c r="BG193" i="30"/>
  <c r="BE193" i="30"/>
  <c r="T193" i="30"/>
  <c r="R193" i="30"/>
  <c r="P193" i="30"/>
  <c r="BK193" i="30"/>
  <c r="J193" i="30"/>
  <c r="BF193" i="30" s="1"/>
  <c r="BI192" i="30"/>
  <c r="BH192" i="30"/>
  <c r="BG192" i="30"/>
  <c r="BE192" i="30"/>
  <c r="T192" i="30"/>
  <c r="T190" i="30" s="1"/>
  <c r="R192" i="30"/>
  <c r="P192" i="30"/>
  <c r="BK192" i="30"/>
  <c r="J192" i="30"/>
  <c r="BF192" i="30" s="1"/>
  <c r="BI191" i="30"/>
  <c r="BH191" i="30"/>
  <c r="BG191" i="30"/>
  <c r="BE191" i="30"/>
  <c r="T191" i="30"/>
  <c r="R191" i="30"/>
  <c r="P191" i="30"/>
  <c r="BK191" i="30"/>
  <c r="J191" i="30"/>
  <c r="BF191" i="30" s="1"/>
  <c r="BI189" i="30"/>
  <c r="BH189" i="30"/>
  <c r="BG189" i="30"/>
  <c r="BE189" i="30"/>
  <c r="T189" i="30"/>
  <c r="R189" i="30"/>
  <c r="P189" i="30"/>
  <c r="BK189" i="30"/>
  <c r="J189" i="30"/>
  <c r="BF189" i="30" s="1"/>
  <c r="BI188" i="30"/>
  <c r="BH188" i="30"/>
  <c r="BG188" i="30"/>
  <c r="BE188" i="30"/>
  <c r="T188" i="30"/>
  <c r="T187" i="30" s="1"/>
  <c r="R188" i="30"/>
  <c r="R187" i="30" s="1"/>
  <c r="P188" i="30"/>
  <c r="BK188" i="30"/>
  <c r="J188" i="30"/>
  <c r="BF188" i="30" s="1"/>
  <c r="BI186" i="30"/>
  <c r="BH186" i="30"/>
  <c r="BG186" i="30"/>
  <c r="BE186" i="30"/>
  <c r="T186" i="30"/>
  <c r="R186" i="30"/>
  <c r="P186" i="30"/>
  <c r="BK186" i="30"/>
  <c r="J186" i="30"/>
  <c r="BF186" i="30" s="1"/>
  <c r="BI185" i="30"/>
  <c r="BH185" i="30"/>
  <c r="BG185" i="30"/>
  <c r="BE185" i="30"/>
  <c r="T185" i="30"/>
  <c r="R185" i="30"/>
  <c r="P185" i="30"/>
  <c r="BK185" i="30"/>
  <c r="J185" i="30"/>
  <c r="BF185" i="30" s="1"/>
  <c r="BI184" i="30"/>
  <c r="BH184" i="30"/>
  <c r="BG184" i="30"/>
  <c r="BE184" i="30"/>
  <c r="T184" i="30"/>
  <c r="R184" i="30"/>
  <c r="P184" i="30"/>
  <c r="BK184" i="30"/>
  <c r="J184" i="30"/>
  <c r="BF184" i="30"/>
  <c r="BI183" i="30"/>
  <c r="BH183" i="30"/>
  <c r="BG183" i="30"/>
  <c r="BE183" i="30"/>
  <c r="T183" i="30"/>
  <c r="R183" i="30"/>
  <c r="P183" i="30"/>
  <c r="BK183" i="30"/>
  <c r="J183" i="30"/>
  <c r="BF183" i="30" s="1"/>
  <c r="BI182" i="30"/>
  <c r="BH182" i="30"/>
  <c r="BG182" i="30"/>
  <c r="BE182" i="30"/>
  <c r="T182" i="30"/>
  <c r="R182" i="30"/>
  <c r="P182" i="30"/>
  <c r="BK182" i="30"/>
  <c r="J182" i="30"/>
  <c r="BF182" i="30" s="1"/>
  <c r="BI181" i="30"/>
  <c r="BH181" i="30"/>
  <c r="BG181" i="30"/>
  <c r="BE181" i="30"/>
  <c r="T181" i="30"/>
  <c r="R181" i="30"/>
  <c r="P181" i="30"/>
  <c r="BK181" i="30"/>
  <c r="J181" i="30"/>
  <c r="BF181" i="30" s="1"/>
  <c r="BI180" i="30"/>
  <c r="BH180" i="30"/>
  <c r="BG180" i="30"/>
  <c r="BE180" i="30"/>
  <c r="T180" i="30"/>
  <c r="T179" i="30" s="1"/>
  <c r="R180" i="30"/>
  <c r="P180" i="30"/>
  <c r="BK180" i="30"/>
  <c r="J180" i="30"/>
  <c r="BF180" i="30" s="1"/>
  <c r="BI178" i="30"/>
  <c r="BH178" i="30"/>
  <c r="BG178" i="30"/>
  <c r="BE178" i="30"/>
  <c r="T178" i="30"/>
  <c r="R178" i="30"/>
  <c r="P178" i="30"/>
  <c r="BK178" i="30"/>
  <c r="J178" i="30"/>
  <c r="BF178" i="30" s="1"/>
  <c r="BI177" i="30"/>
  <c r="BH177" i="30"/>
  <c r="BG177" i="30"/>
  <c r="BE177" i="30"/>
  <c r="T177" i="30"/>
  <c r="R177" i="30"/>
  <c r="P177" i="30"/>
  <c r="BK177" i="30"/>
  <c r="J177" i="30"/>
  <c r="BF177" i="30" s="1"/>
  <c r="BI176" i="30"/>
  <c r="BH176" i="30"/>
  <c r="BG176" i="30"/>
  <c r="BE176" i="30"/>
  <c r="T176" i="30"/>
  <c r="R176" i="30"/>
  <c r="P176" i="30"/>
  <c r="BK176" i="30"/>
  <c r="J176" i="30"/>
  <c r="BF176" i="30" s="1"/>
  <c r="BI175" i="30"/>
  <c r="BH175" i="30"/>
  <c r="BG175" i="30"/>
  <c r="BE175" i="30"/>
  <c r="T175" i="30"/>
  <c r="R175" i="30"/>
  <c r="P175" i="30"/>
  <c r="BK175" i="30"/>
  <c r="J175" i="30"/>
  <c r="BF175" i="30"/>
  <c r="BI174" i="30"/>
  <c r="BH174" i="30"/>
  <c r="BG174" i="30"/>
  <c r="BE174" i="30"/>
  <c r="T174" i="30"/>
  <c r="R174" i="30"/>
  <c r="P174" i="30"/>
  <c r="BK174" i="30"/>
  <c r="J174" i="30"/>
  <c r="BF174" i="30" s="1"/>
  <c r="BI173" i="30"/>
  <c r="BH173" i="30"/>
  <c r="BG173" i="30"/>
  <c r="BE173" i="30"/>
  <c r="T173" i="30"/>
  <c r="R173" i="30"/>
  <c r="P173" i="30"/>
  <c r="BK173" i="30"/>
  <c r="J173" i="30"/>
  <c r="BF173" i="30" s="1"/>
  <c r="BI172" i="30"/>
  <c r="BH172" i="30"/>
  <c r="BG172" i="30"/>
  <c r="BE172" i="30"/>
  <c r="T172" i="30"/>
  <c r="R172" i="30"/>
  <c r="P172" i="30"/>
  <c r="BK172" i="30"/>
  <c r="J172" i="30"/>
  <c r="BF172" i="30"/>
  <c r="BI169" i="30"/>
  <c r="BH169" i="30"/>
  <c r="BG169" i="30"/>
  <c r="BE169" i="30"/>
  <c r="T169" i="30"/>
  <c r="R169" i="30"/>
  <c r="P169" i="30"/>
  <c r="BK169" i="30"/>
  <c r="J169" i="30"/>
  <c r="BF169" i="30" s="1"/>
  <c r="BI168" i="30"/>
  <c r="BH168" i="30"/>
  <c r="BG168" i="30"/>
  <c r="BE168" i="30"/>
  <c r="T168" i="30"/>
  <c r="R168" i="30"/>
  <c r="P168" i="30"/>
  <c r="BK168" i="30"/>
  <c r="J168" i="30"/>
  <c r="BF168" i="30" s="1"/>
  <c r="BI167" i="30"/>
  <c r="BH167" i="30"/>
  <c r="BG167" i="30"/>
  <c r="BE167" i="30"/>
  <c r="T167" i="30"/>
  <c r="R167" i="30"/>
  <c r="P167" i="30"/>
  <c r="BK167" i="30"/>
  <c r="J167" i="30"/>
  <c r="BF167" i="30" s="1"/>
  <c r="BI166" i="30"/>
  <c r="BH166" i="30"/>
  <c r="BG166" i="30"/>
  <c r="BE166" i="30"/>
  <c r="T166" i="30"/>
  <c r="R166" i="30"/>
  <c r="P166" i="30"/>
  <c r="BK166" i="30"/>
  <c r="J166" i="30"/>
  <c r="BF166" i="30"/>
  <c r="BI165" i="30"/>
  <c r="BH165" i="30"/>
  <c r="BG165" i="30"/>
  <c r="BE165" i="30"/>
  <c r="T165" i="30"/>
  <c r="R165" i="30"/>
  <c r="P165" i="30"/>
  <c r="BK165" i="30"/>
  <c r="J165" i="30"/>
  <c r="BF165" i="30" s="1"/>
  <c r="BI164" i="30"/>
  <c r="BH164" i="30"/>
  <c r="BG164" i="30"/>
  <c r="BE164" i="30"/>
  <c r="T164" i="30"/>
  <c r="R164" i="30"/>
  <c r="P164" i="30"/>
  <c r="BK164" i="30"/>
  <c r="J164" i="30"/>
  <c r="BF164" i="30" s="1"/>
  <c r="BI163" i="30"/>
  <c r="BH163" i="30"/>
  <c r="BG163" i="30"/>
  <c r="BE163" i="30"/>
  <c r="T163" i="30"/>
  <c r="R163" i="30"/>
  <c r="P163" i="30"/>
  <c r="BK163" i="30"/>
  <c r="J163" i="30"/>
  <c r="BF163" i="30" s="1"/>
  <c r="BI162" i="30"/>
  <c r="BH162" i="30"/>
  <c r="BG162" i="30"/>
  <c r="BE162" i="30"/>
  <c r="T162" i="30"/>
  <c r="R162" i="30"/>
  <c r="P162" i="30"/>
  <c r="BK162" i="30"/>
  <c r="J162" i="30"/>
  <c r="BF162" i="30" s="1"/>
  <c r="BI161" i="30"/>
  <c r="BH161" i="30"/>
  <c r="BG161" i="30"/>
  <c r="BE161" i="30"/>
  <c r="T161" i="30"/>
  <c r="R161" i="30"/>
  <c r="P161" i="30"/>
  <c r="BK161" i="30"/>
  <c r="J161" i="30"/>
  <c r="BF161" i="30" s="1"/>
  <c r="BI160" i="30"/>
  <c r="BH160" i="30"/>
  <c r="BG160" i="30"/>
  <c r="BE160" i="30"/>
  <c r="T160" i="30"/>
  <c r="R160" i="30"/>
  <c r="P160" i="30"/>
  <c r="BK160" i="30"/>
  <c r="J160" i="30"/>
  <c r="BF160" i="30"/>
  <c r="BI159" i="30"/>
  <c r="BH159" i="30"/>
  <c r="BG159" i="30"/>
  <c r="BE159" i="30"/>
  <c r="T159" i="30"/>
  <c r="R159" i="30"/>
  <c r="P159" i="30"/>
  <c r="BK159" i="30"/>
  <c r="J159" i="30"/>
  <c r="BF159" i="30" s="1"/>
  <c r="BI158" i="30"/>
  <c r="BH158" i="30"/>
  <c r="BG158" i="30"/>
  <c r="BE158" i="30"/>
  <c r="T158" i="30"/>
  <c r="R158" i="30"/>
  <c r="P158" i="30"/>
  <c r="BK158" i="30"/>
  <c r="J158" i="30"/>
  <c r="BF158" i="30" s="1"/>
  <c r="BI157" i="30"/>
  <c r="BH157" i="30"/>
  <c r="BG157" i="30"/>
  <c r="BE157" i="30"/>
  <c r="T157" i="30"/>
  <c r="T156" i="30" s="1"/>
  <c r="R157" i="30"/>
  <c r="P157" i="30"/>
  <c r="BK157" i="30"/>
  <c r="BK156" i="30"/>
  <c r="J156" i="30" s="1"/>
  <c r="J101" i="30" s="1"/>
  <c r="J157" i="30"/>
  <c r="BF157" i="30" s="1"/>
  <c r="BI155" i="30"/>
  <c r="BH155" i="30"/>
  <c r="BG155" i="30"/>
  <c r="BE155" i="30"/>
  <c r="T155" i="30"/>
  <c r="R155" i="30"/>
  <c r="P155" i="30"/>
  <c r="BK155" i="30"/>
  <c r="J155" i="30"/>
  <c r="BF155" i="30" s="1"/>
  <c r="BI154" i="30"/>
  <c r="BH154" i="30"/>
  <c r="BG154" i="30"/>
  <c r="BE154" i="30"/>
  <c r="T154" i="30"/>
  <c r="R154" i="30"/>
  <c r="P154" i="30"/>
  <c r="BK154" i="30"/>
  <c r="J154" i="30"/>
  <c r="BF154" i="30"/>
  <c r="BI153" i="30"/>
  <c r="BH153" i="30"/>
  <c r="BG153" i="30"/>
  <c r="BE153" i="30"/>
  <c r="T153" i="30"/>
  <c r="R153" i="30"/>
  <c r="P153" i="30"/>
  <c r="BK153" i="30"/>
  <c r="BK147" i="30" s="1"/>
  <c r="J147" i="30" s="1"/>
  <c r="J100" i="30" s="1"/>
  <c r="J153" i="30"/>
  <c r="BF153" i="30" s="1"/>
  <c r="BI151" i="30"/>
  <c r="BH151" i="30"/>
  <c r="BG151" i="30"/>
  <c r="BE151" i="30"/>
  <c r="T151" i="30"/>
  <c r="R151" i="30"/>
  <c r="P151" i="30"/>
  <c r="BK151" i="30"/>
  <c r="J151" i="30"/>
  <c r="BF151" i="30" s="1"/>
  <c r="BI150" i="30"/>
  <c r="BH150" i="30"/>
  <c r="BG150" i="30"/>
  <c r="BE150" i="30"/>
  <c r="T150" i="30"/>
  <c r="R150" i="30"/>
  <c r="P150" i="30"/>
  <c r="BK150" i="30"/>
  <c r="J150" i="30"/>
  <c r="BF150" i="30" s="1"/>
  <c r="BI149" i="30"/>
  <c r="BH149" i="30"/>
  <c r="BG149" i="30"/>
  <c r="BE149" i="30"/>
  <c r="T149" i="30"/>
  <c r="R149" i="30"/>
  <c r="P149" i="30"/>
  <c r="BK149" i="30"/>
  <c r="J149" i="30"/>
  <c r="BF149" i="30" s="1"/>
  <c r="BI148" i="30"/>
  <c r="BH148" i="30"/>
  <c r="BG148" i="30"/>
  <c r="BE148" i="30"/>
  <c r="T148" i="30"/>
  <c r="R148" i="30"/>
  <c r="P148" i="30"/>
  <c r="BK148" i="30"/>
  <c r="J148" i="30"/>
  <c r="BF148" i="30" s="1"/>
  <c r="BI146" i="30"/>
  <c r="BH146" i="30"/>
  <c r="BG146" i="30"/>
  <c r="BE146" i="30"/>
  <c r="T146" i="30"/>
  <c r="R146" i="30"/>
  <c r="P146" i="30"/>
  <c r="BK146" i="30"/>
  <c r="J146" i="30"/>
  <c r="BF146" i="30" s="1"/>
  <c r="BI145" i="30"/>
  <c r="BH145" i="30"/>
  <c r="BG145" i="30"/>
  <c r="BE145" i="30"/>
  <c r="T145" i="30"/>
  <c r="R145" i="30"/>
  <c r="P145" i="30"/>
  <c r="BK145" i="30"/>
  <c r="J145" i="30"/>
  <c r="BF145" i="30" s="1"/>
  <c r="BI144" i="30"/>
  <c r="BH144" i="30"/>
  <c r="BG144" i="30"/>
  <c r="BE144" i="30"/>
  <c r="T144" i="30"/>
  <c r="R144" i="30"/>
  <c r="P144" i="30"/>
  <c r="BK144" i="30"/>
  <c r="J144" i="30"/>
  <c r="BF144" i="30" s="1"/>
  <c r="BI143" i="30"/>
  <c r="BH143" i="30"/>
  <c r="BG143" i="30"/>
  <c r="BE143" i="30"/>
  <c r="T143" i="30"/>
  <c r="R143" i="30"/>
  <c r="P143" i="30"/>
  <c r="BK143" i="30"/>
  <c r="J143" i="30"/>
  <c r="BF143" i="30" s="1"/>
  <c r="BI142" i="30"/>
  <c r="BH142" i="30"/>
  <c r="BG142" i="30"/>
  <c r="BE142" i="30"/>
  <c r="T142" i="30"/>
  <c r="R142" i="30"/>
  <c r="P142" i="30"/>
  <c r="BK142" i="30"/>
  <c r="J142" i="30"/>
  <c r="BF142" i="30" s="1"/>
  <c r="BI141" i="30"/>
  <c r="BH141" i="30"/>
  <c r="BG141" i="30"/>
  <c r="BE141" i="30"/>
  <c r="T141" i="30"/>
  <c r="R141" i="30"/>
  <c r="P141" i="30"/>
  <c r="BK141" i="30"/>
  <c r="J141" i="30"/>
  <c r="BF141" i="30" s="1"/>
  <c r="BI140" i="30"/>
  <c r="BH140" i="30"/>
  <c r="BG140" i="30"/>
  <c r="BE140" i="30"/>
  <c r="T140" i="30"/>
  <c r="R140" i="30"/>
  <c r="P140" i="30"/>
  <c r="BK140" i="30"/>
  <c r="J140" i="30"/>
  <c r="BF140" i="30"/>
  <c r="BI139" i="30"/>
  <c r="BH139" i="30"/>
  <c r="BG139" i="30"/>
  <c r="BE139" i="30"/>
  <c r="T139" i="30"/>
  <c r="R139" i="30"/>
  <c r="P139" i="30"/>
  <c r="BK139" i="30"/>
  <c r="J139" i="30"/>
  <c r="BF139" i="30" s="1"/>
  <c r="BI138" i="30"/>
  <c r="BH138" i="30"/>
  <c r="BG138" i="30"/>
  <c r="BE138" i="30"/>
  <c r="T138" i="30"/>
  <c r="R138" i="30"/>
  <c r="P138" i="30"/>
  <c r="BK138" i="30"/>
  <c r="J138" i="30"/>
  <c r="BF138" i="30" s="1"/>
  <c r="BI137" i="30"/>
  <c r="BH137" i="30"/>
  <c r="BG137" i="30"/>
  <c r="BE137" i="30"/>
  <c r="T137" i="30"/>
  <c r="R137" i="30"/>
  <c r="P137" i="30"/>
  <c r="BK137" i="30"/>
  <c r="J137" i="30"/>
  <c r="BF137" i="30" s="1"/>
  <c r="BI135" i="30"/>
  <c r="BH135" i="30"/>
  <c r="BG135" i="30"/>
  <c r="BE135" i="30"/>
  <c r="T135" i="30"/>
  <c r="R135" i="30"/>
  <c r="P135" i="30"/>
  <c r="BK135" i="30"/>
  <c r="J135" i="30"/>
  <c r="BF135" i="30" s="1"/>
  <c r="BI134" i="30"/>
  <c r="BH134" i="30"/>
  <c r="BG134" i="30"/>
  <c r="BE134" i="30"/>
  <c r="T134" i="30"/>
  <c r="R134" i="30"/>
  <c r="R133" i="30" s="1"/>
  <c r="P134" i="30"/>
  <c r="BK134" i="30"/>
  <c r="BK133" i="30" s="1"/>
  <c r="J134" i="30"/>
  <c r="BF134" i="30" s="1"/>
  <c r="F125" i="30"/>
  <c r="F89" i="30"/>
  <c r="J24" i="30"/>
  <c r="E24" i="30"/>
  <c r="J92" i="30" s="1"/>
  <c r="J23" i="30"/>
  <c r="J21" i="30"/>
  <c r="E21" i="30"/>
  <c r="J91" i="30" s="1"/>
  <c r="J20" i="30"/>
  <c r="J18" i="30"/>
  <c r="J15" i="30"/>
  <c r="E15" i="30"/>
  <c r="J14" i="30"/>
  <c r="J89" i="30"/>
  <c r="J125" i="30"/>
  <c r="J37" i="29"/>
  <c r="J36" i="29"/>
  <c r="AY122" i="1" s="1"/>
  <c r="J35" i="29"/>
  <c r="AX122" i="1" s="1"/>
  <c r="BI349" i="29"/>
  <c r="BH349" i="29"/>
  <c r="BG349" i="29"/>
  <c r="BE349" i="29"/>
  <c r="T349" i="29"/>
  <c r="R349" i="29"/>
  <c r="P349" i="29"/>
  <c r="BK349" i="29"/>
  <c r="J349" i="29"/>
  <c r="BF349" i="29" s="1"/>
  <c r="BI348" i="29"/>
  <c r="BH348" i="29"/>
  <c r="BG348" i="29"/>
  <c r="BE348" i="29"/>
  <c r="T348" i="29"/>
  <c r="R348" i="29"/>
  <c r="P348" i="29"/>
  <c r="BK348" i="29"/>
  <c r="J348" i="29"/>
  <c r="BF348" i="29" s="1"/>
  <c r="BI346" i="29"/>
  <c r="BH346" i="29"/>
  <c r="BG346" i="29"/>
  <c r="BE346" i="29"/>
  <c r="T346" i="29"/>
  <c r="R346" i="29"/>
  <c r="P346" i="29"/>
  <c r="BK346" i="29"/>
  <c r="J346" i="29"/>
  <c r="BF346" i="29" s="1"/>
  <c r="BI345" i="29"/>
  <c r="BH345" i="29"/>
  <c r="BG345" i="29"/>
  <c r="BE345" i="29"/>
  <c r="T345" i="29"/>
  <c r="R345" i="29"/>
  <c r="P345" i="29"/>
  <c r="BK345" i="29"/>
  <c r="J345" i="29"/>
  <c r="BF345" i="29" s="1"/>
  <c r="BI344" i="29"/>
  <c r="BH344" i="29"/>
  <c r="BG344" i="29"/>
  <c r="BE344" i="29"/>
  <c r="T344" i="29"/>
  <c r="R344" i="29"/>
  <c r="P344" i="29"/>
  <c r="BK344" i="29"/>
  <c r="J344" i="29"/>
  <c r="BF344" i="29" s="1"/>
  <c r="BI343" i="29"/>
  <c r="BH343" i="29"/>
  <c r="BG343" i="29"/>
  <c r="BE343" i="29"/>
  <c r="T343" i="29"/>
  <c r="R343" i="29"/>
  <c r="P343" i="29"/>
  <c r="BK343" i="29"/>
  <c r="J343" i="29"/>
  <c r="BF343" i="29" s="1"/>
  <c r="BI342" i="29"/>
  <c r="BH342" i="29"/>
  <c r="BG342" i="29"/>
  <c r="BE342" i="29"/>
  <c r="T342" i="29"/>
  <c r="R342" i="29"/>
  <c r="P342" i="29"/>
  <c r="BK342" i="29"/>
  <c r="J342" i="29"/>
  <c r="BF342" i="29" s="1"/>
  <c r="BI340" i="29"/>
  <c r="BH340" i="29"/>
  <c r="BG340" i="29"/>
  <c r="BE340" i="29"/>
  <c r="T340" i="29"/>
  <c r="R340" i="29"/>
  <c r="P340" i="29"/>
  <c r="BK340" i="29"/>
  <c r="J340" i="29"/>
  <c r="BF340" i="29" s="1"/>
  <c r="BI339" i="29"/>
  <c r="BH339" i="29"/>
  <c r="BG339" i="29"/>
  <c r="BE339" i="29"/>
  <c r="T339" i="29"/>
  <c r="R339" i="29"/>
  <c r="P339" i="29"/>
  <c r="BK339" i="29"/>
  <c r="J339" i="29"/>
  <c r="BF339" i="29" s="1"/>
  <c r="BI338" i="29"/>
  <c r="BH338" i="29"/>
  <c r="BG338" i="29"/>
  <c r="BE338" i="29"/>
  <c r="T338" i="29"/>
  <c r="R338" i="29"/>
  <c r="P338" i="29"/>
  <c r="BK338" i="29"/>
  <c r="J338" i="29"/>
  <c r="BF338" i="29" s="1"/>
  <c r="BI337" i="29"/>
  <c r="BH337" i="29"/>
  <c r="BG337" i="29"/>
  <c r="BE337" i="29"/>
  <c r="T337" i="29"/>
  <c r="R337" i="29"/>
  <c r="P337" i="29"/>
  <c r="BK337" i="29"/>
  <c r="J337" i="29"/>
  <c r="BF337" i="29" s="1"/>
  <c r="BI335" i="29"/>
  <c r="BH335" i="29"/>
  <c r="BG335" i="29"/>
  <c r="BE335" i="29"/>
  <c r="T335" i="29"/>
  <c r="R335" i="29"/>
  <c r="P335" i="29"/>
  <c r="BK335" i="29"/>
  <c r="J335" i="29"/>
  <c r="BF335" i="29" s="1"/>
  <c r="BI334" i="29"/>
  <c r="BH334" i="29"/>
  <c r="BG334" i="29"/>
  <c r="BE334" i="29"/>
  <c r="T334" i="29"/>
  <c r="R334" i="29"/>
  <c r="P334" i="29"/>
  <c r="BK334" i="29"/>
  <c r="J334" i="29"/>
  <c r="BF334" i="29" s="1"/>
  <c r="BI333" i="29"/>
  <c r="BH333" i="29"/>
  <c r="BG333" i="29"/>
  <c r="BE333" i="29"/>
  <c r="T333" i="29"/>
  <c r="R333" i="29"/>
  <c r="P333" i="29"/>
  <c r="BK333" i="29"/>
  <c r="J333" i="29"/>
  <c r="BF333" i="29" s="1"/>
  <c r="BI331" i="29"/>
  <c r="BH331" i="29"/>
  <c r="BG331" i="29"/>
  <c r="BE331" i="29"/>
  <c r="T331" i="29"/>
  <c r="R331" i="29"/>
  <c r="P331" i="29"/>
  <c r="BK331" i="29"/>
  <c r="J331" i="29"/>
  <c r="BF331" i="29" s="1"/>
  <c r="BI330" i="29"/>
  <c r="BH330" i="29"/>
  <c r="BG330" i="29"/>
  <c r="BE330" i="29"/>
  <c r="T330" i="29"/>
  <c r="R330" i="29"/>
  <c r="P330" i="29"/>
  <c r="BK330" i="29"/>
  <c r="J330" i="29"/>
  <c r="BF330" i="29" s="1"/>
  <c r="BI329" i="29"/>
  <c r="BH329" i="29"/>
  <c r="BG329" i="29"/>
  <c r="BE329" i="29"/>
  <c r="T329" i="29"/>
  <c r="R329" i="29"/>
  <c r="P329" i="29"/>
  <c r="BK329" i="29"/>
  <c r="J329" i="29"/>
  <c r="BF329" i="29" s="1"/>
  <c r="BI328" i="29"/>
  <c r="BH328" i="29"/>
  <c r="BG328" i="29"/>
  <c r="BE328" i="29"/>
  <c r="T328" i="29"/>
  <c r="R328" i="29"/>
  <c r="P328" i="29"/>
  <c r="BK328" i="29"/>
  <c r="J328" i="29"/>
  <c r="BF328" i="29" s="1"/>
  <c r="BI327" i="29"/>
  <c r="BH327" i="29"/>
  <c r="BG327" i="29"/>
  <c r="BE327" i="29"/>
  <c r="T327" i="29"/>
  <c r="R327" i="29"/>
  <c r="P327" i="29"/>
  <c r="BK327" i="29"/>
  <c r="J327" i="29"/>
  <c r="BF327" i="29" s="1"/>
  <c r="BI326" i="29"/>
  <c r="BH326" i="29"/>
  <c r="BG326" i="29"/>
  <c r="BE326" i="29"/>
  <c r="T326" i="29"/>
  <c r="R326" i="29"/>
  <c r="P326" i="29"/>
  <c r="BK326" i="29"/>
  <c r="J326" i="29"/>
  <c r="BF326" i="29" s="1"/>
  <c r="BI325" i="29"/>
  <c r="BH325" i="29"/>
  <c r="BG325" i="29"/>
  <c r="BE325" i="29"/>
  <c r="T325" i="29"/>
  <c r="R325" i="29"/>
  <c r="P325" i="29"/>
  <c r="BK325" i="29"/>
  <c r="J325" i="29"/>
  <c r="BF325" i="29" s="1"/>
  <c r="BI323" i="29"/>
  <c r="BH323" i="29"/>
  <c r="BG323" i="29"/>
  <c r="BE323" i="29"/>
  <c r="T323" i="29"/>
  <c r="R323" i="29"/>
  <c r="P323" i="29"/>
  <c r="BK323" i="29"/>
  <c r="J323" i="29"/>
  <c r="BF323" i="29" s="1"/>
  <c r="BI317" i="29"/>
  <c r="BH317" i="29"/>
  <c r="BG317" i="29"/>
  <c r="BE317" i="29"/>
  <c r="T317" i="29"/>
  <c r="R317" i="29"/>
  <c r="P317" i="29"/>
  <c r="BK317" i="29"/>
  <c r="J317" i="29"/>
  <c r="BF317" i="29" s="1"/>
  <c r="BI316" i="29"/>
  <c r="BH316" i="29"/>
  <c r="BG316" i="29"/>
  <c r="BE316" i="29"/>
  <c r="T316" i="29"/>
  <c r="R316" i="29"/>
  <c r="P316" i="29"/>
  <c r="BK316" i="29"/>
  <c r="J316" i="29"/>
  <c r="BF316" i="29" s="1"/>
  <c r="BI315" i="29"/>
  <c r="BH315" i="29"/>
  <c r="BG315" i="29"/>
  <c r="BE315" i="29"/>
  <c r="T315" i="29"/>
  <c r="R315" i="29"/>
  <c r="P315" i="29"/>
  <c r="BK315" i="29"/>
  <c r="J315" i="29"/>
  <c r="BF315" i="29" s="1"/>
  <c r="BI313" i="29"/>
  <c r="BH313" i="29"/>
  <c r="BG313" i="29"/>
  <c r="BE313" i="29"/>
  <c r="T313" i="29"/>
  <c r="R313" i="29"/>
  <c r="P313" i="29"/>
  <c r="BK313" i="29"/>
  <c r="J313" i="29"/>
  <c r="BF313" i="29" s="1"/>
  <c r="BI310" i="29"/>
  <c r="BH310" i="29"/>
  <c r="BG310" i="29"/>
  <c r="BE310" i="29"/>
  <c r="T310" i="29"/>
  <c r="R310" i="29"/>
  <c r="P310" i="29"/>
  <c r="BK310" i="29"/>
  <c r="J310" i="29"/>
  <c r="BF310" i="29" s="1"/>
  <c r="BI309" i="29"/>
  <c r="BH309" i="29"/>
  <c r="BG309" i="29"/>
  <c r="BE309" i="29"/>
  <c r="T309" i="29"/>
  <c r="R309" i="29"/>
  <c r="P309" i="29"/>
  <c r="BK309" i="29"/>
  <c r="J309" i="29"/>
  <c r="BF309" i="29" s="1"/>
  <c r="BI308" i="29"/>
  <c r="BH308" i="29"/>
  <c r="BG308" i="29"/>
  <c r="BE308" i="29"/>
  <c r="T308" i="29"/>
  <c r="R308" i="29"/>
  <c r="P308" i="29"/>
  <c r="BK308" i="29"/>
  <c r="J308" i="29"/>
  <c r="BF308" i="29" s="1"/>
  <c r="BI306" i="29"/>
  <c r="BH306" i="29"/>
  <c r="BG306" i="29"/>
  <c r="BE306" i="29"/>
  <c r="T306" i="29"/>
  <c r="R306" i="29"/>
  <c r="P306" i="29"/>
  <c r="BK306" i="29"/>
  <c r="J306" i="29"/>
  <c r="BF306" i="29" s="1"/>
  <c r="BI305" i="29"/>
  <c r="BH305" i="29"/>
  <c r="BG305" i="29"/>
  <c r="BE305" i="29"/>
  <c r="T305" i="29"/>
  <c r="R305" i="29"/>
  <c r="P305" i="29"/>
  <c r="BK305" i="29"/>
  <c r="J305" i="29"/>
  <c r="BF305" i="29" s="1"/>
  <c r="BI304" i="29"/>
  <c r="BH304" i="29"/>
  <c r="BG304" i="29"/>
  <c r="BE304" i="29"/>
  <c r="T304" i="29"/>
  <c r="R304" i="29"/>
  <c r="P304" i="29"/>
  <c r="BK304" i="29"/>
  <c r="J304" i="29"/>
  <c r="BF304" i="29" s="1"/>
  <c r="BI302" i="29"/>
  <c r="BH302" i="29"/>
  <c r="BG302" i="29"/>
  <c r="BE302" i="29"/>
  <c r="T302" i="29"/>
  <c r="R302" i="29"/>
  <c r="P302" i="29"/>
  <c r="BK302" i="29"/>
  <c r="J302" i="29"/>
  <c r="BF302" i="29" s="1"/>
  <c r="BI297" i="29"/>
  <c r="BH297" i="29"/>
  <c r="BG297" i="29"/>
  <c r="BE297" i="29"/>
  <c r="T297" i="29"/>
  <c r="R297" i="29"/>
  <c r="P297" i="29"/>
  <c r="BK297" i="29"/>
  <c r="J297" i="29"/>
  <c r="BF297" i="29" s="1"/>
  <c r="BI296" i="29"/>
  <c r="BH296" i="29"/>
  <c r="BG296" i="29"/>
  <c r="BE296" i="29"/>
  <c r="T296" i="29"/>
  <c r="R296" i="29"/>
  <c r="P296" i="29"/>
  <c r="BK296" i="29"/>
  <c r="J296" i="29"/>
  <c r="BF296" i="29" s="1"/>
  <c r="BI295" i="29"/>
  <c r="BH295" i="29"/>
  <c r="BG295" i="29"/>
  <c r="BE295" i="29"/>
  <c r="T295" i="29"/>
  <c r="R295" i="29"/>
  <c r="P295" i="29"/>
  <c r="BK295" i="29"/>
  <c r="J295" i="29"/>
  <c r="BF295" i="29" s="1"/>
  <c r="BI294" i="29"/>
  <c r="BH294" i="29"/>
  <c r="BG294" i="29"/>
  <c r="BE294" i="29"/>
  <c r="T294" i="29"/>
  <c r="R294" i="29"/>
  <c r="P294" i="29"/>
  <c r="BK294" i="29"/>
  <c r="J294" i="29"/>
  <c r="BF294" i="29" s="1"/>
  <c r="BI293" i="29"/>
  <c r="BH293" i="29"/>
  <c r="BG293" i="29"/>
  <c r="BE293" i="29"/>
  <c r="T293" i="29"/>
  <c r="R293" i="29"/>
  <c r="P293" i="29"/>
  <c r="BK293" i="29"/>
  <c r="J293" i="29"/>
  <c r="BF293" i="29" s="1"/>
  <c r="BI289" i="29"/>
  <c r="BH289" i="29"/>
  <c r="BG289" i="29"/>
  <c r="BE289" i="29"/>
  <c r="T289" i="29"/>
  <c r="R289" i="29"/>
  <c r="P289" i="29"/>
  <c r="BK289" i="29"/>
  <c r="J289" i="29"/>
  <c r="BF289" i="29" s="1"/>
  <c r="BI287" i="29"/>
  <c r="BH287" i="29"/>
  <c r="BG287" i="29"/>
  <c r="BE287" i="29"/>
  <c r="T287" i="29"/>
  <c r="R287" i="29"/>
  <c r="P287" i="29"/>
  <c r="BK287" i="29"/>
  <c r="J287" i="29"/>
  <c r="BF287" i="29" s="1"/>
  <c r="BI286" i="29"/>
  <c r="BH286" i="29"/>
  <c r="BG286" i="29"/>
  <c r="BE286" i="29"/>
  <c r="T286" i="29"/>
  <c r="R286" i="29"/>
  <c r="P286" i="29"/>
  <c r="BK286" i="29"/>
  <c r="J286" i="29"/>
  <c r="BF286" i="29" s="1"/>
  <c r="BI285" i="29"/>
  <c r="BH285" i="29"/>
  <c r="BG285" i="29"/>
  <c r="BE285" i="29"/>
  <c r="T285" i="29"/>
  <c r="R285" i="29"/>
  <c r="P285" i="29"/>
  <c r="BK285" i="29"/>
  <c r="J285" i="29"/>
  <c r="BF285" i="29" s="1"/>
  <c r="BI283" i="29"/>
  <c r="BH283" i="29"/>
  <c r="BG283" i="29"/>
  <c r="BE283" i="29"/>
  <c r="T283" i="29"/>
  <c r="R283" i="29"/>
  <c r="P283" i="29"/>
  <c r="BK283" i="29"/>
  <c r="J283" i="29"/>
  <c r="BF283" i="29" s="1"/>
  <c r="BI281" i="29"/>
  <c r="BH281" i="29"/>
  <c r="BG281" i="29"/>
  <c r="BE281" i="29"/>
  <c r="T281" i="29"/>
  <c r="R281" i="29"/>
  <c r="P281" i="29"/>
  <c r="BK281" i="29"/>
  <c r="J281" i="29"/>
  <c r="BF281" i="29" s="1"/>
  <c r="BI279" i="29"/>
  <c r="BH279" i="29"/>
  <c r="BG279" i="29"/>
  <c r="BE279" i="29"/>
  <c r="T279" i="29"/>
  <c r="R279" i="29"/>
  <c r="P279" i="29"/>
  <c r="BK279" i="29"/>
  <c r="J279" i="29"/>
  <c r="BF279" i="29" s="1"/>
  <c r="BI278" i="29"/>
  <c r="BH278" i="29"/>
  <c r="BG278" i="29"/>
  <c r="BE278" i="29"/>
  <c r="T278" i="29"/>
  <c r="R278" i="29"/>
  <c r="P278" i="29"/>
  <c r="BK278" i="29"/>
  <c r="J278" i="29"/>
  <c r="BF278" i="29" s="1"/>
  <c r="BI277" i="29"/>
  <c r="BH277" i="29"/>
  <c r="BG277" i="29"/>
  <c r="BE277" i="29"/>
  <c r="T277" i="29"/>
  <c r="R277" i="29"/>
  <c r="P277" i="29"/>
  <c r="BK277" i="29"/>
  <c r="J277" i="29"/>
  <c r="BF277" i="29" s="1"/>
  <c r="BI276" i="29"/>
  <c r="BH276" i="29"/>
  <c r="BG276" i="29"/>
  <c r="BE276" i="29"/>
  <c r="T276" i="29"/>
  <c r="R276" i="29"/>
  <c r="P276" i="29"/>
  <c r="BK276" i="29"/>
  <c r="J276" i="29"/>
  <c r="BF276" i="29" s="1"/>
  <c r="BI275" i="29"/>
  <c r="BH275" i="29"/>
  <c r="BG275" i="29"/>
  <c r="BE275" i="29"/>
  <c r="T275" i="29"/>
  <c r="R275" i="29"/>
  <c r="P275" i="29"/>
  <c r="BK275" i="29"/>
  <c r="J275" i="29"/>
  <c r="BF275" i="29" s="1"/>
  <c r="BI273" i="29"/>
  <c r="BH273" i="29"/>
  <c r="BG273" i="29"/>
  <c r="BE273" i="29"/>
  <c r="T273" i="29"/>
  <c r="R273" i="29"/>
  <c r="P273" i="29"/>
  <c r="BK273" i="29"/>
  <c r="J273" i="29"/>
  <c r="BF273" i="29" s="1"/>
  <c r="BI272" i="29"/>
  <c r="BH272" i="29"/>
  <c r="BG272" i="29"/>
  <c r="BE272" i="29"/>
  <c r="T272" i="29"/>
  <c r="R272" i="29"/>
  <c r="P272" i="29"/>
  <c r="BK272" i="29"/>
  <c r="J272" i="29"/>
  <c r="BF272" i="29" s="1"/>
  <c r="BI269" i="29"/>
  <c r="BH269" i="29"/>
  <c r="BG269" i="29"/>
  <c r="BE269" i="29"/>
  <c r="T269" i="29"/>
  <c r="R269" i="29"/>
  <c r="P269" i="29"/>
  <c r="BK269" i="29"/>
  <c r="J269" i="29"/>
  <c r="BF269" i="29" s="1"/>
  <c r="BI268" i="29"/>
  <c r="BH268" i="29"/>
  <c r="BG268" i="29"/>
  <c r="BE268" i="29"/>
  <c r="T268" i="29"/>
  <c r="R268" i="29"/>
  <c r="P268" i="29"/>
  <c r="BK268" i="29"/>
  <c r="J268" i="29"/>
  <c r="BF268" i="29" s="1"/>
  <c r="BI267" i="29"/>
  <c r="BH267" i="29"/>
  <c r="BG267" i="29"/>
  <c r="BE267" i="29"/>
  <c r="T267" i="29"/>
  <c r="R267" i="29"/>
  <c r="P267" i="29"/>
  <c r="BK267" i="29"/>
  <c r="J267" i="29"/>
  <c r="BF267" i="29" s="1"/>
  <c r="BI266" i="29"/>
  <c r="BH266" i="29"/>
  <c r="BG266" i="29"/>
  <c r="BE266" i="29"/>
  <c r="T266" i="29"/>
  <c r="R266" i="29"/>
  <c r="P266" i="29"/>
  <c r="BK266" i="29"/>
  <c r="J266" i="29"/>
  <c r="BF266" i="29" s="1"/>
  <c r="BI264" i="29"/>
  <c r="BH264" i="29"/>
  <c r="BG264" i="29"/>
  <c r="BE264" i="29"/>
  <c r="T264" i="29"/>
  <c r="R264" i="29"/>
  <c r="P264" i="29"/>
  <c r="BK264" i="29"/>
  <c r="J264" i="29"/>
  <c r="BF264" i="29" s="1"/>
  <c r="BI263" i="29"/>
  <c r="BH263" i="29"/>
  <c r="BG263" i="29"/>
  <c r="BE263" i="29"/>
  <c r="T263" i="29"/>
  <c r="R263" i="29"/>
  <c r="P263" i="29"/>
  <c r="BK263" i="29"/>
  <c r="J263" i="29"/>
  <c r="BF263" i="29" s="1"/>
  <c r="BI262" i="29"/>
  <c r="BH262" i="29"/>
  <c r="BG262" i="29"/>
  <c r="BE262" i="29"/>
  <c r="T262" i="29"/>
  <c r="R262" i="29"/>
  <c r="P262" i="29"/>
  <c r="BK262" i="29"/>
  <c r="J262" i="29"/>
  <c r="BF262" i="29" s="1"/>
  <c r="BI259" i="29"/>
  <c r="BH259" i="29"/>
  <c r="BG259" i="29"/>
  <c r="BE259" i="29"/>
  <c r="T259" i="29"/>
  <c r="T258" i="29" s="1"/>
  <c r="R259" i="29"/>
  <c r="R258" i="29" s="1"/>
  <c r="P259" i="29"/>
  <c r="P258" i="29" s="1"/>
  <c r="BK259" i="29"/>
  <c r="BK258" i="29" s="1"/>
  <c r="J258" i="29" s="1"/>
  <c r="J105" i="29" s="1"/>
  <c r="J259" i="29"/>
  <c r="BF259" i="29" s="1"/>
  <c r="BI257" i="29"/>
  <c r="BH257" i="29"/>
  <c r="BG257" i="29"/>
  <c r="BE257" i="29"/>
  <c r="T257" i="29"/>
  <c r="R257" i="29"/>
  <c r="P257" i="29"/>
  <c r="BK257" i="29"/>
  <c r="J257" i="29"/>
  <c r="BF257" i="29" s="1"/>
  <c r="BI256" i="29"/>
  <c r="BH256" i="29"/>
  <c r="BG256" i="29"/>
  <c r="BE256" i="29"/>
  <c r="T256" i="29"/>
  <c r="R256" i="29"/>
  <c r="P256" i="29"/>
  <c r="BK256" i="29"/>
  <c r="J256" i="29"/>
  <c r="BF256" i="29" s="1"/>
  <c r="BI255" i="29"/>
  <c r="BH255" i="29"/>
  <c r="BG255" i="29"/>
  <c r="BE255" i="29"/>
  <c r="T255" i="29"/>
  <c r="R255" i="29"/>
  <c r="P255" i="29"/>
  <c r="BK255" i="29"/>
  <c r="J255" i="29"/>
  <c r="BF255" i="29" s="1"/>
  <c r="BI254" i="29"/>
  <c r="BH254" i="29"/>
  <c r="BG254" i="29"/>
  <c r="BE254" i="29"/>
  <c r="T254" i="29"/>
  <c r="R254" i="29"/>
  <c r="P254" i="29"/>
  <c r="BK254" i="29"/>
  <c r="J254" i="29"/>
  <c r="BF254" i="29" s="1"/>
  <c r="BI253" i="29"/>
  <c r="BH253" i="29"/>
  <c r="BG253" i="29"/>
  <c r="BE253" i="29"/>
  <c r="T253" i="29"/>
  <c r="R253" i="29"/>
  <c r="P253" i="29"/>
  <c r="BK253" i="29"/>
  <c r="J253" i="29"/>
  <c r="BF253" i="29" s="1"/>
  <c r="BI252" i="29"/>
  <c r="BH252" i="29"/>
  <c r="BG252" i="29"/>
  <c r="BE252" i="29"/>
  <c r="T252" i="29"/>
  <c r="R252" i="29"/>
  <c r="P252" i="29"/>
  <c r="BK252" i="29"/>
  <c r="J252" i="29"/>
  <c r="BF252" i="29" s="1"/>
  <c r="BI248" i="29"/>
  <c r="BH248" i="29"/>
  <c r="BG248" i="29"/>
  <c r="BE248" i="29"/>
  <c r="T248" i="29"/>
  <c r="R248" i="29"/>
  <c r="P248" i="29"/>
  <c r="BK248" i="29"/>
  <c r="J248" i="29"/>
  <c r="BF248" i="29" s="1"/>
  <c r="BI247" i="29"/>
  <c r="BH247" i="29"/>
  <c r="BG247" i="29"/>
  <c r="BE247" i="29"/>
  <c r="T247" i="29"/>
  <c r="R247" i="29"/>
  <c r="P247" i="29"/>
  <c r="BK247" i="29"/>
  <c r="J247" i="29"/>
  <c r="BF247" i="29" s="1"/>
  <c r="BI245" i="29"/>
  <c r="BH245" i="29"/>
  <c r="BG245" i="29"/>
  <c r="BE245" i="29"/>
  <c r="T245" i="29"/>
  <c r="R245" i="29"/>
  <c r="P245" i="29"/>
  <c r="BK245" i="29"/>
  <c r="J245" i="29"/>
  <c r="BF245" i="29" s="1"/>
  <c r="BI244" i="29"/>
  <c r="BH244" i="29"/>
  <c r="BG244" i="29"/>
  <c r="BE244" i="29"/>
  <c r="T244" i="29"/>
  <c r="R244" i="29"/>
  <c r="P244" i="29"/>
  <c r="BK244" i="29"/>
  <c r="J244" i="29"/>
  <c r="BF244" i="29" s="1"/>
  <c r="BI243" i="29"/>
  <c r="BH243" i="29"/>
  <c r="BG243" i="29"/>
  <c r="BE243" i="29"/>
  <c r="T243" i="29"/>
  <c r="R243" i="29"/>
  <c r="P243" i="29"/>
  <c r="BK243" i="29"/>
  <c r="J243" i="29"/>
  <c r="BF243" i="29" s="1"/>
  <c r="BI241" i="29"/>
  <c r="BH241" i="29"/>
  <c r="BG241" i="29"/>
  <c r="BE241" i="29"/>
  <c r="T241" i="29"/>
  <c r="R241" i="29"/>
  <c r="P241" i="29"/>
  <c r="BK241" i="29"/>
  <c r="J241" i="29"/>
  <c r="BF241" i="29" s="1"/>
  <c r="BI240" i="29"/>
  <c r="BH240" i="29"/>
  <c r="BG240" i="29"/>
  <c r="BE240" i="29"/>
  <c r="T240" i="29"/>
  <c r="R240" i="29"/>
  <c r="P240" i="29"/>
  <c r="BK240" i="29"/>
  <c r="J240" i="29"/>
  <c r="BF240" i="29" s="1"/>
  <c r="BI237" i="29"/>
  <c r="BH237" i="29"/>
  <c r="BG237" i="29"/>
  <c r="BE237" i="29"/>
  <c r="T237" i="29"/>
  <c r="R237" i="29"/>
  <c r="P237" i="29"/>
  <c r="BK237" i="29"/>
  <c r="J237" i="29"/>
  <c r="BF237" i="29" s="1"/>
  <c r="BI236" i="29"/>
  <c r="BH236" i="29"/>
  <c r="BG236" i="29"/>
  <c r="BE236" i="29"/>
  <c r="T236" i="29"/>
  <c r="R236" i="29"/>
  <c r="P236" i="29"/>
  <c r="BK236" i="29"/>
  <c r="J236" i="29"/>
  <c r="BF236" i="29" s="1"/>
  <c r="BI234" i="29"/>
  <c r="BH234" i="29"/>
  <c r="BG234" i="29"/>
  <c r="BE234" i="29"/>
  <c r="T234" i="29"/>
  <c r="R234" i="29"/>
  <c r="P234" i="29"/>
  <c r="BK234" i="29"/>
  <c r="J234" i="29"/>
  <c r="BF234" i="29" s="1"/>
  <c r="BI233" i="29"/>
  <c r="BH233" i="29"/>
  <c r="BG233" i="29"/>
  <c r="BE233" i="29"/>
  <c r="T233" i="29"/>
  <c r="R233" i="29"/>
  <c r="P233" i="29"/>
  <c r="BK233" i="29"/>
  <c r="J233" i="29"/>
  <c r="BF233" i="29" s="1"/>
  <c r="BI232" i="29"/>
  <c r="BH232" i="29"/>
  <c r="BG232" i="29"/>
  <c r="BE232" i="29"/>
  <c r="T232" i="29"/>
  <c r="R232" i="29"/>
  <c r="P232" i="29"/>
  <c r="BK232" i="29"/>
  <c r="J232" i="29"/>
  <c r="BF232" i="29" s="1"/>
  <c r="BI231" i="29"/>
  <c r="BH231" i="29"/>
  <c r="BG231" i="29"/>
  <c r="BE231" i="29"/>
  <c r="T231" i="29"/>
  <c r="R231" i="29"/>
  <c r="P231" i="29"/>
  <c r="BK231" i="29"/>
  <c r="J231" i="29"/>
  <c r="BF231" i="29" s="1"/>
  <c r="BI226" i="29"/>
  <c r="BH226" i="29"/>
  <c r="BG226" i="29"/>
  <c r="BE226" i="29"/>
  <c r="T226" i="29"/>
  <c r="R226" i="29"/>
  <c r="P226" i="29"/>
  <c r="BK226" i="29"/>
  <c r="J226" i="29"/>
  <c r="BF226" i="29" s="1"/>
  <c r="BI224" i="29"/>
  <c r="BH224" i="29"/>
  <c r="BG224" i="29"/>
  <c r="BE224" i="29"/>
  <c r="T224" i="29"/>
  <c r="R224" i="29"/>
  <c r="P224" i="29"/>
  <c r="BK224" i="29"/>
  <c r="J224" i="29"/>
  <c r="BF224" i="29" s="1"/>
  <c r="BI223" i="29"/>
  <c r="BH223" i="29"/>
  <c r="BG223" i="29"/>
  <c r="BE223" i="29"/>
  <c r="T223" i="29"/>
  <c r="R223" i="29"/>
  <c r="P223" i="29"/>
  <c r="BK223" i="29"/>
  <c r="J223" i="29"/>
  <c r="BF223" i="29" s="1"/>
  <c r="BI222" i="29"/>
  <c r="BH222" i="29"/>
  <c r="BG222" i="29"/>
  <c r="BE222" i="29"/>
  <c r="T222" i="29"/>
  <c r="R222" i="29"/>
  <c r="P222" i="29"/>
  <c r="BK222" i="29"/>
  <c r="J222" i="29"/>
  <c r="BF222" i="29" s="1"/>
  <c r="BI220" i="29"/>
  <c r="BH220" i="29"/>
  <c r="BG220" i="29"/>
  <c r="BE220" i="29"/>
  <c r="T220" i="29"/>
  <c r="R220" i="29"/>
  <c r="P220" i="29"/>
  <c r="BK220" i="29"/>
  <c r="J220" i="29"/>
  <c r="BF220" i="29" s="1"/>
  <c r="BI218" i="29"/>
  <c r="BH218" i="29"/>
  <c r="BG218" i="29"/>
  <c r="BE218" i="29"/>
  <c r="T218" i="29"/>
  <c r="R218" i="29"/>
  <c r="P218" i="29"/>
  <c r="BK218" i="29"/>
  <c r="J218" i="29"/>
  <c r="BF218" i="29" s="1"/>
  <c r="BI216" i="29"/>
  <c r="BH216" i="29"/>
  <c r="BG216" i="29"/>
  <c r="BE216" i="29"/>
  <c r="T216" i="29"/>
  <c r="R216" i="29"/>
  <c r="P216" i="29"/>
  <c r="BK216" i="29"/>
  <c r="J216" i="29"/>
  <c r="BF216" i="29" s="1"/>
  <c r="BI214" i="29"/>
  <c r="BH214" i="29"/>
  <c r="BG214" i="29"/>
  <c r="BE214" i="29"/>
  <c r="T214" i="29"/>
  <c r="R214" i="29"/>
  <c r="P214" i="29"/>
  <c r="BK214" i="29"/>
  <c r="J214" i="29"/>
  <c r="BF214" i="29" s="1"/>
  <c r="BI212" i="29"/>
  <c r="BH212" i="29"/>
  <c r="BG212" i="29"/>
  <c r="BE212" i="29"/>
  <c r="T212" i="29"/>
  <c r="R212" i="29"/>
  <c r="P212" i="29"/>
  <c r="BK212" i="29"/>
  <c r="J212" i="29"/>
  <c r="BF212" i="29" s="1"/>
  <c r="BI211" i="29"/>
  <c r="BH211" i="29"/>
  <c r="BG211" i="29"/>
  <c r="BE211" i="29"/>
  <c r="T211" i="29"/>
  <c r="R211" i="29"/>
  <c r="P211" i="29"/>
  <c r="BK211" i="29"/>
  <c r="J211" i="29"/>
  <c r="BF211" i="29" s="1"/>
  <c r="BI210" i="29"/>
  <c r="BH210" i="29"/>
  <c r="BG210" i="29"/>
  <c r="BE210" i="29"/>
  <c r="T210" i="29"/>
  <c r="R210" i="29"/>
  <c r="P210" i="29"/>
  <c r="BK210" i="29"/>
  <c r="J210" i="29"/>
  <c r="BF210" i="29" s="1"/>
  <c r="BI207" i="29"/>
  <c r="BH207" i="29"/>
  <c r="BG207" i="29"/>
  <c r="BE207" i="29"/>
  <c r="T207" i="29"/>
  <c r="T206" i="29" s="1"/>
  <c r="R207" i="29"/>
  <c r="R206" i="29" s="1"/>
  <c r="P207" i="29"/>
  <c r="P206" i="29" s="1"/>
  <c r="BK207" i="29"/>
  <c r="BK206" i="29" s="1"/>
  <c r="J206" i="29" s="1"/>
  <c r="J102" i="29" s="1"/>
  <c r="J207" i="29"/>
  <c r="BF207" i="29" s="1"/>
  <c r="BI205" i="29"/>
  <c r="BH205" i="29"/>
  <c r="BG205" i="29"/>
  <c r="BE205" i="29"/>
  <c r="T205" i="29"/>
  <c r="R205" i="29"/>
  <c r="P205" i="29"/>
  <c r="BK205" i="29"/>
  <c r="J205" i="29"/>
  <c r="BF205" i="29" s="1"/>
  <c r="BI204" i="29"/>
  <c r="BH204" i="29"/>
  <c r="BG204" i="29"/>
  <c r="BE204" i="29"/>
  <c r="T204" i="29"/>
  <c r="R204" i="29"/>
  <c r="P204" i="29"/>
  <c r="BK204" i="29"/>
  <c r="J204" i="29"/>
  <c r="BF204" i="29" s="1"/>
  <c r="BI203" i="29"/>
  <c r="BH203" i="29"/>
  <c r="BG203" i="29"/>
  <c r="BE203" i="29"/>
  <c r="T203" i="29"/>
  <c r="R203" i="29"/>
  <c r="P203" i="29"/>
  <c r="BK203" i="29"/>
  <c r="J203" i="29"/>
  <c r="BF203" i="29" s="1"/>
  <c r="BI202" i="29"/>
  <c r="BH202" i="29"/>
  <c r="BG202" i="29"/>
  <c r="BE202" i="29"/>
  <c r="T202" i="29"/>
  <c r="R202" i="29"/>
  <c r="P202" i="29"/>
  <c r="BK202" i="29"/>
  <c r="J202" i="29"/>
  <c r="BF202" i="29" s="1"/>
  <c r="BI201" i="29"/>
  <c r="BH201" i="29"/>
  <c r="BG201" i="29"/>
  <c r="BE201" i="29"/>
  <c r="T201" i="29"/>
  <c r="R201" i="29"/>
  <c r="P201" i="29"/>
  <c r="BK201" i="29"/>
  <c r="J201" i="29"/>
  <c r="BF201" i="29" s="1"/>
  <c r="BI199" i="29"/>
  <c r="BH199" i="29"/>
  <c r="BG199" i="29"/>
  <c r="BE199" i="29"/>
  <c r="T199" i="29"/>
  <c r="R199" i="29"/>
  <c r="P199" i="29"/>
  <c r="BK199" i="29"/>
  <c r="J199" i="29"/>
  <c r="BF199" i="29" s="1"/>
  <c r="BI197" i="29"/>
  <c r="BH197" i="29"/>
  <c r="BG197" i="29"/>
  <c r="BE197" i="29"/>
  <c r="T197" i="29"/>
  <c r="R197" i="29"/>
  <c r="P197" i="29"/>
  <c r="BK197" i="29"/>
  <c r="J197" i="29"/>
  <c r="BF197" i="29" s="1"/>
  <c r="BI195" i="29"/>
  <c r="BH195" i="29"/>
  <c r="BG195" i="29"/>
  <c r="BE195" i="29"/>
  <c r="T195" i="29"/>
  <c r="R195" i="29"/>
  <c r="P195" i="29"/>
  <c r="BK195" i="29"/>
  <c r="J195" i="29"/>
  <c r="BF195" i="29" s="1"/>
  <c r="BI194" i="29"/>
  <c r="BH194" i="29"/>
  <c r="BG194" i="29"/>
  <c r="BE194" i="29"/>
  <c r="T194" i="29"/>
  <c r="R194" i="29"/>
  <c r="P194" i="29"/>
  <c r="BK194" i="29"/>
  <c r="J194" i="29"/>
  <c r="BF194" i="29" s="1"/>
  <c r="BI193" i="29"/>
  <c r="BH193" i="29"/>
  <c r="BG193" i="29"/>
  <c r="BE193" i="29"/>
  <c r="T193" i="29"/>
  <c r="R193" i="29"/>
  <c r="P193" i="29"/>
  <c r="BK193" i="29"/>
  <c r="J193" i="29"/>
  <c r="BF193" i="29" s="1"/>
  <c r="BI192" i="29"/>
  <c r="BH192" i="29"/>
  <c r="BG192" i="29"/>
  <c r="BE192" i="29"/>
  <c r="T192" i="29"/>
  <c r="R192" i="29"/>
  <c r="P192" i="29"/>
  <c r="BK192" i="29"/>
  <c r="J192" i="29"/>
  <c r="BF192" i="29" s="1"/>
  <c r="BI190" i="29"/>
  <c r="BH190" i="29"/>
  <c r="BG190" i="29"/>
  <c r="BE190" i="29"/>
  <c r="T190" i="29"/>
  <c r="R190" i="29"/>
  <c r="P190" i="29"/>
  <c r="BK190" i="29"/>
  <c r="J190" i="29"/>
  <c r="BF190" i="29" s="1"/>
  <c r="BI189" i="29"/>
  <c r="BH189" i="29"/>
  <c r="BG189" i="29"/>
  <c r="BE189" i="29"/>
  <c r="T189" i="29"/>
  <c r="R189" i="29"/>
  <c r="P189" i="29"/>
  <c r="BK189" i="29"/>
  <c r="J189" i="29"/>
  <c r="BF189" i="29" s="1"/>
  <c r="BI188" i="29"/>
  <c r="BH188" i="29"/>
  <c r="BG188" i="29"/>
  <c r="BE188" i="29"/>
  <c r="T188" i="29"/>
  <c r="R188" i="29"/>
  <c r="P188" i="29"/>
  <c r="BK188" i="29"/>
  <c r="J188" i="29"/>
  <c r="BF188" i="29" s="1"/>
  <c r="BI187" i="29"/>
  <c r="BH187" i="29"/>
  <c r="BG187" i="29"/>
  <c r="BE187" i="29"/>
  <c r="T187" i="29"/>
  <c r="R187" i="29"/>
  <c r="P187" i="29"/>
  <c r="BK187" i="29"/>
  <c r="J187" i="29"/>
  <c r="BF187" i="29" s="1"/>
  <c r="BI186" i="29"/>
  <c r="BH186" i="29"/>
  <c r="BG186" i="29"/>
  <c r="BE186" i="29"/>
  <c r="T186" i="29"/>
  <c r="R186" i="29"/>
  <c r="P186" i="29"/>
  <c r="BK186" i="29"/>
  <c r="J186" i="29"/>
  <c r="BF186" i="29" s="1"/>
  <c r="BI185" i="29"/>
  <c r="BH185" i="29"/>
  <c r="BG185" i="29"/>
  <c r="BE185" i="29"/>
  <c r="T185" i="29"/>
  <c r="R185" i="29"/>
  <c r="P185" i="29"/>
  <c r="BK185" i="29"/>
  <c r="J185" i="29"/>
  <c r="BF185" i="29" s="1"/>
  <c r="BI184" i="29"/>
  <c r="BH184" i="29"/>
  <c r="BG184" i="29"/>
  <c r="BE184" i="29"/>
  <c r="T184" i="29"/>
  <c r="R184" i="29"/>
  <c r="P184" i="29"/>
  <c r="BK184" i="29"/>
  <c r="J184" i="29"/>
  <c r="BF184" i="29" s="1"/>
  <c r="BI183" i="29"/>
  <c r="BH183" i="29"/>
  <c r="BG183" i="29"/>
  <c r="BE183" i="29"/>
  <c r="T183" i="29"/>
  <c r="R183" i="29"/>
  <c r="P183" i="29"/>
  <c r="BK183" i="29"/>
  <c r="J183" i="29"/>
  <c r="BF183" i="29" s="1"/>
  <c r="BI182" i="29"/>
  <c r="BH182" i="29"/>
  <c r="BG182" i="29"/>
  <c r="BE182" i="29"/>
  <c r="T182" i="29"/>
  <c r="R182" i="29"/>
  <c r="P182" i="29"/>
  <c r="BK182" i="29"/>
  <c r="J182" i="29"/>
  <c r="BF182" i="29" s="1"/>
  <c r="BI181" i="29"/>
  <c r="BH181" i="29"/>
  <c r="BG181" i="29"/>
  <c r="BE181" i="29"/>
  <c r="T181" i="29"/>
  <c r="R181" i="29"/>
  <c r="P181" i="29"/>
  <c r="BK181" i="29"/>
  <c r="J181" i="29"/>
  <c r="BF181" i="29" s="1"/>
  <c r="BI180" i="29"/>
  <c r="BH180" i="29"/>
  <c r="BG180" i="29"/>
  <c r="BE180" i="29"/>
  <c r="T180" i="29"/>
  <c r="R180" i="29"/>
  <c r="P180" i="29"/>
  <c r="BK180" i="29"/>
  <c r="J180" i="29"/>
  <c r="BF180" i="29" s="1"/>
  <c r="BI179" i="29"/>
  <c r="BH179" i="29"/>
  <c r="BG179" i="29"/>
  <c r="BE179" i="29"/>
  <c r="T179" i="29"/>
  <c r="R179" i="29"/>
  <c r="P179" i="29"/>
  <c r="BK179" i="29"/>
  <c r="J179" i="29"/>
  <c r="BF179" i="29" s="1"/>
  <c r="BI177" i="29"/>
  <c r="BH177" i="29"/>
  <c r="BG177" i="29"/>
  <c r="BE177" i="29"/>
  <c r="T177" i="29"/>
  <c r="R177" i="29"/>
  <c r="P177" i="29"/>
  <c r="BK177" i="29"/>
  <c r="J177" i="29"/>
  <c r="BF177" i="29" s="1"/>
  <c r="BI176" i="29"/>
  <c r="BH176" i="29"/>
  <c r="BG176" i="29"/>
  <c r="BE176" i="29"/>
  <c r="T176" i="29"/>
  <c r="R176" i="29"/>
  <c r="P176" i="29"/>
  <c r="BK176" i="29"/>
  <c r="J176" i="29"/>
  <c r="BF176" i="29" s="1"/>
  <c r="BI175" i="29"/>
  <c r="BH175" i="29"/>
  <c r="BG175" i="29"/>
  <c r="BE175" i="29"/>
  <c r="T175" i="29"/>
  <c r="R175" i="29"/>
  <c r="P175" i="29"/>
  <c r="BK175" i="29"/>
  <c r="J175" i="29"/>
  <c r="BF175" i="29" s="1"/>
  <c r="BI174" i="29"/>
  <c r="BH174" i="29"/>
  <c r="BG174" i="29"/>
  <c r="BE174" i="29"/>
  <c r="T174" i="29"/>
  <c r="R174" i="29"/>
  <c r="P174" i="29"/>
  <c r="BK174" i="29"/>
  <c r="J174" i="29"/>
  <c r="BF174" i="29" s="1"/>
  <c r="BI173" i="29"/>
  <c r="BH173" i="29"/>
  <c r="BG173" i="29"/>
  <c r="BE173" i="29"/>
  <c r="T173" i="29"/>
  <c r="R173" i="29"/>
  <c r="P173" i="29"/>
  <c r="BK173" i="29"/>
  <c r="J173" i="29"/>
  <c r="BF173" i="29" s="1"/>
  <c r="BI172" i="29"/>
  <c r="BH172" i="29"/>
  <c r="BG172" i="29"/>
  <c r="BE172" i="29"/>
  <c r="T172" i="29"/>
  <c r="R172" i="29"/>
  <c r="P172" i="29"/>
  <c r="BK172" i="29"/>
  <c r="J172" i="29"/>
  <c r="BF172" i="29" s="1"/>
  <c r="BI171" i="29"/>
  <c r="BH171" i="29"/>
  <c r="BG171" i="29"/>
  <c r="BE171" i="29"/>
  <c r="T171" i="29"/>
  <c r="R171" i="29"/>
  <c r="P171" i="29"/>
  <c r="BK171" i="29"/>
  <c r="J171" i="29"/>
  <c r="BF171" i="29" s="1"/>
  <c r="BI170" i="29"/>
  <c r="BH170" i="29"/>
  <c r="BG170" i="29"/>
  <c r="BE170" i="29"/>
  <c r="T170" i="29"/>
  <c r="R170" i="29"/>
  <c r="P170" i="29"/>
  <c r="BK170" i="29"/>
  <c r="J170" i="29"/>
  <c r="BF170" i="29" s="1"/>
  <c r="BI162" i="29"/>
  <c r="BH162" i="29"/>
  <c r="BG162" i="29"/>
  <c r="BE162" i="29"/>
  <c r="T162" i="29"/>
  <c r="T161" i="29" s="1"/>
  <c r="R162" i="29"/>
  <c r="R161" i="29" s="1"/>
  <c r="P162" i="29"/>
  <c r="P161" i="29" s="1"/>
  <c r="BK162" i="29"/>
  <c r="BK161" i="29" s="1"/>
  <c r="J161" i="29" s="1"/>
  <c r="J99" i="29" s="1"/>
  <c r="J162" i="29"/>
  <c r="BF162" i="29" s="1"/>
  <c r="BI160" i="29"/>
  <c r="BH160" i="29"/>
  <c r="BG160" i="29"/>
  <c r="BE160" i="29"/>
  <c r="T160" i="29"/>
  <c r="R160" i="29"/>
  <c r="P160" i="29"/>
  <c r="BK160" i="29"/>
  <c r="J160" i="29"/>
  <c r="BF160" i="29" s="1"/>
  <c r="BI159" i="29"/>
  <c r="BH159" i="29"/>
  <c r="BG159" i="29"/>
  <c r="BE159" i="29"/>
  <c r="T159" i="29"/>
  <c r="R159" i="29"/>
  <c r="P159" i="29"/>
  <c r="BK159" i="29"/>
  <c r="J159" i="29"/>
  <c r="BF159" i="29" s="1"/>
  <c r="BI158" i="29"/>
  <c r="BH158" i="29"/>
  <c r="BG158" i="29"/>
  <c r="BE158" i="29"/>
  <c r="T158" i="29"/>
  <c r="R158" i="29"/>
  <c r="P158" i="29"/>
  <c r="BK158" i="29"/>
  <c r="J158" i="29"/>
  <c r="BF158" i="29" s="1"/>
  <c r="BI157" i="29"/>
  <c r="BH157" i="29"/>
  <c r="BG157" i="29"/>
  <c r="BE157" i="29"/>
  <c r="T157" i="29"/>
  <c r="R157" i="29"/>
  <c r="P157" i="29"/>
  <c r="BK157" i="29"/>
  <c r="J157" i="29"/>
  <c r="BF157" i="29" s="1"/>
  <c r="BI156" i="29"/>
  <c r="BH156" i="29"/>
  <c r="BG156" i="29"/>
  <c r="BE156" i="29"/>
  <c r="T156" i="29"/>
  <c r="R156" i="29"/>
  <c r="P156" i="29"/>
  <c r="BK156" i="29"/>
  <c r="J156" i="29"/>
  <c r="BF156" i="29" s="1"/>
  <c r="BI155" i="29"/>
  <c r="BH155" i="29"/>
  <c r="BG155" i="29"/>
  <c r="BE155" i="29"/>
  <c r="T155" i="29"/>
  <c r="R155" i="29"/>
  <c r="P155" i="29"/>
  <c r="BK155" i="29"/>
  <c r="J155" i="29"/>
  <c r="BF155" i="29" s="1"/>
  <c r="BI154" i="29"/>
  <c r="BH154" i="29"/>
  <c r="BG154" i="29"/>
  <c r="BE154" i="29"/>
  <c r="T154" i="29"/>
  <c r="R154" i="29"/>
  <c r="P154" i="29"/>
  <c r="BK154" i="29"/>
  <c r="J154" i="29"/>
  <c r="BF154" i="29" s="1"/>
  <c r="BI153" i="29"/>
  <c r="BH153" i="29"/>
  <c r="BG153" i="29"/>
  <c r="BE153" i="29"/>
  <c r="T153" i="29"/>
  <c r="R153" i="29"/>
  <c r="P153" i="29"/>
  <c r="BK153" i="29"/>
  <c r="J153" i="29"/>
  <c r="BF153" i="29" s="1"/>
  <c r="BI152" i="29"/>
  <c r="BH152" i="29"/>
  <c r="BG152" i="29"/>
  <c r="BE152" i="29"/>
  <c r="T152" i="29"/>
  <c r="R152" i="29"/>
  <c r="P152" i="29"/>
  <c r="BK152" i="29"/>
  <c r="J152" i="29"/>
  <c r="BF152" i="29" s="1"/>
  <c r="BI151" i="29"/>
  <c r="BH151" i="29"/>
  <c r="BG151" i="29"/>
  <c r="BE151" i="29"/>
  <c r="T151" i="29"/>
  <c r="R151" i="29"/>
  <c r="P151" i="29"/>
  <c r="BK151" i="29"/>
  <c r="J151" i="29"/>
  <c r="BF151" i="29" s="1"/>
  <c r="BI150" i="29"/>
  <c r="BH150" i="29"/>
  <c r="BG150" i="29"/>
  <c r="BE150" i="29"/>
  <c r="T150" i="29"/>
  <c r="R150" i="29"/>
  <c r="P150" i="29"/>
  <c r="BK150" i="29"/>
  <c r="J150" i="29"/>
  <c r="BF150" i="29" s="1"/>
  <c r="BI149" i="29"/>
  <c r="BH149" i="29"/>
  <c r="BG149" i="29"/>
  <c r="BE149" i="29"/>
  <c r="T149" i="29"/>
  <c r="R149" i="29"/>
  <c r="P149" i="29"/>
  <c r="BK149" i="29"/>
  <c r="J149" i="29"/>
  <c r="BF149" i="29" s="1"/>
  <c r="BI145" i="29"/>
  <c r="BH145" i="29"/>
  <c r="BG145" i="29"/>
  <c r="BE145" i="29"/>
  <c r="T145" i="29"/>
  <c r="R145" i="29"/>
  <c r="P145" i="29"/>
  <c r="BK145" i="29"/>
  <c r="J145" i="29"/>
  <c r="BF145" i="29" s="1"/>
  <c r="BI144" i="29"/>
  <c r="BH144" i="29"/>
  <c r="BG144" i="29"/>
  <c r="BE144" i="29"/>
  <c r="T144" i="29"/>
  <c r="R144" i="29"/>
  <c r="P144" i="29"/>
  <c r="BK144" i="29"/>
  <c r="J144" i="29"/>
  <c r="BF144" i="29" s="1"/>
  <c r="BI142" i="29"/>
  <c r="BH142" i="29"/>
  <c r="BG142" i="29"/>
  <c r="BE142" i="29"/>
  <c r="T142" i="29"/>
  <c r="R142" i="29"/>
  <c r="P142" i="29"/>
  <c r="BK142" i="29"/>
  <c r="J142" i="29"/>
  <c r="BF142" i="29" s="1"/>
  <c r="BI141" i="29"/>
  <c r="BH141" i="29"/>
  <c r="BG141" i="29"/>
  <c r="BE141" i="29"/>
  <c r="T141" i="29"/>
  <c r="R141" i="29"/>
  <c r="P141" i="29"/>
  <c r="BK141" i="29"/>
  <c r="J141" i="29"/>
  <c r="BF141" i="29" s="1"/>
  <c r="F132" i="29"/>
  <c r="F89" i="29"/>
  <c r="J24" i="29"/>
  <c r="E24" i="29"/>
  <c r="J135" i="29" s="1"/>
  <c r="J23" i="29"/>
  <c r="J21" i="29"/>
  <c r="E21" i="29"/>
  <c r="J91" i="29" s="1"/>
  <c r="J20" i="29"/>
  <c r="J18" i="29"/>
  <c r="E15" i="29"/>
  <c r="J89" i="29"/>
  <c r="J132" i="29"/>
  <c r="J126" i="28"/>
  <c r="J37" i="28"/>
  <c r="J36" i="28"/>
  <c r="AY121" i="1"/>
  <c r="J35" i="28"/>
  <c r="AX121" i="1"/>
  <c r="BI204" i="28"/>
  <c r="BH204" i="28"/>
  <c r="BG204" i="28"/>
  <c r="BE204" i="28"/>
  <c r="T204" i="28"/>
  <c r="R204" i="28"/>
  <c r="P204" i="28"/>
  <c r="BK204" i="28"/>
  <c r="J204" i="28"/>
  <c r="BF204" i="28"/>
  <c r="BI203" i="28"/>
  <c r="BH203" i="28"/>
  <c r="BG203" i="28"/>
  <c r="BE203" i="28"/>
  <c r="T203" i="28"/>
  <c r="R203" i="28"/>
  <c r="R200" i="28" s="1"/>
  <c r="P203" i="28"/>
  <c r="BK203" i="28"/>
  <c r="J203" i="28"/>
  <c r="BF203" i="28"/>
  <c r="BI202" i="28"/>
  <c r="BH202" i="28"/>
  <c r="BG202" i="28"/>
  <c r="BE202" i="28"/>
  <c r="T202" i="28"/>
  <c r="R202" i="28"/>
  <c r="P202" i="28"/>
  <c r="BK202" i="28"/>
  <c r="BK200" i="28" s="1"/>
  <c r="J200" i="28" s="1"/>
  <c r="J105" i="28" s="1"/>
  <c r="J202" i="28"/>
  <c r="BF202" i="28"/>
  <c r="BI201" i="28"/>
  <c r="BH201" i="28"/>
  <c r="BG201" i="28"/>
  <c r="BE201" i="28"/>
  <c r="T201" i="28"/>
  <c r="T200" i="28"/>
  <c r="R201" i="28"/>
  <c r="P201" i="28"/>
  <c r="P200" i="28"/>
  <c r="BK201" i="28"/>
  <c r="J201" i="28"/>
  <c r="BF201" i="28" s="1"/>
  <c r="BI199" i="28"/>
  <c r="BH199" i="28"/>
  <c r="BG199" i="28"/>
  <c r="BE199" i="28"/>
  <c r="T199" i="28"/>
  <c r="R199" i="28"/>
  <c r="P199" i="28"/>
  <c r="BK199" i="28"/>
  <c r="J199" i="28"/>
  <c r="BF199" i="28" s="1"/>
  <c r="BI198" i="28"/>
  <c r="BH198" i="28"/>
  <c r="BG198" i="28"/>
  <c r="BE198" i="28"/>
  <c r="T198" i="28"/>
  <c r="R198" i="28"/>
  <c r="P198" i="28"/>
  <c r="BK198" i="28"/>
  <c r="J198" i="28"/>
  <c r="BF198" i="28" s="1"/>
  <c r="BI197" i="28"/>
  <c r="BH197" i="28"/>
  <c r="BG197" i="28"/>
  <c r="BE197" i="28"/>
  <c r="T197" i="28"/>
  <c r="R197" i="28"/>
  <c r="P197" i="28"/>
  <c r="P195" i="28" s="1"/>
  <c r="BK197" i="28"/>
  <c r="J197" i="28"/>
  <c r="BF197" i="28" s="1"/>
  <c r="BI196" i="28"/>
  <c r="BH196" i="28"/>
  <c r="BG196" i="28"/>
  <c r="BE196" i="28"/>
  <c r="T196" i="28"/>
  <c r="R196" i="28"/>
  <c r="P196" i="28"/>
  <c r="BK196" i="28"/>
  <c r="J196" i="28"/>
  <c r="BF196" i="28" s="1"/>
  <c r="BI194" i="28"/>
  <c r="BH194" i="28"/>
  <c r="BG194" i="28"/>
  <c r="BE194" i="28"/>
  <c r="T194" i="28"/>
  <c r="R194" i="28"/>
  <c r="P194" i="28"/>
  <c r="BK194" i="28"/>
  <c r="J194" i="28"/>
  <c r="BF194" i="28" s="1"/>
  <c r="BI193" i="28"/>
  <c r="BH193" i="28"/>
  <c r="BG193" i="28"/>
  <c r="BE193" i="28"/>
  <c r="T193" i="28"/>
  <c r="R193" i="28"/>
  <c r="P193" i="28"/>
  <c r="BK193" i="28"/>
  <c r="J193" i="28"/>
  <c r="BF193" i="28" s="1"/>
  <c r="BI192" i="28"/>
  <c r="BH192" i="28"/>
  <c r="BG192" i="28"/>
  <c r="BE192" i="28"/>
  <c r="T192" i="28"/>
  <c r="R192" i="28"/>
  <c r="P192" i="28"/>
  <c r="BK192" i="28"/>
  <c r="J192" i="28"/>
  <c r="BF192" i="28" s="1"/>
  <c r="BI190" i="28"/>
  <c r="BH190" i="28"/>
  <c r="BG190" i="28"/>
  <c r="BE190" i="28"/>
  <c r="T190" i="28"/>
  <c r="R190" i="28"/>
  <c r="P190" i="28"/>
  <c r="BK190" i="28"/>
  <c r="J190" i="28"/>
  <c r="BF190" i="28" s="1"/>
  <c r="BI189" i="28"/>
  <c r="BH189" i="28"/>
  <c r="BG189" i="28"/>
  <c r="BE189" i="28"/>
  <c r="T189" i="28"/>
  <c r="R189" i="28"/>
  <c r="P189" i="28"/>
  <c r="BK189" i="28"/>
  <c r="J189" i="28"/>
  <c r="BF189" i="28" s="1"/>
  <c r="BI188" i="28"/>
  <c r="BH188" i="28"/>
  <c r="BG188" i="28"/>
  <c r="BE188" i="28"/>
  <c r="T188" i="28"/>
  <c r="R188" i="28"/>
  <c r="P188" i="28"/>
  <c r="BK188" i="28"/>
  <c r="J188" i="28"/>
  <c r="BF188" i="28" s="1"/>
  <c r="BI187" i="28"/>
  <c r="BH187" i="28"/>
  <c r="BG187" i="28"/>
  <c r="BE187" i="28"/>
  <c r="T187" i="28"/>
  <c r="R187" i="28"/>
  <c r="P187" i="28"/>
  <c r="BK187" i="28"/>
  <c r="J187" i="28"/>
  <c r="BF187" i="28" s="1"/>
  <c r="BI186" i="28"/>
  <c r="BH186" i="28"/>
  <c r="BG186" i="28"/>
  <c r="BE186" i="28"/>
  <c r="T186" i="28"/>
  <c r="R186" i="28"/>
  <c r="P186" i="28"/>
  <c r="BK186" i="28"/>
  <c r="J186" i="28"/>
  <c r="BF186" i="28" s="1"/>
  <c r="BI185" i="28"/>
  <c r="BH185" i="28"/>
  <c r="BG185" i="28"/>
  <c r="BE185" i="28"/>
  <c r="T185" i="28"/>
  <c r="R185" i="28"/>
  <c r="P185" i="28"/>
  <c r="BK185" i="28"/>
  <c r="J185" i="28"/>
  <c r="BF185" i="28" s="1"/>
  <c r="BI184" i="28"/>
  <c r="BH184" i="28"/>
  <c r="BG184" i="28"/>
  <c r="BE184" i="28"/>
  <c r="T184" i="28"/>
  <c r="R184" i="28"/>
  <c r="P184" i="28"/>
  <c r="BK184" i="28"/>
  <c r="J184" i="28"/>
  <c r="BF184" i="28" s="1"/>
  <c r="BI183" i="28"/>
  <c r="BH183" i="28"/>
  <c r="BG183" i="28"/>
  <c r="BE183" i="28"/>
  <c r="T183" i="28"/>
  <c r="R183" i="28"/>
  <c r="P183" i="28"/>
  <c r="BK183" i="28"/>
  <c r="J183" i="28"/>
  <c r="BF183" i="28" s="1"/>
  <c r="BI182" i="28"/>
  <c r="BH182" i="28"/>
  <c r="BG182" i="28"/>
  <c r="BE182" i="28"/>
  <c r="T182" i="28"/>
  <c r="R182" i="28"/>
  <c r="P182" i="28"/>
  <c r="BK182" i="28"/>
  <c r="J182" i="28"/>
  <c r="BF182" i="28" s="1"/>
  <c r="BI181" i="28"/>
  <c r="BH181" i="28"/>
  <c r="BG181" i="28"/>
  <c r="BE181" i="28"/>
  <c r="T181" i="28"/>
  <c r="R181" i="28"/>
  <c r="P181" i="28"/>
  <c r="BK181" i="28"/>
  <c r="J181" i="28"/>
  <c r="BF181" i="28" s="1"/>
  <c r="BI180" i="28"/>
  <c r="BH180" i="28"/>
  <c r="BG180" i="28"/>
  <c r="BE180" i="28"/>
  <c r="T180" i="28"/>
  <c r="R180" i="28"/>
  <c r="P180" i="28"/>
  <c r="BK180" i="28"/>
  <c r="J180" i="28"/>
  <c r="BF180" i="28" s="1"/>
  <c r="BI179" i="28"/>
  <c r="BH179" i="28"/>
  <c r="BG179" i="28"/>
  <c r="BE179" i="28"/>
  <c r="T179" i="28"/>
  <c r="R179" i="28"/>
  <c r="P179" i="28"/>
  <c r="BK179" i="28"/>
  <c r="J179" i="28"/>
  <c r="BF179" i="28" s="1"/>
  <c r="BI178" i="28"/>
  <c r="BH178" i="28"/>
  <c r="BG178" i="28"/>
  <c r="BE178" i="28"/>
  <c r="T178" i="28"/>
  <c r="R178" i="28"/>
  <c r="P178" i="28"/>
  <c r="BK178" i="28"/>
  <c r="J178" i="28"/>
  <c r="BF178" i="28" s="1"/>
  <c r="BI177" i="28"/>
  <c r="BH177" i="28"/>
  <c r="BG177" i="28"/>
  <c r="BE177" i="28"/>
  <c r="T177" i="28"/>
  <c r="R177" i="28"/>
  <c r="R176" i="28" s="1"/>
  <c r="P177" i="28"/>
  <c r="BK177" i="28"/>
  <c r="BK176" i="28" s="1"/>
  <c r="J176" i="28" s="1"/>
  <c r="J102" i="28" s="1"/>
  <c r="J177" i="28"/>
  <c r="BF177" i="28" s="1"/>
  <c r="BI175" i="28"/>
  <c r="BH175" i="28"/>
  <c r="BG175" i="28"/>
  <c r="BE175" i="28"/>
  <c r="T175" i="28"/>
  <c r="R175" i="28"/>
  <c r="P175" i="28"/>
  <c r="BK175" i="28"/>
  <c r="J175" i="28"/>
  <c r="BF175" i="28"/>
  <c r="BI174" i="28"/>
  <c r="BH174" i="28"/>
  <c r="BG174" i="28"/>
  <c r="BE174" i="28"/>
  <c r="T174" i="28"/>
  <c r="R174" i="28"/>
  <c r="P174" i="28"/>
  <c r="BK174" i="28"/>
  <c r="J174" i="28"/>
  <c r="BF174" i="28"/>
  <c r="BI173" i="28"/>
  <c r="BH173" i="28"/>
  <c r="BG173" i="28"/>
  <c r="BE173" i="28"/>
  <c r="T173" i="28"/>
  <c r="R173" i="28"/>
  <c r="P173" i="28"/>
  <c r="BK173" i="28"/>
  <c r="J173" i="28"/>
  <c r="BF173" i="28"/>
  <c r="BI172" i="28"/>
  <c r="BH172" i="28"/>
  <c r="BG172" i="28"/>
  <c r="BE172" i="28"/>
  <c r="T172" i="28"/>
  <c r="R172" i="28"/>
  <c r="P172" i="28"/>
  <c r="BK172" i="28"/>
  <c r="J172" i="28"/>
  <c r="BF172" i="28"/>
  <c r="BI171" i="28"/>
  <c r="BH171" i="28"/>
  <c r="BG171" i="28"/>
  <c r="BE171" i="28"/>
  <c r="T171" i="28"/>
  <c r="R171" i="28"/>
  <c r="P171" i="28"/>
  <c r="BK171" i="28"/>
  <c r="J171" i="28"/>
  <c r="BF171" i="28"/>
  <c r="BI170" i="28"/>
  <c r="BH170" i="28"/>
  <c r="BG170" i="28"/>
  <c r="BE170" i="28"/>
  <c r="T170" i="28"/>
  <c r="R170" i="28"/>
  <c r="P170" i="28"/>
  <c r="BK170" i="28"/>
  <c r="J170" i="28"/>
  <c r="BF170" i="28"/>
  <c r="BI169" i="28"/>
  <c r="BH169" i="28"/>
  <c r="BG169" i="28"/>
  <c r="BE169" i="28"/>
  <c r="T169" i="28"/>
  <c r="R169" i="28"/>
  <c r="P169" i="28"/>
  <c r="BK169" i="28"/>
  <c r="J169" i="28"/>
  <c r="BF169" i="28"/>
  <c r="BI168" i="28"/>
  <c r="BH168" i="28"/>
  <c r="BG168" i="28"/>
  <c r="BE168" i="28"/>
  <c r="T168" i="28"/>
  <c r="R168" i="28"/>
  <c r="P168" i="28"/>
  <c r="BK168" i="28"/>
  <c r="J168" i="28"/>
  <c r="BF168" i="28"/>
  <c r="BI167" i="28"/>
  <c r="BH167" i="28"/>
  <c r="BG167" i="28"/>
  <c r="BE167" i="28"/>
  <c r="T167" i="28"/>
  <c r="R167" i="28"/>
  <c r="P167" i="28"/>
  <c r="BK167" i="28"/>
  <c r="J167" i="28"/>
  <c r="BF167" i="28"/>
  <c r="BI166" i="28"/>
  <c r="BH166" i="28"/>
  <c r="BG166" i="28"/>
  <c r="BE166" i="28"/>
  <c r="T166" i="28"/>
  <c r="R166" i="28"/>
  <c r="P166" i="28"/>
  <c r="BK166" i="28"/>
  <c r="J166" i="28"/>
  <c r="BF166" i="28"/>
  <c r="BI165" i="28"/>
  <c r="BH165" i="28"/>
  <c r="BG165" i="28"/>
  <c r="BE165" i="28"/>
  <c r="T165" i="28"/>
  <c r="R165" i="28"/>
  <c r="P165" i="28"/>
  <c r="BK165" i="28"/>
  <c r="J165" i="28"/>
  <c r="BF165" i="28"/>
  <c r="BI164" i="28"/>
  <c r="BH164" i="28"/>
  <c r="BG164" i="28"/>
  <c r="BE164" i="28"/>
  <c r="T164" i="28"/>
  <c r="R164" i="28"/>
  <c r="P164" i="28"/>
  <c r="BK164" i="28"/>
  <c r="J164" i="28"/>
  <c r="BF164" i="28"/>
  <c r="BI163" i="28"/>
  <c r="BH163" i="28"/>
  <c r="BG163" i="28"/>
  <c r="BE163" i="28"/>
  <c r="T163" i="28"/>
  <c r="R163" i="28"/>
  <c r="P163" i="28"/>
  <c r="BK163" i="28"/>
  <c r="J163" i="28"/>
  <c r="BF163" i="28"/>
  <c r="BI162" i="28"/>
  <c r="BH162" i="28"/>
  <c r="BG162" i="28"/>
  <c r="BE162" i="28"/>
  <c r="T162" i="28"/>
  <c r="R162" i="28"/>
  <c r="P162" i="28"/>
  <c r="BK162" i="28"/>
  <c r="J162" i="28"/>
  <c r="BF162" i="28"/>
  <c r="BI161" i="28"/>
  <c r="BH161" i="28"/>
  <c r="BG161" i="28"/>
  <c r="BE161" i="28"/>
  <c r="T161" i="28"/>
  <c r="R161" i="28"/>
  <c r="P161" i="28"/>
  <c r="BK161" i="28"/>
  <c r="J161" i="28"/>
  <c r="BF161" i="28"/>
  <c r="BI160" i="28"/>
  <c r="BH160" i="28"/>
  <c r="BG160" i="28"/>
  <c r="BE160" i="28"/>
  <c r="T160" i="28"/>
  <c r="R160" i="28"/>
  <c r="P160" i="28"/>
  <c r="BK160" i="28"/>
  <c r="J160" i="28"/>
  <c r="BF160" i="28"/>
  <c r="BI159" i="28"/>
  <c r="BH159" i="28"/>
  <c r="BG159" i="28"/>
  <c r="BE159" i="28"/>
  <c r="T159" i="28"/>
  <c r="T158" i="28"/>
  <c r="R159" i="28"/>
  <c r="R158" i="28"/>
  <c r="P159" i="28"/>
  <c r="P158" i="28"/>
  <c r="BK159" i="28"/>
  <c r="BK158" i="28"/>
  <c r="J158" i="28" s="1"/>
  <c r="J101" i="28" s="1"/>
  <c r="J159" i="28"/>
  <c r="BF159" i="28" s="1"/>
  <c r="BI157" i="28"/>
  <c r="BH157" i="28"/>
  <c r="BG157" i="28"/>
  <c r="BE157" i="28"/>
  <c r="T157" i="28"/>
  <c r="R157" i="28"/>
  <c r="P157" i="28"/>
  <c r="BK157" i="28"/>
  <c r="J157" i="28"/>
  <c r="BF157" i="28" s="1"/>
  <c r="BI156" i="28"/>
  <c r="BH156" i="28"/>
  <c r="BG156" i="28"/>
  <c r="BE156" i="28"/>
  <c r="T156" i="28"/>
  <c r="R156" i="28"/>
  <c r="P156" i="28"/>
  <c r="BK156" i="28"/>
  <c r="J156" i="28"/>
  <c r="BF156" i="28" s="1"/>
  <c r="BI155" i="28"/>
  <c r="BH155" i="28"/>
  <c r="BG155" i="28"/>
  <c r="BE155" i="28"/>
  <c r="T155" i="28"/>
  <c r="R155" i="28"/>
  <c r="P155" i="28"/>
  <c r="BK155" i="28"/>
  <c r="J155" i="28"/>
  <c r="BF155" i="28" s="1"/>
  <c r="BI154" i="28"/>
  <c r="BH154" i="28"/>
  <c r="BG154" i="28"/>
  <c r="BE154" i="28"/>
  <c r="T154" i="28"/>
  <c r="R154" i="28"/>
  <c r="P154" i="28"/>
  <c r="BK154" i="28"/>
  <c r="J154" i="28"/>
  <c r="BF154" i="28" s="1"/>
  <c r="BI153" i="28"/>
  <c r="BH153" i="28"/>
  <c r="BG153" i="28"/>
  <c r="BE153" i="28"/>
  <c r="T153" i="28"/>
  <c r="R153" i="28"/>
  <c r="P153" i="28"/>
  <c r="BK153" i="28"/>
  <c r="J153" i="28"/>
  <c r="BF153" i="28" s="1"/>
  <c r="BI152" i="28"/>
  <c r="BH152" i="28"/>
  <c r="BG152" i="28"/>
  <c r="BE152" i="28"/>
  <c r="T152" i="28"/>
  <c r="R152" i="28"/>
  <c r="P152" i="28"/>
  <c r="BK152" i="28"/>
  <c r="J152" i="28"/>
  <c r="BF152" i="28" s="1"/>
  <c r="BI151" i="28"/>
  <c r="BH151" i="28"/>
  <c r="BG151" i="28"/>
  <c r="BE151" i="28"/>
  <c r="T151" i="28"/>
  <c r="R151" i="28"/>
  <c r="P151" i="28"/>
  <c r="BK151" i="28"/>
  <c r="J151" i="28"/>
  <c r="BF151" i="28" s="1"/>
  <c r="BI150" i="28"/>
  <c r="BH150" i="28"/>
  <c r="BG150" i="28"/>
  <c r="BE150" i="28"/>
  <c r="T150" i="28"/>
  <c r="R150" i="28"/>
  <c r="P150" i="28"/>
  <c r="BK150" i="28"/>
  <c r="J150" i="28"/>
  <c r="BF150" i="28" s="1"/>
  <c r="BI149" i="28"/>
  <c r="BH149" i="28"/>
  <c r="BG149" i="28"/>
  <c r="BE149" i="28"/>
  <c r="T149" i="28"/>
  <c r="R149" i="28"/>
  <c r="P149" i="28"/>
  <c r="BK149" i="28"/>
  <c r="J149" i="28"/>
  <c r="BF149" i="28" s="1"/>
  <c r="BI148" i="28"/>
  <c r="BH148" i="28"/>
  <c r="BG148" i="28"/>
  <c r="BE148" i="28"/>
  <c r="T148" i="28"/>
  <c r="R148" i="28"/>
  <c r="P148" i="28"/>
  <c r="P145" i="28" s="1"/>
  <c r="BK148" i="28"/>
  <c r="J148" i="28"/>
  <c r="BF148" i="28" s="1"/>
  <c r="BI147" i="28"/>
  <c r="BH147" i="28"/>
  <c r="BG147" i="28"/>
  <c r="BE147" i="28"/>
  <c r="T147" i="28"/>
  <c r="R147" i="28"/>
  <c r="P147" i="28"/>
  <c r="BK147" i="28"/>
  <c r="J147" i="28"/>
  <c r="BF147" i="28" s="1"/>
  <c r="BI146" i="28"/>
  <c r="BH146" i="28"/>
  <c r="BG146" i="28"/>
  <c r="BE146" i="28"/>
  <c r="T146" i="28"/>
  <c r="R146" i="28"/>
  <c r="P146" i="28"/>
  <c r="BK146" i="28"/>
  <c r="J146" i="28"/>
  <c r="BF146" i="28" s="1"/>
  <c r="BI144" i="28"/>
  <c r="BH144" i="28"/>
  <c r="BG144" i="28"/>
  <c r="BE144" i="28"/>
  <c r="T144" i="28"/>
  <c r="R144" i="28"/>
  <c r="P144" i="28"/>
  <c r="BK144" i="28"/>
  <c r="J144" i="28"/>
  <c r="BF144" i="28"/>
  <c r="BI143" i="28"/>
  <c r="BH143" i="28"/>
  <c r="BG143" i="28"/>
  <c r="BE143" i="28"/>
  <c r="T143" i="28"/>
  <c r="R143" i="28"/>
  <c r="P143" i="28"/>
  <c r="BK143" i="28"/>
  <c r="J143" i="28"/>
  <c r="BF143" i="28"/>
  <c r="BI142" i="28"/>
  <c r="BH142" i="28"/>
  <c r="BG142" i="28"/>
  <c r="BE142" i="28"/>
  <c r="T142" i="28"/>
  <c r="R142" i="28"/>
  <c r="P142" i="28"/>
  <c r="BK142" i="28"/>
  <c r="J142" i="28"/>
  <c r="BF142" i="28"/>
  <c r="BI141" i="28"/>
  <c r="BH141" i="28"/>
  <c r="BG141" i="28"/>
  <c r="BE141" i="28"/>
  <c r="T141" i="28"/>
  <c r="R141" i="28"/>
  <c r="P141" i="28"/>
  <c r="BK141" i="28"/>
  <c r="J141" i="28"/>
  <c r="BF141" i="28"/>
  <c r="BI140" i="28"/>
  <c r="BH140" i="28"/>
  <c r="BG140" i="28"/>
  <c r="BE140" i="28"/>
  <c r="T140" i="28"/>
  <c r="R140" i="28"/>
  <c r="P140" i="28"/>
  <c r="BK140" i="28"/>
  <c r="J140" i="28"/>
  <c r="BF140" i="28"/>
  <c r="BI139" i="28"/>
  <c r="BH139" i="28"/>
  <c r="BG139" i="28"/>
  <c r="BE139" i="28"/>
  <c r="T139" i="28"/>
  <c r="R139" i="28"/>
  <c r="P139" i="28"/>
  <c r="BK139" i="28"/>
  <c r="J139" i="28"/>
  <c r="BF139" i="28"/>
  <c r="BI138" i="28"/>
  <c r="BH138" i="28"/>
  <c r="BG138" i="28"/>
  <c r="BE138" i="28"/>
  <c r="T138" i="28"/>
  <c r="R138" i="28"/>
  <c r="P138" i="28"/>
  <c r="BK138" i="28"/>
  <c r="J138" i="28"/>
  <c r="BF138" i="28"/>
  <c r="BI137" i="28"/>
  <c r="BH137" i="28"/>
  <c r="BG137" i="28"/>
  <c r="BE137" i="28"/>
  <c r="T137" i="28"/>
  <c r="R137" i="28"/>
  <c r="P137" i="28"/>
  <c r="BK137" i="28"/>
  <c r="J137" i="28"/>
  <c r="BF137" i="28"/>
  <c r="BI136" i="28"/>
  <c r="BH136" i="28"/>
  <c r="BG136" i="28"/>
  <c r="BE136" i="28"/>
  <c r="T136" i="28"/>
  <c r="R136" i="28"/>
  <c r="P136" i="28"/>
  <c r="BK136" i="28"/>
  <c r="J136" i="28"/>
  <c r="BF136" i="28"/>
  <c r="BI135" i="28"/>
  <c r="BH135" i="28"/>
  <c r="BG135" i="28"/>
  <c r="BE135" i="28"/>
  <c r="T135" i="28"/>
  <c r="R135" i="28"/>
  <c r="P135" i="28"/>
  <c r="BK135" i="28"/>
  <c r="J135" i="28"/>
  <c r="BF135" i="28"/>
  <c r="BI134" i="28"/>
  <c r="BH134" i="28"/>
  <c r="BG134" i="28"/>
  <c r="BE134" i="28"/>
  <c r="T134" i="28"/>
  <c r="R134" i="28"/>
  <c r="P134" i="28"/>
  <c r="BK134" i="28"/>
  <c r="J134" i="28"/>
  <c r="BF134" i="28"/>
  <c r="BI133" i="28"/>
  <c r="BH133" i="28"/>
  <c r="BG133" i="28"/>
  <c r="BE133" i="28"/>
  <c r="T133" i="28"/>
  <c r="R133" i="28"/>
  <c r="P133" i="28"/>
  <c r="BK133" i="28"/>
  <c r="J133" i="28"/>
  <c r="BF133" i="28"/>
  <c r="BI132" i="28"/>
  <c r="BH132" i="28"/>
  <c r="BG132" i="28"/>
  <c r="BE132" i="28"/>
  <c r="T132" i="28"/>
  <c r="R132" i="28"/>
  <c r="P132" i="28"/>
  <c r="BK132" i="28"/>
  <c r="J132" i="28"/>
  <c r="BF132" i="28"/>
  <c r="BI131" i="28"/>
  <c r="BH131" i="28"/>
  <c r="BG131" i="28"/>
  <c r="BE131" i="28"/>
  <c r="T131" i="28"/>
  <c r="R131" i="28"/>
  <c r="P131" i="28"/>
  <c r="BK131" i="28"/>
  <c r="J131" i="28"/>
  <c r="BF131" i="28"/>
  <c r="BI130" i="28"/>
  <c r="BH130" i="28"/>
  <c r="BG130" i="28"/>
  <c r="BE130" i="28"/>
  <c r="T130" i="28"/>
  <c r="R130" i="28"/>
  <c r="P130" i="28"/>
  <c r="BK130" i="28"/>
  <c r="J130" i="28"/>
  <c r="BF130" i="28"/>
  <c r="BI129" i="28"/>
  <c r="BH129" i="28"/>
  <c r="BG129" i="28"/>
  <c r="BE129" i="28"/>
  <c r="T129" i="28"/>
  <c r="T128" i="28"/>
  <c r="R129" i="28"/>
  <c r="R128" i="28"/>
  <c r="P129" i="28"/>
  <c r="P128" i="28"/>
  <c r="BK129" i="28"/>
  <c r="J129" i="28"/>
  <c r="BF129" i="28" s="1"/>
  <c r="J97" i="28"/>
  <c r="F119" i="28"/>
  <c r="F89" i="28"/>
  <c r="J24" i="28"/>
  <c r="E24" i="28"/>
  <c r="J92" i="28" s="1"/>
  <c r="J23" i="28"/>
  <c r="J21" i="28"/>
  <c r="E21" i="28"/>
  <c r="J121" i="28" s="1"/>
  <c r="J20" i="28"/>
  <c r="J18" i="28"/>
  <c r="J15" i="28"/>
  <c r="E15" i="28"/>
  <c r="J14" i="28"/>
  <c r="J119" i="28"/>
  <c r="J181" i="27"/>
  <c r="J37" i="27"/>
  <c r="J36" i="27"/>
  <c r="AY120" i="1"/>
  <c r="J35" i="27"/>
  <c r="AX120" i="1"/>
  <c r="BI224" i="27"/>
  <c r="BH224" i="27"/>
  <c r="BG224" i="27"/>
  <c r="BE224" i="27"/>
  <c r="T224" i="27"/>
  <c r="R224" i="27"/>
  <c r="P224" i="27"/>
  <c r="BK224" i="27"/>
  <c r="J224" i="27"/>
  <c r="BF224" i="27" s="1"/>
  <c r="BI223" i="27"/>
  <c r="BH223" i="27"/>
  <c r="BG223" i="27"/>
  <c r="BE223" i="27"/>
  <c r="T223" i="27"/>
  <c r="R223" i="27"/>
  <c r="P223" i="27"/>
  <c r="BK223" i="27"/>
  <c r="J223" i="27"/>
  <c r="BF223" i="27" s="1"/>
  <c r="BI222" i="27"/>
  <c r="BH222" i="27"/>
  <c r="BG222" i="27"/>
  <c r="BE222" i="27"/>
  <c r="T222" i="27"/>
  <c r="R222" i="27"/>
  <c r="P222" i="27"/>
  <c r="BK222" i="27"/>
  <c r="J222" i="27"/>
  <c r="BF222" i="27"/>
  <c r="BI221" i="27"/>
  <c r="BH221" i="27"/>
  <c r="BG221" i="27"/>
  <c r="BE221" i="27"/>
  <c r="T221" i="27"/>
  <c r="T220" i="27"/>
  <c r="R221" i="27"/>
  <c r="P221" i="27"/>
  <c r="P220" i="27" s="1"/>
  <c r="BK221" i="27"/>
  <c r="J221" i="27"/>
  <c r="BF221" i="27" s="1"/>
  <c r="BI219" i="27"/>
  <c r="BH219" i="27"/>
  <c r="BG219" i="27"/>
  <c r="BE219" i="27"/>
  <c r="T219" i="27"/>
  <c r="R219" i="27"/>
  <c r="P219" i="27"/>
  <c r="BK219" i="27"/>
  <c r="J219" i="27"/>
  <c r="BF219" i="27" s="1"/>
  <c r="BI218" i="27"/>
  <c r="BH218" i="27"/>
  <c r="BG218" i="27"/>
  <c r="BE218" i="27"/>
  <c r="T218" i="27"/>
  <c r="R218" i="27"/>
  <c r="P218" i="27"/>
  <c r="BK218" i="27"/>
  <c r="J218" i="27"/>
  <c r="BF218" i="27"/>
  <c r="BI217" i="27"/>
  <c r="BH217" i="27"/>
  <c r="BG217" i="27"/>
  <c r="BE217" i="27"/>
  <c r="T217" i="27"/>
  <c r="R217" i="27"/>
  <c r="P217" i="27"/>
  <c r="BK217" i="27"/>
  <c r="J217" i="27"/>
  <c r="BF217" i="27"/>
  <c r="BI216" i="27"/>
  <c r="BH216" i="27"/>
  <c r="BG216" i="27"/>
  <c r="BE216" i="27"/>
  <c r="T216" i="27"/>
  <c r="R216" i="27"/>
  <c r="P216" i="27"/>
  <c r="BK216" i="27"/>
  <c r="J216" i="27"/>
  <c r="BF216" i="27"/>
  <c r="BI215" i="27"/>
  <c r="BH215" i="27"/>
  <c r="BG215" i="27"/>
  <c r="BE215" i="27"/>
  <c r="T215" i="27"/>
  <c r="R215" i="27"/>
  <c r="P215" i="27"/>
  <c r="BK215" i="27"/>
  <c r="J215" i="27"/>
  <c r="BF215" i="27"/>
  <c r="BI214" i="27"/>
  <c r="BH214" i="27"/>
  <c r="BG214" i="27"/>
  <c r="BE214" i="27"/>
  <c r="T214" i="27"/>
  <c r="R214" i="27"/>
  <c r="P214" i="27"/>
  <c r="BK214" i="27"/>
  <c r="J214" i="27"/>
  <c r="BF214" i="27"/>
  <c r="BI213" i="27"/>
  <c r="BH213" i="27"/>
  <c r="BG213" i="27"/>
  <c r="BE213" i="27"/>
  <c r="T213" i="27"/>
  <c r="R213" i="27"/>
  <c r="P213" i="27"/>
  <c r="BK213" i="27"/>
  <c r="J213" i="27"/>
  <c r="BF213" i="27"/>
  <c r="BI212" i="27"/>
  <c r="BH212" i="27"/>
  <c r="BG212" i="27"/>
  <c r="BE212" i="27"/>
  <c r="T212" i="27"/>
  <c r="R212" i="27"/>
  <c r="P212" i="27"/>
  <c r="BK212" i="27"/>
  <c r="J212" i="27"/>
  <c r="BF212" i="27"/>
  <c r="BI211" i="27"/>
  <c r="BH211" i="27"/>
  <c r="BG211" i="27"/>
  <c r="BE211" i="27"/>
  <c r="T211" i="27"/>
  <c r="R211" i="27"/>
  <c r="P211" i="27"/>
  <c r="BK211" i="27"/>
  <c r="J211" i="27"/>
  <c r="BF211" i="27"/>
  <c r="BI210" i="27"/>
  <c r="BH210" i="27"/>
  <c r="BG210" i="27"/>
  <c r="BE210" i="27"/>
  <c r="T210" i="27"/>
  <c r="R210" i="27"/>
  <c r="P210" i="27"/>
  <c r="BK210" i="27"/>
  <c r="J210" i="27"/>
  <c r="BF210" i="27"/>
  <c r="BI209" i="27"/>
  <c r="BH209" i="27"/>
  <c r="BG209" i="27"/>
  <c r="BE209" i="27"/>
  <c r="T209" i="27"/>
  <c r="R209" i="27"/>
  <c r="P209" i="27"/>
  <c r="BK209" i="27"/>
  <c r="J209" i="27"/>
  <c r="BF209" i="27"/>
  <c r="BI208" i="27"/>
  <c r="BH208" i="27"/>
  <c r="BG208" i="27"/>
  <c r="BE208" i="27"/>
  <c r="T208" i="27"/>
  <c r="R208" i="27"/>
  <c r="P208" i="27"/>
  <c r="BK208" i="27"/>
  <c r="J208" i="27"/>
  <c r="BF208" i="27"/>
  <c r="BI207" i="27"/>
  <c r="BH207" i="27"/>
  <c r="BG207" i="27"/>
  <c r="BE207" i="27"/>
  <c r="T207" i="27"/>
  <c r="R207" i="27"/>
  <c r="P207" i="27"/>
  <c r="BK207" i="27"/>
  <c r="J207" i="27"/>
  <c r="BF207" i="27"/>
  <c r="BI206" i="27"/>
  <c r="BH206" i="27"/>
  <c r="BG206" i="27"/>
  <c r="BE206" i="27"/>
  <c r="T206" i="27"/>
  <c r="R206" i="27"/>
  <c r="P206" i="27"/>
  <c r="BK206" i="27"/>
  <c r="J206" i="27"/>
  <c r="BF206" i="27"/>
  <c r="BI205" i="27"/>
  <c r="BH205" i="27"/>
  <c r="BG205" i="27"/>
  <c r="BE205" i="27"/>
  <c r="T205" i="27"/>
  <c r="R205" i="27"/>
  <c r="P205" i="27"/>
  <c r="BK205" i="27"/>
  <c r="J205" i="27"/>
  <c r="BF205" i="27"/>
  <c r="BI204" i="27"/>
  <c r="BH204" i="27"/>
  <c r="BG204" i="27"/>
  <c r="BE204" i="27"/>
  <c r="T204" i="27"/>
  <c r="R204" i="27"/>
  <c r="P204" i="27"/>
  <c r="BK204" i="27"/>
  <c r="J204" i="27"/>
  <c r="BF204" i="27"/>
  <c r="BI203" i="27"/>
  <c r="BH203" i="27"/>
  <c r="BG203" i="27"/>
  <c r="BE203" i="27"/>
  <c r="T203" i="27"/>
  <c r="R203" i="27"/>
  <c r="P203" i="27"/>
  <c r="BK203" i="27"/>
  <c r="J203" i="27"/>
  <c r="BF203" i="27"/>
  <c r="BI202" i="27"/>
  <c r="BH202" i="27"/>
  <c r="BG202" i="27"/>
  <c r="BE202" i="27"/>
  <c r="T202" i="27"/>
  <c r="R202" i="27"/>
  <c r="P202" i="27"/>
  <c r="BK202" i="27"/>
  <c r="J202" i="27"/>
  <c r="BF202" i="27"/>
  <c r="BI201" i="27"/>
  <c r="BH201" i="27"/>
  <c r="BG201" i="27"/>
  <c r="BE201" i="27"/>
  <c r="T201" i="27"/>
  <c r="R201" i="27"/>
  <c r="P201" i="27"/>
  <c r="BK201" i="27"/>
  <c r="J201" i="27"/>
  <c r="BF201" i="27"/>
  <c r="BI200" i="27"/>
  <c r="BH200" i="27"/>
  <c r="BG200" i="27"/>
  <c r="BE200" i="27"/>
  <c r="T200" i="27"/>
  <c r="R200" i="27"/>
  <c r="P200" i="27"/>
  <c r="BK200" i="27"/>
  <c r="J200" i="27"/>
  <c r="BF200" i="27"/>
  <c r="BI199" i="27"/>
  <c r="BH199" i="27"/>
  <c r="BG199" i="27"/>
  <c r="BE199" i="27"/>
  <c r="T199" i="27"/>
  <c r="R199" i="27"/>
  <c r="P199" i="27"/>
  <c r="BK199" i="27"/>
  <c r="J199" i="27"/>
  <c r="BF199" i="27"/>
  <c r="BI198" i="27"/>
  <c r="BH198" i="27"/>
  <c r="BG198" i="27"/>
  <c r="BE198" i="27"/>
  <c r="T198" i="27"/>
  <c r="R198" i="27"/>
  <c r="P198" i="27"/>
  <c r="BK198" i="27"/>
  <c r="J198" i="27"/>
  <c r="BF198" i="27"/>
  <c r="BI197" i="27"/>
  <c r="BH197" i="27"/>
  <c r="BG197" i="27"/>
  <c r="BE197" i="27"/>
  <c r="T197" i="27"/>
  <c r="R197" i="27"/>
  <c r="P197" i="27"/>
  <c r="BK197" i="27"/>
  <c r="J197" i="27"/>
  <c r="BF197" i="27"/>
  <c r="BI196" i="27"/>
  <c r="BH196" i="27"/>
  <c r="BG196" i="27"/>
  <c r="BE196" i="27"/>
  <c r="T196" i="27"/>
  <c r="R196" i="27"/>
  <c r="P196" i="27"/>
  <c r="BK196" i="27"/>
  <c r="J196" i="27"/>
  <c r="BF196" i="27"/>
  <c r="BI195" i="27"/>
  <c r="BH195" i="27"/>
  <c r="BG195" i="27"/>
  <c r="BE195" i="27"/>
  <c r="T195" i="27"/>
  <c r="R195" i="27"/>
  <c r="P195" i="27"/>
  <c r="BK195" i="27"/>
  <c r="J195" i="27"/>
  <c r="BF195" i="27"/>
  <c r="BI194" i="27"/>
  <c r="BH194" i="27"/>
  <c r="BG194" i="27"/>
  <c r="BE194" i="27"/>
  <c r="T194" i="27"/>
  <c r="R194" i="27"/>
  <c r="P194" i="27"/>
  <c r="BK194" i="27"/>
  <c r="J194" i="27"/>
  <c r="BF194" i="27"/>
  <c r="BI193" i="27"/>
  <c r="BH193" i="27"/>
  <c r="BG193" i="27"/>
  <c r="BE193" i="27"/>
  <c r="T193" i="27"/>
  <c r="R193" i="27"/>
  <c r="P193" i="27"/>
  <c r="BK193" i="27"/>
  <c r="J193" i="27"/>
  <c r="BF193" i="27"/>
  <c r="BI192" i="27"/>
  <c r="BH192" i="27"/>
  <c r="BG192" i="27"/>
  <c r="BE192" i="27"/>
  <c r="T192" i="27"/>
  <c r="R192" i="27"/>
  <c r="P192" i="27"/>
  <c r="BK192" i="27"/>
  <c r="J192" i="27"/>
  <c r="BF192" i="27"/>
  <c r="BI191" i="27"/>
  <c r="BH191" i="27"/>
  <c r="BG191" i="27"/>
  <c r="BE191" i="27"/>
  <c r="T191" i="27"/>
  <c r="R191" i="27"/>
  <c r="P191" i="27"/>
  <c r="BK191" i="27"/>
  <c r="J191" i="27"/>
  <c r="BF191" i="27"/>
  <c r="BI190" i="27"/>
  <c r="BH190" i="27"/>
  <c r="BG190" i="27"/>
  <c r="BE190" i="27"/>
  <c r="T190" i="27"/>
  <c r="R190" i="27"/>
  <c r="P190" i="27"/>
  <c r="BK190" i="27"/>
  <c r="J190" i="27"/>
  <c r="BF190" i="27"/>
  <c r="BI189" i="27"/>
  <c r="BH189" i="27"/>
  <c r="BG189" i="27"/>
  <c r="BE189" i="27"/>
  <c r="T189" i="27"/>
  <c r="R189" i="27"/>
  <c r="P189" i="27"/>
  <c r="BK189" i="27"/>
  <c r="J189" i="27"/>
  <c r="BF189" i="27"/>
  <c r="BI188" i="27"/>
  <c r="BH188" i="27"/>
  <c r="BG188" i="27"/>
  <c r="BE188" i="27"/>
  <c r="T188" i="27"/>
  <c r="R188" i="27"/>
  <c r="P188" i="27"/>
  <c r="BK188" i="27"/>
  <c r="J188" i="27"/>
  <c r="BF188" i="27"/>
  <c r="BI187" i="27"/>
  <c r="BH187" i="27"/>
  <c r="BG187" i="27"/>
  <c r="BE187" i="27"/>
  <c r="T187" i="27"/>
  <c r="R187" i="27"/>
  <c r="P187" i="27"/>
  <c r="BK187" i="27"/>
  <c r="J187" i="27"/>
  <c r="BF187" i="27"/>
  <c r="BI186" i="27"/>
  <c r="BH186" i="27"/>
  <c r="BG186" i="27"/>
  <c r="BE186" i="27"/>
  <c r="T186" i="27"/>
  <c r="R186" i="27"/>
  <c r="P186" i="27"/>
  <c r="BK186" i="27"/>
  <c r="J186" i="27"/>
  <c r="BF186" i="27"/>
  <c r="BI185" i="27"/>
  <c r="BH185" i="27"/>
  <c r="BG185" i="27"/>
  <c r="BE185" i="27"/>
  <c r="T185" i="27"/>
  <c r="R185" i="27"/>
  <c r="R182" i="27" s="1"/>
  <c r="P185" i="27"/>
  <c r="BK185" i="27"/>
  <c r="J185" i="27"/>
  <c r="BF185" i="27"/>
  <c r="BI184" i="27"/>
  <c r="BH184" i="27"/>
  <c r="BG184" i="27"/>
  <c r="BE184" i="27"/>
  <c r="T184" i="27"/>
  <c r="R184" i="27"/>
  <c r="P184" i="27"/>
  <c r="BK184" i="27"/>
  <c r="J184" i="27"/>
  <c r="BF184" i="27"/>
  <c r="BI183" i="27"/>
  <c r="BH183" i="27"/>
  <c r="BG183" i="27"/>
  <c r="BE183" i="27"/>
  <c r="T183" i="27"/>
  <c r="T182" i="27"/>
  <c r="R183" i="27"/>
  <c r="P183" i="27"/>
  <c r="P182" i="27" s="1"/>
  <c r="BK183" i="27"/>
  <c r="J183" i="27"/>
  <c r="BF183" i="27" s="1"/>
  <c r="J103" i="27"/>
  <c r="BI180" i="27"/>
  <c r="BH180" i="27"/>
  <c r="BG180" i="27"/>
  <c r="BE180" i="27"/>
  <c r="T180" i="27"/>
  <c r="R180" i="27"/>
  <c r="P180" i="27"/>
  <c r="BK180" i="27"/>
  <c r="J180" i="27"/>
  <c r="BF180" i="27" s="1"/>
  <c r="BI179" i="27"/>
  <c r="BH179" i="27"/>
  <c r="BG179" i="27"/>
  <c r="BE179" i="27"/>
  <c r="T179" i="27"/>
  <c r="R179" i="27"/>
  <c r="P179" i="27"/>
  <c r="BK179" i="27"/>
  <c r="J179" i="27"/>
  <c r="BF179" i="27" s="1"/>
  <c r="BI178" i="27"/>
  <c r="BH178" i="27"/>
  <c r="BG178" i="27"/>
  <c r="BE178" i="27"/>
  <c r="T178" i="27"/>
  <c r="R178" i="27"/>
  <c r="R177" i="27" s="1"/>
  <c r="P178" i="27"/>
  <c r="BK178" i="27"/>
  <c r="J178" i="27"/>
  <c r="BF178" i="27" s="1"/>
  <c r="BI176" i="27"/>
  <c r="BH176" i="27"/>
  <c r="BG176" i="27"/>
  <c r="BE176" i="27"/>
  <c r="T176" i="27"/>
  <c r="R176" i="27"/>
  <c r="P176" i="27"/>
  <c r="BK176" i="27"/>
  <c r="J176" i="27"/>
  <c r="BF176" i="27" s="1"/>
  <c r="BI175" i="27"/>
  <c r="BH175" i="27"/>
  <c r="BG175" i="27"/>
  <c r="BE175" i="27"/>
  <c r="T175" i="27"/>
  <c r="R175" i="27"/>
  <c r="P175" i="27"/>
  <c r="BK175" i="27"/>
  <c r="J175" i="27"/>
  <c r="BF175" i="27" s="1"/>
  <c r="BI174" i="27"/>
  <c r="BH174" i="27"/>
  <c r="BG174" i="27"/>
  <c r="BE174" i="27"/>
  <c r="T174" i="27"/>
  <c r="R174" i="27"/>
  <c r="P174" i="27"/>
  <c r="BK174" i="27"/>
  <c r="J174" i="27"/>
  <c r="BF174" i="27" s="1"/>
  <c r="BI173" i="27"/>
  <c r="BH173" i="27"/>
  <c r="BG173" i="27"/>
  <c r="BE173" i="27"/>
  <c r="T173" i="27"/>
  <c r="R173" i="27"/>
  <c r="P173" i="27"/>
  <c r="BK173" i="27"/>
  <c r="J173" i="27"/>
  <c r="BF173" i="27" s="1"/>
  <c r="BI172" i="27"/>
  <c r="BH172" i="27"/>
  <c r="BG172" i="27"/>
  <c r="BE172" i="27"/>
  <c r="T172" i="27"/>
  <c r="R172" i="27"/>
  <c r="P172" i="27"/>
  <c r="BK172" i="27"/>
  <c r="J172" i="27"/>
  <c r="BF172" i="27" s="1"/>
  <c r="BI171" i="27"/>
  <c r="BH171" i="27"/>
  <c r="BG171" i="27"/>
  <c r="BE171" i="27"/>
  <c r="T171" i="27"/>
  <c r="R171" i="27"/>
  <c r="P171" i="27"/>
  <c r="BK171" i="27"/>
  <c r="J171" i="27"/>
  <c r="BF171" i="27" s="1"/>
  <c r="BI170" i="27"/>
  <c r="BH170" i="27"/>
  <c r="BG170" i="27"/>
  <c r="BE170" i="27"/>
  <c r="T170" i="27"/>
  <c r="R170" i="27"/>
  <c r="P170" i="27"/>
  <c r="BK170" i="27"/>
  <c r="J170" i="27"/>
  <c r="BF170" i="27" s="1"/>
  <c r="BI169" i="27"/>
  <c r="BH169" i="27"/>
  <c r="BG169" i="27"/>
  <c r="BE169" i="27"/>
  <c r="T169" i="27"/>
  <c r="R169" i="27"/>
  <c r="P169" i="27"/>
  <c r="BK169" i="27"/>
  <c r="J169" i="27"/>
  <c r="BF169" i="27" s="1"/>
  <c r="BI168" i="27"/>
  <c r="BH168" i="27"/>
  <c r="BG168" i="27"/>
  <c r="BE168" i="27"/>
  <c r="T168" i="27"/>
  <c r="R168" i="27"/>
  <c r="P168" i="27"/>
  <c r="BK168" i="27"/>
  <c r="J168" i="27"/>
  <c r="BF168" i="27" s="1"/>
  <c r="BI167" i="27"/>
  <c r="BH167" i="27"/>
  <c r="BG167" i="27"/>
  <c r="BE167" i="27"/>
  <c r="T167" i="27"/>
  <c r="R167" i="27"/>
  <c r="P167" i="27"/>
  <c r="BK167" i="27"/>
  <c r="J167" i="27"/>
  <c r="BF167" i="27" s="1"/>
  <c r="BI166" i="27"/>
  <c r="BH166" i="27"/>
  <c r="BG166" i="27"/>
  <c r="BE166" i="27"/>
  <c r="T166" i="27"/>
  <c r="R166" i="27"/>
  <c r="P166" i="27"/>
  <c r="BK166" i="27"/>
  <c r="J166" i="27"/>
  <c r="BF166" i="27" s="1"/>
  <c r="BI165" i="27"/>
  <c r="BH165" i="27"/>
  <c r="BG165" i="27"/>
  <c r="BE165" i="27"/>
  <c r="T165" i="27"/>
  <c r="R165" i="27"/>
  <c r="P165" i="27"/>
  <c r="BK165" i="27"/>
  <c r="J165" i="27"/>
  <c r="BF165" i="27" s="1"/>
  <c r="BI164" i="27"/>
  <c r="BH164" i="27"/>
  <c r="BG164" i="27"/>
  <c r="BE164" i="27"/>
  <c r="T164" i="27"/>
  <c r="R164" i="27"/>
  <c r="P164" i="27"/>
  <c r="BK164" i="27"/>
  <c r="J164" i="27"/>
  <c r="BF164" i="27" s="1"/>
  <c r="BI163" i="27"/>
  <c r="BH163" i="27"/>
  <c r="BG163" i="27"/>
  <c r="BE163" i="27"/>
  <c r="T163" i="27"/>
  <c r="R163" i="27"/>
  <c r="P163" i="27"/>
  <c r="BK163" i="27"/>
  <c r="J163" i="27"/>
  <c r="BF163" i="27" s="1"/>
  <c r="BI162" i="27"/>
  <c r="BH162" i="27"/>
  <c r="BG162" i="27"/>
  <c r="BE162" i="27"/>
  <c r="T162" i="27"/>
  <c r="R162" i="27"/>
  <c r="P162" i="27"/>
  <c r="BK162" i="27"/>
  <c r="J162" i="27"/>
  <c r="BF162" i="27" s="1"/>
  <c r="BI161" i="27"/>
  <c r="BH161" i="27"/>
  <c r="BG161" i="27"/>
  <c r="BE161" i="27"/>
  <c r="T161" i="27"/>
  <c r="R161" i="27"/>
  <c r="P161" i="27"/>
  <c r="BK161" i="27"/>
  <c r="J161" i="27"/>
  <c r="BF161" i="27" s="1"/>
  <c r="BI160" i="27"/>
  <c r="BH160" i="27"/>
  <c r="BG160" i="27"/>
  <c r="BE160" i="27"/>
  <c r="T160" i="27"/>
  <c r="R160" i="27"/>
  <c r="P160" i="27"/>
  <c r="BK160" i="27"/>
  <c r="J160" i="27"/>
  <c r="BF160" i="27" s="1"/>
  <c r="BI159" i="27"/>
  <c r="BH159" i="27"/>
  <c r="BG159" i="27"/>
  <c r="BE159" i="27"/>
  <c r="T159" i="27"/>
  <c r="R159" i="27"/>
  <c r="P159" i="27"/>
  <c r="BK159" i="27"/>
  <c r="J159" i="27"/>
  <c r="BF159" i="27" s="1"/>
  <c r="BI158" i="27"/>
  <c r="BH158" i="27"/>
  <c r="BG158" i="27"/>
  <c r="BE158" i="27"/>
  <c r="T158" i="27"/>
  <c r="R158" i="27"/>
  <c r="P158" i="27"/>
  <c r="BK158" i="27"/>
  <c r="J158" i="27"/>
  <c r="BF158" i="27" s="1"/>
  <c r="BI157" i="27"/>
  <c r="BH157" i="27"/>
  <c r="BG157" i="27"/>
  <c r="BE157" i="27"/>
  <c r="T157" i="27"/>
  <c r="R157" i="27"/>
  <c r="P157" i="27"/>
  <c r="BK157" i="27"/>
  <c r="J157" i="27"/>
  <c r="BF157" i="27" s="1"/>
  <c r="BI156" i="27"/>
  <c r="BH156" i="27"/>
  <c r="BG156" i="27"/>
  <c r="BE156" i="27"/>
  <c r="T156" i="27"/>
  <c r="R156" i="27"/>
  <c r="P156" i="27"/>
  <c r="BK156" i="27"/>
  <c r="J156" i="27"/>
  <c r="BF156" i="27" s="1"/>
  <c r="BI155" i="27"/>
  <c r="BH155" i="27"/>
  <c r="BG155" i="27"/>
  <c r="BE155" i="27"/>
  <c r="T155" i="27"/>
  <c r="R155" i="27"/>
  <c r="P155" i="27"/>
  <c r="BK155" i="27"/>
  <c r="J155" i="27"/>
  <c r="BF155" i="27" s="1"/>
  <c r="BI154" i="27"/>
  <c r="BH154" i="27"/>
  <c r="BG154" i="27"/>
  <c r="BE154" i="27"/>
  <c r="T154" i="27"/>
  <c r="R154" i="27"/>
  <c r="P154" i="27"/>
  <c r="BK154" i="27"/>
  <c r="J154" i="27"/>
  <c r="BF154" i="27" s="1"/>
  <c r="BI153" i="27"/>
  <c r="BH153" i="27"/>
  <c r="BG153" i="27"/>
  <c r="BE153" i="27"/>
  <c r="T153" i="27"/>
  <c r="R153" i="27"/>
  <c r="P153" i="27"/>
  <c r="BK153" i="27"/>
  <c r="J153" i="27"/>
  <c r="BF153" i="27" s="1"/>
  <c r="BI152" i="27"/>
  <c r="BH152" i="27"/>
  <c r="BG152" i="27"/>
  <c r="BE152" i="27"/>
  <c r="T152" i="27"/>
  <c r="R152" i="27"/>
  <c r="P152" i="27"/>
  <c r="BK152" i="27"/>
  <c r="J152" i="27"/>
  <c r="BF152" i="27" s="1"/>
  <c r="BI151" i="27"/>
  <c r="BH151" i="27"/>
  <c r="BG151" i="27"/>
  <c r="BE151" i="27"/>
  <c r="T151" i="27"/>
  <c r="R151" i="27"/>
  <c r="P151" i="27"/>
  <c r="BK151" i="27"/>
  <c r="J151" i="27"/>
  <c r="BF151" i="27" s="1"/>
  <c r="BI150" i="27"/>
  <c r="BH150" i="27"/>
  <c r="BG150" i="27"/>
  <c r="BE150" i="27"/>
  <c r="T150" i="27"/>
  <c r="R150" i="27"/>
  <c r="P150" i="27"/>
  <c r="BK150" i="27"/>
  <c r="J150" i="27"/>
  <c r="BF150" i="27" s="1"/>
  <c r="BI149" i="27"/>
  <c r="BH149" i="27"/>
  <c r="BG149" i="27"/>
  <c r="BE149" i="27"/>
  <c r="T149" i="27"/>
  <c r="R149" i="27"/>
  <c r="P149" i="27"/>
  <c r="BK149" i="27"/>
  <c r="J149" i="27"/>
  <c r="BF149" i="27" s="1"/>
  <c r="BI148" i="27"/>
  <c r="BH148" i="27"/>
  <c r="BG148" i="27"/>
  <c r="BE148" i="27"/>
  <c r="T148" i="27"/>
  <c r="R148" i="27"/>
  <c r="P148" i="27"/>
  <c r="BK148" i="27"/>
  <c r="J148" i="27"/>
  <c r="BF148" i="27" s="1"/>
  <c r="BI147" i="27"/>
  <c r="BH147" i="27"/>
  <c r="BG147" i="27"/>
  <c r="BE147" i="27"/>
  <c r="T147" i="27"/>
  <c r="R147" i="27"/>
  <c r="P147" i="27"/>
  <c r="BK147" i="27"/>
  <c r="BK146" i="27" s="1"/>
  <c r="J146" i="27" s="1"/>
  <c r="J101" i="27" s="1"/>
  <c r="J147" i="27"/>
  <c r="BF147" i="27"/>
  <c r="BI145" i="27"/>
  <c r="BH145" i="27"/>
  <c r="BG145" i="27"/>
  <c r="BE145" i="27"/>
  <c r="T145" i="27"/>
  <c r="R145" i="27"/>
  <c r="P145" i="27"/>
  <c r="BK145" i="27"/>
  <c r="J145" i="27"/>
  <c r="BF145" i="27" s="1"/>
  <c r="BI144" i="27"/>
  <c r="BH144" i="27"/>
  <c r="BG144" i="27"/>
  <c r="BE144" i="27"/>
  <c r="T144" i="27"/>
  <c r="R144" i="27"/>
  <c r="P144" i="27"/>
  <c r="BK144" i="27"/>
  <c r="J144" i="27"/>
  <c r="BF144" i="27" s="1"/>
  <c r="BI143" i="27"/>
  <c r="BH143" i="27"/>
  <c r="BG143" i="27"/>
  <c r="BE143" i="27"/>
  <c r="T143" i="27"/>
  <c r="R143" i="27"/>
  <c r="P143" i="27"/>
  <c r="BK143" i="27"/>
  <c r="J143" i="27"/>
  <c r="BF143" i="27" s="1"/>
  <c r="BI142" i="27"/>
  <c r="BH142" i="27"/>
  <c r="BG142" i="27"/>
  <c r="BE142" i="27"/>
  <c r="T142" i="27"/>
  <c r="R142" i="27"/>
  <c r="P142" i="27"/>
  <c r="BK142" i="27"/>
  <c r="J142" i="27"/>
  <c r="BF142" i="27" s="1"/>
  <c r="BI141" i="27"/>
  <c r="BH141" i="27"/>
  <c r="BG141" i="27"/>
  <c r="BE141" i="27"/>
  <c r="T141" i="27"/>
  <c r="R141" i="27"/>
  <c r="P141" i="27"/>
  <c r="BK141" i="27"/>
  <c r="J141" i="27"/>
  <c r="BF141" i="27" s="1"/>
  <c r="BI140" i="27"/>
  <c r="BH140" i="27"/>
  <c r="BG140" i="27"/>
  <c r="BE140" i="27"/>
  <c r="T140" i="27"/>
  <c r="R140" i="27"/>
  <c r="P140" i="27"/>
  <c r="BK140" i="27"/>
  <c r="J140" i="27"/>
  <c r="BF140" i="27" s="1"/>
  <c r="BI139" i="27"/>
  <c r="BH139" i="27"/>
  <c r="BG139" i="27"/>
  <c r="BE139" i="27"/>
  <c r="T139" i="27"/>
  <c r="R139" i="27"/>
  <c r="P139" i="27"/>
  <c r="BK139" i="27"/>
  <c r="BK138" i="27" s="1"/>
  <c r="J139" i="27"/>
  <c r="BF139" i="27"/>
  <c r="BI137" i="27"/>
  <c r="BH137" i="27"/>
  <c r="BG137" i="27"/>
  <c r="BE137" i="27"/>
  <c r="T137" i="27"/>
  <c r="R137" i="27"/>
  <c r="P137" i="27"/>
  <c r="BK137" i="27"/>
  <c r="J137" i="27"/>
  <c r="BF137" i="27" s="1"/>
  <c r="BI136" i="27"/>
  <c r="BH136" i="27"/>
  <c r="BG136" i="27"/>
  <c r="BE136" i="27"/>
  <c r="T136" i="27"/>
  <c r="R136" i="27"/>
  <c r="P136" i="27"/>
  <c r="BK136" i="27"/>
  <c r="J136" i="27"/>
  <c r="BF136" i="27" s="1"/>
  <c r="BI135" i="27"/>
  <c r="BH135" i="27"/>
  <c r="BG135" i="27"/>
  <c r="BE135" i="27"/>
  <c r="T135" i="27"/>
  <c r="R135" i="27"/>
  <c r="P135" i="27"/>
  <c r="BK135" i="27"/>
  <c r="J135" i="27"/>
  <c r="BF135" i="27" s="1"/>
  <c r="BI134" i="27"/>
  <c r="BH134" i="27"/>
  <c r="BG134" i="27"/>
  <c r="BE134" i="27"/>
  <c r="T134" i="27"/>
  <c r="R134" i="27"/>
  <c r="P134" i="27"/>
  <c r="BK134" i="27"/>
  <c r="J134" i="27"/>
  <c r="BF134" i="27" s="1"/>
  <c r="BI133" i="27"/>
  <c r="BH133" i="27"/>
  <c r="BG133" i="27"/>
  <c r="BE133" i="27"/>
  <c r="T133" i="27"/>
  <c r="R133" i="27"/>
  <c r="P133" i="27"/>
  <c r="BK133" i="27"/>
  <c r="J133" i="27"/>
  <c r="BF133" i="27" s="1"/>
  <c r="BI132" i="27"/>
  <c r="BH132" i="27"/>
  <c r="BG132" i="27"/>
  <c r="BE132" i="27"/>
  <c r="T132" i="27"/>
  <c r="R132" i="27"/>
  <c r="P132" i="27"/>
  <c r="BK132" i="27"/>
  <c r="J132" i="27"/>
  <c r="BF132" i="27" s="1"/>
  <c r="BI131" i="27"/>
  <c r="BH131" i="27"/>
  <c r="BG131" i="27"/>
  <c r="BE131" i="27"/>
  <c r="T131" i="27"/>
  <c r="R131" i="27"/>
  <c r="P131" i="27"/>
  <c r="BK131" i="27"/>
  <c r="J131" i="27"/>
  <c r="BF131" i="27" s="1"/>
  <c r="BI130" i="27"/>
  <c r="BH130" i="27"/>
  <c r="BG130" i="27"/>
  <c r="BE130" i="27"/>
  <c r="T130" i="27"/>
  <c r="R130" i="27"/>
  <c r="P130" i="27"/>
  <c r="BK130" i="27"/>
  <c r="J130" i="27"/>
  <c r="BF130" i="27" s="1"/>
  <c r="BI129" i="27"/>
  <c r="BH129" i="27"/>
  <c r="BG129" i="27"/>
  <c r="BE129" i="27"/>
  <c r="T129" i="27"/>
  <c r="T128" i="27" s="1"/>
  <c r="R129" i="27"/>
  <c r="P129" i="27"/>
  <c r="BK129" i="27"/>
  <c r="BK128" i="27"/>
  <c r="J128" i="27" s="1"/>
  <c r="J99" i="27" s="1"/>
  <c r="J129" i="27"/>
  <c r="BF129" i="27"/>
  <c r="J98" i="27"/>
  <c r="F119" i="27"/>
  <c r="F89" i="27"/>
  <c r="J24" i="27"/>
  <c r="E24" i="27"/>
  <c r="J122" i="27" s="1"/>
  <c r="J23" i="27"/>
  <c r="J21" i="27"/>
  <c r="E21" i="27"/>
  <c r="J121" i="27" s="1"/>
  <c r="J20" i="27"/>
  <c r="J18" i="27"/>
  <c r="J15" i="27"/>
  <c r="E15" i="27"/>
  <c r="J14" i="27"/>
  <c r="J89" i="27"/>
  <c r="J37" i="26"/>
  <c r="J36" i="26"/>
  <c r="AY119" i="1" s="1"/>
  <c r="J35" i="26"/>
  <c r="AX119" i="1" s="1"/>
  <c r="BI179" i="26"/>
  <c r="BH179" i="26"/>
  <c r="BG179" i="26"/>
  <c r="BE179" i="26"/>
  <c r="T179" i="26"/>
  <c r="R179" i="26"/>
  <c r="P179" i="26"/>
  <c r="BK179" i="26"/>
  <c r="J179" i="26"/>
  <c r="BF179" i="26" s="1"/>
  <c r="BI178" i="26"/>
  <c r="BH178" i="26"/>
  <c r="BG178" i="26"/>
  <c r="BE178" i="26"/>
  <c r="T178" i="26"/>
  <c r="R178" i="26"/>
  <c r="P178" i="26"/>
  <c r="BK178" i="26"/>
  <c r="J178" i="26"/>
  <c r="BF178" i="26" s="1"/>
  <c r="BI177" i="26"/>
  <c r="BH177" i="26"/>
  <c r="BG177" i="26"/>
  <c r="BE177" i="26"/>
  <c r="T177" i="26"/>
  <c r="R177" i="26"/>
  <c r="P177" i="26"/>
  <c r="BK177" i="26"/>
  <c r="J177" i="26"/>
  <c r="BF177" i="26" s="1"/>
  <c r="BI176" i="26"/>
  <c r="BH176" i="26"/>
  <c r="BG176" i="26"/>
  <c r="BE176" i="26"/>
  <c r="T176" i="26"/>
  <c r="R176" i="26"/>
  <c r="P176" i="26"/>
  <c r="BK176" i="26"/>
  <c r="J176" i="26"/>
  <c r="BF176" i="26" s="1"/>
  <c r="BI175" i="26"/>
  <c r="BH175" i="26"/>
  <c r="BG175" i="26"/>
  <c r="BE175" i="26"/>
  <c r="T175" i="26"/>
  <c r="R175" i="26"/>
  <c r="P175" i="26"/>
  <c r="BK175" i="26"/>
  <c r="J175" i="26"/>
  <c r="BF175" i="26" s="1"/>
  <c r="BI174" i="26"/>
  <c r="BH174" i="26"/>
  <c r="BG174" i="26"/>
  <c r="BE174" i="26"/>
  <c r="T174" i="26"/>
  <c r="R174" i="26"/>
  <c r="P174" i="26"/>
  <c r="BK174" i="26"/>
  <c r="J174" i="26"/>
  <c r="BF174" i="26" s="1"/>
  <c r="BI173" i="26"/>
  <c r="BH173" i="26"/>
  <c r="BG173" i="26"/>
  <c r="BE173" i="26"/>
  <c r="T173" i="26"/>
  <c r="R173" i="26"/>
  <c r="P173" i="26"/>
  <c r="BK173" i="26"/>
  <c r="J173" i="26"/>
  <c r="BF173" i="26" s="1"/>
  <c r="BI172" i="26"/>
  <c r="BH172" i="26"/>
  <c r="BG172" i="26"/>
  <c r="BE172" i="26"/>
  <c r="T172" i="26"/>
  <c r="R172" i="26"/>
  <c r="P172" i="26"/>
  <c r="BK172" i="26"/>
  <c r="J172" i="26"/>
  <c r="BF172" i="26" s="1"/>
  <c r="BI171" i="26"/>
  <c r="BH171" i="26"/>
  <c r="BG171" i="26"/>
  <c r="BE171" i="26"/>
  <c r="T171" i="26"/>
  <c r="R171" i="26"/>
  <c r="P171" i="26"/>
  <c r="BK171" i="26"/>
  <c r="J171" i="26"/>
  <c r="BF171" i="26" s="1"/>
  <c r="BI170" i="26"/>
  <c r="BH170" i="26"/>
  <c r="BG170" i="26"/>
  <c r="BE170" i="26"/>
  <c r="T170" i="26"/>
  <c r="R170" i="26"/>
  <c r="P170" i="26"/>
  <c r="BK170" i="26"/>
  <c r="J170" i="26"/>
  <c r="BF170" i="26" s="1"/>
  <c r="BI169" i="26"/>
  <c r="BH169" i="26"/>
  <c r="BG169" i="26"/>
  <c r="BE169" i="26"/>
  <c r="T169" i="26"/>
  <c r="R169" i="26"/>
  <c r="P169" i="26"/>
  <c r="BK169" i="26"/>
  <c r="J169" i="26"/>
  <c r="BF169" i="26" s="1"/>
  <c r="BI168" i="26"/>
  <c r="BH168" i="26"/>
  <c r="BG168" i="26"/>
  <c r="BE168" i="26"/>
  <c r="T168" i="26"/>
  <c r="R168" i="26"/>
  <c r="P168" i="26"/>
  <c r="BK168" i="26"/>
  <c r="J168" i="26"/>
  <c r="BF168" i="26" s="1"/>
  <c r="BI167" i="26"/>
  <c r="BH167" i="26"/>
  <c r="BG167" i="26"/>
  <c r="BE167" i="26"/>
  <c r="T167" i="26"/>
  <c r="R167" i="26"/>
  <c r="P167" i="26"/>
  <c r="BK167" i="26"/>
  <c r="J167" i="26"/>
  <c r="BF167" i="26" s="1"/>
  <c r="BI166" i="26"/>
  <c r="BH166" i="26"/>
  <c r="BG166" i="26"/>
  <c r="BE166" i="26"/>
  <c r="T166" i="26"/>
  <c r="R166" i="26"/>
  <c r="P166" i="26"/>
  <c r="BK166" i="26"/>
  <c r="J166" i="26"/>
  <c r="BF166" i="26" s="1"/>
  <c r="BI165" i="26"/>
  <c r="BH165" i="26"/>
  <c r="BG165" i="26"/>
  <c r="BE165" i="26"/>
  <c r="T165" i="26"/>
  <c r="R165" i="26"/>
  <c r="P165" i="26"/>
  <c r="BK165" i="26"/>
  <c r="J165" i="26"/>
  <c r="BF165" i="26" s="1"/>
  <c r="BI164" i="26"/>
  <c r="BH164" i="26"/>
  <c r="BG164" i="26"/>
  <c r="BE164" i="26"/>
  <c r="T164" i="26"/>
  <c r="R164" i="26"/>
  <c r="P164" i="26"/>
  <c r="BK164" i="26"/>
  <c r="J164" i="26"/>
  <c r="BF164" i="26" s="1"/>
  <c r="BI163" i="26"/>
  <c r="BH163" i="26"/>
  <c r="BG163" i="26"/>
  <c r="BE163" i="26"/>
  <c r="T163" i="26"/>
  <c r="R163" i="26"/>
  <c r="P163" i="26"/>
  <c r="BK163" i="26"/>
  <c r="J163" i="26"/>
  <c r="BF163" i="26" s="1"/>
  <c r="BI162" i="26"/>
  <c r="BH162" i="26"/>
  <c r="BG162" i="26"/>
  <c r="BE162" i="26"/>
  <c r="T162" i="26"/>
  <c r="R162" i="26"/>
  <c r="P162" i="26"/>
  <c r="BK162" i="26"/>
  <c r="J162" i="26"/>
  <c r="BF162" i="26" s="1"/>
  <c r="BI161" i="26"/>
  <c r="BH161" i="26"/>
  <c r="BG161" i="26"/>
  <c r="BE161" i="26"/>
  <c r="T161" i="26"/>
  <c r="R161" i="26"/>
  <c r="P161" i="26"/>
  <c r="BK161" i="26"/>
  <c r="J161" i="26"/>
  <c r="BF161" i="26" s="1"/>
  <c r="BI160" i="26"/>
  <c r="BH160" i="26"/>
  <c r="BG160" i="26"/>
  <c r="BE160" i="26"/>
  <c r="T160" i="26"/>
  <c r="R160" i="26"/>
  <c r="P160" i="26"/>
  <c r="BK160" i="26"/>
  <c r="J160" i="26"/>
  <c r="BF160" i="26"/>
  <c r="BI159" i="26"/>
  <c r="BH159" i="26"/>
  <c r="BG159" i="26"/>
  <c r="BE159" i="26"/>
  <c r="T159" i="26"/>
  <c r="R159" i="26"/>
  <c r="P159" i="26"/>
  <c r="BK159" i="26"/>
  <c r="J159" i="26"/>
  <c r="BF159" i="26" s="1"/>
  <c r="BI157" i="26"/>
  <c r="BH157" i="26"/>
  <c r="BG157" i="26"/>
  <c r="BE157" i="26"/>
  <c r="T157" i="26"/>
  <c r="R157" i="26"/>
  <c r="P157" i="26"/>
  <c r="BK157" i="26"/>
  <c r="J157" i="26"/>
  <c r="BF157" i="26" s="1"/>
  <c r="BI156" i="26"/>
  <c r="BH156" i="26"/>
  <c r="BG156" i="26"/>
  <c r="BE156" i="26"/>
  <c r="T156" i="26"/>
  <c r="R156" i="26"/>
  <c r="P156" i="26"/>
  <c r="BK156" i="26"/>
  <c r="J156" i="26"/>
  <c r="BF156" i="26"/>
  <c r="BI155" i="26"/>
  <c r="BH155" i="26"/>
  <c r="BG155" i="26"/>
  <c r="BE155" i="26"/>
  <c r="T155" i="26"/>
  <c r="R155" i="26"/>
  <c r="P155" i="26"/>
  <c r="BK155" i="26"/>
  <c r="J155" i="26"/>
  <c r="BF155" i="26" s="1"/>
  <c r="BI154" i="26"/>
  <c r="BH154" i="26"/>
  <c r="BG154" i="26"/>
  <c r="BE154" i="26"/>
  <c r="T154" i="26"/>
  <c r="R154" i="26"/>
  <c r="P154" i="26"/>
  <c r="BK154" i="26"/>
  <c r="J154" i="26"/>
  <c r="BF154" i="26" s="1"/>
  <c r="BI153" i="26"/>
  <c r="BH153" i="26"/>
  <c r="BG153" i="26"/>
  <c r="BE153" i="26"/>
  <c r="T153" i="26"/>
  <c r="R153" i="26"/>
  <c r="P153" i="26"/>
  <c r="BK153" i="26"/>
  <c r="J153" i="26"/>
  <c r="BF153" i="26" s="1"/>
  <c r="BI152" i="26"/>
  <c r="BH152" i="26"/>
  <c r="BG152" i="26"/>
  <c r="BE152" i="26"/>
  <c r="T152" i="26"/>
  <c r="R152" i="26"/>
  <c r="P152" i="26"/>
  <c r="BK152" i="26"/>
  <c r="J152" i="26"/>
  <c r="BF152" i="26"/>
  <c r="BI151" i="26"/>
  <c r="BH151" i="26"/>
  <c r="BG151" i="26"/>
  <c r="BE151" i="26"/>
  <c r="T151" i="26"/>
  <c r="R151" i="26"/>
  <c r="P151" i="26"/>
  <c r="BK151" i="26"/>
  <c r="J151" i="26"/>
  <c r="BF151" i="26" s="1"/>
  <c r="BI150" i="26"/>
  <c r="BH150" i="26"/>
  <c r="BG150" i="26"/>
  <c r="BE150" i="26"/>
  <c r="T150" i="26"/>
  <c r="R150" i="26"/>
  <c r="P150" i="26"/>
  <c r="BK150" i="26"/>
  <c r="J150" i="26"/>
  <c r="BF150" i="26" s="1"/>
  <c r="BI149" i="26"/>
  <c r="BH149" i="26"/>
  <c r="BG149" i="26"/>
  <c r="BE149" i="26"/>
  <c r="T149" i="26"/>
  <c r="R149" i="26"/>
  <c r="P149" i="26"/>
  <c r="BK149" i="26"/>
  <c r="J149" i="26"/>
  <c r="BF149" i="26" s="1"/>
  <c r="BI148" i="26"/>
  <c r="BH148" i="26"/>
  <c r="BG148" i="26"/>
  <c r="BE148" i="26"/>
  <c r="T148" i="26"/>
  <c r="R148" i="26"/>
  <c r="P148" i="26"/>
  <c r="BK148" i="26"/>
  <c r="J148" i="26"/>
  <c r="BF148" i="26"/>
  <c r="BI147" i="26"/>
  <c r="BH147" i="26"/>
  <c r="BG147" i="26"/>
  <c r="BE147" i="26"/>
  <c r="T147" i="26"/>
  <c r="R147" i="26"/>
  <c r="R144" i="26" s="1"/>
  <c r="P147" i="26"/>
  <c r="BK147" i="26"/>
  <c r="J147" i="26"/>
  <c r="BF147" i="26" s="1"/>
  <c r="BI146" i="26"/>
  <c r="BH146" i="26"/>
  <c r="BG146" i="26"/>
  <c r="BE146" i="26"/>
  <c r="T146" i="26"/>
  <c r="R146" i="26"/>
  <c r="P146" i="26"/>
  <c r="BK146" i="26"/>
  <c r="J146" i="26"/>
  <c r="BF146" i="26" s="1"/>
  <c r="BI145" i="26"/>
  <c r="BH145" i="26"/>
  <c r="BG145" i="26"/>
  <c r="BE145" i="26"/>
  <c r="T145" i="26"/>
  <c r="R145" i="26"/>
  <c r="P145" i="26"/>
  <c r="BK145" i="26"/>
  <c r="J145" i="26"/>
  <c r="BF145" i="26" s="1"/>
  <c r="BI143" i="26"/>
  <c r="BH143" i="26"/>
  <c r="BG143" i="26"/>
  <c r="BE143" i="26"/>
  <c r="T143" i="26"/>
  <c r="T142" i="26" s="1"/>
  <c r="R143" i="26"/>
  <c r="R142" i="26" s="1"/>
  <c r="P143" i="26"/>
  <c r="P142" i="26" s="1"/>
  <c r="BK143" i="26"/>
  <c r="BK142" i="26"/>
  <c r="J142" i="26" s="1"/>
  <c r="J101" i="26" s="1"/>
  <c r="J143" i="26"/>
  <c r="BF143" i="26" s="1"/>
  <c r="BI141" i="26"/>
  <c r="BH141" i="26"/>
  <c r="BG141" i="26"/>
  <c r="BE141" i="26"/>
  <c r="T141" i="26"/>
  <c r="R141" i="26"/>
  <c r="R138" i="26" s="1"/>
  <c r="P141" i="26"/>
  <c r="BK141" i="26"/>
  <c r="J141" i="26"/>
  <c r="BF141" i="26" s="1"/>
  <c r="BI140" i="26"/>
  <c r="BH140" i="26"/>
  <c r="BG140" i="26"/>
  <c r="BE140" i="26"/>
  <c r="T140" i="26"/>
  <c r="R140" i="26"/>
  <c r="P140" i="26"/>
  <c r="BK140" i="26"/>
  <c r="J140" i="26"/>
  <c r="BF140" i="26" s="1"/>
  <c r="BI139" i="26"/>
  <c r="BH139" i="26"/>
  <c r="BG139" i="26"/>
  <c r="BE139" i="26"/>
  <c r="T139" i="26"/>
  <c r="T138" i="26" s="1"/>
  <c r="R139" i="26"/>
  <c r="P139" i="26"/>
  <c r="P138" i="26" s="1"/>
  <c r="BK139" i="26"/>
  <c r="J139" i="26"/>
  <c r="BF139" i="26" s="1"/>
  <c r="BI137" i="26"/>
  <c r="BH137" i="26"/>
  <c r="BG137" i="26"/>
  <c r="BE137" i="26"/>
  <c r="T137" i="26"/>
  <c r="T136" i="26" s="1"/>
  <c r="R137" i="26"/>
  <c r="R136" i="26" s="1"/>
  <c r="P137" i="26"/>
  <c r="P136" i="26" s="1"/>
  <c r="BK137" i="26"/>
  <c r="BK136" i="26"/>
  <c r="J136" i="26" s="1"/>
  <c r="J99" i="26" s="1"/>
  <c r="J137" i="26"/>
  <c r="BF137" i="26" s="1"/>
  <c r="BI135" i="26"/>
  <c r="BH135" i="26"/>
  <c r="BG135" i="26"/>
  <c r="BE135" i="26"/>
  <c r="T135" i="26"/>
  <c r="R135" i="26"/>
  <c r="P135" i="26"/>
  <c r="BK135" i="26"/>
  <c r="J135" i="26"/>
  <c r="BF135" i="26" s="1"/>
  <c r="BI134" i="26"/>
  <c r="BH134" i="26"/>
  <c r="BG134" i="26"/>
  <c r="BE134" i="26"/>
  <c r="T134" i="26"/>
  <c r="R134" i="26"/>
  <c r="P134" i="26"/>
  <c r="BK134" i="26"/>
  <c r="J134" i="26"/>
  <c r="BF134" i="26" s="1"/>
  <c r="BI133" i="26"/>
  <c r="BH133" i="26"/>
  <c r="BG133" i="26"/>
  <c r="BE133" i="26"/>
  <c r="T133" i="26"/>
  <c r="R133" i="26"/>
  <c r="P133" i="26"/>
  <c r="BK133" i="26"/>
  <c r="J133" i="26"/>
  <c r="BF133" i="26" s="1"/>
  <c r="BI132" i="26"/>
  <c r="BH132" i="26"/>
  <c r="BG132" i="26"/>
  <c r="BE132" i="26"/>
  <c r="T132" i="26"/>
  <c r="R132" i="26"/>
  <c r="P132" i="26"/>
  <c r="BK132" i="26"/>
  <c r="J132" i="26"/>
  <c r="BF132" i="26"/>
  <c r="BI131" i="26"/>
  <c r="BH131" i="26"/>
  <c r="BG131" i="26"/>
  <c r="BE131" i="26"/>
  <c r="T131" i="26"/>
  <c r="R131" i="26"/>
  <c r="P131" i="26"/>
  <c r="BK131" i="26"/>
  <c r="J131" i="26"/>
  <c r="BF131" i="26" s="1"/>
  <c r="BI130" i="26"/>
  <c r="BH130" i="26"/>
  <c r="BG130" i="26"/>
  <c r="BE130" i="26"/>
  <c r="T130" i="26"/>
  <c r="R130" i="26"/>
  <c r="P130" i="26"/>
  <c r="BK130" i="26"/>
  <c r="J130" i="26"/>
  <c r="BF130" i="26" s="1"/>
  <c r="BI129" i="26"/>
  <c r="BH129" i="26"/>
  <c r="BG129" i="26"/>
  <c r="BE129" i="26"/>
  <c r="T129" i="26"/>
  <c r="R129" i="26"/>
  <c r="P129" i="26"/>
  <c r="BK129" i="26"/>
  <c r="J129" i="26"/>
  <c r="BF129" i="26" s="1"/>
  <c r="BI128" i="26"/>
  <c r="BH128" i="26"/>
  <c r="BG128" i="26"/>
  <c r="BE128" i="26"/>
  <c r="T128" i="26"/>
  <c r="R128" i="26"/>
  <c r="P128" i="26"/>
  <c r="BK128" i="26"/>
  <c r="J128" i="26"/>
  <c r="BF128" i="26"/>
  <c r="BI127" i="26"/>
  <c r="BH127" i="26"/>
  <c r="BG127" i="26"/>
  <c r="BE127" i="26"/>
  <c r="T127" i="26"/>
  <c r="R127" i="26"/>
  <c r="P127" i="26"/>
  <c r="BK127" i="26"/>
  <c r="J127" i="26"/>
  <c r="BF127" i="26" s="1"/>
  <c r="BI126" i="26"/>
  <c r="BH126" i="26"/>
  <c r="BG126" i="26"/>
  <c r="BE126" i="26"/>
  <c r="J33" i="26"/>
  <c r="AV119" i="1" s="1"/>
  <c r="T126" i="26"/>
  <c r="R126" i="26"/>
  <c r="P126" i="26"/>
  <c r="BK126" i="26"/>
  <c r="BK125" i="26" s="1"/>
  <c r="J126" i="26"/>
  <c r="BF126" i="26"/>
  <c r="F117" i="26"/>
  <c r="F89" i="26"/>
  <c r="J24" i="26"/>
  <c r="E24" i="26"/>
  <c r="J92" i="26" s="1"/>
  <c r="J23" i="26"/>
  <c r="J21" i="26"/>
  <c r="E21" i="26"/>
  <c r="J91" i="26" s="1"/>
  <c r="J20" i="26"/>
  <c r="J18" i="26"/>
  <c r="J15" i="26"/>
  <c r="E15" i="26"/>
  <c r="J14" i="26"/>
  <c r="J117" i="26"/>
  <c r="J37" i="25"/>
  <c r="J36" i="25"/>
  <c r="AY118" i="1"/>
  <c r="J35" i="25"/>
  <c r="AX118" i="1" s="1"/>
  <c r="BI165" i="25"/>
  <c r="BH165" i="25"/>
  <c r="BG165" i="25"/>
  <c r="BE165" i="25"/>
  <c r="T165" i="25"/>
  <c r="R165" i="25"/>
  <c r="P165" i="25"/>
  <c r="BK165" i="25"/>
  <c r="J165" i="25"/>
  <c r="BF165" i="25" s="1"/>
  <c r="BI164" i="25"/>
  <c r="BH164" i="25"/>
  <c r="BG164" i="25"/>
  <c r="BE164" i="25"/>
  <c r="T164" i="25"/>
  <c r="R164" i="25"/>
  <c r="P164" i="25"/>
  <c r="BK164" i="25"/>
  <c r="J164" i="25"/>
  <c r="BF164" i="25" s="1"/>
  <c r="BI163" i="25"/>
  <c r="BH163" i="25"/>
  <c r="BG163" i="25"/>
  <c r="BE163" i="25"/>
  <c r="T163" i="25"/>
  <c r="R163" i="25"/>
  <c r="P163" i="25"/>
  <c r="BK163" i="25"/>
  <c r="J163" i="25"/>
  <c r="BF163" i="25"/>
  <c r="BI162" i="25"/>
  <c r="BH162" i="25"/>
  <c r="BG162" i="25"/>
  <c r="BE162" i="25"/>
  <c r="T162" i="25"/>
  <c r="R162" i="25"/>
  <c r="P162" i="25"/>
  <c r="BK162" i="25"/>
  <c r="J162" i="25"/>
  <c r="BF162" i="25" s="1"/>
  <c r="BI161" i="25"/>
  <c r="BH161" i="25"/>
  <c r="BG161" i="25"/>
  <c r="BE161" i="25"/>
  <c r="T161" i="25"/>
  <c r="R161" i="25"/>
  <c r="P161" i="25"/>
  <c r="BK161" i="25"/>
  <c r="J161" i="25"/>
  <c r="BF161" i="25" s="1"/>
  <c r="BI159" i="25"/>
  <c r="BH159" i="25"/>
  <c r="BG159" i="25"/>
  <c r="BE159" i="25"/>
  <c r="T159" i="25"/>
  <c r="R159" i="25"/>
  <c r="P159" i="25"/>
  <c r="BK159" i="25"/>
  <c r="J159" i="25"/>
  <c r="BF159" i="25" s="1"/>
  <c r="BI158" i="25"/>
  <c r="BH158" i="25"/>
  <c r="BG158" i="25"/>
  <c r="BE158" i="25"/>
  <c r="T158" i="25"/>
  <c r="R158" i="25"/>
  <c r="P158" i="25"/>
  <c r="BK158" i="25"/>
  <c r="J158" i="25"/>
  <c r="BF158" i="25"/>
  <c r="BI156" i="25"/>
  <c r="BH156" i="25"/>
  <c r="BG156" i="25"/>
  <c r="BE156" i="25"/>
  <c r="T156" i="25"/>
  <c r="R156" i="25"/>
  <c r="P156" i="25"/>
  <c r="BK156" i="25"/>
  <c r="J156" i="25"/>
  <c r="BF156" i="25" s="1"/>
  <c r="BI155" i="25"/>
  <c r="BH155" i="25"/>
  <c r="BG155" i="25"/>
  <c r="BE155" i="25"/>
  <c r="T155" i="25"/>
  <c r="R155" i="25"/>
  <c r="P155" i="25"/>
  <c r="BK155" i="25"/>
  <c r="J155" i="25"/>
  <c r="BF155" i="25" s="1"/>
  <c r="BI154" i="25"/>
  <c r="BH154" i="25"/>
  <c r="BG154" i="25"/>
  <c r="BE154" i="25"/>
  <c r="T154" i="25"/>
  <c r="R154" i="25"/>
  <c r="P154" i="25"/>
  <c r="BK154" i="25"/>
  <c r="J154" i="25"/>
  <c r="BF154" i="25" s="1"/>
  <c r="BI153" i="25"/>
  <c r="BH153" i="25"/>
  <c r="BG153" i="25"/>
  <c r="BE153" i="25"/>
  <c r="T153" i="25"/>
  <c r="R153" i="25"/>
  <c r="P153" i="25"/>
  <c r="BK153" i="25"/>
  <c r="J153" i="25"/>
  <c r="BF153" i="25"/>
  <c r="BI152" i="25"/>
  <c r="BH152" i="25"/>
  <c r="BG152" i="25"/>
  <c r="BE152" i="25"/>
  <c r="T152" i="25"/>
  <c r="R152" i="25"/>
  <c r="P152" i="25"/>
  <c r="BK152" i="25"/>
  <c r="J152" i="25"/>
  <c r="BF152" i="25" s="1"/>
  <c r="BI150" i="25"/>
  <c r="BH150" i="25"/>
  <c r="BG150" i="25"/>
  <c r="BE150" i="25"/>
  <c r="T150" i="25"/>
  <c r="R150" i="25"/>
  <c r="P150" i="25"/>
  <c r="BK150" i="25"/>
  <c r="J150" i="25"/>
  <c r="BF150" i="25" s="1"/>
  <c r="BI148" i="25"/>
  <c r="BH148" i="25"/>
  <c r="BG148" i="25"/>
  <c r="BE148" i="25"/>
  <c r="T148" i="25"/>
  <c r="T145" i="25" s="1"/>
  <c r="R148" i="25"/>
  <c r="P148" i="25"/>
  <c r="BK148" i="25"/>
  <c r="J148" i="25"/>
  <c r="BF148" i="25" s="1"/>
  <c r="BI146" i="25"/>
  <c r="BH146" i="25"/>
  <c r="BG146" i="25"/>
  <c r="BE146" i="25"/>
  <c r="T146" i="25"/>
  <c r="R146" i="25"/>
  <c r="P146" i="25"/>
  <c r="P145" i="25" s="1"/>
  <c r="BK146" i="25"/>
  <c r="J146" i="25"/>
  <c r="BF146" i="25" s="1"/>
  <c r="BI144" i="25"/>
  <c r="BH144" i="25"/>
  <c r="BG144" i="25"/>
  <c r="BE144" i="25"/>
  <c r="T144" i="25"/>
  <c r="R144" i="25"/>
  <c r="P144" i="25"/>
  <c r="BK144" i="25"/>
  <c r="J144" i="25"/>
  <c r="BF144" i="25" s="1"/>
  <c r="BI143" i="25"/>
  <c r="BH143" i="25"/>
  <c r="BG143" i="25"/>
  <c r="BE143" i="25"/>
  <c r="T143" i="25"/>
  <c r="R143" i="25"/>
  <c r="P143" i="25"/>
  <c r="BK143" i="25"/>
  <c r="J143" i="25"/>
  <c r="BF143" i="25" s="1"/>
  <c r="BI141" i="25"/>
  <c r="BH141" i="25"/>
  <c r="BG141" i="25"/>
  <c r="BE141" i="25"/>
  <c r="T141" i="25"/>
  <c r="R141" i="25"/>
  <c r="P141" i="25"/>
  <c r="BK141" i="25"/>
  <c r="J141" i="25"/>
  <c r="BF141" i="25"/>
  <c r="BI139" i="25"/>
  <c r="BH139" i="25"/>
  <c r="BG139" i="25"/>
  <c r="BE139" i="25"/>
  <c r="T139" i="25"/>
  <c r="R139" i="25"/>
  <c r="P139" i="25"/>
  <c r="BK139" i="25"/>
  <c r="J139" i="25"/>
  <c r="BF139" i="25" s="1"/>
  <c r="BI137" i="25"/>
  <c r="BH137" i="25"/>
  <c r="BG137" i="25"/>
  <c r="BE137" i="25"/>
  <c r="T137" i="25"/>
  <c r="R137" i="25"/>
  <c r="P137" i="25"/>
  <c r="BK137" i="25"/>
  <c r="J137" i="25"/>
  <c r="BF137" i="25" s="1"/>
  <c r="BI135" i="25"/>
  <c r="BH135" i="25"/>
  <c r="BG135" i="25"/>
  <c r="BE135" i="25"/>
  <c r="T135" i="25"/>
  <c r="R135" i="25"/>
  <c r="P135" i="25"/>
  <c r="BK135" i="25"/>
  <c r="J135" i="25"/>
  <c r="BF135" i="25" s="1"/>
  <c r="BI133" i="25"/>
  <c r="BH133" i="25"/>
  <c r="BG133" i="25"/>
  <c r="BE133" i="25"/>
  <c r="T133" i="25"/>
  <c r="R133" i="25"/>
  <c r="P133" i="25"/>
  <c r="BK133" i="25"/>
  <c r="J133" i="25"/>
  <c r="BF133" i="25" s="1"/>
  <c r="BI132" i="25"/>
  <c r="BH132" i="25"/>
  <c r="BG132" i="25"/>
  <c r="BE132" i="25"/>
  <c r="T132" i="25"/>
  <c r="R132" i="25"/>
  <c r="P132" i="25"/>
  <c r="BK132" i="25"/>
  <c r="J132" i="25"/>
  <c r="BF132" i="25" s="1"/>
  <c r="BI130" i="25"/>
  <c r="BH130" i="25"/>
  <c r="BG130" i="25"/>
  <c r="BE130" i="25"/>
  <c r="T130" i="25"/>
  <c r="R130" i="25"/>
  <c r="P130" i="25"/>
  <c r="BK130" i="25"/>
  <c r="J130" i="25"/>
  <c r="BF130" i="25" s="1"/>
  <c r="BI128" i="25"/>
  <c r="BH128" i="25"/>
  <c r="BG128" i="25"/>
  <c r="BE128" i="25"/>
  <c r="T128" i="25"/>
  <c r="R128" i="25"/>
  <c r="P128" i="25"/>
  <c r="BK128" i="25"/>
  <c r="J128" i="25"/>
  <c r="BF128" i="25" s="1"/>
  <c r="BI126" i="25"/>
  <c r="BH126" i="25"/>
  <c r="BG126" i="25"/>
  <c r="BE126" i="25"/>
  <c r="T126" i="25"/>
  <c r="R126" i="25"/>
  <c r="P126" i="25"/>
  <c r="BK126" i="25"/>
  <c r="J126" i="25"/>
  <c r="BF126" i="25" s="1"/>
  <c r="BI125" i="25"/>
  <c r="BH125" i="25"/>
  <c r="BG125" i="25"/>
  <c r="BE125" i="25"/>
  <c r="T125" i="25"/>
  <c r="R125" i="25"/>
  <c r="P125" i="25"/>
  <c r="BK125" i="25"/>
  <c r="J125" i="25"/>
  <c r="BF125" i="25" s="1"/>
  <c r="BI124" i="25"/>
  <c r="BH124" i="25"/>
  <c r="BG124" i="25"/>
  <c r="BE124" i="25"/>
  <c r="T124" i="25"/>
  <c r="R124" i="25"/>
  <c r="P124" i="25"/>
  <c r="BK124" i="25"/>
  <c r="J124" i="25"/>
  <c r="BF124" i="25" s="1"/>
  <c r="BI122" i="25"/>
  <c r="BH122" i="25"/>
  <c r="BG122" i="25"/>
  <c r="F35" i="25"/>
  <c r="BB118" i="1" s="1"/>
  <c r="BE122" i="25"/>
  <c r="T122" i="25"/>
  <c r="T121" i="25" s="1"/>
  <c r="T120" i="25" s="1"/>
  <c r="T119" i="25" s="1"/>
  <c r="R122" i="25"/>
  <c r="R121" i="25" s="1"/>
  <c r="P122" i="25"/>
  <c r="P121" i="25" s="1"/>
  <c r="P120" i="25" s="1"/>
  <c r="P119" i="25" s="1"/>
  <c r="AU118" i="1" s="1"/>
  <c r="BK122" i="25"/>
  <c r="BK121" i="25" s="1"/>
  <c r="J122" i="25"/>
  <c r="BF122" i="25" s="1"/>
  <c r="F113" i="25"/>
  <c r="F89" i="25"/>
  <c r="J24" i="25"/>
  <c r="E24" i="25"/>
  <c r="J116" i="25" s="1"/>
  <c r="J23" i="25"/>
  <c r="J21" i="25"/>
  <c r="E21" i="25"/>
  <c r="J91" i="25" s="1"/>
  <c r="J20" i="25"/>
  <c r="J18" i="25"/>
  <c r="J15" i="25"/>
  <c r="E15" i="25"/>
  <c r="J14" i="25"/>
  <c r="J89" i="25"/>
  <c r="J113" i="25"/>
  <c r="J37" i="24"/>
  <c r="J36" i="24"/>
  <c r="AY117" i="1" s="1"/>
  <c r="J35" i="24"/>
  <c r="AX117" i="1" s="1"/>
  <c r="BI119" i="24"/>
  <c r="F37" i="24" s="1"/>
  <c r="BD117" i="1" s="1"/>
  <c r="BH119" i="24"/>
  <c r="F36" i="24" s="1"/>
  <c r="BC117" i="1" s="1"/>
  <c r="BG119" i="24"/>
  <c r="F35" i="24" s="1"/>
  <c r="BB117" i="1" s="1"/>
  <c r="BE119" i="24"/>
  <c r="J33" i="24" s="1"/>
  <c r="AV117" i="1" s="1"/>
  <c r="T119" i="24"/>
  <c r="T118" i="24" s="1"/>
  <c r="T117" i="24" s="1"/>
  <c r="R119" i="24"/>
  <c r="R118" i="24" s="1"/>
  <c r="R117" i="24" s="1"/>
  <c r="P119" i="24"/>
  <c r="P118" i="24" s="1"/>
  <c r="P117" i="24" s="1"/>
  <c r="AU117" i="1" s="1"/>
  <c r="BK119" i="24"/>
  <c r="BK118" i="24" s="1"/>
  <c r="J119" i="24"/>
  <c r="BF119" i="24" s="1"/>
  <c r="F111" i="24"/>
  <c r="F89" i="24"/>
  <c r="J24" i="24"/>
  <c r="E24" i="24"/>
  <c r="J92" i="24" s="1"/>
  <c r="J23" i="24"/>
  <c r="J21" i="24"/>
  <c r="E21" i="24"/>
  <c r="J113" i="24" s="1"/>
  <c r="J20" i="24"/>
  <c r="J18" i="24"/>
  <c r="J15" i="24"/>
  <c r="E15" i="24"/>
  <c r="J14" i="24"/>
  <c r="J111" i="24"/>
  <c r="J89" i="24"/>
  <c r="J147" i="23"/>
  <c r="J99" i="23" s="1"/>
  <c r="J37" i="23"/>
  <c r="J36" i="23"/>
  <c r="AY116" i="1" s="1"/>
  <c r="J35" i="23"/>
  <c r="AX116" i="1" s="1"/>
  <c r="BI151" i="23"/>
  <c r="BH151" i="23"/>
  <c r="BG151" i="23"/>
  <c r="BE151" i="23"/>
  <c r="T151" i="23"/>
  <c r="R151" i="23"/>
  <c r="P151" i="23"/>
  <c r="BK151" i="23"/>
  <c r="J151" i="23"/>
  <c r="BF151" i="23" s="1"/>
  <c r="BI150" i="23"/>
  <c r="BH150" i="23"/>
  <c r="BG150" i="23"/>
  <c r="BE150" i="23"/>
  <c r="T150" i="23"/>
  <c r="R150" i="23"/>
  <c r="P150" i="23"/>
  <c r="BK150" i="23"/>
  <c r="J150" i="23"/>
  <c r="BF150" i="23" s="1"/>
  <c r="BI149" i="23"/>
  <c r="BH149" i="23"/>
  <c r="BG149" i="23"/>
  <c r="BE149" i="23"/>
  <c r="T149" i="23"/>
  <c r="R149" i="23"/>
  <c r="P149" i="23"/>
  <c r="BK149" i="23"/>
  <c r="J149" i="23"/>
  <c r="BF149" i="23" s="1"/>
  <c r="BI146" i="23"/>
  <c r="BH146" i="23"/>
  <c r="BG146" i="23"/>
  <c r="BE146" i="23"/>
  <c r="T146" i="23"/>
  <c r="R146" i="23"/>
  <c r="P146" i="23"/>
  <c r="BK146" i="23"/>
  <c r="J146" i="23"/>
  <c r="BF146" i="23" s="1"/>
  <c r="BI145" i="23"/>
  <c r="BH145" i="23"/>
  <c r="BG145" i="23"/>
  <c r="BE145" i="23"/>
  <c r="T145" i="23"/>
  <c r="R145" i="23"/>
  <c r="P145" i="23"/>
  <c r="BK145" i="23"/>
  <c r="J145" i="23"/>
  <c r="BF145" i="23" s="1"/>
  <c r="BI144" i="23"/>
  <c r="BH144" i="23"/>
  <c r="BG144" i="23"/>
  <c r="BE144" i="23"/>
  <c r="T144" i="23"/>
  <c r="R144" i="23"/>
  <c r="P144" i="23"/>
  <c r="BK144" i="23"/>
  <c r="J144" i="23"/>
  <c r="BF144" i="23" s="1"/>
  <c r="BI143" i="23"/>
  <c r="BH143" i="23"/>
  <c r="BG143" i="23"/>
  <c r="BE143" i="23"/>
  <c r="T143" i="23"/>
  <c r="R143" i="23"/>
  <c r="P143" i="23"/>
  <c r="BK143" i="23"/>
  <c r="J143" i="23"/>
  <c r="BF143" i="23" s="1"/>
  <c r="BI142" i="23"/>
  <c r="BH142" i="23"/>
  <c r="BG142" i="23"/>
  <c r="BE142" i="23"/>
  <c r="T142" i="23"/>
  <c r="R142" i="23"/>
  <c r="P142" i="23"/>
  <c r="BK142" i="23"/>
  <c r="J142" i="23"/>
  <c r="BF142" i="23" s="1"/>
  <c r="BI141" i="23"/>
  <c r="BH141" i="23"/>
  <c r="BG141" i="23"/>
  <c r="BE141" i="23"/>
  <c r="T141" i="23"/>
  <c r="R141" i="23"/>
  <c r="P141" i="23"/>
  <c r="BK141" i="23"/>
  <c r="J141" i="23"/>
  <c r="BF141" i="23" s="1"/>
  <c r="BI138" i="23"/>
  <c r="BH138" i="23"/>
  <c r="BG138" i="23"/>
  <c r="BE138" i="23"/>
  <c r="T138" i="23"/>
  <c r="R138" i="23"/>
  <c r="P138" i="23"/>
  <c r="BK138" i="23"/>
  <c r="J138" i="23"/>
  <c r="BF138" i="23" s="1"/>
  <c r="BI137" i="23"/>
  <c r="BH137" i="23"/>
  <c r="BG137" i="23"/>
  <c r="BE137" i="23"/>
  <c r="T137" i="23"/>
  <c r="R137" i="23"/>
  <c r="P137" i="23"/>
  <c r="BK137" i="23"/>
  <c r="J137" i="23"/>
  <c r="BF137" i="23" s="1"/>
  <c r="BI136" i="23"/>
  <c r="BH136" i="23"/>
  <c r="BG136" i="23"/>
  <c r="BE136" i="23"/>
  <c r="T136" i="23"/>
  <c r="R136" i="23"/>
  <c r="P136" i="23"/>
  <c r="BK136" i="23"/>
  <c r="J136" i="23"/>
  <c r="BF136" i="23" s="1"/>
  <c r="BI135" i="23"/>
  <c r="BH135" i="23"/>
  <c r="BG135" i="23"/>
  <c r="BE135" i="23"/>
  <c r="T135" i="23"/>
  <c r="R135" i="23"/>
  <c r="P135" i="23"/>
  <c r="BK135" i="23"/>
  <c r="J135" i="23"/>
  <c r="BF135" i="23" s="1"/>
  <c r="BI134" i="23"/>
  <c r="BH134" i="23"/>
  <c r="BG134" i="23"/>
  <c r="BE134" i="23"/>
  <c r="T134" i="23"/>
  <c r="R134" i="23"/>
  <c r="P134" i="23"/>
  <c r="BK134" i="23"/>
  <c r="J134" i="23"/>
  <c r="BF134" i="23" s="1"/>
  <c r="BI133" i="23"/>
  <c r="BH133" i="23"/>
  <c r="BG133" i="23"/>
  <c r="BE133" i="23"/>
  <c r="T133" i="23"/>
  <c r="R133" i="23"/>
  <c r="P133" i="23"/>
  <c r="BK133" i="23"/>
  <c r="J133" i="23"/>
  <c r="BF133" i="23" s="1"/>
  <c r="BI132" i="23"/>
  <c r="BH132" i="23"/>
  <c r="BG132" i="23"/>
  <c r="BE132" i="23"/>
  <c r="T132" i="23"/>
  <c r="R132" i="23"/>
  <c r="P132" i="23"/>
  <c r="BK132" i="23"/>
  <c r="J132" i="23"/>
  <c r="BF132" i="23" s="1"/>
  <c r="BI131" i="23"/>
  <c r="BH131" i="23"/>
  <c r="BG131" i="23"/>
  <c r="BE131" i="23"/>
  <c r="T131" i="23"/>
  <c r="R131" i="23"/>
  <c r="P131" i="23"/>
  <c r="BK131" i="23"/>
  <c r="J131" i="23"/>
  <c r="BF131" i="23" s="1"/>
  <c r="BI130" i="23"/>
  <c r="BH130" i="23"/>
  <c r="BG130" i="23"/>
  <c r="BE130" i="23"/>
  <c r="T130" i="23"/>
  <c r="R130" i="23"/>
  <c r="P130" i="23"/>
  <c r="BK130" i="23"/>
  <c r="J130" i="23"/>
  <c r="BF130" i="23" s="1"/>
  <c r="BI129" i="23"/>
  <c r="BH129" i="23"/>
  <c r="BG129" i="23"/>
  <c r="BE129" i="23"/>
  <c r="T129" i="23"/>
  <c r="R129" i="23"/>
  <c r="P129" i="23"/>
  <c r="BK129" i="23"/>
  <c r="J129" i="23"/>
  <c r="BF129" i="23" s="1"/>
  <c r="BI128" i="23"/>
  <c r="BH128" i="23"/>
  <c r="BG128" i="23"/>
  <c r="BE128" i="23"/>
  <c r="T128" i="23"/>
  <c r="R128" i="23"/>
  <c r="P128" i="23"/>
  <c r="BK128" i="23"/>
  <c r="J128" i="23"/>
  <c r="BF128" i="23" s="1"/>
  <c r="BI127" i="23"/>
  <c r="BH127" i="23"/>
  <c r="BG127" i="23"/>
  <c r="BE127" i="23"/>
  <c r="T127" i="23"/>
  <c r="R127" i="23"/>
  <c r="P127" i="23"/>
  <c r="BK127" i="23"/>
  <c r="J127" i="23"/>
  <c r="BF127" i="23" s="1"/>
  <c r="BI126" i="23"/>
  <c r="BH126" i="23"/>
  <c r="BG126" i="23"/>
  <c r="BE126" i="23"/>
  <c r="T126" i="23"/>
  <c r="R126" i="23"/>
  <c r="P126" i="23"/>
  <c r="BK126" i="23"/>
  <c r="J126" i="23"/>
  <c r="BF126" i="23" s="1"/>
  <c r="BI125" i="23"/>
  <c r="BH125" i="23"/>
  <c r="BG125" i="23"/>
  <c r="BE125" i="23"/>
  <c r="T125" i="23"/>
  <c r="R125" i="23"/>
  <c r="P125" i="23"/>
  <c r="BK125" i="23"/>
  <c r="J125" i="23"/>
  <c r="BF125" i="23" s="1"/>
  <c r="BI124" i="23"/>
  <c r="BH124" i="23"/>
  <c r="BG124" i="23"/>
  <c r="BE124" i="23"/>
  <c r="T124" i="23"/>
  <c r="R124" i="23"/>
  <c r="P124" i="23"/>
  <c r="BK124" i="23"/>
  <c r="J124" i="23"/>
  <c r="BF124" i="23" s="1"/>
  <c r="BI123" i="23"/>
  <c r="BH123" i="23"/>
  <c r="BG123" i="23"/>
  <c r="BE123" i="23"/>
  <c r="T123" i="23"/>
  <c r="R123" i="23"/>
  <c r="P123" i="23"/>
  <c r="BK123" i="23"/>
  <c r="J123" i="23"/>
  <c r="BF123" i="23" s="1"/>
  <c r="BI122" i="23"/>
  <c r="BH122" i="23"/>
  <c r="BG122" i="23"/>
  <c r="BE122" i="23"/>
  <c r="T122" i="23"/>
  <c r="R122" i="23"/>
  <c r="P122" i="23"/>
  <c r="BK122" i="23"/>
  <c r="J122" i="23"/>
  <c r="F114" i="23"/>
  <c r="F89" i="23"/>
  <c r="J24" i="23"/>
  <c r="E24" i="23"/>
  <c r="J117" i="23" s="1"/>
  <c r="J23" i="23"/>
  <c r="J21" i="23"/>
  <c r="E21" i="23"/>
  <c r="J116" i="23" s="1"/>
  <c r="J20" i="23"/>
  <c r="J18" i="23"/>
  <c r="J15" i="23"/>
  <c r="E15" i="23"/>
  <c r="J14" i="23"/>
  <c r="J89" i="23"/>
  <c r="J37" i="22"/>
  <c r="J36" i="22"/>
  <c r="AY115" i="1" s="1"/>
  <c r="J35" i="22"/>
  <c r="AX115" i="1" s="1"/>
  <c r="BI123" i="22"/>
  <c r="BH123" i="22"/>
  <c r="BG123" i="22"/>
  <c r="BE123" i="22"/>
  <c r="J33" i="22" s="1"/>
  <c r="AV115" i="1" s="1"/>
  <c r="T123" i="22"/>
  <c r="R123" i="22"/>
  <c r="P123" i="22"/>
  <c r="BK123" i="22"/>
  <c r="J123" i="22"/>
  <c r="BF123" i="22" s="1"/>
  <c r="BI122" i="22"/>
  <c r="BH122" i="22"/>
  <c r="BG122" i="22"/>
  <c r="BE122" i="22"/>
  <c r="T122" i="22"/>
  <c r="R122" i="22"/>
  <c r="P122" i="22"/>
  <c r="BK122" i="22"/>
  <c r="J122" i="22"/>
  <c r="BF122" i="22" s="1"/>
  <c r="BI121" i="22"/>
  <c r="BH121" i="22"/>
  <c r="BG121" i="22"/>
  <c r="BE121" i="22"/>
  <c r="T121" i="22"/>
  <c r="R121" i="22"/>
  <c r="R118" i="22" s="1"/>
  <c r="R117" i="22" s="1"/>
  <c r="P121" i="22"/>
  <c r="BK121" i="22"/>
  <c r="J121" i="22"/>
  <c r="BF121" i="22" s="1"/>
  <c r="BI120" i="22"/>
  <c r="BH120" i="22"/>
  <c r="BG120" i="22"/>
  <c r="BE120" i="22"/>
  <c r="T120" i="22"/>
  <c r="R120" i="22"/>
  <c r="P120" i="22"/>
  <c r="BK120" i="22"/>
  <c r="J120" i="22"/>
  <c r="BF120" i="22" s="1"/>
  <c r="BI119" i="22"/>
  <c r="BH119" i="22"/>
  <c r="F36" i="22" s="1"/>
  <c r="BC115" i="1" s="1"/>
  <c r="BG119" i="22"/>
  <c r="F35" i="22" s="1"/>
  <c r="BB115" i="1" s="1"/>
  <c r="BE119" i="22"/>
  <c r="F33" i="22" s="1"/>
  <c r="AZ115" i="1" s="1"/>
  <c r="T119" i="22"/>
  <c r="T118" i="22" s="1"/>
  <c r="T117" i="22" s="1"/>
  <c r="R119" i="22"/>
  <c r="P119" i="22"/>
  <c r="BK119" i="22"/>
  <c r="BK118" i="22" s="1"/>
  <c r="J119" i="22"/>
  <c r="BF119" i="22" s="1"/>
  <c r="F111" i="22"/>
  <c r="F89" i="22"/>
  <c r="J24" i="22"/>
  <c r="E24" i="22"/>
  <c r="J92" i="22" s="1"/>
  <c r="J23" i="22"/>
  <c r="J21" i="22"/>
  <c r="E21" i="22"/>
  <c r="J113" i="22" s="1"/>
  <c r="J20" i="22"/>
  <c r="J18" i="22"/>
  <c r="J15" i="22"/>
  <c r="E15" i="22"/>
  <c r="J14" i="22"/>
  <c r="J111" i="22"/>
  <c r="J37" i="21"/>
  <c r="J36" i="21"/>
  <c r="AY114" i="1" s="1"/>
  <c r="J35" i="21"/>
  <c r="AX114" i="1" s="1"/>
  <c r="BI162" i="21"/>
  <c r="BH162" i="21"/>
  <c r="BG162" i="21"/>
  <c r="BE162" i="21"/>
  <c r="T162" i="21"/>
  <c r="R162" i="21"/>
  <c r="P162" i="21"/>
  <c r="BK162" i="21"/>
  <c r="J162" i="21"/>
  <c r="BF162" i="21" s="1"/>
  <c r="BI161" i="21"/>
  <c r="BH161" i="21"/>
  <c r="BG161" i="21"/>
  <c r="BE161" i="21"/>
  <c r="T161" i="21"/>
  <c r="R161" i="21"/>
  <c r="P161" i="21"/>
  <c r="BK161" i="21"/>
  <c r="J161" i="21"/>
  <c r="BF161" i="21" s="1"/>
  <c r="BI160" i="21"/>
  <c r="BH160" i="21"/>
  <c r="BG160" i="21"/>
  <c r="BE160" i="21"/>
  <c r="T160" i="21"/>
  <c r="R160" i="21"/>
  <c r="P160" i="21"/>
  <c r="BK160" i="21"/>
  <c r="J160" i="21"/>
  <c r="BF160" i="21" s="1"/>
  <c r="BI159" i="21"/>
  <c r="BH159" i="21"/>
  <c r="BG159" i="21"/>
  <c r="BE159" i="21"/>
  <c r="T159" i="21"/>
  <c r="R159" i="21"/>
  <c r="P159" i="21"/>
  <c r="BK159" i="21"/>
  <c r="J159" i="21"/>
  <c r="BF159" i="21" s="1"/>
  <c r="BI158" i="21"/>
  <c r="BH158" i="21"/>
  <c r="BG158" i="21"/>
  <c r="BE158" i="21"/>
  <c r="T158" i="21"/>
  <c r="R158" i="21"/>
  <c r="P158" i="21"/>
  <c r="BK158" i="21"/>
  <c r="J158" i="21"/>
  <c r="BF158" i="21" s="1"/>
  <c r="BI157" i="21"/>
  <c r="BH157" i="21"/>
  <c r="BG157" i="21"/>
  <c r="BE157" i="21"/>
  <c r="T157" i="21"/>
  <c r="R157" i="21"/>
  <c r="P157" i="21"/>
  <c r="BK157" i="21"/>
  <c r="J157" i="21"/>
  <c r="BF157" i="21" s="1"/>
  <c r="BI156" i="21"/>
  <c r="BH156" i="21"/>
  <c r="BG156" i="21"/>
  <c r="BE156" i="21"/>
  <c r="T156" i="21"/>
  <c r="R156" i="21"/>
  <c r="P156" i="21"/>
  <c r="BK156" i="21"/>
  <c r="J156" i="21"/>
  <c r="BF156" i="21" s="1"/>
  <c r="BI155" i="21"/>
  <c r="BH155" i="21"/>
  <c r="BG155" i="21"/>
  <c r="BE155" i="21"/>
  <c r="T155" i="21"/>
  <c r="R155" i="21"/>
  <c r="P155" i="21"/>
  <c r="BK155" i="21"/>
  <c r="J155" i="21"/>
  <c r="BF155" i="21" s="1"/>
  <c r="BI154" i="21"/>
  <c r="BH154" i="21"/>
  <c r="BG154" i="21"/>
  <c r="BE154" i="21"/>
  <c r="T154" i="21"/>
  <c r="R154" i="21"/>
  <c r="P154" i="21"/>
  <c r="BK154" i="21"/>
  <c r="J154" i="21"/>
  <c r="BF154" i="21" s="1"/>
  <c r="BI153" i="21"/>
  <c r="BH153" i="21"/>
  <c r="BG153" i="21"/>
  <c r="BE153" i="21"/>
  <c r="T153" i="21"/>
  <c r="R153" i="21"/>
  <c r="P153" i="21"/>
  <c r="BK153" i="21"/>
  <c r="J153" i="21"/>
  <c r="BF153" i="21" s="1"/>
  <c r="BI152" i="21"/>
  <c r="BH152" i="21"/>
  <c r="BG152" i="21"/>
  <c r="BE152" i="21"/>
  <c r="T152" i="21"/>
  <c r="R152" i="21"/>
  <c r="P152" i="21"/>
  <c r="BK152" i="21"/>
  <c r="J152" i="21"/>
  <c r="BF152" i="21" s="1"/>
  <c r="BI151" i="21"/>
  <c r="BH151" i="21"/>
  <c r="BG151" i="21"/>
  <c r="BE151" i="21"/>
  <c r="T151" i="21"/>
  <c r="R151" i="21"/>
  <c r="P151" i="21"/>
  <c r="BK151" i="21"/>
  <c r="J151" i="21"/>
  <c r="BF151" i="21" s="1"/>
  <c r="BI150" i="21"/>
  <c r="BH150" i="21"/>
  <c r="BG150" i="21"/>
  <c r="BE150" i="21"/>
  <c r="T150" i="21"/>
  <c r="R150" i="21"/>
  <c r="P150" i="21"/>
  <c r="BK150" i="21"/>
  <c r="J150" i="21"/>
  <c r="BF150" i="21" s="1"/>
  <c r="BI149" i="21"/>
  <c r="BH149" i="21"/>
  <c r="BG149" i="21"/>
  <c r="BE149" i="21"/>
  <c r="T149" i="21"/>
  <c r="R149" i="21"/>
  <c r="P149" i="21"/>
  <c r="BK149" i="21"/>
  <c r="J149" i="21"/>
  <c r="BF149" i="21" s="1"/>
  <c r="BI148" i="21"/>
  <c r="BH148" i="21"/>
  <c r="BG148" i="21"/>
  <c r="BE148" i="21"/>
  <c r="T148" i="21"/>
  <c r="R148" i="21"/>
  <c r="P148" i="21"/>
  <c r="BK148" i="21"/>
  <c r="J148" i="21"/>
  <c r="BF148" i="21" s="1"/>
  <c r="BI147" i="21"/>
  <c r="BH147" i="21"/>
  <c r="BG147" i="21"/>
  <c r="BE147" i="21"/>
  <c r="T147" i="21"/>
  <c r="R147" i="21"/>
  <c r="P147" i="21"/>
  <c r="BK147" i="21"/>
  <c r="J147" i="21"/>
  <c r="BF147" i="21" s="1"/>
  <c r="BI146" i="21"/>
  <c r="BH146" i="21"/>
  <c r="BG146" i="21"/>
  <c r="BE146" i="21"/>
  <c r="T146" i="21"/>
  <c r="R146" i="21"/>
  <c r="P146" i="21"/>
  <c r="BK146" i="21"/>
  <c r="J146" i="21"/>
  <c r="BF146" i="21" s="1"/>
  <c r="BI145" i="21"/>
  <c r="BH145" i="21"/>
  <c r="BG145" i="21"/>
  <c r="BE145" i="21"/>
  <c r="T145" i="21"/>
  <c r="R145" i="21"/>
  <c r="P145" i="21"/>
  <c r="BK145" i="21"/>
  <c r="J145" i="21"/>
  <c r="BF145" i="21" s="1"/>
  <c r="BI144" i="21"/>
  <c r="BH144" i="21"/>
  <c r="BG144" i="21"/>
  <c r="BE144" i="21"/>
  <c r="T144" i="21"/>
  <c r="R144" i="21"/>
  <c r="P144" i="21"/>
  <c r="BK144" i="21"/>
  <c r="J144" i="21"/>
  <c r="BF144" i="21" s="1"/>
  <c r="BI143" i="21"/>
  <c r="BH143" i="21"/>
  <c r="BG143" i="21"/>
  <c r="BE143" i="21"/>
  <c r="T143" i="21"/>
  <c r="R143" i="21"/>
  <c r="P143" i="21"/>
  <c r="BK143" i="21"/>
  <c r="J143" i="21"/>
  <c r="BF143" i="21" s="1"/>
  <c r="BI142" i="21"/>
  <c r="BH142" i="21"/>
  <c r="BG142" i="21"/>
  <c r="BE142" i="21"/>
  <c r="T142" i="21"/>
  <c r="R142" i="21"/>
  <c r="P142" i="21"/>
  <c r="BK142" i="21"/>
  <c r="J142" i="21"/>
  <c r="BF142" i="21" s="1"/>
  <c r="BI141" i="21"/>
  <c r="BH141" i="21"/>
  <c r="BG141" i="21"/>
  <c r="BE141" i="21"/>
  <c r="T141" i="21"/>
  <c r="R141" i="21"/>
  <c r="P141" i="21"/>
  <c r="BK141" i="21"/>
  <c r="J141" i="21"/>
  <c r="BF141" i="21" s="1"/>
  <c r="BI140" i="21"/>
  <c r="BH140" i="21"/>
  <c r="BG140" i="21"/>
  <c r="BE140" i="21"/>
  <c r="T140" i="21"/>
  <c r="R140" i="21"/>
  <c r="P140" i="21"/>
  <c r="BK140" i="21"/>
  <c r="J140" i="21"/>
  <c r="BF140" i="21" s="1"/>
  <c r="BI139" i="21"/>
  <c r="BH139" i="21"/>
  <c r="BG139" i="21"/>
  <c r="BE139" i="21"/>
  <c r="T139" i="21"/>
  <c r="R139" i="21"/>
  <c r="P139" i="21"/>
  <c r="BK139" i="21"/>
  <c r="J139" i="21"/>
  <c r="BF139" i="21" s="1"/>
  <c r="BI130" i="21"/>
  <c r="BH130" i="21"/>
  <c r="BG130" i="21"/>
  <c r="BE130" i="21"/>
  <c r="T130" i="21"/>
  <c r="R130" i="21"/>
  <c r="P130" i="21"/>
  <c r="BK130" i="21"/>
  <c r="J130" i="21"/>
  <c r="BF130" i="21" s="1"/>
  <c r="BI129" i="21"/>
  <c r="BH129" i="21"/>
  <c r="BG129" i="21"/>
  <c r="BE129" i="21"/>
  <c r="T129" i="21"/>
  <c r="R129" i="21"/>
  <c r="P129" i="21"/>
  <c r="BK129" i="21"/>
  <c r="J129" i="21"/>
  <c r="BF129" i="21" s="1"/>
  <c r="BI128" i="21"/>
  <c r="BH128" i="21"/>
  <c r="BG128" i="21"/>
  <c r="BE128" i="21"/>
  <c r="T128" i="21"/>
  <c r="R128" i="21"/>
  <c r="P128" i="21"/>
  <c r="BK128" i="21"/>
  <c r="J128" i="21"/>
  <c r="BF128" i="21" s="1"/>
  <c r="BI127" i="21"/>
  <c r="BH127" i="21"/>
  <c r="BG127" i="21"/>
  <c r="BE127" i="21"/>
  <c r="T127" i="21"/>
  <c r="R127" i="21"/>
  <c r="P127" i="21"/>
  <c r="BK127" i="21"/>
  <c r="J127" i="21"/>
  <c r="BF127" i="21" s="1"/>
  <c r="BI126" i="21"/>
  <c r="BH126" i="21"/>
  <c r="BG126" i="21"/>
  <c r="BE126" i="21"/>
  <c r="T126" i="21"/>
  <c r="R126" i="21"/>
  <c r="P126" i="21"/>
  <c r="BK126" i="21"/>
  <c r="J126" i="21"/>
  <c r="BF126" i="21" s="1"/>
  <c r="BI125" i="21"/>
  <c r="BH125" i="21"/>
  <c r="BG125" i="21"/>
  <c r="BE125" i="21"/>
  <c r="T125" i="21"/>
  <c r="R125" i="21"/>
  <c r="P125" i="21"/>
  <c r="BK125" i="21"/>
  <c r="J125" i="21"/>
  <c r="BF125" i="21" s="1"/>
  <c r="BI124" i="21"/>
  <c r="BH124" i="21"/>
  <c r="BG124" i="21"/>
  <c r="BE124" i="21"/>
  <c r="T124" i="21"/>
  <c r="R124" i="21"/>
  <c r="P124" i="21"/>
  <c r="BK124" i="21"/>
  <c r="J124" i="21"/>
  <c r="BF124" i="21" s="1"/>
  <c r="BI123" i="21"/>
  <c r="BH123" i="21"/>
  <c r="BG123" i="21"/>
  <c r="BE123" i="21"/>
  <c r="T123" i="21"/>
  <c r="R123" i="21"/>
  <c r="P123" i="21"/>
  <c r="BK123" i="21"/>
  <c r="J123" i="21"/>
  <c r="BF123" i="21" s="1"/>
  <c r="BI122" i="21"/>
  <c r="BH122" i="21"/>
  <c r="BG122" i="21"/>
  <c r="BE122" i="21"/>
  <c r="T122" i="21"/>
  <c r="R122" i="21"/>
  <c r="P122" i="21"/>
  <c r="BK122" i="21"/>
  <c r="J122" i="21"/>
  <c r="BF122" i="21" s="1"/>
  <c r="BI121" i="21"/>
  <c r="BH121" i="21"/>
  <c r="BG121" i="21"/>
  <c r="F35" i="21" s="1"/>
  <c r="BB114" i="1" s="1"/>
  <c r="BE121" i="21"/>
  <c r="T121" i="21"/>
  <c r="R121" i="21"/>
  <c r="P121" i="21"/>
  <c r="BK121" i="21"/>
  <c r="J121" i="21"/>
  <c r="BF121" i="21" s="1"/>
  <c r="BI120" i="21"/>
  <c r="BH120" i="21"/>
  <c r="BG120" i="21"/>
  <c r="BE120" i="21"/>
  <c r="T120" i="21"/>
  <c r="R120" i="21"/>
  <c r="P120" i="21"/>
  <c r="BK120" i="21"/>
  <c r="J120" i="21"/>
  <c r="BF120" i="21" s="1"/>
  <c r="BI119" i="21"/>
  <c r="F37" i="21" s="1"/>
  <c r="BD114" i="1" s="1"/>
  <c r="BH119" i="21"/>
  <c r="F36" i="21" s="1"/>
  <c r="BC114" i="1" s="1"/>
  <c r="BG119" i="21"/>
  <c r="BE119" i="21"/>
  <c r="T119" i="21"/>
  <c r="T118" i="21" s="1"/>
  <c r="T117" i="21" s="1"/>
  <c r="R119" i="21"/>
  <c r="R118" i="21" s="1"/>
  <c r="R117" i="21" s="1"/>
  <c r="P119" i="21"/>
  <c r="P118" i="21"/>
  <c r="P117" i="21" s="1"/>
  <c r="AU114" i="1" s="1"/>
  <c r="BK119" i="21"/>
  <c r="J119" i="21"/>
  <c r="BF119" i="21" s="1"/>
  <c r="F111" i="21"/>
  <c r="F89" i="21"/>
  <c r="J24" i="21"/>
  <c r="E24" i="21"/>
  <c r="J114" i="21" s="1"/>
  <c r="J23" i="21"/>
  <c r="J21" i="21"/>
  <c r="E21" i="21"/>
  <c r="J91" i="21" s="1"/>
  <c r="J20" i="21"/>
  <c r="J18" i="21"/>
  <c r="J15" i="21"/>
  <c r="E15" i="21"/>
  <c r="J14" i="21"/>
  <c r="J89" i="21"/>
  <c r="J37" i="20"/>
  <c r="J36" i="20"/>
  <c r="AY113" i="1" s="1"/>
  <c r="J35" i="20"/>
  <c r="AX113" i="1" s="1"/>
  <c r="BI324" i="20"/>
  <c r="BH324" i="20"/>
  <c r="BG324" i="20"/>
  <c r="BE324" i="20"/>
  <c r="T324" i="20"/>
  <c r="R324" i="20"/>
  <c r="P324" i="20"/>
  <c r="BK324" i="20"/>
  <c r="J324" i="20"/>
  <c r="BF324" i="20" s="1"/>
  <c r="BI323" i="20"/>
  <c r="BH323" i="20"/>
  <c r="BG323" i="20"/>
  <c r="BE323" i="20"/>
  <c r="T323" i="20"/>
  <c r="R323" i="20"/>
  <c r="P323" i="20"/>
  <c r="BK323" i="20"/>
  <c r="J323" i="20"/>
  <c r="BF323" i="20" s="1"/>
  <c r="BI322" i="20"/>
  <c r="BH322" i="20"/>
  <c r="BG322" i="20"/>
  <c r="BE322" i="20"/>
  <c r="T322" i="20"/>
  <c r="R322" i="20"/>
  <c r="P322" i="20"/>
  <c r="BK322" i="20"/>
  <c r="J322" i="20"/>
  <c r="BF322" i="20" s="1"/>
  <c r="BI321" i="20"/>
  <c r="BH321" i="20"/>
  <c r="BG321" i="20"/>
  <c r="BE321" i="20"/>
  <c r="T321" i="20"/>
  <c r="R321" i="20"/>
  <c r="P321" i="20"/>
  <c r="BK321" i="20"/>
  <c r="J321" i="20"/>
  <c r="BF321" i="20" s="1"/>
  <c r="BI320" i="20"/>
  <c r="BH320" i="20"/>
  <c r="BG320" i="20"/>
  <c r="BE320" i="20"/>
  <c r="T320" i="20"/>
  <c r="R320" i="20"/>
  <c r="P320" i="20"/>
  <c r="BK320" i="20"/>
  <c r="J320" i="20"/>
  <c r="BF320" i="20" s="1"/>
  <c r="BI319" i="20"/>
  <c r="BH319" i="20"/>
  <c r="BG319" i="20"/>
  <c r="BE319" i="20"/>
  <c r="T319" i="20"/>
  <c r="R319" i="20"/>
  <c r="P319" i="20"/>
  <c r="BK319" i="20"/>
  <c r="J319" i="20"/>
  <c r="BF319" i="20" s="1"/>
  <c r="BI318" i="20"/>
  <c r="BH318" i="20"/>
  <c r="BG318" i="20"/>
  <c r="BE318" i="20"/>
  <c r="T318" i="20"/>
  <c r="R318" i="20"/>
  <c r="P318" i="20"/>
  <c r="BK318" i="20"/>
  <c r="J318" i="20"/>
  <c r="BF318" i="20" s="1"/>
  <c r="BI317" i="20"/>
  <c r="BH317" i="20"/>
  <c r="BG317" i="20"/>
  <c r="BE317" i="20"/>
  <c r="T317" i="20"/>
  <c r="R317" i="20"/>
  <c r="P317" i="20"/>
  <c r="BK317" i="20"/>
  <c r="J317" i="20"/>
  <c r="BF317" i="20" s="1"/>
  <c r="BI315" i="20"/>
  <c r="BH315" i="20"/>
  <c r="BG315" i="20"/>
  <c r="BE315" i="20"/>
  <c r="T315" i="20"/>
  <c r="R315" i="20"/>
  <c r="P315" i="20"/>
  <c r="BK315" i="20"/>
  <c r="J315" i="20"/>
  <c r="BF315" i="20" s="1"/>
  <c r="BI314" i="20"/>
  <c r="BH314" i="20"/>
  <c r="BG314" i="20"/>
  <c r="BE314" i="20"/>
  <c r="T314" i="20"/>
  <c r="R314" i="20"/>
  <c r="P314" i="20"/>
  <c r="BK314" i="20"/>
  <c r="J314" i="20"/>
  <c r="BF314" i="20" s="1"/>
  <c r="BI313" i="20"/>
  <c r="BH313" i="20"/>
  <c r="BG313" i="20"/>
  <c r="BE313" i="20"/>
  <c r="T313" i="20"/>
  <c r="R313" i="20"/>
  <c r="P313" i="20"/>
  <c r="BK313" i="20"/>
  <c r="J313" i="20"/>
  <c r="BF313" i="20" s="1"/>
  <c r="BI312" i="20"/>
  <c r="BH312" i="20"/>
  <c r="BG312" i="20"/>
  <c r="BE312" i="20"/>
  <c r="T312" i="20"/>
  <c r="R312" i="20"/>
  <c r="P312" i="20"/>
  <c r="BK312" i="20"/>
  <c r="J312" i="20"/>
  <c r="BF312" i="20" s="1"/>
  <c r="BI311" i="20"/>
  <c r="BH311" i="20"/>
  <c r="BG311" i="20"/>
  <c r="BE311" i="20"/>
  <c r="T311" i="20"/>
  <c r="R311" i="20"/>
  <c r="P311" i="20"/>
  <c r="BK311" i="20"/>
  <c r="J311" i="20"/>
  <c r="BF311" i="20" s="1"/>
  <c r="BI310" i="20"/>
  <c r="BH310" i="20"/>
  <c r="BG310" i="20"/>
  <c r="BE310" i="20"/>
  <c r="T310" i="20"/>
  <c r="R310" i="20"/>
  <c r="P310" i="20"/>
  <c r="BK310" i="20"/>
  <c r="J310" i="20"/>
  <c r="BF310" i="20" s="1"/>
  <c r="BI309" i="20"/>
  <c r="BH309" i="20"/>
  <c r="BG309" i="20"/>
  <c r="BE309" i="20"/>
  <c r="T309" i="20"/>
  <c r="R309" i="20"/>
  <c r="P309" i="20"/>
  <c r="BK309" i="20"/>
  <c r="J309" i="20"/>
  <c r="BF309" i="20" s="1"/>
  <c r="BI308" i="20"/>
  <c r="BH308" i="20"/>
  <c r="BG308" i="20"/>
  <c r="BE308" i="20"/>
  <c r="T308" i="20"/>
  <c r="R308" i="20"/>
  <c r="P308" i="20"/>
  <c r="BK308" i="20"/>
  <c r="J308" i="20"/>
  <c r="BF308" i="20" s="1"/>
  <c r="BI307" i="20"/>
  <c r="BH307" i="20"/>
  <c r="BG307" i="20"/>
  <c r="BE307" i="20"/>
  <c r="T307" i="20"/>
  <c r="R307" i="20"/>
  <c r="P307" i="20"/>
  <c r="BK307" i="20"/>
  <c r="J307" i="20"/>
  <c r="BF307" i="20" s="1"/>
  <c r="BI306" i="20"/>
  <c r="BH306" i="20"/>
  <c r="BG306" i="20"/>
  <c r="BE306" i="20"/>
  <c r="T306" i="20"/>
  <c r="R306" i="20"/>
  <c r="P306" i="20"/>
  <c r="BK306" i="20"/>
  <c r="J306" i="20"/>
  <c r="BF306" i="20" s="1"/>
  <c r="BI305" i="20"/>
  <c r="BH305" i="20"/>
  <c r="BG305" i="20"/>
  <c r="BE305" i="20"/>
  <c r="T305" i="20"/>
  <c r="R305" i="20"/>
  <c r="P305" i="20"/>
  <c r="BK305" i="20"/>
  <c r="J305" i="20"/>
  <c r="BF305" i="20" s="1"/>
  <c r="BI304" i="20"/>
  <c r="BH304" i="20"/>
  <c r="BG304" i="20"/>
  <c r="BE304" i="20"/>
  <c r="T304" i="20"/>
  <c r="R304" i="20"/>
  <c r="P304" i="20"/>
  <c r="BK304" i="20"/>
  <c r="J304" i="20"/>
  <c r="BF304" i="20" s="1"/>
  <c r="BI303" i="20"/>
  <c r="BH303" i="20"/>
  <c r="BG303" i="20"/>
  <c r="BE303" i="20"/>
  <c r="T303" i="20"/>
  <c r="R303" i="20"/>
  <c r="P303" i="20"/>
  <c r="BK303" i="20"/>
  <c r="J303" i="20"/>
  <c r="BF303" i="20" s="1"/>
  <c r="BI302" i="20"/>
  <c r="BH302" i="20"/>
  <c r="BG302" i="20"/>
  <c r="BE302" i="20"/>
  <c r="T302" i="20"/>
  <c r="R302" i="20"/>
  <c r="P302" i="20"/>
  <c r="BK302" i="20"/>
  <c r="J302" i="20"/>
  <c r="BF302" i="20" s="1"/>
  <c r="BI301" i="20"/>
  <c r="BH301" i="20"/>
  <c r="BG301" i="20"/>
  <c r="BE301" i="20"/>
  <c r="T301" i="20"/>
  <c r="R301" i="20"/>
  <c r="P301" i="20"/>
  <c r="BK301" i="20"/>
  <c r="J301" i="20"/>
  <c r="BF301" i="20" s="1"/>
  <c r="BI300" i="20"/>
  <c r="BH300" i="20"/>
  <c r="BG300" i="20"/>
  <c r="BE300" i="20"/>
  <c r="T300" i="20"/>
  <c r="R300" i="20"/>
  <c r="P300" i="20"/>
  <c r="BK300" i="20"/>
  <c r="J300" i="20"/>
  <c r="BF300" i="20" s="1"/>
  <c r="BI299" i="20"/>
  <c r="BH299" i="20"/>
  <c r="BG299" i="20"/>
  <c r="BE299" i="20"/>
  <c r="T299" i="20"/>
  <c r="R299" i="20"/>
  <c r="P299" i="20"/>
  <c r="BK299" i="20"/>
  <c r="J299" i="20"/>
  <c r="BF299" i="20" s="1"/>
  <c r="BI298" i="20"/>
  <c r="BH298" i="20"/>
  <c r="BG298" i="20"/>
  <c r="BE298" i="20"/>
  <c r="T298" i="20"/>
  <c r="R298" i="20"/>
  <c r="P298" i="20"/>
  <c r="BK298" i="20"/>
  <c r="J298" i="20"/>
  <c r="BF298" i="20" s="1"/>
  <c r="BI297" i="20"/>
  <c r="BH297" i="20"/>
  <c r="BG297" i="20"/>
  <c r="BE297" i="20"/>
  <c r="T297" i="20"/>
  <c r="R297" i="20"/>
  <c r="P297" i="20"/>
  <c r="BK297" i="20"/>
  <c r="J297" i="20"/>
  <c r="BF297" i="20" s="1"/>
  <c r="BI296" i="20"/>
  <c r="BH296" i="20"/>
  <c r="BG296" i="20"/>
  <c r="BE296" i="20"/>
  <c r="T296" i="20"/>
  <c r="R296" i="20"/>
  <c r="P296" i="20"/>
  <c r="BK296" i="20"/>
  <c r="J296" i="20"/>
  <c r="BF296" i="20" s="1"/>
  <c r="BI295" i="20"/>
  <c r="BH295" i="20"/>
  <c r="BG295" i="20"/>
  <c r="BE295" i="20"/>
  <c r="T295" i="20"/>
  <c r="R295" i="20"/>
  <c r="P295" i="20"/>
  <c r="BK295" i="20"/>
  <c r="J295" i="20"/>
  <c r="BF295" i="20" s="1"/>
  <c r="BI292" i="20"/>
  <c r="BH292" i="20"/>
  <c r="BG292" i="20"/>
  <c r="BE292" i="20"/>
  <c r="T292" i="20"/>
  <c r="R292" i="20"/>
  <c r="P292" i="20"/>
  <c r="BK292" i="20"/>
  <c r="J292" i="20"/>
  <c r="BF292" i="20" s="1"/>
  <c r="BI291" i="20"/>
  <c r="BH291" i="20"/>
  <c r="BG291" i="20"/>
  <c r="BE291" i="20"/>
  <c r="T291" i="20"/>
  <c r="R291" i="20"/>
  <c r="P291" i="20"/>
  <c r="BK291" i="20"/>
  <c r="J291" i="20"/>
  <c r="BF291" i="20" s="1"/>
  <c r="BI290" i="20"/>
  <c r="BH290" i="20"/>
  <c r="BG290" i="20"/>
  <c r="BE290" i="20"/>
  <c r="T290" i="20"/>
  <c r="R290" i="20"/>
  <c r="P290" i="20"/>
  <c r="BK290" i="20"/>
  <c r="J290" i="20"/>
  <c r="BF290" i="20" s="1"/>
  <c r="BI289" i="20"/>
  <c r="BH289" i="20"/>
  <c r="BG289" i="20"/>
  <c r="BE289" i="20"/>
  <c r="T289" i="20"/>
  <c r="R289" i="20"/>
  <c r="P289" i="20"/>
  <c r="BK289" i="20"/>
  <c r="J289" i="20"/>
  <c r="BF289" i="20" s="1"/>
  <c r="BI288" i="20"/>
  <c r="BH288" i="20"/>
  <c r="BG288" i="20"/>
  <c r="BE288" i="20"/>
  <c r="T288" i="20"/>
  <c r="R288" i="20"/>
  <c r="P288" i="20"/>
  <c r="BK288" i="20"/>
  <c r="J288" i="20"/>
  <c r="BF288" i="20" s="1"/>
  <c r="BI287" i="20"/>
  <c r="BH287" i="20"/>
  <c r="BG287" i="20"/>
  <c r="BE287" i="20"/>
  <c r="T287" i="20"/>
  <c r="R287" i="20"/>
  <c r="P287" i="20"/>
  <c r="BK287" i="20"/>
  <c r="J287" i="20"/>
  <c r="BF287" i="20" s="1"/>
  <c r="BI286" i="20"/>
  <c r="BH286" i="20"/>
  <c r="BG286" i="20"/>
  <c r="BE286" i="20"/>
  <c r="T286" i="20"/>
  <c r="R286" i="20"/>
  <c r="P286" i="20"/>
  <c r="BK286" i="20"/>
  <c r="J286" i="20"/>
  <c r="BF286" i="20" s="1"/>
  <c r="BI285" i="20"/>
  <c r="BH285" i="20"/>
  <c r="BG285" i="20"/>
  <c r="BE285" i="20"/>
  <c r="T285" i="20"/>
  <c r="R285" i="20"/>
  <c r="P285" i="20"/>
  <c r="BK285" i="20"/>
  <c r="J285" i="20"/>
  <c r="BF285" i="20" s="1"/>
  <c r="BI282" i="20"/>
  <c r="BH282" i="20"/>
  <c r="BG282" i="20"/>
  <c r="BE282" i="20"/>
  <c r="T282" i="20"/>
  <c r="R282" i="20"/>
  <c r="P282" i="20"/>
  <c r="BK282" i="20"/>
  <c r="J282" i="20"/>
  <c r="BF282" i="20" s="1"/>
  <c r="BI281" i="20"/>
  <c r="BH281" i="20"/>
  <c r="BG281" i="20"/>
  <c r="BE281" i="20"/>
  <c r="T281" i="20"/>
  <c r="R281" i="20"/>
  <c r="P281" i="20"/>
  <c r="BK281" i="20"/>
  <c r="J281" i="20"/>
  <c r="BF281" i="20" s="1"/>
  <c r="BI280" i="20"/>
  <c r="BH280" i="20"/>
  <c r="BG280" i="20"/>
  <c r="BE280" i="20"/>
  <c r="T280" i="20"/>
  <c r="R280" i="20"/>
  <c r="P280" i="20"/>
  <c r="BK280" i="20"/>
  <c r="J280" i="20"/>
  <c r="BF280" i="20" s="1"/>
  <c r="BI279" i="20"/>
  <c r="BH279" i="20"/>
  <c r="BG279" i="20"/>
  <c r="BE279" i="20"/>
  <c r="T279" i="20"/>
  <c r="R279" i="20"/>
  <c r="P279" i="20"/>
  <c r="BK279" i="20"/>
  <c r="J279" i="20"/>
  <c r="BF279" i="20" s="1"/>
  <c r="BI278" i="20"/>
  <c r="BH278" i="20"/>
  <c r="BG278" i="20"/>
  <c r="BE278" i="20"/>
  <c r="T278" i="20"/>
  <c r="R278" i="20"/>
  <c r="P278" i="20"/>
  <c r="BK278" i="20"/>
  <c r="J278" i="20"/>
  <c r="BF278" i="20" s="1"/>
  <c r="BI277" i="20"/>
  <c r="BH277" i="20"/>
  <c r="BG277" i="20"/>
  <c r="BE277" i="20"/>
  <c r="T277" i="20"/>
  <c r="R277" i="20"/>
  <c r="P277" i="20"/>
  <c r="BK277" i="20"/>
  <c r="J277" i="20"/>
  <c r="BF277" i="20" s="1"/>
  <c r="BI276" i="20"/>
  <c r="BH276" i="20"/>
  <c r="BG276" i="20"/>
  <c r="BE276" i="20"/>
  <c r="T276" i="20"/>
  <c r="R276" i="20"/>
  <c r="P276" i="20"/>
  <c r="BK276" i="20"/>
  <c r="J276" i="20"/>
  <c r="BF276" i="20" s="1"/>
  <c r="BI275" i="20"/>
  <c r="BH275" i="20"/>
  <c r="BG275" i="20"/>
  <c r="BE275" i="20"/>
  <c r="T275" i="20"/>
  <c r="R275" i="20"/>
  <c r="P275" i="20"/>
  <c r="BK275" i="20"/>
  <c r="J275" i="20"/>
  <c r="BF275" i="20" s="1"/>
  <c r="BI274" i="20"/>
  <c r="BH274" i="20"/>
  <c r="BG274" i="20"/>
  <c r="BE274" i="20"/>
  <c r="T274" i="20"/>
  <c r="R274" i="20"/>
  <c r="P274" i="20"/>
  <c r="BK274" i="20"/>
  <c r="J274" i="20"/>
  <c r="BF274" i="20" s="1"/>
  <c r="BI273" i="20"/>
  <c r="BH273" i="20"/>
  <c r="BG273" i="20"/>
  <c r="BE273" i="20"/>
  <c r="T273" i="20"/>
  <c r="R273" i="20"/>
  <c r="P273" i="20"/>
  <c r="BK273" i="20"/>
  <c r="J273" i="20"/>
  <c r="BF273" i="20" s="1"/>
  <c r="BI272" i="20"/>
  <c r="BH272" i="20"/>
  <c r="BG272" i="20"/>
  <c r="BE272" i="20"/>
  <c r="T272" i="20"/>
  <c r="R272" i="20"/>
  <c r="P272" i="20"/>
  <c r="BK272" i="20"/>
  <c r="J272" i="20"/>
  <c r="BF272" i="20" s="1"/>
  <c r="BI271" i="20"/>
  <c r="BH271" i="20"/>
  <c r="BG271" i="20"/>
  <c r="BE271" i="20"/>
  <c r="T271" i="20"/>
  <c r="R271" i="20"/>
  <c r="P271" i="20"/>
  <c r="BK271" i="20"/>
  <c r="J271" i="20"/>
  <c r="BF271" i="20" s="1"/>
  <c r="BI269" i="20"/>
  <c r="BH269" i="20"/>
  <c r="BG269" i="20"/>
  <c r="BE269" i="20"/>
  <c r="T269" i="20"/>
  <c r="R269" i="20"/>
  <c r="P269" i="20"/>
  <c r="BK269" i="20"/>
  <c r="J269" i="20"/>
  <c r="BF269" i="20" s="1"/>
  <c r="BI268" i="20"/>
  <c r="BH268" i="20"/>
  <c r="BG268" i="20"/>
  <c r="BE268" i="20"/>
  <c r="T268" i="20"/>
  <c r="R268" i="20"/>
  <c r="P268" i="20"/>
  <c r="BK268" i="20"/>
  <c r="J268" i="20"/>
  <c r="BF268" i="20" s="1"/>
  <c r="BI267" i="20"/>
  <c r="BH267" i="20"/>
  <c r="BG267" i="20"/>
  <c r="BE267" i="20"/>
  <c r="T267" i="20"/>
  <c r="R267" i="20"/>
  <c r="P267" i="20"/>
  <c r="BK267" i="20"/>
  <c r="J267" i="20"/>
  <c r="BF267" i="20" s="1"/>
  <c r="BI265" i="20"/>
  <c r="BH265" i="20"/>
  <c r="BG265" i="20"/>
  <c r="BE265" i="20"/>
  <c r="T265" i="20"/>
  <c r="R265" i="20"/>
  <c r="P265" i="20"/>
  <c r="BK265" i="20"/>
  <c r="J265" i="20"/>
  <c r="BF265" i="20" s="1"/>
  <c r="BI264" i="20"/>
  <c r="BH264" i="20"/>
  <c r="BG264" i="20"/>
  <c r="BE264" i="20"/>
  <c r="T264" i="20"/>
  <c r="R264" i="20"/>
  <c r="P264" i="20"/>
  <c r="BK264" i="20"/>
  <c r="J264" i="20"/>
  <c r="BF264" i="20" s="1"/>
  <c r="BI263" i="20"/>
  <c r="BH263" i="20"/>
  <c r="BG263" i="20"/>
  <c r="BE263" i="20"/>
  <c r="T263" i="20"/>
  <c r="R263" i="20"/>
  <c r="P263" i="20"/>
  <c r="BK263" i="20"/>
  <c r="J263" i="20"/>
  <c r="BF263" i="20" s="1"/>
  <c r="BI262" i="20"/>
  <c r="BH262" i="20"/>
  <c r="BG262" i="20"/>
  <c r="BE262" i="20"/>
  <c r="T262" i="20"/>
  <c r="R262" i="20"/>
  <c r="P262" i="20"/>
  <c r="BK262" i="20"/>
  <c r="J262" i="20"/>
  <c r="BF262" i="20" s="1"/>
  <c r="BI260" i="20"/>
  <c r="BH260" i="20"/>
  <c r="BG260" i="20"/>
  <c r="BE260" i="20"/>
  <c r="T260" i="20"/>
  <c r="R260" i="20"/>
  <c r="P260" i="20"/>
  <c r="BK260" i="20"/>
  <c r="J260" i="20"/>
  <c r="BF260" i="20" s="1"/>
  <c r="BI259" i="20"/>
  <c r="BH259" i="20"/>
  <c r="BG259" i="20"/>
  <c r="BE259" i="20"/>
  <c r="T259" i="20"/>
  <c r="R259" i="20"/>
  <c r="P259" i="20"/>
  <c r="BK259" i="20"/>
  <c r="J259" i="20"/>
  <c r="BF259" i="20" s="1"/>
  <c r="BI257" i="20"/>
  <c r="BH257" i="20"/>
  <c r="BG257" i="20"/>
  <c r="BE257" i="20"/>
  <c r="T257" i="20"/>
  <c r="R257" i="20"/>
  <c r="P257" i="20"/>
  <c r="BK257" i="20"/>
  <c r="J257" i="20"/>
  <c r="BF257" i="20" s="1"/>
  <c r="BI256" i="20"/>
  <c r="BH256" i="20"/>
  <c r="BG256" i="20"/>
  <c r="BE256" i="20"/>
  <c r="T256" i="20"/>
  <c r="R256" i="20"/>
  <c r="P256" i="20"/>
  <c r="BK256" i="20"/>
  <c r="J256" i="20"/>
  <c r="BF256" i="20" s="1"/>
  <c r="BI255" i="20"/>
  <c r="BH255" i="20"/>
  <c r="BG255" i="20"/>
  <c r="BE255" i="20"/>
  <c r="T255" i="20"/>
  <c r="R255" i="20"/>
  <c r="P255" i="20"/>
  <c r="BK255" i="20"/>
  <c r="J255" i="20"/>
  <c r="BF255" i="20" s="1"/>
  <c r="BI253" i="20"/>
  <c r="BH253" i="20"/>
  <c r="BG253" i="20"/>
  <c r="BE253" i="20"/>
  <c r="T253" i="20"/>
  <c r="R253" i="20"/>
  <c r="P253" i="20"/>
  <c r="BK253" i="20"/>
  <c r="J253" i="20"/>
  <c r="BF253" i="20" s="1"/>
  <c r="BI252" i="20"/>
  <c r="BH252" i="20"/>
  <c r="BG252" i="20"/>
  <c r="BE252" i="20"/>
  <c r="T252" i="20"/>
  <c r="R252" i="20"/>
  <c r="P252" i="20"/>
  <c r="BK252" i="20"/>
  <c r="J252" i="20"/>
  <c r="BF252" i="20" s="1"/>
  <c r="BI251" i="20"/>
  <c r="BH251" i="20"/>
  <c r="BG251" i="20"/>
  <c r="BE251" i="20"/>
  <c r="T251" i="20"/>
  <c r="R251" i="20"/>
  <c r="P251" i="20"/>
  <c r="BK251" i="20"/>
  <c r="J251" i="20"/>
  <c r="BF251" i="20" s="1"/>
  <c r="BI250" i="20"/>
  <c r="BH250" i="20"/>
  <c r="BG250" i="20"/>
  <c r="BE250" i="20"/>
  <c r="T250" i="20"/>
  <c r="R250" i="20"/>
  <c r="P250" i="20"/>
  <c r="BK250" i="20"/>
  <c r="J250" i="20"/>
  <c r="BF250" i="20" s="1"/>
  <c r="BI249" i="20"/>
  <c r="BH249" i="20"/>
  <c r="BG249" i="20"/>
  <c r="BE249" i="20"/>
  <c r="T249" i="20"/>
  <c r="R249" i="20"/>
  <c r="P249" i="20"/>
  <c r="BK249" i="20"/>
  <c r="J249" i="20"/>
  <c r="BF249" i="20" s="1"/>
  <c r="BI244" i="20"/>
  <c r="BH244" i="20"/>
  <c r="BG244" i="20"/>
  <c r="BE244" i="20"/>
  <c r="T244" i="20"/>
  <c r="R244" i="20"/>
  <c r="P244" i="20"/>
  <c r="BK244" i="20"/>
  <c r="J244" i="20"/>
  <c r="BF244" i="20" s="1"/>
  <c r="BI243" i="20"/>
  <c r="BH243" i="20"/>
  <c r="BG243" i="20"/>
  <c r="BE243" i="20"/>
  <c r="T243" i="20"/>
  <c r="R243" i="20"/>
  <c r="P243" i="20"/>
  <c r="BK243" i="20"/>
  <c r="J243" i="20"/>
  <c r="BF243" i="20" s="1"/>
  <c r="BI242" i="20"/>
  <c r="BH242" i="20"/>
  <c r="BG242" i="20"/>
  <c r="BE242" i="20"/>
  <c r="T242" i="20"/>
  <c r="R242" i="20"/>
  <c r="P242" i="20"/>
  <c r="BK242" i="20"/>
  <c r="J242" i="20"/>
  <c r="BF242" i="20" s="1"/>
  <c r="BI241" i="20"/>
  <c r="BH241" i="20"/>
  <c r="BG241" i="20"/>
  <c r="BE241" i="20"/>
  <c r="T241" i="20"/>
  <c r="R241" i="20"/>
  <c r="P241" i="20"/>
  <c r="BK241" i="20"/>
  <c r="J241" i="20"/>
  <c r="BF241" i="20" s="1"/>
  <c r="BI240" i="20"/>
  <c r="BH240" i="20"/>
  <c r="BG240" i="20"/>
  <c r="BE240" i="20"/>
  <c r="T240" i="20"/>
  <c r="R240" i="20"/>
  <c r="P240" i="20"/>
  <c r="BK240" i="20"/>
  <c r="J240" i="20"/>
  <c r="BF240" i="20" s="1"/>
  <c r="BI239" i="20"/>
  <c r="BH239" i="20"/>
  <c r="BG239" i="20"/>
  <c r="BE239" i="20"/>
  <c r="T239" i="20"/>
  <c r="R239" i="20"/>
  <c r="P239" i="20"/>
  <c r="BK239" i="20"/>
  <c r="J239" i="20"/>
  <c r="BF239" i="20" s="1"/>
  <c r="BI238" i="20"/>
  <c r="BH238" i="20"/>
  <c r="BG238" i="20"/>
  <c r="BE238" i="20"/>
  <c r="T238" i="20"/>
  <c r="R238" i="20"/>
  <c r="P238" i="20"/>
  <c r="BK238" i="20"/>
  <c r="J238" i="20"/>
  <c r="BF238" i="20" s="1"/>
  <c r="BI237" i="20"/>
  <c r="BH237" i="20"/>
  <c r="BG237" i="20"/>
  <c r="BE237" i="20"/>
  <c r="T237" i="20"/>
  <c r="R237" i="20"/>
  <c r="P237" i="20"/>
  <c r="BK237" i="20"/>
  <c r="J237" i="20"/>
  <c r="BF237" i="20" s="1"/>
  <c r="BI236" i="20"/>
  <c r="BH236" i="20"/>
  <c r="BG236" i="20"/>
  <c r="BE236" i="20"/>
  <c r="T236" i="20"/>
  <c r="R236" i="20"/>
  <c r="P236" i="20"/>
  <c r="BK236" i="20"/>
  <c r="J236" i="20"/>
  <c r="BF236" i="20" s="1"/>
  <c r="BI235" i="20"/>
  <c r="BH235" i="20"/>
  <c r="BG235" i="20"/>
  <c r="BE235" i="20"/>
  <c r="T235" i="20"/>
  <c r="R235" i="20"/>
  <c r="P235" i="20"/>
  <c r="BK235" i="20"/>
  <c r="J235" i="20"/>
  <c r="BF235" i="20" s="1"/>
  <c r="BI234" i="20"/>
  <c r="BH234" i="20"/>
  <c r="BG234" i="20"/>
  <c r="BE234" i="20"/>
  <c r="T234" i="20"/>
  <c r="R234" i="20"/>
  <c r="P234" i="20"/>
  <c r="BK234" i="20"/>
  <c r="J234" i="20"/>
  <c r="BF234" i="20" s="1"/>
  <c r="BI233" i="20"/>
  <c r="BH233" i="20"/>
  <c r="BG233" i="20"/>
  <c r="BE233" i="20"/>
  <c r="T233" i="20"/>
  <c r="R233" i="20"/>
  <c r="P233" i="20"/>
  <c r="BK233" i="20"/>
  <c r="J233" i="20"/>
  <c r="BF233" i="20" s="1"/>
  <c r="BI226" i="20"/>
  <c r="BH226" i="20"/>
  <c r="BG226" i="20"/>
  <c r="BE226" i="20"/>
  <c r="T226" i="20"/>
  <c r="R226" i="20"/>
  <c r="P226" i="20"/>
  <c r="BK226" i="20"/>
  <c r="J226" i="20"/>
  <c r="BF226" i="20" s="1"/>
  <c r="BI225" i="20"/>
  <c r="BH225" i="20"/>
  <c r="BG225" i="20"/>
  <c r="BE225" i="20"/>
  <c r="T225" i="20"/>
  <c r="R225" i="20"/>
  <c r="P225" i="20"/>
  <c r="BK225" i="20"/>
  <c r="J225" i="20"/>
  <c r="BF225" i="20" s="1"/>
  <c r="BI224" i="20"/>
  <c r="BH224" i="20"/>
  <c r="BG224" i="20"/>
  <c r="BE224" i="20"/>
  <c r="T224" i="20"/>
  <c r="R224" i="20"/>
  <c r="P224" i="20"/>
  <c r="BK224" i="20"/>
  <c r="J224" i="20"/>
  <c r="BF224" i="20" s="1"/>
  <c r="BI223" i="20"/>
  <c r="BH223" i="20"/>
  <c r="BG223" i="20"/>
  <c r="BE223" i="20"/>
  <c r="T223" i="20"/>
  <c r="R223" i="20"/>
  <c r="P223" i="20"/>
  <c r="BK223" i="20"/>
  <c r="J223" i="20"/>
  <c r="BF223" i="20" s="1"/>
  <c r="BI222" i="20"/>
  <c r="BH222" i="20"/>
  <c r="BG222" i="20"/>
  <c r="BE222" i="20"/>
  <c r="T222" i="20"/>
  <c r="R222" i="20"/>
  <c r="P222" i="20"/>
  <c r="BK222" i="20"/>
  <c r="J222" i="20"/>
  <c r="BF222" i="20" s="1"/>
  <c r="BI221" i="20"/>
  <c r="BH221" i="20"/>
  <c r="BG221" i="20"/>
  <c r="BE221" i="20"/>
  <c r="T221" i="20"/>
  <c r="R221" i="20"/>
  <c r="P221" i="20"/>
  <c r="BK221" i="20"/>
  <c r="J221" i="20"/>
  <c r="BF221" i="20" s="1"/>
  <c r="BI220" i="20"/>
  <c r="BH220" i="20"/>
  <c r="BG220" i="20"/>
  <c r="BE220" i="20"/>
  <c r="T220" i="20"/>
  <c r="R220" i="20"/>
  <c r="P220" i="20"/>
  <c r="BK220" i="20"/>
  <c r="J220" i="20"/>
  <c r="BF220" i="20" s="1"/>
  <c r="BI219" i="20"/>
  <c r="BH219" i="20"/>
  <c r="BG219" i="20"/>
  <c r="BE219" i="20"/>
  <c r="T219" i="20"/>
  <c r="R219" i="20"/>
  <c r="P219" i="20"/>
  <c r="BK219" i="20"/>
  <c r="J219" i="20"/>
  <c r="BF219" i="20" s="1"/>
  <c r="BI218" i="20"/>
  <c r="BH218" i="20"/>
  <c r="BG218" i="20"/>
  <c r="BE218" i="20"/>
  <c r="T218" i="20"/>
  <c r="R218" i="20"/>
  <c r="P218" i="20"/>
  <c r="BK218" i="20"/>
  <c r="J218" i="20"/>
  <c r="BF218" i="20" s="1"/>
  <c r="BI217" i="20"/>
  <c r="BH217" i="20"/>
  <c r="BG217" i="20"/>
  <c r="BE217" i="20"/>
  <c r="T217" i="20"/>
  <c r="R217" i="20"/>
  <c r="P217" i="20"/>
  <c r="BK217" i="20"/>
  <c r="J217" i="20"/>
  <c r="BF217" i="20" s="1"/>
  <c r="BI216" i="20"/>
  <c r="BH216" i="20"/>
  <c r="BG216" i="20"/>
  <c r="BE216" i="20"/>
  <c r="T216" i="20"/>
  <c r="R216" i="20"/>
  <c r="P216" i="20"/>
  <c r="BK216" i="20"/>
  <c r="J216" i="20"/>
  <c r="BF216" i="20"/>
  <c r="BI215" i="20"/>
  <c r="BH215" i="20"/>
  <c r="BG215" i="20"/>
  <c r="BE215" i="20"/>
  <c r="T215" i="20"/>
  <c r="R215" i="20"/>
  <c r="P215" i="20"/>
  <c r="BK215" i="20"/>
  <c r="J215" i="20"/>
  <c r="BF215" i="20" s="1"/>
  <c r="BI214" i="20"/>
  <c r="BH214" i="20"/>
  <c r="BG214" i="20"/>
  <c r="BE214" i="20"/>
  <c r="T214" i="20"/>
  <c r="R214" i="20"/>
  <c r="P214" i="20"/>
  <c r="BK214" i="20"/>
  <c r="J214" i="20"/>
  <c r="BF214" i="20" s="1"/>
  <c r="BI213" i="20"/>
  <c r="BH213" i="20"/>
  <c r="BG213" i="20"/>
  <c r="BE213" i="20"/>
  <c r="T213" i="20"/>
  <c r="R213" i="20"/>
  <c r="P213" i="20"/>
  <c r="BK213" i="20"/>
  <c r="J213" i="20"/>
  <c r="BF213" i="20" s="1"/>
  <c r="BI212" i="20"/>
  <c r="BH212" i="20"/>
  <c r="BG212" i="20"/>
  <c r="BE212" i="20"/>
  <c r="T212" i="20"/>
  <c r="R212" i="20"/>
  <c r="P212" i="20"/>
  <c r="BK212" i="20"/>
  <c r="J212" i="20"/>
  <c r="BF212" i="20" s="1"/>
  <c r="BI211" i="20"/>
  <c r="BH211" i="20"/>
  <c r="BG211" i="20"/>
  <c r="BE211" i="20"/>
  <c r="T211" i="20"/>
  <c r="R211" i="20"/>
  <c r="P211" i="20"/>
  <c r="BK211" i="20"/>
  <c r="J211" i="20"/>
  <c r="BF211" i="20" s="1"/>
  <c r="BI210" i="20"/>
  <c r="BH210" i="20"/>
  <c r="BG210" i="20"/>
  <c r="BE210" i="20"/>
  <c r="T210" i="20"/>
  <c r="R210" i="20"/>
  <c r="P210" i="20"/>
  <c r="BK210" i="20"/>
  <c r="J210" i="20"/>
  <c r="BF210" i="20" s="1"/>
  <c r="BI209" i="20"/>
  <c r="BH209" i="20"/>
  <c r="BG209" i="20"/>
  <c r="BE209" i="20"/>
  <c r="T209" i="20"/>
  <c r="R209" i="20"/>
  <c r="P209" i="20"/>
  <c r="BK209" i="20"/>
  <c r="J209" i="20"/>
  <c r="BF209" i="20" s="1"/>
  <c r="BI208" i="20"/>
  <c r="BH208" i="20"/>
  <c r="BG208" i="20"/>
  <c r="BE208" i="20"/>
  <c r="T208" i="20"/>
  <c r="R208" i="20"/>
  <c r="P208" i="20"/>
  <c r="BK208" i="20"/>
  <c r="J208" i="20"/>
  <c r="BF208" i="20" s="1"/>
  <c r="BI207" i="20"/>
  <c r="BH207" i="20"/>
  <c r="BG207" i="20"/>
  <c r="BE207" i="20"/>
  <c r="T207" i="20"/>
  <c r="R207" i="20"/>
  <c r="P207" i="20"/>
  <c r="BK207" i="20"/>
  <c r="J207" i="20"/>
  <c r="BF207" i="20" s="1"/>
  <c r="BI206" i="20"/>
  <c r="BH206" i="20"/>
  <c r="BG206" i="20"/>
  <c r="BE206" i="20"/>
  <c r="T206" i="20"/>
  <c r="R206" i="20"/>
  <c r="P206" i="20"/>
  <c r="BK206" i="20"/>
  <c r="J206" i="20"/>
  <c r="BF206" i="20" s="1"/>
  <c r="BI205" i="20"/>
  <c r="BH205" i="20"/>
  <c r="BG205" i="20"/>
  <c r="BE205" i="20"/>
  <c r="T205" i="20"/>
  <c r="R205" i="20"/>
  <c r="P205" i="20"/>
  <c r="BK205" i="20"/>
  <c r="J205" i="20"/>
  <c r="BF205" i="20" s="1"/>
  <c r="BI204" i="20"/>
  <c r="BH204" i="20"/>
  <c r="BG204" i="20"/>
  <c r="BE204" i="20"/>
  <c r="T204" i="20"/>
  <c r="R204" i="20"/>
  <c r="P204" i="20"/>
  <c r="BK204" i="20"/>
  <c r="J204" i="20"/>
  <c r="BF204" i="20" s="1"/>
  <c r="BI203" i="20"/>
  <c r="BH203" i="20"/>
  <c r="BG203" i="20"/>
  <c r="BE203" i="20"/>
  <c r="T203" i="20"/>
  <c r="R203" i="20"/>
  <c r="P203" i="20"/>
  <c r="BK203" i="20"/>
  <c r="J203" i="20"/>
  <c r="BF203" i="20" s="1"/>
  <c r="BI200" i="20"/>
  <c r="BH200" i="20"/>
  <c r="BG200" i="20"/>
  <c r="BE200" i="20"/>
  <c r="T200" i="20"/>
  <c r="R200" i="20"/>
  <c r="P200" i="20"/>
  <c r="BK200" i="20"/>
  <c r="J200" i="20"/>
  <c r="BF200" i="20" s="1"/>
  <c r="BI199" i="20"/>
  <c r="BH199" i="20"/>
  <c r="BG199" i="20"/>
  <c r="BE199" i="20"/>
  <c r="T199" i="20"/>
  <c r="R199" i="20"/>
  <c r="P199" i="20"/>
  <c r="BK199" i="20"/>
  <c r="J199" i="20"/>
  <c r="BF199" i="20" s="1"/>
  <c r="BI198" i="20"/>
  <c r="BH198" i="20"/>
  <c r="BG198" i="20"/>
  <c r="BE198" i="20"/>
  <c r="T198" i="20"/>
  <c r="R198" i="20"/>
  <c r="P198" i="20"/>
  <c r="BK198" i="20"/>
  <c r="J198" i="20"/>
  <c r="BF198" i="20" s="1"/>
  <c r="BI197" i="20"/>
  <c r="BH197" i="20"/>
  <c r="BG197" i="20"/>
  <c r="BE197" i="20"/>
  <c r="T197" i="20"/>
  <c r="R197" i="20"/>
  <c r="P197" i="20"/>
  <c r="BK197" i="20"/>
  <c r="J197" i="20"/>
  <c r="BF197" i="20" s="1"/>
  <c r="BI196" i="20"/>
  <c r="BH196" i="20"/>
  <c r="BG196" i="20"/>
  <c r="BE196" i="20"/>
  <c r="T196" i="20"/>
  <c r="R196" i="20"/>
  <c r="P196" i="20"/>
  <c r="BK196" i="20"/>
  <c r="J196" i="20"/>
  <c r="BF196" i="20" s="1"/>
  <c r="BI195" i="20"/>
  <c r="BH195" i="20"/>
  <c r="BG195" i="20"/>
  <c r="BE195" i="20"/>
  <c r="T195" i="20"/>
  <c r="R195" i="20"/>
  <c r="P195" i="20"/>
  <c r="BK195" i="20"/>
  <c r="J195" i="20"/>
  <c r="BF195" i="20" s="1"/>
  <c r="BI194" i="20"/>
  <c r="BH194" i="20"/>
  <c r="BG194" i="20"/>
  <c r="BE194" i="20"/>
  <c r="T194" i="20"/>
  <c r="R194" i="20"/>
  <c r="P194" i="20"/>
  <c r="BK194" i="20"/>
  <c r="J194" i="20"/>
  <c r="BF194" i="20" s="1"/>
  <c r="BI193" i="20"/>
  <c r="BH193" i="20"/>
  <c r="BG193" i="20"/>
  <c r="BE193" i="20"/>
  <c r="T193" i="20"/>
  <c r="R193" i="20"/>
  <c r="P193" i="20"/>
  <c r="BK193" i="20"/>
  <c r="J193" i="20"/>
  <c r="BF193" i="20" s="1"/>
  <c r="BI192" i="20"/>
  <c r="BH192" i="20"/>
  <c r="BG192" i="20"/>
  <c r="BE192" i="20"/>
  <c r="T192" i="20"/>
  <c r="R192" i="20"/>
  <c r="P192" i="20"/>
  <c r="BK192" i="20"/>
  <c r="J192" i="20"/>
  <c r="BF192" i="20" s="1"/>
  <c r="BI191" i="20"/>
  <c r="BH191" i="20"/>
  <c r="BG191" i="20"/>
  <c r="BE191" i="20"/>
  <c r="T191" i="20"/>
  <c r="R191" i="20"/>
  <c r="P191" i="20"/>
  <c r="BK191" i="20"/>
  <c r="J191" i="20"/>
  <c r="BF191" i="20" s="1"/>
  <c r="BI190" i="20"/>
  <c r="BH190" i="20"/>
  <c r="BG190" i="20"/>
  <c r="BE190" i="20"/>
  <c r="T190" i="20"/>
  <c r="R190" i="20"/>
  <c r="P190" i="20"/>
  <c r="BK190" i="20"/>
  <c r="J190" i="20"/>
  <c r="BF190" i="20" s="1"/>
  <c r="BI189" i="20"/>
  <c r="BH189" i="20"/>
  <c r="BG189" i="20"/>
  <c r="BE189" i="20"/>
  <c r="T189" i="20"/>
  <c r="R189" i="20"/>
  <c r="P189" i="20"/>
  <c r="BK189" i="20"/>
  <c r="J189" i="20"/>
  <c r="BF189" i="20" s="1"/>
  <c r="BI188" i="20"/>
  <c r="BH188" i="20"/>
  <c r="BG188" i="20"/>
  <c r="BE188" i="20"/>
  <c r="T188" i="20"/>
  <c r="R188" i="20"/>
  <c r="P188" i="20"/>
  <c r="BK188" i="20"/>
  <c r="J188" i="20"/>
  <c r="BF188" i="20" s="1"/>
  <c r="BI187" i="20"/>
  <c r="BH187" i="20"/>
  <c r="BG187" i="20"/>
  <c r="BE187" i="20"/>
  <c r="T187" i="20"/>
  <c r="R187" i="20"/>
  <c r="P187" i="20"/>
  <c r="BK187" i="20"/>
  <c r="J187" i="20"/>
  <c r="BF187" i="20" s="1"/>
  <c r="BI182" i="20"/>
  <c r="BH182" i="20"/>
  <c r="BG182" i="20"/>
  <c r="BE182" i="20"/>
  <c r="T182" i="20"/>
  <c r="R182" i="20"/>
  <c r="P182" i="20"/>
  <c r="BK182" i="20"/>
  <c r="J182" i="20"/>
  <c r="BF182" i="20" s="1"/>
  <c r="BI181" i="20"/>
  <c r="BH181" i="20"/>
  <c r="BG181" i="20"/>
  <c r="BE181" i="20"/>
  <c r="T181" i="20"/>
  <c r="R181" i="20"/>
  <c r="P181" i="20"/>
  <c r="BK181" i="20"/>
  <c r="J181" i="20"/>
  <c r="BF181" i="20" s="1"/>
  <c r="BI180" i="20"/>
  <c r="BH180" i="20"/>
  <c r="BG180" i="20"/>
  <c r="BE180" i="20"/>
  <c r="T180" i="20"/>
  <c r="R180" i="20"/>
  <c r="P180" i="20"/>
  <c r="BK180" i="20"/>
  <c r="J180" i="20"/>
  <c r="BF180" i="20" s="1"/>
  <c r="BI179" i="20"/>
  <c r="BH179" i="20"/>
  <c r="BG179" i="20"/>
  <c r="BE179" i="20"/>
  <c r="T179" i="20"/>
  <c r="R179" i="20"/>
  <c r="P179" i="20"/>
  <c r="BK179" i="20"/>
  <c r="J179" i="20"/>
  <c r="BF179" i="20" s="1"/>
  <c r="BI178" i="20"/>
  <c r="BH178" i="20"/>
  <c r="BG178" i="20"/>
  <c r="BE178" i="20"/>
  <c r="T178" i="20"/>
  <c r="R178" i="20"/>
  <c r="P178" i="20"/>
  <c r="BK178" i="20"/>
  <c r="J178" i="20"/>
  <c r="BF178" i="20" s="1"/>
  <c r="BI177" i="20"/>
  <c r="BH177" i="20"/>
  <c r="BG177" i="20"/>
  <c r="BE177" i="20"/>
  <c r="T177" i="20"/>
  <c r="R177" i="20"/>
  <c r="P177" i="20"/>
  <c r="BK177" i="20"/>
  <c r="J177" i="20"/>
  <c r="BF177" i="20" s="1"/>
  <c r="BI176" i="20"/>
  <c r="BH176" i="20"/>
  <c r="BG176" i="20"/>
  <c r="BE176" i="20"/>
  <c r="T176" i="20"/>
  <c r="R176" i="20"/>
  <c r="P176" i="20"/>
  <c r="BK176" i="20"/>
  <c r="J176" i="20"/>
  <c r="BF176" i="20" s="1"/>
  <c r="BI175" i="20"/>
  <c r="BH175" i="20"/>
  <c r="BG175" i="20"/>
  <c r="BE175" i="20"/>
  <c r="T175" i="20"/>
  <c r="R175" i="20"/>
  <c r="P175" i="20"/>
  <c r="BK175" i="20"/>
  <c r="J175" i="20"/>
  <c r="BF175" i="20" s="1"/>
  <c r="BI174" i="20"/>
  <c r="BH174" i="20"/>
  <c r="BG174" i="20"/>
  <c r="BE174" i="20"/>
  <c r="T174" i="20"/>
  <c r="R174" i="20"/>
  <c r="P174" i="20"/>
  <c r="BK174" i="20"/>
  <c r="J174" i="20"/>
  <c r="BF174" i="20" s="1"/>
  <c r="BI173" i="20"/>
  <c r="BH173" i="20"/>
  <c r="BG173" i="20"/>
  <c r="BE173" i="20"/>
  <c r="T173" i="20"/>
  <c r="R173" i="20"/>
  <c r="P173" i="20"/>
  <c r="BK173" i="20"/>
  <c r="J173" i="20"/>
  <c r="BF173" i="20" s="1"/>
  <c r="BI172" i="20"/>
  <c r="BH172" i="20"/>
  <c r="BG172" i="20"/>
  <c r="BE172" i="20"/>
  <c r="T172" i="20"/>
  <c r="R172" i="20"/>
  <c r="P172" i="20"/>
  <c r="BK172" i="20"/>
  <c r="J172" i="20"/>
  <c r="BF172" i="20" s="1"/>
  <c r="BI171" i="20"/>
  <c r="BH171" i="20"/>
  <c r="BG171" i="20"/>
  <c r="BE171" i="20"/>
  <c r="T171" i="20"/>
  <c r="R171" i="20"/>
  <c r="P171" i="20"/>
  <c r="BK171" i="20"/>
  <c r="J171" i="20"/>
  <c r="BF171" i="20" s="1"/>
  <c r="BI170" i="20"/>
  <c r="BH170" i="20"/>
  <c r="BG170" i="20"/>
  <c r="BE170" i="20"/>
  <c r="T170" i="20"/>
  <c r="R170" i="20"/>
  <c r="P170" i="20"/>
  <c r="BK170" i="20"/>
  <c r="J170" i="20"/>
  <c r="BF170" i="20" s="1"/>
  <c r="BI169" i="20"/>
  <c r="BH169" i="20"/>
  <c r="BG169" i="20"/>
  <c r="BE169" i="20"/>
  <c r="T169" i="20"/>
  <c r="R169" i="20"/>
  <c r="P169" i="20"/>
  <c r="BK169" i="20"/>
  <c r="J169" i="20"/>
  <c r="BF169" i="20" s="1"/>
  <c r="BI168" i="20"/>
  <c r="BH168" i="20"/>
  <c r="BG168" i="20"/>
  <c r="BE168" i="20"/>
  <c r="T168" i="20"/>
  <c r="R168" i="20"/>
  <c r="P168" i="20"/>
  <c r="BK168" i="20"/>
  <c r="J168" i="20"/>
  <c r="BF168" i="20" s="1"/>
  <c r="BI167" i="20"/>
  <c r="BH167" i="20"/>
  <c r="BG167" i="20"/>
  <c r="BE167" i="20"/>
  <c r="T167" i="20"/>
  <c r="R167" i="20"/>
  <c r="P167" i="20"/>
  <c r="BK167" i="20"/>
  <c r="J167" i="20"/>
  <c r="BF167" i="20" s="1"/>
  <c r="BI166" i="20"/>
  <c r="BH166" i="20"/>
  <c r="BG166" i="20"/>
  <c r="BE166" i="20"/>
  <c r="T166" i="20"/>
  <c r="R166" i="20"/>
  <c r="P166" i="20"/>
  <c r="BK166" i="20"/>
  <c r="J166" i="20"/>
  <c r="BF166" i="20" s="1"/>
  <c r="BI165" i="20"/>
  <c r="BH165" i="20"/>
  <c r="BG165" i="20"/>
  <c r="BE165" i="20"/>
  <c r="T165" i="20"/>
  <c r="R165" i="20"/>
  <c r="P165" i="20"/>
  <c r="BK165" i="20"/>
  <c r="J165" i="20"/>
  <c r="BF165" i="20" s="1"/>
  <c r="BI164" i="20"/>
  <c r="BH164" i="20"/>
  <c r="BG164" i="20"/>
  <c r="BE164" i="20"/>
  <c r="T164" i="20"/>
  <c r="R164" i="20"/>
  <c r="P164" i="20"/>
  <c r="BK164" i="20"/>
  <c r="J164" i="20"/>
  <c r="BF164" i="20" s="1"/>
  <c r="BI163" i="20"/>
  <c r="BH163" i="20"/>
  <c r="BG163" i="20"/>
  <c r="BE163" i="20"/>
  <c r="T163" i="20"/>
  <c r="R163" i="20"/>
  <c r="P163" i="20"/>
  <c r="BK163" i="20"/>
  <c r="J163" i="20"/>
  <c r="BF163" i="20" s="1"/>
  <c r="BI162" i="20"/>
  <c r="BH162" i="20"/>
  <c r="BG162" i="20"/>
  <c r="BE162" i="20"/>
  <c r="T162" i="20"/>
  <c r="R162" i="20"/>
  <c r="P162" i="20"/>
  <c r="BK162" i="20"/>
  <c r="J162" i="20"/>
  <c r="BF162" i="20" s="1"/>
  <c r="BI161" i="20"/>
  <c r="BH161" i="20"/>
  <c r="BG161" i="20"/>
  <c r="BE161" i="20"/>
  <c r="T161" i="20"/>
  <c r="R161" i="20"/>
  <c r="P161" i="20"/>
  <c r="BK161" i="20"/>
  <c r="J161" i="20"/>
  <c r="BF161" i="20" s="1"/>
  <c r="BI160" i="20"/>
  <c r="BH160" i="20"/>
  <c r="BG160" i="20"/>
  <c r="BE160" i="20"/>
  <c r="T160" i="20"/>
  <c r="R160" i="20"/>
  <c r="P160" i="20"/>
  <c r="BK160" i="20"/>
  <c r="J160" i="20"/>
  <c r="BF160" i="20" s="1"/>
  <c r="BI159" i="20"/>
  <c r="BH159" i="20"/>
  <c r="BG159" i="20"/>
  <c r="BE159" i="20"/>
  <c r="T159" i="20"/>
  <c r="R159" i="20"/>
  <c r="P159" i="20"/>
  <c r="BK159" i="20"/>
  <c r="J159" i="20"/>
  <c r="BF159" i="20" s="1"/>
  <c r="BI158" i="20"/>
  <c r="BH158" i="20"/>
  <c r="BG158" i="20"/>
  <c r="BE158" i="20"/>
  <c r="T158" i="20"/>
  <c r="R158" i="20"/>
  <c r="P158" i="20"/>
  <c r="BK158" i="20"/>
  <c r="J158" i="20"/>
  <c r="BF158" i="20" s="1"/>
  <c r="BI157" i="20"/>
  <c r="BH157" i="20"/>
  <c r="BG157" i="20"/>
  <c r="BE157" i="20"/>
  <c r="T157" i="20"/>
  <c r="R157" i="20"/>
  <c r="P157" i="20"/>
  <c r="BK157" i="20"/>
  <c r="J157" i="20"/>
  <c r="BF157" i="20" s="1"/>
  <c r="BI156" i="20"/>
  <c r="BH156" i="20"/>
  <c r="BG156" i="20"/>
  <c r="BE156" i="20"/>
  <c r="T156" i="20"/>
  <c r="R156" i="20"/>
  <c r="P156" i="20"/>
  <c r="BK156" i="20"/>
  <c r="J156" i="20"/>
  <c r="BF156" i="20" s="1"/>
  <c r="BI155" i="20"/>
  <c r="BH155" i="20"/>
  <c r="BG155" i="20"/>
  <c r="BE155" i="20"/>
  <c r="T155" i="20"/>
  <c r="R155" i="20"/>
  <c r="P155" i="20"/>
  <c r="BK155" i="20"/>
  <c r="J155" i="20"/>
  <c r="BF155" i="20" s="1"/>
  <c r="BI154" i="20"/>
  <c r="BH154" i="20"/>
  <c r="BG154" i="20"/>
  <c r="BE154" i="20"/>
  <c r="T154" i="20"/>
  <c r="R154" i="20"/>
  <c r="P154" i="20"/>
  <c r="BK154" i="20"/>
  <c r="J154" i="20"/>
  <c r="BF154" i="20"/>
  <c r="BI153" i="20"/>
  <c r="BH153" i="20"/>
  <c r="BG153" i="20"/>
  <c r="BE153" i="20"/>
  <c r="T153" i="20"/>
  <c r="R153" i="20"/>
  <c r="P153" i="20"/>
  <c r="BK153" i="20"/>
  <c r="J153" i="20"/>
  <c r="BF153" i="20" s="1"/>
  <c r="BI152" i="20"/>
  <c r="BH152" i="20"/>
  <c r="BG152" i="20"/>
  <c r="BE152" i="20"/>
  <c r="T152" i="20"/>
  <c r="R152" i="20"/>
  <c r="P152" i="20"/>
  <c r="BK152" i="20"/>
  <c r="J152" i="20"/>
  <c r="BF152" i="20" s="1"/>
  <c r="BI151" i="20"/>
  <c r="BH151" i="20"/>
  <c r="BG151" i="20"/>
  <c r="BE151" i="20"/>
  <c r="T151" i="20"/>
  <c r="R151" i="20"/>
  <c r="P151" i="20"/>
  <c r="BK151" i="20"/>
  <c r="J151" i="20"/>
  <c r="BF151" i="20" s="1"/>
  <c r="BI150" i="20"/>
  <c r="BH150" i="20"/>
  <c r="BG150" i="20"/>
  <c r="BE150" i="20"/>
  <c r="T150" i="20"/>
  <c r="R150" i="20"/>
  <c r="P150" i="20"/>
  <c r="BK150" i="20"/>
  <c r="J150" i="20"/>
  <c r="BF150" i="20" s="1"/>
  <c r="BI149" i="20"/>
  <c r="BH149" i="20"/>
  <c r="BG149" i="20"/>
  <c r="BE149" i="20"/>
  <c r="T149" i="20"/>
  <c r="R149" i="20"/>
  <c r="P149" i="20"/>
  <c r="BK149" i="20"/>
  <c r="J149" i="20"/>
  <c r="BF149" i="20" s="1"/>
  <c r="BI146" i="20"/>
  <c r="BH146" i="20"/>
  <c r="BG146" i="20"/>
  <c r="BE146" i="20"/>
  <c r="T146" i="20"/>
  <c r="R146" i="20"/>
  <c r="P146" i="20"/>
  <c r="BK146" i="20"/>
  <c r="J146" i="20"/>
  <c r="BF146" i="20" s="1"/>
  <c r="BI145" i="20"/>
  <c r="BH145" i="20"/>
  <c r="BG145" i="20"/>
  <c r="BE145" i="20"/>
  <c r="T145" i="20"/>
  <c r="R145" i="20"/>
  <c r="P145" i="20"/>
  <c r="BK145" i="20"/>
  <c r="J145" i="20"/>
  <c r="BF145" i="20" s="1"/>
  <c r="BI144" i="20"/>
  <c r="BH144" i="20"/>
  <c r="BG144" i="20"/>
  <c r="BE144" i="20"/>
  <c r="T144" i="20"/>
  <c r="R144" i="20"/>
  <c r="P144" i="20"/>
  <c r="BK144" i="20"/>
  <c r="J144" i="20"/>
  <c r="BF144" i="20" s="1"/>
  <c r="BI143" i="20"/>
  <c r="BH143" i="20"/>
  <c r="BG143" i="20"/>
  <c r="BE143" i="20"/>
  <c r="T143" i="20"/>
  <c r="R143" i="20"/>
  <c r="P143" i="20"/>
  <c r="BK143" i="20"/>
  <c r="J143" i="20"/>
  <c r="BF143" i="20" s="1"/>
  <c r="BI142" i="20"/>
  <c r="BH142" i="20"/>
  <c r="BG142" i="20"/>
  <c r="BE142" i="20"/>
  <c r="T142" i="20"/>
  <c r="R142" i="20"/>
  <c r="P142" i="20"/>
  <c r="BK142" i="20"/>
  <c r="J142" i="20"/>
  <c r="BF142" i="20" s="1"/>
  <c r="BI141" i="20"/>
  <c r="BH141" i="20"/>
  <c r="BG141" i="20"/>
  <c r="BE141" i="20"/>
  <c r="T141" i="20"/>
  <c r="R141" i="20"/>
  <c r="P141" i="20"/>
  <c r="BK141" i="20"/>
  <c r="J141" i="20"/>
  <c r="BF141" i="20" s="1"/>
  <c r="BI140" i="20"/>
  <c r="BH140" i="20"/>
  <c r="BG140" i="20"/>
  <c r="BE140" i="20"/>
  <c r="T140" i="20"/>
  <c r="R140" i="20"/>
  <c r="P140" i="20"/>
  <c r="BK140" i="20"/>
  <c r="J140" i="20"/>
  <c r="BF140" i="20" s="1"/>
  <c r="BI139" i="20"/>
  <c r="BH139" i="20"/>
  <c r="BG139" i="20"/>
  <c r="BE139" i="20"/>
  <c r="T139" i="20"/>
  <c r="R139" i="20"/>
  <c r="P139" i="20"/>
  <c r="BK139" i="20"/>
  <c r="J139" i="20"/>
  <c r="BF139" i="20" s="1"/>
  <c r="BI138" i="20"/>
  <c r="BH138" i="20"/>
  <c r="BG138" i="20"/>
  <c r="BE138" i="20"/>
  <c r="T138" i="20"/>
  <c r="R138" i="20"/>
  <c r="P138" i="20"/>
  <c r="BK138" i="20"/>
  <c r="J138" i="20"/>
  <c r="BF138" i="20" s="1"/>
  <c r="BI137" i="20"/>
  <c r="BH137" i="20"/>
  <c r="BG137" i="20"/>
  <c r="BE137" i="20"/>
  <c r="T137" i="20"/>
  <c r="R137" i="20"/>
  <c r="P137" i="20"/>
  <c r="BK137" i="20"/>
  <c r="J137" i="20"/>
  <c r="BF137" i="20" s="1"/>
  <c r="BI136" i="20"/>
  <c r="BH136" i="20"/>
  <c r="BG136" i="20"/>
  <c r="BE136" i="20"/>
  <c r="T136" i="20"/>
  <c r="R136" i="20"/>
  <c r="P136" i="20"/>
  <c r="BK136" i="20"/>
  <c r="J136" i="20"/>
  <c r="BF136" i="20" s="1"/>
  <c r="BI135" i="20"/>
  <c r="BH135" i="20"/>
  <c r="BG135" i="20"/>
  <c r="BE135" i="20"/>
  <c r="T135" i="20"/>
  <c r="R135" i="20"/>
  <c r="P135" i="20"/>
  <c r="BK135" i="20"/>
  <c r="J135" i="20"/>
  <c r="BF135" i="20" s="1"/>
  <c r="BI133" i="20"/>
  <c r="BH133" i="20"/>
  <c r="BG133" i="20"/>
  <c r="BE133" i="20"/>
  <c r="T133" i="20"/>
  <c r="R133" i="20"/>
  <c r="P133" i="20"/>
  <c r="BK133" i="20"/>
  <c r="J133" i="20"/>
  <c r="BF133" i="20" s="1"/>
  <c r="BI129" i="20"/>
  <c r="BH129" i="20"/>
  <c r="BG129" i="20"/>
  <c r="BE129" i="20"/>
  <c r="T129" i="20"/>
  <c r="R129" i="20"/>
  <c r="P129" i="20"/>
  <c r="BK129" i="20"/>
  <c r="J129" i="20"/>
  <c r="BF129" i="20" s="1"/>
  <c r="BI128" i="20"/>
  <c r="BH128" i="20"/>
  <c r="BG128" i="20"/>
  <c r="BE128" i="20"/>
  <c r="T128" i="20"/>
  <c r="R128" i="20"/>
  <c r="P128" i="20"/>
  <c r="BK128" i="20"/>
  <c r="J128" i="20"/>
  <c r="BF128" i="20" s="1"/>
  <c r="BI127" i="20"/>
  <c r="BH127" i="20"/>
  <c r="BG127" i="20"/>
  <c r="BE127" i="20"/>
  <c r="T127" i="20"/>
  <c r="R127" i="20"/>
  <c r="P127" i="20"/>
  <c r="BK127" i="20"/>
  <c r="J127" i="20"/>
  <c r="BF127" i="20" s="1"/>
  <c r="BI126" i="20"/>
  <c r="BH126" i="20"/>
  <c r="BG126" i="20"/>
  <c r="BE126" i="20"/>
  <c r="T126" i="20"/>
  <c r="R126" i="20"/>
  <c r="P126" i="20"/>
  <c r="BK126" i="20"/>
  <c r="J126" i="20"/>
  <c r="BF126" i="20" s="1"/>
  <c r="BI125" i="20"/>
  <c r="BH125" i="20"/>
  <c r="BG125" i="20"/>
  <c r="BE125" i="20"/>
  <c r="T125" i="20"/>
  <c r="R125" i="20"/>
  <c r="P125" i="20"/>
  <c r="BK125" i="20"/>
  <c r="J125" i="20"/>
  <c r="BF125" i="20" s="1"/>
  <c r="BI124" i="20"/>
  <c r="BH124" i="20"/>
  <c r="BG124" i="20"/>
  <c r="BE124" i="20"/>
  <c r="T124" i="20"/>
  <c r="R124" i="20"/>
  <c r="P124" i="20"/>
  <c r="BK124" i="20"/>
  <c r="J124" i="20"/>
  <c r="BF124" i="20" s="1"/>
  <c r="BI123" i="20"/>
  <c r="BH123" i="20"/>
  <c r="BG123" i="20"/>
  <c r="BE123" i="20"/>
  <c r="T123" i="20"/>
  <c r="R123" i="20"/>
  <c r="P123" i="20"/>
  <c r="BK123" i="20"/>
  <c r="J123" i="20"/>
  <c r="BF123" i="20" s="1"/>
  <c r="BI122" i="20"/>
  <c r="BH122" i="20"/>
  <c r="BG122" i="20"/>
  <c r="BE122" i="20"/>
  <c r="T122" i="20"/>
  <c r="R122" i="20"/>
  <c r="P122" i="20"/>
  <c r="BK122" i="20"/>
  <c r="J122" i="20"/>
  <c r="BF122" i="20" s="1"/>
  <c r="F112" i="20"/>
  <c r="F89" i="20"/>
  <c r="J24" i="20"/>
  <c r="E24" i="20"/>
  <c r="J115" i="20" s="1"/>
  <c r="J23" i="20"/>
  <c r="J21" i="20"/>
  <c r="E21" i="20"/>
  <c r="J91" i="20" s="1"/>
  <c r="J20" i="20"/>
  <c r="J18" i="20"/>
  <c r="J15" i="20"/>
  <c r="E15" i="20"/>
  <c r="J14" i="20"/>
  <c r="J112" i="20"/>
  <c r="J89" i="20"/>
  <c r="J123" i="19"/>
  <c r="J37" i="19"/>
  <c r="J36" i="19"/>
  <c r="AY112" i="1" s="1"/>
  <c r="J35" i="19"/>
  <c r="AX112" i="1" s="1"/>
  <c r="BI429" i="19"/>
  <c r="BH429" i="19"/>
  <c r="BG429" i="19"/>
  <c r="BE429" i="19"/>
  <c r="T429" i="19"/>
  <c r="R429" i="19"/>
  <c r="P429" i="19"/>
  <c r="BK429" i="19"/>
  <c r="J429" i="19"/>
  <c r="BF429" i="19" s="1"/>
  <c r="BI428" i="19"/>
  <c r="BH428" i="19"/>
  <c r="BG428" i="19"/>
  <c r="BE428" i="19"/>
  <c r="T428" i="19"/>
  <c r="R428" i="19"/>
  <c r="P428" i="19"/>
  <c r="BK428" i="19"/>
  <c r="J428" i="19"/>
  <c r="BF428" i="19" s="1"/>
  <c r="BI426" i="19"/>
  <c r="BH426" i="19"/>
  <c r="BG426" i="19"/>
  <c r="BE426" i="19"/>
  <c r="T426" i="19"/>
  <c r="R426" i="19"/>
  <c r="P426" i="19"/>
  <c r="BK426" i="19"/>
  <c r="J426" i="19"/>
  <c r="BF426" i="19" s="1"/>
  <c r="BI425" i="19"/>
  <c r="BH425" i="19"/>
  <c r="BG425" i="19"/>
  <c r="BE425" i="19"/>
  <c r="T425" i="19"/>
  <c r="R425" i="19"/>
  <c r="P425" i="19"/>
  <c r="BK425" i="19"/>
  <c r="J425" i="19"/>
  <c r="BF425" i="19" s="1"/>
  <c r="BI424" i="19"/>
  <c r="BH424" i="19"/>
  <c r="BG424" i="19"/>
  <c r="BE424" i="19"/>
  <c r="T424" i="19"/>
  <c r="R424" i="19"/>
  <c r="P424" i="19"/>
  <c r="BK424" i="19"/>
  <c r="J424" i="19"/>
  <c r="BF424" i="19" s="1"/>
  <c r="BI423" i="19"/>
  <c r="BH423" i="19"/>
  <c r="BG423" i="19"/>
  <c r="BE423" i="19"/>
  <c r="T423" i="19"/>
  <c r="R423" i="19"/>
  <c r="P423" i="19"/>
  <c r="BK423" i="19"/>
  <c r="J423" i="19"/>
  <c r="BF423" i="19" s="1"/>
  <c r="BI422" i="19"/>
  <c r="BH422" i="19"/>
  <c r="BG422" i="19"/>
  <c r="BE422" i="19"/>
  <c r="T422" i="19"/>
  <c r="R422" i="19"/>
  <c r="P422" i="19"/>
  <c r="BK422" i="19"/>
  <c r="J422" i="19"/>
  <c r="BF422" i="19" s="1"/>
  <c r="BI421" i="19"/>
  <c r="BH421" i="19"/>
  <c r="BG421" i="19"/>
  <c r="BE421" i="19"/>
  <c r="T421" i="19"/>
  <c r="R421" i="19"/>
  <c r="P421" i="19"/>
  <c r="BK421" i="19"/>
  <c r="J421" i="19"/>
  <c r="BF421" i="19" s="1"/>
  <c r="BI420" i="19"/>
  <c r="BH420" i="19"/>
  <c r="BG420" i="19"/>
  <c r="BE420" i="19"/>
  <c r="T420" i="19"/>
  <c r="R420" i="19"/>
  <c r="P420" i="19"/>
  <c r="BK420" i="19"/>
  <c r="J420" i="19"/>
  <c r="BF420" i="19" s="1"/>
  <c r="BI419" i="19"/>
  <c r="BH419" i="19"/>
  <c r="BG419" i="19"/>
  <c r="BE419" i="19"/>
  <c r="T419" i="19"/>
  <c r="R419" i="19"/>
  <c r="P419" i="19"/>
  <c r="BK419" i="19"/>
  <c r="J419" i="19"/>
  <c r="BF419" i="19" s="1"/>
  <c r="BI418" i="19"/>
  <c r="BH418" i="19"/>
  <c r="BG418" i="19"/>
  <c r="BE418" i="19"/>
  <c r="T418" i="19"/>
  <c r="R418" i="19"/>
  <c r="P418" i="19"/>
  <c r="BK418" i="19"/>
  <c r="J418" i="19"/>
  <c r="BF418" i="19" s="1"/>
  <c r="BI417" i="19"/>
  <c r="BH417" i="19"/>
  <c r="BG417" i="19"/>
  <c r="BE417" i="19"/>
  <c r="T417" i="19"/>
  <c r="R417" i="19"/>
  <c r="P417" i="19"/>
  <c r="BK417" i="19"/>
  <c r="J417" i="19"/>
  <c r="BF417" i="19" s="1"/>
  <c r="BI416" i="19"/>
  <c r="BH416" i="19"/>
  <c r="BG416" i="19"/>
  <c r="BE416" i="19"/>
  <c r="T416" i="19"/>
  <c r="R416" i="19"/>
  <c r="P416" i="19"/>
  <c r="BK416" i="19"/>
  <c r="J416" i="19"/>
  <c r="BF416" i="19" s="1"/>
  <c r="BI415" i="19"/>
  <c r="BH415" i="19"/>
  <c r="BG415" i="19"/>
  <c r="BE415" i="19"/>
  <c r="T415" i="19"/>
  <c r="R415" i="19"/>
  <c r="P415" i="19"/>
  <c r="BK415" i="19"/>
  <c r="J415" i="19"/>
  <c r="BF415" i="19" s="1"/>
  <c r="BI414" i="19"/>
  <c r="BH414" i="19"/>
  <c r="BG414" i="19"/>
  <c r="BE414" i="19"/>
  <c r="T414" i="19"/>
  <c r="R414" i="19"/>
  <c r="P414" i="19"/>
  <c r="BK414" i="19"/>
  <c r="J414" i="19"/>
  <c r="BF414" i="19" s="1"/>
  <c r="BI400" i="19"/>
  <c r="BH400" i="19"/>
  <c r="BG400" i="19"/>
  <c r="BE400" i="19"/>
  <c r="T400" i="19"/>
  <c r="R400" i="19"/>
  <c r="P400" i="19"/>
  <c r="BK400" i="19"/>
  <c r="J400" i="19"/>
  <c r="BF400" i="19" s="1"/>
  <c r="BI399" i="19"/>
  <c r="BH399" i="19"/>
  <c r="BG399" i="19"/>
  <c r="BE399" i="19"/>
  <c r="T399" i="19"/>
  <c r="R399" i="19"/>
  <c r="P399" i="19"/>
  <c r="BK399" i="19"/>
  <c r="J399" i="19"/>
  <c r="BF399" i="19" s="1"/>
  <c r="BI396" i="19"/>
  <c r="BH396" i="19"/>
  <c r="BG396" i="19"/>
  <c r="BE396" i="19"/>
  <c r="T396" i="19"/>
  <c r="R396" i="19"/>
  <c r="P396" i="19"/>
  <c r="BK396" i="19"/>
  <c r="J396" i="19"/>
  <c r="BF396" i="19" s="1"/>
  <c r="BI395" i="19"/>
  <c r="BH395" i="19"/>
  <c r="BG395" i="19"/>
  <c r="BE395" i="19"/>
  <c r="T395" i="19"/>
  <c r="R395" i="19"/>
  <c r="P395" i="19"/>
  <c r="BK395" i="19"/>
  <c r="J395" i="19"/>
  <c r="BF395" i="19" s="1"/>
  <c r="BI394" i="19"/>
  <c r="BH394" i="19"/>
  <c r="BG394" i="19"/>
  <c r="BE394" i="19"/>
  <c r="T394" i="19"/>
  <c r="R394" i="19"/>
  <c r="P394" i="19"/>
  <c r="BK394" i="19"/>
  <c r="J394" i="19"/>
  <c r="BF394" i="19" s="1"/>
  <c r="BI393" i="19"/>
  <c r="BH393" i="19"/>
  <c r="BG393" i="19"/>
  <c r="BE393" i="19"/>
  <c r="T393" i="19"/>
  <c r="R393" i="19"/>
  <c r="P393" i="19"/>
  <c r="BK393" i="19"/>
  <c r="J393" i="19"/>
  <c r="BF393" i="19" s="1"/>
  <c r="BI392" i="19"/>
  <c r="BH392" i="19"/>
  <c r="BG392" i="19"/>
  <c r="BE392" i="19"/>
  <c r="T392" i="19"/>
  <c r="R392" i="19"/>
  <c r="P392" i="19"/>
  <c r="BK392" i="19"/>
  <c r="J392" i="19"/>
  <c r="BF392" i="19" s="1"/>
  <c r="BI391" i="19"/>
  <c r="BH391" i="19"/>
  <c r="BG391" i="19"/>
  <c r="BE391" i="19"/>
  <c r="T391" i="19"/>
  <c r="R391" i="19"/>
  <c r="P391" i="19"/>
  <c r="BK391" i="19"/>
  <c r="J391" i="19"/>
  <c r="BF391" i="19" s="1"/>
  <c r="BI390" i="19"/>
  <c r="BH390" i="19"/>
  <c r="BG390" i="19"/>
  <c r="BE390" i="19"/>
  <c r="T390" i="19"/>
  <c r="R390" i="19"/>
  <c r="P390" i="19"/>
  <c r="BK390" i="19"/>
  <c r="J390" i="19"/>
  <c r="BF390" i="19" s="1"/>
  <c r="BI389" i="19"/>
  <c r="BH389" i="19"/>
  <c r="BG389" i="19"/>
  <c r="BE389" i="19"/>
  <c r="T389" i="19"/>
  <c r="R389" i="19"/>
  <c r="P389" i="19"/>
  <c r="BK389" i="19"/>
  <c r="J389" i="19"/>
  <c r="BF389" i="19" s="1"/>
  <c r="BI388" i="19"/>
  <c r="BH388" i="19"/>
  <c r="BG388" i="19"/>
  <c r="BE388" i="19"/>
  <c r="T388" i="19"/>
  <c r="R388" i="19"/>
  <c r="P388" i="19"/>
  <c r="BK388" i="19"/>
  <c r="J388" i="19"/>
  <c r="BF388" i="19" s="1"/>
  <c r="BI384" i="19"/>
  <c r="BH384" i="19"/>
  <c r="BG384" i="19"/>
  <c r="BE384" i="19"/>
  <c r="T384" i="19"/>
  <c r="R384" i="19"/>
  <c r="P384" i="19"/>
  <c r="BK384" i="19"/>
  <c r="J384" i="19"/>
  <c r="BF384" i="19" s="1"/>
  <c r="BI383" i="19"/>
  <c r="BH383" i="19"/>
  <c r="BG383" i="19"/>
  <c r="BE383" i="19"/>
  <c r="T383" i="19"/>
  <c r="R383" i="19"/>
  <c r="P383" i="19"/>
  <c r="BK383" i="19"/>
  <c r="J383" i="19"/>
  <c r="BF383" i="19" s="1"/>
  <c r="BI382" i="19"/>
  <c r="BH382" i="19"/>
  <c r="BG382" i="19"/>
  <c r="BE382" i="19"/>
  <c r="T382" i="19"/>
  <c r="R382" i="19"/>
  <c r="P382" i="19"/>
  <c r="BK382" i="19"/>
  <c r="J382" i="19"/>
  <c r="BF382" i="19" s="1"/>
  <c r="BI377" i="19"/>
  <c r="BH377" i="19"/>
  <c r="BG377" i="19"/>
  <c r="BE377" i="19"/>
  <c r="T377" i="19"/>
  <c r="R377" i="19"/>
  <c r="P377" i="19"/>
  <c r="BK377" i="19"/>
  <c r="J377" i="19"/>
  <c r="BF377" i="19" s="1"/>
  <c r="BI375" i="19"/>
  <c r="BH375" i="19"/>
  <c r="BG375" i="19"/>
  <c r="BE375" i="19"/>
  <c r="T375" i="19"/>
  <c r="R375" i="19"/>
  <c r="P375" i="19"/>
  <c r="BK375" i="19"/>
  <c r="J375" i="19"/>
  <c r="BF375" i="19" s="1"/>
  <c r="BI374" i="19"/>
  <c r="BH374" i="19"/>
  <c r="BG374" i="19"/>
  <c r="BE374" i="19"/>
  <c r="T374" i="19"/>
  <c r="R374" i="19"/>
  <c r="P374" i="19"/>
  <c r="BK374" i="19"/>
  <c r="J374" i="19"/>
  <c r="BF374" i="19" s="1"/>
  <c r="BI373" i="19"/>
  <c r="BH373" i="19"/>
  <c r="BG373" i="19"/>
  <c r="BE373" i="19"/>
  <c r="T373" i="19"/>
  <c r="R373" i="19"/>
  <c r="P373" i="19"/>
  <c r="BK373" i="19"/>
  <c r="J373" i="19"/>
  <c r="BF373" i="19" s="1"/>
  <c r="BI372" i="19"/>
  <c r="BH372" i="19"/>
  <c r="BG372" i="19"/>
  <c r="BE372" i="19"/>
  <c r="T372" i="19"/>
  <c r="R372" i="19"/>
  <c r="P372" i="19"/>
  <c r="BK372" i="19"/>
  <c r="J372" i="19"/>
  <c r="BF372" i="19" s="1"/>
  <c r="BI368" i="19"/>
  <c r="BH368" i="19"/>
  <c r="BG368" i="19"/>
  <c r="BE368" i="19"/>
  <c r="T368" i="19"/>
  <c r="R368" i="19"/>
  <c r="P368" i="19"/>
  <c r="BK368" i="19"/>
  <c r="J368" i="19"/>
  <c r="BF368" i="19" s="1"/>
  <c r="BI367" i="19"/>
  <c r="BH367" i="19"/>
  <c r="BG367" i="19"/>
  <c r="BE367" i="19"/>
  <c r="T367" i="19"/>
  <c r="R367" i="19"/>
  <c r="P367" i="19"/>
  <c r="BK367" i="19"/>
  <c r="J367" i="19"/>
  <c r="BF367" i="19" s="1"/>
  <c r="BI366" i="19"/>
  <c r="BH366" i="19"/>
  <c r="BG366" i="19"/>
  <c r="BE366" i="19"/>
  <c r="T366" i="19"/>
  <c r="R366" i="19"/>
  <c r="P366" i="19"/>
  <c r="BK366" i="19"/>
  <c r="J366" i="19"/>
  <c r="BF366" i="19" s="1"/>
  <c r="BI365" i="19"/>
  <c r="BH365" i="19"/>
  <c r="BG365" i="19"/>
  <c r="BE365" i="19"/>
  <c r="T365" i="19"/>
  <c r="R365" i="19"/>
  <c r="P365" i="19"/>
  <c r="BK365" i="19"/>
  <c r="J365" i="19"/>
  <c r="BF365" i="19" s="1"/>
  <c r="BI364" i="19"/>
  <c r="BH364" i="19"/>
  <c r="BG364" i="19"/>
  <c r="BE364" i="19"/>
  <c r="T364" i="19"/>
  <c r="R364" i="19"/>
  <c r="P364" i="19"/>
  <c r="BK364" i="19"/>
  <c r="J364" i="19"/>
  <c r="BF364" i="19" s="1"/>
  <c r="BI363" i="19"/>
  <c r="BH363" i="19"/>
  <c r="BG363" i="19"/>
  <c r="BE363" i="19"/>
  <c r="T363" i="19"/>
  <c r="R363" i="19"/>
  <c r="P363" i="19"/>
  <c r="BK363" i="19"/>
  <c r="J363" i="19"/>
  <c r="BF363" i="19" s="1"/>
  <c r="BI350" i="19"/>
  <c r="BH350" i="19"/>
  <c r="BG350" i="19"/>
  <c r="BE350" i="19"/>
  <c r="T350" i="19"/>
  <c r="R350" i="19"/>
  <c r="P350" i="19"/>
  <c r="BK350" i="19"/>
  <c r="J350" i="19"/>
  <c r="BF350" i="19" s="1"/>
  <c r="BI349" i="19"/>
  <c r="BH349" i="19"/>
  <c r="BG349" i="19"/>
  <c r="BE349" i="19"/>
  <c r="T349" i="19"/>
  <c r="R349" i="19"/>
  <c r="P349" i="19"/>
  <c r="BK349" i="19"/>
  <c r="J349" i="19"/>
  <c r="BF349" i="19" s="1"/>
  <c r="BI348" i="19"/>
  <c r="BH348" i="19"/>
  <c r="BG348" i="19"/>
  <c r="BE348" i="19"/>
  <c r="T348" i="19"/>
  <c r="R348" i="19"/>
  <c r="P348" i="19"/>
  <c r="BK348" i="19"/>
  <c r="J348" i="19"/>
  <c r="BF348" i="19" s="1"/>
  <c r="BI342" i="19"/>
  <c r="BH342" i="19"/>
  <c r="BG342" i="19"/>
  <c r="BE342" i="19"/>
  <c r="T342" i="19"/>
  <c r="R342" i="19"/>
  <c r="P342" i="19"/>
  <c r="BK342" i="19"/>
  <c r="J342" i="19"/>
  <c r="BF342" i="19" s="1"/>
  <c r="BI341" i="19"/>
  <c r="BH341" i="19"/>
  <c r="BG341" i="19"/>
  <c r="BE341" i="19"/>
  <c r="T341" i="19"/>
  <c r="R341" i="19"/>
  <c r="P341" i="19"/>
  <c r="BK341" i="19"/>
  <c r="J341" i="19"/>
  <c r="BF341" i="19" s="1"/>
  <c r="BI340" i="19"/>
  <c r="BH340" i="19"/>
  <c r="BG340" i="19"/>
  <c r="BE340" i="19"/>
  <c r="T340" i="19"/>
  <c r="R340" i="19"/>
  <c r="P340" i="19"/>
  <c r="BK340" i="19"/>
  <c r="J340" i="19"/>
  <c r="BF340" i="19" s="1"/>
  <c r="BI339" i="19"/>
  <c r="BH339" i="19"/>
  <c r="BG339" i="19"/>
  <c r="BE339" i="19"/>
  <c r="T339" i="19"/>
  <c r="R339" i="19"/>
  <c r="P339" i="19"/>
  <c r="BK339" i="19"/>
  <c r="J339" i="19"/>
  <c r="BF339" i="19" s="1"/>
  <c r="BI337" i="19"/>
  <c r="BH337" i="19"/>
  <c r="BG337" i="19"/>
  <c r="BE337" i="19"/>
  <c r="T337" i="19"/>
  <c r="R337" i="19"/>
  <c r="P337" i="19"/>
  <c r="BK337" i="19"/>
  <c r="J337" i="19"/>
  <c r="BF337" i="19" s="1"/>
  <c r="BI336" i="19"/>
  <c r="BH336" i="19"/>
  <c r="BG336" i="19"/>
  <c r="BE336" i="19"/>
  <c r="T336" i="19"/>
  <c r="R336" i="19"/>
  <c r="P336" i="19"/>
  <c r="BK336" i="19"/>
  <c r="J336" i="19"/>
  <c r="BF336" i="19" s="1"/>
  <c r="BI334" i="19"/>
  <c r="BH334" i="19"/>
  <c r="BG334" i="19"/>
  <c r="BE334" i="19"/>
  <c r="T334" i="19"/>
  <c r="R334" i="19"/>
  <c r="P334" i="19"/>
  <c r="BK334" i="19"/>
  <c r="J334" i="19"/>
  <c r="BF334" i="19" s="1"/>
  <c r="BI333" i="19"/>
  <c r="BH333" i="19"/>
  <c r="BG333" i="19"/>
  <c r="BE333" i="19"/>
  <c r="T333" i="19"/>
  <c r="R333" i="19"/>
  <c r="P333" i="19"/>
  <c r="BK333" i="19"/>
  <c r="J333" i="19"/>
  <c r="BF333" i="19" s="1"/>
  <c r="BI332" i="19"/>
  <c r="BH332" i="19"/>
  <c r="BG332" i="19"/>
  <c r="BE332" i="19"/>
  <c r="T332" i="19"/>
  <c r="R332" i="19"/>
  <c r="P332" i="19"/>
  <c r="BK332" i="19"/>
  <c r="J332" i="19"/>
  <c r="BF332" i="19" s="1"/>
  <c r="BI331" i="19"/>
  <c r="BH331" i="19"/>
  <c r="BG331" i="19"/>
  <c r="BE331" i="19"/>
  <c r="T331" i="19"/>
  <c r="R331" i="19"/>
  <c r="P331" i="19"/>
  <c r="BK331" i="19"/>
  <c r="J331" i="19"/>
  <c r="BF331" i="19" s="1"/>
  <c r="BI330" i="19"/>
  <c r="BH330" i="19"/>
  <c r="BG330" i="19"/>
  <c r="BE330" i="19"/>
  <c r="T330" i="19"/>
  <c r="R330" i="19"/>
  <c r="P330" i="19"/>
  <c r="BK330" i="19"/>
  <c r="J330" i="19"/>
  <c r="BF330" i="19" s="1"/>
  <c r="BI329" i="19"/>
  <c r="BH329" i="19"/>
  <c r="BG329" i="19"/>
  <c r="BE329" i="19"/>
  <c r="T329" i="19"/>
  <c r="R329" i="19"/>
  <c r="P329" i="19"/>
  <c r="BK329" i="19"/>
  <c r="J329" i="19"/>
  <c r="BF329" i="19" s="1"/>
  <c r="J127" i="19"/>
  <c r="BI326" i="19"/>
  <c r="BH326" i="19"/>
  <c r="BG326" i="19"/>
  <c r="BE326" i="19"/>
  <c r="T326" i="19"/>
  <c r="R326" i="19"/>
  <c r="P326" i="19"/>
  <c r="BK326" i="19"/>
  <c r="J326" i="19"/>
  <c r="BF326" i="19" s="1"/>
  <c r="BI325" i="19"/>
  <c r="BH325" i="19"/>
  <c r="BG325" i="19"/>
  <c r="BE325" i="19"/>
  <c r="T325" i="19"/>
  <c r="R325" i="19"/>
  <c r="P325" i="19"/>
  <c r="BK325" i="19"/>
  <c r="J325" i="19"/>
  <c r="BF325" i="19" s="1"/>
  <c r="BI324" i="19"/>
  <c r="BH324" i="19"/>
  <c r="BG324" i="19"/>
  <c r="BE324" i="19"/>
  <c r="T324" i="19"/>
  <c r="R324" i="19"/>
  <c r="P324" i="19"/>
  <c r="BK324" i="19"/>
  <c r="J324" i="19"/>
  <c r="BF324" i="19" s="1"/>
  <c r="BI322" i="19"/>
  <c r="BH322" i="19"/>
  <c r="BG322" i="19"/>
  <c r="BE322" i="19"/>
  <c r="T322" i="19"/>
  <c r="R322" i="19"/>
  <c r="P322" i="19"/>
  <c r="BK322" i="19"/>
  <c r="J322" i="19"/>
  <c r="BF322" i="19" s="1"/>
  <c r="BI321" i="19"/>
  <c r="BH321" i="19"/>
  <c r="BG321" i="19"/>
  <c r="BE321" i="19"/>
  <c r="T321" i="19"/>
  <c r="R321" i="19"/>
  <c r="P321" i="19"/>
  <c r="BK321" i="19"/>
  <c r="J321" i="19"/>
  <c r="BF321" i="19" s="1"/>
  <c r="BI320" i="19"/>
  <c r="BH320" i="19"/>
  <c r="BG320" i="19"/>
  <c r="BE320" i="19"/>
  <c r="T320" i="19"/>
  <c r="R320" i="19"/>
  <c r="P320" i="19"/>
  <c r="BK320" i="19"/>
  <c r="J320" i="19"/>
  <c r="BF320" i="19" s="1"/>
  <c r="BI316" i="19"/>
  <c r="BH316" i="19"/>
  <c r="BG316" i="19"/>
  <c r="BE316" i="19"/>
  <c r="T316" i="19"/>
  <c r="R316" i="19"/>
  <c r="P316" i="19"/>
  <c r="BK316" i="19"/>
  <c r="J316" i="19"/>
  <c r="BF316" i="19" s="1"/>
  <c r="BI315" i="19"/>
  <c r="BH315" i="19"/>
  <c r="BG315" i="19"/>
  <c r="BE315" i="19"/>
  <c r="T315" i="19"/>
  <c r="R315" i="19"/>
  <c r="P315" i="19"/>
  <c r="BK315" i="19"/>
  <c r="J315" i="19"/>
  <c r="BF315" i="19" s="1"/>
  <c r="BI314" i="19"/>
  <c r="BH314" i="19"/>
  <c r="BG314" i="19"/>
  <c r="BE314" i="19"/>
  <c r="T314" i="19"/>
  <c r="R314" i="19"/>
  <c r="P314" i="19"/>
  <c r="BK314" i="19"/>
  <c r="J314" i="19"/>
  <c r="BF314" i="19" s="1"/>
  <c r="BI313" i="19"/>
  <c r="BH313" i="19"/>
  <c r="BG313" i="19"/>
  <c r="BE313" i="19"/>
  <c r="T313" i="19"/>
  <c r="R313" i="19"/>
  <c r="P313" i="19"/>
  <c r="BK313" i="19"/>
  <c r="J313" i="19"/>
  <c r="BF313" i="19" s="1"/>
  <c r="BI312" i="19"/>
  <c r="BH312" i="19"/>
  <c r="BG312" i="19"/>
  <c r="BE312" i="19"/>
  <c r="T312" i="19"/>
  <c r="R312" i="19"/>
  <c r="P312" i="19"/>
  <c r="BK312" i="19"/>
  <c r="J312" i="19"/>
  <c r="BF312" i="19" s="1"/>
  <c r="BI311" i="19"/>
  <c r="BH311" i="19"/>
  <c r="BG311" i="19"/>
  <c r="BE311" i="19"/>
  <c r="T311" i="19"/>
  <c r="R311" i="19"/>
  <c r="P311" i="19"/>
  <c r="BK311" i="19"/>
  <c r="J311" i="19"/>
  <c r="BF311" i="19" s="1"/>
  <c r="BI309" i="19"/>
  <c r="BH309" i="19"/>
  <c r="BG309" i="19"/>
  <c r="BE309" i="19"/>
  <c r="T309" i="19"/>
  <c r="R309" i="19"/>
  <c r="P309" i="19"/>
  <c r="BK309" i="19"/>
  <c r="J309" i="19"/>
  <c r="BF309" i="19" s="1"/>
  <c r="BI308" i="19"/>
  <c r="BH308" i="19"/>
  <c r="BG308" i="19"/>
  <c r="BE308" i="19"/>
  <c r="T308" i="19"/>
  <c r="R308" i="19"/>
  <c r="P308" i="19"/>
  <c r="BK308" i="19"/>
  <c r="J308" i="19"/>
  <c r="BF308" i="19" s="1"/>
  <c r="BI306" i="19"/>
  <c r="BH306" i="19"/>
  <c r="BG306" i="19"/>
  <c r="BE306" i="19"/>
  <c r="T306" i="19"/>
  <c r="R306" i="19"/>
  <c r="P306" i="19"/>
  <c r="BK306" i="19"/>
  <c r="J306" i="19"/>
  <c r="BF306" i="19" s="1"/>
  <c r="BI304" i="19"/>
  <c r="BH304" i="19"/>
  <c r="BG304" i="19"/>
  <c r="BE304" i="19"/>
  <c r="T304" i="19"/>
  <c r="R304" i="19"/>
  <c r="P304" i="19"/>
  <c r="BK304" i="19"/>
  <c r="J304" i="19"/>
  <c r="BF304" i="19" s="1"/>
  <c r="BI303" i="19"/>
  <c r="BH303" i="19"/>
  <c r="BG303" i="19"/>
  <c r="BE303" i="19"/>
  <c r="T303" i="19"/>
  <c r="R303" i="19"/>
  <c r="P303" i="19"/>
  <c r="BK303" i="19"/>
  <c r="J303" i="19"/>
  <c r="BF303" i="19" s="1"/>
  <c r="BI302" i="19"/>
  <c r="BH302" i="19"/>
  <c r="BG302" i="19"/>
  <c r="BE302" i="19"/>
  <c r="T302" i="19"/>
  <c r="R302" i="19"/>
  <c r="P302" i="19"/>
  <c r="BK302" i="19"/>
  <c r="J302" i="19"/>
  <c r="BF302" i="19" s="1"/>
  <c r="BI301" i="19"/>
  <c r="BH301" i="19"/>
  <c r="BG301" i="19"/>
  <c r="BE301" i="19"/>
  <c r="T301" i="19"/>
  <c r="R301" i="19"/>
  <c r="P301" i="19"/>
  <c r="BK301" i="19"/>
  <c r="J301" i="19"/>
  <c r="BF301" i="19" s="1"/>
  <c r="BI300" i="19"/>
  <c r="BH300" i="19"/>
  <c r="BG300" i="19"/>
  <c r="BE300" i="19"/>
  <c r="T300" i="19"/>
  <c r="R300" i="19"/>
  <c r="P300" i="19"/>
  <c r="BK300" i="19"/>
  <c r="J300" i="19"/>
  <c r="BF300" i="19" s="1"/>
  <c r="BI299" i="19"/>
  <c r="BH299" i="19"/>
  <c r="BG299" i="19"/>
  <c r="BE299" i="19"/>
  <c r="T299" i="19"/>
  <c r="R299" i="19"/>
  <c r="P299" i="19"/>
  <c r="BK299" i="19"/>
  <c r="J299" i="19"/>
  <c r="BF299" i="19" s="1"/>
  <c r="BI298" i="19"/>
  <c r="BH298" i="19"/>
  <c r="BG298" i="19"/>
  <c r="BE298" i="19"/>
  <c r="T298" i="19"/>
  <c r="R298" i="19"/>
  <c r="P298" i="19"/>
  <c r="BK298" i="19"/>
  <c r="J298" i="19"/>
  <c r="BF298" i="19" s="1"/>
  <c r="BI297" i="19"/>
  <c r="BH297" i="19"/>
  <c r="BG297" i="19"/>
  <c r="BE297" i="19"/>
  <c r="T297" i="19"/>
  <c r="R297" i="19"/>
  <c r="P297" i="19"/>
  <c r="BK297" i="19"/>
  <c r="J297" i="19"/>
  <c r="BF297" i="19" s="1"/>
  <c r="BI296" i="19"/>
  <c r="BH296" i="19"/>
  <c r="BG296" i="19"/>
  <c r="BE296" i="19"/>
  <c r="T296" i="19"/>
  <c r="R296" i="19"/>
  <c r="P296" i="19"/>
  <c r="BK296" i="19"/>
  <c r="J296" i="19"/>
  <c r="BF296" i="19" s="1"/>
  <c r="BI295" i="19"/>
  <c r="BH295" i="19"/>
  <c r="BG295" i="19"/>
  <c r="BE295" i="19"/>
  <c r="T295" i="19"/>
  <c r="R295" i="19"/>
  <c r="P295" i="19"/>
  <c r="BK295" i="19"/>
  <c r="J295" i="19"/>
  <c r="BF295" i="19" s="1"/>
  <c r="BI294" i="19"/>
  <c r="BH294" i="19"/>
  <c r="BG294" i="19"/>
  <c r="BE294" i="19"/>
  <c r="T294" i="19"/>
  <c r="R294" i="19"/>
  <c r="P294" i="19"/>
  <c r="BK294" i="19"/>
  <c r="J294" i="19"/>
  <c r="BF294" i="19" s="1"/>
  <c r="BI292" i="19"/>
  <c r="BH292" i="19"/>
  <c r="BG292" i="19"/>
  <c r="BE292" i="19"/>
  <c r="T292" i="19"/>
  <c r="R292" i="19"/>
  <c r="P292" i="19"/>
  <c r="BK292" i="19"/>
  <c r="J292" i="19"/>
  <c r="BF292" i="19" s="1"/>
  <c r="BI290" i="19"/>
  <c r="BH290" i="19"/>
  <c r="BG290" i="19"/>
  <c r="BE290" i="19"/>
  <c r="T290" i="19"/>
  <c r="R290" i="19"/>
  <c r="P290" i="19"/>
  <c r="BK290" i="19"/>
  <c r="J290" i="19"/>
  <c r="BF290" i="19" s="1"/>
  <c r="BI289" i="19"/>
  <c r="BH289" i="19"/>
  <c r="BG289" i="19"/>
  <c r="BE289" i="19"/>
  <c r="T289" i="19"/>
  <c r="R289" i="19"/>
  <c r="P289" i="19"/>
  <c r="BK289" i="19"/>
  <c r="J289" i="19"/>
  <c r="BF289" i="19" s="1"/>
  <c r="BI288" i="19"/>
  <c r="BH288" i="19"/>
  <c r="BG288" i="19"/>
  <c r="BE288" i="19"/>
  <c r="T288" i="19"/>
  <c r="R288" i="19"/>
  <c r="P288" i="19"/>
  <c r="BK288" i="19"/>
  <c r="J288" i="19"/>
  <c r="BF288" i="19" s="1"/>
  <c r="BI284" i="19"/>
  <c r="BH284" i="19"/>
  <c r="BG284" i="19"/>
  <c r="BE284" i="19"/>
  <c r="T284" i="19"/>
  <c r="R284" i="19"/>
  <c r="P284" i="19"/>
  <c r="BK284" i="19"/>
  <c r="J284" i="19"/>
  <c r="BF284" i="19" s="1"/>
  <c r="BI282" i="19"/>
  <c r="BH282" i="19"/>
  <c r="BG282" i="19"/>
  <c r="BE282" i="19"/>
  <c r="T282" i="19"/>
  <c r="R282" i="19"/>
  <c r="P282" i="19"/>
  <c r="BK282" i="19"/>
  <c r="J282" i="19"/>
  <c r="BF282" i="19" s="1"/>
  <c r="BI281" i="19"/>
  <c r="BH281" i="19"/>
  <c r="BG281" i="19"/>
  <c r="BE281" i="19"/>
  <c r="T281" i="19"/>
  <c r="R281" i="19"/>
  <c r="P281" i="19"/>
  <c r="BK281" i="19"/>
  <c r="J281" i="19"/>
  <c r="BF281" i="19" s="1"/>
  <c r="BI280" i="19"/>
  <c r="BH280" i="19"/>
  <c r="BG280" i="19"/>
  <c r="BE280" i="19"/>
  <c r="T280" i="19"/>
  <c r="R280" i="19"/>
  <c r="P280" i="19"/>
  <c r="BK280" i="19"/>
  <c r="J280" i="19"/>
  <c r="BF280" i="19" s="1"/>
  <c r="BI279" i="19"/>
  <c r="BH279" i="19"/>
  <c r="BG279" i="19"/>
  <c r="BE279" i="19"/>
  <c r="T279" i="19"/>
  <c r="R279" i="19"/>
  <c r="P279" i="19"/>
  <c r="BK279" i="19"/>
  <c r="J279" i="19"/>
  <c r="BF279" i="19" s="1"/>
  <c r="BI278" i="19"/>
  <c r="BH278" i="19"/>
  <c r="BG278" i="19"/>
  <c r="BE278" i="19"/>
  <c r="T278" i="19"/>
  <c r="R278" i="19"/>
  <c r="P278" i="19"/>
  <c r="BK278" i="19"/>
  <c r="J278" i="19"/>
  <c r="BF278" i="19" s="1"/>
  <c r="BI277" i="19"/>
  <c r="BH277" i="19"/>
  <c r="BG277" i="19"/>
  <c r="BE277" i="19"/>
  <c r="T277" i="19"/>
  <c r="R277" i="19"/>
  <c r="P277" i="19"/>
  <c r="BK277" i="19"/>
  <c r="J277" i="19"/>
  <c r="BF277" i="19" s="1"/>
  <c r="BI276" i="19"/>
  <c r="BH276" i="19"/>
  <c r="BG276" i="19"/>
  <c r="BE276" i="19"/>
  <c r="T276" i="19"/>
  <c r="R276" i="19"/>
  <c r="P276" i="19"/>
  <c r="BK276" i="19"/>
  <c r="J276" i="19"/>
  <c r="BF276" i="19" s="1"/>
  <c r="BI274" i="19"/>
  <c r="BH274" i="19"/>
  <c r="BG274" i="19"/>
  <c r="BE274" i="19"/>
  <c r="T274" i="19"/>
  <c r="R274" i="19"/>
  <c r="P274" i="19"/>
  <c r="BK274" i="19"/>
  <c r="J274" i="19"/>
  <c r="BF274" i="19" s="1"/>
  <c r="BI273" i="19"/>
  <c r="BH273" i="19"/>
  <c r="BG273" i="19"/>
  <c r="BE273" i="19"/>
  <c r="T273" i="19"/>
  <c r="R273" i="19"/>
  <c r="P273" i="19"/>
  <c r="BK273" i="19"/>
  <c r="J273" i="19"/>
  <c r="BF273" i="19" s="1"/>
  <c r="BI271" i="19"/>
  <c r="BH271" i="19"/>
  <c r="BG271" i="19"/>
  <c r="BE271" i="19"/>
  <c r="T271" i="19"/>
  <c r="R271" i="19"/>
  <c r="P271" i="19"/>
  <c r="BK271" i="19"/>
  <c r="J271" i="19"/>
  <c r="BF271" i="19" s="1"/>
  <c r="BI270" i="19"/>
  <c r="BH270" i="19"/>
  <c r="BG270" i="19"/>
  <c r="BE270" i="19"/>
  <c r="T270" i="19"/>
  <c r="R270" i="19"/>
  <c r="P270" i="19"/>
  <c r="BK270" i="19"/>
  <c r="J270" i="19"/>
  <c r="BF270" i="19" s="1"/>
  <c r="BI267" i="19"/>
  <c r="BH267" i="19"/>
  <c r="BG267" i="19"/>
  <c r="BE267" i="19"/>
  <c r="T267" i="19"/>
  <c r="R267" i="19"/>
  <c r="P267" i="19"/>
  <c r="BK267" i="19"/>
  <c r="J267" i="19"/>
  <c r="BF267" i="19" s="1"/>
  <c r="BI265" i="19"/>
  <c r="BH265" i="19"/>
  <c r="BG265" i="19"/>
  <c r="BE265" i="19"/>
  <c r="T265" i="19"/>
  <c r="R265" i="19"/>
  <c r="P265" i="19"/>
  <c r="BK265" i="19"/>
  <c r="J265" i="19"/>
  <c r="BF265" i="19" s="1"/>
  <c r="BI264" i="19"/>
  <c r="BH264" i="19"/>
  <c r="BG264" i="19"/>
  <c r="BE264" i="19"/>
  <c r="T264" i="19"/>
  <c r="R264" i="19"/>
  <c r="P264" i="19"/>
  <c r="BK264" i="19"/>
  <c r="J264" i="19"/>
  <c r="BF264" i="19" s="1"/>
  <c r="BI262" i="19"/>
  <c r="BH262" i="19"/>
  <c r="BG262" i="19"/>
  <c r="BE262" i="19"/>
  <c r="T262" i="19"/>
  <c r="R262" i="19"/>
  <c r="P262" i="19"/>
  <c r="BK262" i="19"/>
  <c r="J262" i="19"/>
  <c r="BF262" i="19" s="1"/>
  <c r="BI259" i="19"/>
  <c r="BH259" i="19"/>
  <c r="BG259" i="19"/>
  <c r="BE259" i="19"/>
  <c r="T259" i="19"/>
  <c r="R259" i="19"/>
  <c r="P259" i="19"/>
  <c r="BK259" i="19"/>
  <c r="J259" i="19"/>
  <c r="BF259" i="19" s="1"/>
  <c r="BI258" i="19"/>
  <c r="BH258" i="19"/>
  <c r="BG258" i="19"/>
  <c r="BE258" i="19"/>
  <c r="T258" i="19"/>
  <c r="R258" i="19"/>
  <c r="P258" i="19"/>
  <c r="BK258" i="19"/>
  <c r="J258" i="19"/>
  <c r="BF258" i="19" s="1"/>
  <c r="BI257" i="19"/>
  <c r="BH257" i="19"/>
  <c r="BG257" i="19"/>
  <c r="BE257" i="19"/>
  <c r="T257" i="19"/>
  <c r="R257" i="19"/>
  <c r="P257" i="19"/>
  <c r="BK257" i="19"/>
  <c r="J257" i="19"/>
  <c r="BF257" i="19" s="1"/>
  <c r="BI255" i="19"/>
  <c r="BH255" i="19"/>
  <c r="BG255" i="19"/>
  <c r="BE255" i="19"/>
  <c r="T255" i="19"/>
  <c r="R255" i="19"/>
  <c r="P255" i="19"/>
  <c r="BK255" i="19"/>
  <c r="J255" i="19"/>
  <c r="BF255" i="19" s="1"/>
  <c r="BI253" i="19"/>
  <c r="BH253" i="19"/>
  <c r="BG253" i="19"/>
  <c r="BE253" i="19"/>
  <c r="T253" i="19"/>
  <c r="R253" i="19"/>
  <c r="P253" i="19"/>
  <c r="BK253" i="19"/>
  <c r="J253" i="19"/>
  <c r="BF253" i="19" s="1"/>
  <c r="BI251" i="19"/>
  <c r="BH251" i="19"/>
  <c r="BG251" i="19"/>
  <c r="BE251" i="19"/>
  <c r="T251" i="19"/>
  <c r="R251" i="19"/>
  <c r="P251" i="19"/>
  <c r="BK251" i="19"/>
  <c r="J251" i="19"/>
  <c r="BF251" i="19" s="1"/>
  <c r="BI248" i="19"/>
  <c r="BH248" i="19"/>
  <c r="BG248" i="19"/>
  <c r="BE248" i="19"/>
  <c r="T248" i="19"/>
  <c r="R248" i="19"/>
  <c r="P248" i="19"/>
  <c r="BK248" i="19"/>
  <c r="J248" i="19"/>
  <c r="BF248" i="19" s="1"/>
  <c r="BI247" i="19"/>
  <c r="BH247" i="19"/>
  <c r="BG247" i="19"/>
  <c r="BE247" i="19"/>
  <c r="T247" i="19"/>
  <c r="R247" i="19"/>
  <c r="P247" i="19"/>
  <c r="BK247" i="19"/>
  <c r="J247" i="19"/>
  <c r="BF247" i="19" s="1"/>
  <c r="BI246" i="19"/>
  <c r="BH246" i="19"/>
  <c r="BG246" i="19"/>
  <c r="BE246" i="19"/>
  <c r="T246" i="19"/>
  <c r="R246" i="19"/>
  <c r="P246" i="19"/>
  <c r="BK246" i="19"/>
  <c r="J246" i="19"/>
  <c r="BF246" i="19" s="1"/>
  <c r="BI245" i="19"/>
  <c r="BH245" i="19"/>
  <c r="BG245" i="19"/>
  <c r="BE245" i="19"/>
  <c r="T245" i="19"/>
  <c r="R245" i="19"/>
  <c r="P245" i="19"/>
  <c r="BK245" i="19"/>
  <c r="J245" i="19"/>
  <c r="BF245" i="19" s="1"/>
  <c r="BI244" i="19"/>
  <c r="BH244" i="19"/>
  <c r="BG244" i="19"/>
  <c r="BE244" i="19"/>
  <c r="T244" i="19"/>
  <c r="R244" i="19"/>
  <c r="P244" i="19"/>
  <c r="BK244" i="19"/>
  <c r="J244" i="19"/>
  <c r="BF244" i="19" s="1"/>
  <c r="BI243" i="19"/>
  <c r="BH243" i="19"/>
  <c r="BG243" i="19"/>
  <c r="BE243" i="19"/>
  <c r="T243" i="19"/>
  <c r="R243" i="19"/>
  <c r="P243" i="19"/>
  <c r="BK243" i="19"/>
  <c r="J243" i="19"/>
  <c r="BF243" i="19" s="1"/>
  <c r="BI241" i="19"/>
  <c r="BH241" i="19"/>
  <c r="BG241" i="19"/>
  <c r="BE241" i="19"/>
  <c r="T241" i="19"/>
  <c r="R241" i="19"/>
  <c r="P241" i="19"/>
  <c r="BK241" i="19"/>
  <c r="J241" i="19"/>
  <c r="BF241" i="19" s="1"/>
  <c r="BI240" i="19"/>
  <c r="BH240" i="19"/>
  <c r="BG240" i="19"/>
  <c r="BE240" i="19"/>
  <c r="T240" i="19"/>
  <c r="R240" i="19"/>
  <c r="P240" i="19"/>
  <c r="BK240" i="19"/>
  <c r="J240" i="19"/>
  <c r="BF240" i="19" s="1"/>
  <c r="BI238" i="19"/>
  <c r="BH238" i="19"/>
  <c r="BG238" i="19"/>
  <c r="BE238" i="19"/>
  <c r="T238" i="19"/>
  <c r="R238" i="19"/>
  <c r="P238" i="19"/>
  <c r="BK238" i="19"/>
  <c r="J238" i="19"/>
  <c r="BF238" i="19" s="1"/>
  <c r="BI236" i="19"/>
  <c r="BH236" i="19"/>
  <c r="BG236" i="19"/>
  <c r="BE236" i="19"/>
  <c r="T236" i="19"/>
  <c r="R236" i="19"/>
  <c r="P236" i="19"/>
  <c r="BK236" i="19"/>
  <c r="J236" i="19"/>
  <c r="BF236" i="19" s="1"/>
  <c r="BI235" i="19"/>
  <c r="BH235" i="19"/>
  <c r="BG235" i="19"/>
  <c r="BE235" i="19"/>
  <c r="T235" i="19"/>
  <c r="R235" i="19"/>
  <c r="P235" i="19"/>
  <c r="BK235" i="19"/>
  <c r="J235" i="19"/>
  <c r="BF235" i="19" s="1"/>
  <c r="BI234" i="19"/>
  <c r="BH234" i="19"/>
  <c r="BG234" i="19"/>
  <c r="BE234" i="19"/>
  <c r="T234" i="19"/>
  <c r="R234" i="19"/>
  <c r="P234" i="19"/>
  <c r="BK234" i="19"/>
  <c r="J234" i="19"/>
  <c r="BF234" i="19" s="1"/>
  <c r="BI233" i="19"/>
  <c r="BH233" i="19"/>
  <c r="BG233" i="19"/>
  <c r="BE233" i="19"/>
  <c r="T233" i="19"/>
  <c r="R233" i="19"/>
  <c r="P233" i="19"/>
  <c r="BK233" i="19"/>
  <c r="J233" i="19"/>
  <c r="BF233" i="19" s="1"/>
  <c r="BI232" i="19"/>
  <c r="BH232" i="19"/>
  <c r="BG232" i="19"/>
  <c r="BE232" i="19"/>
  <c r="T232" i="19"/>
  <c r="R232" i="19"/>
  <c r="P232" i="19"/>
  <c r="BK232" i="19"/>
  <c r="J232" i="19"/>
  <c r="BF232" i="19" s="1"/>
  <c r="BI231" i="19"/>
  <c r="BH231" i="19"/>
  <c r="BG231" i="19"/>
  <c r="BE231" i="19"/>
  <c r="T231" i="19"/>
  <c r="R231" i="19"/>
  <c r="P231" i="19"/>
  <c r="BK231" i="19"/>
  <c r="J231" i="19"/>
  <c r="BF231" i="19" s="1"/>
  <c r="BI230" i="19"/>
  <c r="BH230" i="19"/>
  <c r="BG230" i="19"/>
  <c r="BE230" i="19"/>
  <c r="T230" i="19"/>
  <c r="R230" i="19"/>
  <c r="P230" i="19"/>
  <c r="BK230" i="19"/>
  <c r="BF230" i="19"/>
  <c r="BI223" i="19"/>
  <c r="BH223" i="19"/>
  <c r="BG223" i="19"/>
  <c r="BE223" i="19"/>
  <c r="T223" i="19"/>
  <c r="R223" i="19"/>
  <c r="P223" i="19"/>
  <c r="BK223" i="19"/>
  <c r="J223" i="19"/>
  <c r="BF223" i="19" s="1"/>
  <c r="BI222" i="19"/>
  <c r="BH222" i="19"/>
  <c r="BG222" i="19"/>
  <c r="BE222" i="19"/>
  <c r="T222" i="19"/>
  <c r="R222" i="19"/>
  <c r="P222" i="19"/>
  <c r="BK222" i="19"/>
  <c r="J222" i="19"/>
  <c r="BF222" i="19" s="1"/>
  <c r="BI221" i="19"/>
  <c r="BH221" i="19"/>
  <c r="BG221" i="19"/>
  <c r="BE221" i="19"/>
  <c r="T221" i="19"/>
  <c r="R221" i="19"/>
  <c r="P221" i="19"/>
  <c r="BK221" i="19"/>
  <c r="J221" i="19"/>
  <c r="BF221" i="19" s="1"/>
  <c r="BI218" i="19"/>
  <c r="BH218" i="19"/>
  <c r="BG218" i="19"/>
  <c r="BE218" i="19"/>
  <c r="T218" i="19"/>
  <c r="R218" i="19"/>
  <c r="P218" i="19"/>
  <c r="BK218" i="19"/>
  <c r="J218" i="19"/>
  <c r="BF218" i="19" s="1"/>
  <c r="BI215" i="19"/>
  <c r="BH215" i="19"/>
  <c r="BG215" i="19"/>
  <c r="BE215" i="19"/>
  <c r="T215" i="19"/>
  <c r="R215" i="19"/>
  <c r="P215" i="19"/>
  <c r="BK215" i="19"/>
  <c r="J215" i="19"/>
  <c r="BF215" i="19" s="1"/>
  <c r="BI213" i="19"/>
  <c r="BH213" i="19"/>
  <c r="BG213" i="19"/>
  <c r="BE213" i="19"/>
  <c r="T213" i="19"/>
  <c r="R213" i="19"/>
  <c r="P213" i="19"/>
  <c r="BK213" i="19"/>
  <c r="J213" i="19"/>
  <c r="BF213" i="19" s="1"/>
  <c r="BI212" i="19"/>
  <c r="BH212" i="19"/>
  <c r="BG212" i="19"/>
  <c r="BE212" i="19"/>
  <c r="T212" i="19"/>
  <c r="R212" i="19"/>
  <c r="P212" i="19"/>
  <c r="BK212" i="19"/>
  <c r="J212" i="19"/>
  <c r="BF212" i="19" s="1"/>
  <c r="BI211" i="19"/>
  <c r="BH211" i="19"/>
  <c r="BG211" i="19"/>
  <c r="BE211" i="19"/>
  <c r="T211" i="19"/>
  <c r="R211" i="19"/>
  <c r="P211" i="19"/>
  <c r="BK211" i="19"/>
  <c r="J211" i="19"/>
  <c r="BF211" i="19" s="1"/>
  <c r="BI210" i="19"/>
  <c r="BH210" i="19"/>
  <c r="BG210" i="19"/>
  <c r="BE210" i="19"/>
  <c r="T210" i="19"/>
  <c r="R210" i="19"/>
  <c r="P210" i="19"/>
  <c r="BK210" i="19"/>
  <c r="J210" i="19"/>
  <c r="BF210" i="19" s="1"/>
  <c r="BI209" i="19"/>
  <c r="BH209" i="19"/>
  <c r="BG209" i="19"/>
  <c r="BE209" i="19"/>
  <c r="T209" i="19"/>
  <c r="R209" i="19"/>
  <c r="P209" i="19"/>
  <c r="BK209" i="19"/>
  <c r="J209" i="19"/>
  <c r="BF209" i="19" s="1"/>
  <c r="BI208" i="19"/>
  <c r="BH208" i="19"/>
  <c r="BG208" i="19"/>
  <c r="BE208" i="19"/>
  <c r="T208" i="19"/>
  <c r="R208" i="19"/>
  <c r="P208" i="19"/>
  <c r="BK208" i="19"/>
  <c r="J208" i="19"/>
  <c r="BF208" i="19" s="1"/>
  <c r="BI205" i="19"/>
  <c r="BH205" i="19"/>
  <c r="BG205" i="19"/>
  <c r="BE205" i="19"/>
  <c r="T205" i="19"/>
  <c r="R205" i="19"/>
  <c r="P205" i="19"/>
  <c r="BK205" i="19"/>
  <c r="J205" i="19"/>
  <c r="BF205" i="19" s="1"/>
  <c r="BI204" i="19"/>
  <c r="BH204" i="19"/>
  <c r="BG204" i="19"/>
  <c r="BE204" i="19"/>
  <c r="T204" i="19"/>
  <c r="R204" i="19"/>
  <c r="P204" i="19"/>
  <c r="BK204" i="19"/>
  <c r="J204" i="19"/>
  <c r="BF204" i="19" s="1"/>
  <c r="BI202" i="19"/>
  <c r="BH202" i="19"/>
  <c r="BG202" i="19"/>
  <c r="BE202" i="19"/>
  <c r="T202" i="19"/>
  <c r="R202" i="19"/>
  <c r="P202" i="19"/>
  <c r="BK202" i="19"/>
  <c r="J202" i="19"/>
  <c r="BF202" i="19" s="1"/>
  <c r="BI201" i="19"/>
  <c r="BH201" i="19"/>
  <c r="BG201" i="19"/>
  <c r="BE201" i="19"/>
  <c r="T201" i="19"/>
  <c r="R201" i="19"/>
  <c r="P201" i="19"/>
  <c r="BK201" i="19"/>
  <c r="J201" i="19"/>
  <c r="BF201" i="19" s="1"/>
  <c r="BI199" i="19"/>
  <c r="BH199" i="19"/>
  <c r="BG199" i="19"/>
  <c r="BE199" i="19"/>
  <c r="T199" i="19"/>
  <c r="R199" i="19"/>
  <c r="P199" i="19"/>
  <c r="BK199" i="19"/>
  <c r="J199" i="19"/>
  <c r="BF199" i="19" s="1"/>
  <c r="BI198" i="19"/>
  <c r="BH198" i="19"/>
  <c r="BG198" i="19"/>
  <c r="BE198" i="19"/>
  <c r="T198" i="19"/>
  <c r="R198" i="19"/>
  <c r="P198" i="19"/>
  <c r="BK198" i="19"/>
  <c r="J198" i="19"/>
  <c r="BF198" i="19" s="1"/>
  <c r="BI196" i="19"/>
  <c r="BH196" i="19"/>
  <c r="BG196" i="19"/>
  <c r="BE196" i="19"/>
  <c r="T196" i="19"/>
  <c r="R196" i="19"/>
  <c r="P196" i="19"/>
  <c r="BK196" i="19"/>
  <c r="J196" i="19"/>
  <c r="BF196" i="19" s="1"/>
  <c r="BI195" i="19"/>
  <c r="BH195" i="19"/>
  <c r="BG195" i="19"/>
  <c r="BE195" i="19"/>
  <c r="T195" i="19"/>
  <c r="R195" i="19"/>
  <c r="P195" i="19"/>
  <c r="BK195" i="19"/>
  <c r="J195" i="19"/>
  <c r="BF195" i="19" s="1"/>
  <c r="BI194" i="19"/>
  <c r="BH194" i="19"/>
  <c r="BG194" i="19"/>
  <c r="BE194" i="19"/>
  <c r="T194" i="19"/>
  <c r="R194" i="19"/>
  <c r="P194" i="19"/>
  <c r="BK194" i="19"/>
  <c r="J194" i="19"/>
  <c r="BF194" i="19" s="1"/>
  <c r="BI193" i="19"/>
  <c r="BH193" i="19"/>
  <c r="BG193" i="19"/>
  <c r="BE193" i="19"/>
  <c r="T193" i="19"/>
  <c r="R193" i="19"/>
  <c r="P193" i="19"/>
  <c r="BK193" i="19"/>
  <c r="J193" i="19"/>
  <c r="BF193" i="19" s="1"/>
  <c r="BI174" i="19"/>
  <c r="BH174" i="19"/>
  <c r="BG174" i="19"/>
  <c r="BE174" i="19"/>
  <c r="T174" i="19"/>
  <c r="R174" i="19"/>
  <c r="P174" i="19"/>
  <c r="BK174" i="19"/>
  <c r="J174" i="19"/>
  <c r="BF174" i="19" s="1"/>
  <c r="BI173" i="19"/>
  <c r="BH173" i="19"/>
  <c r="BG173" i="19"/>
  <c r="BE173" i="19"/>
  <c r="T173" i="19"/>
  <c r="R173" i="19"/>
  <c r="P173" i="19"/>
  <c r="BK173" i="19"/>
  <c r="J173" i="19"/>
  <c r="BF173" i="19" s="1"/>
  <c r="BI172" i="19"/>
  <c r="BH172" i="19"/>
  <c r="BG172" i="19"/>
  <c r="BE172" i="19"/>
  <c r="T172" i="19"/>
  <c r="R172" i="19"/>
  <c r="P172" i="19"/>
  <c r="BK172" i="19"/>
  <c r="J172" i="19"/>
  <c r="BF172" i="19" s="1"/>
  <c r="BI170" i="19"/>
  <c r="BH170" i="19"/>
  <c r="BG170" i="19"/>
  <c r="BE170" i="19"/>
  <c r="T170" i="19"/>
  <c r="R170" i="19"/>
  <c r="P170" i="19"/>
  <c r="BK170" i="19"/>
  <c r="J170" i="19"/>
  <c r="BF170" i="19" s="1"/>
  <c r="BI168" i="19"/>
  <c r="BH168" i="19"/>
  <c r="BG168" i="19"/>
  <c r="BE168" i="19"/>
  <c r="T168" i="19"/>
  <c r="R168" i="19"/>
  <c r="P168" i="19"/>
  <c r="BK168" i="19"/>
  <c r="J168" i="19"/>
  <c r="BF168" i="19" s="1"/>
  <c r="BI166" i="19"/>
  <c r="BH166" i="19"/>
  <c r="BG166" i="19"/>
  <c r="BE166" i="19"/>
  <c r="T166" i="19"/>
  <c r="R166" i="19"/>
  <c r="P166" i="19"/>
  <c r="BK166" i="19"/>
  <c r="J166" i="19"/>
  <c r="BF166" i="19" s="1"/>
  <c r="BI164" i="19"/>
  <c r="BH164" i="19"/>
  <c r="BG164" i="19"/>
  <c r="BE164" i="19"/>
  <c r="T164" i="19"/>
  <c r="R164" i="19"/>
  <c r="P164" i="19"/>
  <c r="BK164" i="19"/>
  <c r="J164" i="19"/>
  <c r="BF164" i="19" s="1"/>
  <c r="F155" i="19"/>
  <c r="F89" i="19"/>
  <c r="J24" i="19"/>
  <c r="E24" i="19"/>
  <c r="J158" i="19" s="1"/>
  <c r="J23" i="19"/>
  <c r="J21" i="19"/>
  <c r="E21" i="19"/>
  <c r="J157" i="19" s="1"/>
  <c r="J20" i="19"/>
  <c r="J18" i="19"/>
  <c r="J15" i="19"/>
  <c r="E15" i="19"/>
  <c r="J14" i="19"/>
  <c r="J89" i="19"/>
  <c r="J37" i="18"/>
  <c r="J36" i="18"/>
  <c r="AY111" i="1" s="1"/>
  <c r="J35" i="18"/>
  <c r="AX111" i="1" s="1"/>
  <c r="BI167" i="18"/>
  <c r="BH167" i="18"/>
  <c r="BG167" i="18"/>
  <c r="BE167" i="18"/>
  <c r="T167" i="18"/>
  <c r="R167" i="18"/>
  <c r="P167" i="18"/>
  <c r="BK167" i="18"/>
  <c r="J167" i="18"/>
  <c r="BF167" i="18" s="1"/>
  <c r="BI166" i="18"/>
  <c r="BH166" i="18"/>
  <c r="BG166" i="18"/>
  <c r="BE166" i="18"/>
  <c r="T166" i="18"/>
  <c r="R166" i="18"/>
  <c r="P166" i="18"/>
  <c r="BK166" i="18"/>
  <c r="J166" i="18"/>
  <c r="BF166" i="18" s="1"/>
  <c r="BI165" i="18"/>
  <c r="BH165" i="18"/>
  <c r="BG165" i="18"/>
  <c r="BE165" i="18"/>
  <c r="T165" i="18"/>
  <c r="R165" i="18"/>
  <c r="P165" i="18"/>
  <c r="BK165" i="18"/>
  <c r="J165" i="18"/>
  <c r="BF165" i="18" s="1"/>
  <c r="BI164" i="18"/>
  <c r="BH164" i="18"/>
  <c r="BG164" i="18"/>
  <c r="BE164" i="18"/>
  <c r="T164" i="18"/>
  <c r="R164" i="18"/>
  <c r="P164" i="18"/>
  <c r="BK164" i="18"/>
  <c r="J164" i="18"/>
  <c r="BF164" i="18" s="1"/>
  <c r="BI163" i="18"/>
  <c r="BH163" i="18"/>
  <c r="BG163" i="18"/>
  <c r="BE163" i="18"/>
  <c r="T163" i="18"/>
  <c r="R163" i="18"/>
  <c r="P163" i="18"/>
  <c r="BK163" i="18"/>
  <c r="J163" i="18"/>
  <c r="BF163" i="18" s="1"/>
  <c r="BI162" i="18"/>
  <c r="BH162" i="18"/>
  <c r="BG162" i="18"/>
  <c r="BE162" i="18"/>
  <c r="T162" i="18"/>
  <c r="R162" i="18"/>
  <c r="P162" i="18"/>
  <c r="BK162" i="18"/>
  <c r="J162" i="18"/>
  <c r="BF162" i="18" s="1"/>
  <c r="BI161" i="18"/>
  <c r="BH161" i="18"/>
  <c r="BG161" i="18"/>
  <c r="BE161" i="18"/>
  <c r="T161" i="18"/>
  <c r="R161" i="18"/>
  <c r="P161" i="18"/>
  <c r="BK161" i="18"/>
  <c r="J161" i="18"/>
  <c r="BF161" i="18" s="1"/>
  <c r="BI160" i="18"/>
  <c r="BH160" i="18"/>
  <c r="BG160" i="18"/>
  <c r="BE160" i="18"/>
  <c r="T160" i="18"/>
  <c r="R160" i="18"/>
  <c r="P160" i="18"/>
  <c r="BK160" i="18"/>
  <c r="J160" i="18"/>
  <c r="BF160" i="18" s="1"/>
  <c r="BI159" i="18"/>
  <c r="BH159" i="18"/>
  <c r="BG159" i="18"/>
  <c r="BE159" i="18"/>
  <c r="T159" i="18"/>
  <c r="R159" i="18"/>
  <c r="P159" i="18"/>
  <c r="BK159" i="18"/>
  <c r="J159" i="18"/>
  <c r="BF159" i="18" s="1"/>
  <c r="BI157" i="18"/>
  <c r="BH157" i="18"/>
  <c r="BG157" i="18"/>
  <c r="BE157" i="18"/>
  <c r="T157" i="18"/>
  <c r="R157" i="18"/>
  <c r="P157" i="18"/>
  <c r="BK157" i="18"/>
  <c r="J157" i="18"/>
  <c r="BF157" i="18" s="1"/>
  <c r="BI156" i="18"/>
  <c r="BH156" i="18"/>
  <c r="BG156" i="18"/>
  <c r="BE156" i="18"/>
  <c r="T156" i="18"/>
  <c r="R156" i="18"/>
  <c r="P156" i="18"/>
  <c r="BK156" i="18"/>
  <c r="J156" i="18"/>
  <c r="BF156" i="18" s="1"/>
  <c r="BI155" i="18"/>
  <c r="BH155" i="18"/>
  <c r="BG155" i="18"/>
  <c r="BE155" i="18"/>
  <c r="T155" i="18"/>
  <c r="R155" i="18"/>
  <c r="P155" i="18"/>
  <c r="BK155" i="18"/>
  <c r="J155" i="18"/>
  <c r="BF155" i="18" s="1"/>
  <c r="BI154" i="18"/>
  <c r="BH154" i="18"/>
  <c r="BG154" i="18"/>
  <c r="BE154" i="18"/>
  <c r="T154" i="18"/>
  <c r="R154" i="18"/>
  <c r="P154" i="18"/>
  <c r="BK154" i="18"/>
  <c r="J154" i="18"/>
  <c r="BF154" i="18" s="1"/>
  <c r="BI153" i="18"/>
  <c r="BH153" i="18"/>
  <c r="BG153" i="18"/>
  <c r="BE153" i="18"/>
  <c r="T153" i="18"/>
  <c r="R153" i="18"/>
  <c r="P153" i="18"/>
  <c r="BK153" i="18"/>
  <c r="J153" i="18"/>
  <c r="BF153" i="18" s="1"/>
  <c r="BI152" i="18"/>
  <c r="BH152" i="18"/>
  <c r="BG152" i="18"/>
  <c r="BE152" i="18"/>
  <c r="T152" i="18"/>
  <c r="R152" i="18"/>
  <c r="P152" i="18"/>
  <c r="BK152" i="18"/>
  <c r="J152" i="18"/>
  <c r="BF152" i="18" s="1"/>
  <c r="BI151" i="18"/>
  <c r="BH151" i="18"/>
  <c r="BG151" i="18"/>
  <c r="BE151" i="18"/>
  <c r="T151" i="18"/>
  <c r="R151" i="18"/>
  <c r="P151" i="18"/>
  <c r="BK151" i="18"/>
  <c r="J151" i="18"/>
  <c r="BF151" i="18" s="1"/>
  <c r="BI150" i="18"/>
  <c r="BH150" i="18"/>
  <c r="BG150" i="18"/>
  <c r="BE150" i="18"/>
  <c r="T150" i="18"/>
  <c r="R150" i="18"/>
  <c r="P150" i="18"/>
  <c r="BK150" i="18"/>
  <c r="J150" i="18"/>
  <c r="BF150" i="18" s="1"/>
  <c r="BI148" i="18"/>
  <c r="BH148" i="18"/>
  <c r="BG148" i="18"/>
  <c r="BE148" i="18"/>
  <c r="T148" i="18"/>
  <c r="R148" i="18"/>
  <c r="P148" i="18"/>
  <c r="BK148" i="18"/>
  <c r="J148" i="18"/>
  <c r="BF148" i="18" s="1"/>
  <c r="BI147" i="18"/>
  <c r="BH147" i="18"/>
  <c r="BG147" i="18"/>
  <c r="BE147" i="18"/>
  <c r="T147" i="18"/>
  <c r="R147" i="18"/>
  <c r="P147" i="18"/>
  <c r="BK147" i="18"/>
  <c r="J147" i="18"/>
  <c r="BF147" i="18" s="1"/>
  <c r="BI145" i="18"/>
  <c r="BH145" i="18"/>
  <c r="BG145" i="18"/>
  <c r="BE145" i="18"/>
  <c r="T145" i="18"/>
  <c r="R145" i="18"/>
  <c r="P145" i="18"/>
  <c r="BK145" i="18"/>
  <c r="J145" i="18"/>
  <c r="BF145" i="18" s="1"/>
  <c r="BI144" i="18"/>
  <c r="BH144" i="18"/>
  <c r="BG144" i="18"/>
  <c r="BE144" i="18"/>
  <c r="T144" i="18"/>
  <c r="R144" i="18"/>
  <c r="R143" i="18" s="1"/>
  <c r="R142" i="18" s="1"/>
  <c r="P144" i="18"/>
  <c r="BK144" i="18"/>
  <c r="J144" i="18"/>
  <c r="BF144" i="18" s="1"/>
  <c r="BI141" i="18"/>
  <c r="BH141" i="18"/>
  <c r="BG141" i="18"/>
  <c r="BE141" i="18"/>
  <c r="T141" i="18"/>
  <c r="T140" i="18" s="1"/>
  <c r="T139" i="18" s="1"/>
  <c r="R141" i="18"/>
  <c r="R140" i="18" s="1"/>
  <c r="R139" i="18" s="1"/>
  <c r="P141" i="18"/>
  <c r="P140" i="18" s="1"/>
  <c r="P139" i="18" s="1"/>
  <c r="BK141" i="18"/>
  <c r="BK140" i="18" s="1"/>
  <c r="J140" i="18" s="1"/>
  <c r="J102" i="18" s="1"/>
  <c r="J141" i="18"/>
  <c r="BF141" i="18" s="1"/>
  <c r="BI138" i="18"/>
  <c r="BH138" i="18"/>
  <c r="BG138" i="18"/>
  <c r="BE138" i="18"/>
  <c r="T138" i="18"/>
  <c r="R138" i="18"/>
  <c r="P138" i="18"/>
  <c r="BK138" i="18"/>
  <c r="J138" i="18"/>
  <c r="BF138" i="18" s="1"/>
  <c r="BI137" i="18"/>
  <c r="BH137" i="18"/>
  <c r="BG137" i="18"/>
  <c r="BE137" i="18"/>
  <c r="T137" i="18"/>
  <c r="R137" i="18"/>
  <c r="P137" i="18"/>
  <c r="BK137" i="18"/>
  <c r="J137" i="18"/>
  <c r="BF137" i="18" s="1"/>
  <c r="BI136" i="18"/>
  <c r="BH136" i="18"/>
  <c r="BG136" i="18"/>
  <c r="BE136" i="18"/>
  <c r="T136" i="18"/>
  <c r="R136" i="18"/>
  <c r="P136" i="18"/>
  <c r="BK136" i="18"/>
  <c r="J136" i="18"/>
  <c r="BF136" i="18" s="1"/>
  <c r="BI135" i="18"/>
  <c r="BH135" i="18"/>
  <c r="BG135" i="18"/>
  <c r="BE135" i="18"/>
  <c r="T135" i="18"/>
  <c r="R135" i="18"/>
  <c r="P135" i="18"/>
  <c r="BK135" i="18"/>
  <c r="J135" i="18"/>
  <c r="BF135" i="18" s="1"/>
  <c r="BI132" i="18"/>
  <c r="BH132" i="18"/>
  <c r="BG132" i="18"/>
  <c r="BE132" i="18"/>
  <c r="T132" i="18"/>
  <c r="R132" i="18"/>
  <c r="P132" i="18"/>
  <c r="BK132" i="18"/>
  <c r="J132" i="18"/>
  <c r="BF132" i="18" s="1"/>
  <c r="BI131" i="18"/>
  <c r="BH131" i="18"/>
  <c r="BG131" i="18"/>
  <c r="BE131" i="18"/>
  <c r="T131" i="18"/>
  <c r="R131" i="18"/>
  <c r="P131" i="18"/>
  <c r="BK131" i="18"/>
  <c r="J131" i="18"/>
  <c r="BF131" i="18" s="1"/>
  <c r="BI130" i="18"/>
  <c r="BH130" i="18"/>
  <c r="BG130" i="18"/>
  <c r="BE130" i="18"/>
  <c r="F33" i="18" s="1"/>
  <c r="AZ111" i="1" s="1"/>
  <c r="T130" i="18"/>
  <c r="R130" i="18"/>
  <c r="P130" i="18"/>
  <c r="BK130" i="18"/>
  <c r="J130" i="18"/>
  <c r="BF130" i="18"/>
  <c r="F121" i="18"/>
  <c r="F89" i="18"/>
  <c r="J24" i="18"/>
  <c r="E24" i="18"/>
  <c r="J124" i="18" s="1"/>
  <c r="J23" i="18"/>
  <c r="J21" i="18"/>
  <c r="E21" i="18"/>
  <c r="J123" i="18" s="1"/>
  <c r="J20" i="18"/>
  <c r="J18" i="18"/>
  <c r="J15" i="18"/>
  <c r="E15" i="18"/>
  <c r="J14" i="18"/>
  <c r="J121" i="18"/>
  <c r="J37" i="17"/>
  <c r="J36" i="17"/>
  <c r="AY110" i="1" s="1"/>
  <c r="J35" i="17"/>
  <c r="AX110" i="1" s="1"/>
  <c r="BI264" i="17"/>
  <c r="BH264" i="17"/>
  <c r="BG264" i="17"/>
  <c r="BE264" i="17"/>
  <c r="T264" i="17"/>
  <c r="R264" i="17"/>
  <c r="P264" i="17"/>
  <c r="BK264" i="17"/>
  <c r="J264" i="17"/>
  <c r="BF264" i="17" s="1"/>
  <c r="BI263" i="17"/>
  <c r="BH263" i="17"/>
  <c r="BG263" i="17"/>
  <c r="BE263" i="17"/>
  <c r="T263" i="17"/>
  <c r="R263" i="17"/>
  <c r="P263" i="17"/>
  <c r="P262" i="17" s="1"/>
  <c r="BK263" i="17"/>
  <c r="J263" i="17"/>
  <c r="BF263" i="17" s="1"/>
  <c r="BI261" i="17"/>
  <c r="BH261" i="17"/>
  <c r="BG261" i="17"/>
  <c r="BE261" i="17"/>
  <c r="T261" i="17"/>
  <c r="R261" i="17"/>
  <c r="P261" i="17"/>
  <c r="BK261" i="17"/>
  <c r="J261" i="17"/>
  <c r="BF261" i="17" s="1"/>
  <c r="BI246" i="17"/>
  <c r="BH246" i="17"/>
  <c r="BG246" i="17"/>
  <c r="BE246" i="17"/>
  <c r="T246" i="17"/>
  <c r="R246" i="17"/>
  <c r="P246" i="17"/>
  <c r="BK246" i="17"/>
  <c r="J246" i="17"/>
  <c r="BF246" i="17" s="1"/>
  <c r="BI245" i="17"/>
  <c r="BH245" i="17"/>
  <c r="BG245" i="17"/>
  <c r="BE245" i="17"/>
  <c r="T245" i="17"/>
  <c r="R245" i="17"/>
  <c r="P245" i="17"/>
  <c r="BK245" i="17"/>
  <c r="J245" i="17"/>
  <c r="BF245" i="17" s="1"/>
  <c r="BI244" i="17"/>
  <c r="BH244" i="17"/>
  <c r="BG244" i="17"/>
  <c r="BE244" i="17"/>
  <c r="T244" i="17"/>
  <c r="R244" i="17"/>
  <c r="P244" i="17"/>
  <c r="BK244" i="17"/>
  <c r="J244" i="17"/>
  <c r="BF244" i="17" s="1"/>
  <c r="BI243" i="17"/>
  <c r="BH243" i="17"/>
  <c r="BG243" i="17"/>
  <c r="BE243" i="17"/>
  <c r="T243" i="17"/>
  <c r="R243" i="17"/>
  <c r="P243" i="17"/>
  <c r="BK243" i="17"/>
  <c r="J243" i="17"/>
  <c r="BF243" i="17" s="1"/>
  <c r="BI242" i="17"/>
  <c r="BH242" i="17"/>
  <c r="BG242" i="17"/>
  <c r="BE242" i="17"/>
  <c r="T242" i="17"/>
  <c r="R242" i="17"/>
  <c r="P242" i="17"/>
  <c r="BK242" i="17"/>
  <c r="J242" i="17"/>
  <c r="BF242" i="17" s="1"/>
  <c r="BI241" i="17"/>
  <c r="BH241" i="17"/>
  <c r="BG241" i="17"/>
  <c r="BE241" i="17"/>
  <c r="T241" i="17"/>
  <c r="R241" i="17"/>
  <c r="P241" i="17"/>
  <c r="BK241" i="17"/>
  <c r="J241" i="17"/>
  <c r="BF241" i="17" s="1"/>
  <c r="BI240" i="17"/>
  <c r="BH240" i="17"/>
  <c r="BG240" i="17"/>
  <c r="BE240" i="17"/>
  <c r="T240" i="17"/>
  <c r="R240" i="17"/>
  <c r="P240" i="17"/>
  <c r="BK240" i="17"/>
  <c r="J240" i="17"/>
  <c r="BF240" i="17" s="1"/>
  <c r="BI233" i="17"/>
  <c r="BH233" i="17"/>
  <c r="BG233" i="17"/>
  <c r="BE233" i="17"/>
  <c r="T233" i="17"/>
  <c r="R233" i="17"/>
  <c r="P233" i="17"/>
  <c r="BK233" i="17"/>
  <c r="J233" i="17"/>
  <c r="BF233" i="17" s="1"/>
  <c r="BI232" i="17"/>
  <c r="BH232" i="17"/>
  <c r="BG232" i="17"/>
  <c r="BE232" i="17"/>
  <c r="T232" i="17"/>
  <c r="R232" i="17"/>
  <c r="P232" i="17"/>
  <c r="BK232" i="17"/>
  <c r="J232" i="17"/>
  <c r="BF232" i="17" s="1"/>
  <c r="BI231" i="17"/>
  <c r="BH231" i="17"/>
  <c r="BG231" i="17"/>
  <c r="BE231" i="17"/>
  <c r="T231" i="17"/>
  <c r="R231" i="17"/>
  <c r="P231" i="17"/>
  <c r="BK231" i="17"/>
  <c r="J231" i="17"/>
  <c r="BF231" i="17" s="1"/>
  <c r="BI230" i="17"/>
  <c r="BH230" i="17"/>
  <c r="BG230" i="17"/>
  <c r="BE230" i="17"/>
  <c r="T230" i="17"/>
  <c r="R230" i="17"/>
  <c r="P230" i="17"/>
  <c r="BK230" i="17"/>
  <c r="J230" i="17"/>
  <c r="BF230" i="17" s="1"/>
  <c r="BI223" i="17"/>
  <c r="BH223" i="17"/>
  <c r="BG223" i="17"/>
  <c r="BE223" i="17"/>
  <c r="T223" i="17"/>
  <c r="R223" i="17"/>
  <c r="P223" i="17"/>
  <c r="BK223" i="17"/>
  <c r="J223" i="17"/>
  <c r="BF223" i="17" s="1"/>
  <c r="BI222" i="17"/>
  <c r="BH222" i="17"/>
  <c r="BG222" i="17"/>
  <c r="BE222" i="17"/>
  <c r="T222" i="17"/>
  <c r="R222" i="17"/>
  <c r="P222" i="17"/>
  <c r="BK222" i="17"/>
  <c r="J222" i="17"/>
  <c r="BF222" i="17" s="1"/>
  <c r="BI221" i="17"/>
  <c r="BH221" i="17"/>
  <c r="BG221" i="17"/>
  <c r="BE221" i="17"/>
  <c r="T221" i="17"/>
  <c r="R221" i="17"/>
  <c r="P221" i="17"/>
  <c r="BK221" i="17"/>
  <c r="J221" i="17"/>
  <c r="BF221" i="17" s="1"/>
  <c r="BI220" i="17"/>
  <c r="BH220" i="17"/>
  <c r="BG220" i="17"/>
  <c r="BE220" i="17"/>
  <c r="T220" i="17"/>
  <c r="R220" i="17"/>
  <c r="P220" i="17"/>
  <c r="BK220" i="17"/>
  <c r="J220" i="17"/>
  <c r="BF220" i="17" s="1"/>
  <c r="BI219" i="17"/>
  <c r="BH219" i="17"/>
  <c r="BG219" i="17"/>
  <c r="BE219" i="17"/>
  <c r="T219" i="17"/>
  <c r="R219" i="17"/>
  <c r="P219" i="17"/>
  <c r="BK219" i="17"/>
  <c r="J219" i="17"/>
  <c r="BF219" i="17" s="1"/>
  <c r="BI218" i="17"/>
  <c r="BH218" i="17"/>
  <c r="BG218" i="17"/>
  <c r="BE218" i="17"/>
  <c r="T218" i="17"/>
  <c r="R218" i="17"/>
  <c r="P218" i="17"/>
  <c r="BK218" i="17"/>
  <c r="J218" i="17"/>
  <c r="BF218" i="17" s="1"/>
  <c r="BI217" i="17"/>
  <c r="BH217" i="17"/>
  <c r="BG217" i="17"/>
  <c r="BE217" i="17"/>
  <c r="T217" i="17"/>
  <c r="R217" i="17"/>
  <c r="P217" i="17"/>
  <c r="BK217" i="17"/>
  <c r="J217" i="17"/>
  <c r="BF217" i="17" s="1"/>
  <c r="BI216" i="17"/>
  <c r="BH216" i="17"/>
  <c r="BG216" i="17"/>
  <c r="BE216" i="17"/>
  <c r="T216" i="17"/>
  <c r="R216" i="17"/>
  <c r="P216" i="17"/>
  <c r="BK216" i="17"/>
  <c r="J216" i="17"/>
  <c r="BF216" i="17" s="1"/>
  <c r="BI215" i="17"/>
  <c r="BH215" i="17"/>
  <c r="BG215" i="17"/>
  <c r="BE215" i="17"/>
  <c r="T215" i="17"/>
  <c r="R215" i="17"/>
  <c r="P215" i="17"/>
  <c r="BK215" i="17"/>
  <c r="J215" i="17"/>
  <c r="BF215" i="17" s="1"/>
  <c r="BI214" i="17"/>
  <c r="BH214" i="17"/>
  <c r="BG214" i="17"/>
  <c r="BE214" i="17"/>
  <c r="T214" i="17"/>
  <c r="R214" i="17"/>
  <c r="P214" i="17"/>
  <c r="BK214" i="17"/>
  <c r="J214" i="17"/>
  <c r="BF214" i="17" s="1"/>
  <c r="BI213" i="17"/>
  <c r="BH213" i="17"/>
  <c r="BG213" i="17"/>
  <c r="BE213" i="17"/>
  <c r="T213" i="17"/>
  <c r="R213" i="17"/>
  <c r="P213" i="17"/>
  <c r="BK213" i="17"/>
  <c r="J213" i="17"/>
  <c r="BF213" i="17" s="1"/>
  <c r="BI212" i="17"/>
  <c r="BH212" i="17"/>
  <c r="BG212" i="17"/>
  <c r="BE212" i="17"/>
  <c r="T212" i="17"/>
  <c r="R212" i="17"/>
  <c r="P212" i="17"/>
  <c r="BK212" i="17"/>
  <c r="J212" i="17"/>
  <c r="BF212" i="17" s="1"/>
  <c r="BI211" i="17"/>
  <c r="BH211" i="17"/>
  <c r="BG211" i="17"/>
  <c r="BE211" i="17"/>
  <c r="T211" i="17"/>
  <c r="R211" i="17"/>
  <c r="P211" i="17"/>
  <c r="BK211" i="17"/>
  <c r="J211" i="17"/>
  <c r="BF211" i="17" s="1"/>
  <c r="BI210" i="17"/>
  <c r="BH210" i="17"/>
  <c r="BG210" i="17"/>
  <c r="BE210" i="17"/>
  <c r="T210" i="17"/>
  <c r="R210" i="17"/>
  <c r="P210" i="17"/>
  <c r="BK210" i="17"/>
  <c r="J210" i="17"/>
  <c r="BF210" i="17" s="1"/>
  <c r="BI209" i="17"/>
  <c r="BH209" i="17"/>
  <c r="BG209" i="17"/>
  <c r="BE209" i="17"/>
  <c r="T209" i="17"/>
  <c r="R209" i="17"/>
  <c r="P209" i="17"/>
  <c r="BK209" i="17"/>
  <c r="J209" i="17"/>
  <c r="BF209" i="17" s="1"/>
  <c r="BI208" i="17"/>
  <c r="BH208" i="17"/>
  <c r="BG208" i="17"/>
  <c r="BE208" i="17"/>
  <c r="T208" i="17"/>
  <c r="R208" i="17"/>
  <c r="P208" i="17"/>
  <c r="BK208" i="17"/>
  <c r="J208" i="17"/>
  <c r="BF208" i="17" s="1"/>
  <c r="BI207" i="17"/>
  <c r="BH207" i="17"/>
  <c r="BG207" i="17"/>
  <c r="BE207" i="17"/>
  <c r="T207" i="17"/>
  <c r="R207" i="17"/>
  <c r="P207" i="17"/>
  <c r="BK207" i="17"/>
  <c r="J207" i="17"/>
  <c r="BF207" i="17" s="1"/>
  <c r="BI206" i="17"/>
  <c r="BH206" i="17"/>
  <c r="BG206" i="17"/>
  <c r="BE206" i="17"/>
  <c r="T206" i="17"/>
  <c r="R206" i="17"/>
  <c r="P206" i="17"/>
  <c r="BK206" i="17"/>
  <c r="J206" i="17"/>
  <c r="BF206" i="17" s="1"/>
  <c r="BI205" i="17"/>
  <c r="BH205" i="17"/>
  <c r="BG205" i="17"/>
  <c r="BE205" i="17"/>
  <c r="T205" i="17"/>
  <c r="R205" i="17"/>
  <c r="P205" i="17"/>
  <c r="BK205" i="17"/>
  <c r="J205" i="17"/>
  <c r="BF205" i="17" s="1"/>
  <c r="BI201" i="17"/>
  <c r="BH201" i="17"/>
  <c r="BG201" i="17"/>
  <c r="BE201" i="17"/>
  <c r="T201" i="17"/>
  <c r="R201" i="17"/>
  <c r="P201" i="17"/>
  <c r="BK201" i="17"/>
  <c r="J201" i="17"/>
  <c r="BF201" i="17" s="1"/>
  <c r="BI200" i="17"/>
  <c r="BH200" i="17"/>
  <c r="BG200" i="17"/>
  <c r="BE200" i="17"/>
  <c r="T200" i="17"/>
  <c r="R200" i="17"/>
  <c r="P200" i="17"/>
  <c r="BK200" i="17"/>
  <c r="J200" i="17"/>
  <c r="BF200" i="17" s="1"/>
  <c r="BI199" i="17"/>
  <c r="BH199" i="17"/>
  <c r="BG199" i="17"/>
  <c r="BE199" i="17"/>
  <c r="T199" i="17"/>
  <c r="R199" i="17"/>
  <c r="P199" i="17"/>
  <c r="BK199" i="17"/>
  <c r="J199" i="17"/>
  <c r="BF199" i="17" s="1"/>
  <c r="BI198" i="17"/>
  <c r="BH198" i="17"/>
  <c r="BG198" i="17"/>
  <c r="BE198" i="17"/>
  <c r="T198" i="17"/>
  <c r="R198" i="17"/>
  <c r="P198" i="17"/>
  <c r="BK198" i="17"/>
  <c r="J198" i="17"/>
  <c r="BF198" i="17" s="1"/>
  <c r="BI197" i="17"/>
  <c r="BH197" i="17"/>
  <c r="BG197" i="17"/>
  <c r="BE197" i="17"/>
  <c r="T197" i="17"/>
  <c r="R197" i="17"/>
  <c r="P197" i="17"/>
  <c r="BK197" i="17"/>
  <c r="J197" i="17"/>
  <c r="BF197" i="17" s="1"/>
  <c r="BI196" i="17"/>
  <c r="BH196" i="17"/>
  <c r="BG196" i="17"/>
  <c r="BE196" i="17"/>
  <c r="T196" i="17"/>
  <c r="R196" i="17"/>
  <c r="P196" i="17"/>
  <c r="BK196" i="17"/>
  <c r="J196" i="17"/>
  <c r="BF196" i="17" s="1"/>
  <c r="BI195" i="17"/>
  <c r="BH195" i="17"/>
  <c r="BG195" i="17"/>
  <c r="BE195" i="17"/>
  <c r="T195" i="17"/>
  <c r="R195" i="17"/>
  <c r="P195" i="17"/>
  <c r="BK195" i="17"/>
  <c r="J195" i="17"/>
  <c r="BF195" i="17" s="1"/>
  <c r="BI194" i="17"/>
  <c r="BH194" i="17"/>
  <c r="BG194" i="17"/>
  <c r="BE194" i="17"/>
  <c r="T194" i="17"/>
  <c r="R194" i="17"/>
  <c r="P194" i="17"/>
  <c r="BK194" i="17"/>
  <c r="J194" i="17"/>
  <c r="BF194" i="17" s="1"/>
  <c r="BI192" i="17"/>
  <c r="BH192" i="17"/>
  <c r="BG192" i="17"/>
  <c r="BE192" i="17"/>
  <c r="T192" i="17"/>
  <c r="R192" i="17"/>
  <c r="P192" i="17"/>
  <c r="BK192" i="17"/>
  <c r="J192" i="17"/>
  <c r="BF192" i="17" s="1"/>
  <c r="BI191" i="17"/>
  <c r="BH191" i="17"/>
  <c r="BG191" i="17"/>
  <c r="BE191" i="17"/>
  <c r="T191" i="17"/>
  <c r="R191" i="17"/>
  <c r="P191" i="17"/>
  <c r="BK191" i="17"/>
  <c r="J191" i="17"/>
  <c r="BF191" i="17" s="1"/>
  <c r="BI190" i="17"/>
  <c r="BH190" i="17"/>
  <c r="BG190" i="17"/>
  <c r="BE190" i="17"/>
  <c r="T190" i="17"/>
  <c r="R190" i="17"/>
  <c r="P190" i="17"/>
  <c r="BK190" i="17"/>
  <c r="J190" i="17"/>
  <c r="BF190" i="17" s="1"/>
  <c r="BI189" i="17"/>
  <c r="BH189" i="17"/>
  <c r="BG189" i="17"/>
  <c r="BE189" i="17"/>
  <c r="T189" i="17"/>
  <c r="R189" i="17"/>
  <c r="P189" i="17"/>
  <c r="BK189" i="17"/>
  <c r="J189" i="17"/>
  <c r="BF189" i="17" s="1"/>
  <c r="BI188" i="17"/>
  <c r="BH188" i="17"/>
  <c r="BG188" i="17"/>
  <c r="BE188" i="17"/>
  <c r="T188" i="17"/>
  <c r="R188" i="17"/>
  <c r="P188" i="17"/>
  <c r="BK188" i="17"/>
  <c r="J188" i="17"/>
  <c r="BF188" i="17" s="1"/>
  <c r="BI184" i="17"/>
  <c r="BH184" i="17"/>
  <c r="BG184" i="17"/>
  <c r="BE184" i="17"/>
  <c r="T184" i="17"/>
  <c r="R184" i="17"/>
  <c r="P184" i="17"/>
  <c r="BK184" i="17"/>
  <c r="J184" i="17"/>
  <c r="BF184" i="17" s="1"/>
  <c r="BI183" i="17"/>
  <c r="BH183" i="17"/>
  <c r="BG183" i="17"/>
  <c r="BE183" i="17"/>
  <c r="T183" i="17"/>
  <c r="R183" i="17"/>
  <c r="P183" i="17"/>
  <c r="BK183" i="17"/>
  <c r="J183" i="17"/>
  <c r="BF183" i="17" s="1"/>
  <c r="BI182" i="17"/>
  <c r="BH182" i="17"/>
  <c r="BG182" i="17"/>
  <c r="BE182" i="17"/>
  <c r="T182" i="17"/>
  <c r="R182" i="17"/>
  <c r="P182" i="17"/>
  <c r="BK182" i="17"/>
  <c r="J182" i="17"/>
  <c r="BF182" i="17" s="1"/>
  <c r="BI181" i="17"/>
  <c r="BH181" i="17"/>
  <c r="BG181" i="17"/>
  <c r="BE181" i="17"/>
  <c r="T181" i="17"/>
  <c r="R181" i="17"/>
  <c r="P181" i="17"/>
  <c r="BK181" i="17"/>
  <c r="J181" i="17"/>
  <c r="BF181" i="17" s="1"/>
  <c r="BI180" i="17"/>
  <c r="BH180" i="17"/>
  <c r="BG180" i="17"/>
  <c r="BE180" i="17"/>
  <c r="T180" i="17"/>
  <c r="R180" i="17"/>
  <c r="P180" i="17"/>
  <c r="BK180" i="17"/>
  <c r="J180" i="17"/>
  <c r="BF180" i="17" s="1"/>
  <c r="BI179" i="17"/>
  <c r="BH179" i="17"/>
  <c r="BG179" i="17"/>
  <c r="BE179" i="17"/>
  <c r="T179" i="17"/>
  <c r="R179" i="17"/>
  <c r="P179" i="17"/>
  <c r="BK179" i="17"/>
  <c r="J179" i="17"/>
  <c r="BF179" i="17" s="1"/>
  <c r="BI178" i="17"/>
  <c r="BH178" i="17"/>
  <c r="BG178" i="17"/>
  <c r="BE178" i="17"/>
  <c r="T178" i="17"/>
  <c r="R178" i="17"/>
  <c r="P178" i="17"/>
  <c r="BK178" i="17"/>
  <c r="J178" i="17"/>
  <c r="BF178" i="17" s="1"/>
  <c r="BI177" i="17"/>
  <c r="BH177" i="17"/>
  <c r="BG177" i="17"/>
  <c r="BE177" i="17"/>
  <c r="T177" i="17"/>
  <c r="R177" i="17"/>
  <c r="P177" i="17"/>
  <c r="BK177" i="17"/>
  <c r="J177" i="17"/>
  <c r="BF177" i="17" s="1"/>
  <c r="BI176" i="17"/>
  <c r="BH176" i="17"/>
  <c r="BG176" i="17"/>
  <c r="BE176" i="17"/>
  <c r="T176" i="17"/>
  <c r="R176" i="17"/>
  <c r="P176" i="17"/>
  <c r="BK176" i="17"/>
  <c r="J176" i="17"/>
  <c r="BF176" i="17" s="1"/>
  <c r="BI175" i="17"/>
  <c r="BH175" i="17"/>
  <c r="BG175" i="17"/>
  <c r="BE175" i="17"/>
  <c r="T175" i="17"/>
  <c r="R175" i="17"/>
  <c r="P175" i="17"/>
  <c r="BK175" i="17"/>
  <c r="J175" i="17"/>
  <c r="BF175" i="17" s="1"/>
  <c r="BI174" i="17"/>
  <c r="BH174" i="17"/>
  <c r="BG174" i="17"/>
  <c r="BE174" i="17"/>
  <c r="T174" i="17"/>
  <c r="R174" i="17"/>
  <c r="P174" i="17"/>
  <c r="BK174" i="17"/>
  <c r="J174" i="17"/>
  <c r="BF174" i="17" s="1"/>
  <c r="BI173" i="17"/>
  <c r="BH173" i="17"/>
  <c r="BG173" i="17"/>
  <c r="BE173" i="17"/>
  <c r="T173" i="17"/>
  <c r="R173" i="17"/>
  <c r="P173" i="17"/>
  <c r="BK173" i="17"/>
  <c r="J173" i="17"/>
  <c r="BF173" i="17" s="1"/>
  <c r="BI172" i="17"/>
  <c r="BH172" i="17"/>
  <c r="BG172" i="17"/>
  <c r="BE172" i="17"/>
  <c r="T172" i="17"/>
  <c r="R172" i="17"/>
  <c r="P172" i="17"/>
  <c r="BK172" i="17"/>
  <c r="J172" i="17"/>
  <c r="BF172" i="17" s="1"/>
  <c r="BI170" i="17"/>
  <c r="BH170" i="17"/>
  <c r="BG170" i="17"/>
  <c r="BE170" i="17"/>
  <c r="T170" i="17"/>
  <c r="R170" i="17"/>
  <c r="P170" i="17"/>
  <c r="BK170" i="17"/>
  <c r="J170" i="17"/>
  <c r="BF170" i="17" s="1"/>
  <c r="BI169" i="17"/>
  <c r="BH169" i="17"/>
  <c r="BG169" i="17"/>
  <c r="BE169" i="17"/>
  <c r="T169" i="17"/>
  <c r="R169" i="17"/>
  <c r="P169" i="17"/>
  <c r="BK169" i="17"/>
  <c r="J169" i="17"/>
  <c r="BF169" i="17" s="1"/>
  <c r="BI166" i="17"/>
  <c r="BH166" i="17"/>
  <c r="BG166" i="17"/>
  <c r="BE166" i="17"/>
  <c r="T166" i="17"/>
  <c r="T165" i="17" s="1"/>
  <c r="R166" i="17"/>
  <c r="R165" i="17" s="1"/>
  <c r="P166" i="17"/>
  <c r="P165" i="17" s="1"/>
  <c r="BK166" i="17"/>
  <c r="BK165" i="17" s="1"/>
  <c r="J165" i="17" s="1"/>
  <c r="J103" i="17" s="1"/>
  <c r="J166" i="17"/>
  <c r="BF166" i="17" s="1"/>
  <c r="BI142" i="17"/>
  <c r="BH142" i="17"/>
  <c r="BG142" i="17"/>
  <c r="BE142" i="17"/>
  <c r="T142" i="17"/>
  <c r="R142" i="17"/>
  <c r="P142" i="17"/>
  <c r="BK142" i="17"/>
  <c r="J142" i="17"/>
  <c r="BF142" i="17" s="1"/>
  <c r="BI141" i="17"/>
  <c r="BH141" i="17"/>
  <c r="BG141" i="17"/>
  <c r="BE141" i="17"/>
  <c r="T141" i="17"/>
  <c r="R141" i="17"/>
  <c r="P141" i="17"/>
  <c r="BK141" i="17"/>
  <c r="J141" i="17"/>
  <c r="BF141" i="17" s="1"/>
  <c r="BI140" i="17"/>
  <c r="BH140" i="17"/>
  <c r="BG140" i="17"/>
  <c r="BE140" i="17"/>
  <c r="T140" i="17"/>
  <c r="R140" i="17"/>
  <c r="P140" i="17"/>
  <c r="BK140" i="17"/>
  <c r="J140" i="17"/>
  <c r="BF140" i="17" s="1"/>
  <c r="BI139" i="17"/>
  <c r="BH139" i="17"/>
  <c r="BG139" i="17"/>
  <c r="BE139" i="17"/>
  <c r="T139" i="17"/>
  <c r="R139" i="17"/>
  <c r="P139" i="17"/>
  <c r="BK139" i="17"/>
  <c r="J139" i="17"/>
  <c r="BF139" i="17" s="1"/>
  <c r="BI138" i="17"/>
  <c r="BH138" i="17"/>
  <c r="BG138" i="17"/>
  <c r="BE138" i="17"/>
  <c r="T138" i="17"/>
  <c r="R138" i="17"/>
  <c r="P138" i="17"/>
  <c r="BK138" i="17"/>
  <c r="J138" i="17"/>
  <c r="BF138" i="17" s="1"/>
  <c r="BI137" i="17"/>
  <c r="BH137" i="17"/>
  <c r="BG137" i="17"/>
  <c r="BE137" i="17"/>
  <c r="T137" i="17"/>
  <c r="R137" i="17"/>
  <c r="P137" i="17"/>
  <c r="BK137" i="17"/>
  <c r="J137" i="17"/>
  <c r="BF137" i="17" s="1"/>
  <c r="BI136" i="17"/>
  <c r="BH136" i="17"/>
  <c r="BG136" i="17"/>
  <c r="BE136" i="17"/>
  <c r="T136" i="17"/>
  <c r="R136" i="17"/>
  <c r="P136" i="17"/>
  <c r="BK136" i="17"/>
  <c r="J136" i="17"/>
  <c r="BF136" i="17" s="1"/>
  <c r="BI133" i="17"/>
  <c r="BH133" i="17"/>
  <c r="BG133" i="17"/>
  <c r="BE133" i="17"/>
  <c r="T133" i="17"/>
  <c r="R133" i="17"/>
  <c r="P133" i="17"/>
  <c r="BK133" i="17"/>
  <c r="J133" i="17"/>
  <c r="BF133" i="17" s="1"/>
  <c r="BI132" i="17"/>
  <c r="BH132" i="17"/>
  <c r="BG132" i="17"/>
  <c r="BE132" i="17"/>
  <c r="T132" i="17"/>
  <c r="R132" i="17"/>
  <c r="P132" i="17"/>
  <c r="BK132" i="17"/>
  <c r="J132" i="17"/>
  <c r="BF132" i="17" s="1"/>
  <c r="F123" i="17"/>
  <c r="F89" i="17"/>
  <c r="J24" i="17"/>
  <c r="E24" i="17"/>
  <c r="J126" i="17" s="1"/>
  <c r="J23" i="17"/>
  <c r="J21" i="17"/>
  <c r="E21" i="17"/>
  <c r="J91" i="17" s="1"/>
  <c r="J20" i="17"/>
  <c r="J18" i="17"/>
  <c r="J15" i="17"/>
  <c r="E15" i="17"/>
  <c r="J14" i="17"/>
  <c r="J89" i="17"/>
  <c r="J123" i="17"/>
  <c r="J37" i="16"/>
  <c r="J36" i="16"/>
  <c r="AY109" i="1" s="1"/>
  <c r="J35" i="16"/>
  <c r="AX109" i="1" s="1"/>
  <c r="BI393" i="16"/>
  <c r="BH393" i="16"/>
  <c r="BG393" i="16"/>
  <c r="BE393" i="16"/>
  <c r="T393" i="16"/>
  <c r="T392" i="16" s="1"/>
  <c r="T391" i="16" s="1"/>
  <c r="R393" i="16"/>
  <c r="R392" i="16" s="1"/>
  <c r="R391" i="16" s="1"/>
  <c r="P393" i="16"/>
  <c r="P392" i="16" s="1"/>
  <c r="P391" i="16" s="1"/>
  <c r="BK393" i="16"/>
  <c r="BK392" i="16" s="1"/>
  <c r="J393" i="16"/>
  <c r="BF393" i="16" s="1"/>
  <c r="BI388" i="16"/>
  <c r="BH388" i="16"/>
  <c r="BG388" i="16"/>
  <c r="BE388" i="16"/>
  <c r="T388" i="16"/>
  <c r="T387" i="16" s="1"/>
  <c r="R388" i="16"/>
  <c r="R387" i="16" s="1"/>
  <c r="P388" i="16"/>
  <c r="P387" i="16" s="1"/>
  <c r="BK388" i="16"/>
  <c r="BK387" i="16" s="1"/>
  <c r="J387" i="16" s="1"/>
  <c r="J119" i="16" s="1"/>
  <c r="J388" i="16"/>
  <c r="BF388" i="16" s="1"/>
  <c r="BI386" i="16"/>
  <c r="BH386" i="16"/>
  <c r="BG386" i="16"/>
  <c r="BE386" i="16"/>
  <c r="T386" i="16"/>
  <c r="R386" i="16"/>
  <c r="P386" i="16"/>
  <c r="BK386" i="16"/>
  <c r="J386" i="16"/>
  <c r="BF386" i="16" s="1"/>
  <c r="BI385" i="16"/>
  <c r="BH385" i="16"/>
  <c r="BG385" i="16"/>
  <c r="BE385" i="16"/>
  <c r="T385" i="16"/>
  <c r="R385" i="16"/>
  <c r="P385" i="16"/>
  <c r="BK385" i="16"/>
  <c r="J385" i="16"/>
  <c r="BF385" i="16" s="1"/>
  <c r="BI384" i="16"/>
  <c r="BH384" i="16"/>
  <c r="BG384" i="16"/>
  <c r="BE384" i="16"/>
  <c r="T384" i="16"/>
  <c r="R384" i="16"/>
  <c r="P384" i="16"/>
  <c r="BK384" i="16"/>
  <c r="J384" i="16"/>
  <c r="BF384" i="16" s="1"/>
  <c r="BI382" i="16"/>
  <c r="BH382" i="16"/>
  <c r="BG382" i="16"/>
  <c r="BE382" i="16"/>
  <c r="T382" i="16"/>
  <c r="R382" i="16"/>
  <c r="P382" i="16"/>
  <c r="BK382" i="16"/>
  <c r="J382" i="16"/>
  <c r="BF382" i="16" s="1"/>
  <c r="BI381" i="16"/>
  <c r="BH381" i="16"/>
  <c r="BG381" i="16"/>
  <c r="BE381" i="16"/>
  <c r="T381" i="16"/>
  <c r="R381" i="16"/>
  <c r="P381" i="16"/>
  <c r="BK381" i="16"/>
  <c r="J381" i="16"/>
  <c r="BF381" i="16" s="1"/>
  <c r="BI379" i="16"/>
  <c r="BH379" i="16"/>
  <c r="BG379" i="16"/>
  <c r="BE379" i="16"/>
  <c r="T379" i="16"/>
  <c r="R379" i="16"/>
  <c r="P379" i="16"/>
  <c r="BK379" i="16"/>
  <c r="J379" i="16"/>
  <c r="BF379" i="16" s="1"/>
  <c r="BI378" i="16"/>
  <c r="BH378" i="16"/>
  <c r="BG378" i="16"/>
  <c r="BE378" i="16"/>
  <c r="T378" i="16"/>
  <c r="R378" i="16"/>
  <c r="P378" i="16"/>
  <c r="BK378" i="16"/>
  <c r="J378" i="16"/>
  <c r="BF378" i="16" s="1"/>
  <c r="BI377" i="16"/>
  <c r="BH377" i="16"/>
  <c r="BG377" i="16"/>
  <c r="BE377" i="16"/>
  <c r="T377" i="16"/>
  <c r="R377" i="16"/>
  <c r="P377" i="16"/>
  <c r="BK377" i="16"/>
  <c r="J377" i="16"/>
  <c r="BF377" i="16" s="1"/>
  <c r="BI375" i="16"/>
  <c r="BH375" i="16"/>
  <c r="BG375" i="16"/>
  <c r="BE375" i="16"/>
  <c r="T375" i="16"/>
  <c r="R375" i="16"/>
  <c r="P375" i="16"/>
  <c r="BK375" i="16"/>
  <c r="J375" i="16"/>
  <c r="BF375" i="16" s="1"/>
  <c r="BI374" i="16"/>
  <c r="BH374" i="16"/>
  <c r="BG374" i="16"/>
  <c r="BE374" i="16"/>
  <c r="T374" i="16"/>
  <c r="R374" i="16"/>
  <c r="P374" i="16"/>
  <c r="BK374" i="16"/>
  <c r="J374" i="16"/>
  <c r="BF374" i="16" s="1"/>
  <c r="BI373" i="16"/>
  <c r="BH373" i="16"/>
  <c r="BG373" i="16"/>
  <c r="BE373" i="16"/>
  <c r="T373" i="16"/>
  <c r="R373" i="16"/>
  <c r="P373" i="16"/>
  <c r="BK373" i="16"/>
  <c r="J373" i="16"/>
  <c r="BF373" i="16" s="1"/>
  <c r="BI371" i="16"/>
  <c r="BH371" i="16"/>
  <c r="BG371" i="16"/>
  <c r="BE371" i="16"/>
  <c r="T371" i="16"/>
  <c r="R371" i="16"/>
  <c r="P371" i="16"/>
  <c r="BK371" i="16"/>
  <c r="J371" i="16"/>
  <c r="BF371" i="16" s="1"/>
  <c r="BI370" i="16"/>
  <c r="BH370" i="16"/>
  <c r="BG370" i="16"/>
  <c r="BE370" i="16"/>
  <c r="T370" i="16"/>
  <c r="R370" i="16"/>
  <c r="P370" i="16"/>
  <c r="BK370" i="16"/>
  <c r="J370" i="16"/>
  <c r="BF370" i="16" s="1"/>
  <c r="BI369" i="16"/>
  <c r="BH369" i="16"/>
  <c r="BG369" i="16"/>
  <c r="BE369" i="16"/>
  <c r="T369" i="16"/>
  <c r="R369" i="16"/>
  <c r="P369" i="16"/>
  <c r="BK369" i="16"/>
  <c r="J369" i="16"/>
  <c r="BF369" i="16" s="1"/>
  <c r="BI367" i="16"/>
  <c r="BH367" i="16"/>
  <c r="BG367" i="16"/>
  <c r="BE367" i="16"/>
  <c r="T367" i="16"/>
  <c r="R367" i="16"/>
  <c r="P367" i="16"/>
  <c r="BK367" i="16"/>
  <c r="J367" i="16"/>
  <c r="BF367" i="16" s="1"/>
  <c r="BI363" i="16"/>
  <c r="BH363" i="16"/>
  <c r="BG363" i="16"/>
  <c r="BE363" i="16"/>
  <c r="T363" i="16"/>
  <c r="R363" i="16"/>
  <c r="P363" i="16"/>
  <c r="BK363" i="16"/>
  <c r="J363" i="16"/>
  <c r="BF363" i="16" s="1"/>
  <c r="BI362" i="16"/>
  <c r="BH362" i="16"/>
  <c r="BG362" i="16"/>
  <c r="BE362" i="16"/>
  <c r="T362" i="16"/>
  <c r="R362" i="16"/>
  <c r="P362" i="16"/>
  <c r="BK362" i="16"/>
  <c r="J362" i="16"/>
  <c r="BF362" i="16" s="1"/>
  <c r="BI361" i="16"/>
  <c r="BH361" i="16"/>
  <c r="BG361" i="16"/>
  <c r="BE361" i="16"/>
  <c r="T361" i="16"/>
  <c r="R361" i="16"/>
  <c r="P361" i="16"/>
  <c r="BK361" i="16"/>
  <c r="J361" i="16"/>
  <c r="BF361" i="16" s="1"/>
  <c r="BI359" i="16"/>
  <c r="BH359" i="16"/>
  <c r="BG359" i="16"/>
  <c r="BE359" i="16"/>
  <c r="T359" i="16"/>
  <c r="R359" i="16"/>
  <c r="P359" i="16"/>
  <c r="BK359" i="16"/>
  <c r="J359" i="16"/>
  <c r="BF359" i="16" s="1"/>
  <c r="BI358" i="16"/>
  <c r="BH358" i="16"/>
  <c r="BG358" i="16"/>
  <c r="BE358" i="16"/>
  <c r="T358" i="16"/>
  <c r="R358" i="16"/>
  <c r="P358" i="16"/>
  <c r="BK358" i="16"/>
  <c r="J358" i="16"/>
  <c r="BF358" i="16" s="1"/>
  <c r="BI357" i="16"/>
  <c r="BH357" i="16"/>
  <c r="BG357" i="16"/>
  <c r="BE357" i="16"/>
  <c r="T357" i="16"/>
  <c r="R357" i="16"/>
  <c r="P357" i="16"/>
  <c r="BK357" i="16"/>
  <c r="J357" i="16"/>
  <c r="BF357" i="16" s="1"/>
  <c r="BI356" i="16"/>
  <c r="BH356" i="16"/>
  <c r="BG356" i="16"/>
  <c r="BE356" i="16"/>
  <c r="T356" i="16"/>
  <c r="R356" i="16"/>
  <c r="P356" i="16"/>
  <c r="BK356" i="16"/>
  <c r="J356" i="16"/>
  <c r="BF356" i="16" s="1"/>
  <c r="BI355" i="16"/>
  <c r="BH355" i="16"/>
  <c r="BG355" i="16"/>
  <c r="BE355" i="16"/>
  <c r="T355" i="16"/>
  <c r="R355" i="16"/>
  <c r="P355" i="16"/>
  <c r="BK355" i="16"/>
  <c r="J355" i="16"/>
  <c r="BF355" i="16" s="1"/>
  <c r="BI339" i="16"/>
  <c r="BH339" i="16"/>
  <c r="BG339" i="16"/>
  <c r="BE339" i="16"/>
  <c r="T339" i="16"/>
  <c r="R339" i="16"/>
  <c r="P339" i="16"/>
  <c r="BK339" i="16"/>
  <c r="J339" i="16"/>
  <c r="BF339" i="16" s="1"/>
  <c r="BI338" i="16"/>
  <c r="BH338" i="16"/>
  <c r="BG338" i="16"/>
  <c r="BE338" i="16"/>
  <c r="T338" i="16"/>
  <c r="R338" i="16"/>
  <c r="P338" i="16"/>
  <c r="BK338" i="16"/>
  <c r="J338" i="16"/>
  <c r="BF338" i="16" s="1"/>
  <c r="BI337" i="16"/>
  <c r="BH337" i="16"/>
  <c r="BG337" i="16"/>
  <c r="BE337" i="16"/>
  <c r="T337" i="16"/>
  <c r="R337" i="16"/>
  <c r="P337" i="16"/>
  <c r="BK337" i="16"/>
  <c r="J337" i="16"/>
  <c r="BF337" i="16" s="1"/>
  <c r="BI336" i="16"/>
  <c r="BH336" i="16"/>
  <c r="BG336" i="16"/>
  <c r="BE336" i="16"/>
  <c r="T336" i="16"/>
  <c r="R336" i="16"/>
  <c r="P336" i="16"/>
  <c r="BK336" i="16"/>
  <c r="J336" i="16"/>
  <c r="BF336" i="16" s="1"/>
  <c r="BI335" i="16"/>
  <c r="BH335" i="16"/>
  <c r="BG335" i="16"/>
  <c r="BE335" i="16"/>
  <c r="T335" i="16"/>
  <c r="R335" i="16"/>
  <c r="P335" i="16"/>
  <c r="BK335" i="16"/>
  <c r="J335" i="16"/>
  <c r="BF335" i="16" s="1"/>
  <c r="BI334" i="16"/>
  <c r="BH334" i="16"/>
  <c r="BG334" i="16"/>
  <c r="BE334" i="16"/>
  <c r="T334" i="16"/>
  <c r="R334" i="16"/>
  <c r="P334" i="16"/>
  <c r="BK334" i="16"/>
  <c r="J334" i="16"/>
  <c r="BF334" i="16" s="1"/>
  <c r="BI333" i="16"/>
  <c r="BH333" i="16"/>
  <c r="BG333" i="16"/>
  <c r="BE333" i="16"/>
  <c r="T333" i="16"/>
  <c r="R333" i="16"/>
  <c r="P333" i="16"/>
  <c r="BK333" i="16"/>
  <c r="J333" i="16"/>
  <c r="BF333" i="16" s="1"/>
  <c r="BI332" i="16"/>
  <c r="BH332" i="16"/>
  <c r="BG332" i="16"/>
  <c r="BE332" i="16"/>
  <c r="T332" i="16"/>
  <c r="R332" i="16"/>
  <c r="P332" i="16"/>
  <c r="BK332" i="16"/>
  <c r="J332" i="16"/>
  <c r="BF332" i="16" s="1"/>
  <c r="BI331" i="16"/>
  <c r="BH331" i="16"/>
  <c r="BG331" i="16"/>
  <c r="BE331" i="16"/>
  <c r="T331" i="16"/>
  <c r="R331" i="16"/>
  <c r="P331" i="16"/>
  <c r="BK331" i="16"/>
  <c r="J331" i="16"/>
  <c r="BF331" i="16" s="1"/>
  <c r="BI330" i="16"/>
  <c r="BH330" i="16"/>
  <c r="BG330" i="16"/>
  <c r="BE330" i="16"/>
  <c r="T330" i="16"/>
  <c r="R330" i="16"/>
  <c r="P330" i="16"/>
  <c r="BK330" i="16"/>
  <c r="J330" i="16"/>
  <c r="BF330" i="16" s="1"/>
  <c r="BI329" i="16"/>
  <c r="BH329" i="16"/>
  <c r="BG329" i="16"/>
  <c r="BE329" i="16"/>
  <c r="T329" i="16"/>
  <c r="R329" i="16"/>
  <c r="P329" i="16"/>
  <c r="BK329" i="16"/>
  <c r="J329" i="16"/>
  <c r="BF329" i="16" s="1"/>
  <c r="BI328" i="16"/>
  <c r="BH328" i="16"/>
  <c r="BG328" i="16"/>
  <c r="BE328" i="16"/>
  <c r="T328" i="16"/>
  <c r="R328" i="16"/>
  <c r="P328" i="16"/>
  <c r="BK328" i="16"/>
  <c r="J328" i="16"/>
  <c r="BF328" i="16" s="1"/>
  <c r="BI327" i="16"/>
  <c r="BH327" i="16"/>
  <c r="BG327" i="16"/>
  <c r="BE327" i="16"/>
  <c r="T327" i="16"/>
  <c r="R327" i="16"/>
  <c r="P327" i="16"/>
  <c r="BK327" i="16"/>
  <c r="J327" i="16"/>
  <c r="BF327" i="16" s="1"/>
  <c r="BI326" i="16"/>
  <c r="BH326" i="16"/>
  <c r="BG326" i="16"/>
  <c r="BE326" i="16"/>
  <c r="T326" i="16"/>
  <c r="R326" i="16"/>
  <c r="P326" i="16"/>
  <c r="BK326" i="16"/>
  <c r="J326" i="16"/>
  <c r="BF326" i="16" s="1"/>
  <c r="BI325" i="16"/>
  <c r="BH325" i="16"/>
  <c r="BG325" i="16"/>
  <c r="BE325" i="16"/>
  <c r="T325" i="16"/>
  <c r="R325" i="16"/>
  <c r="P325" i="16"/>
  <c r="BK325" i="16"/>
  <c r="J325" i="16"/>
  <c r="BF325" i="16" s="1"/>
  <c r="BI324" i="16"/>
  <c r="BH324" i="16"/>
  <c r="BG324" i="16"/>
  <c r="BE324" i="16"/>
  <c r="T324" i="16"/>
  <c r="R324" i="16"/>
  <c r="P324" i="16"/>
  <c r="BK324" i="16"/>
  <c r="J324" i="16"/>
  <c r="BF324" i="16" s="1"/>
  <c r="BI323" i="16"/>
  <c r="BH323" i="16"/>
  <c r="BG323" i="16"/>
  <c r="BE323" i="16"/>
  <c r="T323" i="16"/>
  <c r="R323" i="16"/>
  <c r="P323" i="16"/>
  <c r="BK323" i="16"/>
  <c r="J323" i="16"/>
  <c r="BF323" i="16" s="1"/>
  <c r="BI322" i="16"/>
  <c r="BH322" i="16"/>
  <c r="BG322" i="16"/>
  <c r="BE322" i="16"/>
  <c r="T322" i="16"/>
  <c r="R322" i="16"/>
  <c r="P322" i="16"/>
  <c r="BK322" i="16"/>
  <c r="J322" i="16"/>
  <c r="BF322" i="16" s="1"/>
  <c r="BI321" i="16"/>
  <c r="BH321" i="16"/>
  <c r="BG321" i="16"/>
  <c r="BE321" i="16"/>
  <c r="T321" i="16"/>
  <c r="R321" i="16"/>
  <c r="P321" i="16"/>
  <c r="BK321" i="16"/>
  <c r="J321" i="16"/>
  <c r="BF321" i="16" s="1"/>
  <c r="BI320" i="16"/>
  <c r="BH320" i="16"/>
  <c r="BG320" i="16"/>
  <c r="BE320" i="16"/>
  <c r="T320" i="16"/>
  <c r="R320" i="16"/>
  <c r="P320" i="16"/>
  <c r="BK320" i="16"/>
  <c r="J320" i="16"/>
  <c r="BF320" i="16" s="1"/>
  <c r="BI319" i="16"/>
  <c r="BH319" i="16"/>
  <c r="BG319" i="16"/>
  <c r="BE319" i="16"/>
  <c r="T319" i="16"/>
  <c r="R319" i="16"/>
  <c r="P319" i="16"/>
  <c r="BK319" i="16"/>
  <c r="J319" i="16"/>
  <c r="BF319" i="16" s="1"/>
  <c r="BI318" i="16"/>
  <c r="BH318" i="16"/>
  <c r="BG318" i="16"/>
  <c r="BE318" i="16"/>
  <c r="T318" i="16"/>
  <c r="R318" i="16"/>
  <c r="P318" i="16"/>
  <c r="BK318" i="16"/>
  <c r="J318" i="16"/>
  <c r="BF318" i="16" s="1"/>
  <c r="BI317" i="16"/>
  <c r="BH317" i="16"/>
  <c r="BG317" i="16"/>
  <c r="BE317" i="16"/>
  <c r="T317" i="16"/>
  <c r="R317" i="16"/>
  <c r="P317" i="16"/>
  <c r="BK317" i="16"/>
  <c r="J317" i="16"/>
  <c r="BF317" i="16" s="1"/>
  <c r="BI315" i="16"/>
  <c r="BH315" i="16"/>
  <c r="BG315" i="16"/>
  <c r="BE315" i="16"/>
  <c r="T315" i="16"/>
  <c r="R315" i="16"/>
  <c r="P315" i="16"/>
  <c r="BK315" i="16"/>
  <c r="J315" i="16"/>
  <c r="BF315" i="16" s="1"/>
  <c r="BI313" i="16"/>
  <c r="BH313" i="16"/>
  <c r="BG313" i="16"/>
  <c r="BE313" i="16"/>
  <c r="T313" i="16"/>
  <c r="R313" i="16"/>
  <c r="P313" i="16"/>
  <c r="BK313" i="16"/>
  <c r="J313" i="16"/>
  <c r="BF313" i="16" s="1"/>
  <c r="BI312" i="16"/>
  <c r="BH312" i="16"/>
  <c r="BG312" i="16"/>
  <c r="BE312" i="16"/>
  <c r="T312" i="16"/>
  <c r="R312" i="16"/>
  <c r="P312" i="16"/>
  <c r="BK312" i="16"/>
  <c r="J312" i="16"/>
  <c r="BF312" i="16" s="1"/>
  <c r="BI311" i="16"/>
  <c r="BH311" i="16"/>
  <c r="BG311" i="16"/>
  <c r="BE311" i="16"/>
  <c r="T311" i="16"/>
  <c r="R311" i="16"/>
  <c r="P311" i="16"/>
  <c r="BK311" i="16"/>
  <c r="J311" i="16"/>
  <c r="BF311" i="16" s="1"/>
  <c r="BI303" i="16"/>
  <c r="BH303" i="16"/>
  <c r="BG303" i="16"/>
  <c r="BE303" i="16"/>
  <c r="T303" i="16"/>
  <c r="R303" i="16"/>
  <c r="P303" i="16"/>
  <c r="BK303" i="16"/>
  <c r="J303" i="16"/>
  <c r="BF303" i="16" s="1"/>
  <c r="BI301" i="16"/>
  <c r="BH301" i="16"/>
  <c r="BG301" i="16"/>
  <c r="BE301" i="16"/>
  <c r="T301" i="16"/>
  <c r="R301" i="16"/>
  <c r="P301" i="16"/>
  <c r="BK301" i="16"/>
  <c r="J301" i="16"/>
  <c r="BF301" i="16" s="1"/>
  <c r="BI300" i="16"/>
  <c r="BH300" i="16"/>
  <c r="BG300" i="16"/>
  <c r="BE300" i="16"/>
  <c r="T300" i="16"/>
  <c r="R300" i="16"/>
  <c r="P300" i="16"/>
  <c r="BK300" i="16"/>
  <c r="J300" i="16"/>
  <c r="BF300" i="16" s="1"/>
  <c r="BI299" i="16"/>
  <c r="BH299" i="16"/>
  <c r="BG299" i="16"/>
  <c r="BE299" i="16"/>
  <c r="T299" i="16"/>
  <c r="R299" i="16"/>
  <c r="P299" i="16"/>
  <c r="BK299" i="16"/>
  <c r="J299" i="16"/>
  <c r="BF299" i="16" s="1"/>
  <c r="BI298" i="16"/>
  <c r="BH298" i="16"/>
  <c r="BG298" i="16"/>
  <c r="BE298" i="16"/>
  <c r="T298" i="16"/>
  <c r="R298" i="16"/>
  <c r="P298" i="16"/>
  <c r="BK298" i="16"/>
  <c r="J298" i="16"/>
  <c r="BF298" i="16" s="1"/>
  <c r="BI297" i="16"/>
  <c r="BH297" i="16"/>
  <c r="BG297" i="16"/>
  <c r="BE297" i="16"/>
  <c r="T297" i="16"/>
  <c r="R297" i="16"/>
  <c r="P297" i="16"/>
  <c r="BK297" i="16"/>
  <c r="J297" i="16"/>
  <c r="BF297" i="16" s="1"/>
  <c r="BI296" i="16"/>
  <c r="BH296" i="16"/>
  <c r="BG296" i="16"/>
  <c r="BE296" i="16"/>
  <c r="T296" i="16"/>
  <c r="R296" i="16"/>
  <c r="P296" i="16"/>
  <c r="BK296" i="16"/>
  <c r="J296" i="16"/>
  <c r="BF296" i="16" s="1"/>
  <c r="BI295" i="16"/>
  <c r="BH295" i="16"/>
  <c r="BG295" i="16"/>
  <c r="BE295" i="16"/>
  <c r="T295" i="16"/>
  <c r="R295" i="16"/>
  <c r="P295" i="16"/>
  <c r="BK295" i="16"/>
  <c r="J295" i="16"/>
  <c r="BF295" i="16" s="1"/>
  <c r="BI294" i="16"/>
  <c r="BH294" i="16"/>
  <c r="BG294" i="16"/>
  <c r="BE294" i="16"/>
  <c r="T294" i="16"/>
  <c r="R294" i="16"/>
  <c r="P294" i="16"/>
  <c r="BK294" i="16"/>
  <c r="J294" i="16"/>
  <c r="BF294" i="16" s="1"/>
  <c r="BI292" i="16"/>
  <c r="BH292" i="16"/>
  <c r="BG292" i="16"/>
  <c r="BE292" i="16"/>
  <c r="T292" i="16"/>
  <c r="R292" i="16"/>
  <c r="P292" i="16"/>
  <c r="BK292" i="16"/>
  <c r="J292" i="16"/>
  <c r="BF292" i="16" s="1"/>
  <c r="BI290" i="16"/>
  <c r="BH290" i="16"/>
  <c r="BG290" i="16"/>
  <c r="BE290" i="16"/>
  <c r="T290" i="16"/>
  <c r="R290" i="16"/>
  <c r="P290" i="16"/>
  <c r="BK290" i="16"/>
  <c r="J290" i="16"/>
  <c r="BF290" i="16" s="1"/>
  <c r="BI289" i="16"/>
  <c r="BH289" i="16"/>
  <c r="BG289" i="16"/>
  <c r="BE289" i="16"/>
  <c r="T289" i="16"/>
  <c r="R289" i="16"/>
  <c r="P289" i="16"/>
  <c r="BK289" i="16"/>
  <c r="J289" i="16"/>
  <c r="BF289" i="16" s="1"/>
  <c r="BI288" i="16"/>
  <c r="BH288" i="16"/>
  <c r="BG288" i="16"/>
  <c r="BE288" i="16"/>
  <c r="T288" i="16"/>
  <c r="R288" i="16"/>
  <c r="P288" i="16"/>
  <c r="BK288" i="16"/>
  <c r="J288" i="16"/>
  <c r="BF288" i="16" s="1"/>
  <c r="BI287" i="16"/>
  <c r="BH287" i="16"/>
  <c r="BG287" i="16"/>
  <c r="BE287" i="16"/>
  <c r="T287" i="16"/>
  <c r="R287" i="16"/>
  <c r="P287" i="16"/>
  <c r="BK287" i="16"/>
  <c r="J287" i="16"/>
  <c r="BF287" i="16" s="1"/>
  <c r="BI286" i="16"/>
  <c r="BH286" i="16"/>
  <c r="BG286" i="16"/>
  <c r="BE286" i="16"/>
  <c r="T286" i="16"/>
  <c r="R286" i="16"/>
  <c r="P286" i="16"/>
  <c r="BK286" i="16"/>
  <c r="J286" i="16"/>
  <c r="BF286" i="16" s="1"/>
  <c r="BI285" i="16"/>
  <c r="BH285" i="16"/>
  <c r="BG285" i="16"/>
  <c r="BE285" i="16"/>
  <c r="T285" i="16"/>
  <c r="R285" i="16"/>
  <c r="P285" i="16"/>
  <c r="BK285" i="16"/>
  <c r="J285" i="16"/>
  <c r="BF285" i="16" s="1"/>
  <c r="BI283" i="16"/>
  <c r="BH283" i="16"/>
  <c r="BG283" i="16"/>
  <c r="BE283" i="16"/>
  <c r="T283" i="16"/>
  <c r="R283" i="16"/>
  <c r="P283" i="16"/>
  <c r="BK283" i="16"/>
  <c r="J283" i="16"/>
  <c r="BF283" i="16" s="1"/>
  <c r="BI282" i="16"/>
  <c r="BH282" i="16"/>
  <c r="BG282" i="16"/>
  <c r="BE282" i="16"/>
  <c r="T282" i="16"/>
  <c r="R282" i="16"/>
  <c r="P282" i="16"/>
  <c r="BK282" i="16"/>
  <c r="J282" i="16"/>
  <c r="BF282" i="16" s="1"/>
  <c r="BI281" i="16"/>
  <c r="BH281" i="16"/>
  <c r="BG281" i="16"/>
  <c r="BE281" i="16"/>
  <c r="T281" i="16"/>
  <c r="R281" i="16"/>
  <c r="P281" i="16"/>
  <c r="BK281" i="16"/>
  <c r="J281" i="16"/>
  <c r="BF281" i="16" s="1"/>
  <c r="BI279" i="16"/>
  <c r="BH279" i="16"/>
  <c r="BG279" i="16"/>
  <c r="BE279" i="16"/>
  <c r="T279" i="16"/>
  <c r="R279" i="16"/>
  <c r="P279" i="16"/>
  <c r="BK279" i="16"/>
  <c r="J279" i="16"/>
  <c r="BF279" i="16" s="1"/>
  <c r="BI278" i="16"/>
  <c r="BH278" i="16"/>
  <c r="BG278" i="16"/>
  <c r="BE278" i="16"/>
  <c r="T278" i="16"/>
  <c r="R278" i="16"/>
  <c r="P278" i="16"/>
  <c r="BK278" i="16"/>
  <c r="J278" i="16"/>
  <c r="BF278" i="16" s="1"/>
  <c r="BI277" i="16"/>
  <c r="BH277" i="16"/>
  <c r="BG277" i="16"/>
  <c r="BE277" i="16"/>
  <c r="T277" i="16"/>
  <c r="R277" i="16"/>
  <c r="P277" i="16"/>
  <c r="BK277" i="16"/>
  <c r="J277" i="16"/>
  <c r="BF277" i="16" s="1"/>
  <c r="BI274" i="16"/>
  <c r="BH274" i="16"/>
  <c r="BG274" i="16"/>
  <c r="BE274" i="16"/>
  <c r="T274" i="16"/>
  <c r="R274" i="16"/>
  <c r="P274" i="16"/>
  <c r="BK274" i="16"/>
  <c r="J274" i="16"/>
  <c r="BF274" i="16" s="1"/>
  <c r="BI273" i="16"/>
  <c r="BH273" i="16"/>
  <c r="BG273" i="16"/>
  <c r="BE273" i="16"/>
  <c r="T273" i="16"/>
  <c r="R273" i="16"/>
  <c r="P273" i="16"/>
  <c r="BK273" i="16"/>
  <c r="J273" i="16"/>
  <c r="BF273" i="16" s="1"/>
  <c r="BI272" i="16"/>
  <c r="BH272" i="16"/>
  <c r="BG272" i="16"/>
  <c r="BE272" i="16"/>
  <c r="T272" i="16"/>
  <c r="R272" i="16"/>
  <c r="P272" i="16"/>
  <c r="BK272" i="16"/>
  <c r="J272" i="16"/>
  <c r="BF272" i="16" s="1"/>
  <c r="BI271" i="16"/>
  <c r="BH271" i="16"/>
  <c r="BG271" i="16"/>
  <c r="BE271" i="16"/>
  <c r="T271" i="16"/>
  <c r="R271" i="16"/>
  <c r="P271" i="16"/>
  <c r="BK271" i="16"/>
  <c r="J271" i="16"/>
  <c r="BF271" i="16" s="1"/>
  <c r="BI270" i="16"/>
  <c r="BH270" i="16"/>
  <c r="BG270" i="16"/>
  <c r="BE270" i="16"/>
  <c r="T270" i="16"/>
  <c r="R270" i="16"/>
  <c r="P270" i="16"/>
  <c r="BK270" i="16"/>
  <c r="J270" i="16"/>
  <c r="BF270" i="16" s="1"/>
  <c r="BI267" i="16"/>
  <c r="BH267" i="16"/>
  <c r="BG267" i="16"/>
  <c r="BE267" i="16"/>
  <c r="T267" i="16"/>
  <c r="T266" i="16" s="1"/>
  <c r="R267" i="16"/>
  <c r="R266" i="16" s="1"/>
  <c r="P267" i="16"/>
  <c r="P266" i="16" s="1"/>
  <c r="BK267" i="16"/>
  <c r="BK266" i="16" s="1"/>
  <c r="J266" i="16" s="1"/>
  <c r="J105" i="16" s="1"/>
  <c r="J267" i="16"/>
  <c r="BF267" i="16" s="1"/>
  <c r="BI265" i="16"/>
  <c r="BH265" i="16"/>
  <c r="BG265" i="16"/>
  <c r="BE265" i="16"/>
  <c r="T265" i="16"/>
  <c r="R265" i="16"/>
  <c r="P265" i="16"/>
  <c r="BK265" i="16"/>
  <c r="J265" i="16"/>
  <c r="BF265" i="16" s="1"/>
  <c r="BI260" i="16"/>
  <c r="BH260" i="16"/>
  <c r="BG260" i="16"/>
  <c r="BE260" i="16"/>
  <c r="T260" i="16"/>
  <c r="R260" i="16"/>
  <c r="P260" i="16"/>
  <c r="BK260" i="16"/>
  <c r="J260" i="16"/>
  <c r="BF260" i="16" s="1"/>
  <c r="BI254" i="16"/>
  <c r="BH254" i="16"/>
  <c r="BG254" i="16"/>
  <c r="BE254" i="16"/>
  <c r="T254" i="16"/>
  <c r="R254" i="16"/>
  <c r="P254" i="16"/>
  <c r="BK254" i="16"/>
  <c r="J254" i="16"/>
  <c r="BF254" i="16" s="1"/>
  <c r="BI253" i="16"/>
  <c r="BH253" i="16"/>
  <c r="BG253" i="16"/>
  <c r="BE253" i="16"/>
  <c r="T253" i="16"/>
  <c r="R253" i="16"/>
  <c r="P253" i="16"/>
  <c r="BK253" i="16"/>
  <c r="J253" i="16"/>
  <c r="BF253" i="16" s="1"/>
  <c r="BI251" i="16"/>
  <c r="BH251" i="16"/>
  <c r="BG251" i="16"/>
  <c r="BE251" i="16"/>
  <c r="T251" i="16"/>
  <c r="R251" i="16"/>
  <c r="P251" i="16"/>
  <c r="BK251" i="16"/>
  <c r="J251" i="16"/>
  <c r="BF251" i="16" s="1"/>
  <c r="BI250" i="16"/>
  <c r="BH250" i="16"/>
  <c r="BG250" i="16"/>
  <c r="BE250" i="16"/>
  <c r="T250" i="16"/>
  <c r="R250" i="16"/>
  <c r="P250" i="16"/>
  <c r="BK250" i="16"/>
  <c r="J250" i="16"/>
  <c r="BF250" i="16" s="1"/>
  <c r="BI248" i="16"/>
  <c r="BH248" i="16"/>
  <c r="BG248" i="16"/>
  <c r="BE248" i="16"/>
  <c r="T248" i="16"/>
  <c r="R248" i="16"/>
  <c r="P248" i="16"/>
  <c r="BK248" i="16"/>
  <c r="J248" i="16"/>
  <c r="BF248" i="16" s="1"/>
  <c r="BI247" i="16"/>
  <c r="BH247" i="16"/>
  <c r="BG247" i="16"/>
  <c r="BE247" i="16"/>
  <c r="T247" i="16"/>
  <c r="R247" i="16"/>
  <c r="P247" i="16"/>
  <c r="BK247" i="16"/>
  <c r="J247" i="16"/>
  <c r="BF247" i="16" s="1"/>
  <c r="BI246" i="16"/>
  <c r="BH246" i="16"/>
  <c r="BG246" i="16"/>
  <c r="BE246" i="16"/>
  <c r="T246" i="16"/>
  <c r="R246" i="16"/>
  <c r="P246" i="16"/>
  <c r="BK246" i="16"/>
  <c r="J246" i="16"/>
  <c r="BF246" i="16" s="1"/>
  <c r="BI245" i="16"/>
  <c r="BH245" i="16"/>
  <c r="BG245" i="16"/>
  <c r="BE245" i="16"/>
  <c r="T245" i="16"/>
  <c r="R245" i="16"/>
  <c r="P245" i="16"/>
  <c r="BK245" i="16"/>
  <c r="J245" i="16"/>
  <c r="BF245" i="16" s="1"/>
  <c r="BI244" i="16"/>
  <c r="BH244" i="16"/>
  <c r="BG244" i="16"/>
  <c r="BE244" i="16"/>
  <c r="T244" i="16"/>
  <c r="R244" i="16"/>
  <c r="P244" i="16"/>
  <c r="BK244" i="16"/>
  <c r="J244" i="16"/>
  <c r="BF244" i="16" s="1"/>
  <c r="BI240" i="16"/>
  <c r="BH240" i="16"/>
  <c r="BG240" i="16"/>
  <c r="BE240" i="16"/>
  <c r="T240" i="16"/>
  <c r="R240" i="16"/>
  <c r="P240" i="16"/>
  <c r="BK240" i="16"/>
  <c r="J240" i="16"/>
  <c r="BF240" i="16" s="1"/>
  <c r="BI239" i="16"/>
  <c r="BH239" i="16"/>
  <c r="BG239" i="16"/>
  <c r="BE239" i="16"/>
  <c r="T239" i="16"/>
  <c r="R239" i="16"/>
  <c r="P239" i="16"/>
  <c r="BK239" i="16"/>
  <c r="J239" i="16"/>
  <c r="BF239" i="16" s="1"/>
  <c r="BI238" i="16"/>
  <c r="BH238" i="16"/>
  <c r="BG238" i="16"/>
  <c r="BE238" i="16"/>
  <c r="T238" i="16"/>
  <c r="R238" i="16"/>
  <c r="P238" i="16"/>
  <c r="BK238" i="16"/>
  <c r="J238" i="16"/>
  <c r="BF238" i="16" s="1"/>
  <c r="BI237" i="16"/>
  <c r="BH237" i="16"/>
  <c r="BG237" i="16"/>
  <c r="BE237" i="16"/>
  <c r="T237" i="16"/>
  <c r="R237" i="16"/>
  <c r="P237" i="16"/>
  <c r="BK237" i="16"/>
  <c r="J237" i="16"/>
  <c r="BF237" i="16" s="1"/>
  <c r="BI236" i="16"/>
  <c r="BH236" i="16"/>
  <c r="BG236" i="16"/>
  <c r="BE236" i="16"/>
  <c r="T236" i="16"/>
  <c r="R236" i="16"/>
  <c r="P236" i="16"/>
  <c r="BK236" i="16"/>
  <c r="J236" i="16"/>
  <c r="BF236" i="16" s="1"/>
  <c r="BI235" i="16"/>
  <c r="BH235" i="16"/>
  <c r="BG235" i="16"/>
  <c r="BE235" i="16"/>
  <c r="T235" i="16"/>
  <c r="R235" i="16"/>
  <c r="P235" i="16"/>
  <c r="BK235" i="16"/>
  <c r="J235" i="16"/>
  <c r="BF235" i="16" s="1"/>
  <c r="BI234" i="16"/>
  <c r="BH234" i="16"/>
  <c r="BG234" i="16"/>
  <c r="BE234" i="16"/>
  <c r="T234" i="16"/>
  <c r="R234" i="16"/>
  <c r="P234" i="16"/>
  <c r="BK234" i="16"/>
  <c r="J234" i="16"/>
  <c r="BF234" i="16" s="1"/>
  <c r="BI232" i="16"/>
  <c r="BH232" i="16"/>
  <c r="BG232" i="16"/>
  <c r="BE232" i="16"/>
  <c r="T232" i="16"/>
  <c r="R232" i="16"/>
  <c r="P232" i="16"/>
  <c r="BK232" i="16"/>
  <c r="J232" i="16"/>
  <c r="BF232" i="16" s="1"/>
  <c r="BI231" i="16"/>
  <c r="BH231" i="16"/>
  <c r="BG231" i="16"/>
  <c r="BE231" i="16"/>
  <c r="T231" i="16"/>
  <c r="R231" i="16"/>
  <c r="P231" i="16"/>
  <c r="BK231" i="16"/>
  <c r="J231" i="16"/>
  <c r="BF231" i="16" s="1"/>
  <c r="BI230" i="16"/>
  <c r="BH230" i="16"/>
  <c r="BG230" i="16"/>
  <c r="BE230" i="16"/>
  <c r="T230" i="16"/>
  <c r="R230" i="16"/>
  <c r="P230" i="16"/>
  <c r="BK230" i="16"/>
  <c r="J230" i="16"/>
  <c r="BF230" i="16" s="1"/>
  <c r="BI229" i="16"/>
  <c r="BH229" i="16"/>
  <c r="BG229" i="16"/>
  <c r="BE229" i="16"/>
  <c r="T229" i="16"/>
  <c r="R229" i="16"/>
  <c r="P229" i="16"/>
  <c r="BK229" i="16"/>
  <c r="J229" i="16"/>
  <c r="BF229" i="16" s="1"/>
  <c r="BI228" i="16"/>
  <c r="BH228" i="16"/>
  <c r="BG228" i="16"/>
  <c r="BE228" i="16"/>
  <c r="T228" i="16"/>
  <c r="R228" i="16"/>
  <c r="P228" i="16"/>
  <c r="BK228" i="16"/>
  <c r="J228" i="16"/>
  <c r="BF228" i="16" s="1"/>
  <c r="BI227" i="16"/>
  <c r="BH227" i="16"/>
  <c r="BG227" i="16"/>
  <c r="BE227" i="16"/>
  <c r="T227" i="16"/>
  <c r="R227" i="16"/>
  <c r="P227" i="16"/>
  <c r="BK227" i="16"/>
  <c r="J227" i="16"/>
  <c r="BF227" i="16" s="1"/>
  <c r="BI226" i="16"/>
  <c r="BH226" i="16"/>
  <c r="BG226" i="16"/>
  <c r="BE226" i="16"/>
  <c r="T226" i="16"/>
  <c r="R226" i="16"/>
  <c r="P226" i="16"/>
  <c r="BK226" i="16"/>
  <c r="J226" i="16"/>
  <c r="BF226" i="16" s="1"/>
  <c r="BI224" i="16"/>
  <c r="BH224" i="16"/>
  <c r="BG224" i="16"/>
  <c r="BE224" i="16"/>
  <c r="T224" i="16"/>
  <c r="R224" i="16"/>
  <c r="P224" i="16"/>
  <c r="BK224" i="16"/>
  <c r="J224" i="16"/>
  <c r="BF224" i="16" s="1"/>
  <c r="BI223" i="16"/>
  <c r="BH223" i="16"/>
  <c r="BG223" i="16"/>
  <c r="BE223" i="16"/>
  <c r="T223" i="16"/>
  <c r="R223" i="16"/>
  <c r="P223" i="16"/>
  <c r="BK223" i="16"/>
  <c r="J223" i="16"/>
  <c r="BF223" i="16" s="1"/>
  <c r="BI222" i="16"/>
  <c r="BH222" i="16"/>
  <c r="BG222" i="16"/>
  <c r="BE222" i="16"/>
  <c r="T222" i="16"/>
  <c r="R222" i="16"/>
  <c r="P222" i="16"/>
  <c r="BK222" i="16"/>
  <c r="J222" i="16"/>
  <c r="BF222" i="16" s="1"/>
  <c r="BI220" i="16"/>
  <c r="BH220" i="16"/>
  <c r="BG220" i="16"/>
  <c r="BE220" i="16"/>
  <c r="T220" i="16"/>
  <c r="R220" i="16"/>
  <c r="P220" i="16"/>
  <c r="BK220" i="16"/>
  <c r="J220" i="16"/>
  <c r="BF220" i="16" s="1"/>
  <c r="BI219" i="16"/>
  <c r="BH219" i="16"/>
  <c r="BG219" i="16"/>
  <c r="BE219" i="16"/>
  <c r="T219" i="16"/>
  <c r="R219" i="16"/>
  <c r="P219" i="16"/>
  <c r="BK219" i="16"/>
  <c r="J219" i="16"/>
  <c r="BF219" i="16" s="1"/>
  <c r="BI209" i="16"/>
  <c r="BH209" i="16"/>
  <c r="BG209" i="16"/>
  <c r="BE209" i="16"/>
  <c r="T209" i="16"/>
  <c r="R209" i="16"/>
  <c r="P209" i="16"/>
  <c r="BK209" i="16"/>
  <c r="J209" i="16"/>
  <c r="BF209" i="16" s="1"/>
  <c r="BI208" i="16"/>
  <c r="BH208" i="16"/>
  <c r="BG208" i="16"/>
  <c r="BE208" i="16"/>
  <c r="T208" i="16"/>
  <c r="R208" i="16"/>
  <c r="P208" i="16"/>
  <c r="BK208" i="16"/>
  <c r="J208" i="16"/>
  <c r="BF208" i="16" s="1"/>
  <c r="BI207" i="16"/>
  <c r="BH207" i="16"/>
  <c r="BG207" i="16"/>
  <c r="BE207" i="16"/>
  <c r="T207" i="16"/>
  <c r="R207" i="16"/>
  <c r="P207" i="16"/>
  <c r="BK207" i="16"/>
  <c r="J207" i="16"/>
  <c r="BF207" i="16" s="1"/>
  <c r="BI206" i="16"/>
  <c r="BH206" i="16"/>
  <c r="BG206" i="16"/>
  <c r="BE206" i="16"/>
  <c r="T206" i="16"/>
  <c r="R206" i="16"/>
  <c r="P206" i="16"/>
  <c r="BK206" i="16"/>
  <c r="J206" i="16"/>
  <c r="BF206" i="16" s="1"/>
  <c r="BI205" i="16"/>
  <c r="BH205" i="16"/>
  <c r="BG205" i="16"/>
  <c r="BE205" i="16"/>
  <c r="T205" i="16"/>
  <c r="R205" i="16"/>
  <c r="P205" i="16"/>
  <c r="BK205" i="16"/>
  <c r="J205" i="16"/>
  <c r="BF205" i="16" s="1"/>
  <c r="BI204" i="16"/>
  <c r="BH204" i="16"/>
  <c r="BG204" i="16"/>
  <c r="BE204" i="16"/>
  <c r="T204" i="16"/>
  <c r="R204" i="16"/>
  <c r="P204" i="16"/>
  <c r="BK204" i="16"/>
  <c r="J204" i="16"/>
  <c r="BF204" i="16" s="1"/>
  <c r="BI202" i="16"/>
  <c r="BH202" i="16"/>
  <c r="BG202" i="16"/>
  <c r="BE202" i="16"/>
  <c r="T202" i="16"/>
  <c r="R202" i="16"/>
  <c r="P202" i="16"/>
  <c r="BK202" i="16"/>
  <c r="J202" i="16"/>
  <c r="BF202" i="16" s="1"/>
  <c r="BI201" i="16"/>
  <c r="BH201" i="16"/>
  <c r="BG201" i="16"/>
  <c r="BE201" i="16"/>
  <c r="T201" i="16"/>
  <c r="R201" i="16"/>
  <c r="P201" i="16"/>
  <c r="BK201" i="16"/>
  <c r="J201" i="16"/>
  <c r="BF201" i="16" s="1"/>
  <c r="BI200" i="16"/>
  <c r="BH200" i="16"/>
  <c r="BG200" i="16"/>
  <c r="BE200" i="16"/>
  <c r="T200" i="16"/>
  <c r="R200" i="16"/>
  <c r="P200" i="16"/>
  <c r="BK200" i="16"/>
  <c r="J200" i="16"/>
  <c r="BF200" i="16" s="1"/>
  <c r="BI199" i="16"/>
  <c r="BH199" i="16"/>
  <c r="BG199" i="16"/>
  <c r="BE199" i="16"/>
  <c r="T199" i="16"/>
  <c r="R199" i="16"/>
  <c r="P199" i="16"/>
  <c r="BK199" i="16"/>
  <c r="J199" i="16"/>
  <c r="BF199" i="16" s="1"/>
  <c r="BI198" i="16"/>
  <c r="BH198" i="16"/>
  <c r="BG198" i="16"/>
  <c r="BE198" i="16"/>
  <c r="T198" i="16"/>
  <c r="R198" i="16"/>
  <c r="P198" i="16"/>
  <c r="BK198" i="16"/>
  <c r="J198" i="16"/>
  <c r="BF198" i="16" s="1"/>
  <c r="BI197" i="16"/>
  <c r="BH197" i="16"/>
  <c r="BG197" i="16"/>
  <c r="BE197" i="16"/>
  <c r="T197" i="16"/>
  <c r="R197" i="16"/>
  <c r="P197" i="16"/>
  <c r="BK197" i="16"/>
  <c r="J197" i="16"/>
  <c r="BF197" i="16" s="1"/>
  <c r="BI196" i="16"/>
  <c r="BH196" i="16"/>
  <c r="BG196" i="16"/>
  <c r="BE196" i="16"/>
  <c r="T196" i="16"/>
  <c r="R196" i="16"/>
  <c r="P196" i="16"/>
  <c r="BK196" i="16"/>
  <c r="J196" i="16"/>
  <c r="BF196" i="16" s="1"/>
  <c r="BI195" i="16"/>
  <c r="BH195" i="16"/>
  <c r="BG195" i="16"/>
  <c r="BE195" i="16"/>
  <c r="T195" i="16"/>
  <c r="R195" i="16"/>
  <c r="P195" i="16"/>
  <c r="BK195" i="16"/>
  <c r="J195" i="16"/>
  <c r="BF195" i="16" s="1"/>
  <c r="BI194" i="16"/>
  <c r="BH194" i="16"/>
  <c r="BG194" i="16"/>
  <c r="BE194" i="16"/>
  <c r="T194" i="16"/>
  <c r="R194" i="16"/>
  <c r="P194" i="16"/>
  <c r="BK194" i="16"/>
  <c r="J194" i="16"/>
  <c r="BF194" i="16" s="1"/>
  <c r="BI193" i="16"/>
  <c r="BH193" i="16"/>
  <c r="BG193" i="16"/>
  <c r="BE193" i="16"/>
  <c r="T193" i="16"/>
  <c r="R193" i="16"/>
  <c r="P193" i="16"/>
  <c r="BK193" i="16"/>
  <c r="J193" i="16"/>
  <c r="BF193" i="16" s="1"/>
  <c r="BI192" i="16"/>
  <c r="BH192" i="16"/>
  <c r="BG192" i="16"/>
  <c r="BE192" i="16"/>
  <c r="T192" i="16"/>
  <c r="R192" i="16"/>
  <c r="P192" i="16"/>
  <c r="BK192" i="16"/>
  <c r="J192" i="16"/>
  <c r="BF192" i="16" s="1"/>
  <c r="BI191" i="16"/>
  <c r="BH191" i="16"/>
  <c r="BG191" i="16"/>
  <c r="BE191" i="16"/>
  <c r="T191" i="16"/>
  <c r="R191" i="16"/>
  <c r="P191" i="16"/>
  <c r="BK191" i="16"/>
  <c r="J191" i="16"/>
  <c r="BF191" i="16" s="1"/>
  <c r="BI190" i="16"/>
  <c r="BH190" i="16"/>
  <c r="BG190" i="16"/>
  <c r="BE190" i="16"/>
  <c r="T190" i="16"/>
  <c r="R190" i="16"/>
  <c r="P190" i="16"/>
  <c r="BK190" i="16"/>
  <c r="J190" i="16"/>
  <c r="BF190" i="16" s="1"/>
  <c r="BI183" i="16"/>
  <c r="BH183" i="16"/>
  <c r="BG183" i="16"/>
  <c r="BE183" i="16"/>
  <c r="T183" i="16"/>
  <c r="R183" i="16"/>
  <c r="P183" i="16"/>
  <c r="BK183" i="16"/>
  <c r="J183" i="16"/>
  <c r="BF183" i="16" s="1"/>
  <c r="BI182" i="16"/>
  <c r="BH182" i="16"/>
  <c r="BG182" i="16"/>
  <c r="BE182" i="16"/>
  <c r="T182" i="16"/>
  <c r="R182" i="16"/>
  <c r="P182" i="16"/>
  <c r="BK182" i="16"/>
  <c r="J182" i="16"/>
  <c r="BF182" i="16" s="1"/>
  <c r="BI181" i="16"/>
  <c r="BH181" i="16"/>
  <c r="BG181" i="16"/>
  <c r="BE181" i="16"/>
  <c r="T181" i="16"/>
  <c r="R181" i="16"/>
  <c r="P181" i="16"/>
  <c r="BK181" i="16"/>
  <c r="J181" i="16"/>
  <c r="BF181" i="16" s="1"/>
  <c r="BI179" i="16"/>
  <c r="BH179" i="16"/>
  <c r="BG179" i="16"/>
  <c r="BE179" i="16"/>
  <c r="T179" i="16"/>
  <c r="R179" i="16"/>
  <c r="P179" i="16"/>
  <c r="BK179" i="16"/>
  <c r="J179" i="16"/>
  <c r="BF179" i="16" s="1"/>
  <c r="BI177" i="16"/>
  <c r="BH177" i="16"/>
  <c r="BG177" i="16"/>
  <c r="BE177" i="16"/>
  <c r="T177" i="16"/>
  <c r="R177" i="16"/>
  <c r="P177" i="16"/>
  <c r="BK177" i="16"/>
  <c r="J177" i="16"/>
  <c r="BF177" i="16" s="1"/>
  <c r="BI176" i="16"/>
  <c r="BH176" i="16"/>
  <c r="BG176" i="16"/>
  <c r="BE176" i="16"/>
  <c r="T176" i="16"/>
  <c r="R176" i="16"/>
  <c r="P176" i="16"/>
  <c r="BK176" i="16"/>
  <c r="J176" i="16"/>
  <c r="BF176" i="16" s="1"/>
  <c r="BI173" i="16"/>
  <c r="BH173" i="16"/>
  <c r="BG173" i="16"/>
  <c r="BE173" i="16"/>
  <c r="T173" i="16"/>
  <c r="R173" i="16"/>
  <c r="P173" i="16"/>
  <c r="BK173" i="16"/>
  <c r="J173" i="16"/>
  <c r="BF173" i="16" s="1"/>
  <c r="BI172" i="16"/>
  <c r="BH172" i="16"/>
  <c r="BG172" i="16"/>
  <c r="BE172" i="16"/>
  <c r="T172" i="16"/>
  <c r="R172" i="16"/>
  <c r="P172" i="16"/>
  <c r="BK172" i="16"/>
  <c r="J172" i="16"/>
  <c r="BF172" i="16" s="1"/>
  <c r="BI171" i="16"/>
  <c r="BH171" i="16"/>
  <c r="BG171" i="16"/>
  <c r="BE171" i="16"/>
  <c r="T171" i="16"/>
  <c r="R171" i="16"/>
  <c r="P171" i="16"/>
  <c r="BK171" i="16"/>
  <c r="J171" i="16"/>
  <c r="BF171" i="16" s="1"/>
  <c r="BI170" i="16"/>
  <c r="BH170" i="16"/>
  <c r="BG170" i="16"/>
  <c r="BE170" i="16"/>
  <c r="T170" i="16"/>
  <c r="R170" i="16"/>
  <c r="P170" i="16"/>
  <c r="BK170" i="16"/>
  <c r="J170" i="16"/>
  <c r="BF170" i="16" s="1"/>
  <c r="BI169" i="16"/>
  <c r="BH169" i="16"/>
  <c r="BG169" i="16"/>
  <c r="BE169" i="16"/>
  <c r="T169" i="16"/>
  <c r="R169" i="16"/>
  <c r="P169" i="16"/>
  <c r="BK169" i="16"/>
  <c r="J169" i="16"/>
  <c r="BF169" i="16" s="1"/>
  <c r="BI167" i="16"/>
  <c r="BH167" i="16"/>
  <c r="BG167" i="16"/>
  <c r="BE167" i="16"/>
  <c r="T167" i="16"/>
  <c r="R167" i="16"/>
  <c r="P167" i="16"/>
  <c r="BK167" i="16"/>
  <c r="J167" i="16"/>
  <c r="BF167" i="16" s="1"/>
  <c r="BI166" i="16"/>
  <c r="BH166" i="16"/>
  <c r="BG166" i="16"/>
  <c r="BE166" i="16"/>
  <c r="T166" i="16"/>
  <c r="R166" i="16"/>
  <c r="P166" i="16"/>
  <c r="BK166" i="16"/>
  <c r="J166" i="16"/>
  <c r="BF166" i="16" s="1"/>
  <c r="BI165" i="16"/>
  <c r="BH165" i="16"/>
  <c r="BG165" i="16"/>
  <c r="BE165" i="16"/>
  <c r="T165" i="16"/>
  <c r="R165" i="16"/>
  <c r="P165" i="16"/>
  <c r="BK165" i="16"/>
  <c r="J165" i="16"/>
  <c r="BF165" i="16" s="1"/>
  <c r="BI164" i="16"/>
  <c r="BH164" i="16"/>
  <c r="BG164" i="16"/>
  <c r="BE164" i="16"/>
  <c r="T164" i="16"/>
  <c r="R164" i="16"/>
  <c r="P164" i="16"/>
  <c r="BK164" i="16"/>
  <c r="J164" i="16"/>
  <c r="BF164" i="16" s="1"/>
  <c r="BI163" i="16"/>
  <c r="BH163" i="16"/>
  <c r="BG163" i="16"/>
  <c r="BE163" i="16"/>
  <c r="T163" i="16"/>
  <c r="R163" i="16"/>
  <c r="P163" i="16"/>
  <c r="BK163" i="16"/>
  <c r="J163" i="16"/>
  <c r="BF163" i="16" s="1"/>
  <c r="BI162" i="16"/>
  <c r="BH162" i="16"/>
  <c r="BG162" i="16"/>
  <c r="BE162" i="16"/>
  <c r="T162" i="16"/>
  <c r="R162" i="16"/>
  <c r="P162" i="16"/>
  <c r="BK162" i="16"/>
  <c r="J162" i="16"/>
  <c r="BF162" i="16" s="1"/>
  <c r="BI161" i="16"/>
  <c r="BH161" i="16"/>
  <c r="BG161" i="16"/>
  <c r="BE161" i="16"/>
  <c r="T161" i="16"/>
  <c r="R161" i="16"/>
  <c r="P161" i="16"/>
  <c r="BK161" i="16"/>
  <c r="J161" i="16"/>
  <c r="BF161" i="16" s="1"/>
  <c r="BI160" i="16"/>
  <c r="BH160" i="16"/>
  <c r="BG160" i="16"/>
  <c r="BE160" i="16"/>
  <c r="T160" i="16"/>
  <c r="R160" i="16"/>
  <c r="P160" i="16"/>
  <c r="BK160" i="16"/>
  <c r="J160" i="16"/>
  <c r="BF160" i="16" s="1"/>
  <c r="BI159" i="16"/>
  <c r="BH159" i="16"/>
  <c r="BG159" i="16"/>
  <c r="BE159" i="16"/>
  <c r="T159" i="16"/>
  <c r="R159" i="16"/>
  <c r="P159" i="16"/>
  <c r="BK159" i="16"/>
  <c r="J159" i="16"/>
  <c r="BF159" i="16" s="1"/>
  <c r="BI158" i="16"/>
  <c r="BH158" i="16"/>
  <c r="BG158" i="16"/>
  <c r="BE158" i="16"/>
  <c r="T158" i="16"/>
  <c r="R158" i="16"/>
  <c r="P158" i="16"/>
  <c r="BK158" i="16"/>
  <c r="J158" i="16"/>
  <c r="BF158" i="16" s="1"/>
  <c r="BI156" i="16"/>
  <c r="BH156" i="16"/>
  <c r="BG156" i="16"/>
  <c r="BE156" i="16"/>
  <c r="T156" i="16"/>
  <c r="R156" i="16"/>
  <c r="P156" i="16"/>
  <c r="BK156" i="16"/>
  <c r="J156" i="16"/>
  <c r="BF156" i="16" s="1"/>
  <c r="BI155" i="16"/>
  <c r="BH155" i="16"/>
  <c r="BG155" i="16"/>
  <c r="BE155" i="16"/>
  <c r="T155" i="16"/>
  <c r="R155" i="16"/>
  <c r="P155" i="16"/>
  <c r="BK155" i="16"/>
  <c r="J155" i="16"/>
  <c r="BF155" i="16" s="1"/>
  <c r="BI154" i="16"/>
  <c r="BH154" i="16"/>
  <c r="BG154" i="16"/>
  <c r="BE154" i="16"/>
  <c r="T154" i="16"/>
  <c r="R154" i="16"/>
  <c r="P154" i="16"/>
  <c r="BK154" i="16"/>
  <c r="J154" i="16"/>
  <c r="BF154" i="16" s="1"/>
  <c r="BI153" i="16"/>
  <c r="BH153" i="16"/>
  <c r="BG153" i="16"/>
  <c r="BE153" i="16"/>
  <c r="T153" i="16"/>
  <c r="R153" i="16"/>
  <c r="P153" i="16"/>
  <c r="BK153" i="16"/>
  <c r="J153" i="16"/>
  <c r="BF153" i="16" s="1"/>
  <c r="BI151" i="16"/>
  <c r="BH151" i="16"/>
  <c r="BG151" i="16"/>
  <c r="BE151" i="16"/>
  <c r="T151" i="16"/>
  <c r="R151" i="16"/>
  <c r="P151" i="16"/>
  <c r="BK151" i="16"/>
  <c r="J151" i="16"/>
  <c r="BF151" i="16" s="1"/>
  <c r="BI150" i="16"/>
  <c r="BH150" i="16"/>
  <c r="BG150" i="16"/>
  <c r="BE150" i="16"/>
  <c r="T150" i="16"/>
  <c r="R150" i="16"/>
  <c r="P150" i="16"/>
  <c r="BK150" i="16"/>
  <c r="J150" i="16"/>
  <c r="BF150" i="16" s="1"/>
  <c r="BI149" i="16"/>
  <c r="BH149" i="16"/>
  <c r="BG149" i="16"/>
  <c r="BE149" i="16"/>
  <c r="T149" i="16"/>
  <c r="R149" i="16"/>
  <c r="P149" i="16"/>
  <c r="BK149" i="16"/>
  <c r="J149" i="16"/>
  <c r="BF149" i="16" s="1"/>
  <c r="BI148" i="16"/>
  <c r="BH148" i="16"/>
  <c r="BG148" i="16"/>
  <c r="BE148" i="16"/>
  <c r="T148" i="16"/>
  <c r="R148" i="16"/>
  <c r="P148" i="16"/>
  <c r="BK148" i="16"/>
  <c r="J148" i="16"/>
  <c r="BF148" i="16" s="1"/>
  <c r="BI147" i="16"/>
  <c r="BH147" i="16"/>
  <c r="BG147" i="16"/>
  <c r="BE147" i="16"/>
  <c r="T147" i="16"/>
  <c r="R147" i="16"/>
  <c r="P147" i="16"/>
  <c r="BK147" i="16"/>
  <c r="J147" i="16"/>
  <c r="BF147" i="16" s="1"/>
  <c r="BI146" i="16"/>
  <c r="BH146" i="16"/>
  <c r="BG146" i="16"/>
  <c r="BE146" i="16"/>
  <c r="T146" i="16"/>
  <c r="R146" i="16"/>
  <c r="P146" i="16"/>
  <c r="BK146" i="16"/>
  <c r="J146" i="16"/>
  <c r="BF146" i="16" s="1"/>
  <c r="F136" i="16"/>
  <c r="F89" i="16"/>
  <c r="J24" i="16"/>
  <c r="E24" i="16"/>
  <c r="J139" i="16" s="1"/>
  <c r="J23" i="16"/>
  <c r="J21" i="16"/>
  <c r="E21" i="16"/>
  <c r="J20" i="16"/>
  <c r="J18" i="16"/>
  <c r="J15" i="16"/>
  <c r="E15" i="16"/>
  <c r="J14" i="16"/>
  <c r="J89" i="16"/>
  <c r="J136" i="16"/>
  <c r="J126" i="15"/>
  <c r="J97" i="15" s="1"/>
  <c r="J37" i="15"/>
  <c r="J36" i="15"/>
  <c r="AY108" i="1"/>
  <c r="J35" i="15"/>
  <c r="AX108" i="1" s="1"/>
  <c r="BI201" i="15"/>
  <c r="BH201" i="15"/>
  <c r="BG201" i="15"/>
  <c r="BE201" i="15"/>
  <c r="T201" i="15"/>
  <c r="R201" i="15"/>
  <c r="P201" i="15"/>
  <c r="BK201" i="15"/>
  <c r="J201" i="15"/>
  <c r="BF201" i="15" s="1"/>
  <c r="BI200" i="15"/>
  <c r="BH200" i="15"/>
  <c r="BG200" i="15"/>
  <c r="BE200" i="15"/>
  <c r="T200" i="15"/>
  <c r="R200" i="15"/>
  <c r="P200" i="15"/>
  <c r="BK200" i="15"/>
  <c r="J200" i="15"/>
  <c r="BF200" i="15" s="1"/>
  <c r="BI199" i="15"/>
  <c r="BH199" i="15"/>
  <c r="BG199" i="15"/>
  <c r="BE199" i="15"/>
  <c r="T199" i="15"/>
  <c r="R199" i="15"/>
  <c r="P199" i="15"/>
  <c r="BK199" i="15"/>
  <c r="BK197" i="15" s="1"/>
  <c r="J197" i="15" s="1"/>
  <c r="J105" i="15" s="1"/>
  <c r="J199" i="15"/>
  <c r="BF199" i="15"/>
  <c r="BI198" i="15"/>
  <c r="BH198" i="15"/>
  <c r="BG198" i="15"/>
  <c r="BE198" i="15"/>
  <c r="T198" i="15"/>
  <c r="R198" i="15"/>
  <c r="P198" i="15"/>
  <c r="BK198" i="15"/>
  <c r="J198" i="15"/>
  <c r="BF198" i="15" s="1"/>
  <c r="BI196" i="15"/>
  <c r="BH196" i="15"/>
  <c r="BG196" i="15"/>
  <c r="BE196" i="15"/>
  <c r="T196" i="15"/>
  <c r="R196" i="15"/>
  <c r="P196" i="15"/>
  <c r="BK196" i="15"/>
  <c r="J196" i="15"/>
  <c r="BF196" i="15" s="1"/>
  <c r="BI195" i="15"/>
  <c r="BH195" i="15"/>
  <c r="BG195" i="15"/>
  <c r="BE195" i="15"/>
  <c r="T195" i="15"/>
  <c r="R195" i="15"/>
  <c r="P195" i="15"/>
  <c r="BK195" i="15"/>
  <c r="J195" i="15"/>
  <c r="BF195" i="15" s="1"/>
  <c r="BI194" i="15"/>
  <c r="BH194" i="15"/>
  <c r="BG194" i="15"/>
  <c r="BE194" i="15"/>
  <c r="T194" i="15"/>
  <c r="R194" i="15"/>
  <c r="P194" i="15"/>
  <c r="BK194" i="15"/>
  <c r="J194" i="15"/>
  <c r="BF194" i="15" s="1"/>
  <c r="BI193" i="15"/>
  <c r="BH193" i="15"/>
  <c r="BG193" i="15"/>
  <c r="BE193" i="15"/>
  <c r="T193" i="15"/>
  <c r="R193" i="15"/>
  <c r="P193" i="15"/>
  <c r="BK193" i="15"/>
  <c r="J193" i="15"/>
  <c r="BF193" i="15" s="1"/>
  <c r="BI191" i="15"/>
  <c r="BH191" i="15"/>
  <c r="BG191" i="15"/>
  <c r="BE191" i="15"/>
  <c r="T191" i="15"/>
  <c r="R191" i="15"/>
  <c r="P191" i="15"/>
  <c r="BK191" i="15"/>
  <c r="J191" i="15"/>
  <c r="BF191" i="15" s="1"/>
  <c r="BI190" i="15"/>
  <c r="BH190" i="15"/>
  <c r="BG190" i="15"/>
  <c r="BE190" i="15"/>
  <c r="T190" i="15"/>
  <c r="R190" i="15"/>
  <c r="P190" i="15"/>
  <c r="BK190" i="15"/>
  <c r="J190" i="15"/>
  <c r="BF190" i="15" s="1"/>
  <c r="BI189" i="15"/>
  <c r="BH189" i="15"/>
  <c r="BG189" i="15"/>
  <c r="BE189" i="15"/>
  <c r="T189" i="15"/>
  <c r="R189" i="15"/>
  <c r="R188" i="15" s="1"/>
  <c r="P189" i="15"/>
  <c r="BK189" i="15"/>
  <c r="J189" i="15"/>
  <c r="BF189" i="15" s="1"/>
  <c r="BI187" i="15"/>
  <c r="BH187" i="15"/>
  <c r="BG187" i="15"/>
  <c r="BE187" i="15"/>
  <c r="T187" i="15"/>
  <c r="R187" i="15"/>
  <c r="P187" i="15"/>
  <c r="BK187" i="15"/>
  <c r="J187" i="15"/>
  <c r="BF187" i="15" s="1"/>
  <c r="BI186" i="15"/>
  <c r="BH186" i="15"/>
  <c r="BG186" i="15"/>
  <c r="BE186" i="15"/>
  <c r="T186" i="15"/>
  <c r="R186" i="15"/>
  <c r="P186" i="15"/>
  <c r="BK186" i="15"/>
  <c r="J186" i="15"/>
  <c r="BF186" i="15" s="1"/>
  <c r="BI185" i="15"/>
  <c r="BH185" i="15"/>
  <c r="BG185" i="15"/>
  <c r="BE185" i="15"/>
  <c r="T185" i="15"/>
  <c r="R185" i="15"/>
  <c r="P185" i="15"/>
  <c r="BK185" i="15"/>
  <c r="J185" i="15"/>
  <c r="BF185" i="15"/>
  <c r="BI184" i="15"/>
  <c r="BH184" i="15"/>
  <c r="BG184" i="15"/>
  <c r="BE184" i="15"/>
  <c r="T184" i="15"/>
  <c r="R184" i="15"/>
  <c r="P184" i="15"/>
  <c r="BK184" i="15"/>
  <c r="J184" i="15"/>
  <c r="BF184" i="15" s="1"/>
  <c r="BI183" i="15"/>
  <c r="BH183" i="15"/>
  <c r="BG183" i="15"/>
  <c r="BE183" i="15"/>
  <c r="T183" i="15"/>
  <c r="R183" i="15"/>
  <c r="P183" i="15"/>
  <c r="BK183" i="15"/>
  <c r="J183" i="15"/>
  <c r="BF183" i="15" s="1"/>
  <c r="BI182" i="15"/>
  <c r="BH182" i="15"/>
  <c r="BG182" i="15"/>
  <c r="BE182" i="15"/>
  <c r="T182" i="15"/>
  <c r="R182" i="15"/>
  <c r="P182" i="15"/>
  <c r="BK182" i="15"/>
  <c r="J182" i="15"/>
  <c r="BF182" i="15" s="1"/>
  <c r="BI181" i="15"/>
  <c r="BH181" i="15"/>
  <c r="BG181" i="15"/>
  <c r="BE181" i="15"/>
  <c r="T181" i="15"/>
  <c r="R181" i="15"/>
  <c r="P181" i="15"/>
  <c r="BK181" i="15"/>
  <c r="J181" i="15"/>
  <c r="BF181" i="15"/>
  <c r="BI180" i="15"/>
  <c r="BH180" i="15"/>
  <c r="BG180" i="15"/>
  <c r="BE180" i="15"/>
  <c r="T180" i="15"/>
  <c r="R180" i="15"/>
  <c r="P180" i="15"/>
  <c r="BK180" i="15"/>
  <c r="J180" i="15"/>
  <c r="BF180" i="15" s="1"/>
  <c r="BI179" i="15"/>
  <c r="BH179" i="15"/>
  <c r="BG179" i="15"/>
  <c r="BE179" i="15"/>
  <c r="T179" i="15"/>
  <c r="R179" i="15"/>
  <c r="P179" i="15"/>
  <c r="BK179" i="15"/>
  <c r="J179" i="15"/>
  <c r="BF179" i="15" s="1"/>
  <c r="BI178" i="15"/>
  <c r="BH178" i="15"/>
  <c r="BG178" i="15"/>
  <c r="BE178" i="15"/>
  <c r="T178" i="15"/>
  <c r="R178" i="15"/>
  <c r="P178" i="15"/>
  <c r="BK178" i="15"/>
  <c r="J178" i="15"/>
  <c r="BF178" i="15" s="1"/>
  <c r="BI177" i="15"/>
  <c r="BH177" i="15"/>
  <c r="BG177" i="15"/>
  <c r="BE177" i="15"/>
  <c r="T177" i="15"/>
  <c r="R177" i="15"/>
  <c r="P177" i="15"/>
  <c r="BK177" i="15"/>
  <c r="J177" i="15"/>
  <c r="BF177" i="15"/>
  <c r="BI176" i="15"/>
  <c r="BH176" i="15"/>
  <c r="BG176" i="15"/>
  <c r="BE176" i="15"/>
  <c r="T176" i="15"/>
  <c r="R176" i="15"/>
  <c r="P176" i="15"/>
  <c r="BK176" i="15"/>
  <c r="J176" i="15"/>
  <c r="BF176" i="15" s="1"/>
  <c r="BI175" i="15"/>
  <c r="BH175" i="15"/>
  <c r="BG175" i="15"/>
  <c r="BE175" i="15"/>
  <c r="T175" i="15"/>
  <c r="R175" i="15"/>
  <c r="P175" i="15"/>
  <c r="BK175" i="15"/>
  <c r="J175" i="15"/>
  <c r="BF175" i="15" s="1"/>
  <c r="BI173" i="15"/>
  <c r="BH173" i="15"/>
  <c r="BG173" i="15"/>
  <c r="BE173" i="15"/>
  <c r="T173" i="15"/>
  <c r="R173" i="15"/>
  <c r="P173" i="15"/>
  <c r="BK173" i="15"/>
  <c r="J173" i="15"/>
  <c r="BF173" i="15" s="1"/>
  <c r="BI172" i="15"/>
  <c r="BH172" i="15"/>
  <c r="BG172" i="15"/>
  <c r="BE172" i="15"/>
  <c r="T172" i="15"/>
  <c r="R172" i="15"/>
  <c r="P172" i="15"/>
  <c r="BK172" i="15"/>
  <c r="J172" i="15"/>
  <c r="BF172" i="15" s="1"/>
  <c r="BI171" i="15"/>
  <c r="BH171" i="15"/>
  <c r="BG171" i="15"/>
  <c r="BE171" i="15"/>
  <c r="T171" i="15"/>
  <c r="R171" i="15"/>
  <c r="P171" i="15"/>
  <c r="BK171" i="15"/>
  <c r="J171" i="15"/>
  <c r="BF171" i="15"/>
  <c r="BI170" i="15"/>
  <c r="BH170" i="15"/>
  <c r="BG170" i="15"/>
  <c r="BE170" i="15"/>
  <c r="T170" i="15"/>
  <c r="R170" i="15"/>
  <c r="P170" i="15"/>
  <c r="BK170" i="15"/>
  <c r="J170" i="15"/>
  <c r="BF170" i="15" s="1"/>
  <c r="BI169" i="15"/>
  <c r="BH169" i="15"/>
  <c r="BG169" i="15"/>
  <c r="BE169" i="15"/>
  <c r="T169" i="15"/>
  <c r="R169" i="15"/>
  <c r="P169" i="15"/>
  <c r="BK169" i="15"/>
  <c r="J169" i="15"/>
  <c r="BF169" i="15" s="1"/>
  <c r="BI168" i="15"/>
  <c r="BH168" i="15"/>
  <c r="BG168" i="15"/>
  <c r="BE168" i="15"/>
  <c r="T168" i="15"/>
  <c r="R168" i="15"/>
  <c r="P168" i="15"/>
  <c r="BK168" i="15"/>
  <c r="J168" i="15"/>
  <c r="BF168" i="15" s="1"/>
  <c r="BI167" i="15"/>
  <c r="BH167" i="15"/>
  <c r="BG167" i="15"/>
  <c r="BE167" i="15"/>
  <c r="T167" i="15"/>
  <c r="R167" i="15"/>
  <c r="P167" i="15"/>
  <c r="BK167" i="15"/>
  <c r="J167" i="15"/>
  <c r="BF167" i="15"/>
  <c r="BI166" i="15"/>
  <c r="BH166" i="15"/>
  <c r="BG166" i="15"/>
  <c r="BE166" i="15"/>
  <c r="T166" i="15"/>
  <c r="R166" i="15"/>
  <c r="P166" i="15"/>
  <c r="BK166" i="15"/>
  <c r="J166" i="15"/>
  <c r="BF166" i="15" s="1"/>
  <c r="BI165" i="15"/>
  <c r="BH165" i="15"/>
  <c r="BG165" i="15"/>
  <c r="BE165" i="15"/>
  <c r="T165" i="15"/>
  <c r="R165" i="15"/>
  <c r="P165" i="15"/>
  <c r="BK165" i="15"/>
  <c r="J165" i="15"/>
  <c r="BF165" i="15" s="1"/>
  <c r="BI164" i="15"/>
  <c r="BH164" i="15"/>
  <c r="BG164" i="15"/>
  <c r="BE164" i="15"/>
  <c r="T164" i="15"/>
  <c r="R164" i="15"/>
  <c r="P164" i="15"/>
  <c r="BK164" i="15"/>
  <c r="J164" i="15"/>
  <c r="BF164" i="15" s="1"/>
  <c r="BI163" i="15"/>
  <c r="BH163" i="15"/>
  <c r="BG163" i="15"/>
  <c r="BE163" i="15"/>
  <c r="T163" i="15"/>
  <c r="R163" i="15"/>
  <c r="P163" i="15"/>
  <c r="BK163" i="15"/>
  <c r="J163" i="15"/>
  <c r="BF163" i="15"/>
  <c r="BI162" i="15"/>
  <c r="BH162" i="15"/>
  <c r="BG162" i="15"/>
  <c r="BE162" i="15"/>
  <c r="T162" i="15"/>
  <c r="R162" i="15"/>
  <c r="P162" i="15"/>
  <c r="BK162" i="15"/>
  <c r="J162" i="15"/>
  <c r="BF162" i="15" s="1"/>
  <c r="BI161" i="15"/>
  <c r="BH161" i="15"/>
  <c r="BG161" i="15"/>
  <c r="BE161" i="15"/>
  <c r="T161" i="15"/>
  <c r="R161" i="15"/>
  <c r="P161" i="15"/>
  <c r="BK161" i="15"/>
  <c r="J161" i="15"/>
  <c r="BF161" i="15" s="1"/>
  <c r="BI160" i="15"/>
  <c r="BH160" i="15"/>
  <c r="BG160" i="15"/>
  <c r="BE160" i="15"/>
  <c r="T160" i="15"/>
  <c r="R160" i="15"/>
  <c r="P160" i="15"/>
  <c r="BK160" i="15"/>
  <c r="J160" i="15"/>
  <c r="BF160" i="15" s="1"/>
  <c r="BI159" i="15"/>
  <c r="BH159" i="15"/>
  <c r="BG159" i="15"/>
  <c r="BE159" i="15"/>
  <c r="T159" i="15"/>
  <c r="R159" i="15"/>
  <c r="P159" i="15"/>
  <c r="BK159" i="15"/>
  <c r="BK157" i="15" s="1"/>
  <c r="J157" i="15" s="1"/>
  <c r="J101" i="15" s="1"/>
  <c r="J159" i="15"/>
  <c r="BF159" i="15"/>
  <c r="BI158" i="15"/>
  <c r="BH158" i="15"/>
  <c r="BG158" i="15"/>
  <c r="BE158" i="15"/>
  <c r="T158" i="15"/>
  <c r="R158" i="15"/>
  <c r="P158" i="15"/>
  <c r="BK158" i="15"/>
  <c r="J158" i="15"/>
  <c r="BF158" i="15" s="1"/>
  <c r="BI156" i="15"/>
  <c r="BH156" i="15"/>
  <c r="BG156" i="15"/>
  <c r="BE156" i="15"/>
  <c r="T156" i="15"/>
  <c r="R156" i="15"/>
  <c r="P156" i="15"/>
  <c r="BK156" i="15"/>
  <c r="J156" i="15"/>
  <c r="BF156" i="15" s="1"/>
  <c r="BI155" i="15"/>
  <c r="BH155" i="15"/>
  <c r="BG155" i="15"/>
  <c r="BE155" i="15"/>
  <c r="T155" i="15"/>
  <c r="R155" i="15"/>
  <c r="P155" i="15"/>
  <c r="BK155" i="15"/>
  <c r="J155" i="15"/>
  <c r="BF155" i="15" s="1"/>
  <c r="BI154" i="15"/>
  <c r="BH154" i="15"/>
  <c r="BG154" i="15"/>
  <c r="BE154" i="15"/>
  <c r="T154" i="15"/>
  <c r="R154" i="15"/>
  <c r="P154" i="15"/>
  <c r="BK154" i="15"/>
  <c r="J154" i="15"/>
  <c r="BF154" i="15" s="1"/>
  <c r="BI153" i="15"/>
  <c r="BH153" i="15"/>
  <c r="BG153" i="15"/>
  <c r="BE153" i="15"/>
  <c r="T153" i="15"/>
  <c r="R153" i="15"/>
  <c r="P153" i="15"/>
  <c r="BK153" i="15"/>
  <c r="J153" i="15"/>
  <c r="BF153" i="15"/>
  <c r="BI152" i="15"/>
  <c r="BH152" i="15"/>
  <c r="BG152" i="15"/>
  <c r="BE152" i="15"/>
  <c r="T152" i="15"/>
  <c r="R152" i="15"/>
  <c r="P152" i="15"/>
  <c r="BK152" i="15"/>
  <c r="J152" i="15"/>
  <c r="BF152" i="15" s="1"/>
  <c r="BI151" i="15"/>
  <c r="BH151" i="15"/>
  <c r="BG151" i="15"/>
  <c r="BE151" i="15"/>
  <c r="T151" i="15"/>
  <c r="R151" i="15"/>
  <c r="P151" i="15"/>
  <c r="BK151" i="15"/>
  <c r="J151" i="15"/>
  <c r="BF151" i="15" s="1"/>
  <c r="BI150" i="15"/>
  <c r="BH150" i="15"/>
  <c r="BG150" i="15"/>
  <c r="BE150" i="15"/>
  <c r="T150" i="15"/>
  <c r="R150" i="15"/>
  <c r="P150" i="15"/>
  <c r="BK150" i="15"/>
  <c r="J150" i="15"/>
  <c r="BF150" i="15" s="1"/>
  <c r="BI149" i="15"/>
  <c r="BH149" i="15"/>
  <c r="BG149" i="15"/>
  <c r="BE149" i="15"/>
  <c r="T149" i="15"/>
  <c r="R149" i="15"/>
  <c r="P149" i="15"/>
  <c r="BK149" i="15"/>
  <c r="J149" i="15"/>
  <c r="BF149" i="15"/>
  <c r="BI148" i="15"/>
  <c r="BH148" i="15"/>
  <c r="BG148" i="15"/>
  <c r="BE148" i="15"/>
  <c r="T148" i="15"/>
  <c r="R148" i="15"/>
  <c r="P148" i="15"/>
  <c r="BK148" i="15"/>
  <c r="J148" i="15"/>
  <c r="BF148" i="15" s="1"/>
  <c r="BI147" i="15"/>
  <c r="BH147" i="15"/>
  <c r="BG147" i="15"/>
  <c r="BE147" i="15"/>
  <c r="T147" i="15"/>
  <c r="R147" i="15"/>
  <c r="P147" i="15"/>
  <c r="BK147" i="15"/>
  <c r="J147" i="15"/>
  <c r="BF147" i="15" s="1"/>
  <c r="BI146" i="15"/>
  <c r="BH146" i="15"/>
  <c r="BG146" i="15"/>
  <c r="BE146" i="15"/>
  <c r="T146" i="15"/>
  <c r="R146" i="15"/>
  <c r="P146" i="15"/>
  <c r="BK146" i="15"/>
  <c r="J146" i="15"/>
  <c r="BF146" i="15" s="1"/>
  <c r="BI145" i="15"/>
  <c r="BH145" i="15"/>
  <c r="BG145" i="15"/>
  <c r="BE145" i="15"/>
  <c r="T145" i="15"/>
  <c r="R145" i="15"/>
  <c r="P145" i="15"/>
  <c r="BK145" i="15"/>
  <c r="BK144" i="15" s="1"/>
  <c r="J144" i="15" s="1"/>
  <c r="J100" i="15" s="1"/>
  <c r="J145" i="15"/>
  <c r="BF145" i="15"/>
  <c r="BI143" i="15"/>
  <c r="BH143" i="15"/>
  <c r="BG143" i="15"/>
  <c r="BE143" i="15"/>
  <c r="T143" i="15"/>
  <c r="R143" i="15"/>
  <c r="P143" i="15"/>
  <c r="BK143" i="15"/>
  <c r="J143" i="15"/>
  <c r="BF143" i="15"/>
  <c r="BI142" i="15"/>
  <c r="BH142" i="15"/>
  <c r="BG142" i="15"/>
  <c r="BE142" i="15"/>
  <c r="T142" i="15"/>
  <c r="R142" i="15"/>
  <c r="P142" i="15"/>
  <c r="BK142" i="15"/>
  <c r="J142" i="15"/>
  <c r="BF142" i="15" s="1"/>
  <c r="BI141" i="15"/>
  <c r="BH141" i="15"/>
  <c r="BG141" i="15"/>
  <c r="BE141" i="15"/>
  <c r="T141" i="15"/>
  <c r="R141" i="15"/>
  <c r="P141" i="15"/>
  <c r="BK141" i="15"/>
  <c r="J141" i="15"/>
  <c r="BF141" i="15" s="1"/>
  <c r="BI140" i="15"/>
  <c r="BH140" i="15"/>
  <c r="BG140" i="15"/>
  <c r="BE140" i="15"/>
  <c r="T140" i="15"/>
  <c r="R140" i="15"/>
  <c r="P140" i="15"/>
  <c r="BK140" i="15"/>
  <c r="J140" i="15"/>
  <c r="BF140" i="15" s="1"/>
  <c r="BI139" i="15"/>
  <c r="BH139" i="15"/>
  <c r="BG139" i="15"/>
  <c r="BE139" i="15"/>
  <c r="T139" i="15"/>
  <c r="R139" i="15"/>
  <c r="P139" i="15"/>
  <c r="BK139" i="15"/>
  <c r="J139" i="15"/>
  <c r="BF139" i="15"/>
  <c r="BI138" i="15"/>
  <c r="BH138" i="15"/>
  <c r="BG138" i="15"/>
  <c r="BE138" i="15"/>
  <c r="T138" i="15"/>
  <c r="R138" i="15"/>
  <c r="P138" i="15"/>
  <c r="BK138" i="15"/>
  <c r="J138" i="15"/>
  <c r="BF138" i="15" s="1"/>
  <c r="BI137" i="15"/>
  <c r="BH137" i="15"/>
  <c r="BG137" i="15"/>
  <c r="BE137" i="15"/>
  <c r="T137" i="15"/>
  <c r="R137" i="15"/>
  <c r="P137" i="15"/>
  <c r="BK137" i="15"/>
  <c r="J137" i="15"/>
  <c r="BF137" i="15" s="1"/>
  <c r="BI136" i="15"/>
  <c r="BH136" i="15"/>
  <c r="BG136" i="15"/>
  <c r="BE136" i="15"/>
  <c r="T136" i="15"/>
  <c r="R136" i="15"/>
  <c r="P136" i="15"/>
  <c r="BK136" i="15"/>
  <c r="J136" i="15"/>
  <c r="BF136" i="15" s="1"/>
  <c r="BI135" i="15"/>
  <c r="BH135" i="15"/>
  <c r="BG135" i="15"/>
  <c r="BE135" i="15"/>
  <c r="T135" i="15"/>
  <c r="R135" i="15"/>
  <c r="P135" i="15"/>
  <c r="BK135" i="15"/>
  <c r="J135" i="15"/>
  <c r="BF135" i="15"/>
  <c r="BI134" i="15"/>
  <c r="BH134" i="15"/>
  <c r="BG134" i="15"/>
  <c r="BE134" i="15"/>
  <c r="T134" i="15"/>
  <c r="R134" i="15"/>
  <c r="P134" i="15"/>
  <c r="BK134" i="15"/>
  <c r="J134" i="15"/>
  <c r="BF134" i="15" s="1"/>
  <c r="BI133" i="15"/>
  <c r="BH133" i="15"/>
  <c r="BG133" i="15"/>
  <c r="BE133" i="15"/>
  <c r="T133" i="15"/>
  <c r="R133" i="15"/>
  <c r="P133" i="15"/>
  <c r="BK133" i="15"/>
  <c r="J133" i="15"/>
  <c r="BF133" i="15" s="1"/>
  <c r="BI132" i="15"/>
  <c r="BH132" i="15"/>
  <c r="BG132" i="15"/>
  <c r="BE132" i="15"/>
  <c r="T132" i="15"/>
  <c r="R132" i="15"/>
  <c r="P132" i="15"/>
  <c r="BK132" i="15"/>
  <c r="J132" i="15"/>
  <c r="BF132" i="15" s="1"/>
  <c r="BI131" i="15"/>
  <c r="BH131" i="15"/>
  <c r="BG131" i="15"/>
  <c r="BE131" i="15"/>
  <c r="T131" i="15"/>
  <c r="R131" i="15"/>
  <c r="P131" i="15"/>
  <c r="BK131" i="15"/>
  <c r="J131" i="15"/>
  <c r="BF131" i="15"/>
  <c r="BI130" i="15"/>
  <c r="BH130" i="15"/>
  <c r="BG130" i="15"/>
  <c r="BE130" i="15"/>
  <c r="T130" i="15"/>
  <c r="R130" i="15"/>
  <c r="P130" i="15"/>
  <c r="BK130" i="15"/>
  <c r="J130" i="15"/>
  <c r="BF130" i="15" s="1"/>
  <c r="BI129" i="15"/>
  <c r="BH129" i="15"/>
  <c r="BG129" i="15"/>
  <c r="BE129" i="15"/>
  <c r="T129" i="15"/>
  <c r="T128" i="15" s="1"/>
  <c r="R129" i="15"/>
  <c r="P129" i="15"/>
  <c r="BK129" i="15"/>
  <c r="J129" i="15"/>
  <c r="BF129" i="15" s="1"/>
  <c r="F119" i="15"/>
  <c r="F89" i="15"/>
  <c r="J24" i="15"/>
  <c r="E24" i="15"/>
  <c r="J92" i="15" s="1"/>
  <c r="J122" i="15"/>
  <c r="J23" i="15"/>
  <c r="J21" i="15"/>
  <c r="E21" i="15"/>
  <c r="J91" i="15" s="1"/>
  <c r="J20" i="15"/>
  <c r="J18" i="15"/>
  <c r="J15" i="15"/>
  <c r="E15" i="15"/>
  <c r="J14" i="15"/>
  <c r="J89" i="15"/>
  <c r="J97" i="14"/>
  <c r="J37" i="14"/>
  <c r="J36" i="14"/>
  <c r="AY107" i="1" s="1"/>
  <c r="J35" i="14"/>
  <c r="AX107" i="1" s="1"/>
  <c r="BI219" i="14"/>
  <c r="BH219" i="14"/>
  <c r="BG219" i="14"/>
  <c r="BE219" i="14"/>
  <c r="T219" i="14"/>
  <c r="R219" i="14"/>
  <c r="P219" i="14"/>
  <c r="BK219" i="14"/>
  <c r="J219" i="14"/>
  <c r="BF219" i="14" s="1"/>
  <c r="BI218" i="14"/>
  <c r="BH218" i="14"/>
  <c r="BG218" i="14"/>
  <c r="BE218" i="14"/>
  <c r="T218" i="14"/>
  <c r="R218" i="14"/>
  <c r="P218" i="14"/>
  <c r="BK218" i="14"/>
  <c r="J218" i="14"/>
  <c r="BF218" i="14" s="1"/>
  <c r="BI217" i="14"/>
  <c r="BH217" i="14"/>
  <c r="BG217" i="14"/>
  <c r="BE217" i="14"/>
  <c r="T217" i="14"/>
  <c r="R217" i="14"/>
  <c r="P217" i="14"/>
  <c r="BK217" i="14"/>
  <c r="J217" i="14"/>
  <c r="BF217" i="14" s="1"/>
  <c r="BI216" i="14"/>
  <c r="BH216" i="14"/>
  <c r="BG216" i="14"/>
  <c r="BE216" i="14"/>
  <c r="T216" i="14"/>
  <c r="T215" i="14" s="1"/>
  <c r="R216" i="14"/>
  <c r="P216" i="14"/>
  <c r="BK216" i="14"/>
  <c r="J216" i="14"/>
  <c r="BF216" i="14" s="1"/>
  <c r="BI214" i="14"/>
  <c r="BH214" i="14"/>
  <c r="BG214" i="14"/>
  <c r="BE214" i="14"/>
  <c r="T214" i="14"/>
  <c r="R214" i="14"/>
  <c r="P214" i="14"/>
  <c r="BK214" i="14"/>
  <c r="J214" i="14"/>
  <c r="BF214" i="14" s="1"/>
  <c r="BI213" i="14"/>
  <c r="BH213" i="14"/>
  <c r="BG213" i="14"/>
  <c r="BE213" i="14"/>
  <c r="T213" i="14"/>
  <c r="R213" i="14"/>
  <c r="P213" i="14"/>
  <c r="BK213" i="14"/>
  <c r="J213" i="14"/>
  <c r="BF213" i="14" s="1"/>
  <c r="BI212" i="14"/>
  <c r="BH212" i="14"/>
  <c r="BG212" i="14"/>
  <c r="BE212" i="14"/>
  <c r="T212" i="14"/>
  <c r="R212" i="14"/>
  <c r="P212" i="14"/>
  <c r="BK212" i="14"/>
  <c r="J212" i="14"/>
  <c r="BF212" i="14" s="1"/>
  <c r="BI211" i="14"/>
  <c r="BH211" i="14"/>
  <c r="BG211" i="14"/>
  <c r="BE211" i="14"/>
  <c r="T211" i="14"/>
  <c r="R211" i="14"/>
  <c r="P211" i="14"/>
  <c r="BK211" i="14"/>
  <c r="J211" i="14"/>
  <c r="BF211" i="14"/>
  <c r="BI210" i="14"/>
  <c r="BH210" i="14"/>
  <c r="BG210" i="14"/>
  <c r="BE210" i="14"/>
  <c r="T210" i="14"/>
  <c r="R210" i="14"/>
  <c r="P210" i="14"/>
  <c r="BK210" i="14"/>
  <c r="J210" i="14"/>
  <c r="BF210" i="14" s="1"/>
  <c r="BI209" i="14"/>
  <c r="BH209" i="14"/>
  <c r="BG209" i="14"/>
  <c r="BE209" i="14"/>
  <c r="T209" i="14"/>
  <c r="R209" i="14"/>
  <c r="P209" i="14"/>
  <c r="BK209" i="14"/>
  <c r="J209" i="14"/>
  <c r="BF209" i="14" s="1"/>
  <c r="BI208" i="14"/>
  <c r="BH208" i="14"/>
  <c r="BG208" i="14"/>
  <c r="BE208" i="14"/>
  <c r="T208" i="14"/>
  <c r="R208" i="14"/>
  <c r="P208" i="14"/>
  <c r="BK208" i="14"/>
  <c r="J208" i="14"/>
  <c r="BF208" i="14" s="1"/>
  <c r="BI207" i="14"/>
  <c r="BH207" i="14"/>
  <c r="BG207" i="14"/>
  <c r="BE207" i="14"/>
  <c r="T207" i="14"/>
  <c r="R207" i="14"/>
  <c r="P207" i="14"/>
  <c r="BK207" i="14"/>
  <c r="J207" i="14"/>
  <c r="BF207" i="14"/>
  <c r="BI206" i="14"/>
  <c r="BH206" i="14"/>
  <c r="BG206" i="14"/>
  <c r="BE206" i="14"/>
  <c r="T206" i="14"/>
  <c r="R206" i="14"/>
  <c r="P206" i="14"/>
  <c r="BK206" i="14"/>
  <c r="J206" i="14"/>
  <c r="BF206" i="14" s="1"/>
  <c r="BI205" i="14"/>
  <c r="BH205" i="14"/>
  <c r="BG205" i="14"/>
  <c r="BE205" i="14"/>
  <c r="T205" i="14"/>
  <c r="R205" i="14"/>
  <c r="P205" i="14"/>
  <c r="BK205" i="14"/>
  <c r="J205" i="14"/>
  <c r="BF205" i="14" s="1"/>
  <c r="BI204" i="14"/>
  <c r="BH204" i="14"/>
  <c r="BG204" i="14"/>
  <c r="BE204" i="14"/>
  <c r="T204" i="14"/>
  <c r="R204" i="14"/>
  <c r="P204" i="14"/>
  <c r="BK204" i="14"/>
  <c r="J204" i="14"/>
  <c r="BF204" i="14" s="1"/>
  <c r="BI203" i="14"/>
  <c r="BH203" i="14"/>
  <c r="BG203" i="14"/>
  <c r="BE203" i="14"/>
  <c r="T203" i="14"/>
  <c r="R203" i="14"/>
  <c r="P203" i="14"/>
  <c r="BK203" i="14"/>
  <c r="J203" i="14"/>
  <c r="BF203" i="14"/>
  <c r="BI202" i="14"/>
  <c r="BH202" i="14"/>
  <c r="BG202" i="14"/>
  <c r="BE202" i="14"/>
  <c r="T202" i="14"/>
  <c r="R202" i="14"/>
  <c r="P202" i="14"/>
  <c r="BK202" i="14"/>
  <c r="J202" i="14"/>
  <c r="BF202" i="14" s="1"/>
  <c r="BI201" i="14"/>
  <c r="BH201" i="14"/>
  <c r="BG201" i="14"/>
  <c r="BE201" i="14"/>
  <c r="T201" i="14"/>
  <c r="R201" i="14"/>
  <c r="P201" i="14"/>
  <c r="BK201" i="14"/>
  <c r="J201" i="14"/>
  <c r="BF201" i="14" s="1"/>
  <c r="BI200" i="14"/>
  <c r="BH200" i="14"/>
  <c r="BG200" i="14"/>
  <c r="BE200" i="14"/>
  <c r="T200" i="14"/>
  <c r="R200" i="14"/>
  <c r="P200" i="14"/>
  <c r="BK200" i="14"/>
  <c r="J200" i="14"/>
  <c r="BF200" i="14" s="1"/>
  <c r="BI199" i="14"/>
  <c r="BH199" i="14"/>
  <c r="BG199" i="14"/>
  <c r="BE199" i="14"/>
  <c r="T199" i="14"/>
  <c r="R199" i="14"/>
  <c r="P199" i="14"/>
  <c r="BK199" i="14"/>
  <c r="J199" i="14"/>
  <c r="BF199" i="14"/>
  <c r="BI198" i="14"/>
  <c r="BH198" i="14"/>
  <c r="BG198" i="14"/>
  <c r="BE198" i="14"/>
  <c r="T198" i="14"/>
  <c r="R198" i="14"/>
  <c r="P198" i="14"/>
  <c r="BK198" i="14"/>
  <c r="J198" i="14"/>
  <c r="BF198" i="14" s="1"/>
  <c r="BI197" i="14"/>
  <c r="BH197" i="14"/>
  <c r="BG197" i="14"/>
  <c r="BE197" i="14"/>
  <c r="T197" i="14"/>
  <c r="R197" i="14"/>
  <c r="P197" i="14"/>
  <c r="BK197" i="14"/>
  <c r="J197" i="14"/>
  <c r="BF197" i="14" s="1"/>
  <c r="BI196" i="14"/>
  <c r="BH196" i="14"/>
  <c r="BG196" i="14"/>
  <c r="BE196" i="14"/>
  <c r="T196" i="14"/>
  <c r="R196" i="14"/>
  <c r="P196" i="14"/>
  <c r="BK196" i="14"/>
  <c r="J196" i="14"/>
  <c r="BF196" i="14" s="1"/>
  <c r="BI195" i="14"/>
  <c r="BH195" i="14"/>
  <c r="BG195" i="14"/>
  <c r="BE195" i="14"/>
  <c r="T195" i="14"/>
  <c r="R195" i="14"/>
  <c r="P195" i="14"/>
  <c r="BK195" i="14"/>
  <c r="J195" i="14"/>
  <c r="BF195" i="14" s="1"/>
  <c r="BI194" i="14"/>
  <c r="BH194" i="14"/>
  <c r="BG194" i="14"/>
  <c r="BE194" i="14"/>
  <c r="T194" i="14"/>
  <c r="R194" i="14"/>
  <c r="P194" i="14"/>
  <c r="BK194" i="14"/>
  <c r="J194" i="14"/>
  <c r="BF194" i="14" s="1"/>
  <c r="BI193" i="14"/>
  <c r="BH193" i="14"/>
  <c r="BG193" i="14"/>
  <c r="BE193" i="14"/>
  <c r="T193" i="14"/>
  <c r="R193" i="14"/>
  <c r="P193" i="14"/>
  <c r="BK193" i="14"/>
  <c r="J193" i="14"/>
  <c r="BF193" i="14" s="1"/>
  <c r="BI192" i="14"/>
  <c r="BH192" i="14"/>
  <c r="BG192" i="14"/>
  <c r="BE192" i="14"/>
  <c r="T192" i="14"/>
  <c r="R192" i="14"/>
  <c r="P192" i="14"/>
  <c r="BK192" i="14"/>
  <c r="J192" i="14"/>
  <c r="BF192" i="14" s="1"/>
  <c r="BI191" i="14"/>
  <c r="BH191" i="14"/>
  <c r="BG191" i="14"/>
  <c r="BE191" i="14"/>
  <c r="T191" i="14"/>
  <c r="R191" i="14"/>
  <c r="P191" i="14"/>
  <c r="BK191" i="14"/>
  <c r="J191" i="14"/>
  <c r="BF191" i="14" s="1"/>
  <c r="BI190" i="14"/>
  <c r="BH190" i="14"/>
  <c r="BG190" i="14"/>
  <c r="BE190" i="14"/>
  <c r="T190" i="14"/>
  <c r="R190" i="14"/>
  <c r="P190" i="14"/>
  <c r="BK190" i="14"/>
  <c r="J190" i="14"/>
  <c r="BF190" i="14" s="1"/>
  <c r="BI189" i="14"/>
  <c r="BH189" i="14"/>
  <c r="BG189" i="14"/>
  <c r="BE189" i="14"/>
  <c r="T189" i="14"/>
  <c r="R189" i="14"/>
  <c r="P189" i="14"/>
  <c r="BK189" i="14"/>
  <c r="J189" i="14"/>
  <c r="BF189" i="14" s="1"/>
  <c r="BI188" i="14"/>
  <c r="BH188" i="14"/>
  <c r="BG188" i="14"/>
  <c r="BE188" i="14"/>
  <c r="T188" i="14"/>
  <c r="R188" i="14"/>
  <c r="P188" i="14"/>
  <c r="BK188" i="14"/>
  <c r="J188" i="14"/>
  <c r="BF188" i="14" s="1"/>
  <c r="BI187" i="14"/>
  <c r="BH187" i="14"/>
  <c r="BG187" i="14"/>
  <c r="BE187" i="14"/>
  <c r="T187" i="14"/>
  <c r="R187" i="14"/>
  <c r="P187" i="14"/>
  <c r="BK187" i="14"/>
  <c r="J187" i="14"/>
  <c r="BF187" i="14" s="1"/>
  <c r="BI186" i="14"/>
  <c r="BH186" i="14"/>
  <c r="BG186" i="14"/>
  <c r="BE186" i="14"/>
  <c r="T186" i="14"/>
  <c r="R186" i="14"/>
  <c r="P186" i="14"/>
  <c r="BK186" i="14"/>
  <c r="J186" i="14"/>
  <c r="BF186" i="14" s="1"/>
  <c r="BI185" i="14"/>
  <c r="BH185" i="14"/>
  <c r="BG185" i="14"/>
  <c r="BE185" i="14"/>
  <c r="T185" i="14"/>
  <c r="R185" i="14"/>
  <c r="P185" i="14"/>
  <c r="BK185" i="14"/>
  <c r="J185" i="14"/>
  <c r="BF185" i="14" s="1"/>
  <c r="BI184" i="14"/>
  <c r="BH184" i="14"/>
  <c r="BG184" i="14"/>
  <c r="BE184" i="14"/>
  <c r="T184" i="14"/>
  <c r="R184" i="14"/>
  <c r="P184" i="14"/>
  <c r="BK184" i="14"/>
  <c r="J184" i="14"/>
  <c r="BF184" i="14" s="1"/>
  <c r="BI183" i="14"/>
  <c r="BH183" i="14"/>
  <c r="BG183" i="14"/>
  <c r="BE183" i="14"/>
  <c r="T183" i="14"/>
  <c r="R183" i="14"/>
  <c r="P183" i="14"/>
  <c r="BK183" i="14"/>
  <c r="J183" i="14"/>
  <c r="BF183" i="14" s="1"/>
  <c r="BI182" i="14"/>
  <c r="BH182" i="14"/>
  <c r="BG182" i="14"/>
  <c r="BE182" i="14"/>
  <c r="T182" i="14"/>
  <c r="R182" i="14"/>
  <c r="P182" i="14"/>
  <c r="BK182" i="14"/>
  <c r="J182" i="14"/>
  <c r="BF182" i="14" s="1"/>
  <c r="BI181" i="14"/>
  <c r="BH181" i="14"/>
  <c r="BG181" i="14"/>
  <c r="BE181" i="14"/>
  <c r="T181" i="14"/>
  <c r="R181" i="14"/>
  <c r="P181" i="14"/>
  <c r="BK181" i="14"/>
  <c r="J181" i="14"/>
  <c r="BF181" i="14" s="1"/>
  <c r="BI180" i="14"/>
  <c r="BH180" i="14"/>
  <c r="BG180" i="14"/>
  <c r="BE180" i="14"/>
  <c r="T180" i="14"/>
  <c r="R180" i="14"/>
  <c r="P180" i="14"/>
  <c r="BK180" i="14"/>
  <c r="J180" i="14"/>
  <c r="BF180" i="14" s="1"/>
  <c r="BI179" i="14"/>
  <c r="BH179" i="14"/>
  <c r="BG179" i="14"/>
  <c r="BE179" i="14"/>
  <c r="T179" i="14"/>
  <c r="R179" i="14"/>
  <c r="P179" i="14"/>
  <c r="BK179" i="14"/>
  <c r="J179" i="14"/>
  <c r="BF179" i="14" s="1"/>
  <c r="BI178" i="14"/>
  <c r="BH178" i="14"/>
  <c r="BG178" i="14"/>
  <c r="BE178" i="14"/>
  <c r="T178" i="14"/>
  <c r="R178" i="14"/>
  <c r="P178" i="14"/>
  <c r="BK178" i="14"/>
  <c r="J178" i="14"/>
  <c r="BF178" i="14" s="1"/>
  <c r="BI176" i="14"/>
  <c r="BH176" i="14"/>
  <c r="BG176" i="14"/>
  <c r="BE176" i="14"/>
  <c r="T176" i="14"/>
  <c r="R176" i="14"/>
  <c r="R173" i="14" s="1"/>
  <c r="P176" i="14"/>
  <c r="BK176" i="14"/>
  <c r="J176" i="14"/>
  <c r="BF176" i="14" s="1"/>
  <c r="BI175" i="14"/>
  <c r="BH175" i="14"/>
  <c r="BG175" i="14"/>
  <c r="BE175" i="14"/>
  <c r="T175" i="14"/>
  <c r="R175" i="14"/>
  <c r="P175" i="14"/>
  <c r="BK175" i="14"/>
  <c r="J175" i="14"/>
  <c r="BF175" i="14" s="1"/>
  <c r="BI174" i="14"/>
  <c r="BH174" i="14"/>
  <c r="BG174" i="14"/>
  <c r="BE174" i="14"/>
  <c r="T174" i="14"/>
  <c r="T173" i="14"/>
  <c r="R174" i="14"/>
  <c r="P174" i="14"/>
  <c r="BK174" i="14"/>
  <c r="J174" i="14"/>
  <c r="BF174" i="14" s="1"/>
  <c r="BI172" i="14"/>
  <c r="BH172" i="14"/>
  <c r="BG172" i="14"/>
  <c r="BE172" i="14"/>
  <c r="T172" i="14"/>
  <c r="R172" i="14"/>
  <c r="P172" i="14"/>
  <c r="BK172" i="14"/>
  <c r="J172" i="14"/>
  <c r="BF172" i="14" s="1"/>
  <c r="BI171" i="14"/>
  <c r="BH171" i="14"/>
  <c r="BG171" i="14"/>
  <c r="BE171" i="14"/>
  <c r="T171" i="14"/>
  <c r="R171" i="14"/>
  <c r="P171" i="14"/>
  <c r="BK171" i="14"/>
  <c r="J171" i="14"/>
  <c r="BF171" i="14" s="1"/>
  <c r="BI170" i="14"/>
  <c r="BH170" i="14"/>
  <c r="BG170" i="14"/>
  <c r="BE170" i="14"/>
  <c r="T170" i="14"/>
  <c r="R170" i="14"/>
  <c r="P170" i="14"/>
  <c r="BK170" i="14"/>
  <c r="J170" i="14"/>
  <c r="BF170" i="14" s="1"/>
  <c r="BI169" i="14"/>
  <c r="BH169" i="14"/>
  <c r="BG169" i="14"/>
  <c r="BE169" i="14"/>
  <c r="T169" i="14"/>
  <c r="R169" i="14"/>
  <c r="P169" i="14"/>
  <c r="BK169" i="14"/>
  <c r="J169" i="14"/>
  <c r="BF169" i="14" s="1"/>
  <c r="BI168" i="14"/>
  <c r="BH168" i="14"/>
  <c r="BG168" i="14"/>
  <c r="BE168" i="14"/>
  <c r="T168" i="14"/>
  <c r="R168" i="14"/>
  <c r="P168" i="14"/>
  <c r="BK168" i="14"/>
  <c r="J168" i="14"/>
  <c r="BF168" i="14" s="1"/>
  <c r="BI167" i="14"/>
  <c r="BH167" i="14"/>
  <c r="BG167" i="14"/>
  <c r="BE167" i="14"/>
  <c r="T167" i="14"/>
  <c r="R167" i="14"/>
  <c r="P167" i="14"/>
  <c r="BK167" i="14"/>
  <c r="J167" i="14"/>
  <c r="BF167" i="14" s="1"/>
  <c r="BI166" i="14"/>
  <c r="BH166" i="14"/>
  <c r="BG166" i="14"/>
  <c r="BE166" i="14"/>
  <c r="T166" i="14"/>
  <c r="R166" i="14"/>
  <c r="P166" i="14"/>
  <c r="BK166" i="14"/>
  <c r="J166" i="14"/>
  <c r="BF166" i="14" s="1"/>
  <c r="BI165" i="14"/>
  <c r="BH165" i="14"/>
  <c r="BG165" i="14"/>
  <c r="BE165" i="14"/>
  <c r="T165" i="14"/>
  <c r="R165" i="14"/>
  <c r="P165" i="14"/>
  <c r="BK165" i="14"/>
  <c r="J165" i="14"/>
  <c r="BF165" i="14" s="1"/>
  <c r="BI164" i="14"/>
  <c r="BH164" i="14"/>
  <c r="BG164" i="14"/>
  <c r="BE164" i="14"/>
  <c r="T164" i="14"/>
  <c r="R164" i="14"/>
  <c r="P164" i="14"/>
  <c r="BK164" i="14"/>
  <c r="J164" i="14"/>
  <c r="BF164" i="14" s="1"/>
  <c r="BI163" i="14"/>
  <c r="BH163" i="14"/>
  <c r="BG163" i="14"/>
  <c r="BE163" i="14"/>
  <c r="T163" i="14"/>
  <c r="R163" i="14"/>
  <c r="P163" i="14"/>
  <c r="BK163" i="14"/>
  <c r="J163" i="14"/>
  <c r="BF163" i="14" s="1"/>
  <c r="BI162" i="14"/>
  <c r="BH162" i="14"/>
  <c r="BG162" i="14"/>
  <c r="BE162" i="14"/>
  <c r="T162" i="14"/>
  <c r="R162" i="14"/>
  <c r="P162" i="14"/>
  <c r="BK162" i="14"/>
  <c r="J162" i="14"/>
  <c r="BF162" i="14" s="1"/>
  <c r="BI161" i="14"/>
  <c r="BH161" i="14"/>
  <c r="BG161" i="14"/>
  <c r="BE161" i="14"/>
  <c r="T161" i="14"/>
  <c r="R161" i="14"/>
  <c r="P161" i="14"/>
  <c r="BK161" i="14"/>
  <c r="J161" i="14"/>
  <c r="BF161" i="14" s="1"/>
  <c r="BI160" i="14"/>
  <c r="BH160" i="14"/>
  <c r="BG160" i="14"/>
  <c r="BE160" i="14"/>
  <c r="T160" i="14"/>
  <c r="R160" i="14"/>
  <c r="P160" i="14"/>
  <c r="BK160" i="14"/>
  <c r="J160" i="14"/>
  <c r="BF160" i="14" s="1"/>
  <c r="BI159" i="14"/>
  <c r="BH159" i="14"/>
  <c r="BG159" i="14"/>
  <c r="BE159" i="14"/>
  <c r="T159" i="14"/>
  <c r="R159" i="14"/>
  <c r="P159" i="14"/>
  <c r="BK159" i="14"/>
  <c r="J159" i="14"/>
  <c r="BF159" i="14" s="1"/>
  <c r="BI158" i="14"/>
  <c r="BH158" i="14"/>
  <c r="BG158" i="14"/>
  <c r="BE158" i="14"/>
  <c r="T158" i="14"/>
  <c r="R158" i="14"/>
  <c r="P158" i="14"/>
  <c r="BK158" i="14"/>
  <c r="J158" i="14"/>
  <c r="BF158" i="14" s="1"/>
  <c r="BI157" i="14"/>
  <c r="BH157" i="14"/>
  <c r="BG157" i="14"/>
  <c r="BE157" i="14"/>
  <c r="T157" i="14"/>
  <c r="R157" i="14"/>
  <c r="P157" i="14"/>
  <c r="BK157" i="14"/>
  <c r="J157" i="14"/>
  <c r="BF157" i="14" s="1"/>
  <c r="BI156" i="14"/>
  <c r="BH156" i="14"/>
  <c r="BG156" i="14"/>
  <c r="BE156" i="14"/>
  <c r="T156" i="14"/>
  <c r="R156" i="14"/>
  <c r="P156" i="14"/>
  <c r="BK156" i="14"/>
  <c r="J156" i="14"/>
  <c r="BF156" i="14" s="1"/>
  <c r="BI155" i="14"/>
  <c r="BH155" i="14"/>
  <c r="BG155" i="14"/>
  <c r="BE155" i="14"/>
  <c r="T155" i="14"/>
  <c r="R155" i="14"/>
  <c r="P155" i="14"/>
  <c r="BK155" i="14"/>
  <c r="J155" i="14"/>
  <c r="BF155" i="14" s="1"/>
  <c r="BI154" i="14"/>
  <c r="BH154" i="14"/>
  <c r="BG154" i="14"/>
  <c r="BE154" i="14"/>
  <c r="T154" i="14"/>
  <c r="R154" i="14"/>
  <c r="P154" i="14"/>
  <c r="BK154" i="14"/>
  <c r="J154" i="14"/>
  <c r="BF154" i="14" s="1"/>
  <c r="BI153" i="14"/>
  <c r="BH153" i="14"/>
  <c r="BG153" i="14"/>
  <c r="BE153" i="14"/>
  <c r="T153" i="14"/>
  <c r="R153" i="14"/>
  <c r="P153" i="14"/>
  <c r="BK153" i="14"/>
  <c r="J153" i="14"/>
  <c r="BF153" i="14" s="1"/>
  <c r="BI152" i="14"/>
  <c r="BH152" i="14"/>
  <c r="BG152" i="14"/>
  <c r="BE152" i="14"/>
  <c r="T152" i="14"/>
  <c r="R152" i="14"/>
  <c r="P152" i="14"/>
  <c r="BK152" i="14"/>
  <c r="J152" i="14"/>
  <c r="BF152" i="14" s="1"/>
  <c r="BI151" i="14"/>
  <c r="BH151" i="14"/>
  <c r="BG151" i="14"/>
  <c r="BE151" i="14"/>
  <c r="T151" i="14"/>
  <c r="R151" i="14"/>
  <c r="P151" i="14"/>
  <c r="BK151" i="14"/>
  <c r="J151" i="14"/>
  <c r="BF151" i="14" s="1"/>
  <c r="BI150" i="14"/>
  <c r="BH150" i="14"/>
  <c r="BG150" i="14"/>
  <c r="BE150" i="14"/>
  <c r="T150" i="14"/>
  <c r="R150" i="14"/>
  <c r="P150" i="14"/>
  <c r="BK150" i="14"/>
  <c r="J150" i="14"/>
  <c r="BF150" i="14" s="1"/>
  <c r="BI149" i="14"/>
  <c r="BH149" i="14"/>
  <c r="BG149" i="14"/>
  <c r="BE149" i="14"/>
  <c r="T149" i="14"/>
  <c r="R149" i="14"/>
  <c r="P149" i="14"/>
  <c r="BK149" i="14"/>
  <c r="J149" i="14"/>
  <c r="BF149" i="14" s="1"/>
  <c r="BI148" i="14"/>
  <c r="BH148" i="14"/>
  <c r="BG148" i="14"/>
  <c r="BE148" i="14"/>
  <c r="T148" i="14"/>
  <c r="R148" i="14"/>
  <c r="P148" i="14"/>
  <c r="BK148" i="14"/>
  <c r="J148" i="14"/>
  <c r="BF148" i="14" s="1"/>
  <c r="BI147" i="14"/>
  <c r="BH147" i="14"/>
  <c r="BG147" i="14"/>
  <c r="BE147" i="14"/>
  <c r="T147" i="14"/>
  <c r="R147" i="14"/>
  <c r="P147" i="14"/>
  <c r="BK147" i="14"/>
  <c r="J147" i="14"/>
  <c r="BF147" i="14" s="1"/>
  <c r="BI146" i="14"/>
  <c r="BH146" i="14"/>
  <c r="BG146" i="14"/>
  <c r="BE146" i="14"/>
  <c r="T146" i="14"/>
  <c r="R146" i="14"/>
  <c r="P146" i="14"/>
  <c r="BK146" i="14"/>
  <c r="J146" i="14"/>
  <c r="BF146" i="14" s="1"/>
  <c r="BI145" i="14"/>
  <c r="BH145" i="14"/>
  <c r="BG145" i="14"/>
  <c r="BE145" i="14"/>
  <c r="T145" i="14"/>
  <c r="R145" i="14"/>
  <c r="P145" i="14"/>
  <c r="BK145" i="14"/>
  <c r="J145" i="14"/>
  <c r="BF145" i="14" s="1"/>
  <c r="BI144" i="14"/>
  <c r="BH144" i="14"/>
  <c r="BG144" i="14"/>
  <c r="BE144" i="14"/>
  <c r="T144" i="14"/>
  <c r="T143" i="14" s="1"/>
  <c r="R144" i="14"/>
  <c r="R143" i="14" s="1"/>
  <c r="P144" i="14"/>
  <c r="P143" i="14" s="1"/>
  <c r="BK144" i="14"/>
  <c r="BK143" i="14" s="1"/>
  <c r="J143" i="14" s="1"/>
  <c r="J102" i="14" s="1"/>
  <c r="J144" i="14"/>
  <c r="BF144" i="14" s="1"/>
  <c r="BI142" i="14"/>
  <c r="BH142" i="14"/>
  <c r="BG142" i="14"/>
  <c r="BE142" i="14"/>
  <c r="T142" i="14"/>
  <c r="R142" i="14"/>
  <c r="P142" i="14"/>
  <c r="BK142" i="14"/>
  <c r="J142" i="14"/>
  <c r="BF142" i="14" s="1"/>
  <c r="BI141" i="14"/>
  <c r="BH141" i="14"/>
  <c r="BG141" i="14"/>
  <c r="BE141" i="14"/>
  <c r="T141" i="14"/>
  <c r="R141" i="14"/>
  <c r="P141" i="14"/>
  <c r="BK141" i="14"/>
  <c r="J141" i="14"/>
  <c r="BF141" i="14" s="1"/>
  <c r="BI140" i="14"/>
  <c r="BH140" i="14"/>
  <c r="BG140" i="14"/>
  <c r="BE140" i="14"/>
  <c r="T140" i="14"/>
  <c r="R140" i="14"/>
  <c r="P140" i="14"/>
  <c r="BK140" i="14"/>
  <c r="J140" i="14"/>
  <c r="BF140" i="14" s="1"/>
  <c r="BI139" i="14"/>
  <c r="BH139" i="14"/>
  <c r="BG139" i="14"/>
  <c r="BE139" i="14"/>
  <c r="T139" i="14"/>
  <c r="R139" i="14"/>
  <c r="P139" i="14"/>
  <c r="BK139" i="14"/>
  <c r="J139" i="14"/>
  <c r="BF139" i="14"/>
  <c r="BI138" i="14"/>
  <c r="BH138" i="14"/>
  <c r="BG138" i="14"/>
  <c r="BE138" i="14"/>
  <c r="T138" i="14"/>
  <c r="R138" i="14"/>
  <c r="R137" i="14" s="1"/>
  <c r="P138" i="14"/>
  <c r="BK138" i="14"/>
  <c r="BK137" i="14"/>
  <c r="J137" i="14" s="1"/>
  <c r="J101" i="14" s="1"/>
  <c r="J138" i="14"/>
  <c r="BF138" i="14" s="1"/>
  <c r="BI136" i="14"/>
  <c r="BH136" i="14"/>
  <c r="BG136" i="14"/>
  <c r="BE136" i="14"/>
  <c r="T136" i="14"/>
  <c r="R136" i="14"/>
  <c r="P136" i="14"/>
  <c r="BK136" i="14"/>
  <c r="J136" i="14"/>
  <c r="BF136" i="14"/>
  <c r="BI135" i="14"/>
  <c r="BH135" i="14"/>
  <c r="BG135" i="14"/>
  <c r="BE135" i="14"/>
  <c r="T135" i="14"/>
  <c r="R135" i="14"/>
  <c r="P135" i="14"/>
  <c r="BK135" i="14"/>
  <c r="J135" i="14"/>
  <c r="BF135" i="14"/>
  <c r="BI134" i="14"/>
  <c r="BH134" i="14"/>
  <c r="BG134" i="14"/>
  <c r="BE134" i="14"/>
  <c r="T134" i="14"/>
  <c r="R134" i="14"/>
  <c r="P134" i="14"/>
  <c r="BK134" i="14"/>
  <c r="J134" i="14"/>
  <c r="BF134" i="14"/>
  <c r="BI133" i="14"/>
  <c r="BH133" i="14"/>
  <c r="BG133" i="14"/>
  <c r="BE133" i="14"/>
  <c r="T133" i="14"/>
  <c r="R133" i="14"/>
  <c r="P133" i="14"/>
  <c r="BK133" i="14"/>
  <c r="J133" i="14"/>
  <c r="BF133" i="14"/>
  <c r="BI132" i="14"/>
  <c r="BH132" i="14"/>
  <c r="BG132" i="14"/>
  <c r="BE132" i="14"/>
  <c r="T132" i="14"/>
  <c r="R132" i="14"/>
  <c r="P132" i="14"/>
  <c r="BK132" i="14"/>
  <c r="J132" i="14"/>
  <c r="BF132" i="14"/>
  <c r="BI131" i="14"/>
  <c r="BH131" i="14"/>
  <c r="BG131" i="14"/>
  <c r="BE131" i="14"/>
  <c r="T131" i="14"/>
  <c r="R131" i="14"/>
  <c r="P131" i="14"/>
  <c r="BK131" i="14"/>
  <c r="J131" i="14"/>
  <c r="BF131" i="14"/>
  <c r="BI130" i="14"/>
  <c r="BH130" i="14"/>
  <c r="BG130" i="14"/>
  <c r="BE130" i="14"/>
  <c r="T130" i="14"/>
  <c r="T129" i="14"/>
  <c r="R130" i="14"/>
  <c r="R129" i="14"/>
  <c r="P130" i="14"/>
  <c r="P129" i="14"/>
  <c r="BK130" i="14"/>
  <c r="BK129" i="14"/>
  <c r="J130" i="14"/>
  <c r="BF130" i="14" s="1"/>
  <c r="J99" i="14"/>
  <c r="F89" i="14"/>
  <c r="J24" i="14"/>
  <c r="E24" i="14"/>
  <c r="J23" i="14"/>
  <c r="J21" i="14"/>
  <c r="E21" i="14"/>
  <c r="J121" i="14" s="1"/>
  <c r="J20" i="14"/>
  <c r="J18" i="14"/>
  <c r="J15" i="14"/>
  <c r="E15" i="14"/>
  <c r="J14" i="14"/>
  <c r="J89" i="14"/>
  <c r="J122" i="13"/>
  <c r="J37" i="13"/>
  <c r="J36" i="13"/>
  <c r="AY106" i="1" s="1"/>
  <c r="J35" i="13"/>
  <c r="AX106" i="1" s="1"/>
  <c r="BI161" i="13"/>
  <c r="BH161" i="13"/>
  <c r="BG161" i="13"/>
  <c r="BE161" i="13"/>
  <c r="T161" i="13"/>
  <c r="R161" i="13"/>
  <c r="P161" i="13"/>
  <c r="BK161" i="13"/>
  <c r="J161" i="13"/>
  <c r="BF161" i="13" s="1"/>
  <c r="BI160" i="13"/>
  <c r="BH160" i="13"/>
  <c r="BG160" i="13"/>
  <c r="BE160" i="13"/>
  <c r="T160" i="13"/>
  <c r="R160" i="13"/>
  <c r="P160" i="13"/>
  <c r="BK160" i="13"/>
  <c r="J160" i="13"/>
  <c r="BF160" i="13" s="1"/>
  <c r="BI159" i="13"/>
  <c r="BH159" i="13"/>
  <c r="BG159" i="13"/>
  <c r="BE159" i="13"/>
  <c r="T159" i="13"/>
  <c r="R159" i="13"/>
  <c r="P159" i="13"/>
  <c r="BK159" i="13"/>
  <c r="J159" i="13"/>
  <c r="BF159" i="13" s="1"/>
  <c r="BI158" i="13"/>
  <c r="BH158" i="13"/>
  <c r="BG158" i="13"/>
  <c r="BE158" i="13"/>
  <c r="T158" i="13"/>
  <c r="R158" i="13"/>
  <c r="P158" i="13"/>
  <c r="BK158" i="13"/>
  <c r="J158" i="13"/>
  <c r="BF158" i="13"/>
  <c r="BI157" i="13"/>
  <c r="BH157" i="13"/>
  <c r="BG157" i="13"/>
  <c r="BE157" i="13"/>
  <c r="T157" i="13"/>
  <c r="R157" i="13"/>
  <c r="P157" i="13"/>
  <c r="BK157" i="13"/>
  <c r="J157" i="13"/>
  <c r="BF157" i="13" s="1"/>
  <c r="BI156" i="13"/>
  <c r="BH156" i="13"/>
  <c r="BG156" i="13"/>
  <c r="BE156" i="13"/>
  <c r="T156" i="13"/>
  <c r="R156" i="13"/>
  <c r="P156" i="13"/>
  <c r="BK156" i="13"/>
  <c r="J156" i="13"/>
  <c r="BF156" i="13" s="1"/>
  <c r="BI155" i="13"/>
  <c r="BH155" i="13"/>
  <c r="BG155" i="13"/>
  <c r="BE155" i="13"/>
  <c r="T155" i="13"/>
  <c r="R155" i="13"/>
  <c r="P155" i="13"/>
  <c r="BK155" i="13"/>
  <c r="J155" i="13"/>
  <c r="BF155" i="13" s="1"/>
  <c r="BI154" i="13"/>
  <c r="BH154" i="13"/>
  <c r="BG154" i="13"/>
  <c r="BE154" i="13"/>
  <c r="T154" i="13"/>
  <c r="R154" i="13"/>
  <c r="P154" i="13"/>
  <c r="BK154" i="13"/>
  <c r="J154" i="13"/>
  <c r="BF154" i="13" s="1"/>
  <c r="BI153" i="13"/>
  <c r="BH153" i="13"/>
  <c r="BG153" i="13"/>
  <c r="BE153" i="13"/>
  <c r="T153" i="13"/>
  <c r="R153" i="13"/>
  <c r="P153" i="13"/>
  <c r="BK153" i="13"/>
  <c r="J153" i="13"/>
  <c r="BF153" i="13" s="1"/>
  <c r="BI152" i="13"/>
  <c r="BH152" i="13"/>
  <c r="BG152" i="13"/>
  <c r="BE152" i="13"/>
  <c r="T152" i="13"/>
  <c r="R152" i="13"/>
  <c r="P152" i="13"/>
  <c r="BK152" i="13"/>
  <c r="J152" i="13"/>
  <c r="BF152" i="13" s="1"/>
  <c r="BI151" i="13"/>
  <c r="BH151" i="13"/>
  <c r="BG151" i="13"/>
  <c r="BE151" i="13"/>
  <c r="T151" i="13"/>
  <c r="R151" i="13"/>
  <c r="P151" i="13"/>
  <c r="BK151" i="13"/>
  <c r="J151" i="13"/>
  <c r="BF151" i="13" s="1"/>
  <c r="BI150" i="13"/>
  <c r="BH150" i="13"/>
  <c r="BG150" i="13"/>
  <c r="BE150" i="13"/>
  <c r="T150" i="13"/>
  <c r="R150" i="13"/>
  <c r="P150" i="13"/>
  <c r="BK150" i="13"/>
  <c r="J150" i="13"/>
  <c r="BF150" i="13"/>
  <c r="BI149" i="13"/>
  <c r="BH149" i="13"/>
  <c r="BG149" i="13"/>
  <c r="BE149" i="13"/>
  <c r="T149" i="13"/>
  <c r="R149" i="13"/>
  <c r="P149" i="13"/>
  <c r="BK149" i="13"/>
  <c r="J149" i="13"/>
  <c r="BF149" i="13" s="1"/>
  <c r="BI148" i="13"/>
  <c r="BH148" i="13"/>
  <c r="BG148" i="13"/>
  <c r="BE148" i="13"/>
  <c r="T148" i="13"/>
  <c r="R148" i="13"/>
  <c r="P148" i="13"/>
  <c r="BK148" i="13"/>
  <c r="J148" i="13"/>
  <c r="BF148" i="13" s="1"/>
  <c r="BI147" i="13"/>
  <c r="BH147" i="13"/>
  <c r="BG147" i="13"/>
  <c r="BE147" i="13"/>
  <c r="T147" i="13"/>
  <c r="R147" i="13"/>
  <c r="P147" i="13"/>
  <c r="BK147" i="13"/>
  <c r="J147" i="13"/>
  <c r="BF147" i="13" s="1"/>
  <c r="BI146" i="13"/>
  <c r="BH146" i="13"/>
  <c r="BG146" i="13"/>
  <c r="BE146" i="13"/>
  <c r="T146" i="13"/>
  <c r="R146" i="13"/>
  <c r="P146" i="13"/>
  <c r="BK146" i="13"/>
  <c r="J146" i="13"/>
  <c r="BF146" i="13" s="1"/>
  <c r="BI145" i="13"/>
  <c r="BH145" i="13"/>
  <c r="BG145" i="13"/>
  <c r="BE145" i="13"/>
  <c r="T145" i="13"/>
  <c r="R145" i="13"/>
  <c r="P145" i="13"/>
  <c r="BK145" i="13"/>
  <c r="J145" i="13"/>
  <c r="BF145" i="13" s="1"/>
  <c r="BI144" i="13"/>
  <c r="BH144" i="13"/>
  <c r="BG144" i="13"/>
  <c r="BE144" i="13"/>
  <c r="T144" i="13"/>
  <c r="R144" i="13"/>
  <c r="P144" i="13"/>
  <c r="BK144" i="13"/>
  <c r="J144" i="13"/>
  <c r="BF144" i="13" s="1"/>
  <c r="BI143" i="13"/>
  <c r="BH143" i="13"/>
  <c r="BG143" i="13"/>
  <c r="BE143" i="13"/>
  <c r="T143" i="13"/>
  <c r="R143" i="13"/>
  <c r="P143" i="13"/>
  <c r="BK143" i="13"/>
  <c r="J143" i="13"/>
  <c r="BF143" i="13" s="1"/>
  <c r="BI142" i="13"/>
  <c r="BH142" i="13"/>
  <c r="BG142" i="13"/>
  <c r="BE142" i="13"/>
  <c r="T142" i="13"/>
  <c r="R142" i="13"/>
  <c r="R141" i="13" s="1"/>
  <c r="P142" i="13"/>
  <c r="BK142" i="13"/>
  <c r="J142" i="13"/>
  <c r="BF142" i="13"/>
  <c r="BI140" i="13"/>
  <c r="BH140" i="13"/>
  <c r="BG140" i="13"/>
  <c r="BE140" i="13"/>
  <c r="T140" i="13"/>
  <c r="R140" i="13"/>
  <c r="P140" i="13"/>
  <c r="BK140" i="13"/>
  <c r="J140" i="13"/>
  <c r="BF140" i="13" s="1"/>
  <c r="BI139" i="13"/>
  <c r="BH139" i="13"/>
  <c r="BG139" i="13"/>
  <c r="BE139" i="13"/>
  <c r="T139" i="13"/>
  <c r="R139" i="13"/>
  <c r="P139" i="13"/>
  <c r="BK139" i="13"/>
  <c r="J139" i="13"/>
  <c r="BF139" i="13" s="1"/>
  <c r="BI138" i="13"/>
  <c r="BH138" i="13"/>
  <c r="BG138" i="13"/>
  <c r="BE138" i="13"/>
  <c r="T138" i="13"/>
  <c r="R138" i="13"/>
  <c r="P138" i="13"/>
  <c r="BK138" i="13"/>
  <c r="J138" i="13"/>
  <c r="BF138" i="13" s="1"/>
  <c r="BI137" i="13"/>
  <c r="BH137" i="13"/>
  <c r="BG137" i="13"/>
  <c r="BE137" i="13"/>
  <c r="T137" i="13"/>
  <c r="R137" i="13"/>
  <c r="P137" i="13"/>
  <c r="BK137" i="13"/>
  <c r="J137" i="13"/>
  <c r="BF137" i="13" s="1"/>
  <c r="BI136" i="13"/>
  <c r="BH136" i="13"/>
  <c r="BG136" i="13"/>
  <c r="BE136" i="13"/>
  <c r="T136" i="13"/>
  <c r="R136" i="13"/>
  <c r="P136" i="13"/>
  <c r="BK136" i="13"/>
  <c r="J136" i="13"/>
  <c r="BF136" i="13"/>
  <c r="BI135" i="13"/>
  <c r="BH135" i="13"/>
  <c r="BG135" i="13"/>
  <c r="BE135" i="13"/>
  <c r="T135" i="13"/>
  <c r="R135" i="13"/>
  <c r="P135" i="13"/>
  <c r="BK135" i="13"/>
  <c r="J135" i="13"/>
  <c r="BF135" i="13" s="1"/>
  <c r="BI133" i="13"/>
  <c r="BH133" i="13"/>
  <c r="BG133" i="13"/>
  <c r="BE133" i="13"/>
  <c r="T133" i="13"/>
  <c r="R133" i="13"/>
  <c r="P133" i="13"/>
  <c r="BK133" i="13"/>
  <c r="J133" i="13"/>
  <c r="BF133" i="13" s="1"/>
  <c r="BI131" i="13"/>
  <c r="BH131" i="13"/>
  <c r="BG131" i="13"/>
  <c r="BE131" i="13"/>
  <c r="T131" i="13"/>
  <c r="R131" i="13"/>
  <c r="P131" i="13"/>
  <c r="BK131" i="13"/>
  <c r="J131" i="13"/>
  <c r="BF131" i="13" s="1"/>
  <c r="BI130" i="13"/>
  <c r="BH130" i="13"/>
  <c r="BG130" i="13"/>
  <c r="BE130" i="13"/>
  <c r="T130" i="13"/>
  <c r="R130" i="13"/>
  <c r="P130" i="13"/>
  <c r="BK130" i="13"/>
  <c r="J130" i="13"/>
  <c r="BF130" i="13" s="1"/>
  <c r="BI129" i="13"/>
  <c r="BH129" i="13"/>
  <c r="BG129" i="13"/>
  <c r="BE129" i="13"/>
  <c r="T129" i="13"/>
  <c r="R129" i="13"/>
  <c r="P129" i="13"/>
  <c r="BK129" i="13"/>
  <c r="J129" i="13"/>
  <c r="BF129" i="13" s="1"/>
  <c r="BI128" i="13"/>
  <c r="BH128" i="13"/>
  <c r="BG128" i="13"/>
  <c r="BE128" i="13"/>
  <c r="T128" i="13"/>
  <c r="R128" i="13"/>
  <c r="P128" i="13"/>
  <c r="BK128" i="13"/>
  <c r="J128" i="13"/>
  <c r="BF128" i="13" s="1"/>
  <c r="BI127" i="13"/>
  <c r="BH127" i="13"/>
  <c r="BG127" i="13"/>
  <c r="BE127" i="13"/>
  <c r="T127" i="13"/>
  <c r="R127" i="13"/>
  <c r="P127" i="13"/>
  <c r="BK127" i="13"/>
  <c r="J127" i="13"/>
  <c r="BF127" i="13" s="1"/>
  <c r="BI126" i="13"/>
  <c r="BH126" i="13"/>
  <c r="F36" i="13" s="1"/>
  <c r="BC106" i="1" s="1"/>
  <c r="BG126" i="13"/>
  <c r="BE126" i="13"/>
  <c r="T126" i="13"/>
  <c r="R126" i="13"/>
  <c r="P126" i="13"/>
  <c r="BK126" i="13"/>
  <c r="J126" i="13"/>
  <c r="BF126" i="13"/>
  <c r="BI125" i="13"/>
  <c r="BH125" i="13"/>
  <c r="BG125" i="13"/>
  <c r="BE125" i="13"/>
  <c r="T125" i="13"/>
  <c r="R125" i="13"/>
  <c r="P125" i="13"/>
  <c r="BK125" i="13"/>
  <c r="BK123" i="13" s="1"/>
  <c r="J123" i="13" s="1"/>
  <c r="J99" i="13" s="1"/>
  <c r="J125" i="13"/>
  <c r="BF125" i="13" s="1"/>
  <c r="BI124" i="13"/>
  <c r="BH124" i="13"/>
  <c r="BG124" i="13"/>
  <c r="BE124" i="13"/>
  <c r="T124" i="13"/>
  <c r="R124" i="13"/>
  <c r="P124" i="13"/>
  <c r="BK124" i="13"/>
  <c r="J124" i="13"/>
  <c r="BF124" i="13" s="1"/>
  <c r="J98" i="13"/>
  <c r="F114" i="13"/>
  <c r="F89" i="13"/>
  <c r="J24" i="13"/>
  <c r="E24" i="13"/>
  <c r="J92" i="13" s="1"/>
  <c r="J23" i="13"/>
  <c r="J21" i="13"/>
  <c r="E21" i="13"/>
  <c r="J91" i="13" s="1"/>
  <c r="J20" i="13"/>
  <c r="J18" i="13"/>
  <c r="J15" i="13"/>
  <c r="E15" i="13"/>
  <c r="J14" i="13"/>
  <c r="J114" i="13"/>
  <c r="J89" i="13"/>
  <c r="J37" i="12"/>
  <c r="J36" i="12"/>
  <c r="AY105" i="1" s="1"/>
  <c r="J35" i="12"/>
  <c r="AX105" i="1"/>
  <c r="BI157" i="12"/>
  <c r="BH157" i="12"/>
  <c r="BG157" i="12"/>
  <c r="BE157" i="12"/>
  <c r="T157" i="12"/>
  <c r="R157" i="12"/>
  <c r="P157" i="12"/>
  <c r="BK157" i="12"/>
  <c r="J157" i="12"/>
  <c r="BF157" i="12" s="1"/>
  <c r="BI156" i="12"/>
  <c r="BH156" i="12"/>
  <c r="BG156" i="12"/>
  <c r="BE156" i="12"/>
  <c r="T156" i="12"/>
  <c r="R156" i="12"/>
  <c r="P156" i="12"/>
  <c r="BK156" i="12"/>
  <c r="J156" i="12"/>
  <c r="BF156" i="12" s="1"/>
  <c r="BI154" i="12"/>
  <c r="BH154" i="12"/>
  <c r="BG154" i="12"/>
  <c r="BE154" i="12"/>
  <c r="T154" i="12"/>
  <c r="R154" i="12"/>
  <c r="P154" i="12"/>
  <c r="BK154" i="12"/>
  <c r="J154" i="12"/>
  <c r="BF154" i="12" s="1"/>
  <c r="BI153" i="12"/>
  <c r="BH153" i="12"/>
  <c r="BG153" i="12"/>
  <c r="BE153" i="12"/>
  <c r="T153" i="12"/>
  <c r="R153" i="12"/>
  <c r="P153" i="12"/>
  <c r="BK153" i="12"/>
  <c r="J153" i="12"/>
  <c r="BF153" i="12" s="1"/>
  <c r="BI152" i="12"/>
  <c r="BH152" i="12"/>
  <c r="BG152" i="12"/>
  <c r="BE152" i="12"/>
  <c r="T152" i="12"/>
  <c r="R152" i="12"/>
  <c r="P152" i="12"/>
  <c r="BK152" i="12"/>
  <c r="J152" i="12"/>
  <c r="BF152" i="12" s="1"/>
  <c r="BI151" i="12"/>
  <c r="BH151" i="12"/>
  <c r="BG151" i="12"/>
  <c r="BE151" i="12"/>
  <c r="T151" i="12"/>
  <c r="R151" i="12"/>
  <c r="P151" i="12"/>
  <c r="BK151" i="12"/>
  <c r="J151" i="12"/>
  <c r="BF151" i="12"/>
  <c r="BI149" i="12"/>
  <c r="BH149" i="12"/>
  <c r="BG149" i="12"/>
  <c r="BE149" i="12"/>
  <c r="T149" i="12"/>
  <c r="R149" i="12"/>
  <c r="P149" i="12"/>
  <c r="BK149" i="12"/>
  <c r="J149" i="12"/>
  <c r="BF149" i="12" s="1"/>
  <c r="BI147" i="12"/>
  <c r="BH147" i="12"/>
  <c r="BG147" i="12"/>
  <c r="BE147" i="12"/>
  <c r="T147" i="12"/>
  <c r="R147" i="12"/>
  <c r="P147" i="12"/>
  <c r="BK147" i="12"/>
  <c r="J147" i="12"/>
  <c r="BF147" i="12" s="1"/>
  <c r="BI145" i="12"/>
  <c r="BH145" i="12"/>
  <c r="BG145" i="12"/>
  <c r="BE145" i="12"/>
  <c r="T145" i="12"/>
  <c r="R145" i="12"/>
  <c r="P145" i="12"/>
  <c r="BK145" i="12"/>
  <c r="J145" i="12"/>
  <c r="BF145" i="12" s="1"/>
  <c r="BI143" i="12"/>
  <c r="BH143" i="12"/>
  <c r="BG143" i="12"/>
  <c r="BE143" i="12"/>
  <c r="T143" i="12"/>
  <c r="R143" i="12"/>
  <c r="P143" i="12"/>
  <c r="BK143" i="12"/>
  <c r="J143" i="12"/>
  <c r="BF143" i="12"/>
  <c r="BI142" i="12"/>
  <c r="BH142" i="12"/>
  <c r="BG142" i="12"/>
  <c r="BE142" i="12"/>
  <c r="T142" i="12"/>
  <c r="R142" i="12"/>
  <c r="P142" i="12"/>
  <c r="BK142" i="12"/>
  <c r="J142" i="12"/>
  <c r="BF142" i="12" s="1"/>
  <c r="BI140" i="12"/>
  <c r="BH140" i="12"/>
  <c r="BG140" i="12"/>
  <c r="BE140" i="12"/>
  <c r="T140" i="12"/>
  <c r="R140" i="12"/>
  <c r="P140" i="12"/>
  <c r="BK140" i="12"/>
  <c r="J140" i="12"/>
  <c r="BF140" i="12" s="1"/>
  <c r="BI138" i="12"/>
  <c r="BH138" i="12"/>
  <c r="BG138" i="12"/>
  <c r="BE138" i="12"/>
  <c r="T138" i="12"/>
  <c r="R138" i="12"/>
  <c r="P138" i="12"/>
  <c r="BK138" i="12"/>
  <c r="J138" i="12"/>
  <c r="BF138" i="12" s="1"/>
  <c r="BI136" i="12"/>
  <c r="BH136" i="12"/>
  <c r="BG136" i="12"/>
  <c r="BE136" i="12"/>
  <c r="T136" i="12"/>
  <c r="R136" i="12"/>
  <c r="P136" i="12"/>
  <c r="BK136" i="12"/>
  <c r="J136" i="12"/>
  <c r="BF136" i="12"/>
  <c r="BI134" i="12"/>
  <c r="BH134" i="12"/>
  <c r="BG134" i="12"/>
  <c r="BE134" i="12"/>
  <c r="T134" i="12"/>
  <c r="R134" i="12"/>
  <c r="P134" i="12"/>
  <c r="BK134" i="12"/>
  <c r="J134" i="12"/>
  <c r="BF134" i="12" s="1"/>
  <c r="BI132" i="12"/>
  <c r="BH132" i="12"/>
  <c r="BG132" i="12"/>
  <c r="BE132" i="12"/>
  <c r="T132" i="12"/>
  <c r="R132" i="12"/>
  <c r="P132" i="12"/>
  <c r="BK132" i="12"/>
  <c r="J132" i="12"/>
  <c r="BF132" i="12" s="1"/>
  <c r="BI130" i="12"/>
  <c r="BH130" i="12"/>
  <c r="BG130" i="12"/>
  <c r="BE130" i="12"/>
  <c r="T130" i="12"/>
  <c r="R130" i="12"/>
  <c r="P130" i="12"/>
  <c r="BK130" i="12"/>
  <c r="J130" i="12"/>
  <c r="BF130" i="12" s="1"/>
  <c r="BI128" i="12"/>
  <c r="BH128" i="12"/>
  <c r="BG128" i="12"/>
  <c r="BE128" i="12"/>
  <c r="T128" i="12"/>
  <c r="R128" i="12"/>
  <c r="P128" i="12"/>
  <c r="BK128" i="12"/>
  <c r="J128" i="12"/>
  <c r="BF128" i="12"/>
  <c r="BI126" i="12"/>
  <c r="BH126" i="12"/>
  <c r="BG126" i="12"/>
  <c r="BE126" i="12"/>
  <c r="T126" i="12"/>
  <c r="R126" i="12"/>
  <c r="P126" i="12"/>
  <c r="BK126" i="12"/>
  <c r="J126" i="12"/>
  <c r="BF126" i="12" s="1"/>
  <c r="BI124" i="12"/>
  <c r="BH124" i="12"/>
  <c r="BG124" i="12"/>
  <c r="BE124" i="12"/>
  <c r="T124" i="12"/>
  <c r="R124" i="12"/>
  <c r="P124" i="12"/>
  <c r="BK124" i="12"/>
  <c r="J124" i="12"/>
  <c r="BF124" i="12" s="1"/>
  <c r="BI122" i="12"/>
  <c r="BH122" i="12"/>
  <c r="BG122" i="12"/>
  <c r="BE122" i="12"/>
  <c r="T122" i="12"/>
  <c r="R122" i="12"/>
  <c r="P122" i="12"/>
  <c r="BK122" i="12"/>
  <c r="J122" i="12"/>
  <c r="BF122" i="12" s="1"/>
  <c r="BI120" i="12"/>
  <c r="BH120" i="12"/>
  <c r="BG120" i="12"/>
  <c r="BE120" i="12"/>
  <c r="T120" i="12"/>
  <c r="R120" i="12"/>
  <c r="P120" i="12"/>
  <c r="BK120" i="12"/>
  <c r="J120" i="12"/>
  <c r="BF120" i="12"/>
  <c r="BI119" i="12"/>
  <c r="BH119" i="12"/>
  <c r="F36" i="12" s="1"/>
  <c r="BC105" i="1" s="1"/>
  <c r="BG119" i="12"/>
  <c r="BE119" i="12"/>
  <c r="T119" i="12"/>
  <c r="R119" i="12"/>
  <c r="P119" i="12"/>
  <c r="BK119" i="12"/>
  <c r="J119" i="12"/>
  <c r="BF119" i="12" s="1"/>
  <c r="F111" i="12"/>
  <c r="F89" i="12"/>
  <c r="J24" i="12"/>
  <c r="E24" i="12"/>
  <c r="J114" i="12" s="1"/>
  <c r="J23" i="12"/>
  <c r="J21" i="12"/>
  <c r="E21" i="12"/>
  <c r="J91" i="12" s="1"/>
  <c r="J20" i="12"/>
  <c r="J18" i="12"/>
  <c r="J15" i="12"/>
  <c r="E15" i="12"/>
  <c r="J14" i="12"/>
  <c r="J37" i="11"/>
  <c r="J36" i="11"/>
  <c r="AY104" i="1" s="1"/>
  <c r="J35" i="11"/>
  <c r="AX104" i="1" s="1"/>
  <c r="BI119" i="11"/>
  <c r="F37" i="11"/>
  <c r="BD104" i="1" s="1"/>
  <c r="BH119" i="11"/>
  <c r="F36" i="11"/>
  <c r="BC104" i="1" s="1"/>
  <c r="BG119" i="11"/>
  <c r="F35" i="11" s="1"/>
  <c r="BB104" i="1" s="1"/>
  <c r="BE119" i="11"/>
  <c r="T119" i="11"/>
  <c r="T118" i="11" s="1"/>
  <c r="T117" i="11" s="1"/>
  <c r="R119" i="11"/>
  <c r="R118" i="11" s="1"/>
  <c r="R117" i="11" s="1"/>
  <c r="P119" i="11"/>
  <c r="P118" i="11" s="1"/>
  <c r="P117" i="11" s="1"/>
  <c r="AU104" i="1" s="1"/>
  <c r="BK119" i="11"/>
  <c r="BK118" i="11" s="1"/>
  <c r="J119" i="11"/>
  <c r="BF119" i="11" s="1"/>
  <c r="F111" i="11"/>
  <c r="F89" i="11"/>
  <c r="J24" i="11"/>
  <c r="E24" i="11"/>
  <c r="J23" i="11"/>
  <c r="J21" i="11"/>
  <c r="E21" i="11"/>
  <c r="J113" i="11" s="1"/>
  <c r="J20" i="11"/>
  <c r="J18" i="11"/>
  <c r="J15" i="11"/>
  <c r="E15" i="11"/>
  <c r="J14" i="11"/>
  <c r="J89" i="11"/>
  <c r="J37" i="10"/>
  <c r="J36" i="10"/>
  <c r="AY103" i="1" s="1"/>
  <c r="J35" i="10"/>
  <c r="AX103" i="1" s="1"/>
  <c r="BI150" i="10"/>
  <c r="BH150" i="10"/>
  <c r="BG150" i="10"/>
  <c r="BE150" i="10"/>
  <c r="T150" i="10"/>
  <c r="R150" i="10"/>
  <c r="P150" i="10"/>
  <c r="BK150" i="10"/>
  <c r="J150" i="10"/>
  <c r="BF150" i="10" s="1"/>
  <c r="BI149" i="10"/>
  <c r="BH149" i="10"/>
  <c r="BG149" i="10"/>
  <c r="BE149" i="10"/>
  <c r="T149" i="10"/>
  <c r="R149" i="10"/>
  <c r="P149" i="10"/>
  <c r="BK149" i="10"/>
  <c r="J149" i="10"/>
  <c r="BF149" i="10" s="1"/>
  <c r="BI148" i="10"/>
  <c r="BH148" i="10"/>
  <c r="BG148" i="10"/>
  <c r="BE148" i="10"/>
  <c r="T148" i="10"/>
  <c r="R148" i="10"/>
  <c r="R147" i="10" s="1"/>
  <c r="R146" i="10" s="1"/>
  <c r="P148" i="10"/>
  <c r="BK148" i="10"/>
  <c r="BK147" i="10" s="1"/>
  <c r="J148" i="10"/>
  <c r="BF148" i="10" s="1"/>
  <c r="BI145" i="10"/>
  <c r="BH145" i="10"/>
  <c r="BG145" i="10"/>
  <c r="BE145" i="10"/>
  <c r="T145" i="10"/>
  <c r="R145" i="10"/>
  <c r="P145" i="10"/>
  <c r="BK145" i="10"/>
  <c r="J145" i="10"/>
  <c r="BF145" i="10" s="1"/>
  <c r="BI144" i="10"/>
  <c r="BH144" i="10"/>
  <c r="BG144" i="10"/>
  <c r="BE144" i="10"/>
  <c r="T144" i="10"/>
  <c r="R144" i="10"/>
  <c r="P144" i="10"/>
  <c r="BK144" i="10"/>
  <c r="J144" i="10"/>
  <c r="BF144" i="10" s="1"/>
  <c r="BI143" i="10"/>
  <c r="BH143" i="10"/>
  <c r="BG143" i="10"/>
  <c r="BE143" i="10"/>
  <c r="T143" i="10"/>
  <c r="R143" i="10"/>
  <c r="P143" i="10"/>
  <c r="BK143" i="10"/>
  <c r="J143" i="10"/>
  <c r="BF143" i="10" s="1"/>
  <c r="BI142" i="10"/>
  <c r="BH142" i="10"/>
  <c r="BG142" i="10"/>
  <c r="BE142" i="10"/>
  <c r="T142" i="10"/>
  <c r="R142" i="10"/>
  <c r="P142" i="10"/>
  <c r="BK142" i="10"/>
  <c r="J142" i="10"/>
  <c r="BF142" i="10"/>
  <c r="BI141" i="10"/>
  <c r="BH141" i="10"/>
  <c r="BG141" i="10"/>
  <c r="BE141" i="10"/>
  <c r="T141" i="10"/>
  <c r="R141" i="10"/>
  <c r="P141" i="10"/>
  <c r="BK141" i="10"/>
  <c r="BK140" i="10" s="1"/>
  <c r="J140" i="10" s="1"/>
  <c r="J98" i="10" s="1"/>
  <c r="J141" i="10"/>
  <c r="BF141" i="10" s="1"/>
  <c r="BI139" i="10"/>
  <c r="BH139" i="10"/>
  <c r="BG139" i="10"/>
  <c r="BE139" i="10"/>
  <c r="T139" i="10"/>
  <c r="R139" i="10"/>
  <c r="P139" i="10"/>
  <c r="BK139" i="10"/>
  <c r="J139" i="10"/>
  <c r="BF139" i="10" s="1"/>
  <c r="BI138" i="10"/>
  <c r="BH138" i="10"/>
  <c r="BG138" i="10"/>
  <c r="BE138" i="10"/>
  <c r="T138" i="10"/>
  <c r="R138" i="10"/>
  <c r="P138" i="10"/>
  <c r="BK138" i="10"/>
  <c r="J138" i="10"/>
  <c r="BF138" i="10" s="1"/>
  <c r="BI137" i="10"/>
  <c r="BH137" i="10"/>
  <c r="BG137" i="10"/>
  <c r="BE137" i="10"/>
  <c r="T137" i="10"/>
  <c r="R137" i="10"/>
  <c r="P137" i="10"/>
  <c r="BK137" i="10"/>
  <c r="J137" i="10"/>
  <c r="BF137" i="10" s="1"/>
  <c r="BI136" i="10"/>
  <c r="BH136" i="10"/>
  <c r="BG136" i="10"/>
  <c r="BE136" i="10"/>
  <c r="T136" i="10"/>
  <c r="R136" i="10"/>
  <c r="P136" i="10"/>
  <c r="BK136" i="10"/>
  <c r="J136" i="10"/>
  <c r="BF136" i="10" s="1"/>
  <c r="BI135" i="10"/>
  <c r="BH135" i="10"/>
  <c r="BG135" i="10"/>
  <c r="BE135" i="10"/>
  <c r="T135" i="10"/>
  <c r="R135" i="10"/>
  <c r="P135" i="10"/>
  <c r="BK135" i="10"/>
  <c r="J135" i="10"/>
  <c r="BF135" i="10" s="1"/>
  <c r="BI134" i="10"/>
  <c r="BH134" i="10"/>
  <c r="BG134" i="10"/>
  <c r="BE134" i="10"/>
  <c r="T134" i="10"/>
  <c r="R134" i="10"/>
  <c r="P134" i="10"/>
  <c r="BK134" i="10"/>
  <c r="J134" i="10"/>
  <c r="BF134" i="10" s="1"/>
  <c r="BI133" i="10"/>
  <c r="BH133" i="10"/>
  <c r="BG133" i="10"/>
  <c r="BE133" i="10"/>
  <c r="T133" i="10"/>
  <c r="R133" i="10"/>
  <c r="P133" i="10"/>
  <c r="BK133" i="10"/>
  <c r="J133" i="10"/>
  <c r="BF133" i="10" s="1"/>
  <c r="BI132" i="10"/>
  <c r="BH132" i="10"/>
  <c r="BG132" i="10"/>
  <c r="BE132" i="10"/>
  <c r="T132" i="10"/>
  <c r="R132" i="10"/>
  <c r="P132" i="10"/>
  <c r="BK132" i="10"/>
  <c r="J132" i="10"/>
  <c r="BF132" i="10"/>
  <c r="BI131" i="10"/>
  <c r="BH131" i="10"/>
  <c r="BG131" i="10"/>
  <c r="BE131" i="10"/>
  <c r="T131" i="10"/>
  <c r="R131" i="10"/>
  <c r="P131" i="10"/>
  <c r="BK131" i="10"/>
  <c r="J131" i="10"/>
  <c r="BF131" i="10" s="1"/>
  <c r="BI130" i="10"/>
  <c r="BH130" i="10"/>
  <c r="BG130" i="10"/>
  <c r="BE130" i="10"/>
  <c r="T130" i="10"/>
  <c r="R130" i="10"/>
  <c r="P130" i="10"/>
  <c r="BK130" i="10"/>
  <c r="J130" i="10"/>
  <c r="BF130" i="10" s="1"/>
  <c r="BI129" i="10"/>
  <c r="BH129" i="10"/>
  <c r="BG129" i="10"/>
  <c r="BE129" i="10"/>
  <c r="T129" i="10"/>
  <c r="R129" i="10"/>
  <c r="P129" i="10"/>
  <c r="BK129" i="10"/>
  <c r="J129" i="10"/>
  <c r="BF129" i="10" s="1"/>
  <c r="BI128" i="10"/>
  <c r="BH128" i="10"/>
  <c r="BG128" i="10"/>
  <c r="BE128" i="10"/>
  <c r="T128" i="10"/>
  <c r="R128" i="10"/>
  <c r="P128" i="10"/>
  <c r="BK128" i="10"/>
  <c r="J128" i="10"/>
  <c r="BF128" i="10" s="1"/>
  <c r="BI127" i="10"/>
  <c r="BH127" i="10"/>
  <c r="BG127" i="10"/>
  <c r="BE127" i="10"/>
  <c r="T127" i="10"/>
  <c r="R127" i="10"/>
  <c r="P127" i="10"/>
  <c r="BK127" i="10"/>
  <c r="J127" i="10"/>
  <c r="BF127" i="10" s="1"/>
  <c r="BI126" i="10"/>
  <c r="BH126" i="10"/>
  <c r="BG126" i="10"/>
  <c r="BE126" i="10"/>
  <c r="T126" i="10"/>
  <c r="R126" i="10"/>
  <c r="P126" i="10"/>
  <c r="BK126" i="10"/>
  <c r="J126" i="10"/>
  <c r="BF126" i="10" s="1"/>
  <c r="BI125" i="10"/>
  <c r="BH125" i="10"/>
  <c r="BG125" i="10"/>
  <c r="BE125" i="10"/>
  <c r="T125" i="10"/>
  <c r="R125" i="10"/>
  <c r="P125" i="10"/>
  <c r="BK125" i="10"/>
  <c r="J125" i="10"/>
  <c r="BF125" i="10" s="1"/>
  <c r="BI124" i="10"/>
  <c r="BH124" i="10"/>
  <c r="BG124" i="10"/>
  <c r="BE124" i="10"/>
  <c r="T124" i="10"/>
  <c r="R124" i="10"/>
  <c r="P124" i="10"/>
  <c r="BK124" i="10"/>
  <c r="J124" i="10"/>
  <c r="BF124" i="10"/>
  <c r="BI123" i="10"/>
  <c r="BH123" i="10"/>
  <c r="BG123" i="10"/>
  <c r="BE123" i="10"/>
  <c r="T123" i="10"/>
  <c r="R123" i="10"/>
  <c r="P123" i="10"/>
  <c r="BK123" i="10"/>
  <c r="J123" i="10"/>
  <c r="BF123" i="10" s="1"/>
  <c r="BI122" i="10"/>
  <c r="BH122" i="10"/>
  <c r="BG122" i="10"/>
  <c r="BE122" i="10"/>
  <c r="J33" i="10"/>
  <c r="AV103" i="1" s="1"/>
  <c r="T122" i="10"/>
  <c r="R122" i="10"/>
  <c r="P122" i="10"/>
  <c r="BK122" i="10"/>
  <c r="J122" i="10"/>
  <c r="BF122" i="10" s="1"/>
  <c r="F114" i="10"/>
  <c r="F89" i="10"/>
  <c r="J24" i="10"/>
  <c r="E24" i="10"/>
  <c r="J92" i="10" s="1"/>
  <c r="J23" i="10"/>
  <c r="J21" i="10"/>
  <c r="E21" i="10"/>
  <c r="J20" i="10"/>
  <c r="J18" i="10"/>
  <c r="E15" i="10"/>
  <c r="J114" i="10"/>
  <c r="J37" i="9"/>
  <c r="J36" i="9"/>
  <c r="AY102" i="1" s="1"/>
  <c r="J35" i="9"/>
  <c r="AX102" i="1"/>
  <c r="BI123" i="9"/>
  <c r="BH123" i="9"/>
  <c r="BG123" i="9"/>
  <c r="BE123" i="9"/>
  <c r="J33" i="9" s="1"/>
  <c r="AV102" i="1" s="1"/>
  <c r="T123" i="9"/>
  <c r="R123" i="9"/>
  <c r="P123" i="9"/>
  <c r="BK123" i="9"/>
  <c r="J123" i="9"/>
  <c r="BF123" i="9" s="1"/>
  <c r="BI122" i="9"/>
  <c r="BH122" i="9"/>
  <c r="BG122" i="9"/>
  <c r="BE122" i="9"/>
  <c r="T122" i="9"/>
  <c r="R122" i="9"/>
  <c r="P122" i="9"/>
  <c r="BK122" i="9"/>
  <c r="J122" i="9"/>
  <c r="BF122" i="9" s="1"/>
  <c r="BI121" i="9"/>
  <c r="BH121" i="9"/>
  <c r="BG121" i="9"/>
  <c r="BE121" i="9"/>
  <c r="T121" i="9"/>
  <c r="R121" i="9"/>
  <c r="P121" i="9"/>
  <c r="BK121" i="9"/>
  <c r="J121" i="9"/>
  <c r="BF121" i="9" s="1"/>
  <c r="BI120" i="9"/>
  <c r="BH120" i="9"/>
  <c r="BG120" i="9"/>
  <c r="BE120" i="9"/>
  <c r="T120" i="9"/>
  <c r="T118" i="9" s="1"/>
  <c r="T117" i="9" s="1"/>
  <c r="R120" i="9"/>
  <c r="P120" i="9"/>
  <c r="BK120" i="9"/>
  <c r="J120" i="9"/>
  <c r="BF120" i="9" s="1"/>
  <c r="J34" i="9" s="1"/>
  <c r="AW102" i="1" s="1"/>
  <c r="AT102" i="1" s="1"/>
  <c r="BI119" i="9"/>
  <c r="BH119" i="9"/>
  <c r="BG119" i="9"/>
  <c r="BE119" i="9"/>
  <c r="T119" i="9"/>
  <c r="R119" i="9"/>
  <c r="P119" i="9"/>
  <c r="BK119" i="9"/>
  <c r="J119" i="9"/>
  <c r="BF119" i="9" s="1"/>
  <c r="F111" i="9"/>
  <c r="F89" i="9"/>
  <c r="J24" i="9"/>
  <c r="E24" i="9"/>
  <c r="J92" i="9" s="1"/>
  <c r="J23" i="9"/>
  <c r="J21" i="9"/>
  <c r="E21" i="9"/>
  <c r="J91" i="9" s="1"/>
  <c r="J20" i="9"/>
  <c r="J18" i="9"/>
  <c r="J15" i="9"/>
  <c r="E15" i="9"/>
  <c r="J14" i="9"/>
  <c r="J111" i="9"/>
  <c r="J37" i="8"/>
  <c r="J36" i="8"/>
  <c r="AY101" i="1" s="1"/>
  <c r="J35" i="8"/>
  <c r="AX101" i="1" s="1"/>
  <c r="BI584" i="8"/>
  <c r="BH584" i="8"/>
  <c r="BG584" i="8"/>
  <c r="BE584" i="8"/>
  <c r="BK584" i="8"/>
  <c r="BK583" i="8" s="1"/>
  <c r="J583" i="8" s="1"/>
  <c r="J143" i="8" s="1"/>
  <c r="J584" i="8"/>
  <c r="BF584" i="8" s="1"/>
  <c r="BI581" i="8"/>
  <c r="BH581" i="8"/>
  <c r="BG581" i="8"/>
  <c r="BE581" i="8"/>
  <c r="BK581" i="8"/>
  <c r="BK579" i="8" s="1"/>
  <c r="J579" i="8" s="1"/>
  <c r="J142" i="8" s="1"/>
  <c r="J581" i="8"/>
  <c r="BF581" i="8" s="1"/>
  <c r="BI577" i="8"/>
  <c r="BH577" i="8"/>
  <c r="BG577" i="8"/>
  <c r="BE577" i="8"/>
  <c r="BK577" i="8"/>
  <c r="J577" i="8"/>
  <c r="BF577" i="8" s="1"/>
  <c r="BI575" i="8"/>
  <c r="BH575" i="8"/>
  <c r="BG575" i="8"/>
  <c r="BE575" i="8"/>
  <c r="BK575" i="8"/>
  <c r="J575" i="8"/>
  <c r="BF575" i="8" s="1"/>
  <c r="BI573" i="8"/>
  <c r="BH573" i="8"/>
  <c r="BG573" i="8"/>
  <c r="BE573" i="8"/>
  <c r="BK573" i="8"/>
  <c r="J573" i="8"/>
  <c r="BF573" i="8" s="1"/>
  <c r="BI571" i="8"/>
  <c r="BH571" i="8"/>
  <c r="BG571" i="8"/>
  <c r="BE571" i="8"/>
  <c r="BK571" i="8"/>
  <c r="J571" i="8"/>
  <c r="BF571" i="8" s="1"/>
  <c r="BI564" i="8"/>
  <c r="BH564" i="8"/>
  <c r="BG564" i="8"/>
  <c r="BE564" i="8"/>
  <c r="BK564" i="8"/>
  <c r="J564" i="8"/>
  <c r="BF564" i="8" s="1"/>
  <c r="BI563" i="8"/>
  <c r="BH563" i="8"/>
  <c r="BG563" i="8"/>
  <c r="BE563" i="8"/>
  <c r="BK563" i="8"/>
  <c r="J563" i="8"/>
  <c r="BF563" i="8" s="1"/>
  <c r="BI561" i="8"/>
  <c r="BH561" i="8"/>
  <c r="BG561" i="8"/>
  <c r="BE561" i="8"/>
  <c r="BK561" i="8"/>
  <c r="J561" i="8"/>
  <c r="BF561" i="8" s="1"/>
  <c r="BI559" i="8"/>
  <c r="BH559" i="8"/>
  <c r="BG559" i="8"/>
  <c r="BE559" i="8"/>
  <c r="BK559" i="8"/>
  <c r="J559" i="8"/>
  <c r="BF559" i="8" s="1"/>
  <c r="BI557" i="8"/>
  <c r="BH557" i="8"/>
  <c r="BG557" i="8"/>
  <c r="BE557" i="8"/>
  <c r="BK557" i="8"/>
  <c r="J557" i="8"/>
  <c r="BF557" i="8" s="1"/>
  <c r="BI555" i="8"/>
  <c r="BH555" i="8"/>
  <c r="BG555" i="8"/>
  <c r="BE555" i="8"/>
  <c r="BK555" i="8"/>
  <c r="J555" i="8"/>
  <c r="BF555" i="8" s="1"/>
  <c r="BI554" i="8"/>
  <c r="BH554" i="8"/>
  <c r="BG554" i="8"/>
  <c r="BE554" i="8"/>
  <c r="BK554" i="8"/>
  <c r="J554" i="8"/>
  <c r="BF554" i="8" s="1"/>
  <c r="BI553" i="8"/>
  <c r="BH553" i="8"/>
  <c r="BG553" i="8"/>
  <c r="BE553" i="8"/>
  <c r="BK553" i="8"/>
  <c r="J553" i="8"/>
  <c r="BF553" i="8" s="1"/>
  <c r="BI551" i="8"/>
  <c r="BH551" i="8"/>
  <c r="BG551" i="8"/>
  <c r="BE551" i="8"/>
  <c r="BK551" i="8"/>
  <c r="J551" i="8"/>
  <c r="BF551" i="8" s="1"/>
  <c r="BI550" i="8"/>
  <c r="BH550" i="8"/>
  <c r="BG550" i="8"/>
  <c r="BE550" i="8"/>
  <c r="BK550" i="8"/>
  <c r="J550" i="8"/>
  <c r="BF550" i="8" s="1"/>
  <c r="BI548" i="8"/>
  <c r="BH548" i="8"/>
  <c r="BG548" i="8"/>
  <c r="BE548" i="8"/>
  <c r="BK548" i="8"/>
  <c r="J548" i="8"/>
  <c r="BF548" i="8" s="1"/>
  <c r="BI546" i="8"/>
  <c r="BH546" i="8"/>
  <c r="BG546" i="8"/>
  <c r="BE546" i="8"/>
  <c r="BK546" i="8"/>
  <c r="J546" i="8"/>
  <c r="BF546" i="8" s="1"/>
  <c r="BI544" i="8"/>
  <c r="BH544" i="8"/>
  <c r="BG544" i="8"/>
  <c r="BE544" i="8"/>
  <c r="BK544" i="8"/>
  <c r="J544" i="8"/>
  <c r="BF544" i="8" s="1"/>
  <c r="BI543" i="8"/>
  <c r="BH543" i="8"/>
  <c r="BG543" i="8"/>
  <c r="BE543" i="8"/>
  <c r="BK543" i="8"/>
  <c r="J543" i="8"/>
  <c r="BF543" i="8" s="1"/>
  <c r="BI542" i="8"/>
  <c r="BH542" i="8"/>
  <c r="BG542" i="8"/>
  <c r="BE542" i="8"/>
  <c r="BK542" i="8"/>
  <c r="J542" i="8"/>
  <c r="BF542" i="8" s="1"/>
  <c r="BI538" i="8"/>
  <c r="BH538" i="8"/>
  <c r="BG538" i="8"/>
  <c r="BE538" i="8"/>
  <c r="BK538" i="8"/>
  <c r="J538" i="8"/>
  <c r="BF538" i="8" s="1"/>
  <c r="BI536" i="8"/>
  <c r="BH536" i="8"/>
  <c r="BG536" i="8"/>
  <c r="BE536" i="8"/>
  <c r="BK536" i="8"/>
  <c r="J536" i="8"/>
  <c r="BF536" i="8" s="1"/>
  <c r="BI535" i="8"/>
  <c r="BH535" i="8"/>
  <c r="BG535" i="8"/>
  <c r="BE535" i="8"/>
  <c r="BK535" i="8"/>
  <c r="J535" i="8"/>
  <c r="BF535" i="8" s="1"/>
  <c r="BI534" i="8"/>
  <c r="BH534" i="8"/>
  <c r="BG534" i="8"/>
  <c r="BE534" i="8"/>
  <c r="BK534" i="8"/>
  <c r="J534" i="8"/>
  <c r="BF534" i="8" s="1"/>
  <c r="BI533" i="8"/>
  <c r="BH533" i="8"/>
  <c r="BG533" i="8"/>
  <c r="BE533" i="8"/>
  <c r="BK533" i="8"/>
  <c r="J533" i="8"/>
  <c r="BF533" i="8" s="1"/>
  <c r="BI530" i="8"/>
  <c r="BH530" i="8"/>
  <c r="BG530" i="8"/>
  <c r="BE530" i="8"/>
  <c r="BK530" i="8"/>
  <c r="J530" i="8"/>
  <c r="BF530" i="8" s="1"/>
  <c r="BI528" i="8"/>
  <c r="BH528" i="8"/>
  <c r="BG528" i="8"/>
  <c r="BE528" i="8"/>
  <c r="BK528" i="8"/>
  <c r="J528" i="8"/>
  <c r="BF528" i="8" s="1"/>
  <c r="BI527" i="8"/>
  <c r="BH527" i="8"/>
  <c r="BG527" i="8"/>
  <c r="BE527" i="8"/>
  <c r="BK527" i="8"/>
  <c r="J527" i="8"/>
  <c r="BF527" i="8" s="1"/>
  <c r="BI526" i="8"/>
  <c r="BH526" i="8"/>
  <c r="BG526" i="8"/>
  <c r="BE526" i="8"/>
  <c r="BK526" i="8"/>
  <c r="J526" i="8"/>
  <c r="BF526" i="8" s="1"/>
  <c r="BI525" i="8"/>
  <c r="BH525" i="8"/>
  <c r="BG525" i="8"/>
  <c r="BE525" i="8"/>
  <c r="BK525" i="8"/>
  <c r="J525" i="8"/>
  <c r="BF525" i="8" s="1"/>
  <c r="BI524" i="8"/>
  <c r="BH524" i="8"/>
  <c r="BG524" i="8"/>
  <c r="BE524" i="8"/>
  <c r="BK524" i="8"/>
  <c r="J524" i="8"/>
  <c r="BF524" i="8" s="1"/>
  <c r="BI521" i="8"/>
  <c r="BH521" i="8"/>
  <c r="BG521" i="8"/>
  <c r="BE521" i="8"/>
  <c r="BK521" i="8"/>
  <c r="J521" i="8"/>
  <c r="BF521" i="8" s="1"/>
  <c r="BI519" i="8"/>
  <c r="BH519" i="8"/>
  <c r="BG519" i="8"/>
  <c r="BE519" i="8"/>
  <c r="BK519" i="8"/>
  <c r="J519" i="8"/>
  <c r="BF519" i="8" s="1"/>
  <c r="BI517" i="8"/>
  <c r="BH517" i="8"/>
  <c r="BG517" i="8"/>
  <c r="BE517" i="8"/>
  <c r="BK517" i="8"/>
  <c r="J517" i="8"/>
  <c r="BF517" i="8" s="1"/>
  <c r="BI515" i="8"/>
  <c r="BH515" i="8"/>
  <c r="BG515" i="8"/>
  <c r="BE515" i="8"/>
  <c r="BK515" i="8"/>
  <c r="J515" i="8"/>
  <c r="BF515" i="8" s="1"/>
  <c r="BI513" i="8"/>
  <c r="BH513" i="8"/>
  <c r="BG513" i="8"/>
  <c r="BE513" i="8"/>
  <c r="BK513" i="8"/>
  <c r="J513" i="8"/>
  <c r="BF513" i="8" s="1"/>
  <c r="BI511" i="8"/>
  <c r="BH511" i="8"/>
  <c r="BG511" i="8"/>
  <c r="BE511" i="8"/>
  <c r="BK511" i="8"/>
  <c r="J511" i="8"/>
  <c r="BF511" i="8" s="1"/>
  <c r="BI510" i="8"/>
  <c r="BH510" i="8"/>
  <c r="BG510" i="8"/>
  <c r="BE510" i="8"/>
  <c r="BK510" i="8"/>
  <c r="J510" i="8"/>
  <c r="BF510" i="8" s="1"/>
  <c r="BI508" i="8"/>
  <c r="BH508" i="8"/>
  <c r="BG508" i="8"/>
  <c r="BE508" i="8"/>
  <c r="BK508" i="8"/>
  <c r="J508" i="8"/>
  <c r="BF508" i="8" s="1"/>
  <c r="BI506" i="8"/>
  <c r="BH506" i="8"/>
  <c r="BG506" i="8"/>
  <c r="BE506" i="8"/>
  <c r="BK506" i="8"/>
  <c r="J506" i="8"/>
  <c r="BF506" i="8" s="1"/>
  <c r="BI503" i="8"/>
  <c r="BH503" i="8"/>
  <c r="BG503" i="8"/>
  <c r="BE503" i="8"/>
  <c r="BK503" i="8"/>
  <c r="J503" i="8"/>
  <c r="BF503" i="8" s="1"/>
  <c r="BI502" i="8"/>
  <c r="BH502" i="8"/>
  <c r="BG502" i="8"/>
  <c r="BE502" i="8"/>
  <c r="BK502" i="8"/>
  <c r="J502" i="8"/>
  <c r="BF502" i="8" s="1"/>
  <c r="BI500" i="8"/>
  <c r="BH500" i="8"/>
  <c r="BG500" i="8"/>
  <c r="BE500" i="8"/>
  <c r="BK500" i="8"/>
  <c r="J500" i="8"/>
  <c r="BF500" i="8" s="1"/>
  <c r="BI498" i="8"/>
  <c r="BH498" i="8"/>
  <c r="BG498" i="8"/>
  <c r="BE498" i="8"/>
  <c r="BK498" i="8"/>
  <c r="J498" i="8"/>
  <c r="BF498" i="8" s="1"/>
  <c r="BI496" i="8"/>
  <c r="BH496" i="8"/>
  <c r="BG496" i="8"/>
  <c r="BE496" i="8"/>
  <c r="BK496" i="8"/>
  <c r="J496" i="8"/>
  <c r="BF496" i="8" s="1"/>
  <c r="BI495" i="8"/>
  <c r="BH495" i="8"/>
  <c r="BG495" i="8"/>
  <c r="BE495" i="8"/>
  <c r="BK495" i="8"/>
  <c r="J495" i="8"/>
  <c r="BF495" i="8" s="1"/>
  <c r="BI494" i="8"/>
  <c r="BH494" i="8"/>
  <c r="BG494" i="8"/>
  <c r="BE494" i="8"/>
  <c r="BK494" i="8"/>
  <c r="J494" i="8"/>
  <c r="BF494" i="8" s="1"/>
  <c r="BI493" i="8"/>
  <c r="BH493" i="8"/>
  <c r="BG493" i="8"/>
  <c r="BE493" i="8"/>
  <c r="BK493" i="8"/>
  <c r="J493" i="8"/>
  <c r="BF493" i="8" s="1"/>
  <c r="BI490" i="8"/>
  <c r="BH490" i="8"/>
  <c r="BG490" i="8"/>
  <c r="BE490" i="8"/>
  <c r="BK490" i="8"/>
  <c r="J490" i="8"/>
  <c r="BF490" i="8" s="1"/>
  <c r="BI488" i="8"/>
  <c r="BH488" i="8"/>
  <c r="BG488" i="8"/>
  <c r="BE488" i="8"/>
  <c r="BK488" i="8"/>
  <c r="J488" i="8"/>
  <c r="BF488" i="8" s="1"/>
  <c r="BI486" i="8"/>
  <c r="BH486" i="8"/>
  <c r="BG486" i="8"/>
  <c r="BE486" i="8"/>
  <c r="BK486" i="8"/>
  <c r="J486" i="8"/>
  <c r="BF486" i="8" s="1"/>
  <c r="BI484" i="8"/>
  <c r="BH484" i="8"/>
  <c r="BG484" i="8"/>
  <c r="BE484" i="8"/>
  <c r="BK484" i="8"/>
  <c r="J484" i="8"/>
  <c r="BF484" i="8" s="1"/>
  <c r="BI483" i="8"/>
  <c r="BH483" i="8"/>
  <c r="BG483" i="8"/>
  <c r="BE483" i="8"/>
  <c r="BK483" i="8"/>
  <c r="J483" i="8"/>
  <c r="BF483" i="8" s="1"/>
  <c r="BI482" i="8"/>
  <c r="BH482" i="8"/>
  <c r="BG482" i="8"/>
  <c r="BE482" i="8"/>
  <c r="BK482" i="8"/>
  <c r="J482" i="8"/>
  <c r="BF482" i="8" s="1"/>
  <c r="BI480" i="8"/>
  <c r="BH480" i="8"/>
  <c r="BG480" i="8"/>
  <c r="BE480" i="8"/>
  <c r="BK480" i="8"/>
  <c r="J480" i="8"/>
  <c r="BF480" i="8" s="1"/>
  <c r="BI479" i="8"/>
  <c r="BH479" i="8"/>
  <c r="BG479" i="8"/>
  <c r="BE479" i="8"/>
  <c r="BK479" i="8"/>
  <c r="J479" i="8"/>
  <c r="BF479" i="8" s="1"/>
  <c r="BI478" i="8"/>
  <c r="BH478" i="8"/>
  <c r="BG478" i="8"/>
  <c r="BE478" i="8"/>
  <c r="BK478" i="8"/>
  <c r="J478" i="8"/>
  <c r="BF478" i="8" s="1"/>
  <c r="BI476" i="8"/>
  <c r="BH476" i="8"/>
  <c r="BG476" i="8"/>
  <c r="BE476" i="8"/>
  <c r="BK476" i="8"/>
  <c r="J476" i="8"/>
  <c r="BF476" i="8" s="1"/>
  <c r="BI475" i="8"/>
  <c r="BH475" i="8"/>
  <c r="BG475" i="8"/>
  <c r="BE475" i="8"/>
  <c r="BK475" i="8"/>
  <c r="J475" i="8"/>
  <c r="BF475" i="8" s="1"/>
  <c r="BI474" i="8"/>
  <c r="BH474" i="8"/>
  <c r="BG474" i="8"/>
  <c r="BE474" i="8"/>
  <c r="BK474" i="8"/>
  <c r="J474" i="8"/>
  <c r="BF474" i="8" s="1"/>
  <c r="BI471" i="8"/>
  <c r="BH471" i="8"/>
  <c r="BG471" i="8"/>
  <c r="BE471" i="8"/>
  <c r="BK471" i="8"/>
  <c r="J471" i="8"/>
  <c r="BF471" i="8" s="1"/>
  <c r="BI470" i="8"/>
  <c r="BH470" i="8"/>
  <c r="BG470" i="8"/>
  <c r="BE470" i="8"/>
  <c r="BK470" i="8"/>
  <c r="J470" i="8"/>
  <c r="BF470" i="8" s="1"/>
  <c r="BI469" i="8"/>
  <c r="BH469" i="8"/>
  <c r="BG469" i="8"/>
  <c r="BE469" i="8"/>
  <c r="BK469" i="8"/>
  <c r="J469" i="8"/>
  <c r="BF469" i="8" s="1"/>
  <c r="BI468" i="8"/>
  <c r="BH468" i="8"/>
  <c r="BG468" i="8"/>
  <c r="BE468" i="8"/>
  <c r="BK468" i="8"/>
  <c r="J468" i="8"/>
  <c r="BF468" i="8" s="1"/>
  <c r="BI467" i="8"/>
  <c r="BH467" i="8"/>
  <c r="BG467" i="8"/>
  <c r="BE467" i="8"/>
  <c r="BK467" i="8"/>
  <c r="J467" i="8"/>
  <c r="BF467" i="8" s="1"/>
  <c r="BI466" i="8"/>
  <c r="BH466" i="8"/>
  <c r="BG466" i="8"/>
  <c r="BE466" i="8"/>
  <c r="BK466" i="8"/>
  <c r="J466" i="8"/>
  <c r="BF466" i="8" s="1"/>
  <c r="BI465" i="8"/>
  <c r="BH465" i="8"/>
  <c r="BG465" i="8"/>
  <c r="BE465" i="8"/>
  <c r="BK465" i="8"/>
  <c r="J465" i="8"/>
  <c r="BF465" i="8" s="1"/>
  <c r="BI464" i="8"/>
  <c r="BH464" i="8"/>
  <c r="BG464" i="8"/>
  <c r="BE464" i="8"/>
  <c r="BK464" i="8"/>
  <c r="J464" i="8"/>
  <c r="BF464" i="8" s="1"/>
  <c r="BI462" i="8"/>
  <c r="BH462" i="8"/>
  <c r="BG462" i="8"/>
  <c r="BE462" i="8"/>
  <c r="BK462" i="8"/>
  <c r="J462" i="8"/>
  <c r="BF462" i="8" s="1"/>
  <c r="BI460" i="8"/>
  <c r="BH460" i="8"/>
  <c r="BG460" i="8"/>
  <c r="BE460" i="8"/>
  <c r="BK460" i="8"/>
  <c r="J460" i="8"/>
  <c r="BF460" i="8" s="1"/>
  <c r="BI459" i="8"/>
  <c r="BH459" i="8"/>
  <c r="BG459" i="8"/>
  <c r="BE459" i="8"/>
  <c r="BK459" i="8"/>
  <c r="J459" i="8"/>
  <c r="BF459" i="8" s="1"/>
  <c r="BI458" i="8"/>
  <c r="BH458" i="8"/>
  <c r="BG458" i="8"/>
  <c r="BE458" i="8"/>
  <c r="BK458" i="8"/>
  <c r="J458" i="8"/>
  <c r="BF458" i="8" s="1"/>
  <c r="BI456" i="8"/>
  <c r="BH456" i="8"/>
  <c r="BG456" i="8"/>
  <c r="BE456" i="8"/>
  <c r="BK456" i="8"/>
  <c r="J456" i="8"/>
  <c r="BF456" i="8" s="1"/>
  <c r="BI455" i="8"/>
  <c r="BH455" i="8"/>
  <c r="BG455" i="8"/>
  <c r="BE455" i="8"/>
  <c r="BK455" i="8"/>
  <c r="J455" i="8"/>
  <c r="BF455" i="8" s="1"/>
  <c r="BI454" i="8"/>
  <c r="BH454" i="8"/>
  <c r="BG454" i="8"/>
  <c r="BE454" i="8"/>
  <c r="BK454" i="8"/>
  <c r="J454" i="8"/>
  <c r="BF454" i="8" s="1"/>
  <c r="BI452" i="8"/>
  <c r="BH452" i="8"/>
  <c r="BG452" i="8"/>
  <c r="BE452" i="8"/>
  <c r="BK452" i="8"/>
  <c r="J452" i="8"/>
  <c r="BF452" i="8" s="1"/>
  <c r="BI451" i="8"/>
  <c r="BH451" i="8"/>
  <c r="BG451" i="8"/>
  <c r="BE451" i="8"/>
  <c r="BK451" i="8"/>
  <c r="J451" i="8"/>
  <c r="BF451" i="8" s="1"/>
  <c r="BI450" i="8"/>
  <c r="BH450" i="8"/>
  <c r="BG450" i="8"/>
  <c r="BE450" i="8"/>
  <c r="BK450" i="8"/>
  <c r="J450" i="8"/>
  <c r="BF450" i="8" s="1"/>
  <c r="BI448" i="8"/>
  <c r="BH448" i="8"/>
  <c r="BG448" i="8"/>
  <c r="BE448" i="8"/>
  <c r="BK448" i="8"/>
  <c r="J448" i="8"/>
  <c r="BF448" i="8" s="1"/>
  <c r="BI447" i="8"/>
  <c r="BH447" i="8"/>
  <c r="BG447" i="8"/>
  <c r="BE447" i="8"/>
  <c r="BK447" i="8"/>
  <c r="J447" i="8"/>
  <c r="BF447" i="8" s="1"/>
  <c r="BI446" i="8"/>
  <c r="BH446" i="8"/>
  <c r="BG446" i="8"/>
  <c r="BE446" i="8"/>
  <c r="BK446" i="8"/>
  <c r="J446" i="8"/>
  <c r="BF446" i="8" s="1"/>
  <c r="BI445" i="8"/>
  <c r="BH445" i="8"/>
  <c r="BG445" i="8"/>
  <c r="BE445" i="8"/>
  <c r="BK445" i="8"/>
  <c r="J445" i="8"/>
  <c r="BF445" i="8" s="1"/>
  <c r="BI444" i="8"/>
  <c r="BH444" i="8"/>
  <c r="BG444" i="8"/>
  <c r="BE444" i="8"/>
  <c r="BK444" i="8"/>
  <c r="J444" i="8"/>
  <c r="BF444" i="8" s="1"/>
  <c r="BI443" i="8"/>
  <c r="BH443" i="8"/>
  <c r="BG443" i="8"/>
  <c r="BE443" i="8"/>
  <c r="BK443" i="8"/>
  <c r="J443" i="8"/>
  <c r="BF443" i="8" s="1"/>
  <c r="BI442" i="8"/>
  <c r="BH442" i="8"/>
  <c r="BG442" i="8"/>
  <c r="BE442" i="8"/>
  <c r="BK442" i="8"/>
  <c r="J442" i="8"/>
  <c r="BF442" i="8" s="1"/>
  <c r="BI441" i="8"/>
  <c r="BH441" i="8"/>
  <c r="BG441" i="8"/>
  <c r="BE441" i="8"/>
  <c r="BK441" i="8"/>
  <c r="J441" i="8"/>
  <c r="BF441" i="8" s="1"/>
  <c r="BI440" i="8"/>
  <c r="BH440" i="8"/>
  <c r="BG440" i="8"/>
  <c r="BE440" i="8"/>
  <c r="BK440" i="8"/>
  <c r="J440" i="8"/>
  <c r="BF440" i="8" s="1"/>
  <c r="BI439" i="8"/>
  <c r="BH439" i="8"/>
  <c r="BG439" i="8"/>
  <c r="BE439" i="8"/>
  <c r="BK439" i="8"/>
  <c r="J439" i="8"/>
  <c r="BF439" i="8" s="1"/>
  <c r="BI438" i="8"/>
  <c r="BH438" i="8"/>
  <c r="BG438" i="8"/>
  <c r="BE438" i="8"/>
  <c r="BK438" i="8"/>
  <c r="J438" i="8"/>
  <c r="BF438" i="8" s="1"/>
  <c r="BI432" i="8"/>
  <c r="BH432" i="8"/>
  <c r="BG432" i="8"/>
  <c r="BE432" i="8"/>
  <c r="BK432" i="8"/>
  <c r="J432" i="8"/>
  <c r="BF432" i="8" s="1"/>
  <c r="BI431" i="8"/>
  <c r="BH431" i="8"/>
  <c r="BG431" i="8"/>
  <c r="BE431" i="8"/>
  <c r="BK431" i="8"/>
  <c r="J431" i="8"/>
  <c r="BF431" i="8" s="1"/>
  <c r="BI426" i="8"/>
  <c r="BH426" i="8"/>
  <c r="BG426" i="8"/>
  <c r="BE426" i="8"/>
  <c r="BK426" i="8"/>
  <c r="J426" i="8"/>
  <c r="BF426" i="8" s="1"/>
  <c r="BI425" i="8"/>
  <c r="BH425" i="8"/>
  <c r="BG425" i="8"/>
  <c r="BE425" i="8"/>
  <c r="BK425" i="8"/>
  <c r="J425" i="8"/>
  <c r="BF425" i="8" s="1"/>
  <c r="BI424" i="8"/>
  <c r="BH424" i="8"/>
  <c r="BG424" i="8"/>
  <c r="BE424" i="8"/>
  <c r="BK424" i="8"/>
  <c r="J424" i="8"/>
  <c r="BF424" i="8" s="1"/>
  <c r="BI423" i="8"/>
  <c r="BH423" i="8"/>
  <c r="BG423" i="8"/>
  <c r="BE423" i="8"/>
  <c r="BK423" i="8"/>
  <c r="J423" i="8"/>
  <c r="BF423" i="8" s="1"/>
  <c r="BI420" i="8"/>
  <c r="BH420" i="8"/>
  <c r="BG420" i="8"/>
  <c r="BE420" i="8"/>
  <c r="BK420" i="8"/>
  <c r="J420" i="8"/>
  <c r="BF420" i="8" s="1"/>
  <c r="BI419" i="8"/>
  <c r="BH419" i="8"/>
  <c r="BG419" i="8"/>
  <c r="BE419" i="8"/>
  <c r="BK419" i="8"/>
  <c r="J419" i="8"/>
  <c r="BF419" i="8" s="1"/>
  <c r="BI417" i="8"/>
  <c r="BH417" i="8"/>
  <c r="BG417" i="8"/>
  <c r="BE417" i="8"/>
  <c r="BK417" i="8"/>
  <c r="J417" i="8"/>
  <c r="BF417" i="8" s="1"/>
  <c r="BI415" i="8"/>
  <c r="BH415" i="8"/>
  <c r="BG415" i="8"/>
  <c r="BE415" i="8"/>
  <c r="BK415" i="8"/>
  <c r="J415" i="8"/>
  <c r="BF415" i="8" s="1"/>
  <c r="BI413" i="8"/>
  <c r="BH413" i="8"/>
  <c r="BG413" i="8"/>
  <c r="BE413" i="8"/>
  <c r="BK413" i="8"/>
  <c r="J413" i="8"/>
  <c r="BF413" i="8" s="1"/>
  <c r="BI411" i="8"/>
  <c r="BH411" i="8"/>
  <c r="BG411" i="8"/>
  <c r="BE411" i="8"/>
  <c r="BK411" i="8"/>
  <c r="J411" i="8"/>
  <c r="BF411" i="8" s="1"/>
  <c r="BI410" i="8"/>
  <c r="BH410" i="8"/>
  <c r="BG410" i="8"/>
  <c r="BE410" i="8"/>
  <c r="BK410" i="8"/>
  <c r="J410" i="8"/>
  <c r="BF410" i="8" s="1"/>
  <c r="BI409" i="8"/>
  <c r="BH409" i="8"/>
  <c r="BG409" i="8"/>
  <c r="BE409" i="8"/>
  <c r="BK409" i="8"/>
  <c r="J409" i="8"/>
  <c r="BF409" i="8" s="1"/>
  <c r="BI408" i="8"/>
  <c r="BH408" i="8"/>
  <c r="BG408" i="8"/>
  <c r="BE408" i="8"/>
  <c r="BK408" i="8"/>
  <c r="J408" i="8"/>
  <c r="BF408" i="8" s="1"/>
  <c r="BI407" i="8"/>
  <c r="BH407" i="8"/>
  <c r="BG407" i="8"/>
  <c r="BE407" i="8"/>
  <c r="BK407" i="8"/>
  <c r="J407" i="8"/>
  <c r="BF407" i="8" s="1"/>
  <c r="BI406" i="8"/>
  <c r="BH406" i="8"/>
  <c r="BG406" i="8"/>
  <c r="BE406" i="8"/>
  <c r="BK406" i="8"/>
  <c r="J406" i="8"/>
  <c r="BF406" i="8" s="1"/>
  <c r="BI405" i="8"/>
  <c r="BH405" i="8"/>
  <c r="BG405" i="8"/>
  <c r="BE405" i="8"/>
  <c r="BK405" i="8"/>
  <c r="J405" i="8"/>
  <c r="BF405" i="8" s="1"/>
  <c r="BI402" i="8"/>
  <c r="BH402" i="8"/>
  <c r="BG402" i="8"/>
  <c r="BE402" i="8"/>
  <c r="BK402" i="8"/>
  <c r="J402" i="8"/>
  <c r="BF402" i="8" s="1"/>
  <c r="BI400" i="8"/>
  <c r="BH400" i="8"/>
  <c r="BG400" i="8"/>
  <c r="BE400" i="8"/>
  <c r="BK400" i="8"/>
  <c r="J400" i="8"/>
  <c r="BF400" i="8" s="1"/>
  <c r="BI398" i="8"/>
  <c r="BH398" i="8"/>
  <c r="BG398" i="8"/>
  <c r="BE398" i="8"/>
  <c r="BK398" i="8"/>
  <c r="J398" i="8"/>
  <c r="BF398" i="8" s="1"/>
  <c r="BI396" i="8"/>
  <c r="BH396" i="8"/>
  <c r="BG396" i="8"/>
  <c r="BE396" i="8"/>
  <c r="BK396" i="8"/>
  <c r="J396" i="8"/>
  <c r="BF396" i="8" s="1"/>
  <c r="BI395" i="8"/>
  <c r="BH395" i="8"/>
  <c r="BG395" i="8"/>
  <c r="BE395" i="8"/>
  <c r="BK395" i="8"/>
  <c r="J395" i="8"/>
  <c r="BF395" i="8" s="1"/>
  <c r="BI393" i="8"/>
  <c r="BH393" i="8"/>
  <c r="BG393" i="8"/>
  <c r="BE393" i="8"/>
  <c r="BK393" i="8"/>
  <c r="J393" i="8"/>
  <c r="BF393" i="8" s="1"/>
  <c r="BI392" i="8"/>
  <c r="BH392" i="8"/>
  <c r="BG392" i="8"/>
  <c r="BE392" i="8"/>
  <c r="BK392" i="8"/>
  <c r="J392" i="8"/>
  <c r="BF392" i="8" s="1"/>
  <c r="BI390" i="8"/>
  <c r="BH390" i="8"/>
  <c r="BG390" i="8"/>
  <c r="BE390" i="8"/>
  <c r="BK390" i="8"/>
  <c r="J390" i="8"/>
  <c r="BF390" i="8" s="1"/>
  <c r="BI389" i="8"/>
  <c r="BH389" i="8"/>
  <c r="BG389" i="8"/>
  <c r="BE389" i="8"/>
  <c r="BK389" i="8"/>
  <c r="J389" i="8"/>
  <c r="BF389" i="8" s="1"/>
  <c r="BI388" i="8"/>
  <c r="BH388" i="8"/>
  <c r="BG388" i="8"/>
  <c r="BE388" i="8"/>
  <c r="BK388" i="8"/>
  <c r="J388" i="8"/>
  <c r="BF388" i="8" s="1"/>
  <c r="BI387" i="8"/>
  <c r="BH387" i="8"/>
  <c r="BG387" i="8"/>
  <c r="BE387" i="8"/>
  <c r="BK387" i="8"/>
  <c r="J387" i="8"/>
  <c r="BF387" i="8" s="1"/>
  <c r="BI386" i="8"/>
  <c r="BH386" i="8"/>
  <c r="BG386" i="8"/>
  <c r="BE386" i="8"/>
  <c r="BK386" i="8"/>
  <c r="J386" i="8"/>
  <c r="BF386" i="8" s="1"/>
  <c r="BI384" i="8"/>
  <c r="BH384" i="8"/>
  <c r="BG384" i="8"/>
  <c r="BE384" i="8"/>
  <c r="BK384" i="8"/>
  <c r="J384" i="8"/>
  <c r="BF384" i="8" s="1"/>
  <c r="BI382" i="8"/>
  <c r="BH382" i="8"/>
  <c r="BG382" i="8"/>
  <c r="BE382" i="8"/>
  <c r="BK382" i="8"/>
  <c r="J382" i="8"/>
  <c r="BF382" i="8" s="1"/>
  <c r="BI381" i="8"/>
  <c r="BH381" i="8"/>
  <c r="BG381" i="8"/>
  <c r="BE381" i="8"/>
  <c r="BK381" i="8"/>
  <c r="J381" i="8"/>
  <c r="BF381" i="8" s="1"/>
  <c r="BI379" i="8"/>
  <c r="BH379" i="8"/>
  <c r="BG379" i="8"/>
  <c r="BE379" i="8"/>
  <c r="BK379" i="8"/>
  <c r="J379" i="8"/>
  <c r="BF379" i="8" s="1"/>
  <c r="BI378" i="8"/>
  <c r="BH378" i="8"/>
  <c r="BG378" i="8"/>
  <c r="BE378" i="8"/>
  <c r="BK378" i="8"/>
  <c r="J378" i="8"/>
  <c r="BF378" i="8" s="1"/>
  <c r="BI376" i="8"/>
  <c r="BH376" i="8"/>
  <c r="BG376" i="8"/>
  <c r="BE376" i="8"/>
  <c r="BK376" i="8"/>
  <c r="J376" i="8"/>
  <c r="BF376" i="8" s="1"/>
  <c r="BI375" i="8"/>
  <c r="BH375" i="8"/>
  <c r="BG375" i="8"/>
  <c r="BE375" i="8"/>
  <c r="BK375" i="8"/>
  <c r="J375" i="8"/>
  <c r="BF375" i="8" s="1"/>
  <c r="BI374" i="8"/>
  <c r="BH374" i="8"/>
  <c r="BG374" i="8"/>
  <c r="BE374" i="8"/>
  <c r="BK374" i="8"/>
  <c r="J374" i="8"/>
  <c r="BF374" i="8" s="1"/>
  <c r="BI373" i="8"/>
  <c r="BH373" i="8"/>
  <c r="BG373" i="8"/>
  <c r="BE373" i="8"/>
  <c r="BK373" i="8"/>
  <c r="J373" i="8"/>
  <c r="BF373" i="8" s="1"/>
  <c r="BI372" i="8"/>
  <c r="BH372" i="8"/>
  <c r="BG372" i="8"/>
  <c r="BE372" i="8"/>
  <c r="BK372" i="8"/>
  <c r="J372" i="8"/>
  <c r="BF372" i="8" s="1"/>
  <c r="BI370" i="8"/>
  <c r="BH370" i="8"/>
  <c r="BG370" i="8"/>
  <c r="BE370" i="8"/>
  <c r="BK370" i="8"/>
  <c r="J370" i="8"/>
  <c r="BF370" i="8" s="1"/>
  <c r="BI369" i="8"/>
  <c r="BH369" i="8"/>
  <c r="BG369" i="8"/>
  <c r="BE369" i="8"/>
  <c r="BK369" i="8"/>
  <c r="J369" i="8"/>
  <c r="BF369" i="8" s="1"/>
  <c r="BI368" i="8"/>
  <c r="BH368" i="8"/>
  <c r="BG368" i="8"/>
  <c r="BE368" i="8"/>
  <c r="BK368" i="8"/>
  <c r="J368" i="8"/>
  <c r="BF368" i="8" s="1"/>
  <c r="BI366" i="8"/>
  <c r="BH366" i="8"/>
  <c r="BG366" i="8"/>
  <c r="BE366" i="8"/>
  <c r="BK366" i="8"/>
  <c r="J366" i="8"/>
  <c r="BF366" i="8" s="1"/>
  <c r="BI365" i="8"/>
  <c r="BH365" i="8"/>
  <c r="BG365" i="8"/>
  <c r="BE365" i="8"/>
  <c r="BK365" i="8"/>
  <c r="J365" i="8"/>
  <c r="BF365" i="8" s="1"/>
  <c r="BI364" i="8"/>
  <c r="BH364" i="8"/>
  <c r="BG364" i="8"/>
  <c r="BE364" i="8"/>
  <c r="BK364" i="8"/>
  <c r="J364" i="8"/>
  <c r="BF364" i="8" s="1"/>
  <c r="BI363" i="8"/>
  <c r="BH363" i="8"/>
  <c r="BG363" i="8"/>
  <c r="BE363" i="8"/>
  <c r="BK363" i="8"/>
  <c r="J363" i="8"/>
  <c r="BF363" i="8" s="1"/>
  <c r="BI361" i="8"/>
  <c r="BH361" i="8"/>
  <c r="BG361" i="8"/>
  <c r="BE361" i="8"/>
  <c r="BK361" i="8"/>
  <c r="J361" i="8"/>
  <c r="BF361" i="8" s="1"/>
  <c r="BI360" i="8"/>
  <c r="BH360" i="8"/>
  <c r="BG360" i="8"/>
  <c r="BE360" i="8"/>
  <c r="BK360" i="8"/>
  <c r="J360" i="8"/>
  <c r="BF360" i="8" s="1"/>
  <c r="BI358" i="8"/>
  <c r="BH358" i="8"/>
  <c r="BG358" i="8"/>
  <c r="BE358" i="8"/>
  <c r="BK358" i="8"/>
  <c r="J358" i="8"/>
  <c r="BF358" i="8" s="1"/>
  <c r="BI356" i="8"/>
  <c r="BH356" i="8"/>
  <c r="BG356" i="8"/>
  <c r="BE356" i="8"/>
  <c r="BK356" i="8"/>
  <c r="J356" i="8"/>
  <c r="BF356" i="8" s="1"/>
  <c r="BI354" i="8"/>
  <c r="BH354" i="8"/>
  <c r="BG354" i="8"/>
  <c r="BE354" i="8"/>
  <c r="BK354" i="8"/>
  <c r="J354" i="8"/>
  <c r="BF354" i="8" s="1"/>
  <c r="BI352" i="8"/>
  <c r="BH352" i="8"/>
  <c r="BG352" i="8"/>
  <c r="BE352" i="8"/>
  <c r="BK352" i="8"/>
  <c r="J352" i="8"/>
  <c r="BF352" i="8" s="1"/>
  <c r="BI351" i="8"/>
  <c r="BH351" i="8"/>
  <c r="BG351" i="8"/>
  <c r="BE351" i="8"/>
  <c r="BK351" i="8"/>
  <c r="J351" i="8"/>
  <c r="BF351" i="8" s="1"/>
  <c r="BI350" i="8"/>
  <c r="BH350" i="8"/>
  <c r="BG350" i="8"/>
  <c r="BE350" i="8"/>
  <c r="BK350" i="8"/>
  <c r="J350" i="8"/>
  <c r="BF350" i="8" s="1"/>
  <c r="BI349" i="8"/>
  <c r="BH349" i="8"/>
  <c r="BG349" i="8"/>
  <c r="BE349" i="8"/>
  <c r="BK349" i="8"/>
  <c r="J349" i="8"/>
  <c r="BF349" i="8" s="1"/>
  <c r="BI348" i="8"/>
  <c r="BH348" i="8"/>
  <c r="BG348" i="8"/>
  <c r="BE348" i="8"/>
  <c r="BK348" i="8"/>
  <c r="J348" i="8"/>
  <c r="BF348" i="8" s="1"/>
  <c r="BI347" i="8"/>
  <c r="BH347" i="8"/>
  <c r="BG347" i="8"/>
  <c r="BE347" i="8"/>
  <c r="BK347" i="8"/>
  <c r="J347" i="8"/>
  <c r="BF347" i="8" s="1"/>
  <c r="BI346" i="8"/>
  <c r="BH346" i="8"/>
  <c r="BG346" i="8"/>
  <c r="BE346" i="8"/>
  <c r="BK346" i="8"/>
  <c r="J346" i="8"/>
  <c r="BF346" i="8" s="1"/>
  <c r="BI345" i="8"/>
  <c r="BH345" i="8"/>
  <c r="BG345" i="8"/>
  <c r="BE345" i="8"/>
  <c r="BK345" i="8"/>
  <c r="J345" i="8"/>
  <c r="BF345" i="8" s="1"/>
  <c r="BI344" i="8"/>
  <c r="BH344" i="8"/>
  <c r="BG344" i="8"/>
  <c r="BE344" i="8"/>
  <c r="BK344" i="8"/>
  <c r="J344" i="8"/>
  <c r="BF344" i="8" s="1"/>
  <c r="BI343" i="8"/>
  <c r="BH343" i="8"/>
  <c r="BG343" i="8"/>
  <c r="BE343" i="8"/>
  <c r="BK343" i="8"/>
  <c r="J343" i="8"/>
  <c r="BF343" i="8" s="1"/>
  <c r="BI342" i="8"/>
  <c r="BH342" i="8"/>
  <c r="BG342" i="8"/>
  <c r="BE342" i="8"/>
  <c r="BK342" i="8"/>
  <c r="J342" i="8"/>
  <c r="BF342" i="8" s="1"/>
  <c r="BI341" i="8"/>
  <c r="BH341" i="8"/>
  <c r="BG341" i="8"/>
  <c r="BE341" i="8"/>
  <c r="BK341" i="8"/>
  <c r="J341" i="8"/>
  <c r="BF341" i="8" s="1"/>
  <c r="BI340" i="8"/>
  <c r="BH340" i="8"/>
  <c r="BG340" i="8"/>
  <c r="BE340" i="8"/>
  <c r="BK340" i="8"/>
  <c r="J340" i="8"/>
  <c r="BF340" i="8" s="1"/>
  <c r="BI339" i="8"/>
  <c r="BH339" i="8"/>
  <c r="BG339" i="8"/>
  <c r="BE339" i="8"/>
  <c r="BK339" i="8"/>
  <c r="J339" i="8"/>
  <c r="BF339" i="8" s="1"/>
  <c r="BI338" i="8"/>
  <c r="BH338" i="8"/>
  <c r="BG338" i="8"/>
  <c r="BE338" i="8"/>
  <c r="BK338" i="8"/>
  <c r="J338" i="8"/>
  <c r="BF338" i="8" s="1"/>
  <c r="BI337" i="8"/>
  <c r="BH337" i="8"/>
  <c r="BG337" i="8"/>
  <c r="BE337" i="8"/>
  <c r="BK337" i="8"/>
  <c r="J337" i="8"/>
  <c r="BF337" i="8" s="1"/>
  <c r="BI336" i="8"/>
  <c r="BH336" i="8"/>
  <c r="BG336" i="8"/>
  <c r="BE336" i="8"/>
  <c r="BK336" i="8"/>
  <c r="J336" i="8"/>
  <c r="BF336" i="8" s="1"/>
  <c r="BI335" i="8"/>
  <c r="BH335" i="8"/>
  <c r="BG335" i="8"/>
  <c r="BE335" i="8"/>
  <c r="BK335" i="8"/>
  <c r="J335" i="8"/>
  <c r="BF335" i="8" s="1"/>
  <c r="BI334" i="8"/>
  <c r="BH334" i="8"/>
  <c r="BG334" i="8"/>
  <c r="BE334" i="8"/>
  <c r="BK334" i="8"/>
  <c r="J334" i="8"/>
  <c r="BF334" i="8" s="1"/>
  <c r="BI333" i="8"/>
  <c r="BH333" i="8"/>
  <c r="BG333" i="8"/>
  <c r="BE333" i="8"/>
  <c r="BK333" i="8"/>
  <c r="J333" i="8"/>
  <c r="BF333" i="8" s="1"/>
  <c r="BI331" i="8"/>
  <c r="BH331" i="8"/>
  <c r="BG331" i="8"/>
  <c r="BE331" i="8"/>
  <c r="BK331" i="8"/>
  <c r="J331" i="8"/>
  <c r="BF331" i="8" s="1"/>
  <c r="BI330" i="8"/>
  <c r="BH330" i="8"/>
  <c r="BG330" i="8"/>
  <c r="BE330" i="8"/>
  <c r="BK330" i="8"/>
  <c r="J330" i="8"/>
  <c r="BF330" i="8" s="1"/>
  <c r="BI329" i="8"/>
  <c r="BH329" i="8"/>
  <c r="BG329" i="8"/>
  <c r="BE329" i="8"/>
  <c r="BK329" i="8"/>
  <c r="J329" i="8"/>
  <c r="BF329" i="8" s="1"/>
  <c r="BI328" i="8"/>
  <c r="BH328" i="8"/>
  <c r="BG328" i="8"/>
  <c r="BE328" i="8"/>
  <c r="BK328" i="8"/>
  <c r="J328" i="8"/>
  <c r="BF328" i="8" s="1"/>
  <c r="BI327" i="8"/>
  <c r="BH327" i="8"/>
  <c r="BG327" i="8"/>
  <c r="BE327" i="8"/>
  <c r="BK327" i="8"/>
  <c r="J327" i="8"/>
  <c r="BF327" i="8" s="1"/>
  <c r="BI326" i="8"/>
  <c r="BH326" i="8"/>
  <c r="BG326" i="8"/>
  <c r="BE326" i="8"/>
  <c r="BK326" i="8"/>
  <c r="J326" i="8"/>
  <c r="BF326" i="8" s="1"/>
  <c r="BI325" i="8"/>
  <c r="BH325" i="8"/>
  <c r="BG325" i="8"/>
  <c r="BE325" i="8"/>
  <c r="BK325" i="8"/>
  <c r="J325" i="8"/>
  <c r="BF325" i="8" s="1"/>
  <c r="BI324" i="8"/>
  <c r="BH324" i="8"/>
  <c r="BG324" i="8"/>
  <c r="BE324" i="8"/>
  <c r="BK324" i="8"/>
  <c r="J324" i="8"/>
  <c r="BF324" i="8" s="1"/>
  <c r="BI323" i="8"/>
  <c r="BH323" i="8"/>
  <c r="BG323" i="8"/>
  <c r="BE323" i="8"/>
  <c r="BK323" i="8"/>
  <c r="J323" i="8"/>
  <c r="BF323" i="8" s="1"/>
  <c r="BI322" i="8"/>
  <c r="BH322" i="8"/>
  <c r="BG322" i="8"/>
  <c r="BE322" i="8"/>
  <c r="BK322" i="8"/>
  <c r="J322" i="8"/>
  <c r="BF322" i="8" s="1"/>
  <c r="BI321" i="8"/>
  <c r="BH321" i="8"/>
  <c r="BG321" i="8"/>
  <c r="BE321" i="8"/>
  <c r="BK321" i="8"/>
  <c r="J321" i="8"/>
  <c r="BF321" i="8" s="1"/>
  <c r="BI320" i="8"/>
  <c r="BH320" i="8"/>
  <c r="BG320" i="8"/>
  <c r="BE320" i="8"/>
  <c r="BK320" i="8"/>
  <c r="J320" i="8"/>
  <c r="BF320" i="8" s="1"/>
  <c r="BI318" i="8"/>
  <c r="BH318" i="8"/>
  <c r="BG318" i="8"/>
  <c r="BE318" i="8"/>
  <c r="BK318" i="8"/>
  <c r="J318" i="8"/>
  <c r="BF318" i="8" s="1"/>
  <c r="BI317" i="8"/>
  <c r="BH317" i="8"/>
  <c r="BG317" i="8"/>
  <c r="BE317" i="8"/>
  <c r="BK317" i="8"/>
  <c r="J317" i="8"/>
  <c r="BF317" i="8" s="1"/>
  <c r="BI316" i="8"/>
  <c r="BH316" i="8"/>
  <c r="BG316" i="8"/>
  <c r="BE316" i="8"/>
  <c r="BK316" i="8"/>
  <c r="J316" i="8"/>
  <c r="BF316" i="8" s="1"/>
  <c r="BI315" i="8"/>
  <c r="BH315" i="8"/>
  <c r="BG315" i="8"/>
  <c r="BE315" i="8"/>
  <c r="BK315" i="8"/>
  <c r="J315" i="8"/>
  <c r="BF315" i="8" s="1"/>
  <c r="BI314" i="8"/>
  <c r="BH314" i="8"/>
  <c r="BG314" i="8"/>
  <c r="BE314" i="8"/>
  <c r="BK314" i="8"/>
  <c r="J314" i="8"/>
  <c r="BF314" i="8" s="1"/>
  <c r="BI313" i="8"/>
  <c r="BH313" i="8"/>
  <c r="BG313" i="8"/>
  <c r="BE313" i="8"/>
  <c r="BK313" i="8"/>
  <c r="J313" i="8"/>
  <c r="BF313" i="8" s="1"/>
  <c r="BI312" i="8"/>
  <c r="BH312" i="8"/>
  <c r="BG312" i="8"/>
  <c r="BE312" i="8"/>
  <c r="BK312" i="8"/>
  <c r="J312" i="8"/>
  <c r="BF312" i="8" s="1"/>
  <c r="BI311" i="8"/>
  <c r="BH311" i="8"/>
  <c r="BG311" i="8"/>
  <c r="BE311" i="8"/>
  <c r="BK311" i="8"/>
  <c r="J311" i="8"/>
  <c r="BF311" i="8" s="1"/>
  <c r="BI310" i="8"/>
  <c r="BH310" i="8"/>
  <c r="BG310" i="8"/>
  <c r="BE310" i="8"/>
  <c r="BK310" i="8"/>
  <c r="J310" i="8"/>
  <c r="BF310" i="8" s="1"/>
  <c r="BI309" i="8"/>
  <c r="BH309" i="8"/>
  <c r="BG309" i="8"/>
  <c r="BE309" i="8"/>
  <c r="BK309" i="8"/>
  <c r="J309" i="8"/>
  <c r="BF309" i="8" s="1"/>
  <c r="BI308" i="8"/>
  <c r="BH308" i="8"/>
  <c r="BG308" i="8"/>
  <c r="BE308" i="8"/>
  <c r="BK308" i="8"/>
  <c r="J308" i="8"/>
  <c r="BF308" i="8" s="1"/>
  <c r="BI307" i="8"/>
  <c r="BH307" i="8"/>
  <c r="BG307" i="8"/>
  <c r="BE307" i="8"/>
  <c r="BK307" i="8"/>
  <c r="J307" i="8"/>
  <c r="BF307" i="8" s="1"/>
  <c r="BI305" i="8"/>
  <c r="BH305" i="8"/>
  <c r="BG305" i="8"/>
  <c r="BE305" i="8"/>
  <c r="BK305" i="8"/>
  <c r="J305" i="8"/>
  <c r="BF305" i="8" s="1"/>
  <c r="BI304" i="8"/>
  <c r="BH304" i="8"/>
  <c r="BG304" i="8"/>
  <c r="BE304" i="8"/>
  <c r="BK304" i="8"/>
  <c r="J304" i="8"/>
  <c r="BF304" i="8" s="1"/>
  <c r="BI303" i="8"/>
  <c r="BH303" i="8"/>
  <c r="BG303" i="8"/>
  <c r="BE303" i="8"/>
  <c r="BK303" i="8"/>
  <c r="J303" i="8"/>
  <c r="BF303" i="8" s="1"/>
  <c r="BI302" i="8"/>
  <c r="BH302" i="8"/>
  <c r="BG302" i="8"/>
  <c r="BE302" i="8"/>
  <c r="BK302" i="8"/>
  <c r="J302" i="8"/>
  <c r="BF302" i="8" s="1"/>
  <c r="BI301" i="8"/>
  <c r="BH301" i="8"/>
  <c r="BG301" i="8"/>
  <c r="BE301" i="8"/>
  <c r="BK301" i="8"/>
  <c r="J301" i="8"/>
  <c r="BF301" i="8" s="1"/>
  <c r="BI300" i="8"/>
  <c r="BH300" i="8"/>
  <c r="BG300" i="8"/>
  <c r="BE300" i="8"/>
  <c r="BK300" i="8"/>
  <c r="J300" i="8"/>
  <c r="BF300" i="8" s="1"/>
  <c r="BI299" i="8"/>
  <c r="BH299" i="8"/>
  <c r="BG299" i="8"/>
  <c r="BE299" i="8"/>
  <c r="BK299" i="8"/>
  <c r="J299" i="8"/>
  <c r="BF299" i="8" s="1"/>
  <c r="BI298" i="8"/>
  <c r="BH298" i="8"/>
  <c r="BG298" i="8"/>
  <c r="BE298" i="8"/>
  <c r="BK298" i="8"/>
  <c r="J298" i="8"/>
  <c r="BF298" i="8" s="1"/>
  <c r="BI297" i="8"/>
  <c r="BH297" i="8"/>
  <c r="BG297" i="8"/>
  <c r="BE297" i="8"/>
  <c r="BK297" i="8"/>
  <c r="J297" i="8"/>
  <c r="BF297" i="8" s="1"/>
  <c r="BI296" i="8"/>
  <c r="BH296" i="8"/>
  <c r="BG296" i="8"/>
  <c r="BE296" i="8"/>
  <c r="BK296" i="8"/>
  <c r="J296" i="8"/>
  <c r="BF296" i="8" s="1"/>
  <c r="BI294" i="8"/>
  <c r="BH294" i="8"/>
  <c r="BG294" i="8"/>
  <c r="BE294" i="8"/>
  <c r="BK294" i="8"/>
  <c r="J294" i="8"/>
  <c r="BF294" i="8" s="1"/>
  <c r="BI293" i="8"/>
  <c r="BH293" i="8"/>
  <c r="BG293" i="8"/>
  <c r="BE293" i="8"/>
  <c r="BK293" i="8"/>
  <c r="J293" i="8"/>
  <c r="BF293" i="8" s="1"/>
  <c r="BI292" i="8"/>
  <c r="BH292" i="8"/>
  <c r="BG292" i="8"/>
  <c r="BE292" i="8"/>
  <c r="BK292" i="8"/>
  <c r="J292" i="8"/>
  <c r="BF292" i="8" s="1"/>
  <c r="BI290" i="8"/>
  <c r="BH290" i="8"/>
  <c r="BG290" i="8"/>
  <c r="BE290" i="8"/>
  <c r="BK290" i="8"/>
  <c r="J290" i="8"/>
  <c r="BF290" i="8" s="1"/>
  <c r="BI289" i="8"/>
  <c r="BH289" i="8"/>
  <c r="BG289" i="8"/>
  <c r="BE289" i="8"/>
  <c r="BK289" i="8"/>
  <c r="J289" i="8"/>
  <c r="BF289" i="8" s="1"/>
  <c r="BI288" i="8"/>
  <c r="BH288" i="8"/>
  <c r="BG288" i="8"/>
  <c r="BE288" i="8"/>
  <c r="BK288" i="8"/>
  <c r="J288" i="8"/>
  <c r="BF288" i="8" s="1"/>
  <c r="BI285" i="8"/>
  <c r="BH285" i="8"/>
  <c r="BG285" i="8"/>
  <c r="BE285" i="8"/>
  <c r="BK285" i="8"/>
  <c r="J285" i="8"/>
  <c r="BF285" i="8" s="1"/>
  <c r="BI284" i="8"/>
  <c r="BH284" i="8"/>
  <c r="BG284" i="8"/>
  <c r="BE284" i="8"/>
  <c r="BK284" i="8"/>
  <c r="J284" i="8"/>
  <c r="BF284" i="8" s="1"/>
  <c r="BI280" i="8"/>
  <c r="BH280" i="8"/>
  <c r="BG280" i="8"/>
  <c r="BE280" i="8"/>
  <c r="BK280" i="8"/>
  <c r="J280" i="8"/>
  <c r="BF280" i="8" s="1"/>
  <c r="BI278" i="8"/>
  <c r="BH278" i="8"/>
  <c r="BG278" i="8"/>
  <c r="BE278" i="8"/>
  <c r="BK278" i="8"/>
  <c r="J278" i="8"/>
  <c r="BF278" i="8" s="1"/>
  <c r="BI276" i="8"/>
  <c r="BH276" i="8"/>
  <c r="BG276" i="8"/>
  <c r="BE276" i="8"/>
  <c r="BK276" i="8"/>
  <c r="J276" i="8"/>
  <c r="BF276" i="8" s="1"/>
  <c r="BI274" i="8"/>
  <c r="BH274" i="8"/>
  <c r="BG274" i="8"/>
  <c r="BE274" i="8"/>
  <c r="BK274" i="8"/>
  <c r="J274" i="8"/>
  <c r="BF274" i="8" s="1"/>
  <c r="BI273" i="8"/>
  <c r="BH273" i="8"/>
  <c r="BG273" i="8"/>
  <c r="BE273" i="8"/>
  <c r="BK273" i="8"/>
  <c r="J273" i="8"/>
  <c r="BF273" i="8" s="1"/>
  <c r="BI270" i="8"/>
  <c r="BH270" i="8"/>
  <c r="BG270" i="8"/>
  <c r="BE270" i="8"/>
  <c r="BK270" i="8"/>
  <c r="J270" i="8"/>
  <c r="BF270" i="8" s="1"/>
  <c r="BI269" i="8"/>
  <c r="BH269" i="8"/>
  <c r="BG269" i="8"/>
  <c r="BE269" i="8"/>
  <c r="BK269" i="8"/>
  <c r="J269" i="8"/>
  <c r="BF269" i="8" s="1"/>
  <c r="BI268" i="8"/>
  <c r="BH268" i="8"/>
  <c r="BG268" i="8"/>
  <c r="BE268" i="8"/>
  <c r="T268" i="8"/>
  <c r="R268" i="8"/>
  <c r="P268" i="8"/>
  <c r="BK268" i="8"/>
  <c r="J268" i="8"/>
  <c r="BF268" i="8" s="1"/>
  <c r="BI267" i="8"/>
  <c r="BH267" i="8"/>
  <c r="BG267" i="8"/>
  <c r="BE267" i="8"/>
  <c r="T267" i="8"/>
  <c r="R267" i="8"/>
  <c r="P267" i="8"/>
  <c r="BK267" i="8"/>
  <c r="J267" i="8"/>
  <c r="BF267" i="8" s="1"/>
  <c r="BI266" i="8"/>
  <c r="BH266" i="8"/>
  <c r="BG266" i="8"/>
  <c r="BE266" i="8"/>
  <c r="T266" i="8"/>
  <c r="R266" i="8"/>
  <c r="P266" i="8"/>
  <c r="BK266" i="8"/>
  <c r="J266" i="8"/>
  <c r="BF266" i="8" s="1"/>
  <c r="BI265" i="8"/>
  <c r="BH265" i="8"/>
  <c r="BG265" i="8"/>
  <c r="BE265" i="8"/>
  <c r="T265" i="8"/>
  <c r="R265" i="8"/>
  <c r="P265" i="8"/>
  <c r="BK265" i="8"/>
  <c r="J265" i="8"/>
  <c r="BF265" i="8" s="1"/>
  <c r="BI264" i="8"/>
  <c r="BH264" i="8"/>
  <c r="BG264" i="8"/>
  <c r="BE264" i="8"/>
  <c r="T264" i="8"/>
  <c r="R264" i="8"/>
  <c r="P264" i="8"/>
  <c r="BK264" i="8"/>
  <c r="J264" i="8"/>
  <c r="BF264" i="8" s="1"/>
  <c r="BI263" i="8"/>
  <c r="BH263" i="8"/>
  <c r="BG263" i="8"/>
  <c r="BE263" i="8"/>
  <c r="T263" i="8"/>
  <c r="R263" i="8"/>
  <c r="P263" i="8"/>
  <c r="BK263" i="8"/>
  <c r="J263" i="8"/>
  <c r="BF263" i="8" s="1"/>
  <c r="BI262" i="8"/>
  <c r="BH262" i="8"/>
  <c r="BG262" i="8"/>
  <c r="BE262" i="8"/>
  <c r="T262" i="8"/>
  <c r="R262" i="8"/>
  <c r="P262" i="8"/>
  <c r="BK262" i="8"/>
  <c r="J262" i="8"/>
  <c r="BF262" i="8" s="1"/>
  <c r="BI261" i="8"/>
  <c r="BH261" i="8"/>
  <c r="BG261" i="8"/>
  <c r="BE261" i="8"/>
  <c r="T261" i="8"/>
  <c r="R261" i="8"/>
  <c r="P261" i="8"/>
  <c r="BK261" i="8"/>
  <c r="J261" i="8"/>
  <c r="BF261" i="8" s="1"/>
  <c r="BI260" i="8"/>
  <c r="BH260" i="8"/>
  <c r="BG260" i="8"/>
  <c r="BE260" i="8"/>
  <c r="T260" i="8"/>
  <c r="R260" i="8"/>
  <c r="P260" i="8"/>
  <c r="BK260" i="8"/>
  <c r="J260" i="8"/>
  <c r="BF260" i="8" s="1"/>
  <c r="BI259" i="8"/>
  <c r="BH259" i="8"/>
  <c r="BG259" i="8"/>
  <c r="BE259" i="8"/>
  <c r="T259" i="8"/>
  <c r="R259" i="8"/>
  <c r="P259" i="8"/>
  <c r="BK259" i="8"/>
  <c r="J259" i="8"/>
  <c r="BF259" i="8" s="1"/>
  <c r="BI258" i="8"/>
  <c r="BH258" i="8"/>
  <c r="BG258" i="8"/>
  <c r="BE258" i="8"/>
  <c r="T258" i="8"/>
  <c r="R258" i="8"/>
  <c r="P258" i="8"/>
  <c r="BK258" i="8"/>
  <c r="J258" i="8"/>
  <c r="BF258" i="8" s="1"/>
  <c r="BI257" i="8"/>
  <c r="BH257" i="8"/>
  <c r="BG257" i="8"/>
  <c r="BE257" i="8"/>
  <c r="T257" i="8"/>
  <c r="R257" i="8"/>
  <c r="P257" i="8"/>
  <c r="BK257" i="8"/>
  <c r="J257" i="8"/>
  <c r="BF257" i="8" s="1"/>
  <c r="BI256" i="8"/>
  <c r="BH256" i="8"/>
  <c r="BG256" i="8"/>
  <c r="BE256" i="8"/>
  <c r="T256" i="8"/>
  <c r="R256" i="8"/>
  <c r="P256" i="8"/>
  <c r="BK256" i="8"/>
  <c r="J256" i="8"/>
  <c r="BF256" i="8" s="1"/>
  <c r="BI255" i="8"/>
  <c r="BH255" i="8"/>
  <c r="BG255" i="8"/>
  <c r="BE255" i="8"/>
  <c r="T255" i="8"/>
  <c r="R255" i="8"/>
  <c r="P255" i="8"/>
  <c r="BK255" i="8"/>
  <c r="J255" i="8"/>
  <c r="BF255" i="8" s="1"/>
  <c r="BI254" i="8"/>
  <c r="BH254" i="8"/>
  <c r="BG254" i="8"/>
  <c r="BE254" i="8"/>
  <c r="T254" i="8"/>
  <c r="R254" i="8"/>
  <c r="P254" i="8"/>
  <c r="BK254" i="8"/>
  <c r="J254" i="8"/>
  <c r="BF254" i="8" s="1"/>
  <c r="BI253" i="8"/>
  <c r="BH253" i="8"/>
  <c r="BG253" i="8"/>
  <c r="BE253" i="8"/>
  <c r="T253" i="8"/>
  <c r="R253" i="8"/>
  <c r="P253" i="8"/>
  <c r="BK253" i="8"/>
  <c r="J253" i="8"/>
  <c r="BF253" i="8" s="1"/>
  <c r="BI252" i="8"/>
  <c r="BH252" i="8"/>
  <c r="BG252" i="8"/>
  <c r="BE252" i="8"/>
  <c r="T252" i="8"/>
  <c r="R252" i="8"/>
  <c r="P252" i="8"/>
  <c r="BK252" i="8"/>
  <c r="J252" i="8"/>
  <c r="BF252" i="8" s="1"/>
  <c r="BI251" i="8"/>
  <c r="BH251" i="8"/>
  <c r="BG251" i="8"/>
  <c r="BE251" i="8"/>
  <c r="T251" i="8"/>
  <c r="R251" i="8"/>
  <c r="P251" i="8"/>
  <c r="BK251" i="8"/>
  <c r="J251" i="8"/>
  <c r="BF251" i="8" s="1"/>
  <c r="BI250" i="8"/>
  <c r="BH250" i="8"/>
  <c r="BG250" i="8"/>
  <c r="BE250" i="8"/>
  <c r="T250" i="8"/>
  <c r="R250" i="8"/>
  <c r="P250" i="8"/>
  <c r="BK250" i="8"/>
  <c r="J250" i="8"/>
  <c r="BF250" i="8" s="1"/>
  <c r="BI249" i="8"/>
  <c r="BH249" i="8"/>
  <c r="BG249" i="8"/>
  <c r="BE249" i="8"/>
  <c r="T249" i="8"/>
  <c r="R249" i="8"/>
  <c r="P249" i="8"/>
  <c r="BK249" i="8"/>
  <c r="J249" i="8"/>
  <c r="BF249" i="8" s="1"/>
  <c r="BI247" i="8"/>
  <c r="BH247" i="8"/>
  <c r="BG247" i="8"/>
  <c r="BE247" i="8"/>
  <c r="T247" i="8"/>
  <c r="R247" i="8"/>
  <c r="P247" i="8"/>
  <c r="BK247" i="8"/>
  <c r="J247" i="8"/>
  <c r="BF247" i="8" s="1"/>
  <c r="BI244" i="8"/>
  <c r="BH244" i="8"/>
  <c r="BG244" i="8"/>
  <c r="BE244" i="8"/>
  <c r="T244" i="8"/>
  <c r="R244" i="8"/>
  <c r="P244" i="8"/>
  <c r="BK244" i="8"/>
  <c r="J244" i="8"/>
  <c r="BF244" i="8" s="1"/>
  <c r="BI243" i="8"/>
  <c r="BH243" i="8"/>
  <c r="BG243" i="8"/>
  <c r="BE243" i="8"/>
  <c r="T243" i="8"/>
  <c r="R243" i="8"/>
  <c r="P243" i="8"/>
  <c r="BK243" i="8"/>
  <c r="J243" i="8"/>
  <c r="BF243" i="8" s="1"/>
  <c r="BI242" i="8"/>
  <c r="BH242" i="8"/>
  <c r="BG242" i="8"/>
  <c r="BE242" i="8"/>
  <c r="T242" i="8"/>
  <c r="R242" i="8"/>
  <c r="P242" i="8"/>
  <c r="BK242" i="8"/>
  <c r="J242" i="8"/>
  <c r="BF242" i="8" s="1"/>
  <c r="BI241" i="8"/>
  <c r="BH241" i="8"/>
  <c r="BG241" i="8"/>
  <c r="BE241" i="8"/>
  <c r="T241" i="8"/>
  <c r="R241" i="8"/>
  <c r="P241" i="8"/>
  <c r="BK241" i="8"/>
  <c r="J241" i="8"/>
  <c r="BF241" i="8" s="1"/>
  <c r="BI240" i="8"/>
  <c r="BH240" i="8"/>
  <c r="BG240" i="8"/>
  <c r="BE240" i="8"/>
  <c r="T240" i="8"/>
  <c r="R240" i="8"/>
  <c r="P240" i="8"/>
  <c r="BK240" i="8"/>
  <c r="J240" i="8"/>
  <c r="BF240" i="8" s="1"/>
  <c r="BI239" i="8"/>
  <c r="BH239" i="8"/>
  <c r="BG239" i="8"/>
  <c r="BE239" i="8"/>
  <c r="T239" i="8"/>
  <c r="R239" i="8"/>
  <c r="P239" i="8"/>
  <c r="BK239" i="8"/>
  <c r="J239" i="8"/>
  <c r="BF239" i="8" s="1"/>
  <c r="BI238" i="8"/>
  <c r="BH238" i="8"/>
  <c r="BG238" i="8"/>
  <c r="BE238" i="8"/>
  <c r="T238" i="8"/>
  <c r="R238" i="8"/>
  <c r="P238" i="8"/>
  <c r="BK238" i="8"/>
  <c r="J238" i="8"/>
  <c r="BF238" i="8" s="1"/>
  <c r="BI237" i="8"/>
  <c r="BH237" i="8"/>
  <c r="BG237" i="8"/>
  <c r="BE237" i="8"/>
  <c r="T237" i="8"/>
  <c r="R237" i="8"/>
  <c r="P237" i="8"/>
  <c r="BK237" i="8"/>
  <c r="J237" i="8"/>
  <c r="BF237" i="8" s="1"/>
  <c r="BI236" i="8"/>
  <c r="BH236" i="8"/>
  <c r="BG236" i="8"/>
  <c r="BE236" i="8"/>
  <c r="T236" i="8"/>
  <c r="R236" i="8"/>
  <c r="P236" i="8"/>
  <c r="BK236" i="8"/>
  <c r="J236" i="8"/>
  <c r="BF236" i="8" s="1"/>
  <c r="BI235" i="8"/>
  <c r="BH235" i="8"/>
  <c r="BG235" i="8"/>
  <c r="BE235" i="8"/>
  <c r="T235" i="8"/>
  <c r="R235" i="8"/>
  <c r="P235" i="8"/>
  <c r="BK235" i="8"/>
  <c r="J235" i="8"/>
  <c r="BF235" i="8" s="1"/>
  <c r="BI234" i="8"/>
  <c r="BH234" i="8"/>
  <c r="BG234" i="8"/>
  <c r="BE234" i="8"/>
  <c r="T234" i="8"/>
  <c r="R234" i="8"/>
  <c r="P234" i="8"/>
  <c r="BK234" i="8"/>
  <c r="J234" i="8"/>
  <c r="BF234" i="8" s="1"/>
  <c r="BI233" i="8"/>
  <c r="BH233" i="8"/>
  <c r="BG233" i="8"/>
  <c r="BE233" i="8"/>
  <c r="T233" i="8"/>
  <c r="R233" i="8"/>
  <c r="P233" i="8"/>
  <c r="BK233" i="8"/>
  <c r="J233" i="8"/>
  <c r="BF233" i="8" s="1"/>
  <c r="BI232" i="8"/>
  <c r="BH232" i="8"/>
  <c r="BG232" i="8"/>
  <c r="BE232" i="8"/>
  <c r="T232" i="8"/>
  <c r="R232" i="8"/>
  <c r="P232" i="8"/>
  <c r="BK232" i="8"/>
  <c r="J232" i="8"/>
  <c r="BF232" i="8" s="1"/>
  <c r="BI231" i="8"/>
  <c r="BH231" i="8"/>
  <c r="BG231" i="8"/>
  <c r="BE231" i="8"/>
  <c r="T231" i="8"/>
  <c r="R231" i="8"/>
  <c r="P231" i="8"/>
  <c r="BK231" i="8"/>
  <c r="J231" i="8"/>
  <c r="BF231" i="8" s="1"/>
  <c r="BI230" i="8"/>
  <c r="BH230" i="8"/>
  <c r="BG230" i="8"/>
  <c r="BE230" i="8"/>
  <c r="T230" i="8"/>
  <c r="R230" i="8"/>
  <c r="P230" i="8"/>
  <c r="BK230" i="8"/>
  <c r="J230" i="8"/>
  <c r="BF230" i="8" s="1"/>
  <c r="BI229" i="8"/>
  <c r="BH229" i="8"/>
  <c r="BG229" i="8"/>
  <c r="BE229" i="8"/>
  <c r="T229" i="8"/>
  <c r="R229" i="8"/>
  <c r="P229" i="8"/>
  <c r="BK229" i="8"/>
  <c r="J229" i="8"/>
  <c r="BF229" i="8" s="1"/>
  <c r="BI228" i="8"/>
  <c r="BH228" i="8"/>
  <c r="BG228" i="8"/>
  <c r="BE228" i="8"/>
  <c r="T228" i="8"/>
  <c r="R228" i="8"/>
  <c r="P228" i="8"/>
  <c r="BK228" i="8"/>
  <c r="J228" i="8"/>
  <c r="BF228" i="8" s="1"/>
  <c r="BI227" i="8"/>
  <c r="BH227" i="8"/>
  <c r="BG227" i="8"/>
  <c r="BE227" i="8"/>
  <c r="T227" i="8"/>
  <c r="R227" i="8"/>
  <c r="P227" i="8"/>
  <c r="BK227" i="8"/>
  <c r="J227" i="8"/>
  <c r="BF227" i="8" s="1"/>
  <c r="BI226" i="8"/>
  <c r="BH226" i="8"/>
  <c r="BG226" i="8"/>
  <c r="BE226" i="8"/>
  <c r="T226" i="8"/>
  <c r="R226" i="8"/>
  <c r="P226" i="8"/>
  <c r="BK226" i="8"/>
  <c r="J226" i="8"/>
  <c r="BF226" i="8" s="1"/>
  <c r="BI225" i="8"/>
  <c r="BH225" i="8"/>
  <c r="BG225" i="8"/>
  <c r="BE225" i="8"/>
  <c r="T225" i="8"/>
  <c r="R225" i="8"/>
  <c r="P225" i="8"/>
  <c r="BK225" i="8"/>
  <c r="J225" i="8"/>
  <c r="BF225" i="8" s="1"/>
  <c r="BI224" i="8"/>
  <c r="BH224" i="8"/>
  <c r="BG224" i="8"/>
  <c r="BE224" i="8"/>
  <c r="T224" i="8"/>
  <c r="R224" i="8"/>
  <c r="P224" i="8"/>
  <c r="BK224" i="8"/>
  <c r="J224" i="8"/>
  <c r="BF224" i="8" s="1"/>
  <c r="BI223" i="8"/>
  <c r="BH223" i="8"/>
  <c r="BG223" i="8"/>
  <c r="BE223" i="8"/>
  <c r="T223" i="8"/>
  <c r="R223" i="8"/>
  <c r="P223" i="8"/>
  <c r="BK223" i="8"/>
  <c r="J223" i="8"/>
  <c r="BF223" i="8" s="1"/>
  <c r="BI222" i="8"/>
  <c r="BH222" i="8"/>
  <c r="BG222" i="8"/>
  <c r="BE222" i="8"/>
  <c r="T222" i="8"/>
  <c r="R222" i="8"/>
  <c r="P222" i="8"/>
  <c r="BK222" i="8"/>
  <c r="J222" i="8"/>
  <c r="BF222" i="8" s="1"/>
  <c r="BI220" i="8"/>
  <c r="BH220" i="8"/>
  <c r="BG220" i="8"/>
  <c r="BE220" i="8"/>
  <c r="T220" i="8"/>
  <c r="R220" i="8"/>
  <c r="P220" i="8"/>
  <c r="BK220" i="8"/>
  <c r="J220" i="8"/>
  <c r="BF220" i="8" s="1"/>
  <c r="BI219" i="8"/>
  <c r="BH219" i="8"/>
  <c r="BG219" i="8"/>
  <c r="BE219" i="8"/>
  <c r="T219" i="8"/>
  <c r="R219" i="8"/>
  <c r="P219" i="8"/>
  <c r="BK219" i="8"/>
  <c r="J219" i="8"/>
  <c r="BF219" i="8" s="1"/>
  <c r="BI218" i="8"/>
  <c r="BH218" i="8"/>
  <c r="BG218" i="8"/>
  <c r="BE218" i="8"/>
  <c r="T218" i="8"/>
  <c r="R218" i="8"/>
  <c r="P218" i="8"/>
  <c r="BK218" i="8"/>
  <c r="J218" i="8"/>
  <c r="BF218" i="8" s="1"/>
  <c r="BI217" i="8"/>
  <c r="BH217" i="8"/>
  <c r="BG217" i="8"/>
  <c r="BE217" i="8"/>
  <c r="BK217" i="8"/>
  <c r="J217" i="8"/>
  <c r="BF217" i="8" s="1"/>
  <c r="BI216" i="8"/>
  <c r="BH216" i="8"/>
  <c r="BG216" i="8"/>
  <c r="BE216" i="8"/>
  <c r="BK216" i="8"/>
  <c r="J216" i="8"/>
  <c r="BF216" i="8" s="1"/>
  <c r="BI215" i="8"/>
  <c r="BH215" i="8"/>
  <c r="BG215" i="8"/>
  <c r="BE215" i="8"/>
  <c r="BK215" i="8"/>
  <c r="J215" i="8"/>
  <c r="BF215" i="8" s="1"/>
  <c r="BI213" i="8"/>
  <c r="BH213" i="8"/>
  <c r="BG213" i="8"/>
  <c r="BE213" i="8"/>
  <c r="BK213" i="8"/>
  <c r="J213" i="8"/>
  <c r="BF213" i="8" s="1"/>
  <c r="BI212" i="8"/>
  <c r="BH212" i="8"/>
  <c r="BG212" i="8"/>
  <c r="BE212" i="8"/>
  <c r="BK212" i="8"/>
  <c r="J212" i="8"/>
  <c r="BF212" i="8" s="1"/>
  <c r="BI211" i="8"/>
  <c r="BH211" i="8"/>
  <c r="BG211" i="8"/>
  <c r="BE211" i="8"/>
  <c r="BK211" i="8"/>
  <c r="J211" i="8"/>
  <c r="BF211" i="8" s="1"/>
  <c r="BI210" i="8"/>
  <c r="BH210" i="8"/>
  <c r="BG210" i="8"/>
  <c r="BE210" i="8"/>
  <c r="BK210" i="8"/>
  <c r="J210" i="8"/>
  <c r="BF210" i="8" s="1"/>
  <c r="BI209" i="8"/>
  <c r="BH209" i="8"/>
  <c r="BG209" i="8"/>
  <c r="BE209" i="8"/>
  <c r="BK209" i="8"/>
  <c r="J209" i="8"/>
  <c r="BF209" i="8" s="1"/>
  <c r="BI206" i="8"/>
  <c r="BH206" i="8"/>
  <c r="BG206" i="8"/>
  <c r="BE206" i="8"/>
  <c r="BK206" i="8"/>
  <c r="J206" i="8"/>
  <c r="BF206" i="8" s="1"/>
  <c r="BI204" i="8"/>
  <c r="BH204" i="8"/>
  <c r="BG204" i="8"/>
  <c r="BE204" i="8"/>
  <c r="BK204" i="8"/>
  <c r="BK203" i="8" s="1"/>
  <c r="J203" i="8" s="1"/>
  <c r="J102" i="8" s="1"/>
  <c r="J204" i="8"/>
  <c r="BF204" i="8" s="1"/>
  <c r="BI201" i="8"/>
  <c r="BH201" i="8"/>
  <c r="BG201" i="8"/>
  <c r="BE201" i="8"/>
  <c r="BK201" i="8"/>
  <c r="J201" i="8"/>
  <c r="BF201" i="8" s="1"/>
  <c r="BI199" i="8"/>
  <c r="BH199" i="8"/>
  <c r="BG199" i="8"/>
  <c r="BE199" i="8"/>
  <c r="T199" i="8"/>
  <c r="R199" i="8"/>
  <c r="P199" i="8"/>
  <c r="BK199" i="8"/>
  <c r="J199" i="8"/>
  <c r="BF199" i="8" s="1"/>
  <c r="BI198" i="8"/>
  <c r="BH198" i="8"/>
  <c r="BG198" i="8"/>
  <c r="BE198" i="8"/>
  <c r="T198" i="8"/>
  <c r="R198" i="8"/>
  <c r="P198" i="8"/>
  <c r="BK198" i="8"/>
  <c r="J198" i="8"/>
  <c r="BF198" i="8" s="1"/>
  <c r="BI197" i="8"/>
  <c r="BH197" i="8"/>
  <c r="BG197" i="8"/>
  <c r="BE197" i="8"/>
  <c r="T197" i="8"/>
  <c r="R197" i="8"/>
  <c r="P197" i="8"/>
  <c r="BK197" i="8"/>
  <c r="J197" i="8"/>
  <c r="BF197" i="8" s="1"/>
  <c r="BI196" i="8"/>
  <c r="BH196" i="8"/>
  <c r="BG196" i="8"/>
  <c r="BE196" i="8"/>
  <c r="T196" i="8"/>
  <c r="R196" i="8"/>
  <c r="P196" i="8"/>
  <c r="BK196" i="8"/>
  <c r="J196" i="8"/>
  <c r="BF196" i="8" s="1"/>
  <c r="BI195" i="8"/>
  <c r="BH195" i="8"/>
  <c r="BG195" i="8"/>
  <c r="BE195" i="8"/>
  <c r="T195" i="8"/>
  <c r="R195" i="8"/>
  <c r="P195" i="8"/>
  <c r="BK195" i="8"/>
  <c r="J195" i="8"/>
  <c r="BF195" i="8" s="1"/>
  <c r="BI194" i="8"/>
  <c r="BH194" i="8"/>
  <c r="BG194" i="8"/>
  <c r="BE194" i="8"/>
  <c r="T194" i="8"/>
  <c r="R194" i="8"/>
  <c r="P194" i="8"/>
  <c r="BK194" i="8"/>
  <c r="J194" i="8"/>
  <c r="BF194" i="8" s="1"/>
  <c r="BI193" i="8"/>
  <c r="BH193" i="8"/>
  <c r="BG193" i="8"/>
  <c r="BE193" i="8"/>
  <c r="T193" i="8"/>
  <c r="R193" i="8"/>
  <c r="P193" i="8"/>
  <c r="BK193" i="8"/>
  <c r="J193" i="8"/>
  <c r="BF193" i="8" s="1"/>
  <c r="BI192" i="8"/>
  <c r="BH192" i="8"/>
  <c r="BG192" i="8"/>
  <c r="BE192" i="8"/>
  <c r="T192" i="8"/>
  <c r="R192" i="8"/>
  <c r="P192" i="8"/>
  <c r="BK192" i="8"/>
  <c r="J192" i="8"/>
  <c r="BF192" i="8" s="1"/>
  <c r="BI191" i="8"/>
  <c r="BH191" i="8"/>
  <c r="BG191" i="8"/>
  <c r="BE191" i="8"/>
  <c r="T191" i="8"/>
  <c r="R191" i="8"/>
  <c r="P191" i="8"/>
  <c r="BK191" i="8"/>
  <c r="J191" i="8"/>
  <c r="BF191" i="8" s="1"/>
  <c r="BI188" i="8"/>
  <c r="BH188" i="8"/>
  <c r="BG188" i="8"/>
  <c r="BE188" i="8"/>
  <c r="T188" i="8"/>
  <c r="R188" i="8"/>
  <c r="P188" i="8"/>
  <c r="BK188" i="8"/>
  <c r="J188" i="8"/>
  <c r="BF188" i="8" s="1"/>
  <c r="BI187" i="8"/>
  <c r="BH187" i="8"/>
  <c r="BG187" i="8"/>
  <c r="BE187" i="8"/>
  <c r="T187" i="8"/>
  <c r="R187" i="8"/>
  <c r="P187" i="8"/>
  <c r="BK187" i="8"/>
  <c r="J187" i="8"/>
  <c r="BF187" i="8" s="1"/>
  <c r="BI186" i="8"/>
  <c r="BH186" i="8"/>
  <c r="BG186" i="8"/>
  <c r="BE186" i="8"/>
  <c r="T186" i="8"/>
  <c r="R186" i="8"/>
  <c r="P186" i="8"/>
  <c r="BK186" i="8"/>
  <c r="J186" i="8"/>
  <c r="BF186" i="8" s="1"/>
  <c r="BI185" i="8"/>
  <c r="BH185" i="8"/>
  <c r="BG185" i="8"/>
  <c r="BE185" i="8"/>
  <c r="T185" i="8"/>
  <c r="R185" i="8"/>
  <c r="P185" i="8"/>
  <c r="BK185" i="8"/>
  <c r="J185" i="8"/>
  <c r="BF185" i="8" s="1"/>
  <c r="BI184" i="8"/>
  <c r="BH184" i="8"/>
  <c r="BG184" i="8"/>
  <c r="BE184" i="8"/>
  <c r="T184" i="8"/>
  <c r="R184" i="8"/>
  <c r="P184" i="8"/>
  <c r="BK184" i="8"/>
  <c r="J184" i="8"/>
  <c r="BF184" i="8" s="1"/>
  <c r="BI183" i="8"/>
  <c r="BH183" i="8"/>
  <c r="BG183" i="8"/>
  <c r="BE183" i="8"/>
  <c r="T183" i="8"/>
  <c r="R183" i="8"/>
  <c r="P183" i="8"/>
  <c r="BK183" i="8"/>
  <c r="J183" i="8"/>
  <c r="BF183" i="8" s="1"/>
  <c r="BI182" i="8"/>
  <c r="BH182" i="8"/>
  <c r="BG182" i="8"/>
  <c r="BE182" i="8"/>
  <c r="T182" i="8"/>
  <c r="R182" i="8"/>
  <c r="P182" i="8"/>
  <c r="BK182" i="8"/>
  <c r="J182" i="8"/>
  <c r="BF182" i="8" s="1"/>
  <c r="BI181" i="8"/>
  <c r="BH181" i="8"/>
  <c r="BG181" i="8"/>
  <c r="BE181" i="8"/>
  <c r="T181" i="8"/>
  <c r="R181" i="8"/>
  <c r="P181" i="8"/>
  <c r="BK181" i="8"/>
  <c r="J181" i="8"/>
  <c r="BF181" i="8" s="1"/>
  <c r="BI180" i="8"/>
  <c r="BH180" i="8"/>
  <c r="BG180" i="8"/>
  <c r="BE180" i="8"/>
  <c r="T180" i="8"/>
  <c r="R180" i="8"/>
  <c r="P180" i="8"/>
  <c r="BK180" i="8"/>
  <c r="J180" i="8"/>
  <c r="BF180" i="8" s="1"/>
  <c r="BI178" i="8"/>
  <c r="BH178" i="8"/>
  <c r="BG178" i="8"/>
  <c r="BE178" i="8"/>
  <c r="T178" i="8"/>
  <c r="R178" i="8"/>
  <c r="P178" i="8"/>
  <c r="BK178" i="8"/>
  <c r="J178" i="8"/>
  <c r="BF178" i="8" s="1"/>
  <c r="BI177" i="8"/>
  <c r="BH177" i="8"/>
  <c r="BG177" i="8"/>
  <c r="BE177" i="8"/>
  <c r="T177" i="8"/>
  <c r="R177" i="8"/>
  <c r="P177" i="8"/>
  <c r="BK177" i="8"/>
  <c r="J177" i="8"/>
  <c r="BF177" i="8" s="1"/>
  <c r="BI176" i="8"/>
  <c r="BH176" i="8"/>
  <c r="BG176" i="8"/>
  <c r="BE176" i="8"/>
  <c r="T176" i="8"/>
  <c r="R176" i="8"/>
  <c r="P176" i="8"/>
  <c r="BK176" i="8"/>
  <c r="J176" i="8"/>
  <c r="BF176" i="8" s="1"/>
  <c r="BI174" i="8"/>
  <c r="BH174" i="8"/>
  <c r="BG174" i="8"/>
  <c r="BE174" i="8"/>
  <c r="T174" i="8"/>
  <c r="R174" i="8"/>
  <c r="P174" i="8"/>
  <c r="BK174" i="8"/>
  <c r="J174" i="8"/>
  <c r="BF174" i="8" s="1"/>
  <c r="BI173" i="8"/>
  <c r="BH173" i="8"/>
  <c r="BG173" i="8"/>
  <c r="BE173" i="8"/>
  <c r="T173" i="8"/>
  <c r="R173" i="8"/>
  <c r="P173" i="8"/>
  <c r="BK173" i="8"/>
  <c r="J173" i="8"/>
  <c r="BF173" i="8" s="1"/>
  <c r="BI172" i="8"/>
  <c r="BH172" i="8"/>
  <c r="BG172" i="8"/>
  <c r="BE172" i="8"/>
  <c r="T172" i="8"/>
  <c r="R172" i="8"/>
  <c r="P172" i="8"/>
  <c r="BK172" i="8"/>
  <c r="J172" i="8"/>
  <c r="BF172" i="8" s="1"/>
  <c r="BI171" i="8"/>
  <c r="BH171" i="8"/>
  <c r="BG171" i="8"/>
  <c r="BE171" i="8"/>
  <c r="T171" i="8"/>
  <c r="R171" i="8"/>
  <c r="P171" i="8"/>
  <c r="BK171" i="8"/>
  <c r="J171" i="8"/>
  <c r="BF171" i="8" s="1"/>
  <c r="BI170" i="8"/>
  <c r="BH170" i="8"/>
  <c r="BG170" i="8"/>
  <c r="BE170" i="8"/>
  <c r="T170" i="8"/>
  <c r="R170" i="8"/>
  <c r="P170" i="8"/>
  <c r="BK170" i="8"/>
  <c r="J170" i="8"/>
  <c r="BF170" i="8" s="1"/>
  <c r="BI167" i="8"/>
  <c r="BH167" i="8"/>
  <c r="BG167" i="8"/>
  <c r="BE167" i="8"/>
  <c r="BK167" i="8"/>
  <c r="J167" i="8"/>
  <c r="BF167" i="8" s="1"/>
  <c r="BI165" i="8"/>
  <c r="BH165" i="8"/>
  <c r="BG165" i="8"/>
  <c r="BE165" i="8"/>
  <c r="BK165" i="8"/>
  <c r="J165" i="8"/>
  <c r="BF165" i="8" s="1"/>
  <c r="F157" i="8"/>
  <c r="F89" i="8"/>
  <c r="J24" i="8"/>
  <c r="E24" i="8"/>
  <c r="J160" i="8" s="1"/>
  <c r="J23" i="8"/>
  <c r="J21" i="8"/>
  <c r="E21" i="8"/>
  <c r="J91" i="8" s="1"/>
  <c r="J20" i="8"/>
  <c r="J18" i="8"/>
  <c r="J15" i="8"/>
  <c r="E15" i="8"/>
  <c r="J14" i="8"/>
  <c r="J157" i="8"/>
  <c r="J37" i="7"/>
  <c r="J36" i="7"/>
  <c r="AY100" i="1" s="1"/>
  <c r="J35" i="7"/>
  <c r="AX100" i="1" s="1"/>
  <c r="BI166" i="7"/>
  <c r="BH166" i="7"/>
  <c r="BG166" i="7"/>
  <c r="BF166" i="7"/>
  <c r="T166" i="7"/>
  <c r="R166" i="7"/>
  <c r="P166" i="7"/>
  <c r="BK166" i="7"/>
  <c r="J166" i="7"/>
  <c r="BE166" i="7" s="1"/>
  <c r="BI165" i="7"/>
  <c r="BH165" i="7"/>
  <c r="BG165" i="7"/>
  <c r="BF165" i="7"/>
  <c r="T165" i="7"/>
  <c r="R165" i="7"/>
  <c r="P165" i="7"/>
  <c r="BK165" i="7"/>
  <c r="J165" i="7"/>
  <c r="BE165" i="7"/>
  <c r="BI164" i="7"/>
  <c r="BH164" i="7"/>
  <c r="BG164" i="7"/>
  <c r="BF164" i="7"/>
  <c r="T164" i="7"/>
  <c r="R164" i="7"/>
  <c r="P164" i="7"/>
  <c r="BK164" i="7"/>
  <c r="J164" i="7"/>
  <c r="BE164" i="7" s="1"/>
  <c r="BI163" i="7"/>
  <c r="BH163" i="7"/>
  <c r="BG163" i="7"/>
  <c r="BF163" i="7"/>
  <c r="T163" i="7"/>
  <c r="R163" i="7"/>
  <c r="P163" i="7"/>
  <c r="BK163" i="7"/>
  <c r="J163" i="7"/>
  <c r="BE163" i="7" s="1"/>
  <c r="BI160" i="7"/>
  <c r="BH160" i="7"/>
  <c r="BG160" i="7"/>
  <c r="BF160" i="7"/>
  <c r="T160" i="7"/>
  <c r="R160" i="7"/>
  <c r="P160" i="7"/>
  <c r="BK160" i="7"/>
  <c r="J160" i="7"/>
  <c r="BE160" i="7" s="1"/>
  <c r="BI159" i="7"/>
  <c r="BH159" i="7"/>
  <c r="BG159" i="7"/>
  <c r="BF159" i="7"/>
  <c r="T159" i="7"/>
  <c r="R159" i="7"/>
  <c r="P159" i="7"/>
  <c r="BK159" i="7"/>
  <c r="J159" i="7"/>
  <c r="BE159" i="7" s="1"/>
  <c r="BI152" i="7"/>
  <c r="BH152" i="7"/>
  <c r="BG152" i="7"/>
  <c r="BF152" i="7"/>
  <c r="T152" i="7"/>
  <c r="R152" i="7"/>
  <c r="P152" i="7"/>
  <c r="BK152" i="7"/>
  <c r="J152" i="7"/>
  <c r="BE152" i="7" s="1"/>
  <c r="BI151" i="7"/>
  <c r="BH151" i="7"/>
  <c r="BG151" i="7"/>
  <c r="BF151" i="7"/>
  <c r="T151" i="7"/>
  <c r="R151" i="7"/>
  <c r="P151" i="7"/>
  <c r="BK151" i="7"/>
  <c r="J151" i="7"/>
  <c r="BE151" i="7" s="1"/>
  <c r="BI150" i="7"/>
  <c r="BH150" i="7"/>
  <c r="BG150" i="7"/>
  <c r="BF150" i="7"/>
  <c r="T150" i="7"/>
  <c r="R150" i="7"/>
  <c r="P150" i="7"/>
  <c r="BK150" i="7"/>
  <c r="J150" i="7"/>
  <c r="BE150" i="7" s="1"/>
  <c r="BI149" i="7"/>
  <c r="BH149" i="7"/>
  <c r="BG149" i="7"/>
  <c r="BF149" i="7"/>
  <c r="T149" i="7"/>
  <c r="R149" i="7"/>
  <c r="P149" i="7"/>
  <c r="BK149" i="7"/>
  <c r="J149" i="7"/>
  <c r="BE149" i="7" s="1"/>
  <c r="BI148" i="7"/>
  <c r="BH148" i="7"/>
  <c r="BG148" i="7"/>
  <c r="BF148" i="7"/>
  <c r="T148" i="7"/>
  <c r="R148" i="7"/>
  <c r="P148" i="7"/>
  <c r="BK148" i="7"/>
  <c r="J148" i="7"/>
  <c r="BE148" i="7" s="1"/>
  <c r="BI147" i="7"/>
  <c r="BH147" i="7"/>
  <c r="BG147" i="7"/>
  <c r="BF147" i="7"/>
  <c r="T147" i="7"/>
  <c r="R147" i="7"/>
  <c r="P147" i="7"/>
  <c r="BK147" i="7"/>
  <c r="J147" i="7"/>
  <c r="BE147" i="7" s="1"/>
  <c r="BI146" i="7"/>
  <c r="BH146" i="7"/>
  <c r="BG146" i="7"/>
  <c r="BF146" i="7"/>
  <c r="T146" i="7"/>
  <c r="R146" i="7"/>
  <c r="P146" i="7"/>
  <c r="BK146" i="7"/>
  <c r="J146" i="7"/>
  <c r="BE146" i="7" s="1"/>
  <c r="BI145" i="7"/>
  <c r="BH145" i="7"/>
  <c r="BG145" i="7"/>
  <c r="BF145" i="7"/>
  <c r="T145" i="7"/>
  <c r="R145" i="7"/>
  <c r="P145" i="7"/>
  <c r="BK145" i="7"/>
  <c r="J145" i="7"/>
  <c r="BE145" i="7" s="1"/>
  <c r="BI144" i="7"/>
  <c r="BH144" i="7"/>
  <c r="BG144" i="7"/>
  <c r="BF144" i="7"/>
  <c r="T144" i="7"/>
  <c r="R144" i="7"/>
  <c r="P144" i="7"/>
  <c r="BK144" i="7"/>
  <c r="J144" i="7"/>
  <c r="BE144" i="7" s="1"/>
  <c r="BI143" i="7"/>
  <c r="BH143" i="7"/>
  <c r="BG143" i="7"/>
  <c r="BF143" i="7"/>
  <c r="T143" i="7"/>
  <c r="R143" i="7"/>
  <c r="P143" i="7"/>
  <c r="BK143" i="7"/>
  <c r="J143" i="7"/>
  <c r="BE143" i="7"/>
  <c r="BI142" i="7"/>
  <c r="BH142" i="7"/>
  <c r="BG142" i="7"/>
  <c r="BF142" i="7"/>
  <c r="T142" i="7"/>
  <c r="R142" i="7"/>
  <c r="P142" i="7"/>
  <c r="BK142" i="7"/>
  <c r="J142" i="7"/>
  <c r="BE142" i="7" s="1"/>
  <c r="BI141" i="7"/>
  <c r="BH141" i="7"/>
  <c r="BG141" i="7"/>
  <c r="BF141" i="7"/>
  <c r="T141" i="7"/>
  <c r="R141" i="7"/>
  <c r="P141" i="7"/>
  <c r="BK141" i="7"/>
  <c r="J141" i="7"/>
  <c r="BE141" i="7" s="1"/>
  <c r="BI140" i="7"/>
  <c r="BH140" i="7"/>
  <c r="BG140" i="7"/>
  <c r="BF140" i="7"/>
  <c r="T140" i="7"/>
  <c r="R140" i="7"/>
  <c r="P140" i="7"/>
  <c r="BK140" i="7"/>
  <c r="J140" i="7"/>
  <c r="BE140" i="7" s="1"/>
  <c r="BI139" i="7"/>
  <c r="BH139" i="7"/>
  <c r="BG139" i="7"/>
  <c r="BF139" i="7"/>
  <c r="T139" i="7"/>
  <c r="R139" i="7"/>
  <c r="P139" i="7"/>
  <c r="BK139" i="7"/>
  <c r="J139" i="7"/>
  <c r="BE139" i="7" s="1"/>
  <c r="BI138" i="7"/>
  <c r="BH138" i="7"/>
  <c r="BG138" i="7"/>
  <c r="BF138" i="7"/>
  <c r="T138" i="7"/>
  <c r="R138" i="7"/>
  <c r="P138" i="7"/>
  <c r="BK138" i="7"/>
  <c r="J138" i="7"/>
  <c r="BE138" i="7" s="1"/>
  <c r="BI137" i="7"/>
  <c r="BH137" i="7"/>
  <c r="BG137" i="7"/>
  <c r="BF137" i="7"/>
  <c r="T137" i="7"/>
  <c r="R137" i="7"/>
  <c r="P137" i="7"/>
  <c r="BK137" i="7"/>
  <c r="J137" i="7"/>
  <c r="BE137" i="7" s="1"/>
  <c r="BI128" i="7"/>
  <c r="BH128" i="7"/>
  <c r="BG128" i="7"/>
  <c r="BF128" i="7"/>
  <c r="T128" i="7"/>
  <c r="R128" i="7"/>
  <c r="P128" i="7"/>
  <c r="BK128" i="7"/>
  <c r="J128" i="7"/>
  <c r="BE128" i="7" s="1"/>
  <c r="BI127" i="7"/>
  <c r="BH127" i="7"/>
  <c r="BG127" i="7"/>
  <c r="BF127" i="7"/>
  <c r="T127" i="7"/>
  <c r="R127" i="7"/>
  <c r="P127" i="7"/>
  <c r="BK127" i="7"/>
  <c r="J127" i="7"/>
  <c r="BE127" i="7" s="1"/>
  <c r="BI126" i="7"/>
  <c r="BH126" i="7"/>
  <c r="BG126" i="7"/>
  <c r="BF126" i="7"/>
  <c r="T126" i="7"/>
  <c r="R126" i="7"/>
  <c r="P126" i="7"/>
  <c r="BK126" i="7"/>
  <c r="J126" i="7"/>
  <c r="BE126" i="7" s="1"/>
  <c r="BI125" i="7"/>
  <c r="BH125" i="7"/>
  <c r="BG125" i="7"/>
  <c r="BF125" i="7"/>
  <c r="T125" i="7"/>
  <c r="R125" i="7"/>
  <c r="P125" i="7"/>
  <c r="BK125" i="7"/>
  <c r="J125" i="7"/>
  <c r="BE125" i="7" s="1"/>
  <c r="BI124" i="7"/>
  <c r="BH124" i="7"/>
  <c r="BG124" i="7"/>
  <c r="BF124" i="7"/>
  <c r="T124" i="7"/>
  <c r="R124" i="7"/>
  <c r="P124" i="7"/>
  <c r="BK124" i="7"/>
  <c r="J124" i="7"/>
  <c r="BE124" i="7" s="1"/>
  <c r="BI123" i="7"/>
  <c r="BH123" i="7"/>
  <c r="BG123" i="7"/>
  <c r="BF123" i="7"/>
  <c r="T123" i="7"/>
  <c r="R123" i="7"/>
  <c r="P123" i="7"/>
  <c r="BK123" i="7"/>
  <c r="J123" i="7"/>
  <c r="BE123" i="7" s="1"/>
  <c r="BI122" i="7"/>
  <c r="BH122" i="7"/>
  <c r="BG122" i="7"/>
  <c r="BF122" i="7"/>
  <c r="T122" i="7"/>
  <c r="R122" i="7"/>
  <c r="P122" i="7"/>
  <c r="BK122" i="7"/>
  <c r="J122" i="7"/>
  <c r="BE122" i="7" s="1"/>
  <c r="BI121" i="7"/>
  <c r="BH121" i="7"/>
  <c r="BG121" i="7"/>
  <c r="BF121" i="7"/>
  <c r="T121" i="7"/>
  <c r="R121" i="7"/>
  <c r="P121" i="7"/>
  <c r="BK121" i="7"/>
  <c r="J121" i="7"/>
  <c r="BE121" i="7" s="1"/>
  <c r="BI120" i="7"/>
  <c r="F37" i="7" s="1"/>
  <c r="BD100" i="1" s="1"/>
  <c r="BH120" i="7"/>
  <c r="BG120" i="7"/>
  <c r="BF120" i="7"/>
  <c r="T120" i="7"/>
  <c r="R120" i="7"/>
  <c r="P120" i="7"/>
  <c r="BK120" i="7"/>
  <c r="J120" i="7"/>
  <c r="BE120" i="7" s="1"/>
  <c r="BI119" i="7"/>
  <c r="BH119" i="7"/>
  <c r="BG119" i="7"/>
  <c r="BF119" i="7"/>
  <c r="T119" i="7"/>
  <c r="R119" i="7"/>
  <c r="P119" i="7"/>
  <c r="BK119" i="7"/>
  <c r="J119" i="7"/>
  <c r="BE119" i="7" s="1"/>
  <c r="F111" i="7"/>
  <c r="J24" i="7"/>
  <c r="E24" i="7"/>
  <c r="J92" i="7" s="1"/>
  <c r="J23" i="7"/>
  <c r="J18" i="7"/>
  <c r="J37" i="6"/>
  <c r="J36" i="6"/>
  <c r="AY99" i="1" s="1"/>
  <c r="J35" i="6"/>
  <c r="AX99" i="1" s="1"/>
  <c r="BI313" i="6"/>
  <c r="BH313" i="6"/>
  <c r="BG313" i="6"/>
  <c r="BF313" i="6"/>
  <c r="T313" i="6"/>
  <c r="R313" i="6"/>
  <c r="P313" i="6"/>
  <c r="BK313" i="6"/>
  <c r="J313" i="6"/>
  <c r="BE313" i="6" s="1"/>
  <c r="BI312" i="6"/>
  <c r="BH312" i="6"/>
  <c r="BG312" i="6"/>
  <c r="BF312" i="6"/>
  <c r="T312" i="6"/>
  <c r="R312" i="6"/>
  <c r="P312" i="6"/>
  <c r="BK312" i="6"/>
  <c r="J312" i="6"/>
  <c r="BE312" i="6" s="1"/>
  <c r="BI311" i="6"/>
  <c r="BH311" i="6"/>
  <c r="BG311" i="6"/>
  <c r="BF311" i="6"/>
  <c r="T311" i="6"/>
  <c r="R311" i="6"/>
  <c r="P311" i="6"/>
  <c r="BK311" i="6"/>
  <c r="J311" i="6"/>
  <c r="BE311" i="6" s="1"/>
  <c r="BI310" i="6"/>
  <c r="BH310" i="6"/>
  <c r="BG310" i="6"/>
  <c r="BF310" i="6"/>
  <c r="T310" i="6"/>
  <c r="R310" i="6"/>
  <c r="P310" i="6"/>
  <c r="BK310" i="6"/>
  <c r="J310" i="6"/>
  <c r="BE310" i="6" s="1"/>
  <c r="BI309" i="6"/>
  <c r="BH309" i="6"/>
  <c r="BG309" i="6"/>
  <c r="BF309" i="6"/>
  <c r="T309" i="6"/>
  <c r="R309" i="6"/>
  <c r="P309" i="6"/>
  <c r="BK309" i="6"/>
  <c r="J309" i="6"/>
  <c r="BE309" i="6" s="1"/>
  <c r="BI308" i="6"/>
  <c r="BH308" i="6"/>
  <c r="BG308" i="6"/>
  <c r="BF308" i="6"/>
  <c r="T308" i="6"/>
  <c r="R308" i="6"/>
  <c r="P308" i="6"/>
  <c r="BK308" i="6"/>
  <c r="J308" i="6"/>
  <c r="BE308" i="6" s="1"/>
  <c r="BI307" i="6"/>
  <c r="BH307" i="6"/>
  <c r="BG307" i="6"/>
  <c r="BF307" i="6"/>
  <c r="T307" i="6"/>
  <c r="R307" i="6"/>
  <c r="P307" i="6"/>
  <c r="BK307" i="6"/>
  <c r="J307" i="6"/>
  <c r="BE307" i="6" s="1"/>
  <c r="BI306" i="6"/>
  <c r="BH306" i="6"/>
  <c r="BG306" i="6"/>
  <c r="BF306" i="6"/>
  <c r="T306" i="6"/>
  <c r="R306" i="6"/>
  <c r="P306" i="6"/>
  <c r="BK306" i="6"/>
  <c r="J306" i="6"/>
  <c r="BE306" i="6" s="1"/>
  <c r="BI305" i="6"/>
  <c r="BH305" i="6"/>
  <c r="BG305" i="6"/>
  <c r="BF305" i="6"/>
  <c r="T305" i="6"/>
  <c r="R305" i="6"/>
  <c r="P305" i="6"/>
  <c r="BK305" i="6"/>
  <c r="J305" i="6"/>
  <c r="BE305" i="6" s="1"/>
  <c r="BI304" i="6"/>
  <c r="BH304" i="6"/>
  <c r="BG304" i="6"/>
  <c r="BF304" i="6"/>
  <c r="T304" i="6"/>
  <c r="R304" i="6"/>
  <c r="P304" i="6"/>
  <c r="BK304" i="6"/>
  <c r="J304" i="6"/>
  <c r="BE304" i="6" s="1"/>
  <c r="BI303" i="6"/>
  <c r="BH303" i="6"/>
  <c r="BG303" i="6"/>
  <c r="BF303" i="6"/>
  <c r="T303" i="6"/>
  <c r="R303" i="6"/>
  <c r="P303" i="6"/>
  <c r="BK303" i="6"/>
  <c r="J303" i="6"/>
  <c r="BE303" i="6" s="1"/>
  <c r="BI302" i="6"/>
  <c r="BH302" i="6"/>
  <c r="BG302" i="6"/>
  <c r="BF302" i="6"/>
  <c r="T302" i="6"/>
  <c r="R302" i="6"/>
  <c r="P302" i="6"/>
  <c r="BK302" i="6"/>
  <c r="J302" i="6"/>
  <c r="BE302" i="6" s="1"/>
  <c r="BI297" i="6"/>
  <c r="BH297" i="6"/>
  <c r="BG297" i="6"/>
  <c r="BF297" i="6"/>
  <c r="T297" i="6"/>
  <c r="R297" i="6"/>
  <c r="P297" i="6"/>
  <c r="BK297" i="6"/>
  <c r="J297" i="6"/>
  <c r="BE297" i="6" s="1"/>
  <c r="BI296" i="6"/>
  <c r="BH296" i="6"/>
  <c r="BG296" i="6"/>
  <c r="BF296" i="6"/>
  <c r="T296" i="6"/>
  <c r="R296" i="6"/>
  <c r="P296" i="6"/>
  <c r="BK296" i="6"/>
  <c r="J296" i="6"/>
  <c r="BE296" i="6" s="1"/>
  <c r="BI295" i="6"/>
  <c r="BH295" i="6"/>
  <c r="BG295" i="6"/>
  <c r="BF295" i="6"/>
  <c r="T295" i="6"/>
  <c r="R295" i="6"/>
  <c r="P295" i="6"/>
  <c r="BK295" i="6"/>
  <c r="J295" i="6"/>
  <c r="BE295" i="6" s="1"/>
  <c r="BI294" i="6"/>
  <c r="BH294" i="6"/>
  <c r="BG294" i="6"/>
  <c r="BF294" i="6"/>
  <c r="T294" i="6"/>
  <c r="R294" i="6"/>
  <c r="P294" i="6"/>
  <c r="BK294" i="6"/>
  <c r="J294" i="6"/>
  <c r="BE294" i="6" s="1"/>
  <c r="BI293" i="6"/>
  <c r="BH293" i="6"/>
  <c r="BG293" i="6"/>
  <c r="BF293" i="6"/>
  <c r="T293" i="6"/>
  <c r="R293" i="6"/>
  <c r="P293" i="6"/>
  <c r="BK293" i="6"/>
  <c r="J293" i="6"/>
  <c r="BE293" i="6" s="1"/>
  <c r="BI292" i="6"/>
  <c r="BH292" i="6"/>
  <c r="BG292" i="6"/>
  <c r="BF292" i="6"/>
  <c r="T292" i="6"/>
  <c r="R292" i="6"/>
  <c r="P292" i="6"/>
  <c r="BK292" i="6"/>
  <c r="J292" i="6"/>
  <c r="BE292" i="6" s="1"/>
  <c r="BI291" i="6"/>
  <c r="BH291" i="6"/>
  <c r="BG291" i="6"/>
  <c r="BF291" i="6"/>
  <c r="T291" i="6"/>
  <c r="R291" i="6"/>
  <c r="P291" i="6"/>
  <c r="BK291" i="6"/>
  <c r="J291" i="6"/>
  <c r="BE291" i="6" s="1"/>
  <c r="BI290" i="6"/>
  <c r="BH290" i="6"/>
  <c r="BG290" i="6"/>
  <c r="BF290" i="6"/>
  <c r="T290" i="6"/>
  <c r="R290" i="6"/>
  <c r="P290" i="6"/>
  <c r="BK290" i="6"/>
  <c r="J290" i="6"/>
  <c r="BE290" i="6" s="1"/>
  <c r="BI289" i="6"/>
  <c r="BH289" i="6"/>
  <c r="BG289" i="6"/>
  <c r="BF289" i="6"/>
  <c r="T289" i="6"/>
  <c r="R289" i="6"/>
  <c r="P289" i="6"/>
  <c r="BK289" i="6"/>
  <c r="J289" i="6"/>
  <c r="BE289" i="6" s="1"/>
  <c r="BI288" i="6"/>
  <c r="BH288" i="6"/>
  <c r="BG288" i="6"/>
  <c r="BF288" i="6"/>
  <c r="T288" i="6"/>
  <c r="R288" i="6"/>
  <c r="P288" i="6"/>
  <c r="BK288" i="6"/>
  <c r="J288" i="6"/>
  <c r="BE288" i="6" s="1"/>
  <c r="BI287" i="6"/>
  <c r="BH287" i="6"/>
  <c r="BG287" i="6"/>
  <c r="BF287" i="6"/>
  <c r="T287" i="6"/>
  <c r="R287" i="6"/>
  <c r="P287" i="6"/>
  <c r="BK287" i="6"/>
  <c r="J287" i="6"/>
  <c r="BE287" i="6" s="1"/>
  <c r="BI286" i="6"/>
  <c r="BH286" i="6"/>
  <c r="BG286" i="6"/>
  <c r="BF286" i="6"/>
  <c r="T286" i="6"/>
  <c r="R286" i="6"/>
  <c r="P286" i="6"/>
  <c r="BK286" i="6"/>
  <c r="J286" i="6"/>
  <c r="BE286" i="6" s="1"/>
  <c r="BI285" i="6"/>
  <c r="BH285" i="6"/>
  <c r="BG285" i="6"/>
  <c r="BF285" i="6"/>
  <c r="T285" i="6"/>
  <c r="R285" i="6"/>
  <c r="P285" i="6"/>
  <c r="BK285" i="6"/>
  <c r="J285" i="6"/>
  <c r="BE285" i="6" s="1"/>
  <c r="BI284" i="6"/>
  <c r="BH284" i="6"/>
  <c r="BG284" i="6"/>
  <c r="BF284" i="6"/>
  <c r="T284" i="6"/>
  <c r="R284" i="6"/>
  <c r="P284" i="6"/>
  <c r="BK284" i="6"/>
  <c r="J284" i="6"/>
  <c r="BE284" i="6" s="1"/>
  <c r="BI283" i="6"/>
  <c r="BH283" i="6"/>
  <c r="BG283" i="6"/>
  <c r="BF283" i="6"/>
  <c r="T283" i="6"/>
  <c r="R283" i="6"/>
  <c r="P283" i="6"/>
  <c r="BK283" i="6"/>
  <c r="J283" i="6"/>
  <c r="BE283" i="6" s="1"/>
  <c r="BI282" i="6"/>
  <c r="BH282" i="6"/>
  <c r="BG282" i="6"/>
  <c r="BF282" i="6"/>
  <c r="T282" i="6"/>
  <c r="R282" i="6"/>
  <c r="P282" i="6"/>
  <c r="BK282" i="6"/>
  <c r="J282" i="6"/>
  <c r="BE282" i="6" s="1"/>
  <c r="BI281" i="6"/>
  <c r="BH281" i="6"/>
  <c r="BG281" i="6"/>
  <c r="BF281" i="6"/>
  <c r="T281" i="6"/>
  <c r="R281" i="6"/>
  <c r="P281" i="6"/>
  <c r="BK281" i="6"/>
  <c r="J281" i="6"/>
  <c r="BE281" i="6" s="1"/>
  <c r="BI280" i="6"/>
  <c r="BH280" i="6"/>
  <c r="BG280" i="6"/>
  <c r="BF280" i="6"/>
  <c r="T280" i="6"/>
  <c r="R280" i="6"/>
  <c r="P280" i="6"/>
  <c r="BK280" i="6"/>
  <c r="J280" i="6"/>
  <c r="BE280" i="6" s="1"/>
  <c r="BI279" i="6"/>
  <c r="BH279" i="6"/>
  <c r="BG279" i="6"/>
  <c r="BF279" i="6"/>
  <c r="T279" i="6"/>
  <c r="R279" i="6"/>
  <c r="P279" i="6"/>
  <c r="BK279" i="6"/>
  <c r="J279" i="6"/>
  <c r="BE279" i="6" s="1"/>
  <c r="BI278" i="6"/>
  <c r="BH278" i="6"/>
  <c r="BG278" i="6"/>
  <c r="BF278" i="6"/>
  <c r="T278" i="6"/>
  <c r="R278" i="6"/>
  <c r="P278" i="6"/>
  <c r="BK278" i="6"/>
  <c r="J278" i="6"/>
  <c r="BE278" i="6" s="1"/>
  <c r="BI277" i="6"/>
  <c r="BH277" i="6"/>
  <c r="BG277" i="6"/>
  <c r="BF277" i="6"/>
  <c r="T277" i="6"/>
  <c r="R277" i="6"/>
  <c r="P277" i="6"/>
  <c r="BK277" i="6"/>
  <c r="J277" i="6"/>
  <c r="BE277" i="6" s="1"/>
  <c r="BI276" i="6"/>
  <c r="BH276" i="6"/>
  <c r="BG276" i="6"/>
  <c r="BF276" i="6"/>
  <c r="T276" i="6"/>
  <c r="R276" i="6"/>
  <c r="P276" i="6"/>
  <c r="BK276" i="6"/>
  <c r="J276" i="6"/>
  <c r="BE276" i="6" s="1"/>
  <c r="BI275" i="6"/>
  <c r="BH275" i="6"/>
  <c r="BG275" i="6"/>
  <c r="BF275" i="6"/>
  <c r="T275" i="6"/>
  <c r="R275" i="6"/>
  <c r="P275" i="6"/>
  <c r="BK275" i="6"/>
  <c r="J275" i="6"/>
  <c r="BE275" i="6" s="1"/>
  <c r="BI274" i="6"/>
  <c r="BH274" i="6"/>
  <c r="BG274" i="6"/>
  <c r="BF274" i="6"/>
  <c r="T274" i="6"/>
  <c r="R274" i="6"/>
  <c r="P274" i="6"/>
  <c r="BK274" i="6"/>
  <c r="J274" i="6"/>
  <c r="BE274" i="6" s="1"/>
  <c r="BI273" i="6"/>
  <c r="BH273" i="6"/>
  <c r="BG273" i="6"/>
  <c r="BF273" i="6"/>
  <c r="T273" i="6"/>
  <c r="R273" i="6"/>
  <c r="P273" i="6"/>
  <c r="BK273" i="6"/>
  <c r="J273" i="6"/>
  <c r="BE273" i="6" s="1"/>
  <c r="BI272" i="6"/>
  <c r="BH272" i="6"/>
  <c r="BG272" i="6"/>
  <c r="BF272" i="6"/>
  <c r="T272" i="6"/>
  <c r="R272" i="6"/>
  <c r="P272" i="6"/>
  <c r="BK272" i="6"/>
  <c r="J272" i="6"/>
  <c r="BE272" i="6" s="1"/>
  <c r="BI271" i="6"/>
  <c r="BH271" i="6"/>
  <c r="BG271" i="6"/>
  <c r="BF271" i="6"/>
  <c r="T271" i="6"/>
  <c r="R271" i="6"/>
  <c r="P271" i="6"/>
  <c r="BK271" i="6"/>
  <c r="J271" i="6"/>
  <c r="BE271" i="6" s="1"/>
  <c r="BI270" i="6"/>
  <c r="BH270" i="6"/>
  <c r="BG270" i="6"/>
  <c r="BF270" i="6"/>
  <c r="T270" i="6"/>
  <c r="R270" i="6"/>
  <c r="P270" i="6"/>
  <c r="BK270" i="6"/>
  <c r="J270" i="6"/>
  <c r="BE270" i="6" s="1"/>
  <c r="BI269" i="6"/>
  <c r="BH269" i="6"/>
  <c r="BG269" i="6"/>
  <c r="BF269" i="6"/>
  <c r="T269" i="6"/>
  <c r="R269" i="6"/>
  <c r="P269" i="6"/>
  <c r="BK269" i="6"/>
  <c r="J269" i="6"/>
  <c r="BE269" i="6" s="1"/>
  <c r="BI268" i="6"/>
  <c r="BH268" i="6"/>
  <c r="BG268" i="6"/>
  <c r="BF268" i="6"/>
  <c r="T268" i="6"/>
  <c r="R268" i="6"/>
  <c r="P268" i="6"/>
  <c r="BK268" i="6"/>
  <c r="J268" i="6"/>
  <c r="BE268" i="6" s="1"/>
  <c r="BI267" i="6"/>
  <c r="BH267" i="6"/>
  <c r="BG267" i="6"/>
  <c r="BF267" i="6"/>
  <c r="T267" i="6"/>
  <c r="R267" i="6"/>
  <c r="P267" i="6"/>
  <c r="BK267" i="6"/>
  <c r="J267" i="6"/>
  <c r="BE267" i="6" s="1"/>
  <c r="BI266" i="6"/>
  <c r="BH266" i="6"/>
  <c r="BG266" i="6"/>
  <c r="BF266" i="6"/>
  <c r="T266" i="6"/>
  <c r="R266" i="6"/>
  <c r="P266" i="6"/>
  <c r="BK266" i="6"/>
  <c r="J266" i="6"/>
  <c r="BE266" i="6" s="1"/>
  <c r="BI265" i="6"/>
  <c r="BH265" i="6"/>
  <c r="BG265" i="6"/>
  <c r="BF265" i="6"/>
  <c r="T265" i="6"/>
  <c r="R265" i="6"/>
  <c r="P265" i="6"/>
  <c r="BK265" i="6"/>
  <c r="J265" i="6"/>
  <c r="BE265" i="6" s="1"/>
  <c r="BI264" i="6"/>
  <c r="BH264" i="6"/>
  <c r="BG264" i="6"/>
  <c r="BF264" i="6"/>
  <c r="T264" i="6"/>
  <c r="R264" i="6"/>
  <c r="P264" i="6"/>
  <c r="BK264" i="6"/>
  <c r="J264" i="6"/>
  <c r="BE264" i="6" s="1"/>
  <c r="BI263" i="6"/>
  <c r="BH263" i="6"/>
  <c r="BG263" i="6"/>
  <c r="BF263" i="6"/>
  <c r="T263" i="6"/>
  <c r="R263" i="6"/>
  <c r="P263" i="6"/>
  <c r="BK263" i="6"/>
  <c r="J263" i="6"/>
  <c r="BE263" i="6" s="1"/>
  <c r="BI262" i="6"/>
  <c r="BH262" i="6"/>
  <c r="BG262" i="6"/>
  <c r="BF262" i="6"/>
  <c r="T262" i="6"/>
  <c r="R262" i="6"/>
  <c r="P262" i="6"/>
  <c r="BK262" i="6"/>
  <c r="J262" i="6"/>
  <c r="BE262" i="6" s="1"/>
  <c r="BI261" i="6"/>
  <c r="BH261" i="6"/>
  <c r="BG261" i="6"/>
  <c r="BF261" i="6"/>
  <c r="T261" i="6"/>
  <c r="R261" i="6"/>
  <c r="P261" i="6"/>
  <c r="BK261" i="6"/>
  <c r="J261" i="6"/>
  <c r="BE261" i="6" s="1"/>
  <c r="BI260" i="6"/>
  <c r="BH260" i="6"/>
  <c r="BG260" i="6"/>
  <c r="BF260" i="6"/>
  <c r="T260" i="6"/>
  <c r="R260" i="6"/>
  <c r="P260" i="6"/>
  <c r="BK260" i="6"/>
  <c r="J260" i="6"/>
  <c r="BE260" i="6" s="1"/>
  <c r="BI259" i="6"/>
  <c r="BH259" i="6"/>
  <c r="BG259" i="6"/>
  <c r="BF259" i="6"/>
  <c r="T259" i="6"/>
  <c r="R259" i="6"/>
  <c r="P259" i="6"/>
  <c r="BK259" i="6"/>
  <c r="J259" i="6"/>
  <c r="BE259" i="6" s="1"/>
  <c r="BI258" i="6"/>
  <c r="BH258" i="6"/>
  <c r="BG258" i="6"/>
  <c r="BF258" i="6"/>
  <c r="T258" i="6"/>
  <c r="R258" i="6"/>
  <c r="P258" i="6"/>
  <c r="BK258" i="6"/>
  <c r="J258" i="6"/>
  <c r="BE258" i="6" s="1"/>
  <c r="BI257" i="6"/>
  <c r="BH257" i="6"/>
  <c r="BG257" i="6"/>
  <c r="BF257" i="6"/>
  <c r="T257" i="6"/>
  <c r="R257" i="6"/>
  <c r="P257" i="6"/>
  <c r="BK257" i="6"/>
  <c r="J257" i="6"/>
  <c r="BE257" i="6" s="1"/>
  <c r="BI256" i="6"/>
  <c r="BH256" i="6"/>
  <c r="BG256" i="6"/>
  <c r="BF256" i="6"/>
  <c r="T256" i="6"/>
  <c r="R256" i="6"/>
  <c r="P256" i="6"/>
  <c r="BK256" i="6"/>
  <c r="J256" i="6"/>
  <c r="BE256" i="6" s="1"/>
  <c r="BI255" i="6"/>
  <c r="BH255" i="6"/>
  <c r="BG255" i="6"/>
  <c r="BF255" i="6"/>
  <c r="T255" i="6"/>
  <c r="R255" i="6"/>
  <c r="P255" i="6"/>
  <c r="BK255" i="6"/>
  <c r="J255" i="6"/>
  <c r="BE255" i="6" s="1"/>
  <c r="BI254" i="6"/>
  <c r="BH254" i="6"/>
  <c r="BG254" i="6"/>
  <c r="BF254" i="6"/>
  <c r="T254" i="6"/>
  <c r="R254" i="6"/>
  <c r="P254" i="6"/>
  <c r="BK254" i="6"/>
  <c r="J254" i="6"/>
  <c r="BE254" i="6" s="1"/>
  <c r="BI253" i="6"/>
  <c r="BH253" i="6"/>
  <c r="BG253" i="6"/>
  <c r="BF253" i="6"/>
  <c r="T253" i="6"/>
  <c r="R253" i="6"/>
  <c r="P253" i="6"/>
  <c r="BK253" i="6"/>
  <c r="J253" i="6"/>
  <c r="BE253" i="6" s="1"/>
  <c r="BI252" i="6"/>
  <c r="BH252" i="6"/>
  <c r="BG252" i="6"/>
  <c r="BF252" i="6"/>
  <c r="T252" i="6"/>
  <c r="R252" i="6"/>
  <c r="P252" i="6"/>
  <c r="BK252" i="6"/>
  <c r="J252" i="6"/>
  <c r="BE252" i="6" s="1"/>
  <c r="BI251" i="6"/>
  <c r="BH251" i="6"/>
  <c r="BG251" i="6"/>
  <c r="BF251" i="6"/>
  <c r="T251" i="6"/>
  <c r="R251" i="6"/>
  <c r="P251" i="6"/>
  <c r="BK251" i="6"/>
  <c r="J251" i="6"/>
  <c r="BE251" i="6" s="1"/>
  <c r="BI250" i="6"/>
  <c r="BH250" i="6"/>
  <c r="BG250" i="6"/>
  <c r="BF250" i="6"/>
  <c r="T250" i="6"/>
  <c r="R250" i="6"/>
  <c r="P250" i="6"/>
  <c r="BK250" i="6"/>
  <c r="J250" i="6"/>
  <c r="BE250" i="6" s="1"/>
  <c r="BI249" i="6"/>
  <c r="BH249" i="6"/>
  <c r="BG249" i="6"/>
  <c r="BF249" i="6"/>
  <c r="T249" i="6"/>
  <c r="R249" i="6"/>
  <c r="P249" i="6"/>
  <c r="BK249" i="6"/>
  <c r="J249" i="6"/>
  <c r="BE249" i="6" s="1"/>
  <c r="BI248" i="6"/>
  <c r="BH248" i="6"/>
  <c r="BG248" i="6"/>
  <c r="BF248" i="6"/>
  <c r="T248" i="6"/>
  <c r="R248" i="6"/>
  <c r="P248" i="6"/>
  <c r="BK248" i="6"/>
  <c r="J248" i="6"/>
  <c r="BE248" i="6" s="1"/>
  <c r="BI247" i="6"/>
  <c r="BH247" i="6"/>
  <c r="BG247" i="6"/>
  <c r="BF247" i="6"/>
  <c r="T247" i="6"/>
  <c r="R247" i="6"/>
  <c r="P247" i="6"/>
  <c r="BK247" i="6"/>
  <c r="J247" i="6"/>
  <c r="BE247" i="6" s="1"/>
  <c r="BI246" i="6"/>
  <c r="BH246" i="6"/>
  <c r="BG246" i="6"/>
  <c r="BF246" i="6"/>
  <c r="T246" i="6"/>
  <c r="R246" i="6"/>
  <c r="P246" i="6"/>
  <c r="BK246" i="6"/>
  <c r="J246" i="6"/>
  <c r="BE246" i="6" s="1"/>
  <c r="BI245" i="6"/>
  <c r="BH245" i="6"/>
  <c r="BG245" i="6"/>
  <c r="BF245" i="6"/>
  <c r="T245" i="6"/>
  <c r="R245" i="6"/>
  <c r="P245" i="6"/>
  <c r="BK245" i="6"/>
  <c r="J245" i="6"/>
  <c r="BE245" i="6" s="1"/>
  <c r="BI243" i="6"/>
  <c r="BH243" i="6"/>
  <c r="BG243" i="6"/>
  <c r="BF243" i="6"/>
  <c r="T243" i="6"/>
  <c r="R243" i="6"/>
  <c r="P243" i="6"/>
  <c r="BK243" i="6"/>
  <c r="J243" i="6"/>
  <c r="BE243" i="6" s="1"/>
  <c r="BI242" i="6"/>
  <c r="BH242" i="6"/>
  <c r="BG242" i="6"/>
  <c r="BF242" i="6"/>
  <c r="T242" i="6"/>
  <c r="R242" i="6"/>
  <c r="P242" i="6"/>
  <c r="BK242" i="6"/>
  <c r="J242" i="6"/>
  <c r="BE242" i="6" s="1"/>
  <c r="BI240" i="6"/>
  <c r="BH240" i="6"/>
  <c r="BG240" i="6"/>
  <c r="BF240" i="6"/>
  <c r="T240" i="6"/>
  <c r="R240" i="6"/>
  <c r="P240" i="6"/>
  <c r="BK240" i="6"/>
  <c r="J240" i="6"/>
  <c r="BE240" i="6" s="1"/>
  <c r="BI238" i="6"/>
  <c r="BH238" i="6"/>
  <c r="BG238" i="6"/>
  <c r="BF238" i="6"/>
  <c r="T238" i="6"/>
  <c r="R238" i="6"/>
  <c r="P238" i="6"/>
  <c r="BK238" i="6"/>
  <c r="J238" i="6"/>
  <c r="BE238" i="6" s="1"/>
  <c r="BI237" i="6"/>
  <c r="BH237" i="6"/>
  <c r="BG237" i="6"/>
  <c r="BF237" i="6"/>
  <c r="T237" i="6"/>
  <c r="R237" i="6"/>
  <c r="P237" i="6"/>
  <c r="BK237" i="6"/>
  <c r="J237" i="6"/>
  <c r="BE237" i="6" s="1"/>
  <c r="BI236" i="6"/>
  <c r="BH236" i="6"/>
  <c r="BG236" i="6"/>
  <c r="BF236" i="6"/>
  <c r="T236" i="6"/>
  <c r="R236" i="6"/>
  <c r="P236" i="6"/>
  <c r="BK236" i="6"/>
  <c r="J236" i="6"/>
  <c r="BE236" i="6" s="1"/>
  <c r="BI234" i="6"/>
  <c r="BH234" i="6"/>
  <c r="BG234" i="6"/>
  <c r="BF234" i="6"/>
  <c r="T234" i="6"/>
  <c r="R234" i="6"/>
  <c r="P234" i="6"/>
  <c r="BK234" i="6"/>
  <c r="J234" i="6"/>
  <c r="BE234" i="6" s="1"/>
  <c r="BI233" i="6"/>
  <c r="BH233" i="6"/>
  <c r="BG233" i="6"/>
  <c r="BF233" i="6"/>
  <c r="T233" i="6"/>
  <c r="R233" i="6"/>
  <c r="P233" i="6"/>
  <c r="BK233" i="6"/>
  <c r="J233" i="6"/>
  <c r="BE233" i="6" s="1"/>
  <c r="BI232" i="6"/>
  <c r="BH232" i="6"/>
  <c r="BG232" i="6"/>
  <c r="BF232" i="6"/>
  <c r="T232" i="6"/>
  <c r="R232" i="6"/>
  <c r="P232" i="6"/>
  <c r="BK232" i="6"/>
  <c r="J232" i="6"/>
  <c r="BE232" i="6" s="1"/>
  <c r="BI230" i="6"/>
  <c r="BH230" i="6"/>
  <c r="BG230" i="6"/>
  <c r="BF230" i="6"/>
  <c r="T230" i="6"/>
  <c r="R230" i="6"/>
  <c r="P230" i="6"/>
  <c r="BK230" i="6"/>
  <c r="J230" i="6"/>
  <c r="BE230" i="6" s="1"/>
  <c r="BI229" i="6"/>
  <c r="BH229" i="6"/>
  <c r="BG229" i="6"/>
  <c r="BF229" i="6"/>
  <c r="T229" i="6"/>
  <c r="R229" i="6"/>
  <c r="P229" i="6"/>
  <c r="BK229" i="6"/>
  <c r="J229" i="6"/>
  <c r="BE229" i="6" s="1"/>
  <c r="BI228" i="6"/>
  <c r="BH228" i="6"/>
  <c r="BG228" i="6"/>
  <c r="BF228" i="6"/>
  <c r="T228" i="6"/>
  <c r="R228" i="6"/>
  <c r="P228" i="6"/>
  <c r="BK228" i="6"/>
  <c r="J228" i="6"/>
  <c r="BE228" i="6" s="1"/>
  <c r="BI226" i="6"/>
  <c r="BH226" i="6"/>
  <c r="BG226" i="6"/>
  <c r="BF226" i="6"/>
  <c r="T226" i="6"/>
  <c r="R226" i="6"/>
  <c r="P226" i="6"/>
  <c r="BK226" i="6"/>
  <c r="J226" i="6"/>
  <c r="BE226" i="6" s="1"/>
  <c r="BI225" i="6"/>
  <c r="BH225" i="6"/>
  <c r="BG225" i="6"/>
  <c r="BF225" i="6"/>
  <c r="T225" i="6"/>
  <c r="R225" i="6"/>
  <c r="P225" i="6"/>
  <c r="BK225" i="6"/>
  <c r="J225" i="6"/>
  <c r="BE225" i="6" s="1"/>
  <c r="BI224" i="6"/>
  <c r="BH224" i="6"/>
  <c r="BG224" i="6"/>
  <c r="BF224" i="6"/>
  <c r="T224" i="6"/>
  <c r="R224" i="6"/>
  <c r="P224" i="6"/>
  <c r="BK224" i="6"/>
  <c r="J224" i="6"/>
  <c r="BE224" i="6" s="1"/>
  <c r="BI222" i="6"/>
  <c r="BH222" i="6"/>
  <c r="BG222" i="6"/>
  <c r="BF222" i="6"/>
  <c r="T222" i="6"/>
  <c r="R222" i="6"/>
  <c r="P222" i="6"/>
  <c r="BK222" i="6"/>
  <c r="J222" i="6"/>
  <c r="BE222" i="6" s="1"/>
  <c r="BI221" i="6"/>
  <c r="BH221" i="6"/>
  <c r="BG221" i="6"/>
  <c r="BF221" i="6"/>
  <c r="T221" i="6"/>
  <c r="R221" i="6"/>
  <c r="P221" i="6"/>
  <c r="BK221" i="6"/>
  <c r="J221" i="6"/>
  <c r="BE221" i="6" s="1"/>
  <c r="BI220" i="6"/>
  <c r="BH220" i="6"/>
  <c r="BG220" i="6"/>
  <c r="BF220" i="6"/>
  <c r="T220" i="6"/>
  <c r="R220" i="6"/>
  <c r="P220" i="6"/>
  <c r="BK220" i="6"/>
  <c r="J220" i="6"/>
  <c r="BE220" i="6" s="1"/>
  <c r="BI219" i="6"/>
  <c r="BH219" i="6"/>
  <c r="BG219" i="6"/>
  <c r="BF219" i="6"/>
  <c r="T219" i="6"/>
  <c r="R219" i="6"/>
  <c r="P219" i="6"/>
  <c r="BK219" i="6"/>
  <c r="J219" i="6"/>
  <c r="BE219" i="6" s="1"/>
  <c r="BI218" i="6"/>
  <c r="BH218" i="6"/>
  <c r="BG218" i="6"/>
  <c r="BF218" i="6"/>
  <c r="T218" i="6"/>
  <c r="R218" i="6"/>
  <c r="P218" i="6"/>
  <c r="BK218" i="6"/>
  <c r="J218" i="6"/>
  <c r="BE218" i="6" s="1"/>
  <c r="BI217" i="6"/>
  <c r="BH217" i="6"/>
  <c r="BG217" i="6"/>
  <c r="BF217" i="6"/>
  <c r="T217" i="6"/>
  <c r="R217" i="6"/>
  <c r="P217" i="6"/>
  <c r="BK217" i="6"/>
  <c r="J217" i="6"/>
  <c r="BE217" i="6" s="1"/>
  <c r="BI216" i="6"/>
  <c r="BH216" i="6"/>
  <c r="BG216" i="6"/>
  <c r="BF216" i="6"/>
  <c r="T216" i="6"/>
  <c r="R216" i="6"/>
  <c r="P216" i="6"/>
  <c r="BK216" i="6"/>
  <c r="J216" i="6"/>
  <c r="BE216" i="6" s="1"/>
  <c r="BI215" i="6"/>
  <c r="BH215" i="6"/>
  <c r="BG215" i="6"/>
  <c r="BF215" i="6"/>
  <c r="T215" i="6"/>
  <c r="R215" i="6"/>
  <c r="P215" i="6"/>
  <c r="BK215" i="6"/>
  <c r="J215" i="6"/>
  <c r="BE215" i="6" s="1"/>
  <c r="BI214" i="6"/>
  <c r="BH214" i="6"/>
  <c r="BG214" i="6"/>
  <c r="BF214" i="6"/>
  <c r="T214" i="6"/>
  <c r="R214" i="6"/>
  <c r="P214" i="6"/>
  <c r="BK214" i="6"/>
  <c r="J214" i="6"/>
  <c r="BE214" i="6" s="1"/>
  <c r="BI213" i="6"/>
  <c r="BH213" i="6"/>
  <c r="BG213" i="6"/>
  <c r="BF213" i="6"/>
  <c r="T213" i="6"/>
  <c r="R213" i="6"/>
  <c r="P213" i="6"/>
  <c r="BK213" i="6"/>
  <c r="J213" i="6"/>
  <c r="BE213" i="6" s="1"/>
  <c r="BI212" i="6"/>
  <c r="BH212" i="6"/>
  <c r="BG212" i="6"/>
  <c r="BF212" i="6"/>
  <c r="T212" i="6"/>
  <c r="R212" i="6"/>
  <c r="P212" i="6"/>
  <c r="BK212" i="6"/>
  <c r="J212" i="6"/>
  <c r="BE212" i="6" s="1"/>
  <c r="BI211" i="6"/>
  <c r="BH211" i="6"/>
  <c r="BG211" i="6"/>
  <c r="BF211" i="6"/>
  <c r="T211" i="6"/>
  <c r="R211" i="6"/>
  <c r="P211" i="6"/>
  <c r="BK211" i="6"/>
  <c r="J211" i="6"/>
  <c r="BE211" i="6" s="1"/>
  <c r="BI210" i="6"/>
  <c r="BH210" i="6"/>
  <c r="BG210" i="6"/>
  <c r="BF210" i="6"/>
  <c r="T210" i="6"/>
  <c r="R210" i="6"/>
  <c r="P210" i="6"/>
  <c r="BK210" i="6"/>
  <c r="J210" i="6"/>
  <c r="BE210" i="6" s="1"/>
  <c r="BI209" i="6"/>
  <c r="BH209" i="6"/>
  <c r="BG209" i="6"/>
  <c r="BF209" i="6"/>
  <c r="T209" i="6"/>
  <c r="R209" i="6"/>
  <c r="P209" i="6"/>
  <c r="BK209" i="6"/>
  <c r="J209" i="6"/>
  <c r="BE209" i="6" s="1"/>
  <c r="BI208" i="6"/>
  <c r="BH208" i="6"/>
  <c r="BG208" i="6"/>
  <c r="BF208" i="6"/>
  <c r="T208" i="6"/>
  <c r="R208" i="6"/>
  <c r="P208" i="6"/>
  <c r="BK208" i="6"/>
  <c r="J208" i="6"/>
  <c r="BE208" i="6" s="1"/>
  <c r="BI207" i="6"/>
  <c r="BH207" i="6"/>
  <c r="BG207" i="6"/>
  <c r="BF207" i="6"/>
  <c r="T207" i="6"/>
  <c r="R207" i="6"/>
  <c r="P207" i="6"/>
  <c r="BK207" i="6"/>
  <c r="J207" i="6"/>
  <c r="BE207" i="6" s="1"/>
  <c r="BI200" i="6"/>
  <c r="BH200" i="6"/>
  <c r="BG200" i="6"/>
  <c r="BF200" i="6"/>
  <c r="T200" i="6"/>
  <c r="R200" i="6"/>
  <c r="P200" i="6"/>
  <c r="BK200" i="6"/>
  <c r="J200" i="6"/>
  <c r="BE200" i="6" s="1"/>
  <c r="BI199" i="6"/>
  <c r="BH199" i="6"/>
  <c r="BG199" i="6"/>
  <c r="BF199" i="6"/>
  <c r="T199" i="6"/>
  <c r="R199" i="6"/>
  <c r="P199" i="6"/>
  <c r="BK199" i="6"/>
  <c r="J199" i="6"/>
  <c r="BE199" i="6" s="1"/>
  <c r="BI194" i="6"/>
  <c r="BH194" i="6"/>
  <c r="BG194" i="6"/>
  <c r="BF194" i="6"/>
  <c r="T194" i="6"/>
  <c r="R194" i="6"/>
  <c r="P194" i="6"/>
  <c r="BK194" i="6"/>
  <c r="J194" i="6"/>
  <c r="BE194" i="6" s="1"/>
  <c r="BI193" i="6"/>
  <c r="BH193" i="6"/>
  <c r="BG193" i="6"/>
  <c r="BF193" i="6"/>
  <c r="T193" i="6"/>
  <c r="R193" i="6"/>
  <c r="P193" i="6"/>
  <c r="BK193" i="6"/>
  <c r="J193" i="6"/>
  <c r="BE193" i="6" s="1"/>
  <c r="BI192" i="6"/>
  <c r="BH192" i="6"/>
  <c r="BG192" i="6"/>
  <c r="BF192" i="6"/>
  <c r="T192" i="6"/>
  <c r="R192" i="6"/>
  <c r="P192" i="6"/>
  <c r="BK192" i="6"/>
  <c r="J192" i="6"/>
  <c r="BE192" i="6" s="1"/>
  <c r="BI191" i="6"/>
  <c r="BH191" i="6"/>
  <c r="BG191" i="6"/>
  <c r="BF191" i="6"/>
  <c r="T191" i="6"/>
  <c r="R191" i="6"/>
  <c r="P191" i="6"/>
  <c r="BK191" i="6"/>
  <c r="J191" i="6"/>
  <c r="BE191" i="6" s="1"/>
  <c r="BI190" i="6"/>
  <c r="BH190" i="6"/>
  <c r="BG190" i="6"/>
  <c r="BF190" i="6"/>
  <c r="T190" i="6"/>
  <c r="R190" i="6"/>
  <c r="P190" i="6"/>
  <c r="BK190" i="6"/>
  <c r="J190" i="6"/>
  <c r="BE190" i="6" s="1"/>
  <c r="BI189" i="6"/>
  <c r="BH189" i="6"/>
  <c r="BG189" i="6"/>
  <c r="BF189" i="6"/>
  <c r="T189" i="6"/>
  <c r="R189" i="6"/>
  <c r="P189" i="6"/>
  <c r="BK189" i="6"/>
  <c r="J189" i="6"/>
  <c r="BE189" i="6" s="1"/>
  <c r="BI188" i="6"/>
  <c r="BH188" i="6"/>
  <c r="BG188" i="6"/>
  <c r="BF188" i="6"/>
  <c r="T188" i="6"/>
  <c r="R188" i="6"/>
  <c r="P188" i="6"/>
  <c r="BK188" i="6"/>
  <c r="J188" i="6"/>
  <c r="BE188" i="6" s="1"/>
  <c r="BI187" i="6"/>
  <c r="BH187" i="6"/>
  <c r="BG187" i="6"/>
  <c r="BF187" i="6"/>
  <c r="T187" i="6"/>
  <c r="R187" i="6"/>
  <c r="P187" i="6"/>
  <c r="BK187" i="6"/>
  <c r="J187" i="6"/>
  <c r="BE187" i="6" s="1"/>
  <c r="BI182" i="6"/>
  <c r="BH182" i="6"/>
  <c r="BG182" i="6"/>
  <c r="BF182" i="6"/>
  <c r="T182" i="6"/>
  <c r="R182" i="6"/>
  <c r="P182" i="6"/>
  <c r="BK182" i="6"/>
  <c r="J182" i="6"/>
  <c r="BE182" i="6" s="1"/>
  <c r="BI181" i="6"/>
  <c r="BH181" i="6"/>
  <c r="BG181" i="6"/>
  <c r="BF181" i="6"/>
  <c r="T181" i="6"/>
  <c r="R181" i="6"/>
  <c r="P181" i="6"/>
  <c r="BK181" i="6"/>
  <c r="J181" i="6"/>
  <c r="BE181" i="6" s="1"/>
  <c r="BI180" i="6"/>
  <c r="BH180" i="6"/>
  <c r="BG180" i="6"/>
  <c r="BF180" i="6"/>
  <c r="T180" i="6"/>
  <c r="R180" i="6"/>
  <c r="P180" i="6"/>
  <c r="BK180" i="6"/>
  <c r="J180" i="6"/>
  <c r="BE180" i="6" s="1"/>
  <c r="BI179" i="6"/>
  <c r="BH179" i="6"/>
  <c r="BG179" i="6"/>
  <c r="BF179" i="6"/>
  <c r="T179" i="6"/>
  <c r="R179" i="6"/>
  <c r="P179" i="6"/>
  <c r="BK179" i="6"/>
  <c r="J179" i="6"/>
  <c r="BE179" i="6" s="1"/>
  <c r="BI178" i="6"/>
  <c r="BH178" i="6"/>
  <c r="BG178" i="6"/>
  <c r="BF178" i="6"/>
  <c r="T178" i="6"/>
  <c r="R178" i="6"/>
  <c r="P178" i="6"/>
  <c r="BK178" i="6"/>
  <c r="J178" i="6"/>
  <c r="BE178" i="6" s="1"/>
  <c r="BI177" i="6"/>
  <c r="BH177" i="6"/>
  <c r="BG177" i="6"/>
  <c r="BF177" i="6"/>
  <c r="T177" i="6"/>
  <c r="R177" i="6"/>
  <c r="P177" i="6"/>
  <c r="BK177" i="6"/>
  <c r="J177" i="6"/>
  <c r="BE177" i="6" s="1"/>
  <c r="BI176" i="6"/>
  <c r="BH176" i="6"/>
  <c r="BG176" i="6"/>
  <c r="BF176" i="6"/>
  <c r="T176" i="6"/>
  <c r="R176" i="6"/>
  <c r="P176" i="6"/>
  <c r="BK176" i="6"/>
  <c r="J176" i="6"/>
  <c r="BE176" i="6" s="1"/>
  <c r="BI175" i="6"/>
  <c r="BH175" i="6"/>
  <c r="BG175" i="6"/>
  <c r="BF175" i="6"/>
  <c r="T175" i="6"/>
  <c r="R175" i="6"/>
  <c r="P175" i="6"/>
  <c r="BK175" i="6"/>
  <c r="J175" i="6"/>
  <c r="BE175" i="6" s="1"/>
  <c r="BI174" i="6"/>
  <c r="BH174" i="6"/>
  <c r="BG174" i="6"/>
  <c r="BF174" i="6"/>
  <c r="T174" i="6"/>
  <c r="R174" i="6"/>
  <c r="P174" i="6"/>
  <c r="BK174" i="6"/>
  <c r="J174" i="6"/>
  <c r="BE174" i="6" s="1"/>
  <c r="BI173" i="6"/>
  <c r="BH173" i="6"/>
  <c r="BG173" i="6"/>
  <c r="BF173" i="6"/>
  <c r="T173" i="6"/>
  <c r="R173" i="6"/>
  <c r="P173" i="6"/>
  <c r="BK173" i="6"/>
  <c r="J173" i="6"/>
  <c r="BE173" i="6" s="1"/>
  <c r="BI172" i="6"/>
  <c r="BH172" i="6"/>
  <c r="BG172" i="6"/>
  <c r="BF172" i="6"/>
  <c r="T172" i="6"/>
  <c r="R172" i="6"/>
  <c r="P172" i="6"/>
  <c r="BK172" i="6"/>
  <c r="J172" i="6"/>
  <c r="BE172" i="6" s="1"/>
  <c r="BI171" i="6"/>
  <c r="BH171" i="6"/>
  <c r="BG171" i="6"/>
  <c r="BF171" i="6"/>
  <c r="T171" i="6"/>
  <c r="R171" i="6"/>
  <c r="P171" i="6"/>
  <c r="BK171" i="6"/>
  <c r="J171" i="6"/>
  <c r="BE171" i="6" s="1"/>
  <c r="BI170" i="6"/>
  <c r="BH170" i="6"/>
  <c r="BG170" i="6"/>
  <c r="BF170" i="6"/>
  <c r="T170" i="6"/>
  <c r="R170" i="6"/>
  <c r="P170" i="6"/>
  <c r="BK170" i="6"/>
  <c r="J170" i="6"/>
  <c r="BE170" i="6" s="1"/>
  <c r="BI169" i="6"/>
  <c r="BH169" i="6"/>
  <c r="BG169" i="6"/>
  <c r="BF169" i="6"/>
  <c r="T169" i="6"/>
  <c r="R169" i="6"/>
  <c r="P169" i="6"/>
  <c r="BK169" i="6"/>
  <c r="J169" i="6"/>
  <c r="BE169" i="6" s="1"/>
  <c r="BI168" i="6"/>
  <c r="BH168" i="6"/>
  <c r="BG168" i="6"/>
  <c r="BF168" i="6"/>
  <c r="T168" i="6"/>
  <c r="R168" i="6"/>
  <c r="P168" i="6"/>
  <c r="BK168" i="6"/>
  <c r="J168" i="6"/>
  <c r="BE168" i="6" s="1"/>
  <c r="BI167" i="6"/>
  <c r="BH167" i="6"/>
  <c r="BG167" i="6"/>
  <c r="BF167" i="6"/>
  <c r="T167" i="6"/>
  <c r="R167" i="6"/>
  <c r="P167" i="6"/>
  <c r="BK167" i="6"/>
  <c r="J167" i="6"/>
  <c r="BE167" i="6" s="1"/>
  <c r="BI166" i="6"/>
  <c r="BH166" i="6"/>
  <c r="BG166" i="6"/>
  <c r="BF166" i="6"/>
  <c r="T166" i="6"/>
  <c r="R166" i="6"/>
  <c r="P166" i="6"/>
  <c r="BK166" i="6"/>
  <c r="J166" i="6"/>
  <c r="BE166" i="6" s="1"/>
  <c r="BI165" i="6"/>
  <c r="BH165" i="6"/>
  <c r="BG165" i="6"/>
  <c r="BF165" i="6"/>
  <c r="T165" i="6"/>
  <c r="R165" i="6"/>
  <c r="P165" i="6"/>
  <c r="BK165" i="6"/>
  <c r="J165" i="6"/>
  <c r="BE165" i="6" s="1"/>
  <c r="BI164" i="6"/>
  <c r="BH164" i="6"/>
  <c r="BG164" i="6"/>
  <c r="BF164" i="6"/>
  <c r="T164" i="6"/>
  <c r="R164" i="6"/>
  <c r="P164" i="6"/>
  <c r="BK164" i="6"/>
  <c r="J164" i="6"/>
  <c r="BE164" i="6" s="1"/>
  <c r="BI163" i="6"/>
  <c r="BH163" i="6"/>
  <c r="BG163" i="6"/>
  <c r="BF163" i="6"/>
  <c r="T163" i="6"/>
  <c r="R163" i="6"/>
  <c r="P163" i="6"/>
  <c r="BK163" i="6"/>
  <c r="J163" i="6"/>
  <c r="BE163" i="6" s="1"/>
  <c r="BI162" i="6"/>
  <c r="BH162" i="6"/>
  <c r="BG162" i="6"/>
  <c r="BF162" i="6"/>
  <c r="T162" i="6"/>
  <c r="R162" i="6"/>
  <c r="P162" i="6"/>
  <c r="BK162" i="6"/>
  <c r="J162" i="6"/>
  <c r="BE162" i="6" s="1"/>
  <c r="BI161" i="6"/>
  <c r="BH161" i="6"/>
  <c r="BG161" i="6"/>
  <c r="BF161" i="6"/>
  <c r="T161" i="6"/>
  <c r="R161" i="6"/>
  <c r="P161" i="6"/>
  <c r="BK161" i="6"/>
  <c r="J161" i="6"/>
  <c r="BE161" i="6" s="1"/>
  <c r="BI160" i="6"/>
  <c r="BH160" i="6"/>
  <c r="BG160" i="6"/>
  <c r="BF160" i="6"/>
  <c r="T160" i="6"/>
  <c r="R160" i="6"/>
  <c r="P160" i="6"/>
  <c r="BK160" i="6"/>
  <c r="J160" i="6"/>
  <c r="BE160" i="6" s="1"/>
  <c r="BI159" i="6"/>
  <c r="BH159" i="6"/>
  <c r="BG159" i="6"/>
  <c r="BF159" i="6"/>
  <c r="T159" i="6"/>
  <c r="R159" i="6"/>
  <c r="P159" i="6"/>
  <c r="BK159" i="6"/>
  <c r="J159" i="6"/>
  <c r="BE159" i="6" s="1"/>
  <c r="BI158" i="6"/>
  <c r="BH158" i="6"/>
  <c r="BG158" i="6"/>
  <c r="BF158" i="6"/>
  <c r="T158" i="6"/>
  <c r="R158" i="6"/>
  <c r="P158" i="6"/>
  <c r="BK158" i="6"/>
  <c r="J158" i="6"/>
  <c r="BE158" i="6" s="1"/>
  <c r="BI157" i="6"/>
  <c r="BH157" i="6"/>
  <c r="BG157" i="6"/>
  <c r="BF157" i="6"/>
  <c r="T157" i="6"/>
  <c r="R157" i="6"/>
  <c r="P157" i="6"/>
  <c r="BK157" i="6"/>
  <c r="J157" i="6"/>
  <c r="BE157" i="6" s="1"/>
  <c r="BI156" i="6"/>
  <c r="BH156" i="6"/>
  <c r="BG156" i="6"/>
  <c r="BF156" i="6"/>
  <c r="T156" i="6"/>
  <c r="R156" i="6"/>
  <c r="P156" i="6"/>
  <c r="BK156" i="6"/>
  <c r="J156" i="6"/>
  <c r="BE156" i="6" s="1"/>
  <c r="BI155" i="6"/>
  <c r="BH155" i="6"/>
  <c r="BG155" i="6"/>
  <c r="BF155" i="6"/>
  <c r="T155" i="6"/>
  <c r="R155" i="6"/>
  <c r="P155" i="6"/>
  <c r="BK155" i="6"/>
  <c r="J155" i="6"/>
  <c r="BE155" i="6" s="1"/>
  <c r="BI154" i="6"/>
  <c r="BH154" i="6"/>
  <c r="BG154" i="6"/>
  <c r="BF154" i="6"/>
  <c r="T154" i="6"/>
  <c r="R154" i="6"/>
  <c r="P154" i="6"/>
  <c r="BK154" i="6"/>
  <c r="J154" i="6"/>
  <c r="BE154" i="6" s="1"/>
  <c r="BI153" i="6"/>
  <c r="BH153" i="6"/>
  <c r="BG153" i="6"/>
  <c r="BF153" i="6"/>
  <c r="T153" i="6"/>
  <c r="R153" i="6"/>
  <c r="P153" i="6"/>
  <c r="BK153" i="6"/>
  <c r="J153" i="6"/>
  <c r="BE153" i="6" s="1"/>
  <c r="BI152" i="6"/>
  <c r="BH152" i="6"/>
  <c r="BG152" i="6"/>
  <c r="BF152" i="6"/>
  <c r="T152" i="6"/>
  <c r="R152" i="6"/>
  <c r="P152" i="6"/>
  <c r="BK152" i="6"/>
  <c r="J152" i="6"/>
  <c r="BE152" i="6" s="1"/>
  <c r="BI151" i="6"/>
  <c r="BH151" i="6"/>
  <c r="BG151" i="6"/>
  <c r="BF151" i="6"/>
  <c r="T151" i="6"/>
  <c r="R151" i="6"/>
  <c r="P151" i="6"/>
  <c r="BK151" i="6"/>
  <c r="J151" i="6"/>
  <c r="BE151" i="6" s="1"/>
  <c r="BI150" i="6"/>
  <c r="BH150" i="6"/>
  <c r="BG150" i="6"/>
  <c r="BF150" i="6"/>
  <c r="T150" i="6"/>
  <c r="R150" i="6"/>
  <c r="P150" i="6"/>
  <c r="BK150" i="6"/>
  <c r="J150" i="6"/>
  <c r="BE150" i="6" s="1"/>
  <c r="BI149" i="6"/>
  <c r="BH149" i="6"/>
  <c r="BG149" i="6"/>
  <c r="BF149" i="6"/>
  <c r="T149" i="6"/>
  <c r="R149" i="6"/>
  <c r="P149" i="6"/>
  <c r="BK149" i="6"/>
  <c r="J149" i="6"/>
  <c r="BE149" i="6" s="1"/>
  <c r="BI148" i="6"/>
  <c r="BH148" i="6"/>
  <c r="BG148" i="6"/>
  <c r="BF148" i="6"/>
  <c r="T148" i="6"/>
  <c r="R148" i="6"/>
  <c r="P148" i="6"/>
  <c r="BK148" i="6"/>
  <c r="J148" i="6"/>
  <c r="BE148" i="6" s="1"/>
  <c r="BI147" i="6"/>
  <c r="BH147" i="6"/>
  <c r="BG147" i="6"/>
  <c r="BF147" i="6"/>
  <c r="T147" i="6"/>
  <c r="R147" i="6"/>
  <c r="P147" i="6"/>
  <c r="BK147" i="6"/>
  <c r="J147" i="6"/>
  <c r="BE147" i="6" s="1"/>
  <c r="BI146" i="6"/>
  <c r="BH146" i="6"/>
  <c r="BG146" i="6"/>
  <c r="BF146" i="6"/>
  <c r="T146" i="6"/>
  <c r="R146" i="6"/>
  <c r="P146" i="6"/>
  <c r="BK146" i="6"/>
  <c r="J146" i="6"/>
  <c r="BE146" i="6" s="1"/>
  <c r="BI145" i="6"/>
  <c r="BH145" i="6"/>
  <c r="BG145" i="6"/>
  <c r="BF145" i="6"/>
  <c r="T145" i="6"/>
  <c r="R145" i="6"/>
  <c r="P145" i="6"/>
  <c r="BK145" i="6"/>
  <c r="J145" i="6"/>
  <c r="BE145" i="6" s="1"/>
  <c r="BI144" i="6"/>
  <c r="BH144" i="6"/>
  <c r="BG144" i="6"/>
  <c r="BF144" i="6"/>
  <c r="T144" i="6"/>
  <c r="R144" i="6"/>
  <c r="P144" i="6"/>
  <c r="BK144" i="6"/>
  <c r="J144" i="6"/>
  <c r="BE144" i="6" s="1"/>
  <c r="BI143" i="6"/>
  <c r="BH143" i="6"/>
  <c r="BG143" i="6"/>
  <c r="BF143" i="6"/>
  <c r="T143" i="6"/>
  <c r="R143" i="6"/>
  <c r="P143" i="6"/>
  <c r="BK143" i="6"/>
  <c r="J143" i="6"/>
  <c r="BE143" i="6" s="1"/>
  <c r="BI142" i="6"/>
  <c r="BH142" i="6"/>
  <c r="BG142" i="6"/>
  <c r="BF142" i="6"/>
  <c r="T142" i="6"/>
  <c r="R142" i="6"/>
  <c r="P142" i="6"/>
  <c r="BK142" i="6"/>
  <c r="J142" i="6"/>
  <c r="BE142" i="6" s="1"/>
  <c r="BI141" i="6"/>
  <c r="BH141" i="6"/>
  <c r="BG141" i="6"/>
  <c r="BF141" i="6"/>
  <c r="T141" i="6"/>
  <c r="R141" i="6"/>
  <c r="P141" i="6"/>
  <c r="BK141" i="6"/>
  <c r="J141" i="6"/>
  <c r="BE141" i="6" s="1"/>
  <c r="BI140" i="6"/>
  <c r="BH140" i="6"/>
  <c r="BG140" i="6"/>
  <c r="BF140" i="6"/>
  <c r="T140" i="6"/>
  <c r="R140" i="6"/>
  <c r="P140" i="6"/>
  <c r="BK140" i="6"/>
  <c r="J140" i="6"/>
  <c r="BE140" i="6" s="1"/>
  <c r="BI139" i="6"/>
  <c r="BH139" i="6"/>
  <c r="BG139" i="6"/>
  <c r="BF139" i="6"/>
  <c r="T139" i="6"/>
  <c r="R139" i="6"/>
  <c r="P139" i="6"/>
  <c r="BK139" i="6"/>
  <c r="J139" i="6"/>
  <c r="BE139" i="6" s="1"/>
  <c r="BI138" i="6"/>
  <c r="BH138" i="6"/>
  <c r="BG138" i="6"/>
  <c r="BF138" i="6"/>
  <c r="T138" i="6"/>
  <c r="R138" i="6"/>
  <c r="P138" i="6"/>
  <c r="BK138" i="6"/>
  <c r="J138" i="6"/>
  <c r="BE138" i="6" s="1"/>
  <c r="BI137" i="6"/>
  <c r="BH137" i="6"/>
  <c r="BG137" i="6"/>
  <c r="BF137" i="6"/>
  <c r="T137" i="6"/>
  <c r="R137" i="6"/>
  <c r="P137" i="6"/>
  <c r="BK137" i="6"/>
  <c r="J137" i="6"/>
  <c r="BE137" i="6" s="1"/>
  <c r="BI136" i="6"/>
  <c r="BH136" i="6"/>
  <c r="BG136" i="6"/>
  <c r="BF136" i="6"/>
  <c r="T136" i="6"/>
  <c r="R136" i="6"/>
  <c r="P136" i="6"/>
  <c r="BK136" i="6"/>
  <c r="J136" i="6"/>
  <c r="BE136" i="6" s="1"/>
  <c r="BI135" i="6"/>
  <c r="BH135" i="6"/>
  <c r="BG135" i="6"/>
  <c r="BF135" i="6"/>
  <c r="T135" i="6"/>
  <c r="R135" i="6"/>
  <c r="P135" i="6"/>
  <c r="BK135" i="6"/>
  <c r="J135" i="6"/>
  <c r="BE135" i="6" s="1"/>
  <c r="BI134" i="6"/>
  <c r="BH134" i="6"/>
  <c r="BG134" i="6"/>
  <c r="BF134" i="6"/>
  <c r="T134" i="6"/>
  <c r="R134" i="6"/>
  <c r="P134" i="6"/>
  <c r="BK134" i="6"/>
  <c r="J134" i="6"/>
  <c r="BE134" i="6" s="1"/>
  <c r="BI133" i="6"/>
  <c r="BH133" i="6"/>
  <c r="BG133" i="6"/>
  <c r="BF133" i="6"/>
  <c r="T133" i="6"/>
  <c r="R133" i="6"/>
  <c r="P133" i="6"/>
  <c r="BK133" i="6"/>
  <c r="J133" i="6"/>
  <c r="BE133" i="6" s="1"/>
  <c r="BI132" i="6"/>
  <c r="BH132" i="6"/>
  <c r="BG132" i="6"/>
  <c r="BF132" i="6"/>
  <c r="T132" i="6"/>
  <c r="R132" i="6"/>
  <c r="P132" i="6"/>
  <c r="BK132" i="6"/>
  <c r="J132" i="6"/>
  <c r="BE132" i="6" s="1"/>
  <c r="BI131" i="6"/>
  <c r="BH131" i="6"/>
  <c r="BG131" i="6"/>
  <c r="BF131" i="6"/>
  <c r="T131" i="6"/>
  <c r="R131" i="6"/>
  <c r="P131" i="6"/>
  <c r="BK131" i="6"/>
  <c r="J131" i="6"/>
  <c r="BE131" i="6" s="1"/>
  <c r="BI130" i="6"/>
  <c r="BH130" i="6"/>
  <c r="BG130" i="6"/>
  <c r="BF130" i="6"/>
  <c r="T130" i="6"/>
  <c r="R130" i="6"/>
  <c r="P130" i="6"/>
  <c r="BK130" i="6"/>
  <c r="J130" i="6"/>
  <c r="BE130" i="6" s="1"/>
  <c r="BI129" i="6"/>
  <c r="BH129" i="6"/>
  <c r="BG129" i="6"/>
  <c r="BF129" i="6"/>
  <c r="T129" i="6"/>
  <c r="R129" i="6"/>
  <c r="P129" i="6"/>
  <c r="BK129" i="6"/>
  <c r="J129" i="6"/>
  <c r="BE129" i="6" s="1"/>
  <c r="BI128" i="6"/>
  <c r="BH128" i="6"/>
  <c r="BG128" i="6"/>
  <c r="BF128" i="6"/>
  <c r="T128" i="6"/>
  <c r="R128" i="6"/>
  <c r="P128" i="6"/>
  <c r="BK128" i="6"/>
  <c r="J128" i="6"/>
  <c r="BE128" i="6" s="1"/>
  <c r="BI127" i="6"/>
  <c r="BH127" i="6"/>
  <c r="BG127" i="6"/>
  <c r="BF127" i="6"/>
  <c r="T127" i="6"/>
  <c r="R127" i="6"/>
  <c r="P127" i="6"/>
  <c r="BK127" i="6"/>
  <c r="J127" i="6"/>
  <c r="BE127" i="6" s="1"/>
  <c r="BI126" i="6"/>
  <c r="BH126" i="6"/>
  <c r="BG126" i="6"/>
  <c r="BF126" i="6"/>
  <c r="T126" i="6"/>
  <c r="R126" i="6"/>
  <c r="P126" i="6"/>
  <c r="BK126" i="6"/>
  <c r="J126" i="6"/>
  <c r="BE126" i="6" s="1"/>
  <c r="BI125" i="6"/>
  <c r="BH125" i="6"/>
  <c r="BG125" i="6"/>
  <c r="BF125" i="6"/>
  <c r="T125" i="6"/>
  <c r="R125" i="6"/>
  <c r="P125" i="6"/>
  <c r="BK125" i="6"/>
  <c r="J125" i="6"/>
  <c r="BE125" i="6" s="1"/>
  <c r="BI122" i="6"/>
  <c r="BH122" i="6"/>
  <c r="BG122" i="6"/>
  <c r="BF122" i="6"/>
  <c r="T122" i="6"/>
  <c r="R122" i="6"/>
  <c r="P122" i="6"/>
  <c r="BK122" i="6"/>
  <c r="J122" i="6"/>
  <c r="BE122" i="6" s="1"/>
  <c r="BI121" i="6"/>
  <c r="BH121" i="6"/>
  <c r="BG121" i="6"/>
  <c r="BF121" i="6"/>
  <c r="T121" i="6"/>
  <c r="R121" i="6"/>
  <c r="P121" i="6"/>
  <c r="BK121" i="6"/>
  <c r="J121" i="6"/>
  <c r="BE121" i="6" s="1"/>
  <c r="BI120" i="6"/>
  <c r="BH120" i="6"/>
  <c r="BG120" i="6"/>
  <c r="BF120" i="6"/>
  <c r="T120" i="6"/>
  <c r="R120" i="6"/>
  <c r="P120" i="6"/>
  <c r="BK120" i="6"/>
  <c r="J120" i="6"/>
  <c r="BE120" i="6" s="1"/>
  <c r="BI119" i="6"/>
  <c r="BH119" i="6"/>
  <c r="BG119" i="6"/>
  <c r="BF119" i="6"/>
  <c r="T119" i="6"/>
  <c r="R119" i="6"/>
  <c r="P119" i="6"/>
  <c r="BK119" i="6"/>
  <c r="J119" i="6"/>
  <c r="BE119" i="6" s="1"/>
  <c r="F111" i="6"/>
  <c r="F89" i="6"/>
  <c r="J24" i="6"/>
  <c r="E24" i="6"/>
  <c r="J92" i="6" s="1"/>
  <c r="J23" i="6"/>
  <c r="J18" i="6"/>
  <c r="J89" i="6"/>
  <c r="J37" i="5"/>
  <c r="J36" i="5"/>
  <c r="AY98" i="1" s="1"/>
  <c r="J35" i="5"/>
  <c r="AX98" i="1" s="1"/>
  <c r="BI367" i="5"/>
  <c r="BH367" i="5"/>
  <c r="BG367" i="5"/>
  <c r="BE367" i="5"/>
  <c r="T367" i="5"/>
  <c r="R367" i="5"/>
  <c r="P367" i="5"/>
  <c r="BK367" i="5"/>
  <c r="J367" i="5"/>
  <c r="BF367" i="5" s="1"/>
  <c r="BI366" i="5"/>
  <c r="BH366" i="5"/>
  <c r="BG366" i="5"/>
  <c r="BE366" i="5"/>
  <c r="T366" i="5"/>
  <c r="R366" i="5"/>
  <c r="P366" i="5"/>
  <c r="BK366" i="5"/>
  <c r="J366" i="5"/>
  <c r="BF366" i="5" s="1"/>
  <c r="BI333" i="5"/>
  <c r="BH333" i="5"/>
  <c r="BG333" i="5"/>
  <c r="BE333" i="5"/>
  <c r="T333" i="5"/>
  <c r="R333" i="5"/>
  <c r="P333" i="5"/>
  <c r="BK333" i="5"/>
  <c r="J333" i="5"/>
  <c r="BF333" i="5" s="1"/>
  <c r="BI332" i="5"/>
  <c r="BH332" i="5"/>
  <c r="BG332" i="5"/>
  <c r="BE332" i="5"/>
  <c r="T332" i="5"/>
  <c r="R332" i="5"/>
  <c r="P332" i="5"/>
  <c r="BK332" i="5"/>
  <c r="J332" i="5"/>
  <c r="BF332" i="5" s="1"/>
  <c r="BI331" i="5"/>
  <c r="BH331" i="5"/>
  <c r="BG331" i="5"/>
  <c r="BE331" i="5"/>
  <c r="T331" i="5"/>
  <c r="R331" i="5"/>
  <c r="P331" i="5"/>
  <c r="BK331" i="5"/>
  <c r="J331" i="5"/>
  <c r="BF331" i="5" s="1"/>
  <c r="BI329" i="5"/>
  <c r="BH329" i="5"/>
  <c r="BG329" i="5"/>
  <c r="BE329" i="5"/>
  <c r="T329" i="5"/>
  <c r="R329" i="5"/>
  <c r="P329" i="5"/>
  <c r="BK329" i="5"/>
  <c r="J329" i="5"/>
  <c r="BF329" i="5" s="1"/>
  <c r="BI314" i="5"/>
  <c r="BH314" i="5"/>
  <c r="BG314" i="5"/>
  <c r="BE314" i="5"/>
  <c r="T314" i="5"/>
  <c r="R314" i="5"/>
  <c r="P314" i="5"/>
  <c r="BK314" i="5"/>
  <c r="J314" i="5"/>
  <c r="BF314" i="5" s="1"/>
  <c r="BI309" i="5"/>
  <c r="BH309" i="5"/>
  <c r="BG309" i="5"/>
  <c r="BE309" i="5"/>
  <c r="T309" i="5"/>
  <c r="R309" i="5"/>
  <c r="P309" i="5"/>
  <c r="BK309" i="5"/>
  <c r="J309" i="5"/>
  <c r="BF309" i="5" s="1"/>
  <c r="BI308" i="5"/>
  <c r="BH308" i="5"/>
  <c r="BG308" i="5"/>
  <c r="BE308" i="5"/>
  <c r="T308" i="5"/>
  <c r="R308" i="5"/>
  <c r="P308" i="5"/>
  <c r="BK308" i="5"/>
  <c r="J308" i="5"/>
  <c r="BF308" i="5" s="1"/>
  <c r="BI307" i="5"/>
  <c r="BH307" i="5"/>
  <c r="BG307" i="5"/>
  <c r="BE307" i="5"/>
  <c r="T307" i="5"/>
  <c r="R307" i="5"/>
  <c r="P307" i="5"/>
  <c r="BK307" i="5"/>
  <c r="J307" i="5"/>
  <c r="BF307" i="5" s="1"/>
  <c r="BI306" i="5"/>
  <c r="BH306" i="5"/>
  <c r="BG306" i="5"/>
  <c r="BE306" i="5"/>
  <c r="T306" i="5"/>
  <c r="R306" i="5"/>
  <c r="P306" i="5"/>
  <c r="BK306" i="5"/>
  <c r="J306" i="5"/>
  <c r="BF306" i="5" s="1"/>
  <c r="BI301" i="5"/>
  <c r="BH301" i="5"/>
  <c r="BG301" i="5"/>
  <c r="BE301" i="5"/>
  <c r="T301" i="5"/>
  <c r="R301" i="5"/>
  <c r="P301" i="5"/>
  <c r="BK301" i="5"/>
  <c r="J301" i="5"/>
  <c r="BF301" i="5" s="1"/>
  <c r="BI300" i="5"/>
  <c r="BH300" i="5"/>
  <c r="BG300" i="5"/>
  <c r="BE300" i="5"/>
  <c r="T300" i="5"/>
  <c r="R300" i="5"/>
  <c r="P300" i="5"/>
  <c r="BK300" i="5"/>
  <c r="J300" i="5"/>
  <c r="BF300" i="5" s="1"/>
  <c r="BI233" i="5"/>
  <c r="BH233" i="5"/>
  <c r="BG233" i="5"/>
  <c r="BE233" i="5"/>
  <c r="T233" i="5"/>
  <c r="R233" i="5"/>
  <c r="P233" i="5"/>
  <c r="BK233" i="5"/>
  <c r="J233" i="5"/>
  <c r="BF233" i="5" s="1"/>
  <c r="BI223" i="5"/>
  <c r="BH223" i="5"/>
  <c r="BG223" i="5"/>
  <c r="BE223" i="5"/>
  <c r="T223" i="5"/>
  <c r="R223" i="5"/>
  <c r="P223" i="5"/>
  <c r="BK223" i="5"/>
  <c r="J223" i="5"/>
  <c r="BF223" i="5" s="1"/>
  <c r="BI222" i="5"/>
  <c r="BH222" i="5"/>
  <c r="BG222" i="5"/>
  <c r="BE222" i="5"/>
  <c r="T222" i="5"/>
  <c r="R222" i="5"/>
  <c r="P222" i="5"/>
  <c r="BK222" i="5"/>
  <c r="J222" i="5"/>
  <c r="BF222" i="5" s="1"/>
  <c r="BI221" i="5"/>
  <c r="BH221" i="5"/>
  <c r="BG221" i="5"/>
  <c r="BE221" i="5"/>
  <c r="T221" i="5"/>
  <c r="R221" i="5"/>
  <c r="P221" i="5"/>
  <c r="BK221" i="5"/>
  <c r="J221" i="5"/>
  <c r="BF221" i="5" s="1"/>
  <c r="BI217" i="5"/>
  <c r="BH217" i="5"/>
  <c r="BG217" i="5"/>
  <c r="BE217" i="5"/>
  <c r="T217" i="5"/>
  <c r="R217" i="5"/>
  <c r="P217" i="5"/>
  <c r="BK217" i="5"/>
  <c r="J217" i="5"/>
  <c r="BF217" i="5" s="1"/>
  <c r="BI216" i="5"/>
  <c r="BH216" i="5"/>
  <c r="BG216" i="5"/>
  <c r="BE216" i="5"/>
  <c r="T216" i="5"/>
  <c r="R216" i="5"/>
  <c r="P216" i="5"/>
  <c r="BK216" i="5"/>
  <c r="J216" i="5"/>
  <c r="BF216" i="5" s="1"/>
  <c r="BI215" i="5"/>
  <c r="BH215" i="5"/>
  <c r="BG215" i="5"/>
  <c r="BE215" i="5"/>
  <c r="T215" i="5"/>
  <c r="R215" i="5"/>
  <c r="P215" i="5"/>
  <c r="BK215" i="5"/>
  <c r="J215" i="5"/>
  <c r="BF215" i="5" s="1"/>
  <c r="BI210" i="5"/>
  <c r="BH210" i="5"/>
  <c r="BG210" i="5"/>
  <c r="BE210" i="5"/>
  <c r="T210" i="5"/>
  <c r="R210" i="5"/>
  <c r="P210" i="5"/>
  <c r="BK210" i="5"/>
  <c r="J210" i="5"/>
  <c r="BF210" i="5" s="1"/>
  <c r="BI204" i="5"/>
  <c r="BH204" i="5"/>
  <c r="BG204" i="5"/>
  <c r="BE204" i="5"/>
  <c r="T204" i="5"/>
  <c r="R204" i="5"/>
  <c r="P204" i="5"/>
  <c r="BK204" i="5"/>
  <c r="J204" i="5"/>
  <c r="BF204" i="5" s="1"/>
  <c r="BI202" i="5"/>
  <c r="BH202" i="5"/>
  <c r="BG202" i="5"/>
  <c r="BE202" i="5"/>
  <c r="T202" i="5"/>
  <c r="R202" i="5"/>
  <c r="P202" i="5"/>
  <c r="BK202" i="5"/>
  <c r="J202" i="5"/>
  <c r="BF202" i="5" s="1"/>
  <c r="BI201" i="5"/>
  <c r="BH201" i="5"/>
  <c r="BG201" i="5"/>
  <c r="BE201" i="5"/>
  <c r="T201" i="5"/>
  <c r="R201" i="5"/>
  <c r="P201" i="5"/>
  <c r="BK201" i="5"/>
  <c r="J201" i="5"/>
  <c r="BF201" i="5" s="1"/>
  <c r="BI198" i="5"/>
  <c r="BH198" i="5"/>
  <c r="BG198" i="5"/>
  <c r="BE198" i="5"/>
  <c r="T198" i="5"/>
  <c r="R198" i="5"/>
  <c r="P198" i="5"/>
  <c r="BK198" i="5"/>
  <c r="J198" i="5"/>
  <c r="BF198" i="5" s="1"/>
  <c r="BI197" i="5"/>
  <c r="BH197" i="5"/>
  <c r="BG197" i="5"/>
  <c r="BE197" i="5"/>
  <c r="T197" i="5"/>
  <c r="R197" i="5"/>
  <c r="P197" i="5"/>
  <c r="BK197" i="5"/>
  <c r="J197" i="5"/>
  <c r="BF197" i="5" s="1"/>
  <c r="BI195" i="5"/>
  <c r="BH195" i="5"/>
  <c r="BG195" i="5"/>
  <c r="BE195" i="5"/>
  <c r="T195" i="5"/>
  <c r="R195" i="5"/>
  <c r="P195" i="5"/>
  <c r="BK195" i="5"/>
  <c r="J195" i="5"/>
  <c r="BF195" i="5" s="1"/>
  <c r="BI194" i="5"/>
  <c r="BH194" i="5"/>
  <c r="BG194" i="5"/>
  <c r="BE194" i="5"/>
  <c r="T194" i="5"/>
  <c r="R194" i="5"/>
  <c r="P194" i="5"/>
  <c r="BK194" i="5"/>
  <c r="J194" i="5"/>
  <c r="BF194" i="5" s="1"/>
  <c r="BI191" i="5"/>
  <c r="BH191" i="5"/>
  <c r="BG191" i="5"/>
  <c r="BE191" i="5"/>
  <c r="T191" i="5"/>
  <c r="R191" i="5"/>
  <c r="P191" i="5"/>
  <c r="BK191" i="5"/>
  <c r="J191" i="5"/>
  <c r="BF191" i="5" s="1"/>
  <c r="BI179" i="5"/>
  <c r="BH179" i="5"/>
  <c r="BG179" i="5"/>
  <c r="BE179" i="5"/>
  <c r="T179" i="5"/>
  <c r="R179" i="5"/>
  <c r="P179" i="5"/>
  <c r="BK179" i="5"/>
  <c r="J179" i="5"/>
  <c r="BF179" i="5" s="1"/>
  <c r="BI178" i="5"/>
  <c r="BH178" i="5"/>
  <c r="BG178" i="5"/>
  <c r="BE178" i="5"/>
  <c r="T178" i="5"/>
  <c r="R178" i="5"/>
  <c r="P178" i="5"/>
  <c r="BK178" i="5"/>
  <c r="J178" i="5"/>
  <c r="BF178" i="5" s="1"/>
  <c r="BI176" i="5"/>
  <c r="BH176" i="5"/>
  <c r="BG176" i="5"/>
  <c r="BE176" i="5"/>
  <c r="T176" i="5"/>
  <c r="R176" i="5"/>
  <c r="P176" i="5"/>
  <c r="BK176" i="5"/>
  <c r="J176" i="5"/>
  <c r="BF176" i="5" s="1"/>
  <c r="BI175" i="5"/>
  <c r="BH175" i="5"/>
  <c r="BG175" i="5"/>
  <c r="BE175" i="5"/>
  <c r="T175" i="5"/>
  <c r="R175" i="5"/>
  <c r="P175" i="5"/>
  <c r="BK175" i="5"/>
  <c r="J175" i="5"/>
  <c r="BF175" i="5" s="1"/>
  <c r="BI174" i="5"/>
  <c r="BH174" i="5"/>
  <c r="BG174" i="5"/>
  <c r="BE174" i="5"/>
  <c r="T174" i="5"/>
  <c r="R174" i="5"/>
  <c r="P174" i="5"/>
  <c r="BK174" i="5"/>
  <c r="J174" i="5"/>
  <c r="BF174" i="5" s="1"/>
  <c r="BI169" i="5"/>
  <c r="BH169" i="5"/>
  <c r="BG169" i="5"/>
  <c r="BE169" i="5"/>
  <c r="T169" i="5"/>
  <c r="R169" i="5"/>
  <c r="P169" i="5"/>
  <c r="BK169" i="5"/>
  <c r="J169" i="5"/>
  <c r="BF169" i="5" s="1"/>
  <c r="BI168" i="5"/>
  <c r="BH168" i="5"/>
  <c r="BG168" i="5"/>
  <c r="BE168" i="5"/>
  <c r="T168" i="5"/>
  <c r="R168" i="5"/>
  <c r="P168" i="5"/>
  <c r="BK168" i="5"/>
  <c r="J168" i="5"/>
  <c r="BF168" i="5" s="1"/>
  <c r="BI163" i="5"/>
  <c r="BH163" i="5"/>
  <c r="BG163" i="5"/>
  <c r="BE163" i="5"/>
  <c r="T163" i="5"/>
  <c r="R163" i="5"/>
  <c r="P163" i="5"/>
  <c r="BK163" i="5"/>
  <c r="J163" i="5"/>
  <c r="BF163" i="5" s="1"/>
  <c r="BI162" i="5"/>
  <c r="BH162" i="5"/>
  <c r="BG162" i="5"/>
  <c r="BE162" i="5"/>
  <c r="T162" i="5"/>
  <c r="R162" i="5"/>
  <c r="P162" i="5"/>
  <c r="BK162" i="5"/>
  <c r="J162" i="5"/>
  <c r="BF162" i="5" s="1"/>
  <c r="BI161" i="5"/>
  <c r="BH161" i="5"/>
  <c r="BG161" i="5"/>
  <c r="BE161" i="5"/>
  <c r="T161" i="5"/>
  <c r="R161" i="5"/>
  <c r="P161" i="5"/>
  <c r="BK161" i="5"/>
  <c r="J161" i="5"/>
  <c r="BF161" i="5" s="1"/>
  <c r="BI160" i="5"/>
  <c r="BH160" i="5"/>
  <c r="BG160" i="5"/>
  <c r="BE160" i="5"/>
  <c r="T160" i="5"/>
  <c r="R160" i="5"/>
  <c r="P160" i="5"/>
  <c r="BK160" i="5"/>
  <c r="J160" i="5"/>
  <c r="BF160" i="5" s="1"/>
  <c r="BI157" i="5"/>
  <c r="BH157" i="5"/>
  <c r="BG157" i="5"/>
  <c r="BE157" i="5"/>
  <c r="T157" i="5"/>
  <c r="R157" i="5"/>
  <c r="P157" i="5"/>
  <c r="BK157" i="5"/>
  <c r="J157" i="5"/>
  <c r="BF157" i="5" s="1"/>
  <c r="BI156" i="5"/>
  <c r="BH156" i="5"/>
  <c r="BG156" i="5"/>
  <c r="BE156" i="5"/>
  <c r="T156" i="5"/>
  <c r="R156" i="5"/>
  <c r="P156" i="5"/>
  <c r="BK156" i="5"/>
  <c r="J156" i="5"/>
  <c r="BF156" i="5" s="1"/>
  <c r="BI155" i="5"/>
  <c r="BH155" i="5"/>
  <c r="BG155" i="5"/>
  <c r="BE155" i="5"/>
  <c r="T155" i="5"/>
  <c r="R155" i="5"/>
  <c r="P155" i="5"/>
  <c r="BK155" i="5"/>
  <c r="J155" i="5"/>
  <c r="BF155" i="5" s="1"/>
  <c r="F147" i="5"/>
  <c r="F89" i="5"/>
  <c r="J24" i="5"/>
  <c r="E24" i="5"/>
  <c r="J150" i="5" s="1"/>
  <c r="J23" i="5"/>
  <c r="J21" i="5"/>
  <c r="E21" i="5"/>
  <c r="J91" i="5" s="1"/>
  <c r="J20" i="5"/>
  <c r="J18" i="5"/>
  <c r="J15" i="5"/>
  <c r="E15" i="5"/>
  <c r="J14" i="5"/>
  <c r="J37" i="4"/>
  <c r="J36" i="4"/>
  <c r="AY97" i="1" s="1"/>
  <c r="J35" i="4"/>
  <c r="AX97" i="1"/>
  <c r="BI167" i="4"/>
  <c r="BH167" i="4"/>
  <c r="BG167" i="4"/>
  <c r="BE167" i="4"/>
  <c r="T167" i="4"/>
  <c r="R167" i="4"/>
  <c r="P167" i="4"/>
  <c r="BK167" i="4"/>
  <c r="J167" i="4"/>
  <c r="BF167" i="4" s="1"/>
  <c r="BI166" i="4"/>
  <c r="BH166" i="4"/>
  <c r="BG166" i="4"/>
  <c r="BE166" i="4"/>
  <c r="T166" i="4"/>
  <c r="R166" i="4"/>
  <c r="P166" i="4"/>
  <c r="BK166" i="4"/>
  <c r="J166" i="4"/>
  <c r="BF166" i="4" s="1"/>
  <c r="BI165" i="4"/>
  <c r="BH165" i="4"/>
  <c r="BG165" i="4"/>
  <c r="BE165" i="4"/>
  <c r="T165" i="4"/>
  <c r="R165" i="4"/>
  <c r="P165" i="4"/>
  <c r="BK165" i="4"/>
  <c r="J165" i="4"/>
  <c r="BF165" i="4" s="1"/>
  <c r="BI164" i="4"/>
  <c r="BH164" i="4"/>
  <c r="BG164" i="4"/>
  <c r="BE164" i="4"/>
  <c r="T164" i="4"/>
  <c r="R164" i="4"/>
  <c r="P164" i="4"/>
  <c r="BK164" i="4"/>
  <c r="J164" i="4"/>
  <c r="BF164" i="4" s="1"/>
  <c r="BI163" i="4"/>
  <c r="BH163" i="4"/>
  <c r="BG163" i="4"/>
  <c r="BE163" i="4"/>
  <c r="T163" i="4"/>
  <c r="R163" i="4"/>
  <c r="P163" i="4"/>
  <c r="BK163" i="4"/>
  <c r="J163" i="4"/>
  <c r="BF163" i="4"/>
  <c r="BI162" i="4"/>
  <c r="BH162" i="4"/>
  <c r="BG162" i="4"/>
  <c r="BE162" i="4"/>
  <c r="T162" i="4"/>
  <c r="R162" i="4"/>
  <c r="P162" i="4"/>
  <c r="BK162" i="4"/>
  <c r="J162" i="4"/>
  <c r="BF162" i="4" s="1"/>
  <c r="BI161" i="4"/>
  <c r="BH161" i="4"/>
  <c r="BG161" i="4"/>
  <c r="BE161" i="4"/>
  <c r="T161" i="4"/>
  <c r="R161" i="4"/>
  <c r="P161" i="4"/>
  <c r="BK161" i="4"/>
  <c r="J161" i="4"/>
  <c r="BF161" i="4" s="1"/>
  <c r="BI160" i="4"/>
  <c r="BH160" i="4"/>
  <c r="BG160" i="4"/>
  <c r="BE160" i="4"/>
  <c r="T160" i="4"/>
  <c r="R160" i="4"/>
  <c r="P160" i="4"/>
  <c r="BK160" i="4"/>
  <c r="J160" i="4"/>
  <c r="BF160" i="4" s="1"/>
  <c r="BI159" i="4"/>
  <c r="BH159" i="4"/>
  <c r="BG159" i="4"/>
  <c r="BE159" i="4"/>
  <c r="T159" i="4"/>
  <c r="R159" i="4"/>
  <c r="P159" i="4"/>
  <c r="BK159" i="4"/>
  <c r="J159" i="4"/>
  <c r="BF159" i="4" s="1"/>
  <c r="BI158" i="4"/>
  <c r="BH158" i="4"/>
  <c r="BG158" i="4"/>
  <c r="BE158" i="4"/>
  <c r="T158" i="4"/>
  <c r="R158" i="4"/>
  <c r="P158" i="4"/>
  <c r="BK158" i="4"/>
  <c r="J158" i="4"/>
  <c r="BF158" i="4" s="1"/>
  <c r="BI157" i="4"/>
  <c r="BH157" i="4"/>
  <c r="BG157" i="4"/>
  <c r="BE157" i="4"/>
  <c r="T157" i="4"/>
  <c r="R157" i="4"/>
  <c r="P157" i="4"/>
  <c r="BK157" i="4"/>
  <c r="J157" i="4"/>
  <c r="BF157" i="4" s="1"/>
  <c r="BI155" i="4"/>
  <c r="BH155" i="4"/>
  <c r="BG155" i="4"/>
  <c r="BE155" i="4"/>
  <c r="T155" i="4"/>
  <c r="R155" i="4"/>
  <c r="P155" i="4"/>
  <c r="BK155" i="4"/>
  <c r="J155" i="4"/>
  <c r="BF155" i="4" s="1"/>
  <c r="BI154" i="4"/>
  <c r="BH154" i="4"/>
  <c r="BG154" i="4"/>
  <c r="BE154" i="4"/>
  <c r="T154" i="4"/>
  <c r="R154" i="4"/>
  <c r="P154" i="4"/>
  <c r="BK154" i="4"/>
  <c r="J154" i="4"/>
  <c r="BF154" i="4" s="1"/>
  <c r="BI153" i="4"/>
  <c r="BH153" i="4"/>
  <c r="BG153" i="4"/>
  <c r="BE153" i="4"/>
  <c r="T153" i="4"/>
  <c r="R153" i="4"/>
  <c r="P153" i="4"/>
  <c r="BK153" i="4"/>
  <c r="J153" i="4"/>
  <c r="BF153" i="4" s="1"/>
  <c r="BI152" i="4"/>
  <c r="BH152" i="4"/>
  <c r="BG152" i="4"/>
  <c r="BE152" i="4"/>
  <c r="T152" i="4"/>
  <c r="R152" i="4"/>
  <c r="P152" i="4"/>
  <c r="BK152" i="4"/>
  <c r="J152" i="4"/>
  <c r="BF152" i="4" s="1"/>
  <c r="BI151" i="4"/>
  <c r="BH151" i="4"/>
  <c r="BG151" i="4"/>
  <c r="BE151" i="4"/>
  <c r="T151" i="4"/>
  <c r="R151" i="4"/>
  <c r="P151" i="4"/>
  <c r="BK151" i="4"/>
  <c r="J151" i="4"/>
  <c r="BF151" i="4" s="1"/>
  <c r="BI150" i="4"/>
  <c r="BH150" i="4"/>
  <c r="BG150" i="4"/>
  <c r="BE150" i="4"/>
  <c r="T150" i="4"/>
  <c r="R150" i="4"/>
  <c r="P150" i="4"/>
  <c r="BK150" i="4"/>
  <c r="J150" i="4"/>
  <c r="BF150" i="4" s="1"/>
  <c r="BI149" i="4"/>
  <c r="BH149" i="4"/>
  <c r="BG149" i="4"/>
  <c r="BE149" i="4"/>
  <c r="T149" i="4"/>
  <c r="R149" i="4"/>
  <c r="P149" i="4"/>
  <c r="BK149" i="4"/>
  <c r="J149" i="4"/>
  <c r="BF149" i="4" s="1"/>
  <c r="BI148" i="4"/>
  <c r="BH148" i="4"/>
  <c r="BG148" i="4"/>
  <c r="BE148" i="4"/>
  <c r="T148" i="4"/>
  <c r="R148" i="4"/>
  <c r="P148" i="4"/>
  <c r="BK148" i="4"/>
  <c r="J148" i="4"/>
  <c r="BF148" i="4" s="1"/>
  <c r="BI146" i="4"/>
  <c r="BH146" i="4"/>
  <c r="BG146" i="4"/>
  <c r="BE146" i="4"/>
  <c r="T146" i="4"/>
  <c r="R146" i="4"/>
  <c r="P146" i="4"/>
  <c r="BK146" i="4"/>
  <c r="J146" i="4"/>
  <c r="BF146" i="4" s="1"/>
  <c r="BI145" i="4"/>
  <c r="BH145" i="4"/>
  <c r="BG145" i="4"/>
  <c r="BE145" i="4"/>
  <c r="T145" i="4"/>
  <c r="R145" i="4"/>
  <c r="P145" i="4"/>
  <c r="BK145" i="4"/>
  <c r="J145" i="4"/>
  <c r="BI143" i="4"/>
  <c r="BH143" i="4"/>
  <c r="BG143" i="4"/>
  <c r="BE143" i="4"/>
  <c r="T143" i="4"/>
  <c r="R143" i="4"/>
  <c r="P143" i="4"/>
  <c r="BK143" i="4"/>
  <c r="J143" i="4"/>
  <c r="BF143" i="4" s="1"/>
  <c r="BI142" i="4"/>
  <c r="BH142" i="4"/>
  <c r="BG142" i="4"/>
  <c r="BE142" i="4"/>
  <c r="T142" i="4"/>
  <c r="R142" i="4"/>
  <c r="P142" i="4"/>
  <c r="BK142" i="4"/>
  <c r="J142" i="4"/>
  <c r="BF142" i="4" s="1"/>
  <c r="BI140" i="4"/>
  <c r="BH140" i="4"/>
  <c r="BG140" i="4"/>
  <c r="BE140" i="4"/>
  <c r="T140" i="4"/>
  <c r="T139" i="4" s="1"/>
  <c r="R140" i="4"/>
  <c r="R139" i="4" s="1"/>
  <c r="P140" i="4"/>
  <c r="P139" i="4" s="1"/>
  <c r="BK140" i="4"/>
  <c r="BK139" i="4" s="1"/>
  <c r="J139" i="4" s="1"/>
  <c r="J101" i="4" s="1"/>
  <c r="J140" i="4"/>
  <c r="BF140" i="4" s="1"/>
  <c r="BI138" i="4"/>
  <c r="BH138" i="4"/>
  <c r="BG138" i="4"/>
  <c r="BE138" i="4"/>
  <c r="T138" i="4"/>
  <c r="R138" i="4"/>
  <c r="P138" i="4"/>
  <c r="BK138" i="4"/>
  <c r="J138" i="4"/>
  <c r="BF138" i="4" s="1"/>
  <c r="BI137" i="4"/>
  <c r="BH137" i="4"/>
  <c r="BG137" i="4"/>
  <c r="BE137" i="4"/>
  <c r="T137" i="4"/>
  <c r="R137" i="4"/>
  <c r="P137" i="4"/>
  <c r="BK137" i="4"/>
  <c r="J137" i="4"/>
  <c r="BF137" i="4" s="1"/>
  <c r="BI136" i="4"/>
  <c r="BH136" i="4"/>
  <c r="BG136" i="4"/>
  <c r="BE136" i="4"/>
  <c r="T136" i="4"/>
  <c r="R136" i="4"/>
  <c r="P136" i="4"/>
  <c r="BK136" i="4"/>
  <c r="J136" i="4"/>
  <c r="BF136" i="4" s="1"/>
  <c r="BI135" i="4"/>
  <c r="BH135" i="4"/>
  <c r="BG135" i="4"/>
  <c r="BE135" i="4"/>
  <c r="T135" i="4"/>
  <c r="R135" i="4"/>
  <c r="P135" i="4"/>
  <c r="BK135" i="4"/>
  <c r="J135" i="4"/>
  <c r="BF135" i="4" s="1"/>
  <c r="BI134" i="4"/>
  <c r="BH134" i="4"/>
  <c r="BG134" i="4"/>
  <c r="BE134" i="4"/>
  <c r="T134" i="4"/>
  <c r="R134" i="4"/>
  <c r="P134" i="4"/>
  <c r="BK134" i="4"/>
  <c r="J134" i="4"/>
  <c r="BF134" i="4" s="1"/>
  <c r="BI131" i="4"/>
  <c r="BH131" i="4"/>
  <c r="BG131" i="4"/>
  <c r="BE131" i="4"/>
  <c r="T131" i="4"/>
  <c r="R131" i="4"/>
  <c r="P131" i="4"/>
  <c r="BK131" i="4"/>
  <c r="J131" i="4"/>
  <c r="BF131" i="4" s="1"/>
  <c r="BI130" i="4"/>
  <c r="BH130" i="4"/>
  <c r="BG130" i="4"/>
  <c r="BE130" i="4"/>
  <c r="T130" i="4"/>
  <c r="R130" i="4"/>
  <c r="P130" i="4"/>
  <c r="BK130" i="4"/>
  <c r="J130" i="4"/>
  <c r="BF130" i="4" s="1"/>
  <c r="BI129" i="4"/>
  <c r="BH129" i="4"/>
  <c r="BG129" i="4"/>
  <c r="BE129" i="4"/>
  <c r="T129" i="4"/>
  <c r="R129" i="4"/>
  <c r="P129" i="4"/>
  <c r="BK129" i="4"/>
  <c r="J129" i="4"/>
  <c r="BF129" i="4" s="1"/>
  <c r="F120" i="4"/>
  <c r="F89" i="4"/>
  <c r="J24" i="4"/>
  <c r="E24" i="4"/>
  <c r="J123" i="4" s="1"/>
  <c r="J23" i="4"/>
  <c r="J21" i="4"/>
  <c r="E21" i="4"/>
  <c r="J91" i="4" s="1"/>
  <c r="J20" i="4"/>
  <c r="J18" i="4"/>
  <c r="J15" i="4"/>
  <c r="E15" i="4"/>
  <c r="J14" i="4"/>
  <c r="J120" i="4"/>
  <c r="J37" i="3"/>
  <c r="J36" i="3"/>
  <c r="AY96" i="1" s="1"/>
  <c r="J35" i="3"/>
  <c r="AX96" i="1"/>
  <c r="BI255" i="3"/>
  <c r="BH255" i="3"/>
  <c r="BG255" i="3"/>
  <c r="BE255" i="3"/>
  <c r="T255" i="3"/>
  <c r="R255" i="3"/>
  <c r="P255" i="3"/>
  <c r="BK255" i="3"/>
  <c r="J255" i="3"/>
  <c r="BF255" i="3" s="1"/>
  <c r="BI254" i="3"/>
  <c r="BH254" i="3"/>
  <c r="BG254" i="3"/>
  <c r="BE254" i="3"/>
  <c r="T254" i="3"/>
  <c r="R254" i="3"/>
  <c r="P254" i="3"/>
  <c r="P253" i="3" s="1"/>
  <c r="BK254" i="3"/>
  <c r="J254" i="3"/>
  <c r="BF254" i="3" s="1"/>
  <c r="BI252" i="3"/>
  <c r="BH252" i="3"/>
  <c r="BG252" i="3"/>
  <c r="BE252" i="3"/>
  <c r="T252" i="3"/>
  <c r="R252" i="3"/>
  <c r="P252" i="3"/>
  <c r="BK252" i="3"/>
  <c r="J252" i="3"/>
  <c r="BF252" i="3" s="1"/>
  <c r="BI251" i="3"/>
  <c r="BH251" i="3"/>
  <c r="BG251" i="3"/>
  <c r="BE251" i="3"/>
  <c r="T251" i="3"/>
  <c r="R251" i="3"/>
  <c r="P251" i="3"/>
  <c r="BK251" i="3"/>
  <c r="J251" i="3"/>
  <c r="BF251" i="3" s="1"/>
  <c r="BI250" i="3"/>
  <c r="BH250" i="3"/>
  <c r="BG250" i="3"/>
  <c r="BE250" i="3"/>
  <c r="T250" i="3"/>
  <c r="R250" i="3"/>
  <c r="P250" i="3"/>
  <c r="BK250" i="3"/>
  <c r="J250" i="3"/>
  <c r="BF250" i="3" s="1"/>
  <c r="BI249" i="3"/>
  <c r="BH249" i="3"/>
  <c r="BG249" i="3"/>
  <c r="BE249" i="3"/>
  <c r="T249" i="3"/>
  <c r="R249" i="3"/>
  <c r="P249" i="3"/>
  <c r="BK249" i="3"/>
  <c r="J249" i="3"/>
  <c r="BF249" i="3" s="1"/>
  <c r="BI248" i="3"/>
  <c r="BH248" i="3"/>
  <c r="BG248" i="3"/>
  <c r="BE248" i="3"/>
  <c r="T248" i="3"/>
  <c r="R248" i="3"/>
  <c r="P248" i="3"/>
  <c r="BK248" i="3"/>
  <c r="J248" i="3"/>
  <c r="BF248" i="3" s="1"/>
  <c r="BI247" i="3"/>
  <c r="BH247" i="3"/>
  <c r="BG247" i="3"/>
  <c r="BE247" i="3"/>
  <c r="T247" i="3"/>
  <c r="R247" i="3"/>
  <c r="P247" i="3"/>
  <c r="BK247" i="3"/>
  <c r="J247" i="3"/>
  <c r="BF247" i="3" s="1"/>
  <c r="BI246" i="3"/>
  <c r="BH246" i="3"/>
  <c r="BG246" i="3"/>
  <c r="BE246" i="3"/>
  <c r="T246" i="3"/>
  <c r="R246" i="3"/>
  <c r="P246" i="3"/>
  <c r="BK246" i="3"/>
  <c r="J246" i="3"/>
  <c r="BF246" i="3" s="1"/>
  <c r="BI245" i="3"/>
  <c r="BH245" i="3"/>
  <c r="BG245" i="3"/>
  <c r="BE245" i="3"/>
  <c r="T245" i="3"/>
  <c r="R245" i="3"/>
  <c r="P245" i="3"/>
  <c r="BK245" i="3"/>
  <c r="J245" i="3"/>
  <c r="BF245" i="3" s="1"/>
  <c r="BI244" i="3"/>
  <c r="BH244" i="3"/>
  <c r="BG244" i="3"/>
  <c r="BE244" i="3"/>
  <c r="T244" i="3"/>
  <c r="R244" i="3"/>
  <c r="P244" i="3"/>
  <c r="BK244" i="3"/>
  <c r="J244" i="3"/>
  <c r="BF244" i="3" s="1"/>
  <c r="BI243" i="3"/>
  <c r="BH243" i="3"/>
  <c r="BG243" i="3"/>
  <c r="BE243" i="3"/>
  <c r="T243" i="3"/>
  <c r="R243" i="3"/>
  <c r="P243" i="3"/>
  <c r="BK243" i="3"/>
  <c r="J243" i="3"/>
  <c r="BF243" i="3" s="1"/>
  <c r="BI242" i="3"/>
  <c r="BH242" i="3"/>
  <c r="BG242" i="3"/>
  <c r="BE242" i="3"/>
  <c r="T242" i="3"/>
  <c r="R242" i="3"/>
  <c r="P242" i="3"/>
  <c r="BK242" i="3"/>
  <c r="J242" i="3"/>
  <c r="BF242" i="3" s="1"/>
  <c r="BI241" i="3"/>
  <c r="BH241" i="3"/>
  <c r="BG241" i="3"/>
  <c r="BE241" i="3"/>
  <c r="T241" i="3"/>
  <c r="R241" i="3"/>
  <c r="P241" i="3"/>
  <c r="BK241" i="3"/>
  <c r="J241" i="3"/>
  <c r="BF241" i="3" s="1"/>
  <c r="BI240" i="3"/>
  <c r="BH240" i="3"/>
  <c r="BG240" i="3"/>
  <c r="BE240" i="3"/>
  <c r="T240" i="3"/>
  <c r="R240" i="3"/>
  <c r="P240" i="3"/>
  <c r="BK240" i="3"/>
  <c r="J240" i="3"/>
  <c r="BF240" i="3" s="1"/>
  <c r="BI239" i="3"/>
  <c r="BH239" i="3"/>
  <c r="BG239" i="3"/>
  <c r="BE239" i="3"/>
  <c r="T239" i="3"/>
  <c r="R239" i="3"/>
  <c r="P239" i="3"/>
  <c r="BK239" i="3"/>
  <c r="J239" i="3"/>
  <c r="BF239" i="3" s="1"/>
  <c r="BI238" i="3"/>
  <c r="BH238" i="3"/>
  <c r="BG238" i="3"/>
  <c r="BE238" i="3"/>
  <c r="T238" i="3"/>
  <c r="R238" i="3"/>
  <c r="P238" i="3"/>
  <c r="BK238" i="3"/>
  <c r="J238" i="3"/>
  <c r="BF238" i="3" s="1"/>
  <c r="BI237" i="3"/>
  <c r="BH237" i="3"/>
  <c r="BG237" i="3"/>
  <c r="BE237" i="3"/>
  <c r="T237" i="3"/>
  <c r="R237" i="3"/>
  <c r="P237" i="3"/>
  <c r="BK237" i="3"/>
  <c r="J237" i="3"/>
  <c r="BF237" i="3" s="1"/>
  <c r="BI236" i="3"/>
  <c r="BH236" i="3"/>
  <c r="BG236" i="3"/>
  <c r="BE236" i="3"/>
  <c r="T236" i="3"/>
  <c r="R236" i="3"/>
  <c r="P236" i="3"/>
  <c r="BK236" i="3"/>
  <c r="J236" i="3"/>
  <c r="BF236" i="3" s="1"/>
  <c r="BI235" i="3"/>
  <c r="BH235" i="3"/>
  <c r="BG235" i="3"/>
  <c r="BE235" i="3"/>
  <c r="T235" i="3"/>
  <c r="R235" i="3"/>
  <c r="P235" i="3"/>
  <c r="BK235" i="3"/>
  <c r="J235" i="3"/>
  <c r="BF235" i="3" s="1"/>
  <c r="BI234" i="3"/>
  <c r="BH234" i="3"/>
  <c r="BG234" i="3"/>
  <c r="BE234" i="3"/>
  <c r="T234" i="3"/>
  <c r="R234" i="3"/>
  <c r="P234" i="3"/>
  <c r="BK234" i="3"/>
  <c r="J234" i="3"/>
  <c r="BF234" i="3" s="1"/>
  <c r="BI233" i="3"/>
  <c r="BH233" i="3"/>
  <c r="BG233" i="3"/>
  <c r="BE233" i="3"/>
  <c r="T233" i="3"/>
  <c r="R233" i="3"/>
  <c r="P233" i="3"/>
  <c r="BK233" i="3"/>
  <c r="J233" i="3"/>
  <c r="BF233" i="3" s="1"/>
  <c r="BI232" i="3"/>
  <c r="BH232" i="3"/>
  <c r="BG232" i="3"/>
  <c r="BE232" i="3"/>
  <c r="T232" i="3"/>
  <c r="R232" i="3"/>
  <c r="P232" i="3"/>
  <c r="BK232" i="3"/>
  <c r="J232" i="3"/>
  <c r="BF232" i="3" s="1"/>
  <c r="BI231" i="3"/>
  <c r="BH231" i="3"/>
  <c r="BG231" i="3"/>
  <c r="BE231" i="3"/>
  <c r="T231" i="3"/>
  <c r="R231" i="3"/>
  <c r="P231" i="3"/>
  <c r="BK231" i="3"/>
  <c r="J231" i="3"/>
  <c r="BF231" i="3" s="1"/>
  <c r="BI230" i="3"/>
  <c r="BH230" i="3"/>
  <c r="BG230" i="3"/>
  <c r="BE230" i="3"/>
  <c r="T230" i="3"/>
  <c r="R230" i="3"/>
  <c r="P230" i="3"/>
  <c r="BK230" i="3"/>
  <c r="J230" i="3"/>
  <c r="BF230" i="3" s="1"/>
  <c r="BI229" i="3"/>
  <c r="BH229" i="3"/>
  <c r="BG229" i="3"/>
  <c r="BE229" i="3"/>
  <c r="T229" i="3"/>
  <c r="R229" i="3"/>
  <c r="P229" i="3"/>
  <c r="BK229" i="3"/>
  <c r="J229" i="3"/>
  <c r="BF229" i="3" s="1"/>
  <c r="BI228" i="3"/>
  <c r="BH228" i="3"/>
  <c r="BG228" i="3"/>
  <c r="BE228" i="3"/>
  <c r="T228" i="3"/>
  <c r="R228" i="3"/>
  <c r="P228" i="3"/>
  <c r="BK228" i="3"/>
  <c r="J228" i="3"/>
  <c r="BF228" i="3" s="1"/>
  <c r="BI226" i="3"/>
  <c r="BH226" i="3"/>
  <c r="BG226" i="3"/>
  <c r="BE226" i="3"/>
  <c r="T226" i="3"/>
  <c r="R226" i="3"/>
  <c r="P226" i="3"/>
  <c r="BK226" i="3"/>
  <c r="J226" i="3"/>
  <c r="BF226" i="3" s="1"/>
  <c r="BI220" i="3"/>
  <c r="BH220" i="3"/>
  <c r="BG220" i="3"/>
  <c r="BE220" i="3"/>
  <c r="T220" i="3"/>
  <c r="R220" i="3"/>
  <c r="P220" i="3"/>
  <c r="BK220" i="3"/>
  <c r="J220" i="3"/>
  <c r="BF220" i="3" s="1"/>
  <c r="BI219" i="3"/>
  <c r="BH219" i="3"/>
  <c r="BG219" i="3"/>
  <c r="BE219" i="3"/>
  <c r="T219" i="3"/>
  <c r="R219" i="3"/>
  <c r="P219" i="3"/>
  <c r="BK219" i="3"/>
  <c r="J219" i="3"/>
  <c r="BF219" i="3" s="1"/>
  <c r="BI218" i="3"/>
  <c r="BH218" i="3"/>
  <c r="BG218" i="3"/>
  <c r="BE218" i="3"/>
  <c r="T218" i="3"/>
  <c r="R218" i="3"/>
  <c r="P218" i="3"/>
  <c r="BK218" i="3"/>
  <c r="J218" i="3"/>
  <c r="BF218" i="3" s="1"/>
  <c r="BI212" i="3"/>
  <c r="BH212" i="3"/>
  <c r="BG212" i="3"/>
  <c r="BE212" i="3"/>
  <c r="T212" i="3"/>
  <c r="R212" i="3"/>
  <c r="P212" i="3"/>
  <c r="BK212" i="3"/>
  <c r="J212" i="3"/>
  <c r="BF212" i="3" s="1"/>
  <c r="BI211" i="3"/>
  <c r="BH211" i="3"/>
  <c r="BG211" i="3"/>
  <c r="BE211" i="3"/>
  <c r="T211" i="3"/>
  <c r="R211" i="3"/>
  <c r="P211" i="3"/>
  <c r="BK211" i="3"/>
  <c r="J211" i="3"/>
  <c r="BF211" i="3" s="1"/>
  <c r="BI210" i="3"/>
  <c r="BH210" i="3"/>
  <c r="BG210" i="3"/>
  <c r="BE210" i="3"/>
  <c r="T210" i="3"/>
  <c r="R210" i="3"/>
  <c r="P210" i="3"/>
  <c r="BK210" i="3"/>
  <c r="J210" i="3"/>
  <c r="BF210" i="3" s="1"/>
  <c r="BI209" i="3"/>
  <c r="BH209" i="3"/>
  <c r="BG209" i="3"/>
  <c r="BE209" i="3"/>
  <c r="T209" i="3"/>
  <c r="R209" i="3"/>
  <c r="P209" i="3"/>
  <c r="BK209" i="3"/>
  <c r="J209" i="3"/>
  <c r="BF209" i="3" s="1"/>
  <c r="BI208" i="3"/>
  <c r="BH208" i="3"/>
  <c r="BG208" i="3"/>
  <c r="BE208" i="3"/>
  <c r="T208" i="3"/>
  <c r="R208" i="3"/>
  <c r="P208" i="3"/>
  <c r="BK208" i="3"/>
  <c r="J208" i="3"/>
  <c r="BF208" i="3" s="1"/>
  <c r="BI207" i="3"/>
  <c r="BH207" i="3"/>
  <c r="BG207" i="3"/>
  <c r="BE207" i="3"/>
  <c r="T207" i="3"/>
  <c r="R207" i="3"/>
  <c r="P207" i="3"/>
  <c r="BK207" i="3"/>
  <c r="J207" i="3"/>
  <c r="BF207" i="3" s="1"/>
  <c r="BI206" i="3"/>
  <c r="BH206" i="3"/>
  <c r="BG206" i="3"/>
  <c r="BE206" i="3"/>
  <c r="T206" i="3"/>
  <c r="R206" i="3"/>
  <c r="P206" i="3"/>
  <c r="BK206" i="3"/>
  <c r="J206" i="3"/>
  <c r="BF206" i="3" s="1"/>
  <c r="BI205" i="3"/>
  <c r="BH205" i="3"/>
  <c r="BG205" i="3"/>
  <c r="BE205" i="3"/>
  <c r="T205" i="3"/>
  <c r="R205" i="3"/>
  <c r="P205" i="3"/>
  <c r="BK205" i="3"/>
  <c r="J205" i="3"/>
  <c r="BF205" i="3" s="1"/>
  <c r="BI204" i="3"/>
  <c r="BH204" i="3"/>
  <c r="BG204" i="3"/>
  <c r="BE204" i="3"/>
  <c r="T204" i="3"/>
  <c r="R204" i="3"/>
  <c r="P204" i="3"/>
  <c r="BK204" i="3"/>
  <c r="J204" i="3"/>
  <c r="BF204" i="3" s="1"/>
  <c r="BI203" i="3"/>
  <c r="BH203" i="3"/>
  <c r="BG203" i="3"/>
  <c r="BE203" i="3"/>
  <c r="T203" i="3"/>
  <c r="R203" i="3"/>
  <c r="P203" i="3"/>
  <c r="BK203" i="3"/>
  <c r="J203" i="3"/>
  <c r="BF203" i="3" s="1"/>
  <c r="BI202" i="3"/>
  <c r="BH202" i="3"/>
  <c r="BG202" i="3"/>
  <c r="BE202" i="3"/>
  <c r="T202" i="3"/>
  <c r="R202" i="3"/>
  <c r="P202" i="3"/>
  <c r="BK202" i="3"/>
  <c r="J202" i="3"/>
  <c r="BF202" i="3" s="1"/>
  <c r="BI201" i="3"/>
  <c r="BH201" i="3"/>
  <c r="BG201" i="3"/>
  <c r="BE201" i="3"/>
  <c r="T201" i="3"/>
  <c r="R201" i="3"/>
  <c r="P201" i="3"/>
  <c r="BK201" i="3"/>
  <c r="J201" i="3"/>
  <c r="BF201" i="3" s="1"/>
  <c r="BI200" i="3"/>
  <c r="BH200" i="3"/>
  <c r="BG200" i="3"/>
  <c r="BE200" i="3"/>
  <c r="T200" i="3"/>
  <c r="R200" i="3"/>
  <c r="P200" i="3"/>
  <c r="BK200" i="3"/>
  <c r="J200" i="3"/>
  <c r="BF200" i="3" s="1"/>
  <c r="BI199" i="3"/>
  <c r="BH199" i="3"/>
  <c r="BG199" i="3"/>
  <c r="BE199" i="3"/>
  <c r="T199" i="3"/>
  <c r="R199" i="3"/>
  <c r="P199" i="3"/>
  <c r="BK199" i="3"/>
  <c r="J199" i="3"/>
  <c r="BF199" i="3" s="1"/>
  <c r="BI198" i="3"/>
  <c r="BH198" i="3"/>
  <c r="BG198" i="3"/>
  <c r="BE198" i="3"/>
  <c r="T198" i="3"/>
  <c r="R198" i="3"/>
  <c r="P198" i="3"/>
  <c r="BK198" i="3"/>
  <c r="J198" i="3"/>
  <c r="BF198" i="3" s="1"/>
  <c r="BI197" i="3"/>
  <c r="BH197" i="3"/>
  <c r="BG197" i="3"/>
  <c r="BE197" i="3"/>
  <c r="T197" i="3"/>
  <c r="R197" i="3"/>
  <c r="P197" i="3"/>
  <c r="BK197" i="3"/>
  <c r="J197" i="3"/>
  <c r="BF197" i="3" s="1"/>
  <c r="BI196" i="3"/>
  <c r="BH196" i="3"/>
  <c r="BG196" i="3"/>
  <c r="BE196" i="3"/>
  <c r="T196" i="3"/>
  <c r="R196" i="3"/>
  <c r="P196" i="3"/>
  <c r="BK196" i="3"/>
  <c r="J196" i="3"/>
  <c r="BF196" i="3" s="1"/>
  <c r="BI195" i="3"/>
  <c r="BH195" i="3"/>
  <c r="BG195" i="3"/>
  <c r="BE195" i="3"/>
  <c r="T195" i="3"/>
  <c r="R195" i="3"/>
  <c r="P195" i="3"/>
  <c r="BK195" i="3"/>
  <c r="J195" i="3"/>
  <c r="BF195" i="3" s="1"/>
  <c r="BI194" i="3"/>
  <c r="BH194" i="3"/>
  <c r="BG194" i="3"/>
  <c r="BE194" i="3"/>
  <c r="T194" i="3"/>
  <c r="R194" i="3"/>
  <c r="P194" i="3"/>
  <c r="BK194" i="3"/>
  <c r="J194" i="3"/>
  <c r="BF194" i="3"/>
  <c r="BI193" i="3"/>
  <c r="BH193" i="3"/>
  <c r="BG193" i="3"/>
  <c r="BE193" i="3"/>
  <c r="T193" i="3"/>
  <c r="R193" i="3"/>
  <c r="P193" i="3"/>
  <c r="BK193" i="3"/>
  <c r="J193" i="3"/>
  <c r="BF193" i="3" s="1"/>
  <c r="BI192" i="3"/>
  <c r="BH192" i="3"/>
  <c r="BG192" i="3"/>
  <c r="BE192" i="3"/>
  <c r="T192" i="3"/>
  <c r="R192" i="3"/>
  <c r="P192" i="3"/>
  <c r="BK192" i="3"/>
  <c r="J192" i="3"/>
  <c r="BF192" i="3" s="1"/>
  <c r="BI191" i="3"/>
  <c r="BH191" i="3"/>
  <c r="BG191" i="3"/>
  <c r="BE191" i="3"/>
  <c r="T191" i="3"/>
  <c r="R191" i="3"/>
  <c r="P191" i="3"/>
  <c r="BK191" i="3"/>
  <c r="J191" i="3"/>
  <c r="BF191" i="3" s="1"/>
  <c r="BI190" i="3"/>
  <c r="BH190" i="3"/>
  <c r="BG190" i="3"/>
  <c r="BE190" i="3"/>
  <c r="T190" i="3"/>
  <c r="R190" i="3"/>
  <c r="P190" i="3"/>
  <c r="BK190" i="3"/>
  <c r="J190" i="3"/>
  <c r="BF190" i="3" s="1"/>
  <c r="BI189" i="3"/>
  <c r="BH189" i="3"/>
  <c r="BG189" i="3"/>
  <c r="BE189" i="3"/>
  <c r="T189" i="3"/>
  <c r="R189" i="3"/>
  <c r="P189" i="3"/>
  <c r="BK189" i="3"/>
  <c r="J189" i="3"/>
  <c r="BF189" i="3" s="1"/>
  <c r="BI188" i="3"/>
  <c r="BH188" i="3"/>
  <c r="BG188" i="3"/>
  <c r="BE188" i="3"/>
  <c r="T188" i="3"/>
  <c r="R188" i="3"/>
  <c r="P188" i="3"/>
  <c r="BK188" i="3"/>
  <c r="J188" i="3"/>
  <c r="BF188" i="3" s="1"/>
  <c r="BI187" i="3"/>
  <c r="BH187" i="3"/>
  <c r="BG187" i="3"/>
  <c r="BE187" i="3"/>
  <c r="T187" i="3"/>
  <c r="R187" i="3"/>
  <c r="P187" i="3"/>
  <c r="BK187" i="3"/>
  <c r="J187" i="3"/>
  <c r="BF187" i="3" s="1"/>
  <c r="BI186" i="3"/>
  <c r="BH186" i="3"/>
  <c r="BG186" i="3"/>
  <c r="BE186" i="3"/>
  <c r="T186" i="3"/>
  <c r="R186" i="3"/>
  <c r="P186" i="3"/>
  <c r="BK186" i="3"/>
  <c r="J186" i="3"/>
  <c r="BF186" i="3" s="1"/>
  <c r="BI184" i="3"/>
  <c r="BH184" i="3"/>
  <c r="BG184" i="3"/>
  <c r="BE184" i="3"/>
  <c r="T184" i="3"/>
  <c r="R184" i="3"/>
  <c r="P184" i="3"/>
  <c r="BK184" i="3"/>
  <c r="J184" i="3"/>
  <c r="BF184" i="3" s="1"/>
  <c r="BI183" i="3"/>
  <c r="BH183" i="3"/>
  <c r="BG183" i="3"/>
  <c r="BE183" i="3"/>
  <c r="T183" i="3"/>
  <c r="R183" i="3"/>
  <c r="P183" i="3"/>
  <c r="BK183" i="3"/>
  <c r="J183" i="3"/>
  <c r="BF183" i="3" s="1"/>
  <c r="BI182" i="3"/>
  <c r="BH182" i="3"/>
  <c r="BG182" i="3"/>
  <c r="BE182" i="3"/>
  <c r="T182" i="3"/>
  <c r="R182" i="3"/>
  <c r="P182" i="3"/>
  <c r="BK182" i="3"/>
  <c r="J182" i="3"/>
  <c r="BF182" i="3" s="1"/>
  <c r="BI181" i="3"/>
  <c r="BH181" i="3"/>
  <c r="BG181" i="3"/>
  <c r="BE181" i="3"/>
  <c r="T181" i="3"/>
  <c r="R181" i="3"/>
  <c r="P181" i="3"/>
  <c r="BK181" i="3"/>
  <c r="J181" i="3"/>
  <c r="BF181" i="3" s="1"/>
  <c r="BI180" i="3"/>
  <c r="BH180" i="3"/>
  <c r="BG180" i="3"/>
  <c r="BE180" i="3"/>
  <c r="T180" i="3"/>
  <c r="R180" i="3"/>
  <c r="P180" i="3"/>
  <c r="BK180" i="3"/>
  <c r="J180" i="3"/>
  <c r="BF180" i="3" s="1"/>
  <c r="BI179" i="3"/>
  <c r="BH179" i="3"/>
  <c r="BG179" i="3"/>
  <c r="BE179" i="3"/>
  <c r="T179" i="3"/>
  <c r="R179" i="3"/>
  <c r="P179" i="3"/>
  <c r="BK179" i="3"/>
  <c r="J179" i="3"/>
  <c r="BF179" i="3" s="1"/>
  <c r="BI178" i="3"/>
  <c r="BH178" i="3"/>
  <c r="BG178" i="3"/>
  <c r="BE178" i="3"/>
  <c r="T178" i="3"/>
  <c r="R178" i="3"/>
  <c r="P178" i="3"/>
  <c r="BK178" i="3"/>
  <c r="J178" i="3"/>
  <c r="BF178" i="3" s="1"/>
  <c r="BI177" i="3"/>
  <c r="BH177" i="3"/>
  <c r="BG177" i="3"/>
  <c r="BE177" i="3"/>
  <c r="T177" i="3"/>
  <c r="R177" i="3"/>
  <c r="P177" i="3"/>
  <c r="BK177" i="3"/>
  <c r="J177" i="3"/>
  <c r="BF177" i="3" s="1"/>
  <c r="BI176" i="3"/>
  <c r="BH176" i="3"/>
  <c r="BG176" i="3"/>
  <c r="BE176" i="3"/>
  <c r="T176" i="3"/>
  <c r="R176" i="3"/>
  <c r="P176" i="3"/>
  <c r="BK176" i="3"/>
  <c r="J176" i="3"/>
  <c r="BF176" i="3" s="1"/>
  <c r="BI175" i="3"/>
  <c r="BH175" i="3"/>
  <c r="BG175" i="3"/>
  <c r="BE175" i="3"/>
  <c r="T175" i="3"/>
  <c r="R175" i="3"/>
  <c r="P175" i="3"/>
  <c r="BK175" i="3"/>
  <c r="J175" i="3"/>
  <c r="BF175" i="3" s="1"/>
  <c r="BI174" i="3"/>
  <c r="BH174" i="3"/>
  <c r="BG174" i="3"/>
  <c r="BE174" i="3"/>
  <c r="T174" i="3"/>
  <c r="R174" i="3"/>
  <c r="P174" i="3"/>
  <c r="BK174" i="3"/>
  <c r="J174" i="3"/>
  <c r="BF174" i="3" s="1"/>
  <c r="BI173" i="3"/>
  <c r="BH173" i="3"/>
  <c r="BG173" i="3"/>
  <c r="BE173" i="3"/>
  <c r="T173" i="3"/>
  <c r="R173" i="3"/>
  <c r="P173" i="3"/>
  <c r="BK173" i="3"/>
  <c r="J173" i="3"/>
  <c r="BF173" i="3" s="1"/>
  <c r="BI172" i="3"/>
  <c r="BH172" i="3"/>
  <c r="BG172" i="3"/>
  <c r="BE172" i="3"/>
  <c r="T172" i="3"/>
  <c r="R172" i="3"/>
  <c r="P172" i="3"/>
  <c r="BK172" i="3"/>
  <c r="J172" i="3"/>
  <c r="BF172" i="3" s="1"/>
  <c r="BI171" i="3"/>
  <c r="BH171" i="3"/>
  <c r="BG171" i="3"/>
  <c r="BE171" i="3"/>
  <c r="T171" i="3"/>
  <c r="R171" i="3"/>
  <c r="P171" i="3"/>
  <c r="BK171" i="3"/>
  <c r="J171" i="3"/>
  <c r="BF171" i="3" s="1"/>
  <c r="BI169" i="3"/>
  <c r="BH169" i="3"/>
  <c r="BG169" i="3"/>
  <c r="BE169" i="3"/>
  <c r="T169" i="3"/>
  <c r="R169" i="3"/>
  <c r="P169" i="3"/>
  <c r="BK169" i="3"/>
  <c r="J169" i="3"/>
  <c r="BF169" i="3" s="1"/>
  <c r="BI167" i="3"/>
  <c r="BH167" i="3"/>
  <c r="BG167" i="3"/>
  <c r="BE167" i="3"/>
  <c r="T167" i="3"/>
  <c r="R167" i="3"/>
  <c r="P167" i="3"/>
  <c r="BK167" i="3"/>
  <c r="J167" i="3"/>
  <c r="BF167" i="3" s="1"/>
  <c r="BI165" i="3"/>
  <c r="BH165" i="3"/>
  <c r="BG165" i="3"/>
  <c r="BE165" i="3"/>
  <c r="T165" i="3"/>
  <c r="R165" i="3"/>
  <c r="P165" i="3"/>
  <c r="BK165" i="3"/>
  <c r="J165" i="3"/>
  <c r="BF165" i="3" s="1"/>
  <c r="BI164" i="3"/>
  <c r="BH164" i="3"/>
  <c r="BG164" i="3"/>
  <c r="BE164" i="3"/>
  <c r="T164" i="3"/>
  <c r="R164" i="3"/>
  <c r="P164" i="3"/>
  <c r="BK164" i="3"/>
  <c r="J164" i="3"/>
  <c r="BF164" i="3" s="1"/>
  <c r="BI163" i="3"/>
  <c r="BH163" i="3"/>
  <c r="BG163" i="3"/>
  <c r="BE163" i="3"/>
  <c r="T163" i="3"/>
  <c r="R163" i="3"/>
  <c r="P163" i="3"/>
  <c r="BK163" i="3"/>
  <c r="J163" i="3"/>
  <c r="BF163" i="3" s="1"/>
  <c r="BI158" i="3"/>
  <c r="BH158" i="3"/>
  <c r="BG158" i="3"/>
  <c r="BE158" i="3"/>
  <c r="T158" i="3"/>
  <c r="T157" i="3" s="1"/>
  <c r="R158" i="3"/>
  <c r="R157" i="3" s="1"/>
  <c r="P158" i="3"/>
  <c r="P157" i="3" s="1"/>
  <c r="BK158" i="3"/>
  <c r="BK157" i="3"/>
  <c r="J157" i="3" s="1"/>
  <c r="J103" i="3" s="1"/>
  <c r="J158" i="3"/>
  <c r="BF158" i="3" s="1"/>
  <c r="BI156" i="3"/>
  <c r="BH156" i="3"/>
  <c r="BG156" i="3"/>
  <c r="BE156" i="3"/>
  <c r="T156" i="3"/>
  <c r="R156" i="3"/>
  <c r="P156" i="3"/>
  <c r="BK156" i="3"/>
  <c r="J156" i="3"/>
  <c r="BF156" i="3" s="1"/>
  <c r="BI155" i="3"/>
  <c r="BH155" i="3"/>
  <c r="BG155" i="3"/>
  <c r="BE155" i="3"/>
  <c r="T155" i="3"/>
  <c r="R155" i="3"/>
  <c r="P155" i="3"/>
  <c r="BK155" i="3"/>
  <c r="J155" i="3"/>
  <c r="BF155" i="3" s="1"/>
  <c r="BI154" i="3"/>
  <c r="BH154" i="3"/>
  <c r="BG154" i="3"/>
  <c r="BE154" i="3"/>
  <c r="T154" i="3"/>
  <c r="R154" i="3"/>
  <c r="P154" i="3"/>
  <c r="BK154" i="3"/>
  <c r="J154" i="3"/>
  <c r="BF154" i="3" s="1"/>
  <c r="BI153" i="3"/>
  <c r="BH153" i="3"/>
  <c r="BG153" i="3"/>
  <c r="BE153" i="3"/>
  <c r="T153" i="3"/>
  <c r="R153" i="3"/>
  <c r="P153" i="3"/>
  <c r="BK153" i="3"/>
  <c r="J153" i="3"/>
  <c r="BF153" i="3" s="1"/>
  <c r="BI152" i="3"/>
  <c r="BH152" i="3"/>
  <c r="BG152" i="3"/>
  <c r="BE152" i="3"/>
  <c r="T152" i="3"/>
  <c r="R152" i="3"/>
  <c r="P152" i="3"/>
  <c r="BK152" i="3"/>
  <c r="J152" i="3"/>
  <c r="BF152" i="3" s="1"/>
  <c r="BI151" i="3"/>
  <c r="BH151" i="3"/>
  <c r="BG151" i="3"/>
  <c r="BE151" i="3"/>
  <c r="T151" i="3"/>
  <c r="R151" i="3"/>
  <c r="P151" i="3"/>
  <c r="BK151" i="3"/>
  <c r="J151" i="3"/>
  <c r="BF151" i="3" s="1"/>
  <c r="BI150" i="3"/>
  <c r="BH150" i="3"/>
  <c r="BG150" i="3"/>
  <c r="BE150" i="3"/>
  <c r="T150" i="3"/>
  <c r="R150" i="3"/>
  <c r="P150" i="3"/>
  <c r="BK150" i="3"/>
  <c r="J150" i="3"/>
  <c r="BF150" i="3" s="1"/>
  <c r="BI149" i="3"/>
  <c r="BH149" i="3"/>
  <c r="BG149" i="3"/>
  <c r="BE149" i="3"/>
  <c r="T149" i="3"/>
  <c r="R149" i="3"/>
  <c r="P149" i="3"/>
  <c r="BK149" i="3"/>
  <c r="J149" i="3"/>
  <c r="BF149" i="3" s="1"/>
  <c r="BI147" i="3"/>
  <c r="BH147" i="3"/>
  <c r="BG147" i="3"/>
  <c r="BE147" i="3"/>
  <c r="T147" i="3"/>
  <c r="R147" i="3"/>
  <c r="P147" i="3"/>
  <c r="BK147" i="3"/>
  <c r="J147" i="3"/>
  <c r="BF147" i="3" s="1"/>
  <c r="BI146" i="3"/>
  <c r="BH146" i="3"/>
  <c r="BG146" i="3"/>
  <c r="BE146" i="3"/>
  <c r="T146" i="3"/>
  <c r="R146" i="3"/>
  <c r="P146" i="3"/>
  <c r="BK146" i="3"/>
  <c r="J146" i="3"/>
  <c r="BF146" i="3" s="1"/>
  <c r="BI144" i="3"/>
  <c r="BH144" i="3"/>
  <c r="BG144" i="3"/>
  <c r="BE144" i="3"/>
  <c r="T144" i="3"/>
  <c r="R144" i="3"/>
  <c r="P144" i="3"/>
  <c r="BK144" i="3"/>
  <c r="J144" i="3"/>
  <c r="BF144" i="3" s="1"/>
  <c r="BI141" i="3"/>
  <c r="BH141" i="3"/>
  <c r="BG141" i="3"/>
  <c r="BE141" i="3"/>
  <c r="T141" i="3"/>
  <c r="T140" i="3" s="1"/>
  <c r="R141" i="3"/>
  <c r="R140" i="3" s="1"/>
  <c r="P141" i="3"/>
  <c r="P140" i="3" s="1"/>
  <c r="BK141" i="3"/>
  <c r="BK140" i="3" s="1"/>
  <c r="J140" i="3" s="1"/>
  <c r="J100" i="3" s="1"/>
  <c r="J141" i="3"/>
  <c r="BF141" i="3" s="1"/>
  <c r="BI139" i="3"/>
  <c r="BH139" i="3"/>
  <c r="BG139" i="3"/>
  <c r="BE139" i="3"/>
  <c r="T139" i="3"/>
  <c r="R139" i="3"/>
  <c r="P139" i="3"/>
  <c r="BK139" i="3"/>
  <c r="J139" i="3"/>
  <c r="BF139" i="3" s="1"/>
  <c r="BI138" i="3"/>
  <c r="BH138" i="3"/>
  <c r="BG138" i="3"/>
  <c r="BE138" i="3"/>
  <c r="T138" i="3"/>
  <c r="R138" i="3"/>
  <c r="P138" i="3"/>
  <c r="BK138" i="3"/>
  <c r="BK137" i="3" s="1"/>
  <c r="J137" i="3" s="1"/>
  <c r="J99" i="3" s="1"/>
  <c r="J138" i="3"/>
  <c r="BF138" i="3" s="1"/>
  <c r="BI136" i="3"/>
  <c r="BH136" i="3"/>
  <c r="BG136" i="3"/>
  <c r="BE136" i="3"/>
  <c r="T136" i="3"/>
  <c r="R136" i="3"/>
  <c r="P136" i="3"/>
  <c r="BK136" i="3"/>
  <c r="J136" i="3"/>
  <c r="BF136" i="3" s="1"/>
  <c r="BI135" i="3"/>
  <c r="BH135" i="3"/>
  <c r="BG135" i="3"/>
  <c r="BE135" i="3"/>
  <c r="T135" i="3"/>
  <c r="R135" i="3"/>
  <c r="P135" i="3"/>
  <c r="BK135" i="3"/>
  <c r="J135" i="3"/>
  <c r="BF135" i="3" s="1"/>
  <c r="BI134" i="3"/>
  <c r="BH134" i="3"/>
  <c r="BG134" i="3"/>
  <c r="BE134" i="3"/>
  <c r="T134" i="3"/>
  <c r="R134" i="3"/>
  <c r="P134" i="3"/>
  <c r="BK134" i="3"/>
  <c r="J134" i="3"/>
  <c r="BF134" i="3" s="1"/>
  <c r="BI133" i="3"/>
  <c r="BH133" i="3"/>
  <c r="BG133" i="3"/>
  <c r="BE133" i="3"/>
  <c r="T133" i="3"/>
  <c r="R133" i="3"/>
  <c r="P133" i="3"/>
  <c r="BK133" i="3"/>
  <c r="J133" i="3"/>
  <c r="BF133" i="3" s="1"/>
  <c r="F89" i="3"/>
  <c r="J24" i="3"/>
  <c r="E24" i="3"/>
  <c r="J127" i="3" s="1"/>
  <c r="J23" i="3"/>
  <c r="J21" i="3"/>
  <c r="E21" i="3"/>
  <c r="J126" i="3" s="1"/>
  <c r="J20" i="3"/>
  <c r="J18" i="3"/>
  <c r="J15" i="3"/>
  <c r="E15" i="3"/>
  <c r="J14" i="3"/>
  <c r="J124" i="3"/>
  <c r="J37" i="2"/>
  <c r="J36" i="2"/>
  <c r="AY95" i="1" s="1"/>
  <c r="J35" i="2"/>
  <c r="AX95" i="1" s="1"/>
  <c r="BI413" i="2"/>
  <c r="BH413" i="2"/>
  <c r="BG413" i="2"/>
  <c r="BE413" i="2"/>
  <c r="T413" i="2"/>
  <c r="R413" i="2"/>
  <c r="P413" i="2"/>
  <c r="BK413" i="2"/>
  <c r="J413" i="2"/>
  <c r="BF413" i="2" s="1"/>
  <c r="BI410" i="2"/>
  <c r="BH410" i="2"/>
  <c r="BG410" i="2"/>
  <c r="BE410" i="2"/>
  <c r="T410" i="2"/>
  <c r="R410" i="2"/>
  <c r="P410" i="2"/>
  <c r="BK410" i="2"/>
  <c r="J410" i="2"/>
  <c r="BF410" i="2" s="1"/>
  <c r="BI406" i="2"/>
  <c r="BH406" i="2"/>
  <c r="BG406" i="2"/>
  <c r="BE406" i="2"/>
  <c r="T406" i="2"/>
  <c r="R406" i="2"/>
  <c r="P406" i="2"/>
  <c r="BK406" i="2"/>
  <c r="J406" i="2"/>
  <c r="BF406" i="2" s="1"/>
  <c r="BI405" i="2"/>
  <c r="BH405" i="2"/>
  <c r="BG405" i="2"/>
  <c r="BE405" i="2"/>
  <c r="T405" i="2"/>
  <c r="R405" i="2"/>
  <c r="P405" i="2"/>
  <c r="BK405" i="2"/>
  <c r="J405" i="2"/>
  <c r="BF405" i="2" s="1"/>
  <c r="BI404" i="2"/>
  <c r="BH404" i="2"/>
  <c r="BG404" i="2"/>
  <c r="BE404" i="2"/>
  <c r="T404" i="2"/>
  <c r="R404" i="2"/>
  <c r="P404" i="2"/>
  <c r="BK404" i="2"/>
  <c r="J404" i="2"/>
  <c r="BF404" i="2" s="1"/>
  <c r="BI403" i="2"/>
  <c r="BH403" i="2"/>
  <c r="BG403" i="2"/>
  <c r="BE403" i="2"/>
  <c r="T403" i="2"/>
  <c r="R403" i="2"/>
  <c r="P403" i="2"/>
  <c r="BK403" i="2"/>
  <c r="J403" i="2"/>
  <c r="BF403" i="2" s="1"/>
  <c r="BI402" i="2"/>
  <c r="BH402" i="2"/>
  <c r="BG402" i="2"/>
  <c r="BE402" i="2"/>
  <c r="T402" i="2"/>
  <c r="R402" i="2"/>
  <c r="P402" i="2"/>
  <c r="BK402" i="2"/>
  <c r="J402" i="2"/>
  <c r="BF402" i="2" s="1"/>
  <c r="BI400" i="2"/>
  <c r="BH400" i="2"/>
  <c r="BG400" i="2"/>
  <c r="BE400" i="2"/>
  <c r="T400" i="2"/>
  <c r="R400" i="2"/>
  <c r="P400" i="2"/>
  <c r="BK400" i="2"/>
  <c r="J400" i="2"/>
  <c r="BF400" i="2" s="1"/>
  <c r="BI399" i="2"/>
  <c r="BH399" i="2"/>
  <c r="BG399" i="2"/>
  <c r="BE399" i="2"/>
  <c r="T399" i="2"/>
  <c r="R399" i="2"/>
  <c r="P399" i="2"/>
  <c r="BK399" i="2"/>
  <c r="J399" i="2"/>
  <c r="BF399" i="2" s="1"/>
  <c r="BI398" i="2"/>
  <c r="BH398" i="2"/>
  <c r="BG398" i="2"/>
  <c r="BE398" i="2"/>
  <c r="T398" i="2"/>
  <c r="R398" i="2"/>
  <c r="P398" i="2"/>
  <c r="BK398" i="2"/>
  <c r="J398" i="2"/>
  <c r="BF398" i="2" s="1"/>
  <c r="BI397" i="2"/>
  <c r="BH397" i="2"/>
  <c r="BG397" i="2"/>
  <c r="BE397" i="2"/>
  <c r="T397" i="2"/>
  <c r="R397" i="2"/>
  <c r="P397" i="2"/>
  <c r="BK397" i="2"/>
  <c r="J397" i="2"/>
  <c r="BF397" i="2" s="1"/>
  <c r="BI396" i="2"/>
  <c r="BH396" i="2"/>
  <c r="BG396" i="2"/>
  <c r="BE396" i="2"/>
  <c r="T396" i="2"/>
  <c r="R396" i="2"/>
  <c r="P396" i="2"/>
  <c r="BK396" i="2"/>
  <c r="J396" i="2"/>
  <c r="BF396" i="2" s="1"/>
  <c r="BI395" i="2"/>
  <c r="BH395" i="2"/>
  <c r="BG395" i="2"/>
  <c r="BE395" i="2"/>
  <c r="T395" i="2"/>
  <c r="R395" i="2"/>
  <c r="P395" i="2"/>
  <c r="BK395" i="2"/>
  <c r="J395" i="2"/>
  <c r="BF395" i="2" s="1"/>
  <c r="BI394" i="2"/>
  <c r="BH394" i="2"/>
  <c r="BG394" i="2"/>
  <c r="BE394" i="2"/>
  <c r="T394" i="2"/>
  <c r="R394" i="2"/>
  <c r="P394" i="2"/>
  <c r="BK394" i="2"/>
  <c r="J394" i="2"/>
  <c r="BF394" i="2" s="1"/>
  <c r="BI393" i="2"/>
  <c r="BH393" i="2"/>
  <c r="BG393" i="2"/>
  <c r="BE393" i="2"/>
  <c r="T393" i="2"/>
  <c r="R393" i="2"/>
  <c r="P393" i="2"/>
  <c r="BK393" i="2"/>
  <c r="J393" i="2"/>
  <c r="BF393" i="2" s="1"/>
  <c r="BI392" i="2"/>
  <c r="BH392" i="2"/>
  <c r="BG392" i="2"/>
  <c r="BE392" i="2"/>
  <c r="T392" i="2"/>
  <c r="R392" i="2"/>
  <c r="P392" i="2"/>
  <c r="BK392" i="2"/>
  <c r="J392" i="2"/>
  <c r="BF392" i="2" s="1"/>
  <c r="BI391" i="2"/>
  <c r="BH391" i="2"/>
  <c r="BG391" i="2"/>
  <c r="BE391" i="2"/>
  <c r="T391" i="2"/>
  <c r="R391" i="2"/>
  <c r="P391" i="2"/>
  <c r="BK391" i="2"/>
  <c r="J391" i="2"/>
  <c r="BF391" i="2" s="1"/>
  <c r="BI390" i="2"/>
  <c r="BH390" i="2"/>
  <c r="BG390" i="2"/>
  <c r="BE390" i="2"/>
  <c r="T390" i="2"/>
  <c r="R390" i="2"/>
  <c r="P390" i="2"/>
  <c r="BK390" i="2"/>
  <c r="J390" i="2"/>
  <c r="BF390" i="2" s="1"/>
  <c r="BI388" i="2"/>
  <c r="BH388" i="2"/>
  <c r="BG388" i="2"/>
  <c r="BE388" i="2"/>
  <c r="T388" i="2"/>
  <c r="R388" i="2"/>
  <c r="P388" i="2"/>
  <c r="BK388" i="2"/>
  <c r="J388" i="2"/>
  <c r="BF388" i="2" s="1"/>
  <c r="BI387" i="2"/>
  <c r="BH387" i="2"/>
  <c r="BG387" i="2"/>
  <c r="BE387" i="2"/>
  <c r="T387" i="2"/>
  <c r="R387" i="2"/>
  <c r="P387" i="2"/>
  <c r="BK387" i="2"/>
  <c r="J387" i="2"/>
  <c r="BF387" i="2" s="1"/>
  <c r="BI386" i="2"/>
  <c r="BH386" i="2"/>
  <c r="BG386" i="2"/>
  <c r="BE386" i="2"/>
  <c r="T386" i="2"/>
  <c r="R386" i="2"/>
  <c r="P386" i="2"/>
  <c r="BK386" i="2"/>
  <c r="J386" i="2"/>
  <c r="BF386" i="2" s="1"/>
  <c r="BI385" i="2"/>
  <c r="BH385" i="2"/>
  <c r="BG385" i="2"/>
  <c r="BE385" i="2"/>
  <c r="T385" i="2"/>
  <c r="R385" i="2"/>
  <c r="P385" i="2"/>
  <c r="BK385" i="2"/>
  <c r="J385" i="2"/>
  <c r="BF385" i="2" s="1"/>
  <c r="BI384" i="2"/>
  <c r="BH384" i="2"/>
  <c r="BG384" i="2"/>
  <c r="BE384" i="2"/>
  <c r="T384" i="2"/>
  <c r="R384" i="2"/>
  <c r="P384" i="2"/>
  <c r="BK384" i="2"/>
  <c r="J384" i="2"/>
  <c r="BF384" i="2" s="1"/>
  <c r="BI383" i="2"/>
  <c r="BH383" i="2"/>
  <c r="BG383" i="2"/>
  <c r="BE383" i="2"/>
  <c r="T383" i="2"/>
  <c r="R383" i="2"/>
  <c r="P383" i="2"/>
  <c r="BK383" i="2"/>
  <c r="J383" i="2"/>
  <c r="BF383" i="2" s="1"/>
  <c r="BI382" i="2"/>
  <c r="BH382" i="2"/>
  <c r="BG382" i="2"/>
  <c r="BE382" i="2"/>
  <c r="T382" i="2"/>
  <c r="R382" i="2"/>
  <c r="P382" i="2"/>
  <c r="BK382" i="2"/>
  <c r="J382" i="2"/>
  <c r="BF382" i="2" s="1"/>
  <c r="BI381" i="2"/>
  <c r="BH381" i="2"/>
  <c r="BG381" i="2"/>
  <c r="BE381" i="2"/>
  <c r="T381" i="2"/>
  <c r="R381" i="2"/>
  <c r="P381" i="2"/>
  <c r="BK381" i="2"/>
  <c r="J381" i="2"/>
  <c r="BF381" i="2" s="1"/>
  <c r="BI380" i="2"/>
  <c r="BH380" i="2"/>
  <c r="BG380" i="2"/>
  <c r="BE380" i="2"/>
  <c r="T380" i="2"/>
  <c r="R380" i="2"/>
  <c r="P380" i="2"/>
  <c r="BK380" i="2"/>
  <c r="J380" i="2"/>
  <c r="BF380" i="2" s="1"/>
  <c r="BI379" i="2"/>
  <c r="BH379" i="2"/>
  <c r="BG379" i="2"/>
  <c r="BE379" i="2"/>
  <c r="T379" i="2"/>
  <c r="R379" i="2"/>
  <c r="P379" i="2"/>
  <c r="BK379" i="2"/>
  <c r="J379" i="2"/>
  <c r="BF379" i="2" s="1"/>
  <c r="BI377" i="2"/>
  <c r="BH377" i="2"/>
  <c r="BG377" i="2"/>
  <c r="BE377" i="2"/>
  <c r="T377" i="2"/>
  <c r="R377" i="2"/>
  <c r="P377" i="2"/>
  <c r="BK377" i="2"/>
  <c r="J377" i="2"/>
  <c r="BF377" i="2" s="1"/>
  <c r="BI374" i="2"/>
  <c r="BH374" i="2"/>
  <c r="BG374" i="2"/>
  <c r="BE374" i="2"/>
  <c r="T374" i="2"/>
  <c r="R374" i="2"/>
  <c r="P374" i="2"/>
  <c r="BK374" i="2"/>
  <c r="J374" i="2"/>
  <c r="BF374" i="2" s="1"/>
  <c r="BI373" i="2"/>
  <c r="BH373" i="2"/>
  <c r="BG373" i="2"/>
  <c r="BE373" i="2"/>
  <c r="T373" i="2"/>
  <c r="R373" i="2"/>
  <c r="P373" i="2"/>
  <c r="BK373" i="2"/>
  <c r="J373" i="2"/>
  <c r="BF373" i="2" s="1"/>
  <c r="BI372" i="2"/>
  <c r="BH372" i="2"/>
  <c r="BG372" i="2"/>
  <c r="BE372" i="2"/>
  <c r="T372" i="2"/>
  <c r="R372" i="2"/>
  <c r="P372" i="2"/>
  <c r="BK372" i="2"/>
  <c r="J372" i="2"/>
  <c r="BF372" i="2" s="1"/>
  <c r="BI367" i="2"/>
  <c r="BH367" i="2"/>
  <c r="BG367" i="2"/>
  <c r="BE367" i="2"/>
  <c r="T367" i="2"/>
  <c r="R367" i="2"/>
  <c r="P367" i="2"/>
  <c r="BK367" i="2"/>
  <c r="J367" i="2"/>
  <c r="BF367" i="2" s="1"/>
  <c r="BI366" i="2"/>
  <c r="BH366" i="2"/>
  <c r="BG366" i="2"/>
  <c r="BE366" i="2"/>
  <c r="T366" i="2"/>
  <c r="R366" i="2"/>
  <c r="P366" i="2"/>
  <c r="BK366" i="2"/>
  <c r="J366" i="2"/>
  <c r="BF366" i="2" s="1"/>
  <c r="BI365" i="2"/>
  <c r="BH365" i="2"/>
  <c r="BG365" i="2"/>
  <c r="BE365" i="2"/>
  <c r="T365" i="2"/>
  <c r="R365" i="2"/>
  <c r="P365" i="2"/>
  <c r="BK365" i="2"/>
  <c r="J365" i="2"/>
  <c r="BF365" i="2" s="1"/>
  <c r="BI364" i="2"/>
  <c r="BH364" i="2"/>
  <c r="BG364" i="2"/>
  <c r="BE364" i="2"/>
  <c r="T364" i="2"/>
  <c r="R364" i="2"/>
  <c r="P364" i="2"/>
  <c r="BK364" i="2"/>
  <c r="J364" i="2"/>
  <c r="BF364" i="2" s="1"/>
  <c r="BI362" i="2"/>
  <c r="BH362" i="2"/>
  <c r="BG362" i="2"/>
  <c r="BE362" i="2"/>
  <c r="T362" i="2"/>
  <c r="R362" i="2"/>
  <c r="P362" i="2"/>
  <c r="BK362" i="2"/>
  <c r="J362" i="2"/>
  <c r="BF362" i="2" s="1"/>
  <c r="BI360" i="2"/>
  <c r="BH360" i="2"/>
  <c r="BG360" i="2"/>
  <c r="BE360" i="2"/>
  <c r="T360" i="2"/>
  <c r="R360" i="2"/>
  <c r="P360" i="2"/>
  <c r="BK360" i="2"/>
  <c r="J360" i="2"/>
  <c r="BF360" i="2" s="1"/>
  <c r="BI356" i="2"/>
  <c r="BH356" i="2"/>
  <c r="BG356" i="2"/>
  <c r="BE356" i="2"/>
  <c r="T356" i="2"/>
  <c r="R356" i="2"/>
  <c r="P356" i="2"/>
  <c r="BK356" i="2"/>
  <c r="J356" i="2"/>
  <c r="BF356" i="2" s="1"/>
  <c r="BI354" i="2"/>
  <c r="BH354" i="2"/>
  <c r="BG354" i="2"/>
  <c r="BE354" i="2"/>
  <c r="T354" i="2"/>
  <c r="R354" i="2"/>
  <c r="P354" i="2"/>
  <c r="BK354" i="2"/>
  <c r="J354" i="2"/>
  <c r="BF354" i="2" s="1"/>
  <c r="BI352" i="2"/>
  <c r="BH352" i="2"/>
  <c r="BG352" i="2"/>
  <c r="BE352" i="2"/>
  <c r="T352" i="2"/>
  <c r="R352" i="2"/>
  <c r="P352" i="2"/>
  <c r="BK352" i="2"/>
  <c r="J352" i="2"/>
  <c r="BF352" i="2" s="1"/>
  <c r="BI350" i="2"/>
  <c r="BH350" i="2"/>
  <c r="BG350" i="2"/>
  <c r="BE350" i="2"/>
  <c r="T350" i="2"/>
  <c r="R350" i="2"/>
  <c r="P350" i="2"/>
  <c r="BK350" i="2"/>
  <c r="J350" i="2"/>
  <c r="BF350" i="2" s="1"/>
  <c r="BI349" i="2"/>
  <c r="BH349" i="2"/>
  <c r="BG349" i="2"/>
  <c r="BE349" i="2"/>
  <c r="T349" i="2"/>
  <c r="R349" i="2"/>
  <c r="P349" i="2"/>
  <c r="BK349" i="2"/>
  <c r="J349" i="2"/>
  <c r="BF349" i="2" s="1"/>
  <c r="BI348" i="2"/>
  <c r="BH348" i="2"/>
  <c r="BG348" i="2"/>
  <c r="BE348" i="2"/>
  <c r="T348" i="2"/>
  <c r="R348" i="2"/>
  <c r="P348" i="2"/>
  <c r="BK348" i="2"/>
  <c r="J348" i="2"/>
  <c r="BF348" i="2" s="1"/>
  <c r="BI347" i="2"/>
  <c r="BH347" i="2"/>
  <c r="BG347" i="2"/>
  <c r="BE347" i="2"/>
  <c r="T347" i="2"/>
  <c r="R347" i="2"/>
  <c r="P347" i="2"/>
  <c r="BK347" i="2"/>
  <c r="J347" i="2"/>
  <c r="BF347" i="2" s="1"/>
  <c r="BI346" i="2"/>
  <c r="BH346" i="2"/>
  <c r="BG346" i="2"/>
  <c r="BE346" i="2"/>
  <c r="T346" i="2"/>
  <c r="R346" i="2"/>
  <c r="P346" i="2"/>
  <c r="BK346" i="2"/>
  <c r="J346" i="2"/>
  <c r="BF346" i="2" s="1"/>
  <c r="BI345" i="2"/>
  <c r="BH345" i="2"/>
  <c r="BG345" i="2"/>
  <c r="BE345" i="2"/>
  <c r="T345" i="2"/>
  <c r="R345" i="2"/>
  <c r="P345" i="2"/>
  <c r="BK345" i="2"/>
  <c r="J345" i="2"/>
  <c r="BF345" i="2" s="1"/>
  <c r="BI343" i="2"/>
  <c r="BH343" i="2"/>
  <c r="BG343" i="2"/>
  <c r="BE343" i="2"/>
  <c r="T343" i="2"/>
  <c r="R343" i="2"/>
  <c r="P343" i="2"/>
  <c r="BK343" i="2"/>
  <c r="J343" i="2"/>
  <c r="BF343" i="2" s="1"/>
  <c r="BI341" i="2"/>
  <c r="BH341" i="2"/>
  <c r="BG341" i="2"/>
  <c r="BE341" i="2"/>
  <c r="T341" i="2"/>
  <c r="R341" i="2"/>
  <c r="P341" i="2"/>
  <c r="BK341" i="2"/>
  <c r="J341" i="2"/>
  <c r="BF341" i="2" s="1"/>
  <c r="BI340" i="2"/>
  <c r="BH340" i="2"/>
  <c r="BG340" i="2"/>
  <c r="BE340" i="2"/>
  <c r="T340" i="2"/>
  <c r="R340" i="2"/>
  <c r="P340" i="2"/>
  <c r="BK340" i="2"/>
  <c r="J340" i="2"/>
  <c r="BF340" i="2" s="1"/>
  <c r="BI339" i="2"/>
  <c r="BH339" i="2"/>
  <c r="BG339" i="2"/>
  <c r="BE339" i="2"/>
  <c r="T339" i="2"/>
  <c r="R339" i="2"/>
  <c r="P339" i="2"/>
  <c r="BK339" i="2"/>
  <c r="J339" i="2"/>
  <c r="BF339" i="2" s="1"/>
  <c r="BI338" i="2"/>
  <c r="BH338" i="2"/>
  <c r="BG338" i="2"/>
  <c r="BE338" i="2"/>
  <c r="T338" i="2"/>
  <c r="R338" i="2"/>
  <c r="P338" i="2"/>
  <c r="BK338" i="2"/>
  <c r="J338" i="2"/>
  <c r="BF338" i="2" s="1"/>
  <c r="BI337" i="2"/>
  <c r="BH337" i="2"/>
  <c r="BG337" i="2"/>
  <c r="BE337" i="2"/>
  <c r="T337" i="2"/>
  <c r="R337" i="2"/>
  <c r="P337" i="2"/>
  <c r="BK337" i="2"/>
  <c r="J337" i="2"/>
  <c r="BF337" i="2" s="1"/>
  <c r="BI336" i="2"/>
  <c r="BH336" i="2"/>
  <c r="BG336" i="2"/>
  <c r="BE336" i="2"/>
  <c r="T336" i="2"/>
  <c r="R336" i="2"/>
  <c r="P336" i="2"/>
  <c r="BK336" i="2"/>
  <c r="J336" i="2"/>
  <c r="BF336" i="2" s="1"/>
  <c r="BI335" i="2"/>
  <c r="BH335" i="2"/>
  <c r="BG335" i="2"/>
  <c r="BE335" i="2"/>
  <c r="T335" i="2"/>
  <c r="R335" i="2"/>
  <c r="P335" i="2"/>
  <c r="BK335" i="2"/>
  <c r="J335" i="2"/>
  <c r="BF335" i="2" s="1"/>
  <c r="BI334" i="2"/>
  <c r="BH334" i="2"/>
  <c r="BG334" i="2"/>
  <c r="BE334" i="2"/>
  <c r="T334" i="2"/>
  <c r="R334" i="2"/>
  <c r="P334" i="2"/>
  <c r="BK334" i="2"/>
  <c r="J334" i="2"/>
  <c r="BF334" i="2" s="1"/>
  <c r="BI333" i="2"/>
  <c r="BH333" i="2"/>
  <c r="BG333" i="2"/>
  <c r="BE333" i="2"/>
  <c r="T333" i="2"/>
  <c r="R333" i="2"/>
  <c r="P333" i="2"/>
  <c r="BK333" i="2"/>
  <c r="J333" i="2"/>
  <c r="BF333" i="2" s="1"/>
  <c r="BI332" i="2"/>
  <c r="BH332" i="2"/>
  <c r="BG332" i="2"/>
  <c r="BE332" i="2"/>
  <c r="T332" i="2"/>
  <c r="R332" i="2"/>
  <c r="P332" i="2"/>
  <c r="BK332" i="2"/>
  <c r="J332" i="2"/>
  <c r="BF332" i="2" s="1"/>
  <c r="BI331" i="2"/>
  <c r="BH331" i="2"/>
  <c r="BG331" i="2"/>
  <c r="BE331" i="2"/>
  <c r="T331" i="2"/>
  <c r="R331" i="2"/>
  <c r="P331" i="2"/>
  <c r="BK331" i="2"/>
  <c r="J331" i="2"/>
  <c r="BF331" i="2" s="1"/>
  <c r="BI330" i="2"/>
  <c r="BH330" i="2"/>
  <c r="BG330" i="2"/>
  <c r="BE330" i="2"/>
  <c r="T330" i="2"/>
  <c r="R330" i="2"/>
  <c r="P330" i="2"/>
  <c r="BK330" i="2"/>
  <c r="J330" i="2"/>
  <c r="BF330" i="2" s="1"/>
  <c r="BI329" i="2"/>
  <c r="BH329" i="2"/>
  <c r="BG329" i="2"/>
  <c r="BE329" i="2"/>
  <c r="T329" i="2"/>
  <c r="R329" i="2"/>
  <c r="P329" i="2"/>
  <c r="BK329" i="2"/>
  <c r="J329" i="2"/>
  <c r="BF329" i="2" s="1"/>
  <c r="BI328" i="2"/>
  <c r="BH328" i="2"/>
  <c r="BG328" i="2"/>
  <c r="BE328" i="2"/>
  <c r="T328" i="2"/>
  <c r="R328" i="2"/>
  <c r="P328" i="2"/>
  <c r="BK328" i="2"/>
  <c r="J328" i="2"/>
  <c r="BF328" i="2" s="1"/>
  <c r="BI327" i="2"/>
  <c r="BH327" i="2"/>
  <c r="BG327" i="2"/>
  <c r="BE327" i="2"/>
  <c r="T327" i="2"/>
  <c r="R327" i="2"/>
  <c r="P327" i="2"/>
  <c r="BK327" i="2"/>
  <c r="J327" i="2"/>
  <c r="BF327" i="2" s="1"/>
  <c r="BI326" i="2"/>
  <c r="BH326" i="2"/>
  <c r="BG326" i="2"/>
  <c r="BE326" i="2"/>
  <c r="T326" i="2"/>
  <c r="R326" i="2"/>
  <c r="P326" i="2"/>
  <c r="BK326" i="2"/>
  <c r="J326" i="2"/>
  <c r="BF326" i="2" s="1"/>
  <c r="BI325" i="2"/>
  <c r="BH325" i="2"/>
  <c r="BG325" i="2"/>
  <c r="BE325" i="2"/>
  <c r="T325" i="2"/>
  <c r="R325" i="2"/>
  <c r="P325" i="2"/>
  <c r="BK325" i="2"/>
  <c r="J325" i="2"/>
  <c r="BF325" i="2" s="1"/>
  <c r="BI324" i="2"/>
  <c r="BH324" i="2"/>
  <c r="BG324" i="2"/>
  <c r="BE324" i="2"/>
  <c r="T324" i="2"/>
  <c r="R324" i="2"/>
  <c r="P324" i="2"/>
  <c r="BK324" i="2"/>
  <c r="J324" i="2"/>
  <c r="BF324" i="2" s="1"/>
  <c r="BI323" i="2"/>
  <c r="BH323" i="2"/>
  <c r="BG323" i="2"/>
  <c r="BE323" i="2"/>
  <c r="T323" i="2"/>
  <c r="R323" i="2"/>
  <c r="P323" i="2"/>
  <c r="BK323" i="2"/>
  <c r="J323" i="2"/>
  <c r="BF323" i="2" s="1"/>
  <c r="BI322" i="2"/>
  <c r="BH322" i="2"/>
  <c r="BG322" i="2"/>
  <c r="BE322" i="2"/>
  <c r="T322" i="2"/>
  <c r="R322" i="2"/>
  <c r="P322" i="2"/>
  <c r="BK322" i="2"/>
  <c r="J322" i="2"/>
  <c r="BF322" i="2" s="1"/>
  <c r="BI321" i="2"/>
  <c r="BH321" i="2"/>
  <c r="BG321" i="2"/>
  <c r="BE321" i="2"/>
  <c r="T321" i="2"/>
  <c r="R321" i="2"/>
  <c r="P321" i="2"/>
  <c r="BK321" i="2"/>
  <c r="J321" i="2"/>
  <c r="BF321" i="2" s="1"/>
  <c r="BI320" i="2"/>
  <c r="BH320" i="2"/>
  <c r="BG320" i="2"/>
  <c r="BE320" i="2"/>
  <c r="T320" i="2"/>
  <c r="R320" i="2"/>
  <c r="P320" i="2"/>
  <c r="BK320" i="2"/>
  <c r="J320" i="2"/>
  <c r="BF320" i="2" s="1"/>
  <c r="BI316" i="2"/>
  <c r="BH316" i="2"/>
  <c r="BG316" i="2"/>
  <c r="BE316" i="2"/>
  <c r="T316" i="2"/>
  <c r="R316" i="2"/>
  <c r="P316" i="2"/>
  <c r="BK316" i="2"/>
  <c r="J316" i="2"/>
  <c r="BF316" i="2" s="1"/>
  <c r="BI314" i="2"/>
  <c r="BH314" i="2"/>
  <c r="BG314" i="2"/>
  <c r="BE314" i="2"/>
  <c r="T314" i="2"/>
  <c r="R314" i="2"/>
  <c r="P314" i="2"/>
  <c r="BK314" i="2"/>
  <c r="J314" i="2"/>
  <c r="BF314" i="2" s="1"/>
  <c r="BI313" i="2"/>
  <c r="BH313" i="2"/>
  <c r="BG313" i="2"/>
  <c r="BE313" i="2"/>
  <c r="T313" i="2"/>
  <c r="R313" i="2"/>
  <c r="P313" i="2"/>
  <c r="BK313" i="2"/>
  <c r="J313" i="2"/>
  <c r="BF313" i="2" s="1"/>
  <c r="BI312" i="2"/>
  <c r="BH312" i="2"/>
  <c r="BG312" i="2"/>
  <c r="BE312" i="2"/>
  <c r="T312" i="2"/>
  <c r="R312" i="2"/>
  <c r="P312" i="2"/>
  <c r="BK312" i="2"/>
  <c r="J312" i="2"/>
  <c r="BF312" i="2" s="1"/>
  <c r="BI311" i="2"/>
  <c r="BH311" i="2"/>
  <c r="BG311" i="2"/>
  <c r="BE311" i="2"/>
  <c r="T311" i="2"/>
  <c r="R311" i="2"/>
  <c r="P311" i="2"/>
  <c r="BK311" i="2"/>
  <c r="J311" i="2"/>
  <c r="BF311" i="2" s="1"/>
  <c r="BI310" i="2"/>
  <c r="BH310" i="2"/>
  <c r="BG310" i="2"/>
  <c r="BE310" i="2"/>
  <c r="T310" i="2"/>
  <c r="R310" i="2"/>
  <c r="P310" i="2"/>
  <c r="BK310" i="2"/>
  <c r="J310" i="2"/>
  <c r="BF310" i="2" s="1"/>
  <c r="BI307" i="2"/>
  <c r="BH307" i="2"/>
  <c r="BG307" i="2"/>
  <c r="BE307" i="2"/>
  <c r="T307" i="2"/>
  <c r="T306" i="2" s="1"/>
  <c r="R307" i="2"/>
  <c r="R306" i="2" s="1"/>
  <c r="P307" i="2"/>
  <c r="P306" i="2" s="1"/>
  <c r="BK307" i="2"/>
  <c r="BK306" i="2" s="1"/>
  <c r="J306" i="2" s="1"/>
  <c r="J114" i="2" s="1"/>
  <c r="J307" i="2"/>
  <c r="BF307" i="2" s="1"/>
  <c r="BI301" i="2"/>
  <c r="BH301" i="2"/>
  <c r="BG301" i="2"/>
  <c r="BE301" i="2"/>
  <c r="T301" i="2"/>
  <c r="R301" i="2"/>
  <c r="P301" i="2"/>
  <c r="BK301" i="2"/>
  <c r="J301" i="2"/>
  <c r="BF301" i="2" s="1"/>
  <c r="BI300" i="2"/>
  <c r="BH300" i="2"/>
  <c r="BG300" i="2"/>
  <c r="BE300" i="2"/>
  <c r="T300" i="2"/>
  <c r="R300" i="2"/>
  <c r="P300" i="2"/>
  <c r="BK300" i="2"/>
  <c r="J300" i="2"/>
  <c r="BF300" i="2" s="1"/>
  <c r="BI299" i="2"/>
  <c r="BH299" i="2"/>
  <c r="BG299" i="2"/>
  <c r="BE299" i="2"/>
  <c r="T299" i="2"/>
  <c r="R299" i="2"/>
  <c r="P299" i="2"/>
  <c r="BK299" i="2"/>
  <c r="J299" i="2"/>
  <c r="BF299" i="2" s="1"/>
  <c r="BI298" i="2"/>
  <c r="BH298" i="2"/>
  <c r="BG298" i="2"/>
  <c r="BE298" i="2"/>
  <c r="T298" i="2"/>
  <c r="R298" i="2"/>
  <c r="P298" i="2"/>
  <c r="BK298" i="2"/>
  <c r="J298" i="2"/>
  <c r="BF298" i="2" s="1"/>
  <c r="BI297" i="2"/>
  <c r="BH297" i="2"/>
  <c r="BG297" i="2"/>
  <c r="BE297" i="2"/>
  <c r="T297" i="2"/>
  <c r="R297" i="2"/>
  <c r="P297" i="2"/>
  <c r="BK297" i="2"/>
  <c r="J297" i="2"/>
  <c r="BF297" i="2" s="1"/>
  <c r="BI296" i="2"/>
  <c r="BH296" i="2"/>
  <c r="BG296" i="2"/>
  <c r="BE296" i="2"/>
  <c r="T296" i="2"/>
  <c r="R296" i="2"/>
  <c r="P296" i="2"/>
  <c r="BK296" i="2"/>
  <c r="J296" i="2"/>
  <c r="BF296" i="2" s="1"/>
  <c r="BI295" i="2"/>
  <c r="BH295" i="2"/>
  <c r="BG295" i="2"/>
  <c r="BE295" i="2"/>
  <c r="T295" i="2"/>
  <c r="R295" i="2"/>
  <c r="P295" i="2"/>
  <c r="BK295" i="2"/>
  <c r="J295" i="2"/>
  <c r="BF295" i="2" s="1"/>
  <c r="BI293" i="2"/>
  <c r="BH293" i="2"/>
  <c r="BG293" i="2"/>
  <c r="BE293" i="2"/>
  <c r="T293" i="2"/>
  <c r="R293" i="2"/>
  <c r="P293" i="2"/>
  <c r="BK293" i="2"/>
  <c r="J293" i="2"/>
  <c r="BF293" i="2" s="1"/>
  <c r="BI292" i="2"/>
  <c r="BH292" i="2"/>
  <c r="BG292" i="2"/>
  <c r="BE292" i="2"/>
  <c r="T292" i="2"/>
  <c r="R292" i="2"/>
  <c r="P292" i="2"/>
  <c r="BK292" i="2"/>
  <c r="J292" i="2"/>
  <c r="BF292" i="2" s="1"/>
  <c r="BI287" i="2"/>
  <c r="BH287" i="2"/>
  <c r="BG287" i="2"/>
  <c r="BE287" i="2"/>
  <c r="T287" i="2"/>
  <c r="R287" i="2"/>
  <c r="P287" i="2"/>
  <c r="BK287" i="2"/>
  <c r="J287" i="2"/>
  <c r="BF287" i="2" s="1"/>
  <c r="BI284" i="2"/>
  <c r="BH284" i="2"/>
  <c r="BG284" i="2"/>
  <c r="BE284" i="2"/>
  <c r="T284" i="2"/>
  <c r="R284" i="2"/>
  <c r="P284" i="2"/>
  <c r="BK284" i="2"/>
  <c r="J284" i="2"/>
  <c r="BF284" i="2" s="1"/>
  <c r="BI283" i="2"/>
  <c r="BH283" i="2"/>
  <c r="BG283" i="2"/>
  <c r="BE283" i="2"/>
  <c r="T283" i="2"/>
  <c r="R283" i="2"/>
  <c r="P283" i="2"/>
  <c r="BK283" i="2"/>
  <c r="J283" i="2"/>
  <c r="BF283" i="2" s="1"/>
  <c r="BI280" i="2"/>
  <c r="BH280" i="2"/>
  <c r="BG280" i="2"/>
  <c r="BE280" i="2"/>
  <c r="T280" i="2"/>
  <c r="T279" i="2" s="1"/>
  <c r="R280" i="2"/>
  <c r="R279" i="2" s="1"/>
  <c r="P280" i="2"/>
  <c r="P279" i="2" s="1"/>
  <c r="BK280" i="2"/>
  <c r="BK279" i="2" s="1"/>
  <c r="J279" i="2" s="1"/>
  <c r="J108" i="2" s="1"/>
  <c r="J280" i="2"/>
  <c r="BF280" i="2" s="1"/>
  <c r="BI278" i="2"/>
  <c r="BH278" i="2"/>
  <c r="BG278" i="2"/>
  <c r="BE278" i="2"/>
  <c r="T278" i="2"/>
  <c r="R278" i="2"/>
  <c r="P278" i="2"/>
  <c r="BK278" i="2"/>
  <c r="J278" i="2"/>
  <c r="BF278" i="2" s="1"/>
  <c r="BI277" i="2"/>
  <c r="BH277" i="2"/>
  <c r="BG277" i="2"/>
  <c r="BE277" i="2"/>
  <c r="T277" i="2"/>
  <c r="R277" i="2"/>
  <c r="P277" i="2"/>
  <c r="BK277" i="2"/>
  <c r="J277" i="2"/>
  <c r="BF277" i="2" s="1"/>
  <c r="BI276" i="2"/>
  <c r="BH276" i="2"/>
  <c r="BG276" i="2"/>
  <c r="BE276" i="2"/>
  <c r="T276" i="2"/>
  <c r="R276" i="2"/>
  <c r="P276" i="2"/>
  <c r="BK276" i="2"/>
  <c r="J276" i="2"/>
  <c r="BF276" i="2" s="1"/>
  <c r="BI275" i="2"/>
  <c r="BH275" i="2"/>
  <c r="BG275" i="2"/>
  <c r="BE275" i="2"/>
  <c r="T275" i="2"/>
  <c r="R275" i="2"/>
  <c r="P275" i="2"/>
  <c r="BK275" i="2"/>
  <c r="J275" i="2"/>
  <c r="BF275" i="2" s="1"/>
  <c r="BI274" i="2"/>
  <c r="BH274" i="2"/>
  <c r="BG274" i="2"/>
  <c r="BE274" i="2"/>
  <c r="T274" i="2"/>
  <c r="R274" i="2"/>
  <c r="P274" i="2"/>
  <c r="BK274" i="2"/>
  <c r="J274" i="2"/>
  <c r="BF274" i="2" s="1"/>
  <c r="BI273" i="2"/>
  <c r="BH273" i="2"/>
  <c r="BG273" i="2"/>
  <c r="BE273" i="2"/>
  <c r="T273" i="2"/>
  <c r="R273" i="2"/>
  <c r="P273" i="2"/>
  <c r="BK273" i="2"/>
  <c r="J273" i="2"/>
  <c r="BF273" i="2" s="1"/>
  <c r="BI271" i="2"/>
  <c r="BH271" i="2"/>
  <c r="BG271" i="2"/>
  <c r="BE271" i="2"/>
  <c r="T271" i="2"/>
  <c r="R271" i="2"/>
  <c r="P271" i="2"/>
  <c r="BK271" i="2"/>
  <c r="J271" i="2"/>
  <c r="BF271" i="2" s="1"/>
  <c r="BI270" i="2"/>
  <c r="BH270" i="2"/>
  <c r="BG270" i="2"/>
  <c r="BE270" i="2"/>
  <c r="T270" i="2"/>
  <c r="R270" i="2"/>
  <c r="P270" i="2"/>
  <c r="BK270" i="2"/>
  <c r="J270" i="2"/>
  <c r="BF270" i="2" s="1"/>
  <c r="BI269" i="2"/>
  <c r="BH269" i="2"/>
  <c r="BG269" i="2"/>
  <c r="BE269" i="2"/>
  <c r="T269" i="2"/>
  <c r="R269" i="2"/>
  <c r="P269" i="2"/>
  <c r="BK269" i="2"/>
  <c r="J269" i="2"/>
  <c r="BF269" i="2" s="1"/>
  <c r="BI268" i="2"/>
  <c r="BH268" i="2"/>
  <c r="BG268" i="2"/>
  <c r="BE268" i="2"/>
  <c r="T268" i="2"/>
  <c r="R268" i="2"/>
  <c r="P268" i="2"/>
  <c r="BK268" i="2"/>
  <c r="J268" i="2"/>
  <c r="BF268" i="2" s="1"/>
  <c r="BI264" i="2"/>
  <c r="BH264" i="2"/>
  <c r="BG264" i="2"/>
  <c r="BE264" i="2"/>
  <c r="T264" i="2"/>
  <c r="R264" i="2"/>
  <c r="P264" i="2"/>
  <c r="BK264" i="2"/>
  <c r="J264" i="2"/>
  <c r="BF264" i="2" s="1"/>
  <c r="BI263" i="2"/>
  <c r="BH263" i="2"/>
  <c r="BG263" i="2"/>
  <c r="BE263" i="2"/>
  <c r="T263" i="2"/>
  <c r="R263" i="2"/>
  <c r="P263" i="2"/>
  <c r="BK263" i="2"/>
  <c r="J263" i="2"/>
  <c r="BF263" i="2" s="1"/>
  <c r="BI262" i="2"/>
  <c r="BH262" i="2"/>
  <c r="BG262" i="2"/>
  <c r="BE262" i="2"/>
  <c r="T262" i="2"/>
  <c r="R262" i="2"/>
  <c r="P262" i="2"/>
  <c r="BK262" i="2"/>
  <c r="J262" i="2"/>
  <c r="BF262" i="2" s="1"/>
  <c r="BI261" i="2"/>
  <c r="BH261" i="2"/>
  <c r="BG261" i="2"/>
  <c r="BE261" i="2"/>
  <c r="T261" i="2"/>
  <c r="R261" i="2"/>
  <c r="P261" i="2"/>
  <c r="BK261" i="2"/>
  <c r="J261" i="2"/>
  <c r="BF261" i="2" s="1"/>
  <c r="BI259" i="2"/>
  <c r="BH259" i="2"/>
  <c r="BG259" i="2"/>
  <c r="BE259" i="2"/>
  <c r="T259" i="2"/>
  <c r="R259" i="2"/>
  <c r="P259" i="2"/>
  <c r="BK259" i="2"/>
  <c r="J259" i="2"/>
  <c r="BF259" i="2" s="1"/>
  <c r="BI258" i="2"/>
  <c r="BH258" i="2"/>
  <c r="BG258" i="2"/>
  <c r="BE258" i="2"/>
  <c r="T258" i="2"/>
  <c r="R258" i="2"/>
  <c r="P258" i="2"/>
  <c r="BK258" i="2"/>
  <c r="J258" i="2"/>
  <c r="BF258" i="2" s="1"/>
  <c r="BI257" i="2"/>
  <c r="BH257" i="2"/>
  <c r="BG257" i="2"/>
  <c r="BE257" i="2"/>
  <c r="T257" i="2"/>
  <c r="R257" i="2"/>
  <c r="P257" i="2"/>
  <c r="BK257" i="2"/>
  <c r="J257" i="2"/>
  <c r="BF257" i="2" s="1"/>
  <c r="BI256" i="2"/>
  <c r="BH256" i="2"/>
  <c r="BG256" i="2"/>
  <c r="BE256" i="2"/>
  <c r="T256" i="2"/>
  <c r="R256" i="2"/>
  <c r="P256" i="2"/>
  <c r="BK256" i="2"/>
  <c r="J256" i="2"/>
  <c r="BF256" i="2" s="1"/>
  <c r="BI255" i="2"/>
  <c r="BH255" i="2"/>
  <c r="BG255" i="2"/>
  <c r="BE255" i="2"/>
  <c r="T255" i="2"/>
  <c r="R255" i="2"/>
  <c r="P255" i="2"/>
  <c r="BK255" i="2"/>
  <c r="J255" i="2"/>
  <c r="BF255" i="2" s="1"/>
  <c r="BI254" i="2"/>
  <c r="BH254" i="2"/>
  <c r="BG254" i="2"/>
  <c r="BE254" i="2"/>
  <c r="T254" i="2"/>
  <c r="R254" i="2"/>
  <c r="P254" i="2"/>
  <c r="BK254" i="2"/>
  <c r="J254" i="2"/>
  <c r="BF254" i="2" s="1"/>
  <c r="BI253" i="2"/>
  <c r="BH253" i="2"/>
  <c r="BG253" i="2"/>
  <c r="BE253" i="2"/>
  <c r="T253" i="2"/>
  <c r="R253" i="2"/>
  <c r="P253" i="2"/>
  <c r="BK253" i="2"/>
  <c r="J253" i="2"/>
  <c r="BF253" i="2" s="1"/>
  <c r="BI252" i="2"/>
  <c r="BH252" i="2"/>
  <c r="BG252" i="2"/>
  <c r="BE252" i="2"/>
  <c r="T252" i="2"/>
  <c r="R252" i="2"/>
  <c r="P252" i="2"/>
  <c r="BK252" i="2"/>
  <c r="J252" i="2"/>
  <c r="BF252" i="2" s="1"/>
  <c r="BI251" i="2"/>
  <c r="BH251" i="2"/>
  <c r="BG251" i="2"/>
  <c r="BE251" i="2"/>
  <c r="T251" i="2"/>
  <c r="R251" i="2"/>
  <c r="P251" i="2"/>
  <c r="BK251" i="2"/>
  <c r="J251" i="2"/>
  <c r="BF251" i="2" s="1"/>
  <c r="BI250" i="2"/>
  <c r="BH250" i="2"/>
  <c r="BG250" i="2"/>
  <c r="BE250" i="2"/>
  <c r="T250" i="2"/>
  <c r="R250" i="2"/>
  <c r="P250" i="2"/>
  <c r="BK250" i="2"/>
  <c r="J250" i="2"/>
  <c r="BF250" i="2" s="1"/>
  <c r="BI249" i="2"/>
  <c r="BH249" i="2"/>
  <c r="BG249" i="2"/>
  <c r="BE249" i="2"/>
  <c r="T249" i="2"/>
  <c r="R249" i="2"/>
  <c r="P249" i="2"/>
  <c r="BK249" i="2"/>
  <c r="J249" i="2"/>
  <c r="BF249" i="2" s="1"/>
  <c r="BI248" i="2"/>
  <c r="BH248" i="2"/>
  <c r="BG248" i="2"/>
  <c r="BE248" i="2"/>
  <c r="T248" i="2"/>
  <c r="R248" i="2"/>
  <c r="P248" i="2"/>
  <c r="BK248" i="2"/>
  <c r="J248" i="2"/>
  <c r="BF248" i="2" s="1"/>
  <c r="BI247" i="2"/>
  <c r="BH247" i="2"/>
  <c r="BG247" i="2"/>
  <c r="BE247" i="2"/>
  <c r="T247" i="2"/>
  <c r="R247" i="2"/>
  <c r="P247" i="2"/>
  <c r="BK247" i="2"/>
  <c r="J247" i="2"/>
  <c r="BF247" i="2" s="1"/>
  <c r="BI246" i="2"/>
  <c r="BH246" i="2"/>
  <c r="BG246" i="2"/>
  <c r="BE246" i="2"/>
  <c r="T246" i="2"/>
  <c r="R246" i="2"/>
  <c r="P246" i="2"/>
  <c r="BK246" i="2"/>
  <c r="J246" i="2"/>
  <c r="BF246" i="2" s="1"/>
  <c r="BI245" i="2"/>
  <c r="BH245" i="2"/>
  <c r="BG245" i="2"/>
  <c r="BE245" i="2"/>
  <c r="T245" i="2"/>
  <c r="R245" i="2"/>
  <c r="P245" i="2"/>
  <c r="BK245" i="2"/>
  <c r="J245" i="2"/>
  <c r="BF245" i="2" s="1"/>
  <c r="BI244" i="2"/>
  <c r="BH244" i="2"/>
  <c r="BG244" i="2"/>
  <c r="BE244" i="2"/>
  <c r="T244" i="2"/>
  <c r="R244" i="2"/>
  <c r="P244" i="2"/>
  <c r="BK244" i="2"/>
  <c r="J244" i="2"/>
  <c r="BF244" i="2" s="1"/>
  <c r="BI243" i="2"/>
  <c r="BH243" i="2"/>
  <c r="BG243" i="2"/>
  <c r="BE243" i="2"/>
  <c r="T243" i="2"/>
  <c r="R243" i="2"/>
  <c r="P243" i="2"/>
  <c r="BK243" i="2"/>
  <c r="J243" i="2"/>
  <c r="BF243" i="2" s="1"/>
  <c r="BI241" i="2"/>
  <c r="BH241" i="2"/>
  <c r="BG241" i="2"/>
  <c r="BE241" i="2"/>
  <c r="T241" i="2"/>
  <c r="R241" i="2"/>
  <c r="P241" i="2"/>
  <c r="BK241" i="2"/>
  <c r="J241" i="2"/>
  <c r="BF241" i="2" s="1"/>
  <c r="BI239" i="2"/>
  <c r="BH239" i="2"/>
  <c r="BG239" i="2"/>
  <c r="BE239" i="2"/>
  <c r="T239" i="2"/>
  <c r="R239" i="2"/>
  <c r="P239" i="2"/>
  <c r="BK239" i="2"/>
  <c r="J239" i="2"/>
  <c r="BF239" i="2" s="1"/>
  <c r="BI238" i="2"/>
  <c r="BH238" i="2"/>
  <c r="BG238" i="2"/>
  <c r="BE238" i="2"/>
  <c r="T238" i="2"/>
  <c r="R238" i="2"/>
  <c r="P238" i="2"/>
  <c r="BK238" i="2"/>
  <c r="J238" i="2"/>
  <c r="BF238" i="2" s="1"/>
  <c r="BI237" i="2"/>
  <c r="BH237" i="2"/>
  <c r="BG237" i="2"/>
  <c r="BE237" i="2"/>
  <c r="T237" i="2"/>
  <c r="R237" i="2"/>
  <c r="P237" i="2"/>
  <c r="BK237" i="2"/>
  <c r="J237" i="2"/>
  <c r="BF237" i="2" s="1"/>
  <c r="BI236" i="2"/>
  <c r="BH236" i="2"/>
  <c r="BG236" i="2"/>
  <c r="BE236" i="2"/>
  <c r="T236" i="2"/>
  <c r="R236" i="2"/>
  <c r="P236" i="2"/>
  <c r="BK236" i="2"/>
  <c r="J236" i="2"/>
  <c r="BF236" i="2" s="1"/>
  <c r="BI227" i="2"/>
  <c r="BH227" i="2"/>
  <c r="BG227" i="2"/>
  <c r="BE227" i="2"/>
  <c r="T227" i="2"/>
  <c r="R227" i="2"/>
  <c r="P227" i="2"/>
  <c r="BK227" i="2"/>
  <c r="J227" i="2"/>
  <c r="BF227" i="2" s="1"/>
  <c r="BI225" i="2"/>
  <c r="BH225" i="2"/>
  <c r="BG225" i="2"/>
  <c r="BE225" i="2"/>
  <c r="T225" i="2"/>
  <c r="R225" i="2"/>
  <c r="P225" i="2"/>
  <c r="BK225" i="2"/>
  <c r="J225" i="2"/>
  <c r="BF225" i="2" s="1"/>
  <c r="BI224" i="2"/>
  <c r="BH224" i="2"/>
  <c r="BG224" i="2"/>
  <c r="BE224" i="2"/>
  <c r="T224" i="2"/>
  <c r="R224" i="2"/>
  <c r="P224" i="2"/>
  <c r="BK224" i="2"/>
  <c r="J224" i="2"/>
  <c r="BF224" i="2" s="1"/>
  <c r="BI219" i="2"/>
  <c r="BH219" i="2"/>
  <c r="BG219" i="2"/>
  <c r="BE219" i="2"/>
  <c r="T219" i="2"/>
  <c r="T218" i="2" s="1"/>
  <c r="R219" i="2"/>
  <c r="R218" i="2" s="1"/>
  <c r="P219" i="2"/>
  <c r="P218" i="2" s="1"/>
  <c r="BK219" i="2"/>
  <c r="BK218" i="2" s="1"/>
  <c r="J218" i="2" s="1"/>
  <c r="J105" i="2" s="1"/>
  <c r="J219" i="2"/>
  <c r="BF219" i="2" s="1"/>
  <c r="BI217" i="2"/>
  <c r="BH217" i="2"/>
  <c r="BG217" i="2"/>
  <c r="BE217" i="2"/>
  <c r="T217" i="2"/>
  <c r="T216" i="2" s="1"/>
  <c r="R217" i="2"/>
  <c r="R216" i="2" s="1"/>
  <c r="P217" i="2"/>
  <c r="P216" i="2" s="1"/>
  <c r="BK217" i="2"/>
  <c r="BK216" i="2" s="1"/>
  <c r="J216" i="2" s="1"/>
  <c r="J104" i="2" s="1"/>
  <c r="J217" i="2"/>
  <c r="BF217" i="2" s="1"/>
  <c r="BI207" i="2"/>
  <c r="BH207" i="2"/>
  <c r="BG207" i="2"/>
  <c r="BE207" i="2"/>
  <c r="T207" i="2"/>
  <c r="R207" i="2"/>
  <c r="P207" i="2"/>
  <c r="BK207" i="2"/>
  <c r="J207" i="2"/>
  <c r="BF207" i="2" s="1"/>
  <c r="BI204" i="2"/>
  <c r="BH204" i="2"/>
  <c r="BG204" i="2"/>
  <c r="BE204" i="2"/>
  <c r="T204" i="2"/>
  <c r="R204" i="2"/>
  <c r="P204" i="2"/>
  <c r="BK204" i="2"/>
  <c r="J204" i="2"/>
  <c r="BF204" i="2" s="1"/>
  <c r="BI203" i="2"/>
  <c r="BH203" i="2"/>
  <c r="BG203" i="2"/>
  <c r="BE203" i="2"/>
  <c r="T203" i="2"/>
  <c r="R203" i="2"/>
  <c r="P203" i="2"/>
  <c r="BK203" i="2"/>
  <c r="J203" i="2"/>
  <c r="BF203" i="2" s="1"/>
  <c r="BI201" i="2"/>
  <c r="BH201" i="2"/>
  <c r="BG201" i="2"/>
  <c r="BE201" i="2"/>
  <c r="T201" i="2"/>
  <c r="R201" i="2"/>
  <c r="P201" i="2"/>
  <c r="BK201" i="2"/>
  <c r="J201" i="2"/>
  <c r="BF201" i="2" s="1"/>
  <c r="BI200" i="2"/>
  <c r="BH200" i="2"/>
  <c r="BG200" i="2"/>
  <c r="BE200" i="2"/>
  <c r="T200" i="2"/>
  <c r="R200" i="2"/>
  <c r="P200" i="2"/>
  <c r="BK200" i="2"/>
  <c r="J200" i="2"/>
  <c r="BF200" i="2" s="1"/>
  <c r="BI199" i="2"/>
  <c r="BH199" i="2"/>
  <c r="BG199" i="2"/>
  <c r="BE199" i="2"/>
  <c r="T199" i="2"/>
  <c r="R199" i="2"/>
  <c r="P199" i="2"/>
  <c r="BK199" i="2"/>
  <c r="J199" i="2"/>
  <c r="BF199" i="2" s="1"/>
  <c r="BI198" i="2"/>
  <c r="BH198" i="2"/>
  <c r="BG198" i="2"/>
  <c r="BE198" i="2"/>
  <c r="T198" i="2"/>
  <c r="R198" i="2"/>
  <c r="P198" i="2"/>
  <c r="BK198" i="2"/>
  <c r="J198" i="2"/>
  <c r="BF198" i="2" s="1"/>
  <c r="BI197" i="2"/>
  <c r="BH197" i="2"/>
  <c r="BG197" i="2"/>
  <c r="BE197" i="2"/>
  <c r="T197" i="2"/>
  <c r="R197" i="2"/>
  <c r="P197" i="2"/>
  <c r="BK197" i="2"/>
  <c r="J197" i="2"/>
  <c r="BF197" i="2" s="1"/>
  <c r="BI196" i="2"/>
  <c r="BH196" i="2"/>
  <c r="BG196" i="2"/>
  <c r="BE196" i="2"/>
  <c r="T196" i="2"/>
  <c r="R196" i="2"/>
  <c r="P196" i="2"/>
  <c r="BK196" i="2"/>
  <c r="J196" i="2"/>
  <c r="BF196" i="2" s="1"/>
  <c r="BI195" i="2"/>
  <c r="BH195" i="2"/>
  <c r="BG195" i="2"/>
  <c r="BE195" i="2"/>
  <c r="T195" i="2"/>
  <c r="R195" i="2"/>
  <c r="P195" i="2"/>
  <c r="BK195" i="2"/>
  <c r="J195" i="2"/>
  <c r="BF195" i="2" s="1"/>
  <c r="BI194" i="2"/>
  <c r="BH194" i="2"/>
  <c r="BG194" i="2"/>
  <c r="BE194" i="2"/>
  <c r="T194" i="2"/>
  <c r="R194" i="2"/>
  <c r="P194" i="2"/>
  <c r="BK194" i="2"/>
  <c r="J194" i="2"/>
  <c r="BF194" i="2" s="1"/>
  <c r="BI193" i="2"/>
  <c r="BH193" i="2"/>
  <c r="BG193" i="2"/>
  <c r="BE193" i="2"/>
  <c r="T193" i="2"/>
  <c r="R193" i="2"/>
  <c r="P193" i="2"/>
  <c r="BK193" i="2"/>
  <c r="J193" i="2"/>
  <c r="BF193" i="2" s="1"/>
  <c r="BI192" i="2"/>
  <c r="BH192" i="2"/>
  <c r="BG192" i="2"/>
  <c r="BE192" i="2"/>
  <c r="T192" i="2"/>
  <c r="R192" i="2"/>
  <c r="P192" i="2"/>
  <c r="BK192" i="2"/>
  <c r="J192" i="2"/>
  <c r="BF192" i="2" s="1"/>
  <c r="BI191" i="2"/>
  <c r="BH191" i="2"/>
  <c r="BG191" i="2"/>
  <c r="BE191" i="2"/>
  <c r="T191" i="2"/>
  <c r="R191" i="2"/>
  <c r="P191" i="2"/>
  <c r="BK191" i="2"/>
  <c r="J191" i="2"/>
  <c r="BF191" i="2" s="1"/>
  <c r="BI190" i="2"/>
  <c r="BH190" i="2"/>
  <c r="BG190" i="2"/>
  <c r="BE190" i="2"/>
  <c r="T190" i="2"/>
  <c r="R190" i="2"/>
  <c r="P190" i="2"/>
  <c r="BK190" i="2"/>
  <c r="J190" i="2"/>
  <c r="BF190" i="2" s="1"/>
  <c r="BI189" i="2"/>
  <c r="BH189" i="2"/>
  <c r="BG189" i="2"/>
  <c r="BE189" i="2"/>
  <c r="T189" i="2"/>
  <c r="R189" i="2"/>
  <c r="P189" i="2"/>
  <c r="BK189" i="2"/>
  <c r="J189" i="2"/>
  <c r="BF189" i="2" s="1"/>
  <c r="BI188" i="2"/>
  <c r="BH188" i="2"/>
  <c r="BG188" i="2"/>
  <c r="BE188" i="2"/>
  <c r="T188" i="2"/>
  <c r="R188" i="2"/>
  <c r="P188" i="2"/>
  <c r="BK188" i="2"/>
  <c r="J188" i="2"/>
  <c r="BF188" i="2" s="1"/>
  <c r="BI187" i="2"/>
  <c r="BH187" i="2"/>
  <c r="BG187" i="2"/>
  <c r="BE187" i="2"/>
  <c r="T187" i="2"/>
  <c r="R187" i="2"/>
  <c r="P187" i="2"/>
  <c r="BK187" i="2"/>
  <c r="J187" i="2"/>
  <c r="BF187" i="2" s="1"/>
  <c r="BI186" i="2"/>
  <c r="BH186" i="2"/>
  <c r="BG186" i="2"/>
  <c r="BE186" i="2"/>
  <c r="T186" i="2"/>
  <c r="R186" i="2"/>
  <c r="P186" i="2"/>
  <c r="BK186" i="2"/>
  <c r="J186" i="2"/>
  <c r="BF186" i="2" s="1"/>
  <c r="BI185" i="2"/>
  <c r="BH185" i="2"/>
  <c r="BG185" i="2"/>
  <c r="BE185" i="2"/>
  <c r="T185" i="2"/>
  <c r="R185" i="2"/>
  <c r="P185" i="2"/>
  <c r="BK185" i="2"/>
  <c r="J185" i="2"/>
  <c r="BF185" i="2" s="1"/>
  <c r="BI184" i="2"/>
  <c r="BH184" i="2"/>
  <c r="BG184" i="2"/>
  <c r="BE184" i="2"/>
  <c r="T184" i="2"/>
  <c r="R184" i="2"/>
  <c r="P184" i="2"/>
  <c r="BK184" i="2"/>
  <c r="J184" i="2"/>
  <c r="BF184" i="2" s="1"/>
  <c r="BI183" i="2"/>
  <c r="BH183" i="2"/>
  <c r="BG183" i="2"/>
  <c r="BE183" i="2"/>
  <c r="T183" i="2"/>
  <c r="R183" i="2"/>
  <c r="P183" i="2"/>
  <c r="BK183" i="2"/>
  <c r="J183" i="2"/>
  <c r="BF183" i="2" s="1"/>
  <c r="BI182" i="2"/>
  <c r="BH182" i="2"/>
  <c r="BG182" i="2"/>
  <c r="BE182" i="2"/>
  <c r="T182" i="2"/>
  <c r="R182" i="2"/>
  <c r="P182" i="2"/>
  <c r="BK182" i="2"/>
  <c r="J182" i="2"/>
  <c r="BF182" i="2" s="1"/>
  <c r="BI180" i="2"/>
  <c r="BH180" i="2"/>
  <c r="BG180" i="2"/>
  <c r="BE180" i="2"/>
  <c r="T180" i="2"/>
  <c r="R180" i="2"/>
  <c r="P180" i="2"/>
  <c r="BK180" i="2"/>
  <c r="J180" i="2"/>
  <c r="BF180" i="2" s="1"/>
  <c r="BI179" i="2"/>
  <c r="BH179" i="2"/>
  <c r="BG179" i="2"/>
  <c r="BE179" i="2"/>
  <c r="T179" i="2"/>
  <c r="R179" i="2"/>
  <c r="P179" i="2"/>
  <c r="BK179" i="2"/>
  <c r="J179" i="2"/>
  <c r="BF179" i="2" s="1"/>
  <c r="BI178" i="2"/>
  <c r="BH178" i="2"/>
  <c r="BG178" i="2"/>
  <c r="BE178" i="2"/>
  <c r="T178" i="2"/>
  <c r="R178" i="2"/>
  <c r="P178" i="2"/>
  <c r="BK178" i="2"/>
  <c r="J178" i="2"/>
  <c r="BF178" i="2" s="1"/>
  <c r="BI176" i="2"/>
  <c r="BH176" i="2"/>
  <c r="BG176" i="2"/>
  <c r="BE176" i="2"/>
  <c r="T176" i="2"/>
  <c r="T175" i="2" s="1"/>
  <c r="R176" i="2"/>
  <c r="R175" i="2" s="1"/>
  <c r="P176" i="2"/>
  <c r="P175" i="2" s="1"/>
  <c r="BK176" i="2"/>
  <c r="BK175" i="2" s="1"/>
  <c r="J175" i="2" s="1"/>
  <c r="J101" i="2" s="1"/>
  <c r="J176" i="2"/>
  <c r="BF176" i="2" s="1"/>
  <c r="BI174" i="2"/>
  <c r="BH174" i="2"/>
  <c r="BG174" i="2"/>
  <c r="BE174" i="2"/>
  <c r="T174" i="2"/>
  <c r="R174" i="2"/>
  <c r="P174" i="2"/>
  <c r="BK174" i="2"/>
  <c r="J174" i="2"/>
  <c r="BF174" i="2" s="1"/>
  <c r="BI173" i="2"/>
  <c r="BH173" i="2"/>
  <c r="BG173" i="2"/>
  <c r="BE173" i="2"/>
  <c r="T173" i="2"/>
  <c r="R173" i="2"/>
  <c r="P173" i="2"/>
  <c r="BK173" i="2"/>
  <c r="J173" i="2"/>
  <c r="BF173" i="2" s="1"/>
  <c r="BI172" i="2"/>
  <c r="BH172" i="2"/>
  <c r="BG172" i="2"/>
  <c r="BE172" i="2"/>
  <c r="T172" i="2"/>
  <c r="R172" i="2"/>
  <c r="P172" i="2"/>
  <c r="BK172" i="2"/>
  <c r="J172" i="2"/>
  <c r="BF172" i="2" s="1"/>
  <c r="BI171" i="2"/>
  <c r="BH171" i="2"/>
  <c r="BG171" i="2"/>
  <c r="BE171" i="2"/>
  <c r="T171" i="2"/>
  <c r="R171" i="2"/>
  <c r="P171" i="2"/>
  <c r="BK171" i="2"/>
  <c r="J171" i="2"/>
  <c r="BF171" i="2" s="1"/>
  <c r="BI170" i="2"/>
  <c r="BH170" i="2"/>
  <c r="BG170" i="2"/>
  <c r="BE170" i="2"/>
  <c r="T170" i="2"/>
  <c r="R170" i="2"/>
  <c r="P170" i="2"/>
  <c r="BK170" i="2"/>
  <c r="J170" i="2"/>
  <c r="BF170" i="2" s="1"/>
  <c r="BI169" i="2"/>
  <c r="BH169" i="2"/>
  <c r="BG169" i="2"/>
  <c r="BE169" i="2"/>
  <c r="T169" i="2"/>
  <c r="R169" i="2"/>
  <c r="P169" i="2"/>
  <c r="BK169" i="2"/>
  <c r="J169" i="2"/>
  <c r="BF169" i="2" s="1"/>
  <c r="BI167" i="2"/>
  <c r="BH167" i="2"/>
  <c r="BG167" i="2"/>
  <c r="BE167" i="2"/>
  <c r="T167" i="2"/>
  <c r="R167" i="2"/>
  <c r="P167" i="2"/>
  <c r="BK167" i="2"/>
  <c r="J167" i="2"/>
  <c r="BF167" i="2" s="1"/>
  <c r="BI166" i="2"/>
  <c r="BH166" i="2"/>
  <c r="BG166" i="2"/>
  <c r="BE166" i="2"/>
  <c r="T166" i="2"/>
  <c r="R166" i="2"/>
  <c r="P166" i="2"/>
  <c r="BK166" i="2"/>
  <c r="J166" i="2"/>
  <c r="BF166" i="2" s="1"/>
  <c r="BI165" i="2"/>
  <c r="BH165" i="2"/>
  <c r="BG165" i="2"/>
  <c r="BE165" i="2"/>
  <c r="T165" i="2"/>
  <c r="R165" i="2"/>
  <c r="P165" i="2"/>
  <c r="BK165" i="2"/>
  <c r="J165" i="2"/>
  <c r="BF165" i="2" s="1"/>
  <c r="BI164" i="2"/>
  <c r="BH164" i="2"/>
  <c r="BG164" i="2"/>
  <c r="BE164" i="2"/>
  <c r="T164" i="2"/>
  <c r="R164" i="2"/>
  <c r="P164" i="2"/>
  <c r="BK164" i="2"/>
  <c r="J164" i="2"/>
  <c r="BF164" i="2" s="1"/>
  <c r="BI161" i="2"/>
  <c r="BH161" i="2"/>
  <c r="BG161" i="2"/>
  <c r="BE161" i="2"/>
  <c r="T161" i="2"/>
  <c r="R161" i="2"/>
  <c r="P161" i="2"/>
  <c r="BK161" i="2"/>
  <c r="J161" i="2"/>
  <c r="BF161" i="2" s="1"/>
  <c r="BI158" i="2"/>
  <c r="BH158" i="2"/>
  <c r="BG158" i="2"/>
  <c r="BE158" i="2"/>
  <c r="T158" i="2"/>
  <c r="R158" i="2"/>
  <c r="P158" i="2"/>
  <c r="BK158" i="2"/>
  <c r="J158" i="2"/>
  <c r="BF158" i="2" s="1"/>
  <c r="BI157" i="2"/>
  <c r="BH157" i="2"/>
  <c r="BG157" i="2"/>
  <c r="BE157" i="2"/>
  <c r="T157" i="2"/>
  <c r="R157" i="2"/>
  <c r="P157" i="2"/>
  <c r="BK157" i="2"/>
  <c r="J157" i="2"/>
  <c r="BF157" i="2" s="1"/>
  <c r="BI156" i="2"/>
  <c r="BH156" i="2"/>
  <c r="BG156" i="2"/>
  <c r="BE156" i="2"/>
  <c r="T156" i="2"/>
  <c r="R156" i="2"/>
  <c r="P156" i="2"/>
  <c r="BK156" i="2"/>
  <c r="J156" i="2"/>
  <c r="BF156" i="2" s="1"/>
  <c r="BI155" i="2"/>
  <c r="BH155" i="2"/>
  <c r="BG155" i="2"/>
  <c r="BE155" i="2"/>
  <c r="T155" i="2"/>
  <c r="R155" i="2"/>
  <c r="P155" i="2"/>
  <c r="BK155" i="2"/>
  <c r="J155" i="2"/>
  <c r="BF155" i="2" s="1"/>
  <c r="BI154" i="2"/>
  <c r="BH154" i="2"/>
  <c r="BG154" i="2"/>
  <c r="BE154" i="2"/>
  <c r="T154" i="2"/>
  <c r="R154" i="2"/>
  <c r="P154" i="2"/>
  <c r="BK154" i="2"/>
  <c r="J154" i="2"/>
  <c r="BF154" i="2" s="1"/>
  <c r="BI153" i="2"/>
  <c r="BH153" i="2"/>
  <c r="BG153" i="2"/>
  <c r="BE153" i="2"/>
  <c r="T153" i="2"/>
  <c r="R153" i="2"/>
  <c r="P153" i="2"/>
  <c r="BK153" i="2"/>
  <c r="J153" i="2"/>
  <c r="BF153" i="2" s="1"/>
  <c r="BI152" i="2"/>
  <c r="BH152" i="2"/>
  <c r="BG152" i="2"/>
  <c r="BE152" i="2"/>
  <c r="T152" i="2"/>
  <c r="R152" i="2"/>
  <c r="P152" i="2"/>
  <c r="BK152" i="2"/>
  <c r="J152" i="2"/>
  <c r="BF152" i="2" s="1"/>
  <c r="BI149" i="2"/>
  <c r="BH149" i="2"/>
  <c r="BG149" i="2"/>
  <c r="BE149" i="2"/>
  <c r="T149" i="2"/>
  <c r="R149" i="2"/>
  <c r="P149" i="2"/>
  <c r="BK149" i="2"/>
  <c r="J149" i="2"/>
  <c r="BF149" i="2" s="1"/>
  <c r="BI148" i="2"/>
  <c r="BH148" i="2"/>
  <c r="BG148" i="2"/>
  <c r="BE148" i="2"/>
  <c r="T148" i="2"/>
  <c r="R148" i="2"/>
  <c r="P148" i="2"/>
  <c r="BK148" i="2"/>
  <c r="J148" i="2"/>
  <c r="BF148" i="2" s="1"/>
  <c r="J24" i="2"/>
  <c r="E24" i="2"/>
  <c r="J138" i="2" s="1"/>
  <c r="J23" i="2"/>
  <c r="J21" i="2"/>
  <c r="E21" i="2"/>
  <c r="J137" i="2" s="1"/>
  <c r="J20" i="2"/>
  <c r="J18" i="2"/>
  <c r="J15" i="2"/>
  <c r="E15" i="2"/>
  <c r="J14" i="2"/>
  <c r="J135" i="2"/>
  <c r="AS94" i="1"/>
  <c r="AM89" i="1"/>
  <c r="AM87" i="1"/>
  <c r="L85" i="1"/>
  <c r="J34" i="21" l="1"/>
  <c r="AW114" i="1" s="1"/>
  <c r="BK141" i="4"/>
  <c r="J141" i="4" s="1"/>
  <c r="J102" i="4" s="1"/>
  <c r="F33" i="12"/>
  <c r="AZ105" i="1" s="1"/>
  <c r="R123" i="13"/>
  <c r="R121" i="13" s="1"/>
  <c r="R120" i="13" s="1"/>
  <c r="R215" i="14"/>
  <c r="BK128" i="15"/>
  <c r="R174" i="15"/>
  <c r="T197" i="15"/>
  <c r="T316" i="20"/>
  <c r="J33" i="21"/>
  <c r="AV114" i="1" s="1"/>
  <c r="AT114" i="1" s="1"/>
  <c r="P118" i="22"/>
  <c r="P117" i="22" s="1"/>
  <c r="AU115" i="1" s="1"/>
  <c r="P144" i="26"/>
  <c r="F33" i="27"/>
  <c r="AZ120" i="1" s="1"/>
  <c r="R138" i="27"/>
  <c r="R146" i="27"/>
  <c r="BK177" i="27"/>
  <c r="J177" i="27" s="1"/>
  <c r="J102" i="27" s="1"/>
  <c r="F36" i="27"/>
  <c r="BC120" i="1" s="1"/>
  <c r="P176" i="28"/>
  <c r="T191" i="28"/>
  <c r="T133" i="30"/>
  <c r="F37" i="30"/>
  <c r="BD123" i="1" s="1"/>
  <c r="P136" i="30"/>
  <c r="P147" i="30"/>
  <c r="T118" i="12"/>
  <c r="T117" i="12" s="1"/>
  <c r="BF145" i="4"/>
  <c r="T118" i="7"/>
  <c r="T117" i="7" s="1"/>
  <c r="P118" i="7"/>
  <c r="P117" i="7" s="1"/>
  <c r="AU100" i="1" s="1"/>
  <c r="R140" i="10"/>
  <c r="P173" i="14"/>
  <c r="BK215" i="14"/>
  <c r="J215" i="14" s="1"/>
  <c r="J105" i="14" s="1"/>
  <c r="R144" i="15"/>
  <c r="F36" i="25"/>
  <c r="BC118" i="1" s="1"/>
  <c r="R125" i="26"/>
  <c r="F35" i="26"/>
  <c r="BB119" i="1" s="1"/>
  <c r="BK158" i="26"/>
  <c r="J158" i="26" s="1"/>
  <c r="J103" i="26" s="1"/>
  <c r="P128" i="27"/>
  <c r="T145" i="28"/>
  <c r="R191" i="28"/>
  <c r="P156" i="30"/>
  <c r="R121" i="10"/>
  <c r="R120" i="10" s="1"/>
  <c r="R141" i="4"/>
  <c r="R118" i="9"/>
  <c r="R117" i="9" s="1"/>
  <c r="P147" i="10"/>
  <c r="P146" i="10" s="1"/>
  <c r="R118" i="12"/>
  <c r="R117" i="12" s="1"/>
  <c r="J33" i="13"/>
  <c r="AV106" i="1" s="1"/>
  <c r="T137" i="14"/>
  <c r="F37" i="14"/>
  <c r="BD107" i="1" s="1"/>
  <c r="BK173" i="14"/>
  <c r="J173" i="14" s="1"/>
  <c r="J103" i="14" s="1"/>
  <c r="BK177" i="14"/>
  <c r="J177" i="14" s="1"/>
  <c r="J104" i="14" s="1"/>
  <c r="R177" i="14"/>
  <c r="R128" i="15"/>
  <c r="R157" i="15"/>
  <c r="BK174" i="15"/>
  <c r="J174" i="15" s="1"/>
  <c r="J102" i="15" s="1"/>
  <c r="P197" i="15"/>
  <c r="R197" i="15"/>
  <c r="BK118" i="21"/>
  <c r="F37" i="22"/>
  <c r="BD115" i="1" s="1"/>
  <c r="J33" i="25"/>
  <c r="AV118" i="1" s="1"/>
  <c r="F37" i="25"/>
  <c r="BD118" i="1" s="1"/>
  <c r="BK145" i="25"/>
  <c r="J145" i="25" s="1"/>
  <c r="J99" i="25" s="1"/>
  <c r="T144" i="26"/>
  <c r="T176" i="28"/>
  <c r="P133" i="30"/>
  <c r="T136" i="30"/>
  <c r="T147" i="30"/>
  <c r="T125" i="26"/>
  <c r="F36" i="26"/>
  <c r="BC119" i="1" s="1"/>
  <c r="P158" i="26"/>
  <c r="R158" i="26"/>
  <c r="P138" i="27"/>
  <c r="P146" i="27"/>
  <c r="T177" i="27"/>
  <c r="BK145" i="28"/>
  <c r="J145" i="28" s="1"/>
  <c r="J100" i="28" s="1"/>
  <c r="R145" i="28"/>
  <c r="R147" i="30"/>
  <c r="P171" i="30"/>
  <c r="T196" i="30"/>
  <c r="BK118" i="34"/>
  <c r="J33" i="34"/>
  <c r="AV127" i="1" s="1"/>
  <c r="F36" i="34"/>
  <c r="BC127" i="1" s="1"/>
  <c r="F33" i="34"/>
  <c r="AZ127" i="1" s="1"/>
  <c r="F36" i="40"/>
  <c r="BC133" i="1" s="1"/>
  <c r="BK164" i="40"/>
  <c r="J164" i="40" s="1"/>
  <c r="J99" i="40" s="1"/>
  <c r="BK200" i="40"/>
  <c r="J200" i="40" s="1"/>
  <c r="J100" i="40" s="1"/>
  <c r="R212" i="41"/>
  <c r="R215" i="41"/>
  <c r="R168" i="42"/>
  <c r="R252" i="42"/>
  <c r="BK268" i="42"/>
  <c r="J268" i="42" s="1"/>
  <c r="J111" i="42" s="1"/>
  <c r="T268" i="42"/>
  <c r="T307" i="42"/>
  <c r="BK361" i="42"/>
  <c r="J361" i="42" s="1"/>
  <c r="J119" i="42" s="1"/>
  <c r="BK397" i="42"/>
  <c r="J397" i="42" s="1"/>
  <c r="J123" i="42" s="1"/>
  <c r="BK172" i="43"/>
  <c r="J172" i="43" s="1"/>
  <c r="J100" i="43" s="1"/>
  <c r="BK303" i="43"/>
  <c r="J303" i="43" s="1"/>
  <c r="J114" i="43" s="1"/>
  <c r="T306" i="43"/>
  <c r="P187" i="30"/>
  <c r="F35" i="34"/>
  <c r="BB127" i="1" s="1"/>
  <c r="BK121" i="40"/>
  <c r="F37" i="40"/>
  <c r="BD133" i="1" s="1"/>
  <c r="J33" i="40"/>
  <c r="AV133" i="1" s="1"/>
  <c r="R125" i="40"/>
  <c r="P215" i="41"/>
  <c r="R235" i="41"/>
  <c r="BK275" i="41"/>
  <c r="J275" i="41" s="1"/>
  <c r="J108" i="41" s="1"/>
  <c r="R148" i="42"/>
  <c r="P168" i="42"/>
  <c r="T252" i="42"/>
  <c r="P306" i="43"/>
  <c r="AE344" i="19"/>
  <c r="AE343" i="19" s="1"/>
  <c r="AE401" i="19"/>
  <c r="R145" i="25"/>
  <c r="R120" i="25" s="1"/>
  <c r="R119" i="25" s="1"/>
  <c r="P125" i="26"/>
  <c r="F33" i="26"/>
  <c r="AZ119" i="1" s="1"/>
  <c r="F37" i="26"/>
  <c r="BD119" i="1" s="1"/>
  <c r="BK138" i="26"/>
  <c r="J138" i="26" s="1"/>
  <c r="J100" i="26" s="1"/>
  <c r="BK144" i="26"/>
  <c r="J144" i="26" s="1"/>
  <c r="J102" i="26" s="1"/>
  <c r="T158" i="26"/>
  <c r="R128" i="27"/>
  <c r="T138" i="27"/>
  <c r="T126" i="27" s="1"/>
  <c r="T125" i="27" s="1"/>
  <c r="T146" i="27"/>
  <c r="P177" i="27"/>
  <c r="R220" i="27"/>
  <c r="BK128" i="28"/>
  <c r="P191" i="28"/>
  <c r="R156" i="30"/>
  <c r="BK132" i="32"/>
  <c r="J132" i="32" s="1"/>
  <c r="J100" i="32" s="1"/>
  <c r="R118" i="34"/>
  <c r="R117" i="34" s="1"/>
  <c r="BK118" i="37"/>
  <c r="BK117" i="37" s="1"/>
  <c r="J117" i="37" s="1"/>
  <c r="J96" i="37" s="1"/>
  <c r="BK160" i="38"/>
  <c r="J160" i="38" s="1"/>
  <c r="J98" i="38" s="1"/>
  <c r="R164" i="40"/>
  <c r="R200" i="40"/>
  <c r="R121" i="40" s="1"/>
  <c r="R120" i="40" s="1"/>
  <c r="T203" i="41"/>
  <c r="P206" i="41"/>
  <c r="T235" i="41"/>
  <c r="R250" i="41"/>
  <c r="BK168" i="42"/>
  <c r="J168" i="42" s="1"/>
  <c r="J102" i="42" s="1"/>
  <c r="T168" i="42"/>
  <c r="BK252" i="42"/>
  <c r="P307" i="42"/>
  <c r="BK356" i="42"/>
  <c r="R366" i="42"/>
  <c r="P397" i="42"/>
  <c r="BK159" i="43"/>
  <c r="J159" i="43" s="1"/>
  <c r="J99" i="43" s="1"/>
  <c r="R159" i="43"/>
  <c r="T191" i="43"/>
  <c r="T323" i="43"/>
  <c r="BK253" i="41"/>
  <c r="J253" i="41" s="1"/>
  <c r="J105" i="41" s="1"/>
  <c r="T253" i="41"/>
  <c r="P253" i="41"/>
  <c r="T262" i="41"/>
  <c r="P148" i="42"/>
  <c r="BK160" i="42"/>
  <c r="J160" i="42" s="1"/>
  <c r="J101" i="42" s="1"/>
  <c r="T245" i="42"/>
  <c r="T261" i="42"/>
  <c r="R302" i="42"/>
  <c r="P392" i="42"/>
  <c r="R142" i="43"/>
  <c r="BK191" i="43"/>
  <c r="J191" i="43" s="1"/>
  <c r="J101" i="43" s="1"/>
  <c r="R210" i="43"/>
  <c r="BK215" i="43"/>
  <c r="J215" i="43" s="1"/>
  <c r="J104" i="43" s="1"/>
  <c r="P221" i="43"/>
  <c r="BK253" i="43"/>
  <c r="J253" i="43" s="1"/>
  <c r="J108" i="43" s="1"/>
  <c r="P272" i="43"/>
  <c r="R288" i="43"/>
  <c r="P297" i="43"/>
  <c r="BK306" i="43"/>
  <c r="J306" i="43" s="1"/>
  <c r="J115" i="43" s="1"/>
  <c r="R306" i="43"/>
  <c r="R335" i="43"/>
  <c r="AE173" i="5"/>
  <c r="AE164" i="5"/>
  <c r="AE213" i="5"/>
  <c r="AE362" i="19"/>
  <c r="P261" i="42"/>
  <c r="R268" i="42"/>
  <c r="T302" i="42"/>
  <c r="BK349" i="42"/>
  <c r="J349" i="42" s="1"/>
  <c r="J115" i="42" s="1"/>
  <c r="R392" i="42"/>
  <c r="R172" i="43"/>
  <c r="R206" i="43"/>
  <c r="P210" i="43"/>
  <c r="P215" i="43"/>
  <c r="BK221" i="43"/>
  <c r="BK235" i="43"/>
  <c r="J235" i="43" s="1"/>
  <c r="J107" i="43" s="1"/>
  <c r="T312" i="43"/>
  <c r="R323" i="43"/>
  <c r="T344" i="43"/>
  <c r="AE220" i="5"/>
  <c r="AE109" i="5" s="1"/>
  <c r="AE330" i="5"/>
  <c r="AE129" i="5" s="1"/>
  <c r="AE199" i="5"/>
  <c r="AE242" i="19"/>
  <c r="AE254" i="19"/>
  <c r="AE260" i="19"/>
  <c r="AE268" i="19"/>
  <c r="AE275" i="19"/>
  <c r="AE307" i="19"/>
  <c r="AE323" i="19"/>
  <c r="AE328" i="19"/>
  <c r="R206" i="41"/>
  <c r="BK215" i="41"/>
  <c r="J215" i="41" s="1"/>
  <c r="J102" i="41" s="1"/>
  <c r="BK235" i="41"/>
  <c r="J235" i="41" s="1"/>
  <c r="J103" i="41" s="1"/>
  <c r="R253" i="41"/>
  <c r="R262" i="41"/>
  <c r="R160" i="42"/>
  <c r="R200" i="42"/>
  <c r="T366" i="42"/>
  <c r="BK429" i="42"/>
  <c r="J429" i="42" s="1"/>
  <c r="J124" i="42" s="1"/>
  <c r="BK142" i="43"/>
  <c r="J142" i="43" s="1"/>
  <c r="J98" i="43" s="1"/>
  <c r="R191" i="43"/>
  <c r="T206" i="43"/>
  <c r="R253" i="43"/>
  <c r="T272" i="43"/>
  <c r="BK292" i="43"/>
  <c r="J292" i="43" s="1"/>
  <c r="J111" i="43" s="1"/>
  <c r="P312" i="43"/>
  <c r="BK323" i="43"/>
  <c r="J323" i="43" s="1"/>
  <c r="J117" i="43" s="1"/>
  <c r="P344" i="43"/>
  <c r="AE189" i="5"/>
  <c r="AE197" i="19"/>
  <c r="AE319" i="19"/>
  <c r="AE371" i="19"/>
  <c r="AE351" i="19" s="1"/>
  <c r="AE387" i="19"/>
  <c r="AE386" i="19" s="1"/>
  <c r="J114" i="9"/>
  <c r="J119" i="26"/>
  <c r="J91" i="27"/>
  <c r="J113" i="12"/>
  <c r="J92" i="12"/>
  <c r="J113" i="21"/>
  <c r="J92" i="21"/>
  <c r="J91" i="22"/>
  <c r="J114" i="22"/>
  <c r="J113" i="39"/>
  <c r="J117" i="40"/>
  <c r="J117" i="13"/>
  <c r="J141" i="42"/>
  <c r="AE228" i="19"/>
  <c r="AE192" i="19"/>
  <c r="AE214" i="19"/>
  <c r="AE107" i="19" s="1"/>
  <c r="AE318" i="19"/>
  <c r="AE219" i="19"/>
  <c r="AE249" i="19"/>
  <c r="AE163" i="19"/>
  <c r="AE272" i="19"/>
  <c r="AE310" i="19"/>
  <c r="AE177" i="19"/>
  <c r="AE206" i="19"/>
  <c r="AE106" i="19" s="1"/>
  <c r="AE283" i="19"/>
  <c r="AE119" i="19" s="1"/>
  <c r="AE291" i="19"/>
  <c r="AE183" i="19"/>
  <c r="AE188" i="19"/>
  <c r="AE110" i="19"/>
  <c r="BK125" i="36"/>
  <c r="J125" i="36" s="1"/>
  <c r="R385" i="33"/>
  <c r="T347" i="29"/>
  <c r="F37" i="20"/>
  <c r="BD113" i="1" s="1"/>
  <c r="T118" i="6"/>
  <c r="T117" i="6" s="1"/>
  <c r="F37" i="6"/>
  <c r="BD99" i="1" s="1"/>
  <c r="P118" i="34"/>
  <c r="P117" i="34" s="1"/>
  <c r="AU127" i="1" s="1"/>
  <c r="J91" i="34"/>
  <c r="J92" i="34"/>
  <c r="F37" i="34"/>
  <c r="BD127" i="1" s="1"/>
  <c r="T127" i="32"/>
  <c r="T126" i="32" s="1"/>
  <c r="F36" i="32"/>
  <c r="BC125" i="1" s="1"/>
  <c r="BK132" i="3"/>
  <c r="J132" i="3" s="1"/>
  <c r="J98" i="3" s="1"/>
  <c r="T137" i="3"/>
  <c r="R143" i="3"/>
  <c r="P166" i="3"/>
  <c r="R137" i="3"/>
  <c r="T143" i="3"/>
  <c r="T148" i="3"/>
  <c r="R170" i="3"/>
  <c r="BK148" i="3"/>
  <c r="J148" i="3" s="1"/>
  <c r="J102" i="3" s="1"/>
  <c r="BK160" i="3"/>
  <c r="R253" i="3"/>
  <c r="T132" i="3"/>
  <c r="R166" i="3"/>
  <c r="P227" i="3"/>
  <c r="AE102" i="5"/>
  <c r="AE100" i="5"/>
  <c r="AE107" i="5"/>
  <c r="R190" i="30"/>
  <c r="BK196" i="30"/>
  <c r="J196" i="30" s="1"/>
  <c r="J107" i="30" s="1"/>
  <c r="T205" i="30"/>
  <c r="T204" i="30" s="1"/>
  <c r="R205" i="30"/>
  <c r="R204" i="30" s="1"/>
  <c r="T171" i="30"/>
  <c r="BK187" i="30"/>
  <c r="J187" i="30" s="1"/>
  <c r="J105" i="30" s="1"/>
  <c r="BK179" i="30"/>
  <c r="J179" i="30" s="1"/>
  <c r="J104" i="30" s="1"/>
  <c r="R179" i="30"/>
  <c r="P190" i="30"/>
  <c r="P270" i="29"/>
  <c r="P169" i="29"/>
  <c r="BK209" i="29"/>
  <c r="J209" i="29" s="1"/>
  <c r="J103" i="29" s="1"/>
  <c r="T261" i="29"/>
  <c r="R140" i="29"/>
  <c r="T265" i="29"/>
  <c r="BK270" i="29"/>
  <c r="J270" i="29" s="1"/>
  <c r="J109" i="29" s="1"/>
  <c r="P284" i="29"/>
  <c r="P332" i="29"/>
  <c r="BK347" i="29"/>
  <c r="J347" i="29" s="1"/>
  <c r="J118" i="29" s="1"/>
  <c r="T169" i="29"/>
  <c r="T140" i="29"/>
  <c r="R169" i="29"/>
  <c r="R200" i="29"/>
  <c r="R209" i="29"/>
  <c r="T225" i="29"/>
  <c r="P265" i="29"/>
  <c r="R274" i="29"/>
  <c r="R288" i="29"/>
  <c r="R303" i="29"/>
  <c r="R324" i="29"/>
  <c r="R332" i="29"/>
  <c r="R341" i="29"/>
  <c r="P140" i="29"/>
  <c r="P225" i="29"/>
  <c r="T341" i="29"/>
  <c r="P347" i="29"/>
  <c r="BK200" i="29"/>
  <c r="J200" i="29" s="1"/>
  <c r="J101" i="29" s="1"/>
  <c r="T209" i="29"/>
  <c r="P209" i="29"/>
  <c r="BK284" i="29"/>
  <c r="J284" i="29" s="1"/>
  <c r="J112" i="29" s="1"/>
  <c r="R347" i="29"/>
  <c r="BK169" i="29"/>
  <c r="J169" i="29" s="1"/>
  <c r="J100" i="29" s="1"/>
  <c r="BK265" i="29"/>
  <c r="J265" i="29" s="1"/>
  <c r="J108" i="29" s="1"/>
  <c r="BK140" i="29"/>
  <c r="J140" i="29" s="1"/>
  <c r="J98" i="29" s="1"/>
  <c r="T200" i="29"/>
  <c r="P200" i="29"/>
  <c r="BK225" i="29"/>
  <c r="J225" i="29" s="1"/>
  <c r="J104" i="29" s="1"/>
  <c r="R225" i="29"/>
  <c r="P261" i="29"/>
  <c r="R261" i="29"/>
  <c r="R284" i="29"/>
  <c r="R270" i="29"/>
  <c r="BK274" i="29"/>
  <c r="J274" i="29" s="1"/>
  <c r="J110" i="29" s="1"/>
  <c r="R280" i="29"/>
  <c r="T303" i="29"/>
  <c r="T173" i="31"/>
  <c r="P132" i="30"/>
  <c r="T132" i="30"/>
  <c r="F35" i="30"/>
  <c r="BB123" i="1" s="1"/>
  <c r="R171" i="30"/>
  <c r="P179" i="30"/>
  <c r="BK190" i="30"/>
  <c r="J190" i="30" s="1"/>
  <c r="J106" i="30" s="1"/>
  <c r="R196" i="30"/>
  <c r="F36" i="30"/>
  <c r="BC123" i="1" s="1"/>
  <c r="P196" i="30"/>
  <c r="J127" i="30"/>
  <c r="BK136" i="30"/>
  <c r="J136" i="30" s="1"/>
  <c r="J99" i="30" s="1"/>
  <c r="R136" i="30"/>
  <c r="R132" i="30" s="1"/>
  <c r="BK205" i="30"/>
  <c r="F33" i="24"/>
  <c r="AZ117" i="1" s="1"/>
  <c r="F33" i="7"/>
  <c r="AZ100" i="1" s="1"/>
  <c r="J34" i="7"/>
  <c r="AW100" i="1" s="1"/>
  <c r="R118" i="7"/>
  <c r="R117" i="7" s="1"/>
  <c r="F35" i="7"/>
  <c r="BB100" i="1" s="1"/>
  <c r="BK118" i="7"/>
  <c r="J114" i="24"/>
  <c r="R316" i="35"/>
  <c r="P119" i="35"/>
  <c r="F35" i="35"/>
  <c r="BB128" i="1" s="1"/>
  <c r="F37" i="35"/>
  <c r="BD128" i="1" s="1"/>
  <c r="R262" i="17"/>
  <c r="T174" i="38"/>
  <c r="R160" i="38"/>
  <c r="F36" i="23"/>
  <c r="BC116" i="1" s="1"/>
  <c r="F37" i="38"/>
  <c r="BD131" i="1" s="1"/>
  <c r="P160" i="38"/>
  <c r="F35" i="38"/>
  <c r="BB131" i="1" s="1"/>
  <c r="J122" i="38"/>
  <c r="J97" i="38" s="1"/>
  <c r="R168" i="38"/>
  <c r="R174" i="38"/>
  <c r="T160" i="38"/>
  <c r="BK168" i="38"/>
  <c r="J168" i="38" s="1"/>
  <c r="J100" i="38" s="1"/>
  <c r="T168" i="38"/>
  <c r="P168" i="38"/>
  <c r="BK174" i="38"/>
  <c r="J174" i="38" s="1"/>
  <c r="J101" i="38" s="1"/>
  <c r="P174" i="38"/>
  <c r="J91" i="38"/>
  <c r="J121" i="23"/>
  <c r="F35" i="23"/>
  <c r="BB116" i="1" s="1"/>
  <c r="R140" i="23"/>
  <c r="R121" i="23" s="1"/>
  <c r="R120" i="23" s="1"/>
  <c r="P148" i="23"/>
  <c r="R148" i="23"/>
  <c r="BK140" i="23"/>
  <c r="J140" i="23" s="1"/>
  <c r="J98" i="23" s="1"/>
  <c r="T140" i="23"/>
  <c r="P140" i="23"/>
  <c r="BF122" i="23"/>
  <c r="J34" i="23" s="1"/>
  <c r="AW116" i="1" s="1"/>
  <c r="BK148" i="23"/>
  <c r="J148" i="23" s="1"/>
  <c r="J100" i="23" s="1"/>
  <c r="F37" i="23"/>
  <c r="BD116" i="1" s="1"/>
  <c r="J33" i="23"/>
  <c r="AV116" i="1" s="1"/>
  <c r="P121" i="23"/>
  <c r="P120" i="23" s="1"/>
  <c r="AU116" i="1" s="1"/>
  <c r="T148" i="23"/>
  <c r="T121" i="23" s="1"/>
  <c r="T120" i="23" s="1"/>
  <c r="F33" i="10"/>
  <c r="AZ103" i="1" s="1"/>
  <c r="J34" i="10"/>
  <c r="AW103" i="1" s="1"/>
  <c r="F37" i="10"/>
  <c r="BD103" i="1" s="1"/>
  <c r="P121" i="10"/>
  <c r="T140" i="10"/>
  <c r="BK121" i="10"/>
  <c r="F36" i="10"/>
  <c r="BC103" i="1" s="1"/>
  <c r="T147" i="10"/>
  <c r="T146" i="10" s="1"/>
  <c r="T407" i="2"/>
  <c r="J134" i="29"/>
  <c r="T160" i="3"/>
  <c r="R160" i="3"/>
  <c r="T227" i="3"/>
  <c r="T166" i="3"/>
  <c r="P132" i="3"/>
  <c r="P148" i="3"/>
  <c r="T185" i="3"/>
  <c r="T253" i="3"/>
  <c r="P143" i="3"/>
  <c r="AE124" i="5"/>
  <c r="AE133" i="5"/>
  <c r="AE105" i="5"/>
  <c r="F37" i="41"/>
  <c r="BD134" i="1" s="1"/>
  <c r="F35" i="41"/>
  <c r="BB134" i="1" s="1"/>
  <c r="AE112" i="19"/>
  <c r="AE118" i="19"/>
  <c r="AE135" i="19"/>
  <c r="AE133" i="19"/>
  <c r="AE136" i="19"/>
  <c r="AE108" i="19"/>
  <c r="AE131" i="19"/>
  <c r="BK206" i="41"/>
  <c r="J206" i="41" s="1"/>
  <c r="J100" i="41" s="1"/>
  <c r="BK250" i="41"/>
  <c r="J250" i="41" s="1"/>
  <c r="J104" i="41" s="1"/>
  <c r="BK262" i="41"/>
  <c r="J262" i="41" s="1"/>
  <c r="J107" i="41" s="1"/>
  <c r="BK141" i="13"/>
  <c r="J141" i="13" s="1"/>
  <c r="J100" i="13" s="1"/>
  <c r="F33" i="13"/>
  <c r="AZ106" i="1" s="1"/>
  <c r="Z15" i="13"/>
  <c r="Z15" i="26"/>
  <c r="R129" i="41"/>
  <c r="R128" i="41" s="1"/>
  <c r="T129" i="41"/>
  <c r="T128" i="41" s="1"/>
  <c r="P129" i="41"/>
  <c r="P128" i="41" s="1"/>
  <c r="AU134" i="1" s="1"/>
  <c r="Z15" i="41"/>
  <c r="BK145" i="31"/>
  <c r="J145" i="31" s="1"/>
  <c r="J102" i="31" s="1"/>
  <c r="P145" i="31"/>
  <c r="R170" i="31"/>
  <c r="R234" i="17"/>
  <c r="T262" i="17"/>
  <c r="F37" i="36"/>
  <c r="BD129" i="1" s="1"/>
  <c r="F35" i="36"/>
  <c r="BB129" i="1" s="1"/>
  <c r="T119" i="35"/>
  <c r="BK119" i="35"/>
  <c r="J119" i="35" s="1"/>
  <c r="J97" i="35" s="1"/>
  <c r="F33" i="35"/>
  <c r="AZ128" i="1" s="1"/>
  <c r="F34" i="35"/>
  <c r="BA128" i="1" s="1"/>
  <c r="R119" i="35"/>
  <c r="R118" i="35" s="1"/>
  <c r="T316" i="35"/>
  <c r="BK316" i="35"/>
  <c r="J316" i="35" s="1"/>
  <c r="J98" i="35" s="1"/>
  <c r="F36" i="35"/>
  <c r="BC128" i="1" s="1"/>
  <c r="P316" i="35"/>
  <c r="J34" i="20"/>
  <c r="AW113" i="1" s="1"/>
  <c r="T119" i="20"/>
  <c r="T118" i="20" s="1"/>
  <c r="BK316" i="20"/>
  <c r="J316" i="20" s="1"/>
  <c r="J98" i="20" s="1"/>
  <c r="BK119" i="20"/>
  <c r="J119" i="20" s="1"/>
  <c r="J97" i="20" s="1"/>
  <c r="P316" i="20"/>
  <c r="P119" i="20"/>
  <c r="F35" i="20"/>
  <c r="BB113" i="1" s="1"/>
  <c r="R316" i="20"/>
  <c r="R119" i="20"/>
  <c r="F35" i="6"/>
  <c r="BB99" i="1" s="1"/>
  <c r="R118" i="6"/>
  <c r="R117" i="6" s="1"/>
  <c r="J33" i="6"/>
  <c r="AV99" i="1" s="1"/>
  <c r="J121" i="15"/>
  <c r="J122" i="32"/>
  <c r="AT130" i="1"/>
  <c r="J114" i="7"/>
  <c r="J113" i="9"/>
  <c r="J117" i="10"/>
  <c r="J115" i="25"/>
  <c r="J124" i="41"/>
  <c r="J137" i="43"/>
  <c r="J33" i="27"/>
  <c r="AV120" i="1" s="1"/>
  <c r="BK182" i="27"/>
  <c r="J182" i="27" s="1"/>
  <c r="J104" i="27" s="1"/>
  <c r="BK118" i="12"/>
  <c r="J33" i="12"/>
  <c r="AV105" i="1" s="1"/>
  <c r="P185" i="3"/>
  <c r="R185" i="3"/>
  <c r="BK170" i="3"/>
  <c r="J170" i="3" s="1"/>
  <c r="J107" i="3" s="1"/>
  <c r="F33" i="3"/>
  <c r="AZ96" i="1" s="1"/>
  <c r="F36" i="3"/>
  <c r="BC96" i="1" s="1"/>
  <c r="F37" i="3"/>
  <c r="BD96" i="1" s="1"/>
  <c r="F34" i="3"/>
  <c r="BA96" i="1" s="1"/>
  <c r="T380" i="16"/>
  <c r="BK339" i="43"/>
  <c r="J339" i="43" s="1"/>
  <c r="J119" i="43" s="1"/>
  <c r="R339" i="43"/>
  <c r="J33" i="43"/>
  <c r="AV136" i="1" s="1"/>
  <c r="T339" i="43"/>
  <c r="P339" i="43"/>
  <c r="BK335" i="43"/>
  <c r="J335" i="43" s="1"/>
  <c r="J118" i="43" s="1"/>
  <c r="R292" i="43"/>
  <c r="T292" i="43"/>
  <c r="P292" i="43"/>
  <c r="T288" i="43"/>
  <c r="BK288" i="43"/>
  <c r="J288" i="43" s="1"/>
  <c r="J110" i="43" s="1"/>
  <c r="P288" i="43"/>
  <c r="F33" i="43"/>
  <c r="AZ136" i="1" s="1"/>
  <c r="R141" i="43"/>
  <c r="BK210" i="43"/>
  <c r="J210" i="43" s="1"/>
  <c r="J103" i="43" s="1"/>
  <c r="F36" i="43"/>
  <c r="BC136" i="1" s="1"/>
  <c r="F35" i="43"/>
  <c r="BB136" i="1" s="1"/>
  <c r="BK206" i="43"/>
  <c r="J206" i="43" s="1"/>
  <c r="J102" i="43" s="1"/>
  <c r="F37" i="43"/>
  <c r="BD136" i="1" s="1"/>
  <c r="P206" i="43"/>
  <c r="R429" i="42"/>
  <c r="R354" i="42" s="1"/>
  <c r="T429" i="42"/>
  <c r="T392" i="42"/>
  <c r="BK392" i="42"/>
  <c r="J392" i="42" s="1"/>
  <c r="J121" i="42" s="1"/>
  <c r="P349" i="42"/>
  <c r="T349" i="42"/>
  <c r="T250" i="42" s="1"/>
  <c r="P302" i="42"/>
  <c r="P250" i="42" s="1"/>
  <c r="R250" i="42"/>
  <c r="BK302" i="42"/>
  <c r="J302" i="42" s="1"/>
  <c r="J112" i="42" s="1"/>
  <c r="P245" i="42"/>
  <c r="R245" i="42"/>
  <c r="BK245" i="42"/>
  <c r="J245" i="42" s="1"/>
  <c r="J106" i="42" s="1"/>
  <c r="J33" i="42"/>
  <c r="AV135" i="1" s="1"/>
  <c r="F36" i="42"/>
  <c r="BC135" i="1" s="1"/>
  <c r="F37" i="42"/>
  <c r="BD135" i="1" s="1"/>
  <c r="T200" i="42"/>
  <c r="F33" i="42"/>
  <c r="AZ135" i="1" s="1"/>
  <c r="R145" i="42"/>
  <c r="BK200" i="42"/>
  <c r="F35" i="42"/>
  <c r="BB135" i="1" s="1"/>
  <c r="P173" i="31"/>
  <c r="T170" i="30"/>
  <c r="T131" i="30" s="1"/>
  <c r="P170" i="30"/>
  <c r="J33" i="30"/>
  <c r="AV123" i="1" s="1"/>
  <c r="BK171" i="30"/>
  <c r="BK261" i="29"/>
  <c r="J261" i="29" s="1"/>
  <c r="J107" i="29" s="1"/>
  <c r="F35" i="29"/>
  <c r="BB122" i="1" s="1"/>
  <c r="BK341" i="29"/>
  <c r="J341" i="29" s="1"/>
  <c r="J117" i="29" s="1"/>
  <c r="F37" i="29"/>
  <c r="BD122" i="1" s="1"/>
  <c r="T332" i="29"/>
  <c r="BK332" i="29"/>
  <c r="J332" i="29" s="1"/>
  <c r="J116" i="29" s="1"/>
  <c r="BK324" i="29"/>
  <c r="J324" i="29" s="1"/>
  <c r="J115" i="29" s="1"/>
  <c r="BK303" i="29"/>
  <c r="J303" i="29" s="1"/>
  <c r="J114" i="29" s="1"/>
  <c r="BK288" i="29"/>
  <c r="J288" i="29" s="1"/>
  <c r="J113" i="29" s="1"/>
  <c r="BK280" i="29"/>
  <c r="J280" i="29" s="1"/>
  <c r="J111" i="29" s="1"/>
  <c r="P280" i="29"/>
  <c r="J33" i="29"/>
  <c r="AV122" i="1" s="1"/>
  <c r="F36" i="29"/>
  <c r="BC122" i="1" s="1"/>
  <c r="R265" i="29"/>
  <c r="F37" i="28"/>
  <c r="BD121" i="1" s="1"/>
  <c r="F35" i="28"/>
  <c r="BB121" i="1" s="1"/>
  <c r="T195" i="28"/>
  <c r="BK195" i="28"/>
  <c r="J195" i="28" s="1"/>
  <c r="J104" i="28" s="1"/>
  <c r="R195" i="28"/>
  <c r="R127" i="28" s="1"/>
  <c r="R125" i="28" s="1"/>
  <c r="T127" i="28"/>
  <c r="T125" i="28" s="1"/>
  <c r="J33" i="28"/>
  <c r="AV121" i="1" s="1"/>
  <c r="P127" i="28"/>
  <c r="P125" i="28" s="1"/>
  <c r="AU121" i="1" s="1"/>
  <c r="BK191" i="28"/>
  <c r="J191" i="28" s="1"/>
  <c r="J103" i="28" s="1"/>
  <c r="F36" i="28"/>
  <c r="BC121" i="1" s="1"/>
  <c r="F35" i="27"/>
  <c r="BB120" i="1" s="1"/>
  <c r="BK220" i="27"/>
  <c r="J220" i="27" s="1"/>
  <c r="J105" i="27" s="1"/>
  <c r="F37" i="27"/>
  <c r="BD120" i="1" s="1"/>
  <c r="F33" i="15"/>
  <c r="AZ108" i="1" s="1"/>
  <c r="J33" i="15"/>
  <c r="AV108" i="1" s="1"/>
  <c r="R192" i="15"/>
  <c r="BK192" i="15"/>
  <c r="J192" i="15" s="1"/>
  <c r="J104" i="15" s="1"/>
  <c r="P192" i="15"/>
  <c r="BK188" i="15"/>
  <c r="J188" i="15" s="1"/>
  <c r="J103" i="15" s="1"/>
  <c r="F36" i="15"/>
  <c r="BC108" i="1" s="1"/>
  <c r="T188" i="15"/>
  <c r="P188" i="15"/>
  <c r="F35" i="14"/>
  <c r="BB107" i="1" s="1"/>
  <c r="J34" i="14"/>
  <c r="AW107" i="1" s="1"/>
  <c r="F36" i="14"/>
  <c r="BC107" i="1" s="1"/>
  <c r="J97" i="36"/>
  <c r="BK146" i="36"/>
  <c r="J146" i="36" s="1"/>
  <c r="J103" i="36" s="1"/>
  <c r="J120" i="36"/>
  <c r="P190" i="8"/>
  <c r="P169" i="8"/>
  <c r="BK367" i="8"/>
  <c r="J367" i="8" s="1"/>
  <c r="J118" i="8" s="1"/>
  <c r="R504" i="8"/>
  <c r="T190" i="8"/>
  <c r="BK272" i="8"/>
  <c r="J272" i="8" s="1"/>
  <c r="J108" i="8" s="1"/>
  <c r="BK437" i="8"/>
  <c r="J437" i="8" s="1"/>
  <c r="J127" i="8" s="1"/>
  <c r="R190" i="8"/>
  <c r="BK422" i="8"/>
  <c r="J422" i="8" s="1"/>
  <c r="J125" i="8" s="1"/>
  <c r="R193" i="17"/>
  <c r="F35" i="31"/>
  <c r="BB124" i="1" s="1"/>
  <c r="R145" i="31"/>
  <c r="T170" i="31"/>
  <c r="BK195" i="31"/>
  <c r="J195" i="31" s="1"/>
  <c r="J109" i="31" s="1"/>
  <c r="R195" i="31"/>
  <c r="P220" i="31"/>
  <c r="T145" i="31"/>
  <c r="P195" i="31"/>
  <c r="T150" i="31"/>
  <c r="T164" i="31"/>
  <c r="T220" i="31"/>
  <c r="F37" i="31"/>
  <c r="BD124" i="1" s="1"/>
  <c r="P150" i="31"/>
  <c r="P170" i="31"/>
  <c r="R220" i="31"/>
  <c r="P164" i="31"/>
  <c r="BK220" i="31"/>
  <c r="J220" i="31" s="1"/>
  <c r="J110" i="31" s="1"/>
  <c r="T195" i="31"/>
  <c r="BK150" i="31"/>
  <c r="J150" i="31" s="1"/>
  <c r="J103" i="31" s="1"/>
  <c r="R150" i="31"/>
  <c r="F34" i="31"/>
  <c r="BA124" i="1" s="1"/>
  <c r="BK170" i="31"/>
  <c r="J170" i="31" s="1"/>
  <c r="J107" i="31" s="1"/>
  <c r="BK173" i="31"/>
  <c r="J173" i="31" s="1"/>
  <c r="J108" i="31" s="1"/>
  <c r="R173" i="31"/>
  <c r="J127" i="31"/>
  <c r="BK193" i="17"/>
  <c r="J193" i="17" s="1"/>
  <c r="J107" i="17" s="1"/>
  <c r="T131" i="17"/>
  <c r="T130" i="17" s="1"/>
  <c r="T168" i="17"/>
  <c r="BK168" i="17"/>
  <c r="J168" i="17" s="1"/>
  <c r="J105" i="17" s="1"/>
  <c r="BK131" i="17"/>
  <c r="J131" i="17" s="1"/>
  <c r="J98" i="17" s="1"/>
  <c r="T171" i="17"/>
  <c r="BK234" i="17"/>
  <c r="J234" i="17" s="1"/>
  <c r="J108" i="17" s="1"/>
  <c r="T234" i="17"/>
  <c r="P234" i="17"/>
  <c r="F37" i="17"/>
  <c r="BD110" i="1" s="1"/>
  <c r="R168" i="17"/>
  <c r="P168" i="17"/>
  <c r="T193" i="17"/>
  <c r="P193" i="17"/>
  <c r="P171" i="17"/>
  <c r="P131" i="17"/>
  <c r="P130" i="17" s="1"/>
  <c r="F33" i="17"/>
  <c r="AZ110" i="1" s="1"/>
  <c r="F35" i="17"/>
  <c r="BB110" i="1" s="1"/>
  <c r="BK171" i="17"/>
  <c r="J171" i="17" s="1"/>
  <c r="J106" i="17" s="1"/>
  <c r="R171" i="17"/>
  <c r="F36" i="17"/>
  <c r="BC110" i="1" s="1"/>
  <c r="R131" i="17"/>
  <c r="R130" i="17" s="1"/>
  <c r="BK262" i="17"/>
  <c r="J262" i="17" s="1"/>
  <c r="J109" i="17" s="1"/>
  <c r="J125" i="17"/>
  <c r="J92" i="17"/>
  <c r="J114" i="35"/>
  <c r="J114" i="20"/>
  <c r="J92" i="20"/>
  <c r="J114" i="6"/>
  <c r="BK118" i="6"/>
  <c r="J118" i="6" s="1"/>
  <c r="J97" i="6" s="1"/>
  <c r="J34" i="6"/>
  <c r="AW99" i="1" s="1"/>
  <c r="AT99" i="1" s="1"/>
  <c r="P118" i="6"/>
  <c r="P117" i="6" s="1"/>
  <c r="AU99" i="1" s="1"/>
  <c r="BK290" i="2"/>
  <c r="J290" i="2" s="1"/>
  <c r="J112" i="2" s="1"/>
  <c r="BK407" i="2"/>
  <c r="J407" i="2" s="1"/>
  <c r="J121" i="2" s="1"/>
  <c r="BK344" i="2"/>
  <c r="J344" i="2" s="1"/>
  <c r="J117" i="2" s="1"/>
  <c r="R344" i="2"/>
  <c r="T282" i="2"/>
  <c r="BK309" i="2"/>
  <c r="J309" i="2" s="1"/>
  <c r="J115" i="2" s="1"/>
  <c r="R147" i="2"/>
  <c r="P222" i="2"/>
  <c r="T222" i="2"/>
  <c r="T294" i="2"/>
  <c r="P294" i="2"/>
  <c r="R309" i="2"/>
  <c r="P344" i="2"/>
  <c r="BK389" i="2"/>
  <c r="J389" i="2" s="1"/>
  <c r="J119" i="2" s="1"/>
  <c r="R401" i="2"/>
  <c r="R177" i="2"/>
  <c r="R290" i="2"/>
  <c r="T344" i="2"/>
  <c r="T378" i="2"/>
  <c r="T147" i="2"/>
  <c r="BK315" i="2"/>
  <c r="J315" i="2" s="1"/>
  <c r="J116" i="2" s="1"/>
  <c r="BK177" i="2"/>
  <c r="J177" i="2" s="1"/>
  <c r="J102" i="2" s="1"/>
  <c r="R222" i="2"/>
  <c r="T240" i="2"/>
  <c r="P290" i="2"/>
  <c r="R389" i="2"/>
  <c r="BK401" i="2"/>
  <c r="J401" i="2" s="1"/>
  <c r="J120" i="2" s="1"/>
  <c r="P407" i="2"/>
  <c r="R240" i="2"/>
  <c r="P147" i="2"/>
  <c r="F35" i="2"/>
  <c r="BB95" i="1" s="1"/>
  <c r="J33" i="2"/>
  <c r="AV95" i="1" s="1"/>
  <c r="BK240" i="2"/>
  <c r="J240" i="2" s="1"/>
  <c r="J107" i="2" s="1"/>
  <c r="R282" i="2"/>
  <c r="R315" i="2"/>
  <c r="P378" i="2"/>
  <c r="R407" i="2"/>
  <c r="T315" i="2"/>
  <c r="P315" i="2"/>
  <c r="BK378" i="2"/>
  <c r="J378" i="2" s="1"/>
  <c r="J118" i="2" s="1"/>
  <c r="R378" i="2"/>
  <c r="F36" i="2"/>
  <c r="BC95" i="1" s="1"/>
  <c r="T177" i="2"/>
  <c r="P177" i="2"/>
  <c r="P240" i="2"/>
  <c r="T389" i="2"/>
  <c r="P389" i="2"/>
  <c r="BK147" i="2"/>
  <c r="J147" i="2" s="1"/>
  <c r="J100" i="2" s="1"/>
  <c r="P282" i="2"/>
  <c r="T290" i="2"/>
  <c r="R294" i="2"/>
  <c r="T401" i="2"/>
  <c r="P401" i="2"/>
  <c r="F33" i="2"/>
  <c r="AZ95" i="1" s="1"/>
  <c r="F37" i="2"/>
  <c r="BD95" i="1" s="1"/>
  <c r="BK222" i="2"/>
  <c r="J222" i="2" s="1"/>
  <c r="J106" i="2" s="1"/>
  <c r="BK294" i="2"/>
  <c r="J294" i="2" s="1"/>
  <c r="J113" i="2" s="1"/>
  <c r="T309" i="2"/>
  <c r="P309" i="2"/>
  <c r="J91" i="2"/>
  <c r="P218" i="16"/>
  <c r="BK269" i="16"/>
  <c r="J269" i="16" s="1"/>
  <c r="J107" i="16" s="1"/>
  <c r="R269" i="16"/>
  <c r="T376" i="16"/>
  <c r="F33" i="16"/>
  <c r="AZ109" i="1" s="1"/>
  <c r="T372" i="16"/>
  <c r="T144" i="16"/>
  <c r="BK203" i="16"/>
  <c r="J203" i="16" s="1"/>
  <c r="J101" i="16" s="1"/>
  <c r="BK308" i="16"/>
  <c r="J308" i="16" s="1"/>
  <c r="J111" i="16" s="1"/>
  <c r="BK380" i="16"/>
  <c r="J380" i="16" s="1"/>
  <c r="J117" i="16" s="1"/>
  <c r="F36" i="16"/>
  <c r="BC109" i="1" s="1"/>
  <c r="T180" i="16"/>
  <c r="T383" i="16"/>
  <c r="BK144" i="16"/>
  <c r="J144" i="16" s="1"/>
  <c r="J98" i="16" s="1"/>
  <c r="T225" i="16"/>
  <c r="BK241" i="16"/>
  <c r="J241" i="16" s="1"/>
  <c r="J104" i="16" s="1"/>
  <c r="R372" i="16"/>
  <c r="R376" i="16"/>
  <c r="R380" i="16"/>
  <c r="BK383" i="16"/>
  <c r="J383" i="16" s="1"/>
  <c r="J118" i="16" s="1"/>
  <c r="J392" i="16"/>
  <c r="J122" i="16" s="1"/>
  <c r="BK391" i="16"/>
  <c r="J391" i="16" s="1"/>
  <c r="J121" i="16" s="1"/>
  <c r="J33" i="16"/>
  <c r="AV109" i="1" s="1"/>
  <c r="BK168" i="16"/>
  <c r="J168" i="16" s="1"/>
  <c r="J99" i="16" s="1"/>
  <c r="P203" i="16"/>
  <c r="R218" i="16"/>
  <c r="BK225" i="16"/>
  <c r="J225" i="16" s="1"/>
  <c r="J103" i="16" s="1"/>
  <c r="P241" i="16"/>
  <c r="BK284" i="16"/>
  <c r="J284" i="16" s="1"/>
  <c r="J108" i="16" s="1"/>
  <c r="BK293" i="16"/>
  <c r="J293" i="16" s="1"/>
  <c r="J109" i="16" s="1"/>
  <c r="P308" i="16"/>
  <c r="BK316" i="16"/>
  <c r="J316" i="16" s="1"/>
  <c r="J112" i="16" s="1"/>
  <c r="BK353" i="16"/>
  <c r="J353" i="16" s="1"/>
  <c r="J114" i="16" s="1"/>
  <c r="R180" i="16"/>
  <c r="R203" i="16"/>
  <c r="R241" i="16"/>
  <c r="P284" i="16"/>
  <c r="R308" i="16"/>
  <c r="P316" i="16"/>
  <c r="P353" i="16"/>
  <c r="BK372" i="16"/>
  <c r="J372" i="16" s="1"/>
  <c r="J115" i="16" s="1"/>
  <c r="BK376" i="16"/>
  <c r="J376" i="16" s="1"/>
  <c r="J116" i="16" s="1"/>
  <c r="P383" i="16"/>
  <c r="R144" i="16"/>
  <c r="R168" i="16"/>
  <c r="BK180" i="16"/>
  <c r="J180" i="16" s="1"/>
  <c r="J100" i="16" s="1"/>
  <c r="BK218" i="16"/>
  <c r="J218" i="16" s="1"/>
  <c r="J102" i="16" s="1"/>
  <c r="R225" i="16"/>
  <c r="T269" i="16"/>
  <c r="R284" i="16"/>
  <c r="R293" i="16"/>
  <c r="R316" i="16"/>
  <c r="R353" i="16"/>
  <c r="P372" i="16"/>
  <c r="P376" i="16"/>
  <c r="P380" i="16"/>
  <c r="R383" i="16"/>
  <c r="AE30" i="33"/>
  <c r="AA34" i="33" s="1"/>
  <c r="BK164" i="5"/>
  <c r="J164" i="5" s="1"/>
  <c r="J100" i="5" s="1"/>
  <c r="T173" i="5"/>
  <c r="F35" i="5"/>
  <c r="BB98" i="1" s="1"/>
  <c r="T154" i="5"/>
  <c r="AE123" i="5"/>
  <c r="BK154" i="5"/>
  <c r="J154" i="5" s="1"/>
  <c r="J97" i="5" s="1"/>
  <c r="T164" i="5"/>
  <c r="R199" i="5"/>
  <c r="BK199" i="5"/>
  <c r="J199" i="5" s="1"/>
  <c r="J107" i="5" s="1"/>
  <c r="P213" i="5"/>
  <c r="T330" i="5"/>
  <c r="P159" i="5"/>
  <c r="P330" i="5"/>
  <c r="P173" i="5"/>
  <c r="T220" i="5"/>
  <c r="T365" i="5"/>
  <c r="AE112" i="33"/>
  <c r="R337" i="33"/>
  <c r="R204" i="33"/>
  <c r="R290" i="33"/>
  <c r="R300" i="33"/>
  <c r="P377" i="33"/>
  <c r="BK283" i="33"/>
  <c r="J283" i="33" s="1"/>
  <c r="J118" i="33" s="1"/>
  <c r="R287" i="33"/>
  <c r="P199" i="33"/>
  <c r="P287" i="33"/>
  <c r="T385" i="33"/>
  <c r="R199" i="33"/>
  <c r="P385" i="33"/>
  <c r="P156" i="33"/>
  <c r="BK272" i="33"/>
  <c r="J272" i="33" s="1"/>
  <c r="J116" i="33" s="1"/>
  <c r="T278" i="33"/>
  <c r="T377" i="33"/>
  <c r="P204" i="33"/>
  <c r="P283" i="33"/>
  <c r="P290" i="33"/>
  <c r="T266" i="33"/>
  <c r="T272" i="33"/>
  <c r="P293" i="33"/>
  <c r="T156" i="33"/>
  <c r="F37" i="33"/>
  <c r="BD126" i="1" s="1"/>
  <c r="T190" i="33"/>
  <c r="T199" i="33"/>
  <c r="P278" i="33"/>
  <c r="T283" i="33"/>
  <c r="T290" i="33"/>
  <c r="BK300" i="33"/>
  <c r="J300" i="33" s="1"/>
  <c r="J122" i="33" s="1"/>
  <c r="P312" i="33"/>
  <c r="P329" i="33"/>
  <c r="BK340" i="33"/>
  <c r="J340" i="33" s="1"/>
  <c r="J128" i="33" s="1"/>
  <c r="BK199" i="33"/>
  <c r="J199" i="33" s="1"/>
  <c r="J106" i="33" s="1"/>
  <c r="P216" i="33"/>
  <c r="P266" i="33"/>
  <c r="R272" i="33"/>
  <c r="R278" i="33"/>
  <c r="BK290" i="33"/>
  <c r="J290" i="33" s="1"/>
  <c r="J120" i="33" s="1"/>
  <c r="P300" i="33"/>
  <c r="R358" i="33"/>
  <c r="R348" i="33" s="1"/>
  <c r="R377" i="33"/>
  <c r="T184" i="33"/>
  <c r="R209" i="33"/>
  <c r="R340" i="33"/>
  <c r="P249" i="19"/>
  <c r="P272" i="19"/>
  <c r="R427" i="19"/>
  <c r="AE113" i="19"/>
  <c r="AE117" i="19"/>
  <c r="AE398" i="19"/>
  <c r="AE397" i="19" s="1"/>
  <c r="AE138" i="19" s="1"/>
  <c r="AE99" i="19"/>
  <c r="AE100" i="19"/>
  <c r="AE101" i="19"/>
  <c r="P200" i="19"/>
  <c r="AE203" i="19"/>
  <c r="AE105" i="19" s="1"/>
  <c r="AE121" i="19"/>
  <c r="R328" i="19"/>
  <c r="AE122" i="19"/>
  <c r="R398" i="19"/>
  <c r="R397" i="19" s="1"/>
  <c r="AE200" i="19"/>
  <c r="AE104" i="19" s="1"/>
  <c r="AE102" i="19"/>
  <c r="AE128" i="19"/>
  <c r="AE427" i="19"/>
  <c r="AE141" i="19" s="1"/>
  <c r="T200" i="19"/>
  <c r="P203" i="19"/>
  <c r="T398" i="19"/>
  <c r="T397" i="19" s="1"/>
  <c r="AE114" i="19"/>
  <c r="AE115" i="19"/>
  <c r="AE116" i="19"/>
  <c r="AE126" i="19"/>
  <c r="AE129" i="19"/>
  <c r="R203" i="19"/>
  <c r="P242" i="19"/>
  <c r="BK249" i="19"/>
  <c r="J249" i="19" s="1"/>
  <c r="J113" i="19" s="1"/>
  <c r="AE103" i="19"/>
  <c r="AE125" i="19"/>
  <c r="AE134" i="19"/>
  <c r="AE140" i="19"/>
  <c r="P362" i="19"/>
  <c r="T214" i="19"/>
  <c r="BK219" i="19"/>
  <c r="J219" i="19" s="1"/>
  <c r="J108" i="19" s="1"/>
  <c r="R249" i="19"/>
  <c r="T272" i="19"/>
  <c r="P283" i="19"/>
  <c r="R307" i="19"/>
  <c r="R319" i="19"/>
  <c r="T323" i="19"/>
  <c r="T343" i="19"/>
  <c r="T362" i="19"/>
  <c r="R401" i="19"/>
  <c r="AE91" i="19"/>
  <c r="R214" i="19"/>
  <c r="T242" i="19"/>
  <c r="P254" i="19"/>
  <c r="BK260" i="19"/>
  <c r="J260" i="19" s="1"/>
  <c r="J115" i="19" s="1"/>
  <c r="R260" i="19"/>
  <c r="T307" i="19"/>
  <c r="T378" i="19"/>
  <c r="P398" i="19"/>
  <c r="P397" i="19" s="1"/>
  <c r="F33" i="19"/>
  <c r="AZ112" i="1" s="1"/>
  <c r="T283" i="19"/>
  <c r="P387" i="19"/>
  <c r="P386" i="19" s="1"/>
  <c r="P163" i="19"/>
  <c r="P192" i="19"/>
  <c r="T203" i="19"/>
  <c r="P214" i="19"/>
  <c r="R219" i="19"/>
  <c r="T254" i="19"/>
  <c r="P268" i="19"/>
  <c r="R272" i="19"/>
  <c r="P307" i="19"/>
  <c r="T319" i="19"/>
  <c r="BK323" i="19"/>
  <c r="J323" i="19" s="1"/>
  <c r="J126" i="19" s="1"/>
  <c r="P343" i="19"/>
  <c r="P260" i="19"/>
  <c r="P197" i="19"/>
  <c r="T219" i="19"/>
  <c r="R268" i="19"/>
  <c r="BK328" i="19"/>
  <c r="J328" i="19" s="1"/>
  <c r="J128" i="19" s="1"/>
  <c r="P378" i="19"/>
  <c r="T387" i="19"/>
  <c r="T386" i="19" s="1"/>
  <c r="AE92" i="19"/>
  <c r="J149" i="5"/>
  <c r="J92" i="5"/>
  <c r="AE91" i="5"/>
  <c r="R305" i="5"/>
  <c r="R304" i="5" s="1"/>
  <c r="F33" i="5"/>
  <c r="AZ98" i="1" s="1"/>
  <c r="T159" i="5"/>
  <c r="R164" i="5"/>
  <c r="P189" i="5"/>
  <c r="R220" i="5"/>
  <c r="P365" i="5"/>
  <c r="BK159" i="5"/>
  <c r="J159" i="5" s="1"/>
  <c r="J99" i="5" s="1"/>
  <c r="P220" i="5"/>
  <c r="BK299" i="5"/>
  <c r="J299" i="5" s="1"/>
  <c r="J123" i="5" s="1"/>
  <c r="R330" i="5"/>
  <c r="BK365" i="5"/>
  <c r="J365" i="5" s="1"/>
  <c r="J133" i="5" s="1"/>
  <c r="R190" i="33"/>
  <c r="P272" i="33"/>
  <c r="BK278" i="33"/>
  <c r="J278" i="33" s="1"/>
  <c r="J117" i="33" s="1"/>
  <c r="BK287" i="33"/>
  <c r="J287" i="33" s="1"/>
  <c r="J119" i="33" s="1"/>
  <c r="F35" i="33"/>
  <c r="BB126" i="1" s="1"/>
  <c r="P184" i="33"/>
  <c r="T204" i="33"/>
  <c r="BK209" i="33"/>
  <c r="J209" i="33" s="1"/>
  <c r="J109" i="33" s="1"/>
  <c r="T209" i="33"/>
  <c r="P209" i="33"/>
  <c r="T216" i="33"/>
  <c r="R283" i="33"/>
  <c r="T287" i="33"/>
  <c r="T300" i="33"/>
  <c r="T312" i="33"/>
  <c r="T329" i="33"/>
  <c r="T337" i="33"/>
  <c r="T340" i="33"/>
  <c r="P340" i="33"/>
  <c r="BK358" i="33"/>
  <c r="J358" i="33" s="1"/>
  <c r="J131" i="33" s="1"/>
  <c r="T358" i="33"/>
  <c r="T348" i="33" s="1"/>
  <c r="BK190" i="33"/>
  <c r="J190" i="33" s="1"/>
  <c r="J104" i="33" s="1"/>
  <c r="P190" i="33"/>
  <c r="R266" i="33"/>
  <c r="T293" i="33"/>
  <c r="P337" i="33"/>
  <c r="P358" i="33"/>
  <c r="P348" i="33" s="1"/>
  <c r="BK385" i="33"/>
  <c r="J385" i="33" s="1"/>
  <c r="J135" i="33" s="1"/>
  <c r="J33" i="32"/>
  <c r="AV125" i="1" s="1"/>
  <c r="BK142" i="32"/>
  <c r="J142" i="32" s="1"/>
  <c r="J102" i="32" s="1"/>
  <c r="T157" i="32"/>
  <c r="BK148" i="32"/>
  <c r="J148" i="32" s="1"/>
  <c r="J104" i="32" s="1"/>
  <c r="R127" i="32"/>
  <c r="R126" i="32" s="1"/>
  <c r="R132" i="32"/>
  <c r="R142" i="32"/>
  <c r="T192" i="19"/>
  <c r="T197" i="19"/>
  <c r="R206" i="19"/>
  <c r="P219" i="19"/>
  <c r="BK272" i="19"/>
  <c r="J272" i="19" s="1"/>
  <c r="J117" i="19" s="1"/>
  <c r="T275" i="19"/>
  <c r="BK307" i="19"/>
  <c r="J307" i="19" s="1"/>
  <c r="J121" i="19" s="1"/>
  <c r="T310" i="19"/>
  <c r="T371" i="19"/>
  <c r="BK398" i="19"/>
  <c r="J398" i="19" s="1"/>
  <c r="J139" i="19" s="1"/>
  <c r="BK401" i="19"/>
  <c r="J401" i="19" s="1"/>
  <c r="J140" i="19" s="1"/>
  <c r="R343" i="19"/>
  <c r="F36" i="19"/>
  <c r="BC112" i="1" s="1"/>
  <c r="R163" i="19"/>
  <c r="R200" i="19"/>
  <c r="BK214" i="19"/>
  <c r="J214" i="19" s="1"/>
  <c r="J107" i="19" s="1"/>
  <c r="R254" i="19"/>
  <c r="P275" i="19"/>
  <c r="R283" i="19"/>
  <c r="P310" i="19"/>
  <c r="BK319" i="19"/>
  <c r="J319" i="19" s="1"/>
  <c r="J125" i="19" s="1"/>
  <c r="T328" i="19"/>
  <c r="P371" i="19"/>
  <c r="BK387" i="19"/>
  <c r="BK386" i="19" s="1"/>
  <c r="J386" i="19" s="1"/>
  <c r="J136" i="19" s="1"/>
  <c r="R197" i="19"/>
  <c r="BK200" i="19"/>
  <c r="J200" i="19" s="1"/>
  <c r="J101" i="19" s="1"/>
  <c r="BK206" i="19"/>
  <c r="J206" i="19" s="1"/>
  <c r="J106" i="19" s="1"/>
  <c r="T206" i="19"/>
  <c r="P206" i="19"/>
  <c r="R242" i="19"/>
  <c r="T249" i="19"/>
  <c r="T260" i="19"/>
  <c r="T268" i="19"/>
  <c r="P328" i="19"/>
  <c r="BK362" i="19"/>
  <c r="J362" i="19" s="1"/>
  <c r="J133" i="19" s="1"/>
  <c r="R378" i="19"/>
  <c r="F36" i="18"/>
  <c r="BC111" i="1" s="1"/>
  <c r="BK129" i="18"/>
  <c r="J129" i="18" s="1"/>
  <c r="J98" i="18" s="1"/>
  <c r="BK143" i="18"/>
  <c r="J143" i="18" s="1"/>
  <c r="J104" i="18" s="1"/>
  <c r="BK149" i="18"/>
  <c r="J149" i="18" s="1"/>
  <c r="J106" i="18" s="1"/>
  <c r="T169" i="8"/>
  <c r="BK214" i="8"/>
  <c r="J214" i="8" s="1"/>
  <c r="J105" i="8" s="1"/>
  <c r="T399" i="8"/>
  <c r="BK492" i="8"/>
  <c r="J492" i="8" s="1"/>
  <c r="J130" i="8" s="1"/>
  <c r="J159" i="8"/>
  <c r="P175" i="8"/>
  <c r="T175" i="8"/>
  <c r="T179" i="8"/>
  <c r="P179" i="8"/>
  <c r="BK208" i="8"/>
  <c r="J208" i="8" s="1"/>
  <c r="J104" i="8" s="1"/>
  <c r="BK295" i="8"/>
  <c r="J295" i="8" s="1"/>
  <c r="J113" i="8" s="1"/>
  <c r="BK371" i="8"/>
  <c r="J371" i="8" s="1"/>
  <c r="J119" i="8" s="1"/>
  <c r="BK416" i="8"/>
  <c r="J416" i="8" s="1"/>
  <c r="J124" i="8" s="1"/>
  <c r="BK523" i="8"/>
  <c r="J523" i="8" s="1"/>
  <c r="J134" i="8" s="1"/>
  <c r="BK541" i="8"/>
  <c r="J541" i="8" s="1"/>
  <c r="J138" i="8" s="1"/>
  <c r="R246" i="8"/>
  <c r="BK279" i="8"/>
  <c r="J279" i="8" s="1"/>
  <c r="J110" i="8" s="1"/>
  <c r="BK291" i="8"/>
  <c r="J291" i="8" s="1"/>
  <c r="J112" i="8" s="1"/>
  <c r="J92" i="3"/>
  <c r="J91" i="14"/>
  <c r="J92" i="16"/>
  <c r="J91" i="23"/>
  <c r="J92" i="27"/>
  <c r="J91" i="28"/>
  <c r="J122" i="28"/>
  <c r="J91" i="40"/>
  <c r="AT103" i="1"/>
  <c r="J111" i="11"/>
  <c r="J91" i="11"/>
  <c r="J116" i="13"/>
  <c r="J91" i="19"/>
  <c r="J111" i="21"/>
  <c r="J92" i="23"/>
  <c r="J115" i="38"/>
  <c r="J111" i="6"/>
  <c r="J89" i="10"/>
  <c r="J114" i="23"/>
  <c r="J119" i="14"/>
  <c r="J119" i="27"/>
  <c r="J149" i="33"/>
  <c r="J112" i="35"/>
  <c r="J122" i="41"/>
  <c r="J89" i="43"/>
  <c r="BK133" i="36"/>
  <c r="BK130" i="36" s="1"/>
  <c r="J130" i="36" s="1"/>
  <c r="J98" i="36" s="1"/>
  <c r="R124" i="36"/>
  <c r="BK140" i="36"/>
  <c r="BK137" i="36" s="1"/>
  <c r="J137" i="36" s="1"/>
  <c r="J100" i="36" s="1"/>
  <c r="J34" i="33"/>
  <c r="AW126" i="1" s="1"/>
  <c r="BK156" i="33"/>
  <c r="J156" i="33" s="1"/>
  <c r="BK377" i="33"/>
  <c r="J377" i="33" s="1"/>
  <c r="J134" i="33" s="1"/>
  <c r="F36" i="33"/>
  <c r="BC126" i="1" s="1"/>
  <c r="R184" i="33"/>
  <c r="R312" i="33"/>
  <c r="BK266" i="33"/>
  <c r="J266" i="33" s="1"/>
  <c r="J115" i="33" s="1"/>
  <c r="J33" i="33"/>
  <c r="AV126" i="1" s="1"/>
  <c r="BK184" i="33"/>
  <c r="J184" i="33" s="1"/>
  <c r="J103" i="33" s="1"/>
  <c r="BK204" i="33"/>
  <c r="J204" i="33" s="1"/>
  <c r="J108" i="33" s="1"/>
  <c r="BK216" i="33"/>
  <c r="J216" i="33" s="1"/>
  <c r="J110" i="33" s="1"/>
  <c r="R216" i="33"/>
  <c r="BK312" i="33"/>
  <c r="J312" i="33" s="1"/>
  <c r="J124" i="33" s="1"/>
  <c r="BK329" i="33"/>
  <c r="J329" i="33" s="1"/>
  <c r="J126" i="33" s="1"/>
  <c r="R329" i="33"/>
  <c r="BK337" i="33"/>
  <c r="J337" i="33" s="1"/>
  <c r="J127" i="33" s="1"/>
  <c r="J151" i="33"/>
  <c r="J92" i="33"/>
  <c r="R156" i="33"/>
  <c r="BK293" i="33"/>
  <c r="J293" i="33" s="1"/>
  <c r="J121" i="33" s="1"/>
  <c r="R293" i="33"/>
  <c r="F35" i="32"/>
  <c r="BB125" i="1" s="1"/>
  <c r="T132" i="32"/>
  <c r="T131" i="32" s="1"/>
  <c r="BK145" i="32"/>
  <c r="J145" i="32" s="1"/>
  <c r="J103" i="32" s="1"/>
  <c r="P148" i="32"/>
  <c r="BK157" i="32"/>
  <c r="J157" i="32" s="1"/>
  <c r="J105" i="32" s="1"/>
  <c r="F33" i="32"/>
  <c r="AZ125" i="1" s="1"/>
  <c r="P132" i="32"/>
  <c r="R148" i="32"/>
  <c r="P157" i="32"/>
  <c r="F37" i="32"/>
  <c r="BD125" i="1" s="1"/>
  <c r="P127" i="32"/>
  <c r="P126" i="32" s="1"/>
  <c r="P142" i="32"/>
  <c r="T148" i="32"/>
  <c r="T145" i="32" s="1"/>
  <c r="R157" i="32"/>
  <c r="BK254" i="19"/>
  <c r="J254" i="19" s="1"/>
  <c r="J114" i="19" s="1"/>
  <c r="BK283" i="19"/>
  <c r="J283" i="19" s="1"/>
  <c r="J119" i="19" s="1"/>
  <c r="BK197" i="19"/>
  <c r="J197" i="19" s="1"/>
  <c r="J100" i="19" s="1"/>
  <c r="BK268" i="19"/>
  <c r="J268" i="19" s="1"/>
  <c r="J116" i="19" s="1"/>
  <c r="BK275" i="19"/>
  <c r="J275" i="19" s="1"/>
  <c r="J118" i="19" s="1"/>
  <c r="R275" i="19"/>
  <c r="BK310" i="19"/>
  <c r="R310" i="19"/>
  <c r="P319" i="19"/>
  <c r="BK371" i="19"/>
  <c r="J371" i="19" s="1"/>
  <c r="J134" i="19" s="1"/>
  <c r="R371" i="19"/>
  <c r="BK242" i="19"/>
  <c r="J242" i="19" s="1"/>
  <c r="J112" i="19" s="1"/>
  <c r="BK343" i="19"/>
  <c r="J343" i="19" s="1"/>
  <c r="J129" i="19" s="1"/>
  <c r="BK378" i="19"/>
  <c r="J378" i="19" s="1"/>
  <c r="J135" i="19" s="1"/>
  <c r="F37" i="19"/>
  <c r="BD112" i="1" s="1"/>
  <c r="J33" i="19"/>
  <c r="AV112" i="1" s="1"/>
  <c r="J92" i="19"/>
  <c r="F35" i="19"/>
  <c r="BB112" i="1" s="1"/>
  <c r="R192" i="19"/>
  <c r="BK203" i="19"/>
  <c r="J203" i="19" s="1"/>
  <c r="J105" i="19" s="1"/>
  <c r="P323" i="19"/>
  <c r="T401" i="19"/>
  <c r="BK427" i="19"/>
  <c r="J427" i="19" s="1"/>
  <c r="J141" i="19" s="1"/>
  <c r="T427" i="19"/>
  <c r="J155" i="19"/>
  <c r="BK163" i="19"/>
  <c r="J163" i="19" s="1"/>
  <c r="T163" i="19"/>
  <c r="BK192" i="19"/>
  <c r="J192" i="19" s="1"/>
  <c r="J99" i="19" s="1"/>
  <c r="R323" i="19"/>
  <c r="R318" i="19" s="1"/>
  <c r="R362" i="19"/>
  <c r="R387" i="19"/>
  <c r="R386" i="19" s="1"/>
  <c r="P401" i="19"/>
  <c r="P129" i="18"/>
  <c r="P128" i="18" s="1"/>
  <c r="BK134" i="18"/>
  <c r="J134" i="18" s="1"/>
  <c r="J100" i="18" s="1"/>
  <c r="R134" i="18"/>
  <c r="R133" i="18" s="1"/>
  <c r="P134" i="18"/>
  <c r="P133" i="18" s="1"/>
  <c r="J92" i="18"/>
  <c r="J33" i="18"/>
  <c r="AV111" i="1" s="1"/>
  <c r="T143" i="18"/>
  <c r="T142" i="18" s="1"/>
  <c r="T158" i="18"/>
  <c r="P149" i="18"/>
  <c r="BK158" i="18"/>
  <c r="J158" i="18" s="1"/>
  <c r="J107" i="18" s="1"/>
  <c r="R129" i="18"/>
  <c r="R128" i="18" s="1"/>
  <c r="F37" i="18"/>
  <c r="BD111" i="1" s="1"/>
  <c r="P143" i="18"/>
  <c r="P142" i="18" s="1"/>
  <c r="R149" i="18"/>
  <c r="R146" i="18" s="1"/>
  <c r="P158" i="18"/>
  <c r="J89" i="18"/>
  <c r="T129" i="18"/>
  <c r="T128" i="18" s="1"/>
  <c r="F35" i="18"/>
  <c r="BB111" i="1" s="1"/>
  <c r="T134" i="18"/>
  <c r="T133" i="18" s="1"/>
  <c r="BK142" i="18"/>
  <c r="J142" i="18" s="1"/>
  <c r="J103" i="18" s="1"/>
  <c r="T149" i="18"/>
  <c r="T146" i="18" s="1"/>
  <c r="T127" i="18" s="1"/>
  <c r="R158" i="18"/>
  <c r="BK463" i="8"/>
  <c r="J463" i="8" s="1"/>
  <c r="J128" i="8" s="1"/>
  <c r="BK504" i="8"/>
  <c r="J504" i="8" s="1"/>
  <c r="J132" i="8" s="1"/>
  <c r="BK179" i="8"/>
  <c r="J179" i="8" s="1"/>
  <c r="J100" i="8" s="1"/>
  <c r="BK246" i="8"/>
  <c r="J246" i="8" s="1"/>
  <c r="J107" i="8" s="1"/>
  <c r="J89" i="8"/>
  <c r="J92" i="8"/>
  <c r="BK175" i="8"/>
  <c r="J175" i="8" s="1"/>
  <c r="J99" i="8" s="1"/>
  <c r="R175" i="8"/>
  <c r="BK287" i="8"/>
  <c r="J287" i="8" s="1"/>
  <c r="J111" i="8" s="1"/>
  <c r="P399" i="8"/>
  <c r="BK545" i="8"/>
  <c r="J545" i="8" s="1"/>
  <c r="J139" i="8" s="1"/>
  <c r="BK190" i="8"/>
  <c r="J190" i="8" s="1"/>
  <c r="J101" i="8" s="1"/>
  <c r="F35" i="8"/>
  <c r="BB101" i="1" s="1"/>
  <c r="R179" i="8"/>
  <c r="BK169" i="8"/>
  <c r="J169" i="8" s="1"/>
  <c r="J98" i="8" s="1"/>
  <c r="J33" i="8"/>
  <c r="AV101" i="1" s="1"/>
  <c r="R169" i="8"/>
  <c r="P221" i="8"/>
  <c r="T221" i="8"/>
  <c r="BK404" i="8"/>
  <c r="BK399" i="8" s="1"/>
  <c r="J399" i="8" s="1"/>
  <c r="J121" i="8" s="1"/>
  <c r="R154" i="5"/>
  <c r="T213" i="5"/>
  <c r="T299" i="5"/>
  <c r="P305" i="5"/>
  <c r="P304" i="5" s="1"/>
  <c r="R189" i="5"/>
  <c r="R159" i="5"/>
  <c r="F37" i="5"/>
  <c r="BD98" i="1" s="1"/>
  <c r="R173" i="5"/>
  <c r="T189" i="5"/>
  <c r="R213" i="5"/>
  <c r="R299" i="5"/>
  <c r="R365" i="5"/>
  <c r="J33" i="5"/>
  <c r="AV98" i="1" s="1"/>
  <c r="F36" i="5"/>
  <c r="BC98" i="1" s="1"/>
  <c r="J92" i="4"/>
  <c r="BK128" i="4"/>
  <c r="BK127" i="4" s="1"/>
  <c r="J127" i="4" s="1"/>
  <c r="R128" i="4"/>
  <c r="R127" i="4" s="1"/>
  <c r="P133" i="4"/>
  <c r="F36" i="4"/>
  <c r="BC97" i="1" s="1"/>
  <c r="P141" i="4"/>
  <c r="T141" i="4"/>
  <c r="T156" i="4"/>
  <c r="BK133" i="4"/>
  <c r="J133" i="4" s="1"/>
  <c r="J100" i="4" s="1"/>
  <c r="T147" i="4"/>
  <c r="T144" i="4" s="1"/>
  <c r="P156" i="4"/>
  <c r="J89" i="4"/>
  <c r="J33" i="4"/>
  <c r="AV97" i="1" s="1"/>
  <c r="F37" i="4"/>
  <c r="BD97" i="1" s="1"/>
  <c r="P128" i="4"/>
  <c r="P127" i="4" s="1"/>
  <c r="BK156" i="4"/>
  <c r="J156" i="4" s="1"/>
  <c r="J105" i="4" s="1"/>
  <c r="R156" i="4"/>
  <c r="T128" i="4"/>
  <c r="T127" i="4" s="1"/>
  <c r="T133" i="4"/>
  <c r="T132" i="4" s="1"/>
  <c r="R147" i="4"/>
  <c r="BK147" i="4"/>
  <c r="J147" i="4" s="1"/>
  <c r="J104" i="4" s="1"/>
  <c r="R133" i="4"/>
  <c r="P147" i="4"/>
  <c r="P144" i="4" s="1"/>
  <c r="BK117" i="7"/>
  <c r="J117" i="7" s="1"/>
  <c r="J118" i="7"/>
  <c r="J97" i="7" s="1"/>
  <c r="J34" i="2"/>
  <c r="AW95" i="1" s="1"/>
  <c r="F34" i="4"/>
  <c r="BA97" i="1" s="1"/>
  <c r="J34" i="5"/>
  <c r="AW98" i="1" s="1"/>
  <c r="J92" i="2"/>
  <c r="F35" i="3"/>
  <c r="BB96" i="1" s="1"/>
  <c r="J160" i="3"/>
  <c r="J105" i="3" s="1"/>
  <c r="BK185" i="3"/>
  <c r="J185" i="3" s="1"/>
  <c r="J108" i="3" s="1"/>
  <c r="BK173" i="5"/>
  <c r="J173" i="5" s="1"/>
  <c r="J102" i="5" s="1"/>
  <c r="BK220" i="5"/>
  <c r="J220" i="5" s="1"/>
  <c r="J109" i="5" s="1"/>
  <c r="F33" i="6"/>
  <c r="AZ99" i="1" s="1"/>
  <c r="J111" i="7"/>
  <c r="J89" i="7"/>
  <c r="F36" i="8"/>
  <c r="BC101" i="1" s="1"/>
  <c r="F37" i="8"/>
  <c r="BD101" i="1" s="1"/>
  <c r="F35" i="9"/>
  <c r="BB102" i="1" s="1"/>
  <c r="J121" i="10"/>
  <c r="J97" i="10" s="1"/>
  <c r="J34" i="12"/>
  <c r="AW105" i="1" s="1"/>
  <c r="AT105" i="1" s="1"/>
  <c r="F34" i="12"/>
  <c r="BA105" i="1" s="1"/>
  <c r="J147" i="10"/>
  <c r="J100" i="10" s="1"/>
  <c r="BK146" i="10"/>
  <c r="J146" i="10" s="1"/>
  <c r="J99" i="10" s="1"/>
  <c r="F34" i="2"/>
  <c r="BA95" i="1" s="1"/>
  <c r="BK282" i="2"/>
  <c r="T131" i="3"/>
  <c r="P137" i="3"/>
  <c r="P131" i="3" s="1"/>
  <c r="BK143" i="3"/>
  <c r="J143" i="3" s="1"/>
  <c r="J101" i="3" s="1"/>
  <c r="R227" i="3"/>
  <c r="P164" i="5"/>
  <c r="P299" i="5"/>
  <c r="BK330" i="5"/>
  <c r="J330" i="5" s="1"/>
  <c r="J129" i="5" s="1"/>
  <c r="F36" i="6"/>
  <c r="BC99" i="1" s="1"/>
  <c r="J89" i="2"/>
  <c r="J91" i="3"/>
  <c r="BK131" i="3"/>
  <c r="BK166" i="3"/>
  <c r="J166" i="3" s="1"/>
  <c r="J106" i="3" s="1"/>
  <c r="T170" i="3"/>
  <c r="BK227" i="3"/>
  <c r="J227" i="3" s="1"/>
  <c r="J109" i="3" s="1"/>
  <c r="BK253" i="3"/>
  <c r="J253" i="3" s="1"/>
  <c r="J110" i="3" s="1"/>
  <c r="J122" i="4"/>
  <c r="J34" i="4"/>
  <c r="AW97" i="1" s="1"/>
  <c r="F34" i="5"/>
  <c r="BA98" i="1" s="1"/>
  <c r="P154" i="5"/>
  <c r="T199" i="5"/>
  <c r="BK213" i="5"/>
  <c r="J213" i="5" s="1"/>
  <c r="J108" i="5" s="1"/>
  <c r="T305" i="5"/>
  <c r="T304" i="5" s="1"/>
  <c r="BK305" i="5"/>
  <c r="F34" i="6"/>
  <c r="BA99" i="1" s="1"/>
  <c r="F33" i="8"/>
  <c r="AZ101" i="1" s="1"/>
  <c r="BK221" i="8"/>
  <c r="J221" i="8" s="1"/>
  <c r="J106" i="8" s="1"/>
  <c r="R221" i="8"/>
  <c r="P246" i="8"/>
  <c r="BK319" i="8"/>
  <c r="J319" i="8" s="1"/>
  <c r="J114" i="8" s="1"/>
  <c r="J34" i="3"/>
  <c r="AW96" i="1" s="1"/>
  <c r="J114" i="11"/>
  <c r="J92" i="11"/>
  <c r="J89" i="3"/>
  <c r="R132" i="3"/>
  <c r="J33" i="3"/>
  <c r="AV96" i="1" s="1"/>
  <c r="R148" i="3"/>
  <c r="P160" i="3"/>
  <c r="P170" i="3"/>
  <c r="F33" i="4"/>
  <c r="AZ97" i="1" s="1"/>
  <c r="F35" i="4"/>
  <c r="BB97" i="1" s="1"/>
  <c r="BK132" i="4"/>
  <c r="R132" i="4"/>
  <c r="BK144" i="4"/>
  <c r="J147" i="5"/>
  <c r="J89" i="5"/>
  <c r="BK189" i="5"/>
  <c r="J189" i="5" s="1"/>
  <c r="J105" i="5" s="1"/>
  <c r="P199" i="5"/>
  <c r="J33" i="7"/>
  <c r="AV100" i="1" s="1"/>
  <c r="AT100" i="1" s="1"/>
  <c r="F34" i="7"/>
  <c r="BA100" i="1" s="1"/>
  <c r="F36" i="7"/>
  <c r="BC100" i="1" s="1"/>
  <c r="BK558" i="8"/>
  <c r="J558" i="8" s="1"/>
  <c r="J140" i="8" s="1"/>
  <c r="F36" i="9"/>
  <c r="BC102" i="1" s="1"/>
  <c r="J116" i="10"/>
  <c r="J91" i="10"/>
  <c r="P140" i="10"/>
  <c r="P120" i="10" s="1"/>
  <c r="AU103" i="1" s="1"/>
  <c r="J33" i="11"/>
  <c r="AV104" i="1" s="1"/>
  <c r="F33" i="11"/>
  <c r="AZ104" i="1" s="1"/>
  <c r="F37" i="12"/>
  <c r="BD105" i="1" s="1"/>
  <c r="F35" i="12"/>
  <c r="BB105" i="1" s="1"/>
  <c r="P123" i="13"/>
  <c r="P121" i="13" s="1"/>
  <c r="P120" i="13" s="1"/>
  <c r="AU106" i="1" s="1"/>
  <c r="T141" i="13"/>
  <c r="P141" i="13"/>
  <c r="J122" i="14"/>
  <c r="J92" i="14"/>
  <c r="F34" i="14"/>
  <c r="BA107" i="1" s="1"/>
  <c r="P137" i="14"/>
  <c r="J128" i="15"/>
  <c r="J99" i="15" s="1"/>
  <c r="J34" i="16"/>
  <c r="AW109" i="1" s="1"/>
  <c r="F34" i="16"/>
  <c r="BA109" i="1" s="1"/>
  <c r="BK362" i="8"/>
  <c r="BK430" i="8"/>
  <c r="J430" i="8" s="1"/>
  <c r="J126" i="8" s="1"/>
  <c r="T504" i="8"/>
  <c r="BK532" i="8"/>
  <c r="J532" i="8" s="1"/>
  <c r="J136" i="8" s="1"/>
  <c r="F34" i="9"/>
  <c r="BA102" i="1" s="1"/>
  <c r="P118" i="9"/>
  <c r="P117" i="9" s="1"/>
  <c r="AU102" i="1" s="1"/>
  <c r="F34" i="10"/>
  <c r="BA103" i="1" s="1"/>
  <c r="T121" i="10"/>
  <c r="T120" i="10" s="1"/>
  <c r="F35" i="10"/>
  <c r="BB103" i="1" s="1"/>
  <c r="J118" i="11"/>
  <c r="J97" i="11" s="1"/>
  <c r="BK117" i="11"/>
  <c r="J117" i="11" s="1"/>
  <c r="J111" i="12"/>
  <c r="J89" i="12"/>
  <c r="J118" i="12"/>
  <c r="J97" i="12" s="1"/>
  <c r="BK117" i="12"/>
  <c r="J117" i="12" s="1"/>
  <c r="BK121" i="13"/>
  <c r="F35" i="13"/>
  <c r="BB106" i="1" s="1"/>
  <c r="F37" i="13"/>
  <c r="BD106" i="1" s="1"/>
  <c r="P177" i="14"/>
  <c r="T177" i="14"/>
  <c r="T127" i="14" s="1"/>
  <c r="T125" i="14" s="1"/>
  <c r="T246" i="8"/>
  <c r="BK357" i="8"/>
  <c r="J357" i="8" s="1"/>
  <c r="J116" i="8" s="1"/>
  <c r="BK385" i="8"/>
  <c r="J385" i="8" s="1"/>
  <c r="J120" i="8" s="1"/>
  <c r="R399" i="8"/>
  <c r="BK497" i="8"/>
  <c r="J497" i="8" s="1"/>
  <c r="J131" i="8" s="1"/>
  <c r="P504" i="8"/>
  <c r="BK118" i="9"/>
  <c r="F37" i="9"/>
  <c r="BD102" i="1" s="1"/>
  <c r="F33" i="9"/>
  <c r="AZ102" i="1" s="1"/>
  <c r="J34" i="11"/>
  <c r="AW104" i="1" s="1"/>
  <c r="F34" i="11"/>
  <c r="BA104" i="1" s="1"/>
  <c r="P118" i="12"/>
  <c r="P117" i="12" s="1"/>
  <c r="AU105" i="1" s="1"/>
  <c r="J34" i="13"/>
  <c r="AW106" i="1" s="1"/>
  <c r="AT106" i="1" s="1"/>
  <c r="F34" i="13"/>
  <c r="BA106" i="1" s="1"/>
  <c r="T123" i="13"/>
  <c r="BK127" i="14"/>
  <c r="J129" i="14"/>
  <c r="J100" i="14" s="1"/>
  <c r="R127" i="14"/>
  <c r="R125" i="14" s="1"/>
  <c r="F34" i="15"/>
  <c r="BA108" i="1" s="1"/>
  <c r="J34" i="15"/>
  <c r="AW108" i="1" s="1"/>
  <c r="AT108" i="1" s="1"/>
  <c r="J33" i="14"/>
  <c r="AV107" i="1" s="1"/>
  <c r="P157" i="15"/>
  <c r="T174" i="15"/>
  <c r="P174" i="15"/>
  <c r="F37" i="16"/>
  <c r="BD109" i="1" s="1"/>
  <c r="P144" i="16"/>
  <c r="F35" i="16"/>
  <c r="BB109" i="1" s="1"/>
  <c r="T168" i="16"/>
  <c r="P168" i="16"/>
  <c r="P293" i="16"/>
  <c r="F34" i="19"/>
  <c r="BA112" i="1" s="1"/>
  <c r="J34" i="19"/>
  <c r="AW112" i="1" s="1"/>
  <c r="P215" i="14"/>
  <c r="P128" i="15"/>
  <c r="T144" i="15"/>
  <c r="P144" i="15"/>
  <c r="T192" i="15"/>
  <c r="P180" i="16"/>
  <c r="T218" i="16"/>
  <c r="P225" i="16"/>
  <c r="P269" i="16"/>
  <c r="T284" i="16"/>
  <c r="T308" i="16"/>
  <c r="F34" i="17"/>
  <c r="BA110" i="1" s="1"/>
  <c r="J34" i="17"/>
  <c r="AW110" i="1" s="1"/>
  <c r="J34" i="18"/>
  <c r="AW111" i="1" s="1"/>
  <c r="F33" i="14"/>
  <c r="AZ107" i="1" s="1"/>
  <c r="R127" i="15"/>
  <c r="R125" i="15" s="1"/>
  <c r="F35" i="15"/>
  <c r="BB108" i="1" s="1"/>
  <c r="F37" i="15"/>
  <c r="BD108" i="1" s="1"/>
  <c r="T157" i="15"/>
  <c r="J138" i="16"/>
  <c r="J91" i="16"/>
  <c r="T203" i="16"/>
  <c r="T241" i="16"/>
  <c r="T293" i="16"/>
  <c r="T316" i="16"/>
  <c r="T353" i="16"/>
  <c r="P146" i="18"/>
  <c r="J119" i="15"/>
  <c r="J91" i="18"/>
  <c r="BK128" i="18"/>
  <c r="BK139" i="18"/>
  <c r="J139" i="18" s="1"/>
  <c r="J101" i="18" s="1"/>
  <c r="BK118" i="20"/>
  <c r="J118" i="20" s="1"/>
  <c r="F33" i="20"/>
  <c r="AZ113" i="1" s="1"/>
  <c r="F36" i="20"/>
  <c r="BC113" i="1" s="1"/>
  <c r="F34" i="22"/>
  <c r="BA115" i="1" s="1"/>
  <c r="J34" i="22"/>
  <c r="AW115" i="1" s="1"/>
  <c r="AT115" i="1" s="1"/>
  <c r="F34" i="26"/>
  <c r="BA119" i="1" s="1"/>
  <c r="R124" i="26"/>
  <c r="R123" i="26" s="1"/>
  <c r="F34" i="27"/>
  <c r="BA120" i="1" s="1"/>
  <c r="J138" i="27"/>
  <c r="J100" i="27" s="1"/>
  <c r="J34" i="29"/>
  <c r="AW122" i="1" s="1"/>
  <c r="F34" i="29"/>
  <c r="BA122" i="1" s="1"/>
  <c r="J33" i="17"/>
  <c r="AV110" i="1" s="1"/>
  <c r="F34" i="18"/>
  <c r="BA111" i="1" s="1"/>
  <c r="J118" i="21"/>
  <c r="J97" i="21" s="1"/>
  <c r="BK117" i="21"/>
  <c r="J117" i="21" s="1"/>
  <c r="BK117" i="22"/>
  <c r="J117" i="22" s="1"/>
  <c r="J118" i="22"/>
  <c r="J97" i="22" s="1"/>
  <c r="J34" i="24"/>
  <c r="AW117" i="1" s="1"/>
  <c r="AT117" i="1" s="1"/>
  <c r="F34" i="24"/>
  <c r="BA117" i="1" s="1"/>
  <c r="R126" i="27"/>
  <c r="R125" i="27" s="1"/>
  <c r="J118" i="24"/>
  <c r="J97" i="24" s="1"/>
  <c r="BK117" i="24"/>
  <c r="J117" i="24" s="1"/>
  <c r="J34" i="25"/>
  <c r="AW118" i="1" s="1"/>
  <c r="AT118" i="1" s="1"/>
  <c r="F34" i="25"/>
  <c r="BA118" i="1" s="1"/>
  <c r="J125" i="26"/>
  <c r="J98" i="26" s="1"/>
  <c r="BK124" i="26"/>
  <c r="J34" i="28"/>
  <c r="AW121" i="1" s="1"/>
  <c r="AT121" i="1" s="1"/>
  <c r="F34" i="28"/>
  <c r="BA121" i="1" s="1"/>
  <c r="P427" i="19"/>
  <c r="F34" i="20"/>
  <c r="BA113" i="1" s="1"/>
  <c r="J33" i="20"/>
  <c r="AV113" i="1" s="1"/>
  <c r="AT113" i="1" s="1"/>
  <c r="BK120" i="25"/>
  <c r="J121" i="25"/>
  <c r="J98" i="25" s="1"/>
  <c r="P124" i="26"/>
  <c r="P123" i="26" s="1"/>
  <c r="AU119" i="1" s="1"/>
  <c r="J128" i="28"/>
  <c r="J99" i="28" s="1"/>
  <c r="J89" i="22"/>
  <c r="J91" i="24"/>
  <c r="J92" i="25"/>
  <c r="J89" i="26"/>
  <c r="J120" i="26"/>
  <c r="J89" i="28"/>
  <c r="J92" i="29"/>
  <c r="T280" i="29"/>
  <c r="T284" i="29"/>
  <c r="P303" i="29"/>
  <c r="F34" i="30"/>
  <c r="BA123" i="1" s="1"/>
  <c r="J34" i="30"/>
  <c r="AW123" i="1" s="1"/>
  <c r="F34" i="21"/>
  <c r="BA114" i="1" s="1"/>
  <c r="F33" i="21"/>
  <c r="AZ114" i="1" s="1"/>
  <c r="F34" i="23"/>
  <c r="BA116" i="1" s="1"/>
  <c r="F33" i="23"/>
  <c r="AZ116" i="1" s="1"/>
  <c r="F33" i="25"/>
  <c r="AZ118" i="1" s="1"/>
  <c r="J34" i="26"/>
  <c r="AW119" i="1" s="1"/>
  <c r="AT119" i="1" s="1"/>
  <c r="J34" i="27"/>
  <c r="AW120" i="1" s="1"/>
  <c r="AT120" i="1" s="1"/>
  <c r="F33" i="28"/>
  <c r="AZ121" i="1" s="1"/>
  <c r="F33" i="29"/>
  <c r="AZ122" i="1" s="1"/>
  <c r="T270" i="29"/>
  <c r="T274" i="29"/>
  <c r="T288" i="29"/>
  <c r="P324" i="29"/>
  <c r="J133" i="30"/>
  <c r="J98" i="30" s="1"/>
  <c r="J171" i="30"/>
  <c r="J103" i="30" s="1"/>
  <c r="J205" i="30"/>
  <c r="J111" i="30" s="1"/>
  <c r="BK204" i="30"/>
  <c r="J204" i="30" s="1"/>
  <c r="J110" i="30" s="1"/>
  <c r="P274" i="29"/>
  <c r="P288" i="29"/>
  <c r="T324" i="29"/>
  <c r="P341" i="29"/>
  <c r="J128" i="30"/>
  <c r="F33" i="30"/>
  <c r="AZ123" i="1" s="1"/>
  <c r="J126" i="31"/>
  <c r="J34" i="31"/>
  <c r="AW124" i="1" s="1"/>
  <c r="BK117" i="34"/>
  <c r="J117" i="34" s="1"/>
  <c r="J118" i="34"/>
  <c r="J97" i="34" s="1"/>
  <c r="P205" i="30"/>
  <c r="P204" i="30" s="1"/>
  <c r="P131" i="30" s="1"/>
  <c r="AU123" i="1" s="1"/>
  <c r="F33" i="31"/>
  <c r="AZ124" i="1" s="1"/>
  <c r="J33" i="31"/>
  <c r="AV124" i="1" s="1"/>
  <c r="F36" i="31"/>
  <c r="BC124" i="1" s="1"/>
  <c r="BK164" i="31"/>
  <c r="R164" i="31"/>
  <c r="P145" i="32"/>
  <c r="J34" i="32"/>
  <c r="AW125" i="1" s="1"/>
  <c r="AT125" i="1" s="1"/>
  <c r="R145" i="32"/>
  <c r="F34" i="34"/>
  <c r="BA127" i="1" s="1"/>
  <c r="J34" i="34"/>
  <c r="AW127" i="1" s="1"/>
  <c r="AT127" i="1" s="1"/>
  <c r="J91" i="32"/>
  <c r="BK126" i="32"/>
  <c r="BK131" i="32"/>
  <c r="J131" i="32" s="1"/>
  <c r="J99" i="32" s="1"/>
  <c r="J89" i="34"/>
  <c r="J92" i="35"/>
  <c r="J92" i="36"/>
  <c r="F33" i="38"/>
  <c r="AZ131" i="1" s="1"/>
  <c r="J33" i="38"/>
  <c r="AV131" i="1" s="1"/>
  <c r="J121" i="40"/>
  <c r="J97" i="40" s="1"/>
  <c r="BK120" i="40"/>
  <c r="J120" i="40" s="1"/>
  <c r="F34" i="32"/>
  <c r="BA125" i="1" s="1"/>
  <c r="F34" i="33"/>
  <c r="BA126" i="1" s="1"/>
  <c r="F33" i="33"/>
  <c r="AZ126" i="1" s="1"/>
  <c r="J34" i="35"/>
  <c r="AW128" i="1" s="1"/>
  <c r="J33" i="35"/>
  <c r="AV128" i="1" s="1"/>
  <c r="J91" i="37"/>
  <c r="J113" i="37"/>
  <c r="F34" i="37"/>
  <c r="BA130" i="1" s="1"/>
  <c r="T118" i="37"/>
  <c r="T117" i="37" s="1"/>
  <c r="F35" i="37"/>
  <c r="BB130" i="1" s="1"/>
  <c r="F37" i="37"/>
  <c r="BD130" i="1" s="1"/>
  <c r="R122" i="38"/>
  <c r="R121" i="38" s="1"/>
  <c r="T124" i="36"/>
  <c r="J33" i="36"/>
  <c r="AV129" i="1" s="1"/>
  <c r="F33" i="36"/>
  <c r="AZ129" i="1" s="1"/>
  <c r="F36" i="36"/>
  <c r="BC129" i="1" s="1"/>
  <c r="J30" i="37"/>
  <c r="F34" i="38"/>
  <c r="BA131" i="1" s="1"/>
  <c r="J34" i="38"/>
  <c r="AW131" i="1" s="1"/>
  <c r="J34" i="39"/>
  <c r="AW132" i="1" s="1"/>
  <c r="AT132" i="1" s="1"/>
  <c r="F34" i="39"/>
  <c r="BA132" i="1" s="1"/>
  <c r="J118" i="37"/>
  <c r="J97" i="37" s="1"/>
  <c r="J92" i="38"/>
  <c r="J118" i="38"/>
  <c r="F36" i="38"/>
  <c r="BC131" i="1" s="1"/>
  <c r="J118" i="39"/>
  <c r="J97" i="39" s="1"/>
  <c r="BK117" i="39"/>
  <c r="J117" i="39" s="1"/>
  <c r="J34" i="40"/>
  <c r="AW133" i="1" s="1"/>
  <c r="AT133" i="1" s="1"/>
  <c r="F34" i="40"/>
  <c r="BA133" i="1" s="1"/>
  <c r="J111" i="39"/>
  <c r="F33" i="40"/>
  <c r="AZ133" i="1" s="1"/>
  <c r="T125" i="40"/>
  <c r="T121" i="40" s="1"/>
  <c r="T120" i="40" s="1"/>
  <c r="J125" i="41"/>
  <c r="J92" i="41"/>
  <c r="F34" i="41"/>
  <c r="BA134" i="1" s="1"/>
  <c r="J34" i="42"/>
  <c r="AW135" i="1" s="1"/>
  <c r="F34" i="42"/>
  <c r="BA135" i="1" s="1"/>
  <c r="T148" i="42"/>
  <c r="T160" i="42"/>
  <c r="P160" i="42"/>
  <c r="J356" i="42"/>
  <c r="J118" i="42" s="1"/>
  <c r="BK354" i="42"/>
  <c r="J354" i="42" s="1"/>
  <c r="J116" i="42" s="1"/>
  <c r="J252" i="42"/>
  <c r="J109" i="42" s="1"/>
  <c r="BK250" i="42"/>
  <c r="J250" i="42" s="1"/>
  <c r="J107" i="42" s="1"/>
  <c r="J92" i="39"/>
  <c r="J89" i="40"/>
  <c r="P125" i="40"/>
  <c r="F36" i="41"/>
  <c r="BC134" i="1" s="1"/>
  <c r="J140" i="42"/>
  <c r="J91" i="42"/>
  <c r="P200" i="42"/>
  <c r="P164" i="40"/>
  <c r="P200" i="40"/>
  <c r="P121" i="40" s="1"/>
  <c r="P120" i="40" s="1"/>
  <c r="AU133" i="1" s="1"/>
  <c r="J34" i="41"/>
  <c r="AW134" i="1" s="1"/>
  <c r="BK130" i="41"/>
  <c r="F33" i="41"/>
  <c r="AZ134" i="1" s="1"/>
  <c r="J33" i="41"/>
  <c r="AV134" i="1" s="1"/>
  <c r="J91" i="43"/>
  <c r="J34" i="43"/>
  <c r="AW136" i="1" s="1"/>
  <c r="AT136" i="1" s="1"/>
  <c r="F34" i="43"/>
  <c r="BA136" i="1" s="1"/>
  <c r="T142" i="43"/>
  <c r="T159" i="43"/>
  <c r="T172" i="43"/>
  <c r="P172" i="43"/>
  <c r="J221" i="43"/>
  <c r="J106" i="43" s="1"/>
  <c r="P429" i="42"/>
  <c r="P354" i="42" s="1"/>
  <c r="P159" i="43"/>
  <c r="P142" i="43"/>
  <c r="P191" i="43"/>
  <c r="P253" i="43"/>
  <c r="R272" i="43"/>
  <c r="R220" i="43" s="1"/>
  <c r="R140" i="43" s="1"/>
  <c r="T221" i="43"/>
  <c r="T235" i="43"/>
  <c r="BK272" i="43"/>
  <c r="J272" i="43" s="1"/>
  <c r="J109" i="43" s="1"/>
  <c r="T215" i="43"/>
  <c r="P235" i="43"/>
  <c r="T297" i="43"/>
  <c r="AE158" i="5" l="1"/>
  <c r="AE196" i="5"/>
  <c r="J97" i="4"/>
  <c r="AE224" i="19"/>
  <c r="J144" i="4"/>
  <c r="J103" i="4" s="1"/>
  <c r="P127" i="15"/>
  <c r="P125" i="15" s="1"/>
  <c r="AU108" i="1" s="1"/>
  <c r="R144" i="4"/>
  <c r="R126" i="4" s="1"/>
  <c r="P126" i="27"/>
  <c r="P125" i="27" s="1"/>
  <c r="AU120" i="1" s="1"/>
  <c r="P127" i="14"/>
  <c r="P125" i="14" s="1"/>
  <c r="AU107" i="1" s="1"/>
  <c r="J128" i="4"/>
  <c r="J98" i="4" s="1"/>
  <c r="T354" i="42"/>
  <c r="T124" i="26"/>
  <c r="T123" i="26" s="1"/>
  <c r="T291" i="19"/>
  <c r="J133" i="36"/>
  <c r="J99" i="36" s="1"/>
  <c r="BK143" i="36"/>
  <c r="J143" i="36" s="1"/>
  <c r="J102" i="36" s="1"/>
  <c r="R118" i="20"/>
  <c r="BK117" i="6"/>
  <c r="J117" i="6" s="1"/>
  <c r="J30" i="6" s="1"/>
  <c r="P131" i="32"/>
  <c r="P125" i="32" s="1"/>
  <c r="AU125" i="1" s="1"/>
  <c r="R131" i="32"/>
  <c r="R125" i="32" s="1"/>
  <c r="R159" i="3"/>
  <c r="T159" i="3"/>
  <c r="R170" i="30"/>
  <c r="R131" i="30" s="1"/>
  <c r="P131" i="31"/>
  <c r="R131" i="31"/>
  <c r="R139" i="29"/>
  <c r="T139" i="29"/>
  <c r="R260" i="29"/>
  <c r="BK139" i="29"/>
  <c r="J139" i="29" s="1"/>
  <c r="J97" i="29" s="1"/>
  <c r="P139" i="29"/>
  <c r="BK260" i="29"/>
  <c r="J260" i="29" s="1"/>
  <c r="J106" i="29" s="1"/>
  <c r="BK131" i="31"/>
  <c r="J131" i="31" s="1"/>
  <c r="J97" i="31" s="1"/>
  <c r="BK132" i="30"/>
  <c r="BK170" i="30"/>
  <c r="J170" i="30" s="1"/>
  <c r="J102" i="30" s="1"/>
  <c r="T118" i="35"/>
  <c r="P118" i="35"/>
  <c r="AU128" i="1" s="1"/>
  <c r="BK118" i="35"/>
  <c r="J118" i="35" s="1"/>
  <c r="J96" i="35" s="1"/>
  <c r="T122" i="38"/>
  <c r="T121" i="38" s="1"/>
  <c r="P122" i="38"/>
  <c r="P121" i="38" s="1"/>
  <c r="AU131" i="1" s="1"/>
  <c r="AT116" i="1"/>
  <c r="BK122" i="38"/>
  <c r="BK121" i="38" s="1"/>
  <c r="J121" i="38" s="1"/>
  <c r="J30" i="38" s="1"/>
  <c r="BK121" i="23"/>
  <c r="AE128" i="5"/>
  <c r="AE34" i="33"/>
  <c r="AE39" i="33" s="1"/>
  <c r="AN126" i="1"/>
  <c r="AE111" i="19"/>
  <c r="T121" i="13"/>
  <c r="T120" i="13" s="1"/>
  <c r="T163" i="31"/>
  <c r="T131" i="31"/>
  <c r="R163" i="31"/>
  <c r="R130" i="31" s="1"/>
  <c r="BK130" i="17"/>
  <c r="J130" i="17" s="1"/>
  <c r="J97" i="17" s="1"/>
  <c r="P124" i="36"/>
  <c r="AU129" i="1" s="1"/>
  <c r="P118" i="20"/>
  <c r="AU113" i="1" s="1"/>
  <c r="P159" i="3"/>
  <c r="P220" i="43"/>
  <c r="BK141" i="43"/>
  <c r="J141" i="43" s="1"/>
  <c r="J97" i="43" s="1"/>
  <c r="R144" i="42"/>
  <c r="AT135" i="1"/>
  <c r="J200" i="42"/>
  <c r="J103" i="42" s="1"/>
  <c r="BK145" i="42"/>
  <c r="P145" i="42"/>
  <c r="P163" i="31"/>
  <c r="AT123" i="1"/>
  <c r="P260" i="29"/>
  <c r="AT122" i="1"/>
  <c r="T260" i="29"/>
  <c r="BK127" i="28"/>
  <c r="BK125" i="28" s="1"/>
  <c r="J125" i="28" s="1"/>
  <c r="BK126" i="27"/>
  <c r="BK127" i="15"/>
  <c r="J127" i="15" s="1"/>
  <c r="J98" i="15" s="1"/>
  <c r="T127" i="15"/>
  <c r="T125" i="15" s="1"/>
  <c r="AT107" i="1"/>
  <c r="J124" i="36"/>
  <c r="J30" i="36" s="1"/>
  <c r="F34" i="36" s="1"/>
  <c r="J404" i="8"/>
  <c r="J122" i="8" s="1"/>
  <c r="R412" i="8"/>
  <c r="BK164" i="8"/>
  <c r="J164" i="8" s="1"/>
  <c r="BK520" i="8"/>
  <c r="J520" i="8" s="1"/>
  <c r="J133" i="8" s="1"/>
  <c r="BK275" i="8"/>
  <c r="J275" i="8" s="1"/>
  <c r="J109" i="8" s="1"/>
  <c r="BK487" i="8"/>
  <c r="J487" i="8" s="1"/>
  <c r="J129" i="8" s="1"/>
  <c r="BK529" i="8"/>
  <c r="J529" i="8" s="1"/>
  <c r="J135" i="8" s="1"/>
  <c r="R167" i="17"/>
  <c r="R129" i="17" s="1"/>
  <c r="BK167" i="17"/>
  <c r="J167" i="17" s="1"/>
  <c r="J104" i="17" s="1"/>
  <c r="AT124" i="1"/>
  <c r="P167" i="17"/>
  <c r="P129" i="17" s="1"/>
  <c r="AU110" i="1" s="1"/>
  <c r="T167" i="17"/>
  <c r="T129" i="17" s="1"/>
  <c r="AT95" i="1"/>
  <c r="P281" i="2"/>
  <c r="R142" i="2"/>
  <c r="P142" i="2"/>
  <c r="BK142" i="2"/>
  <c r="J142" i="2" s="1"/>
  <c r="J97" i="2" s="1"/>
  <c r="T281" i="2"/>
  <c r="R281" i="2"/>
  <c r="T142" i="2"/>
  <c r="R268" i="16"/>
  <c r="AT109" i="1"/>
  <c r="T268" i="16"/>
  <c r="T143" i="16"/>
  <c r="BK143" i="16"/>
  <c r="J143" i="16" s="1"/>
  <c r="J97" i="16" s="1"/>
  <c r="BK268" i="16"/>
  <c r="J268" i="16" s="1"/>
  <c r="J106" i="16" s="1"/>
  <c r="R143" i="16"/>
  <c r="R196" i="5"/>
  <c r="AE99" i="5"/>
  <c r="AE108" i="5"/>
  <c r="T196" i="5"/>
  <c r="AE97" i="5"/>
  <c r="P196" i="5"/>
  <c r="P158" i="5"/>
  <c r="R158" i="5"/>
  <c r="AE96" i="33"/>
  <c r="BK348" i="33"/>
  <c r="J348" i="33" s="1"/>
  <c r="J129" i="33" s="1"/>
  <c r="T246" i="33"/>
  <c r="P246" i="33"/>
  <c r="R246" i="33"/>
  <c r="P166" i="33"/>
  <c r="P310" i="33"/>
  <c r="AT126" i="1"/>
  <c r="BK166" i="33"/>
  <c r="J166" i="33" s="1"/>
  <c r="J98" i="33" s="1"/>
  <c r="R310" i="33"/>
  <c r="T166" i="33"/>
  <c r="AE139" i="19"/>
  <c r="BK291" i="19"/>
  <c r="J291" i="19" s="1"/>
  <c r="J120" i="19" s="1"/>
  <c r="R291" i="19"/>
  <c r="T351" i="19"/>
  <c r="J310" i="19"/>
  <c r="J122" i="19" s="1"/>
  <c r="AE137" i="19"/>
  <c r="P291" i="19"/>
  <c r="AE120" i="19"/>
  <c r="BK397" i="19"/>
  <c r="J397" i="19" s="1"/>
  <c r="J138" i="19" s="1"/>
  <c r="AE130" i="19"/>
  <c r="BK351" i="19"/>
  <c r="J351" i="19" s="1"/>
  <c r="J130" i="19" s="1"/>
  <c r="AT112" i="1"/>
  <c r="T318" i="19"/>
  <c r="R351" i="19"/>
  <c r="AE124" i="19"/>
  <c r="P224" i="19"/>
  <c r="AE109" i="19"/>
  <c r="P175" i="19"/>
  <c r="R224" i="19"/>
  <c r="P351" i="19"/>
  <c r="AE97" i="19"/>
  <c r="BK318" i="19"/>
  <c r="J318" i="19" s="1"/>
  <c r="J124" i="19" s="1"/>
  <c r="T224" i="19"/>
  <c r="AE125" i="5"/>
  <c r="AT98" i="1"/>
  <c r="T158" i="5"/>
  <c r="J97" i="33"/>
  <c r="T310" i="33"/>
  <c r="BK310" i="33"/>
  <c r="J310" i="33" s="1"/>
  <c r="J123" i="33" s="1"/>
  <c r="J97" i="19"/>
  <c r="J387" i="19"/>
  <c r="J137" i="19" s="1"/>
  <c r="BK224" i="19"/>
  <c r="J224" i="19" s="1"/>
  <c r="J109" i="19" s="1"/>
  <c r="R175" i="19"/>
  <c r="BK175" i="19"/>
  <c r="J175" i="19" s="1"/>
  <c r="J98" i="19" s="1"/>
  <c r="T175" i="19"/>
  <c r="BK146" i="18"/>
  <c r="J146" i="18" s="1"/>
  <c r="J105" i="18" s="1"/>
  <c r="P127" i="18"/>
  <c r="AU111" i="1" s="1"/>
  <c r="BK537" i="8"/>
  <c r="J537" i="8" s="1"/>
  <c r="J137" i="8" s="1"/>
  <c r="AT96" i="1"/>
  <c r="AT110" i="1"/>
  <c r="J140" i="36"/>
  <c r="J101" i="36" s="1"/>
  <c r="BK124" i="36"/>
  <c r="R166" i="33"/>
  <c r="AZ94" i="1"/>
  <c r="AV94" i="1" s="1"/>
  <c r="BK246" i="33"/>
  <c r="J246" i="33" s="1"/>
  <c r="J112" i="33" s="1"/>
  <c r="T125" i="32"/>
  <c r="P318" i="19"/>
  <c r="R127" i="18"/>
  <c r="BK133" i="18"/>
  <c r="J133" i="18" s="1"/>
  <c r="J99" i="18" s="1"/>
  <c r="AT111" i="1"/>
  <c r="BD94" i="1"/>
  <c r="W33" i="1" s="1"/>
  <c r="BC94" i="1"/>
  <c r="W32" i="1" s="1"/>
  <c r="BK196" i="5"/>
  <c r="J196" i="5" s="1"/>
  <c r="J106" i="5" s="1"/>
  <c r="P132" i="4"/>
  <c r="P126" i="4" s="1"/>
  <c r="AU97" i="1" s="1"/>
  <c r="T126" i="4"/>
  <c r="BB94" i="1"/>
  <c r="AX94" i="1" s="1"/>
  <c r="AT97" i="1"/>
  <c r="P144" i="42"/>
  <c r="AU135" i="1" s="1"/>
  <c r="P143" i="16"/>
  <c r="AT104" i="1"/>
  <c r="J96" i="6"/>
  <c r="BK281" i="2"/>
  <c r="J281" i="2" s="1"/>
  <c r="J109" i="2" s="1"/>
  <c r="J282" i="2"/>
  <c r="J110" i="2" s="1"/>
  <c r="BK412" i="8"/>
  <c r="J412" i="8" s="1"/>
  <c r="J123" i="8" s="1"/>
  <c r="J96" i="22"/>
  <c r="J30" i="22"/>
  <c r="T220" i="43"/>
  <c r="BK220" i="43"/>
  <c r="AT131" i="1"/>
  <c r="BK163" i="31"/>
  <c r="J163" i="31" s="1"/>
  <c r="J105" i="31" s="1"/>
  <c r="J164" i="31"/>
  <c r="J106" i="31" s="1"/>
  <c r="J96" i="34"/>
  <c r="J30" i="34"/>
  <c r="J120" i="25"/>
  <c r="J97" i="25" s="1"/>
  <c r="BK119" i="25"/>
  <c r="J119" i="25" s="1"/>
  <c r="J30" i="21"/>
  <c r="J96" i="21"/>
  <c r="J128" i="18"/>
  <c r="BK127" i="18"/>
  <c r="P268" i="16"/>
  <c r="P412" i="8"/>
  <c r="J121" i="13"/>
  <c r="J97" i="13" s="1"/>
  <c r="BK120" i="13"/>
  <c r="J120" i="13" s="1"/>
  <c r="J132" i="4"/>
  <c r="J99" i="4" s="1"/>
  <c r="BK126" i="4"/>
  <c r="J131" i="3"/>
  <c r="J97" i="3" s="1"/>
  <c r="BK120" i="10"/>
  <c r="J120" i="10" s="1"/>
  <c r="BK159" i="3"/>
  <c r="J159" i="3" s="1"/>
  <c r="J104" i="3" s="1"/>
  <c r="J126" i="32"/>
  <c r="BK125" i="32"/>
  <c r="J132" i="30"/>
  <c r="J97" i="30" s="1"/>
  <c r="P141" i="43"/>
  <c r="P140" i="43" s="1"/>
  <c r="AU136" i="1" s="1"/>
  <c r="T141" i="43"/>
  <c r="AT134" i="1"/>
  <c r="J130" i="41"/>
  <c r="J98" i="41" s="1"/>
  <c r="BK129" i="41"/>
  <c r="T145" i="42"/>
  <c r="T144" i="42" s="1"/>
  <c r="AG130" i="1"/>
  <c r="AN130" i="1" s="1"/>
  <c r="J39" i="37"/>
  <c r="AT128" i="1"/>
  <c r="J127" i="28"/>
  <c r="J98" i="28" s="1"/>
  <c r="J97" i="23"/>
  <c r="BK120" i="23"/>
  <c r="J120" i="23" s="1"/>
  <c r="J126" i="27"/>
  <c r="J97" i="27" s="1"/>
  <c r="BK125" i="27"/>
  <c r="J125" i="27" s="1"/>
  <c r="J96" i="20"/>
  <c r="J30" i="20"/>
  <c r="J118" i="9"/>
  <c r="J97" i="9" s="1"/>
  <c r="BK117" i="9"/>
  <c r="J117" i="9" s="1"/>
  <c r="J96" i="12"/>
  <c r="J30" i="12"/>
  <c r="J30" i="11"/>
  <c r="J96" i="11"/>
  <c r="T412" i="8"/>
  <c r="R131" i="3"/>
  <c r="R130" i="3" s="1"/>
  <c r="P130" i="3"/>
  <c r="AU96" i="1" s="1"/>
  <c r="BK205" i="8"/>
  <c r="J205" i="8" s="1"/>
  <c r="J103" i="8" s="1"/>
  <c r="J30" i="39"/>
  <c r="J96" i="39"/>
  <c r="J96" i="40"/>
  <c r="J30" i="40"/>
  <c r="J96" i="38"/>
  <c r="J124" i="26"/>
  <c r="J97" i="26" s="1"/>
  <c r="BK123" i="26"/>
  <c r="J123" i="26" s="1"/>
  <c r="J96" i="24"/>
  <c r="J30" i="24"/>
  <c r="J127" i="14"/>
  <c r="J98" i="14" s="1"/>
  <c r="BK125" i="14"/>
  <c r="J125" i="14" s="1"/>
  <c r="J362" i="8"/>
  <c r="J117" i="8" s="1"/>
  <c r="BK353" i="8"/>
  <c r="J353" i="8" s="1"/>
  <c r="J115" i="8" s="1"/>
  <c r="J305" i="5"/>
  <c r="J125" i="5" s="1"/>
  <c r="BK304" i="5"/>
  <c r="J304" i="5" s="1"/>
  <c r="J124" i="5" s="1"/>
  <c r="T130" i="3"/>
  <c r="BK158" i="5"/>
  <c r="J96" i="7"/>
  <c r="J30" i="7"/>
  <c r="AE153" i="5" l="1"/>
  <c r="BK131" i="30"/>
  <c r="J131" i="30" s="1"/>
  <c r="J126" i="4"/>
  <c r="P130" i="31"/>
  <c r="AU124" i="1" s="1"/>
  <c r="AE98" i="19"/>
  <c r="AE161" i="19"/>
  <c r="J34" i="36"/>
  <c r="AW129" i="1" s="1"/>
  <c r="AT129" i="1" s="1"/>
  <c r="BA129" i="1"/>
  <c r="J96" i="36"/>
  <c r="T130" i="31"/>
  <c r="T138" i="29"/>
  <c r="R138" i="29"/>
  <c r="P138" i="29"/>
  <c r="AU122" i="1" s="1"/>
  <c r="BK138" i="29"/>
  <c r="J138" i="29" s="1"/>
  <c r="J96" i="29" s="1"/>
  <c r="J30" i="35"/>
  <c r="J39" i="35" s="1"/>
  <c r="AE106" i="5"/>
  <c r="R153" i="5"/>
  <c r="BK130" i="31"/>
  <c r="J130" i="31" s="1"/>
  <c r="J96" i="31" s="1"/>
  <c r="BK129" i="17"/>
  <c r="J129" i="17" s="1"/>
  <c r="T140" i="43"/>
  <c r="BK144" i="42"/>
  <c r="J144" i="42" s="1"/>
  <c r="J145" i="42"/>
  <c r="J97" i="42" s="1"/>
  <c r="BK125" i="15"/>
  <c r="J125" i="15" s="1"/>
  <c r="J30" i="15" s="1"/>
  <c r="R163" i="8"/>
  <c r="R142" i="16"/>
  <c r="P141" i="2"/>
  <c r="AU95" i="1" s="1"/>
  <c r="R141" i="2"/>
  <c r="BK141" i="2"/>
  <c r="J141" i="2" s="1"/>
  <c r="J96" i="2" s="1"/>
  <c r="T141" i="2"/>
  <c r="T142" i="16"/>
  <c r="BK142" i="16"/>
  <c r="J142" i="16" s="1"/>
  <c r="J30" i="16" s="1"/>
  <c r="P153" i="5"/>
  <c r="AU98" i="1" s="1"/>
  <c r="T153" i="5"/>
  <c r="P155" i="33"/>
  <c r="AU126" i="1" s="1"/>
  <c r="R155" i="33"/>
  <c r="BK155" i="33"/>
  <c r="T155" i="33"/>
  <c r="T161" i="19"/>
  <c r="R161" i="19"/>
  <c r="P161" i="19"/>
  <c r="AU112" i="1" s="1"/>
  <c r="AE98" i="5"/>
  <c r="J155" i="33"/>
  <c r="J96" i="33" s="1"/>
  <c r="J97" i="32"/>
  <c r="J125" i="32"/>
  <c r="J30" i="32" s="1"/>
  <c r="BK161" i="19"/>
  <c r="J161" i="19"/>
  <c r="J30" i="19" s="1"/>
  <c r="J97" i="18"/>
  <c r="J127" i="18"/>
  <c r="J96" i="18" s="1"/>
  <c r="J97" i="8"/>
  <c r="J163" i="8"/>
  <c r="W31" i="1"/>
  <c r="AY94" i="1"/>
  <c r="T163" i="8"/>
  <c r="P163" i="8"/>
  <c r="AU101" i="1" s="1"/>
  <c r="AG100" i="1"/>
  <c r="J39" i="7"/>
  <c r="J30" i="23"/>
  <c r="J96" i="23"/>
  <c r="AG99" i="1"/>
  <c r="J39" i="6"/>
  <c r="P142" i="16"/>
  <c r="AU109" i="1" s="1"/>
  <c r="J39" i="20"/>
  <c r="AG113" i="1"/>
  <c r="J96" i="26"/>
  <c r="J30" i="26"/>
  <c r="AG133" i="1"/>
  <c r="J39" i="40"/>
  <c r="J30" i="33"/>
  <c r="J96" i="10"/>
  <c r="J30" i="10"/>
  <c r="J96" i="4"/>
  <c r="J30" i="4"/>
  <c r="AG115" i="1"/>
  <c r="AN115" i="1" s="1"/>
  <c r="J39" i="22"/>
  <c r="AG131" i="1"/>
  <c r="J39" i="38"/>
  <c r="AG105" i="1"/>
  <c r="AN105" i="1" s="1"/>
  <c r="J39" i="12"/>
  <c r="J158" i="5"/>
  <c r="BK153" i="5"/>
  <c r="BK163" i="8"/>
  <c r="J96" i="14"/>
  <c r="J30" i="14"/>
  <c r="J96" i="9"/>
  <c r="J30" i="9"/>
  <c r="J96" i="27"/>
  <c r="J30" i="27"/>
  <c r="J96" i="28"/>
  <c r="J30" i="28"/>
  <c r="BK128" i="41"/>
  <c r="J128" i="41" s="1"/>
  <c r="J129" i="41"/>
  <c r="J97" i="41" s="1"/>
  <c r="J96" i="17"/>
  <c r="AG114" i="1"/>
  <c r="J39" i="21"/>
  <c r="AG127" i="1"/>
  <c r="J39" i="34"/>
  <c r="J39" i="36"/>
  <c r="AG129" i="1"/>
  <c r="AG117" i="1"/>
  <c r="J39" i="24"/>
  <c r="AG132" i="1"/>
  <c r="AN132" i="1" s="1"/>
  <c r="J39" i="39"/>
  <c r="J96" i="15"/>
  <c r="AG104" i="1"/>
  <c r="AN104" i="1" s="1"/>
  <c r="J39" i="11"/>
  <c r="J96" i="30"/>
  <c r="J30" i="30"/>
  <c r="BK130" i="3"/>
  <c r="J130" i="3" s="1"/>
  <c r="J30" i="13"/>
  <c r="J96" i="13"/>
  <c r="J30" i="18"/>
  <c r="J96" i="25"/>
  <c r="J30" i="25"/>
  <c r="J220" i="43"/>
  <c r="J105" i="43" s="1"/>
  <c r="BK140" i="43"/>
  <c r="J140" i="43" s="1"/>
  <c r="J96" i="32" l="1"/>
  <c r="AG128" i="1"/>
  <c r="J30" i="29"/>
  <c r="AG122" i="1" s="1"/>
  <c r="J96" i="16"/>
  <c r="J30" i="2"/>
  <c r="J39" i="2" s="1"/>
  <c r="AE96" i="5"/>
  <c r="J30" i="31"/>
  <c r="J39" i="31" s="1"/>
  <c r="J30" i="17"/>
  <c r="AG110" i="1" s="1"/>
  <c r="J30" i="42"/>
  <c r="J96" i="42"/>
  <c r="AU94" i="1"/>
  <c r="AE30" i="19"/>
  <c r="AA34" i="19" s="1"/>
  <c r="J96" i="19"/>
  <c r="AE30" i="5"/>
  <c r="AA34" i="5" s="1"/>
  <c r="J98" i="5"/>
  <c r="J153" i="5"/>
  <c r="J96" i="5" s="1"/>
  <c r="AG106" i="1"/>
  <c r="AN106" i="1" s="1"/>
  <c r="J39" i="13"/>
  <c r="AG118" i="1"/>
  <c r="AN118" i="1" s="1"/>
  <c r="J39" i="25"/>
  <c r="AG103" i="1"/>
  <c r="J39" i="10"/>
  <c r="AG124" i="1"/>
  <c r="AG116" i="1"/>
  <c r="J39" i="23"/>
  <c r="J39" i="16"/>
  <c r="AG109" i="1"/>
  <c r="J39" i="30"/>
  <c r="AG123" i="1"/>
  <c r="J39" i="27"/>
  <c r="AG120" i="1"/>
  <c r="AN120" i="1" s="1"/>
  <c r="AG107" i="1"/>
  <c r="AN107" i="1" s="1"/>
  <c r="J39" i="14"/>
  <c r="AG111" i="1"/>
  <c r="AN111" i="1" s="1"/>
  <c r="J39" i="18"/>
  <c r="J30" i="3"/>
  <c r="J96" i="3"/>
  <c r="J30" i="43"/>
  <c r="J96" i="43"/>
  <c r="AG108" i="1"/>
  <c r="AN108" i="1" s="1"/>
  <c r="J39" i="15"/>
  <c r="J96" i="41"/>
  <c r="J30" i="41"/>
  <c r="AG112" i="1"/>
  <c r="J39" i="19"/>
  <c r="AG97" i="1"/>
  <c r="AN97" i="1" s="1"/>
  <c r="J39" i="4"/>
  <c r="J39" i="26"/>
  <c r="AG119" i="1"/>
  <c r="AN119" i="1" s="1"/>
  <c r="J39" i="28"/>
  <c r="AG121" i="1"/>
  <c r="AN121" i="1" s="1"/>
  <c r="AG102" i="1"/>
  <c r="AN102" i="1" s="1"/>
  <c r="J39" i="9"/>
  <c r="J96" i="8"/>
  <c r="J30" i="8"/>
  <c r="F34" i="8" s="1"/>
  <c r="AG125" i="1"/>
  <c r="J39" i="32"/>
  <c r="AG126" i="1"/>
  <c r="J39" i="33"/>
  <c r="J34" i="8" l="1"/>
  <c r="AW101" i="1" s="1"/>
  <c r="AT101" i="1" s="1"/>
  <c r="BA101" i="1"/>
  <c r="BA94" i="1" s="1"/>
  <c r="AW94" i="1" s="1"/>
  <c r="AT94" i="1" s="1"/>
  <c r="AG95" i="1"/>
  <c r="J39" i="29"/>
  <c r="J39" i="17"/>
  <c r="AN98" i="1"/>
  <c r="AE34" i="19"/>
  <c r="AE39" i="19" s="1"/>
  <c r="AN112" i="1"/>
  <c r="AE34" i="5"/>
  <c r="AE39" i="5" s="1"/>
  <c r="J39" i="42"/>
  <c r="AG135" i="1"/>
  <c r="AN135" i="1" s="1"/>
  <c r="J30" i="5"/>
  <c r="J39" i="5" s="1"/>
  <c r="AG136" i="1"/>
  <c r="AN136" i="1" s="1"/>
  <c r="J39" i="43"/>
  <c r="AG134" i="1"/>
  <c r="J39" i="41"/>
  <c r="AG101" i="1"/>
  <c r="J39" i="8"/>
  <c r="J39" i="3"/>
  <c r="AG96" i="1"/>
  <c r="AN94" i="1" l="1"/>
  <c r="AG98" i="1"/>
  <c r="AG94" i="1" l="1"/>
  <c r="BE92" i="1" l="1"/>
  <c r="AK26" i="1"/>
  <c r="W29" i="1" l="1"/>
  <c r="AK29" i="1" s="1"/>
  <c r="AK35" i="1" s="1"/>
</calcChain>
</file>

<file path=xl/sharedStrings.xml><?xml version="1.0" encoding="utf-8"?>
<sst xmlns="http://schemas.openxmlformats.org/spreadsheetml/2006/main" count="78071" uniqueCount="6831">
  <si>
    <t>Export Komplet</t>
  </si>
  <si>
    <t/>
  </si>
  <si>
    <t>2.0</t>
  </si>
  <si>
    <t>False</t>
  </si>
  <si>
    <t>{334d86b9-fc9b-4f27-8a26-c7da83cfa9b9}</t>
  </si>
  <si>
    <t>&gt;&gt;  skryté stĺpce  &lt;&lt;</t>
  </si>
  <si>
    <t>0,01</t>
  </si>
  <si>
    <t>20</t>
  </si>
  <si>
    <t>REKAPITULÁCIA STAVBY</t>
  </si>
  <si>
    <t>v ---  nižšie sa nachádzajú doplnkové a pomocné údaje k zostavám  --- v</t>
  </si>
  <si>
    <t>0,001</t>
  </si>
  <si>
    <t>Kód:</t>
  </si>
  <si>
    <t>Stavba:</t>
  </si>
  <si>
    <t>JKSO:</t>
  </si>
  <si>
    <t>KS:</t>
  </si>
  <si>
    <t>Miesto:</t>
  </si>
  <si>
    <t xml:space="preserve"> </t>
  </si>
  <si>
    <t>Dátum:</t>
  </si>
  <si>
    <t>Objednávateľ:</t>
  </si>
  <si>
    <t>IČO:</t>
  </si>
  <si>
    <t>IČ DPH:</t>
  </si>
  <si>
    <t>Zhotoviteľ:</t>
  </si>
  <si>
    <t>Projektant:</t>
  </si>
  <si>
    <t>True</t>
  </si>
  <si>
    <t>Spracovateľ:</t>
  </si>
  <si>
    <t>Poznámka:</t>
  </si>
  <si>
    <t>Cena bez DPH</t>
  </si>
  <si>
    <t>Sadzba dane</t>
  </si>
  <si>
    <t>Základ dane</t>
  </si>
  <si>
    <t>Výška dane</t>
  </si>
  <si>
    <t>DPH</t>
  </si>
  <si>
    <t>základná</t>
  </si>
  <si>
    <t>znížená</t>
  </si>
  <si>
    <t>zákl. prenesená</t>
  </si>
  <si>
    <t>zníž. prenesená</t>
  </si>
  <si>
    <t>nulová</t>
  </si>
  <si>
    <t>Cena s DPH</t>
  </si>
  <si>
    <t>v</t>
  </si>
  <si>
    <t>EUR</t>
  </si>
  <si>
    <t>REKAPITULÁCIA OBJEKTOV STAVBY</t>
  </si>
  <si>
    <t>Informatívne údaje z listov zákaziek</t>
  </si>
  <si>
    <t>Kód</t>
  </si>
  <si>
    <t>Popis</t>
  </si>
  <si>
    <t>Typ</t>
  </si>
  <si>
    <t>z toho Ostat._x000D_
náklady [EUR]</t>
  </si>
  <si>
    <t>DPH [EUR]</t>
  </si>
  <si>
    <t>Normohodiny [h]</t>
  </si>
  <si>
    <t>DPH základná [EUR]</t>
  </si>
  <si>
    <t>DPH znížená [EUR]</t>
  </si>
  <si>
    <t>DPH základná prenesená_x000D_
[EUR]</t>
  </si>
  <si>
    <t>DPH znížená prenesená_x000D_
[EUR]</t>
  </si>
  <si>
    <t>Základňa_x000D_
DPH základná</t>
  </si>
  <si>
    <t>Základňa_x000D_
DPH znížená</t>
  </si>
  <si>
    <t>Základňa_x000D_
DPH zákl. prenesená</t>
  </si>
  <si>
    <t>Základňa_x000D_
DPH zníž. prenesená</t>
  </si>
  <si>
    <t>Základňa_x000D_
DPH nulová</t>
  </si>
  <si>
    <t>Náklady z rozpočtov</t>
  </si>
  <si>
    <t>D</t>
  </si>
  <si>
    <t>0</t>
  </si>
  <si>
    <t>/</t>
  </si>
  <si>
    <t>S01-1</t>
  </si>
  <si>
    <t>SO 01 - Urgentný príjem - ASR</t>
  </si>
  <si>
    <t>STA</t>
  </si>
  <si>
    <t>1</t>
  </si>
  <si>
    <t>{a15ae23d-d39b-40fc-acd5-06823fe9f5f6}</t>
  </si>
  <si>
    <t>S01-2</t>
  </si>
  <si>
    <t>SO 01 - Urgentný príjem - ZTI</t>
  </si>
  <si>
    <t>{4d4fb3f1-2de7-457e-b5b4-ad70f9be1126}</t>
  </si>
  <si>
    <t>S01-3</t>
  </si>
  <si>
    <t>{9479616f-b3f3-4978-b4d2-09e836445b9b}</t>
  </si>
  <si>
    <t>S01-4</t>
  </si>
  <si>
    <t>SO 01 - Urgentný príjem - UK</t>
  </si>
  <si>
    <t>{3d67af2d-5ef4-4231-9ec9-fe229b0196ee}</t>
  </si>
  <si>
    <t>S01-5</t>
  </si>
  <si>
    <t>SO 01 - Urgentný príjem - ELI</t>
  </si>
  <si>
    <t>{d943330a-1fb2-4f8f-951d-015480f30171}</t>
  </si>
  <si>
    <t>2</t>
  </si>
  <si>
    <t>S01-51</t>
  </si>
  <si>
    <t>SO 01 - Urgentný príjem - EPS</t>
  </si>
  <si>
    <t>{6916b8af-a276-4110-b084-0c467e0975d2}</t>
  </si>
  <si>
    <t>S01-6</t>
  </si>
  <si>
    <t>SO 01 - Urgentný príjem - VZT</t>
  </si>
  <si>
    <t>{c70a304f-30b9-4caf-8bd0-63af1c621820}</t>
  </si>
  <si>
    <t>SO01-7.0</t>
  </si>
  <si>
    <t>SO 01-7 - Čisté priestory - ostatné</t>
  </si>
  <si>
    <t>{2fbbb6a6-71b6-4002-be4e-eeecad253d6d}</t>
  </si>
  <si>
    <t>S01-7.1</t>
  </si>
  <si>
    <t>SO 01-71 - Vstavba ČP</t>
  </si>
  <si>
    <t>{1b1b5edc-bd75-4645-84bb-45024b06c6c3}</t>
  </si>
  <si>
    <t>S01-7.2</t>
  </si>
  <si>
    <t>{4e45cfab-45cf-4942-99ba-aec259b5abee}</t>
  </si>
  <si>
    <t>S01-7.3</t>
  </si>
  <si>
    <t>SO 01-73 - Vzduchotechnika</t>
  </si>
  <si>
    <t>{e373f1ec-51ba-4bd9-a02d-4b82abd3ef58}</t>
  </si>
  <si>
    <t>S01-7.4</t>
  </si>
  <si>
    <t>SO 01-74 - Trubné rozvody pre VZT</t>
  </si>
  <si>
    <t>{fbe1b7ff-b4d2-4421-85c1-91b3406aabf8}</t>
  </si>
  <si>
    <t>S01-7.5</t>
  </si>
  <si>
    <t>SO 01-75 - ELI</t>
  </si>
  <si>
    <t>{aa25128d-1e76-467d-b877-cbb2aaedce4b}</t>
  </si>
  <si>
    <t>S01-7.6</t>
  </si>
  <si>
    <t>SO 01-76 - MaR</t>
  </si>
  <si>
    <t>{fe8ccc7c-874d-44af-9db7-51cddbbf45a9}</t>
  </si>
  <si>
    <t>S02-1</t>
  </si>
  <si>
    <t>SO 02 - OAIM - ASR</t>
  </si>
  <si>
    <t>{a78d67b6-fc5b-470c-a7eb-ba97f870bf32}</t>
  </si>
  <si>
    <t>S02-2</t>
  </si>
  <si>
    <t>SO 02 - OAIM - ZTI</t>
  </si>
  <si>
    <t>{7f031571-a7ff-4cbe-9955-a56b7899bc56}</t>
  </si>
  <si>
    <t>S02-3</t>
  </si>
  <si>
    <t>SO 02 - OAIM - MP</t>
  </si>
  <si>
    <t>{5cfdcd5e-d6a1-45cf-9d46-6d9aab41af3d}</t>
  </si>
  <si>
    <t>S02-4</t>
  </si>
  <si>
    <t>SO 02 - OAIM - UK</t>
  </si>
  <si>
    <t>{608034c7-2ae2-4358-8580-9ccd6f3a3481}</t>
  </si>
  <si>
    <t>S02-5</t>
  </si>
  <si>
    <t>SO 02 - OAIM - ELI</t>
  </si>
  <si>
    <t>{4bfe6ef3-f031-444e-b5c9-63bd23f7e253}</t>
  </si>
  <si>
    <t>S02-51</t>
  </si>
  <si>
    <t>SO 02 - OAIM - EPS</t>
  </si>
  <si>
    <t>{a13c0696-1f3e-4314-91d7-74ba24895d06}</t>
  </si>
  <si>
    <t>S02-6.0</t>
  </si>
  <si>
    <t>SO 02-6 - Čisté priestory - ostatné</t>
  </si>
  <si>
    <t>{eefb4ff4-c22f-4805-ba64-d71a7f7826c6}</t>
  </si>
  <si>
    <t>S02-6.1</t>
  </si>
  <si>
    <t>SO 02-61 - Vstavba ČP</t>
  </si>
  <si>
    <t>{24206aa3-ebce-42b8-89d1-e247ac639a6c}</t>
  </si>
  <si>
    <t>S02-6.2</t>
  </si>
  <si>
    <t>SO 02-62 - Zdravotnícka technológia</t>
  </si>
  <si>
    <t>{be31ea17-1fb8-4d7f-b6c2-db505572e8b6}</t>
  </si>
  <si>
    <t>S02-6.3</t>
  </si>
  <si>
    <t>SO 02-63 - VZT</t>
  </si>
  <si>
    <t>{074ae61d-f4b4-4736-ad15-1a93cd2397a4}</t>
  </si>
  <si>
    <t>S02-6.4</t>
  </si>
  <si>
    <t>SO 02-64 - Trubné rozvody pre VZT</t>
  </si>
  <si>
    <t>{3e3a4453-0fb5-4e6e-8322-47f8d0f226dd}</t>
  </si>
  <si>
    <t>S02-6.5</t>
  </si>
  <si>
    <t>SO 02-65 - ELI pre VZT</t>
  </si>
  <si>
    <t>{853cb54c-e1ed-4d93-9468-1b6b3a14be0a}</t>
  </si>
  <si>
    <t>S02-6.6</t>
  </si>
  <si>
    <t>SO 02-66 - MaR</t>
  </si>
  <si>
    <t>{c96aee6a-32d7-4628-bd0c-bdf26d93d2d9}</t>
  </si>
  <si>
    <t>S03-1</t>
  </si>
  <si>
    <t>SO 03 - Operačky 1. poschodie - ASR</t>
  </si>
  <si>
    <t>{cb6cc3cd-e49c-4d1e-bfc9-cb05786eb37e}</t>
  </si>
  <si>
    <t>S03-2</t>
  </si>
  <si>
    <t>SO 03 - Nadstavba a zateplenie strechy</t>
  </si>
  <si>
    <t>{40b23089-5ad2-4658-8131-90b2cc999f18}</t>
  </si>
  <si>
    <t>S03-3</t>
  </si>
  <si>
    <t>SO 03 - Operačky 1.poschodie - ZTI</t>
  </si>
  <si>
    <t>{7f61834d-056e-4569-b68b-429df02882fa}</t>
  </si>
  <si>
    <t>S03-4</t>
  </si>
  <si>
    <t>{8ea2d242-7e22-403f-a5b9-32588e0e6bf4}</t>
  </si>
  <si>
    <t>S03-5</t>
  </si>
  <si>
    <t>SO 03 - Operačky 1.poschodie - UK</t>
  </si>
  <si>
    <t>{e51f6a0a-54f1-40f3-a321-1f3c11eb8b26}</t>
  </si>
  <si>
    <t>S03-61</t>
  </si>
  <si>
    <t>SO 03 - Operačky 1.poschodie - EPS</t>
  </si>
  <si>
    <t>{f1235260-ff24-4593-a237-51d70a07ea17}</t>
  </si>
  <si>
    <t>S03-6</t>
  </si>
  <si>
    <t>SO 03 - Operačky 1.poschodie - ELI</t>
  </si>
  <si>
    <t>{29fbd2fa-2c7b-4b8f-830b-8936aa2554a5}</t>
  </si>
  <si>
    <t>S03-7</t>
  </si>
  <si>
    <t>SO 03 - Operačky 1.poschodie - VZT</t>
  </si>
  <si>
    <t>{ca3133fb-b080-4b24-b7a1-1b0dddc800f5}</t>
  </si>
  <si>
    <t>S03-7.0</t>
  </si>
  <si>
    <t>SO 03-7 - Čisté priestory - ostatné</t>
  </si>
  <si>
    <t>{35da0838-7aa0-426b-b033-f3b1a07730b2}</t>
  </si>
  <si>
    <t>S03-8.1</t>
  </si>
  <si>
    <t>SO 03-81 - Vstavba ČP</t>
  </si>
  <si>
    <t>{d84f81b5-db67-459e-b8e5-695b0afb8c67}</t>
  </si>
  <si>
    <t>S03-8.2</t>
  </si>
  <si>
    <t>{700f61ce-d977-4754-bf2e-8e40ebddc03a}</t>
  </si>
  <si>
    <t>S03-8.3</t>
  </si>
  <si>
    <t>SO 03-83 - VZT</t>
  </si>
  <si>
    <t>{6f5fefe3-9be2-4ea5-88dc-89ad0ebaa4fd}</t>
  </si>
  <si>
    <t>S03-8.4</t>
  </si>
  <si>
    <t>SO 03-84 - Trubné rozvody</t>
  </si>
  <si>
    <t>{4dbbab83-bfc3-4eb9-896b-4165da8abf7f}</t>
  </si>
  <si>
    <t>S03-8.5</t>
  </si>
  <si>
    <t>SO 03-85 - ELI</t>
  </si>
  <si>
    <t>{6927914e-49e7-4744-9e52-8a0e272e889b}</t>
  </si>
  <si>
    <t>S03-8.6</t>
  </si>
  <si>
    <t>SO 03-86 - MaR</t>
  </si>
  <si>
    <t>{619a2621-0d52-4627-845f-94d33f3a1868}</t>
  </si>
  <si>
    <t>KRYCÍ LIST ROZPOČTU</t>
  </si>
  <si>
    <t>Objekt:</t>
  </si>
  <si>
    <t>S01-1 - SO 01 - Urgentný príjem - ASR</t>
  </si>
  <si>
    <t>REKAPITULÁCIA ROZPOČTU</t>
  </si>
  <si>
    <t>Kód dielu - Popis</t>
  </si>
  <si>
    <t>Cena celkom [EUR]</t>
  </si>
  <si>
    <t>Náklady z rozpočtu</t>
  </si>
  <si>
    <t>-1</t>
  </si>
  <si>
    <t>HSV - PRÁCE A DODÁVKY HSV</t>
  </si>
  <si>
    <t xml:space="preserve">    3 - 3 - ZVISLÉ A KOMPLETNÉ KONŠTRUKCIE</t>
  </si>
  <si>
    <t xml:space="preserve">    4 - 4 - VODOROVNÉ KONŠTRUKCIE</t>
  </si>
  <si>
    <t xml:space="preserve">    6 - 6 - ÚPRAVY POVRCHOV, PODLAHY, VÝPLNE</t>
  </si>
  <si>
    <t xml:space="preserve">    94 - 94 - Lešenie a stavebné výťahy</t>
  </si>
  <si>
    <t xml:space="preserve">    95 - 95 - Rôzne dok.práce a práce na poz</t>
  </si>
  <si>
    <t xml:space="preserve">    96 - 96 - Búranie konstrukcií</t>
  </si>
  <si>
    <t xml:space="preserve">    97 - 97 - Prerážanie otvorov a ost.búr.p</t>
  </si>
  <si>
    <t xml:space="preserve">    999 - 999 - HSV ostatné</t>
  </si>
  <si>
    <t>PSV - PRÁCE A DODÁVKY PSV</t>
  </si>
  <si>
    <t xml:space="preserve">    711 - 711 - Izolácie proti vode a vlhkosti</t>
  </si>
  <si>
    <t xml:space="preserve">    722 - 722 - Vnútorný vodovod</t>
  </si>
  <si>
    <t xml:space="preserve">    725 - 725 - Zariaďovacie predmety</t>
  </si>
  <si>
    <t xml:space="preserve">    762 - 762 - Konštrukcie tesárske</t>
  </si>
  <si>
    <t xml:space="preserve">    763 - 763 - Konštrukcie  - drevostavby</t>
  </si>
  <si>
    <t xml:space="preserve">    766 - 766 - Konštrukcie stolárske</t>
  </si>
  <si>
    <t xml:space="preserve">    767 - 767 - Konštrukcie doplnk. kovové stavebné</t>
  </si>
  <si>
    <t xml:space="preserve">    771 - 771 - Podlahy z dlaždíc  keramických</t>
  </si>
  <si>
    <t xml:space="preserve">    776 - 776 - Podlahy povlakové</t>
  </si>
  <si>
    <t xml:space="preserve">    781 - 781 - Obklady z obkladačiek a dosiek</t>
  </si>
  <si>
    <t xml:space="preserve">    783 - 783 - Nátery</t>
  </si>
  <si>
    <t>ROZPOČET</t>
  </si>
  <si>
    <t>PČ</t>
  </si>
  <si>
    <t>MJ</t>
  </si>
  <si>
    <t>Množstvo</t>
  </si>
  <si>
    <t>J.cena [EUR]</t>
  </si>
  <si>
    <t>Cenová sústava</t>
  </si>
  <si>
    <t>J. Nh [h]</t>
  </si>
  <si>
    <t>Nh celkom [h]</t>
  </si>
  <si>
    <t>J. hmotnosť [t]</t>
  </si>
  <si>
    <t>Hmotnosť celkom [t]</t>
  </si>
  <si>
    <t>J. suť [t]</t>
  </si>
  <si>
    <t>Suť Celkom [t]</t>
  </si>
  <si>
    <t>HSV</t>
  </si>
  <si>
    <t>PRÁCE A DODÁVKY HSV</t>
  </si>
  <si>
    <t>ROZPOCET</t>
  </si>
  <si>
    <t>3</t>
  </si>
  <si>
    <t>3 - ZVISLÉ A KOMPLETNÉ KONŠTRUKCIE</t>
  </si>
  <si>
    <t>K</t>
  </si>
  <si>
    <t>31023-8411</t>
  </si>
  <si>
    <t>Zamurovanie otvoru do 1 m2 pálenými tehlami v murive akejkoľvek hr. na maltu MC</t>
  </si>
  <si>
    <t>m3</t>
  </si>
  <si>
    <t>4</t>
  </si>
  <si>
    <t>31023-9411</t>
  </si>
  <si>
    <t>Zamurovanie otvoru do 4 m2 pálenými tehlami v murive akejkoľvek hr. na maltu MC</t>
  </si>
  <si>
    <t>31127-2436</t>
  </si>
  <si>
    <t>Murivo presné porobet tvárnice hr. 375mm, P3-450</t>
  </si>
  <si>
    <t>6</t>
  </si>
  <si>
    <t>31714-2324</t>
  </si>
  <si>
    <t>Preklady nenosné porobet 1250x100x250 mm</t>
  </si>
  <si>
    <t>kus</t>
  </si>
  <si>
    <t>8</t>
  </si>
  <si>
    <t>5</t>
  </si>
  <si>
    <t>31714-2327</t>
  </si>
  <si>
    <t>Preklady nenosné porobet 1250x150x250 mm</t>
  </si>
  <si>
    <t>10</t>
  </si>
  <si>
    <t>31714-2424</t>
  </si>
  <si>
    <t>Preklady nenosné porobet 2500x100x250 mm (B)</t>
  </si>
  <si>
    <t>12</t>
  </si>
  <si>
    <t>7</t>
  </si>
  <si>
    <t>31716-1111</t>
  </si>
  <si>
    <t>Preklady keramické 120/65/1000 mm (A)</t>
  </si>
  <si>
    <t>14</t>
  </si>
  <si>
    <t>31716-1112</t>
  </si>
  <si>
    <t>Preklady keramické 120/65/1250 mm</t>
  </si>
  <si>
    <t>16</t>
  </si>
  <si>
    <t>9</t>
  </si>
  <si>
    <t>31716-1113</t>
  </si>
  <si>
    <t>Preklady keramické 120/65/1500 mm</t>
  </si>
  <si>
    <t>18</t>
  </si>
  <si>
    <t>31716-1118</t>
  </si>
  <si>
    <t>Preklady keramické 120/65/2750 mm</t>
  </si>
  <si>
    <t>11</t>
  </si>
  <si>
    <t>31723-4450</t>
  </si>
  <si>
    <t>Vyplnenie medzi a pod nosníkmi cem. maltou MC*</t>
  </si>
  <si>
    <t>22</t>
  </si>
  <si>
    <t>31736-1821</t>
  </si>
  <si>
    <t>Výstuž prekladov, ríms BSt 500 (10505)</t>
  </si>
  <si>
    <t>t</t>
  </si>
  <si>
    <t>24</t>
  </si>
  <si>
    <t>13</t>
  </si>
  <si>
    <t>31794-1121</t>
  </si>
  <si>
    <t>Osadenie valc. nosníkov I, U, L do čísla 12</t>
  </si>
  <si>
    <t>26</t>
  </si>
  <si>
    <t>M</t>
  </si>
  <si>
    <t>133 881410</t>
  </si>
  <si>
    <t>Tyč ocel HEA označ 120 s povrch. úpravou*</t>
  </si>
  <si>
    <t>28</t>
  </si>
  <si>
    <t>15</t>
  </si>
  <si>
    <t>34227-2336</t>
  </si>
  <si>
    <t>Priečky porobet hr.100mm 550kg/m3</t>
  </si>
  <si>
    <t>m2</t>
  </si>
  <si>
    <t>30</t>
  </si>
  <si>
    <t>34227-2536</t>
  </si>
  <si>
    <t>Priečky porobet hr.150mm 550kg/m3</t>
  </si>
  <si>
    <t>32</t>
  </si>
  <si>
    <t>17</t>
  </si>
  <si>
    <t>34294-8111</t>
  </si>
  <si>
    <t>Ukotvenie priečok k tehelným konštrukciám</t>
  </si>
  <si>
    <t>m</t>
  </si>
  <si>
    <t>34</t>
  </si>
  <si>
    <t>34624-4381</t>
  </si>
  <si>
    <t>Plentovanie ocel. valcov. nosníkov tehlami pri výške do 20 cm</t>
  </si>
  <si>
    <t>36</t>
  </si>
  <si>
    <t>19</t>
  </si>
  <si>
    <t>34923-1811</t>
  </si>
  <si>
    <t>Primurovka ostenia s ozubom z tehál vo vybúr. otvoroch s vysek. kapies 80-150 mm</t>
  </si>
  <si>
    <t>38</t>
  </si>
  <si>
    <t>34923-1821</t>
  </si>
  <si>
    <t>Primurovka ostenia s ozubom z tehál vo vybúr. otvoroch s vysek. kapies 150-300 mm</t>
  </si>
  <si>
    <t>40</t>
  </si>
  <si>
    <t>4 - VODOROVNÉ KONŠTRUKCIE</t>
  </si>
  <si>
    <t>21</t>
  </si>
  <si>
    <t>41323-2211</t>
  </si>
  <si>
    <t>Zamurovanie zhlavia valcovaných nosníkov výšky do 150 mm</t>
  </si>
  <si>
    <t>42</t>
  </si>
  <si>
    <t>6 - ÚPRAVY POVRCHOV, PODLAHY, VÝPLNE</t>
  </si>
  <si>
    <t>61099-1111</t>
  </si>
  <si>
    <t>Zakrývanie vnút. okenných otvorov, predmetov a konštrukcií</t>
  </si>
  <si>
    <t>44</t>
  </si>
  <si>
    <t>23</t>
  </si>
  <si>
    <t>611 955080</t>
  </si>
  <si>
    <t>Folia PE 0.20 mm</t>
  </si>
  <si>
    <t>46</t>
  </si>
  <si>
    <t>61140-4140</t>
  </si>
  <si>
    <t>Príprava podkladu pod omietky stropov, zvýšenie priľnavosti náterom</t>
  </si>
  <si>
    <t>48</t>
  </si>
  <si>
    <t>25</t>
  </si>
  <si>
    <t>61142-1421</t>
  </si>
  <si>
    <t>Oprava vápennej omietky stropov a klenieb hladkých 30-50%-vysprávky po profesiách</t>
  </si>
  <si>
    <t>50</t>
  </si>
  <si>
    <t>61148-1118</t>
  </si>
  <si>
    <t>Potiahnutie vnút. stropov sklovláknitým pletivom vtlačeným do tmelu*</t>
  </si>
  <si>
    <t>52</t>
  </si>
  <si>
    <t>27</t>
  </si>
  <si>
    <t>61240-1291</t>
  </si>
  <si>
    <t>Oprava omiet. stien do plochy 0,25 m2</t>
  </si>
  <si>
    <t>54</t>
  </si>
  <si>
    <t>61240-1391</t>
  </si>
  <si>
    <t>Oprava omiet. stien do plochy 1 m2 (B)</t>
  </si>
  <si>
    <t>56</t>
  </si>
  <si>
    <t>29</t>
  </si>
  <si>
    <t>61240-3399</t>
  </si>
  <si>
    <t>Zaplnenie rýh v stenách maltou</t>
  </si>
  <si>
    <t>58</t>
  </si>
  <si>
    <t>61240-5731</t>
  </si>
  <si>
    <t>Omietka vnútor. stien na ochranuproti RTG žiareniu, miešanie strojné, nanášanie ručné hr. 30 mm</t>
  </si>
  <si>
    <t>60</t>
  </si>
  <si>
    <t>31</t>
  </si>
  <si>
    <t>61242-1411</t>
  </si>
  <si>
    <t>Oprava vnútorných vápenných omietok stien hrubých 30-60%+vysprávky po prefesiách</t>
  </si>
  <si>
    <t>62</t>
  </si>
  <si>
    <t>61242-1615</t>
  </si>
  <si>
    <t>Omietka vnút. stien vápenná hrubá zatretá</t>
  </si>
  <si>
    <t>64</t>
  </si>
  <si>
    <t>33</t>
  </si>
  <si>
    <t>61242-5921</t>
  </si>
  <si>
    <t>Omietka vnútorného ostenia okenného alebo dverného vápenná hladká</t>
  </si>
  <si>
    <t>66</t>
  </si>
  <si>
    <t>61246-5115</t>
  </si>
  <si>
    <t>Príprava podkl. pod omietky vnút.stien, zvýš.priľna. náteru</t>
  </si>
  <si>
    <t>68</t>
  </si>
  <si>
    <t>35</t>
  </si>
  <si>
    <t>61246-5132</t>
  </si>
  <si>
    <t>Vnútorná omietka stien MVC,mieš. a nanášanie strojne hr.1,5cm (po vybúr. obkladu)</t>
  </si>
  <si>
    <t>70</t>
  </si>
  <si>
    <t>61246-5141</t>
  </si>
  <si>
    <t>Stierka vnútorných stien vyrovnávacia, strojne, ručne nanášaná hr.3mm</t>
  </si>
  <si>
    <t>72</t>
  </si>
  <si>
    <t>37</t>
  </si>
  <si>
    <t>61247-3186</t>
  </si>
  <si>
    <t>Prípl. za zabudované rohovníky k vnút. omietke zo suchých zmesí</t>
  </si>
  <si>
    <t>74</t>
  </si>
  <si>
    <t>61248-1118</t>
  </si>
  <si>
    <t>Potiahnutie vnút. stien sklovláknitým pletivom vtlačeným do tmelu</t>
  </si>
  <si>
    <t>76</t>
  </si>
  <si>
    <t>39</t>
  </si>
  <si>
    <t>61548-1111</t>
  </si>
  <si>
    <t>Potiahnutie valcovaných nosníkov rabic. pletivom</t>
  </si>
  <si>
    <t>78</t>
  </si>
  <si>
    <t>62500-0130</t>
  </si>
  <si>
    <t>Dodávka a montáž profil okenný,dverový dilatačný</t>
  </si>
  <si>
    <t>80</t>
  </si>
  <si>
    <t>41</t>
  </si>
  <si>
    <t>62500-0210</t>
  </si>
  <si>
    <t>Dodávka a montáž lišta rohová (Al, PVC)so sieťkou</t>
  </si>
  <si>
    <t>82</t>
  </si>
  <si>
    <t>62599-1207</t>
  </si>
  <si>
    <t>Zatepl. vonk. stien omietka such. zmesí a polystyrén hr.100 mm</t>
  </si>
  <si>
    <t>84</t>
  </si>
  <si>
    <t>43</t>
  </si>
  <si>
    <t>62999-3504</t>
  </si>
  <si>
    <t>Zatepl.vonk.ostenia šírka do200mm om.su.zm. a polyst. hr.30mm</t>
  </si>
  <si>
    <t>86</t>
  </si>
  <si>
    <t>62999-3521</t>
  </si>
  <si>
    <t>Zatepl.vonk.ostenia šírka do300mm om.su.zm. a polyst. hr.30mm</t>
  </si>
  <si>
    <t>88</t>
  </si>
  <si>
    <t>45</t>
  </si>
  <si>
    <t>63245-0129</t>
  </si>
  <si>
    <t>Samoniv. expandujúca zál. malta hr. 30-50mm*</t>
  </si>
  <si>
    <t>90</t>
  </si>
  <si>
    <t>63245-0231</t>
  </si>
  <si>
    <t>Vyrovnávací cem. poter samonivel. zhotovenie v ploche zo suchých zmesí hr. 20mm (po vybúr. dlažby)</t>
  </si>
  <si>
    <t>92</t>
  </si>
  <si>
    <t>47</t>
  </si>
  <si>
    <t>63247-6103</t>
  </si>
  <si>
    <t>Samonivelizačná podl. stierka 20 MPa na vnútorné použiti, hr.3mm+penetr. náter</t>
  </si>
  <si>
    <t>94</t>
  </si>
  <si>
    <t>94 - Lešenie a stavebné výťahy</t>
  </si>
  <si>
    <t>94195-5001</t>
  </si>
  <si>
    <t>Lešenie ľahké prac. pomocné výš. podlahy do 1,2 m</t>
  </si>
  <si>
    <t>96</t>
  </si>
  <si>
    <t>95</t>
  </si>
  <si>
    <t>95 - Rôzne dok.práce a práce na poz</t>
  </si>
  <si>
    <t>49</t>
  </si>
  <si>
    <t>95290-1111</t>
  </si>
  <si>
    <t>Vyčistenie budov byt. alebo občian. výstavby pri výške podlažia do 4 m</t>
  </si>
  <si>
    <t>98</t>
  </si>
  <si>
    <t>96 - Búranie konstrukcií</t>
  </si>
  <si>
    <t>96203-1132</t>
  </si>
  <si>
    <t>Búranie priečok z tehál MV, MVC hr. do 10 cm, plocha nad 4 m2</t>
  </si>
  <si>
    <t>100</t>
  </si>
  <si>
    <t>51</t>
  </si>
  <si>
    <t>96203-1133</t>
  </si>
  <si>
    <t>Búranie priečok z tehál MV, MVC hr. do 15 cm, plocha nad 4 m2</t>
  </si>
  <si>
    <t>102</t>
  </si>
  <si>
    <t>96208-1141</t>
  </si>
  <si>
    <t>Búranie priečok zo sklenených tvárnic hr. do 15 cm</t>
  </si>
  <si>
    <t>104</t>
  </si>
  <si>
    <t>53</t>
  </si>
  <si>
    <t>96806-2355</t>
  </si>
  <si>
    <t>Vybúranie rámov okien drev. dvojitých alebo zdvoj. do 2 m2</t>
  </si>
  <si>
    <t>106</t>
  </si>
  <si>
    <t>96807-2455</t>
  </si>
  <si>
    <t>Vybúranie kov. dverných zárubní do 2 m2</t>
  </si>
  <si>
    <t>108</t>
  </si>
  <si>
    <t>55</t>
  </si>
  <si>
    <t>96807-2456</t>
  </si>
  <si>
    <t>Vybúranie kov. dverných zárubní nad 2 m2</t>
  </si>
  <si>
    <t>110</t>
  </si>
  <si>
    <t>96808-2110</t>
  </si>
  <si>
    <t>Vybúranie plast. rámov dvojitých okien, do 1 m2</t>
  </si>
  <si>
    <t>112</t>
  </si>
  <si>
    <t>97</t>
  </si>
  <si>
    <t>97 - Prerážanie otvorov a ost.búr.p</t>
  </si>
  <si>
    <t>57</t>
  </si>
  <si>
    <t>97103-3110</t>
  </si>
  <si>
    <t>Búranie otvorov, rýh a pod. pre profesie na komplet*</t>
  </si>
  <si>
    <t>114</t>
  </si>
  <si>
    <t>97103-3331</t>
  </si>
  <si>
    <t>Vybúr. otvorov do 0,09 m2 murivo tehl. MV, MVC hr. do 15 cm (VZT)</t>
  </si>
  <si>
    <t>116</t>
  </si>
  <si>
    <t>59</t>
  </si>
  <si>
    <t>97103-3431</t>
  </si>
  <si>
    <t>Vybúr. otvorov do 0,25 m2 murivo tehl. MV, MVC hr. do 15 cm (D-VZT)</t>
  </si>
  <si>
    <t>118</t>
  </si>
  <si>
    <t>97103-3621</t>
  </si>
  <si>
    <t>Vybúr. otvorov do 4 m2 v murive tehl. MV, MVC hr. do 10 cm</t>
  </si>
  <si>
    <t>120</t>
  </si>
  <si>
    <t>61</t>
  </si>
  <si>
    <t>97103-3631</t>
  </si>
  <si>
    <t>Vybúr. otvorov do 4 m2 v murive tehl. MV, MVC hr. do 15 cm</t>
  </si>
  <si>
    <t>122</t>
  </si>
  <si>
    <t>97103-5341</t>
  </si>
  <si>
    <t>Vybúr. otvorov do 0,09 m2 v murive tehl. na MC,MVC hr. do 30 cm (VZT)</t>
  </si>
  <si>
    <t>124</t>
  </si>
  <si>
    <t>63</t>
  </si>
  <si>
    <t>97103-5351</t>
  </si>
  <si>
    <t>Vybúr. otvorov do 0,09 m2 v murive tehl. na MC,MVC hr. do 45 cm (A-VZT)</t>
  </si>
  <si>
    <t>126</t>
  </si>
  <si>
    <t>97103-5361</t>
  </si>
  <si>
    <t>Vybúr. otvorov do 0,09 m2 v murive tehl. na MC,MVC hr. do 60 cm</t>
  </si>
  <si>
    <t>128</t>
  </si>
  <si>
    <t>65</t>
  </si>
  <si>
    <t>97103-5371</t>
  </si>
  <si>
    <t>Vybúr. otvorov do 0,09 m2 v murive tehl. na MC hr. do 75 cm (D-VZT)</t>
  </si>
  <si>
    <t>130</t>
  </si>
  <si>
    <t>97103-5451</t>
  </si>
  <si>
    <t>Vybúr. otvorov do 0,25 m2 v murive tehl. na MC,MVC hr. do 45 cm (VZT)</t>
  </si>
  <si>
    <t>132</t>
  </si>
  <si>
    <t>67</t>
  </si>
  <si>
    <t>97103-5461</t>
  </si>
  <si>
    <t>Vybúr. otvorov do 0,25 m2 v murive tehl. na MC,MVC hr. do 60 cm (D-VZT)</t>
  </si>
  <si>
    <t>134</t>
  </si>
  <si>
    <t>97103-5481</t>
  </si>
  <si>
    <t>Vybúr. otvorov do 0,25 m2 v murive tehl. na MC,MVC hr. nad 90 cm (D-VZT)</t>
  </si>
  <si>
    <t>136</t>
  </si>
  <si>
    <t>69</t>
  </si>
  <si>
    <t>97103-5541</t>
  </si>
  <si>
    <t>Vybúr. otvorov do 1 m2 v murive tehl. na MC,MVC hr. do 45 cm</t>
  </si>
  <si>
    <t>138</t>
  </si>
  <si>
    <t>97103-5591</t>
  </si>
  <si>
    <t>Vybúr. otvorov do 1 m2 v murive tehl. na MC,MVC hr. nad 90 cm</t>
  </si>
  <si>
    <t>140</t>
  </si>
  <si>
    <t>71</t>
  </si>
  <si>
    <t>97103-5641</t>
  </si>
  <si>
    <t>Vybúr. otvorov do 4 m2 v murive tehl. na MC,MCV hr. do 30 cm</t>
  </si>
  <si>
    <t>142</t>
  </si>
  <si>
    <t>97103-5661</t>
  </si>
  <si>
    <t>Vybúr. otvorov do 4 m2 v murive tehl. na MC,MVC hr. do 60 cm</t>
  </si>
  <si>
    <t>144</t>
  </si>
  <si>
    <t>73</t>
  </si>
  <si>
    <t>97103-5691</t>
  </si>
  <si>
    <t>Vybúr. otvorov do 4 m2 v murive tehl. na MC hr. nad 90 cm</t>
  </si>
  <si>
    <t>146</t>
  </si>
  <si>
    <t>97111-00002</t>
  </si>
  <si>
    <t>Rezanie tehového muriva do hr. 15cm*</t>
  </si>
  <si>
    <t>148</t>
  </si>
  <si>
    <t>75</t>
  </si>
  <si>
    <t>97111-00004</t>
  </si>
  <si>
    <t>Rezanie tehového, porobet. muriva do hr. 40cm*</t>
  </si>
  <si>
    <t>150</t>
  </si>
  <si>
    <t>97403-1267</t>
  </si>
  <si>
    <t>Vysekanie rýh v tehel. murive pri  strope do 15 x 30 cm</t>
  </si>
  <si>
    <t>152</t>
  </si>
  <si>
    <t>77</t>
  </si>
  <si>
    <t>97403-1285</t>
  </si>
  <si>
    <t>Vysekanie rýh v tehel. murive pri  strope do 30 x 20 cm</t>
  </si>
  <si>
    <t>154</t>
  </si>
  <si>
    <t>97403-1289</t>
  </si>
  <si>
    <t>Príplatok za každých ďalších 10 cm šírky rýhy hĺ. do 30 cm</t>
  </si>
  <si>
    <t>156</t>
  </si>
  <si>
    <t>79</t>
  </si>
  <si>
    <t>97502-1211</t>
  </si>
  <si>
    <t>Podchytenie nadzákl. muriva pod stropom hr. do 45 cm</t>
  </si>
  <si>
    <t>158</t>
  </si>
  <si>
    <t>97502-1411</t>
  </si>
  <si>
    <t>Podchytenie nadzákl. muriva pod stropom hr. do 90 cm</t>
  </si>
  <si>
    <t>160</t>
  </si>
  <si>
    <t>81</t>
  </si>
  <si>
    <t>97504-3111</t>
  </si>
  <si>
    <t>Jednorad. podchytenie stropov v. do 3,5 m zaťaž. do 750 kg/m</t>
  </si>
  <si>
    <t>162</t>
  </si>
  <si>
    <t>97805-9531</t>
  </si>
  <si>
    <t>Vybúranie obkladov vnút. z obkladačiek plochy nad 2 m2</t>
  </si>
  <si>
    <t>164</t>
  </si>
  <si>
    <t>83</t>
  </si>
  <si>
    <t>97807-2112</t>
  </si>
  <si>
    <t>Demontáž kontaktného zateplenia z polystyrénových dosiek s povrchovou úpravou hrúbky nad 80 -120 mm</t>
  </si>
  <si>
    <t>166</t>
  </si>
  <si>
    <t>97908-1111</t>
  </si>
  <si>
    <t>Odvoz sute a vybúraných hmôt na skládku do 1 km</t>
  </si>
  <si>
    <t>168</t>
  </si>
  <si>
    <t>85</t>
  </si>
  <si>
    <t>97908-1121</t>
  </si>
  <si>
    <t>Odvoz sute a vybúraných hmôt na skládku každý ďalší 1 km</t>
  </si>
  <si>
    <t>170</t>
  </si>
  <si>
    <t>97908-2111</t>
  </si>
  <si>
    <t>Vnútrost. doprava sute a vybúr. hmôt do 10 m</t>
  </si>
  <si>
    <t>172</t>
  </si>
  <si>
    <t>87</t>
  </si>
  <si>
    <t>97908-2121</t>
  </si>
  <si>
    <t>Vnútrost. doprava sute a vybúr. hmôt každých ďalších 5 m</t>
  </si>
  <si>
    <t>174</t>
  </si>
  <si>
    <t>97913-1409</t>
  </si>
  <si>
    <t>Poplatok za ulož.a znešk.staveb.sute na vymedzených skládkach "O"-ostatný odpad</t>
  </si>
  <si>
    <t>176</t>
  </si>
  <si>
    <t>999</t>
  </si>
  <si>
    <t>999 - HSV ostatné</t>
  </si>
  <si>
    <t>89</t>
  </si>
  <si>
    <t>99928-1111</t>
  </si>
  <si>
    <t>Presun hmôt pre opravy v objektoch výšky do 25 m</t>
  </si>
  <si>
    <t>178</t>
  </si>
  <si>
    <t>PSV</t>
  </si>
  <si>
    <t>PRÁCE A DODÁVKY PSV</t>
  </si>
  <si>
    <t>711</t>
  </si>
  <si>
    <t>711 - Izolácie proti vode a vlhkosti</t>
  </si>
  <si>
    <t>71125-1130</t>
  </si>
  <si>
    <t>Pružná hydroizolácia (kúpeľne, sprchovacie kúty, práčovne...)</t>
  </si>
  <si>
    <t>180</t>
  </si>
  <si>
    <t>91</t>
  </si>
  <si>
    <t>71125-1140</t>
  </si>
  <si>
    <t>Pružná páska*</t>
  </si>
  <si>
    <t>bm</t>
  </si>
  <si>
    <t>182</t>
  </si>
  <si>
    <t>99871-1201</t>
  </si>
  <si>
    <t>Presun hmôt pre izolácie proti vode v obj. výšky do 6 m</t>
  </si>
  <si>
    <t>%</t>
  </si>
  <si>
    <t>184</t>
  </si>
  <si>
    <t>722</t>
  </si>
  <si>
    <t>722 - Vnútorný vodovod</t>
  </si>
  <si>
    <t>93</t>
  </si>
  <si>
    <t>72225-9250</t>
  </si>
  <si>
    <t>Požiarne príslušenstvo, ručný hasiaci prístroj snehový 5kg+držiak*</t>
  </si>
  <si>
    <t>186</t>
  </si>
  <si>
    <t>99872-2201</t>
  </si>
  <si>
    <t>Presun hmôt pre vnút. vodovod v obj. výšky do 6 m</t>
  </si>
  <si>
    <t>188</t>
  </si>
  <si>
    <t>725</t>
  </si>
  <si>
    <t>725 - Zariaďovacie predmety</t>
  </si>
  <si>
    <t>72511-0811</t>
  </si>
  <si>
    <t>Demontáž záchodov splachovacích s nádržou</t>
  </si>
  <si>
    <t>190</t>
  </si>
  <si>
    <t>72521-0821</t>
  </si>
  <si>
    <t>Demontáž umývadiel bez výtokových armatúr</t>
  </si>
  <si>
    <t>192</t>
  </si>
  <si>
    <t>72531-0821</t>
  </si>
  <si>
    <t>Demontáž drezov jednodielnych na konzolách (B)</t>
  </si>
  <si>
    <t>194</t>
  </si>
  <si>
    <t>72531-0823</t>
  </si>
  <si>
    <t>Demontáž drezov jednodielnych vstavaných v kuch. zostavách (B)</t>
  </si>
  <si>
    <t>196</t>
  </si>
  <si>
    <t>99</t>
  </si>
  <si>
    <t>72533-0820</t>
  </si>
  <si>
    <t>Demontáž výleviek bez výtokových armatúr</t>
  </si>
  <si>
    <t>198</t>
  </si>
  <si>
    <t>72582-0802</t>
  </si>
  <si>
    <t>Demontáž batérií stojankových, nástenných</t>
  </si>
  <si>
    <t>200</t>
  </si>
  <si>
    <t>101</t>
  </si>
  <si>
    <t>72584-0850</t>
  </si>
  <si>
    <t>Demontáž batérií sprchových</t>
  </si>
  <si>
    <t>202</t>
  </si>
  <si>
    <t>762</t>
  </si>
  <si>
    <t>762 - Konštrukcie tesárske</t>
  </si>
  <si>
    <t>76236-1110</t>
  </si>
  <si>
    <t>Vyklinovanie muriva drev. klinmi nad nosníkmi prekladu*</t>
  </si>
  <si>
    <t>204</t>
  </si>
  <si>
    <t>763</t>
  </si>
  <si>
    <t>763 - Konštrukcie  - drevostavby</t>
  </si>
  <si>
    <t>103</t>
  </si>
  <si>
    <t>76311-1117</t>
  </si>
  <si>
    <t>Priečky sadrokart. s izol. hr 100 mm jednod. dosky 1x RB hr 12,5</t>
  </si>
  <si>
    <t>206</t>
  </si>
  <si>
    <t>76312-7311</t>
  </si>
  <si>
    <t>SDK inštalačná predsadená stena pre sanitárne zariadenia, jednoduché opláštenie, RBI 12,5 mm</t>
  </si>
  <si>
    <t>208</t>
  </si>
  <si>
    <t>105</t>
  </si>
  <si>
    <t>76313-3120</t>
  </si>
  <si>
    <t>Podhľady sadr zavesený oceľ profil dosky RB hr. 12,5mm (ST3)</t>
  </si>
  <si>
    <t>210</t>
  </si>
  <si>
    <t>76313-3140</t>
  </si>
  <si>
    <t>Podhľady sadr zavesený oceľ profil dosky RBI hr. 12,5mm (ST2)*</t>
  </si>
  <si>
    <t>212</t>
  </si>
  <si>
    <t>107</t>
  </si>
  <si>
    <t>99876-3201</t>
  </si>
  <si>
    <t>Presun hmôt pre drevostavby v obj. výšky do 12 m</t>
  </si>
  <si>
    <t>214</t>
  </si>
  <si>
    <t>766</t>
  </si>
  <si>
    <t>766 - Konštrukcie stolárske</t>
  </si>
  <si>
    <t>76611-1100</t>
  </si>
  <si>
    <t>M+D sanit. steny-2x hyg. boxy v 2,0m+dvere 2x60x200cm-celk. dl=3,15m ("A"-1/st)*</t>
  </si>
  <si>
    <t>216</t>
  </si>
  <si>
    <t>109</t>
  </si>
  <si>
    <t>76661-2201</t>
  </si>
  <si>
    <t>M+D drev. pevný svetlík 227x65+parapet ("D"-G)*</t>
  </si>
  <si>
    <t>218</t>
  </si>
  <si>
    <t>76661-2202</t>
  </si>
  <si>
    <t>M+D drev. pevný svetlík 230x45+parapet ("D"-H)*</t>
  </si>
  <si>
    <t>220</t>
  </si>
  <si>
    <t>111</t>
  </si>
  <si>
    <t>76661-2203</t>
  </si>
  <si>
    <t>M+D drev. pevný svetlík 129,5x45+parapet ("D"-CH)*</t>
  </si>
  <si>
    <t>222</t>
  </si>
  <si>
    <t>76661-2204</t>
  </si>
  <si>
    <t>M+D drev. okna vysúv 182,5x145+parapet ("D"-I+c)*</t>
  </si>
  <si>
    <t>224</t>
  </si>
  <si>
    <t>113</t>
  </si>
  <si>
    <t>76661-2205</t>
  </si>
  <si>
    <t>M+D drev. pevný svetlík 160x70+parapet ("C"-J)*</t>
  </si>
  <si>
    <t>226</t>
  </si>
  <si>
    <t>76661-2206</t>
  </si>
  <si>
    <t>M+D drev. pevný svetlík 140x70+parapet ("C"-K)*</t>
  </si>
  <si>
    <t>228</t>
  </si>
  <si>
    <t>115</t>
  </si>
  <si>
    <t>76661-2207</t>
  </si>
  <si>
    <t>M+D drev. pevný svetlík 257x85+parapet ("A"-17)*</t>
  </si>
  <si>
    <t>230</t>
  </si>
  <si>
    <t>76665-1104</t>
  </si>
  <si>
    <t>M+D drev. fólia dvier 80x197+svetlík 180x85+kov. zárubeň s náterom+okop. plast ("D"-3+E)*</t>
  </si>
  <si>
    <t>232</t>
  </si>
  <si>
    <t>117</t>
  </si>
  <si>
    <t>76665-1105</t>
  </si>
  <si>
    <t>M+D drev. fólia dvier 80x197+svetlík 322x85+kov. zárubeň s náterom+okop. plast ("D"-3a+F)*</t>
  </si>
  <si>
    <t>234</t>
  </si>
  <si>
    <t>76665-1106</t>
  </si>
  <si>
    <t>M+D drev. fólia dvier 60x197+kov. zárubeň s náterom+okop. plast (4)*</t>
  </si>
  <si>
    <t>236</t>
  </si>
  <si>
    <t>119</t>
  </si>
  <si>
    <t>76665-1107</t>
  </si>
  <si>
    <t>M+D drev. fólia dvier 75x197+kov. zárubeň s náterom+okop. plast ("D"-5)*</t>
  </si>
  <si>
    <t>238</t>
  </si>
  <si>
    <t>76665-1108</t>
  </si>
  <si>
    <t>M+D drev. fólia dvier 90x197+kov. zárubeň s náterom+okop. plast+samozatvárač ("D"-6)*</t>
  </si>
  <si>
    <t>240</t>
  </si>
  <si>
    <t>121</t>
  </si>
  <si>
    <t>76665-1110</t>
  </si>
  <si>
    <t>M+D drev. fólia dvier 60x197+kov. zárubeň s náterom+okop. plech ("D"-10)*</t>
  </si>
  <si>
    <t>242</t>
  </si>
  <si>
    <t>76665-11101</t>
  </si>
  <si>
    <t>M+D drev. fólia dvier s Pb vložkou 2mm 70x197+Pb 2mm kov. zárubeň s náterom+okop. plech+štítok ("B"-11)*</t>
  </si>
  <si>
    <t>244</t>
  </si>
  <si>
    <t>123</t>
  </si>
  <si>
    <t>76665-11102</t>
  </si>
  <si>
    <t>M+D drev. fólia dvier 80x197+kov. zárubeň s náterom+okop. plech (12)*</t>
  </si>
  <si>
    <t>246</t>
  </si>
  <si>
    <t>76665-11103</t>
  </si>
  <si>
    <t>M+D drev. fólia dvier posuv 80x197+drev. zárubeň+okop. plech ("D"-12a)*</t>
  </si>
  <si>
    <t>248</t>
  </si>
  <si>
    <t>125</t>
  </si>
  <si>
    <t>76665-11104</t>
  </si>
  <si>
    <t>M+D drev. fólia dvier 90x197+kov. zárubeň s náterom+okop. plech ("D"-13)*</t>
  </si>
  <si>
    <t>250</t>
  </si>
  <si>
    <t>76665-11105</t>
  </si>
  <si>
    <t>M+D drev. fólia dvier 110x197+kov. zárubeň s náterom+okop. plech (14)*</t>
  </si>
  <si>
    <t>252</t>
  </si>
  <si>
    <t>127</t>
  </si>
  <si>
    <t>76665-11106</t>
  </si>
  <si>
    <t>M+D drev. fólia dvier s Pb vložkou 2mm 110x197+Pb 2mm kov. zárubeň s náterom+okop. plech+štítok ("A"-14a)*</t>
  </si>
  <si>
    <t>254</t>
  </si>
  <si>
    <t>76665-11107</t>
  </si>
  <si>
    <t>M+D drev. fólia dvier posuv 110x197+puzdro+zárubeň ("B"-14b)*</t>
  </si>
  <si>
    <t>256</t>
  </si>
  <si>
    <t>129</t>
  </si>
  <si>
    <t>76665-11108</t>
  </si>
  <si>
    <t>M+D drev. fólia dvier posuv autom otváranie 150x197+zárubeň ("A"-16)*</t>
  </si>
  <si>
    <t>258</t>
  </si>
  <si>
    <t>76666-9110</t>
  </si>
  <si>
    <t>Piktogramy na dvere*</t>
  </si>
  <si>
    <t>260</t>
  </si>
  <si>
    <t>131</t>
  </si>
  <si>
    <t>99876-6201</t>
  </si>
  <si>
    <t>Presun hmôt pre konštr. stolárske v obj. výšky do 6 m</t>
  </si>
  <si>
    <t>262</t>
  </si>
  <si>
    <t>767</t>
  </si>
  <si>
    <t>767 - Konštrukcie doplnk. kovové stavebné</t>
  </si>
  <si>
    <t>76758-1802</t>
  </si>
  <si>
    <t>Demontáž podhľadov, lamely vr. konštr.</t>
  </si>
  <si>
    <t>264</t>
  </si>
  <si>
    <t>133</t>
  </si>
  <si>
    <t>76758-3140</t>
  </si>
  <si>
    <t>Úprava exist. kazet. a sdk podhľadov pre novú priečku a VZT (B)*</t>
  </si>
  <si>
    <t>266</t>
  </si>
  <si>
    <t>76758-4522</t>
  </si>
  <si>
    <t>Montáž podhľadov do betónovej konštrukcie, 600 x 600 mm, vr. úprav pre svietidlá</t>
  </si>
  <si>
    <t>268</t>
  </si>
  <si>
    <t>135</t>
  </si>
  <si>
    <t>553 584400</t>
  </si>
  <si>
    <t>Podhľad 60x60cm vr. záves. konštr.*</t>
  </si>
  <si>
    <t>270</t>
  </si>
  <si>
    <t>76763-1180</t>
  </si>
  <si>
    <t>M+D okien plast 145x85+parapet vnút. a vonk.("D"-B+a+kl1)*</t>
  </si>
  <si>
    <t>272</t>
  </si>
  <si>
    <t>137</t>
  </si>
  <si>
    <t>76763-1181</t>
  </si>
  <si>
    <t>M+D okien plast 150x170+parapet vnút. a vonk.+žaluzie ("D"-C+b+kl2)*</t>
  </si>
  <si>
    <t>274</t>
  </si>
  <si>
    <t>76763-1182</t>
  </si>
  <si>
    <t>M+D okien plast 150x180+parapet vnút. a vonk.+žaluzie ("D"-D+b+kl2)*</t>
  </si>
  <si>
    <t>276</t>
  </si>
  <si>
    <t>139</t>
  </si>
  <si>
    <t>76764-1360</t>
  </si>
  <si>
    <t>M+D plast dvier a nadsvetl. celozaskl. 145x197+350+zárubeň+samozatvárač ("D"-1+A)*</t>
  </si>
  <si>
    <t>278</t>
  </si>
  <si>
    <t>76764-1361</t>
  </si>
  <si>
    <t>M+D plast dvier 145x197+zárubeň+samozatvárač ("D"-2)*</t>
  </si>
  <si>
    <t>280</t>
  </si>
  <si>
    <t>141</t>
  </si>
  <si>
    <t>76764-6550</t>
  </si>
  <si>
    <t>M+D Al dvier PO30min 145x197+zárubeň+samozatvárač ("D"-2a)*</t>
  </si>
  <si>
    <t>282</t>
  </si>
  <si>
    <t>76764-6551</t>
  </si>
  <si>
    <t>M+D Al zaskl stena 235x250 s elektr. ovl. dverami 190x202,5 ("C"-7)*</t>
  </si>
  <si>
    <t>284</t>
  </si>
  <si>
    <t>143</t>
  </si>
  <si>
    <t>76764-6552</t>
  </si>
  <si>
    <t>M+D Al zaskl stena 260x290 s dverami 190x197 ("A"-15)*</t>
  </si>
  <si>
    <t>286</t>
  </si>
  <si>
    <t>76764-6553</t>
  </si>
  <si>
    <t>M+D Al zaskl stena 165x290 s posuv dverami 75x197 ("A"-18a+18b)*</t>
  </si>
  <si>
    <t>288</t>
  </si>
  <si>
    <t>145</t>
  </si>
  <si>
    <t>76764-6554</t>
  </si>
  <si>
    <t>M+D Al zaskl stena 390x290 s plast kazetami ("A"-18c)*</t>
  </si>
  <si>
    <t>290</t>
  </si>
  <si>
    <t>76764-6555</t>
  </si>
  <si>
    <t>M+D Al dvier 2/3 zaskl. EW30 D3/C 145x210+zárubeň+samozatvárač ("A"-19)*</t>
  </si>
  <si>
    <t>292</t>
  </si>
  <si>
    <t>147</t>
  </si>
  <si>
    <t>76799-6501</t>
  </si>
  <si>
    <t>M+D nárazového madla, vr. konzol, spojok a koncoviek (2/st)*</t>
  </si>
  <si>
    <t>294</t>
  </si>
  <si>
    <t>76799-6510</t>
  </si>
  <si>
    <t>M+D lepeného zvodidlového pása š=300 (3/st)*</t>
  </si>
  <si>
    <t>296</t>
  </si>
  <si>
    <t>149</t>
  </si>
  <si>
    <t>76799-6520</t>
  </si>
  <si>
    <t>M+D nalep. kryt rohov pravouhlý, š.75mm / 135st. (4/st)*</t>
  </si>
  <si>
    <t>298</t>
  </si>
  <si>
    <t>99876-7201</t>
  </si>
  <si>
    <t>Presun hmôt pre kov. stav. doplnk. konštr. v obj. výšky do 6 m</t>
  </si>
  <si>
    <t>300</t>
  </si>
  <si>
    <t>771</t>
  </si>
  <si>
    <t>771 - Podlahy z dlaždíc  keramických</t>
  </si>
  <si>
    <t>151</t>
  </si>
  <si>
    <t>77140-1111</t>
  </si>
  <si>
    <t>M+D prechodovej lišty po vybúr. otvoru (alt. doplnenie dlažbou)</t>
  </si>
  <si>
    <t>302</t>
  </si>
  <si>
    <t>77147-1810</t>
  </si>
  <si>
    <t>Demontáž soklov keram. kladených do malty rovných</t>
  </si>
  <si>
    <t>304</t>
  </si>
  <si>
    <t>153</t>
  </si>
  <si>
    <t>77147-4113</t>
  </si>
  <si>
    <t>Montáž soklov keram.rovných do flexib.lep.do 12cm</t>
  </si>
  <si>
    <t>306</t>
  </si>
  <si>
    <t>77155-1810</t>
  </si>
  <si>
    <t>Demontáž podlah z dlaždic teracových kladených do malty</t>
  </si>
  <si>
    <t>308</t>
  </si>
  <si>
    <t>155</t>
  </si>
  <si>
    <t>77157-3810</t>
  </si>
  <si>
    <t>Demontáž podlah z dlaždic keramických lepených</t>
  </si>
  <si>
    <t>310</t>
  </si>
  <si>
    <t>77157-5109</t>
  </si>
  <si>
    <t>Montáž podláh z dlaždíc keram. protišmyk. do tmelu, škár. (P1)</t>
  </si>
  <si>
    <t>312</t>
  </si>
  <si>
    <t>157</t>
  </si>
  <si>
    <t>77157-5110</t>
  </si>
  <si>
    <t>Montáž podláh z dlaždíc keram. protišmyk. do tmelu, škár. vovoodpudivé (P2)</t>
  </si>
  <si>
    <t>314</t>
  </si>
  <si>
    <t>597 637251</t>
  </si>
  <si>
    <t>Dlažba protišmyková</t>
  </si>
  <si>
    <t>316</t>
  </si>
  <si>
    <t>159</t>
  </si>
  <si>
    <t>77157-9791</t>
  </si>
  <si>
    <t>Prípl. za plochu do 5m2 jednotlivo pri montáži podláh keram.</t>
  </si>
  <si>
    <t>318</t>
  </si>
  <si>
    <t>99877-1201</t>
  </si>
  <si>
    <t>Presun hmôt pre podlahy z dlaždíc v obj. výšky do 6 m</t>
  </si>
  <si>
    <t>320</t>
  </si>
  <si>
    <t>776</t>
  </si>
  <si>
    <t>776 - Podlahy povlakové</t>
  </si>
  <si>
    <t>161</t>
  </si>
  <si>
    <t>77609-1110</t>
  </si>
  <si>
    <t>Zbrúsenie a vyčistenie podkladu (P3+P4)*</t>
  </si>
  <si>
    <t>322</t>
  </si>
  <si>
    <t>77640-1800</t>
  </si>
  <si>
    <t>Demontáž soklíkov alebo líšt gumených alebo plastových</t>
  </si>
  <si>
    <t>324</t>
  </si>
  <si>
    <t>163</t>
  </si>
  <si>
    <t>77641-1000</t>
  </si>
  <si>
    <t>Lepenie a dodávka podlahových soklíkov alebo líšt gumených (P3)</t>
  </si>
  <si>
    <t>326</t>
  </si>
  <si>
    <t>77641-1005</t>
  </si>
  <si>
    <t>Fabion z antistat. PVC vr. lepidla , rohovníkov a a tmelenia (P4)*</t>
  </si>
  <si>
    <t>328</t>
  </si>
  <si>
    <t>165</t>
  </si>
  <si>
    <t>77651-1820</t>
  </si>
  <si>
    <t>Odstránenie povlak. podláh lepených s podložkou vr. líšt</t>
  </si>
  <si>
    <t>330</t>
  </si>
  <si>
    <t>77652-1100</t>
  </si>
  <si>
    <t>Lepenie povlakových podláh plastových pásov (P3)</t>
  </si>
  <si>
    <t>332</t>
  </si>
  <si>
    <t>167</t>
  </si>
  <si>
    <t>284 102490</t>
  </si>
  <si>
    <t>Podlahovina PVC</t>
  </si>
  <si>
    <t>334</t>
  </si>
  <si>
    <t>77652-1230</t>
  </si>
  <si>
    <t>Lepenie povlakových podláh plastových antistat. (P4)</t>
  </si>
  <si>
    <t>336</t>
  </si>
  <si>
    <t>169</t>
  </si>
  <si>
    <t>284 102430</t>
  </si>
  <si>
    <t>Podlahovina antistatická vr. lepidla, rohovníkov,  Cu prúžkov a prechod. líšt*</t>
  </si>
  <si>
    <t>338</t>
  </si>
  <si>
    <t>77699-0115</t>
  </si>
  <si>
    <t>Vyrovnanie podkladu samoniv. stierkou pre antistat. podlahu hr 3mm+penetr. náter (P4)*</t>
  </si>
  <si>
    <t>340</t>
  </si>
  <si>
    <t>171</t>
  </si>
  <si>
    <t>99877-6201</t>
  </si>
  <si>
    <t>Presun hmôt pre podlahy povlakové v obj. výšky do 6 m</t>
  </si>
  <si>
    <t>342</t>
  </si>
  <si>
    <t>781</t>
  </si>
  <si>
    <t>781 - Obklady z obkladačiek a dosiek</t>
  </si>
  <si>
    <t>78144-6686</t>
  </si>
  <si>
    <t>Montáž obkladov stien z obkladačiek hutných, keram. do tmelu, škar. vodoodpudivé</t>
  </si>
  <si>
    <t>344</t>
  </si>
  <si>
    <t>173</t>
  </si>
  <si>
    <t>597 672950</t>
  </si>
  <si>
    <t>Obklad keramický</t>
  </si>
  <si>
    <t>346</t>
  </si>
  <si>
    <t>78147-9711</t>
  </si>
  <si>
    <t>Prípl. za plochu do 10m2 jednotlivo pri montáži obkl. ker.</t>
  </si>
  <si>
    <t>348</t>
  </si>
  <si>
    <t>175</t>
  </si>
  <si>
    <t>78149-1111</t>
  </si>
  <si>
    <t>M+D plastových profilov do malty, roh</t>
  </si>
  <si>
    <t>350</t>
  </si>
  <si>
    <t>99878-1201</t>
  </si>
  <si>
    <t>Presun hmôt pre obklady keramické v obj. výšky do 6 m</t>
  </si>
  <si>
    <t>352</t>
  </si>
  <si>
    <t>783</t>
  </si>
  <si>
    <t>783 - Nátery</t>
  </si>
  <si>
    <t>177</t>
  </si>
  <si>
    <t>78380-1812</t>
  </si>
  <si>
    <t>Odstránenie náterov z omietok stien oškrabaním</t>
  </si>
  <si>
    <t>354</t>
  </si>
  <si>
    <t>78389-5020</t>
  </si>
  <si>
    <t>Nátery vnút. omiet. a sdk dvojnásobné umývateľné+penetr. náter</t>
  </si>
  <si>
    <t>356</t>
  </si>
  <si>
    <t>S01-2 - SO 01 - Urgentný príjem - ZTI</t>
  </si>
  <si>
    <t xml:space="preserve">    1 - 1 - ZEMNE PRÁCE</t>
  </si>
  <si>
    <t xml:space="preserve">    2 - 2 - ZÁKLADY</t>
  </si>
  <si>
    <t xml:space="preserve">    91 - 91 - Dopln.konšt.a práce komun.a sp</t>
  </si>
  <si>
    <t xml:space="preserve">    99 - 99 - Vnútrostaveniskový presun hmôt</t>
  </si>
  <si>
    <t xml:space="preserve">    713 - 713 - Izolácie tepelné</t>
  </si>
  <si>
    <t xml:space="preserve">    721 - 721 - Vnútorná kanalizácia</t>
  </si>
  <si>
    <t>1 - ZEMNE PRÁCE</t>
  </si>
  <si>
    <t>13971-1101</t>
  </si>
  <si>
    <t>Výkopy v uzavretých priestoroch v horn. tr. 1-4</t>
  </si>
  <si>
    <t>16220-1101</t>
  </si>
  <si>
    <t>Vodorovné premiestnenie výkopu do 20 m horn. tr. 1-4</t>
  </si>
  <si>
    <t>16270-1105</t>
  </si>
  <si>
    <t>Vodorovné premiestnenie výkopu do 10000 m horn. tr. 1-4</t>
  </si>
  <si>
    <t>16710-1100</t>
  </si>
  <si>
    <t>Nakladanie výkopku tr.1-4 ručne</t>
  </si>
  <si>
    <t>2 - ZÁKLADY</t>
  </si>
  <si>
    <t>27151-1121</t>
  </si>
  <si>
    <t>Podklad a zásyp potrubia vodov. a kanaliz. zo štrkopiesku fr. 0-32 mm</t>
  </si>
  <si>
    <t>27332-1311</t>
  </si>
  <si>
    <t>Podkladové dosky zo železobetónu tr. C16/20</t>
  </si>
  <si>
    <t>91 - Dopln.konšt.a práce komun.a sp</t>
  </si>
  <si>
    <t>91973-4220</t>
  </si>
  <si>
    <t>Rezanie existujúceho betónového krytu s dlažbou a bet. podkladu, hr. do 20 cm</t>
  </si>
  <si>
    <t>96504-2221</t>
  </si>
  <si>
    <t>Sekanie betón. krytu a bet. podkladu hr. nad 10 cm</t>
  </si>
  <si>
    <t>96901-1121</t>
  </si>
  <si>
    <t>Vybúr. vedenia vodovod., plynovod. DN do 52 mm</t>
  </si>
  <si>
    <t>96902-1121</t>
  </si>
  <si>
    <t>Vybúr. kanalizačného potrubia DN do 200 mm</t>
  </si>
  <si>
    <t>97110-1020</t>
  </si>
  <si>
    <t>Vŕtanie otvor. do pr. 50mm jadrové do steny</t>
  </si>
  <si>
    <t>97403-1143</t>
  </si>
  <si>
    <t>Vysekanie rýh v tehelnom murive hl. do 7 cm š. do 10 cm</t>
  </si>
  <si>
    <t>Odvoz sute a vybúraných hmôt na skládku každý ďalší 1 km, do 10 km</t>
  </si>
  <si>
    <t>Vnútrost. doprava sute a vybúr. hmôt do 10m</t>
  </si>
  <si>
    <t>Vnútrost. doprava sute a vybúr. hmôt každých ďalších 5m</t>
  </si>
  <si>
    <t>Poplatok za ulož. staveb.sute na vymedzených skládkach "O"-ostatný odpad</t>
  </si>
  <si>
    <t>97913-1415</t>
  </si>
  <si>
    <t>Poplatok za uloženie vykopanej zeminy</t>
  </si>
  <si>
    <t>99 - Vnútrostaveniskový presun hmôt</t>
  </si>
  <si>
    <t>99801-1001</t>
  </si>
  <si>
    <t>Presun hmôt pre budovy murované výšky do 6m</t>
  </si>
  <si>
    <t>71114-1559</t>
  </si>
  <si>
    <t>Zhotovenie izolácie proti vlhkosti pritavením NAIP vodor.</t>
  </si>
  <si>
    <t>628 322810</t>
  </si>
  <si>
    <t>Pás ťažký asfaltový</t>
  </si>
  <si>
    <t>Presun hmôt pre izolácie proti vode v obj. výšky do 6m</t>
  </si>
  <si>
    <t>713</t>
  </si>
  <si>
    <t>713 - Izolácie tepelné</t>
  </si>
  <si>
    <t>71341-1131</t>
  </si>
  <si>
    <t>D+M tep. izolácie potrubia</t>
  </si>
  <si>
    <t>99871-3201</t>
  </si>
  <si>
    <t>Presun hmôt pre izolácie tepelné v obj. výšky do 6m</t>
  </si>
  <si>
    <t>721</t>
  </si>
  <si>
    <t>721 - Vnútorná kanalizácia</t>
  </si>
  <si>
    <t>72117-3601</t>
  </si>
  <si>
    <t>Potrubie plastové na odvod kondenzátu DN 15</t>
  </si>
  <si>
    <t>72117-3602</t>
  </si>
  <si>
    <t>Potrubie kanalizačné DN 40x1,8</t>
  </si>
  <si>
    <t>72117-3603</t>
  </si>
  <si>
    <t>Potrubie kanalizačné DN 50x1,8</t>
  </si>
  <si>
    <t>72117-3604</t>
  </si>
  <si>
    <t>Potrubie kanalizačné DN 75x1,8</t>
  </si>
  <si>
    <t>72117-3605</t>
  </si>
  <si>
    <t>Potrubie kanalizačné DN 110x2,2</t>
  </si>
  <si>
    <t>72117-3606R</t>
  </si>
  <si>
    <t>Potrubie kanalizačné DN 110x3,2</t>
  </si>
  <si>
    <t>72117-3607R</t>
  </si>
  <si>
    <t>Potrubie kanalizačné DN 125x3,2</t>
  </si>
  <si>
    <t>72117-3608</t>
  </si>
  <si>
    <t>Potrubie kanalizačné DN 160x4,0</t>
  </si>
  <si>
    <t>72119-4103</t>
  </si>
  <si>
    <t>D+M čistiaca tvarovka PVC DN 110</t>
  </si>
  <si>
    <t>72126-3807</t>
  </si>
  <si>
    <t>D+M podomietkový sifón pre VZT zariadenia DN 32</t>
  </si>
  <si>
    <t>72127-4103</t>
  </si>
  <si>
    <t>Privzdušňovací ventil DN 100</t>
  </si>
  <si>
    <t>72129-0111</t>
  </si>
  <si>
    <t>Skúška tesnosti kanalizácie vodou do DN 125</t>
  </si>
  <si>
    <t>72129-0112</t>
  </si>
  <si>
    <t>Skúška tesnosti kanalizácie vodou DN 125-200</t>
  </si>
  <si>
    <t>99872-1201</t>
  </si>
  <si>
    <t>Presun hmôt pre vnút. kanalizáciu v obj. výšky do 6m</t>
  </si>
  <si>
    <t>72217-1211</t>
  </si>
  <si>
    <t>Potrubie plastové DN 15 PN 20</t>
  </si>
  <si>
    <t>72217-1212</t>
  </si>
  <si>
    <t>Potrubie plastové DN 20 PN 20</t>
  </si>
  <si>
    <t>72217-1213</t>
  </si>
  <si>
    <t>Potrubie plastové DN 25 PN 20</t>
  </si>
  <si>
    <t>72217-1214</t>
  </si>
  <si>
    <t>Potrubie plastové DN 32 PN 20</t>
  </si>
  <si>
    <t>72217-1215</t>
  </si>
  <si>
    <t>Potrubie plastové DN 40 PN 20</t>
  </si>
  <si>
    <t>72217-1216</t>
  </si>
  <si>
    <t>Potrubie plastové DN 50 PN 20</t>
  </si>
  <si>
    <t>72217-1225</t>
  </si>
  <si>
    <t>Potrubie plastové DN 65 PN 20</t>
  </si>
  <si>
    <t>72217-1226</t>
  </si>
  <si>
    <t>Potrubie plastové DN 80 PN 20</t>
  </si>
  <si>
    <t>72222-0131</t>
  </si>
  <si>
    <t>Flexi hadica na vodu 500 mm</t>
  </si>
  <si>
    <t>72222-0132</t>
  </si>
  <si>
    <t>Rohový pripojovací ventil s filtrom DN 10</t>
  </si>
  <si>
    <t>72222-0133</t>
  </si>
  <si>
    <t>Rohový prípojovací ventil s filtrom DN 15</t>
  </si>
  <si>
    <t>72223-2043</t>
  </si>
  <si>
    <t>Kohút guľový DN 15 PN 16</t>
  </si>
  <si>
    <t>72223-2044</t>
  </si>
  <si>
    <t>Kohút guľový DN 20 PN 16</t>
  </si>
  <si>
    <t>72223-2045</t>
  </si>
  <si>
    <t>Kohút guľový DN 25 PN 16</t>
  </si>
  <si>
    <t>72223-2046</t>
  </si>
  <si>
    <t>Kohút guľový DN 32 PN 16</t>
  </si>
  <si>
    <t>72223-2047</t>
  </si>
  <si>
    <t>Kohút guľový DN 40 PN 16</t>
  </si>
  <si>
    <t>72223-2048</t>
  </si>
  <si>
    <t>Kohút guľový DN 50 PN 16</t>
  </si>
  <si>
    <t>72223-2050</t>
  </si>
  <si>
    <t>Kohút guľový DN 65 PN 16</t>
  </si>
  <si>
    <t>72223-2051</t>
  </si>
  <si>
    <t>Kohút guľový DN 80 PN 16</t>
  </si>
  <si>
    <t>72223-9101</t>
  </si>
  <si>
    <t>Montáž vodov. armatúr s 2 závitmi G 1/2</t>
  </si>
  <si>
    <t>72223-9102</t>
  </si>
  <si>
    <t>Montáž vodov. armatúr s 2 závitmi G 3/4</t>
  </si>
  <si>
    <t>72223-9103</t>
  </si>
  <si>
    <t>Montáž vodov. armatúr s 2 závitmi G 1</t>
  </si>
  <si>
    <t>72223-9104</t>
  </si>
  <si>
    <t>Montáž vodov. armatúr s 2 závitmi G 5/4</t>
  </si>
  <si>
    <t>72223-9105</t>
  </si>
  <si>
    <t>Montáž vodov. armatúr s 2 závitmi G 6/4</t>
  </si>
  <si>
    <t>72223-9106</t>
  </si>
  <si>
    <t>Montáž vodov. armatúr s 2 závitmi G 2</t>
  </si>
  <si>
    <t>72223-9107</t>
  </si>
  <si>
    <t>Montáž vodov. armatúr s 2 závitmi G 3</t>
  </si>
  <si>
    <t>72223-9108</t>
  </si>
  <si>
    <t>Montáž vodov. armatúr s 2 závitmi G 4</t>
  </si>
  <si>
    <t>72229-0226</t>
  </si>
  <si>
    <t>Tlakové skúšky vodov. potrubia do DN 50</t>
  </si>
  <si>
    <t>72229-0229</t>
  </si>
  <si>
    <t>Tlakové skúšky vodov. potrubia do DN 100</t>
  </si>
  <si>
    <t>72299-9904R</t>
  </si>
  <si>
    <t>Konštrukčný profilový materiál</t>
  </si>
  <si>
    <t>kg</t>
  </si>
  <si>
    <t>Presun hmôt pre vnút. vodovod v obj. výšky do 6m</t>
  </si>
  <si>
    <t>72511-2012</t>
  </si>
  <si>
    <t>Závesná záchodová misa - predb. cena</t>
  </si>
  <si>
    <t>72511-2021R</t>
  </si>
  <si>
    <t>Doska na sedenie s poklopom</t>
  </si>
  <si>
    <t>72511-2100R</t>
  </si>
  <si>
    <t>Montážny prvok pre závesné WC s ovladaní spredu</t>
  </si>
  <si>
    <t>72511-2171R</t>
  </si>
  <si>
    <t>Tlačidlo pre ovladanie WC</t>
  </si>
  <si>
    <t>72511-2172</t>
  </si>
  <si>
    <t>Zách. misa kombi - predb. cena</t>
  </si>
  <si>
    <t>72511-9213</t>
  </si>
  <si>
    <t>Montáž záchodových mís závesných, komplet</t>
  </si>
  <si>
    <t>72511-9305</t>
  </si>
  <si>
    <t>Montáž záchodovým mís kombinovaných</t>
  </si>
  <si>
    <t>72512-0925R</t>
  </si>
  <si>
    <t>Pisoárová súprava - dodávka</t>
  </si>
  <si>
    <t>72512-2100</t>
  </si>
  <si>
    <t>Pisoár - dodávka</t>
  </si>
  <si>
    <t>72512-9202</t>
  </si>
  <si>
    <t>Montáž pisoárových súprav</t>
  </si>
  <si>
    <t>72513-7111R</t>
  </si>
  <si>
    <t>M+D radarový splachovač</t>
  </si>
  <si>
    <t>72521-1612R</t>
  </si>
  <si>
    <t>Umývadlo s otvorom pre bateriu + sifón DN 40</t>
  </si>
  <si>
    <t>72521-1621</t>
  </si>
  <si>
    <t>M+D kuchynského drezu + drezová zápachová uzavierka</t>
  </si>
  <si>
    <t>72531-0901R</t>
  </si>
  <si>
    <t>Výlevka závesná so sklopnou chrómovou mriežkou</t>
  </si>
  <si>
    <t>72531-0917</t>
  </si>
  <si>
    <t>Montážný prvok pre závesnú výlevku</t>
  </si>
  <si>
    <t>72531-2112R</t>
  </si>
  <si>
    <t>Montáž závesnej výlevky</t>
  </si>
  <si>
    <t>72541-0811R</t>
  </si>
  <si>
    <t>M+D liniový sprchový žľab l = 0,8</t>
  </si>
  <si>
    <t>72582-0600R</t>
  </si>
  <si>
    <t>Umyvadlová bateria jednopáková stojanková</t>
  </si>
  <si>
    <t>72582-0700</t>
  </si>
  <si>
    <t>Nástenná jednopáková batéria s výtokom</t>
  </si>
  <si>
    <t>72582-0801R</t>
  </si>
  <si>
    <t>Výtokové rameno sprchy a sprchová hlavica</t>
  </si>
  <si>
    <t>72582-9201</t>
  </si>
  <si>
    <t>Drezová jednopáková bateria</t>
  </si>
  <si>
    <t>72582-9701</t>
  </si>
  <si>
    <t>Montáž armatúr žľabovej, drezovej umývadlovej</t>
  </si>
  <si>
    <t>72584-0200</t>
  </si>
  <si>
    <t>Batéria sprchová nástenná</t>
  </si>
  <si>
    <t>72584-9200</t>
  </si>
  <si>
    <t>Montáž batérií sprch. násten.</t>
  </si>
  <si>
    <t>99872-5201</t>
  </si>
  <si>
    <t>Presun hmôt pre zariaď. predmety v obj. výšky do 6m</t>
  </si>
  <si>
    <t>78342-4240</t>
  </si>
  <si>
    <t>Nátery synt. potrubia vrchný</t>
  </si>
  <si>
    <t>78342-4740</t>
  </si>
  <si>
    <t>Nátery synt. potrubia základný</t>
  </si>
  <si>
    <t>S01-3 - SO 01 - Urgentný príjem - medicinálne plyny</t>
  </si>
  <si>
    <t xml:space="preserve">    9 - 9 - OSTATNÉ KONŠTRUKCIE A PRÁCE</t>
  </si>
  <si>
    <t xml:space="preserve">    723 - 723 - Vnútorný plynovod</t>
  </si>
  <si>
    <t>M - PRÁCE A DODÁVKY M</t>
  </si>
  <si>
    <t xml:space="preserve">    M23 - M23 - 157 Montáž potrubia</t>
  </si>
  <si>
    <t xml:space="preserve">    O - OSTATNÉ</t>
  </si>
  <si>
    <t>9 - OSTATNÉ KONŠTRUKCIE A PRÁCE</t>
  </si>
  <si>
    <t>93694-1211</t>
  </si>
  <si>
    <t>Drobné oceľové konštrukcie do 5kg</t>
  </si>
  <si>
    <t>93890-3116</t>
  </si>
  <si>
    <t>Vysekanie ryhy pre uloženie potrubia do DN 25</t>
  </si>
  <si>
    <t>97304-1511</t>
  </si>
  <si>
    <t>Vysekanie výklenkov nad 0,25 m2 v murive z tehál</t>
  </si>
  <si>
    <t>723</t>
  </si>
  <si>
    <t>723 - Vnútorný plynovod</t>
  </si>
  <si>
    <t>72319-0907</t>
  </si>
  <si>
    <t>Odvzdušnenie a napustenie potrubia</t>
  </si>
  <si>
    <t>72319-0913</t>
  </si>
  <si>
    <t>Navarenie odbočky na potrubie 22x1,5</t>
  </si>
  <si>
    <t>72399-9904</t>
  </si>
  <si>
    <t>Vnútorný plynovod HZS T4 - odplynenie a demontovaného potrubia</t>
  </si>
  <si>
    <t>hod</t>
  </si>
  <si>
    <t>72399-9905</t>
  </si>
  <si>
    <t>Vnútorný plynovod HZS T5 - doizolovanie potrubia CU opáskovaním</t>
  </si>
  <si>
    <t>72399-9906</t>
  </si>
  <si>
    <t>Vnútorný plynovod HZS T6 - východzia revízia</t>
  </si>
  <si>
    <t>76799-5101</t>
  </si>
  <si>
    <t>M+D atypických stavebných doplnk. konštrukcií do 5 kg</t>
  </si>
  <si>
    <t>78312-2710</t>
  </si>
  <si>
    <t>Nátery potrubia základný</t>
  </si>
  <si>
    <t>78312-4520</t>
  </si>
  <si>
    <t>Nátery potrubia dvojn.+1x email</t>
  </si>
  <si>
    <t>PRÁCE A DODÁVKY M</t>
  </si>
  <si>
    <t>80343-0040</t>
  </si>
  <si>
    <t>Skúška tesnosti potrubia do d28</t>
  </si>
  <si>
    <t>zvar</t>
  </si>
  <si>
    <t>80344-0050</t>
  </si>
  <si>
    <t>Skúška pevnosti potrubia do d28</t>
  </si>
  <si>
    <t>M23</t>
  </si>
  <si>
    <t>M23 - 157 Montáž potrubia</t>
  </si>
  <si>
    <t>23012-0041</t>
  </si>
  <si>
    <t>Čistenie potrubia prefukovaním alebo preplachovaním   32</t>
  </si>
  <si>
    <t>23033-0012</t>
  </si>
  <si>
    <t>Rúrka medená  18 x  1</t>
  </si>
  <si>
    <t>23033-0016</t>
  </si>
  <si>
    <t>Rúrka medená  22 x  1,5</t>
  </si>
  <si>
    <t>23033-0073</t>
  </si>
  <si>
    <t>Chránička potrubia  31,8 x 2,6</t>
  </si>
  <si>
    <t>23033-0091</t>
  </si>
  <si>
    <t>Izolácia potrubia do  76 mm</t>
  </si>
  <si>
    <t>23033-0111</t>
  </si>
  <si>
    <t>Prepláchnutie rozvodu dusíkom do 25;100 m</t>
  </si>
  <si>
    <t>23033-0321</t>
  </si>
  <si>
    <t>Skupinový uzáver  pre dva plyny</t>
  </si>
  <si>
    <t>23033-0331</t>
  </si>
  <si>
    <t>Monitorovacie signal. zariadenie digitalne na stenu vrátane kábla</t>
  </si>
  <si>
    <t>O</t>
  </si>
  <si>
    <t>OSTATNÉ</t>
  </si>
  <si>
    <t>27060-11202</t>
  </si>
  <si>
    <t>Rozvody medicinálnych plynov, potrubie, izolácia</t>
  </si>
  <si>
    <t>262144</t>
  </si>
  <si>
    <t>27060-11208</t>
  </si>
  <si>
    <t>Rozvody medicinálnych plynov, potrubie, panel ukončenia rozvodu</t>
  </si>
  <si>
    <t>286 3G6501</t>
  </si>
  <si>
    <t>Monitorovacie digitálne zariadenie skupinového uzáveru</t>
  </si>
  <si>
    <t>286 3G6502</t>
  </si>
  <si>
    <t>Skupinový uzáver pre dva plyny v skrinke</t>
  </si>
  <si>
    <t>286 3H0502</t>
  </si>
  <si>
    <t>Koleno 90 st. Cu 18</t>
  </si>
  <si>
    <t>286 3H0503</t>
  </si>
  <si>
    <t>Koleno 90 st Cu 22</t>
  </si>
  <si>
    <t>286 3H0702</t>
  </si>
  <si>
    <t>T-Kus Cu 18</t>
  </si>
  <si>
    <t>286 3H0703</t>
  </si>
  <si>
    <t>T-Kus Cu 22</t>
  </si>
  <si>
    <t>286 3H0802</t>
  </si>
  <si>
    <t>T-Kus redukčný Cu 22.18.22</t>
  </si>
  <si>
    <t>286 3H0903</t>
  </si>
  <si>
    <t>Hrdlo-Cu redukčné 22.18</t>
  </si>
  <si>
    <t>88070-311</t>
  </si>
  <si>
    <t>Tlaková a úradná skúška</t>
  </si>
  <si>
    <t>kpl</t>
  </si>
  <si>
    <t>512</t>
  </si>
  <si>
    <t>S01-4 - SO 01 - Urgentný príjem - UK</t>
  </si>
  <si>
    <t>732 - ZARIADENIE  TECHNICKEJ MIESTNOSTI</t>
  </si>
  <si>
    <t>733 - ROZVOD POTRUBIA</t>
  </si>
  <si>
    <t xml:space="preserve">    D1 - Potrubie z rúrok závitových oceľových bezšvových</t>
  </si>
  <si>
    <t xml:space="preserve">    D2 - Príplatok k cene za zhotovenie prípojky z oceľových rúrok závitových</t>
  </si>
  <si>
    <t xml:space="preserve">    D3 - Zhotovenie rúrkových prechodov</t>
  </si>
  <si>
    <t xml:space="preserve">    D4 - Privarenie odbočky na doterajšie potrubie o priemere odbočky</t>
  </si>
  <si>
    <t>734 - ARMATÚRY</t>
  </si>
  <si>
    <t xml:space="preserve">    D5 - Montáž závitových armatúr s dvomi závitmi</t>
  </si>
  <si>
    <t xml:space="preserve">    D6 - Ručný reg. ventil závit. s meri ventilmi, prednast., meranie, uzatvár., napúšť.vypúšť.,sada na mer.</t>
  </si>
  <si>
    <t xml:space="preserve">    D7 - Kohúty plniace a vypúšťacie</t>
  </si>
  <si>
    <t>783 - NÁTERY</t>
  </si>
  <si>
    <t>713 - IZOLÁCIE</t>
  </si>
  <si>
    <t xml:space="preserve">    D8 - Izolácia potrubia izoláciou z penového polyetylénu  hrúbky 20mm vr.príslušenstva</t>
  </si>
  <si>
    <t>767 - DOPLNKOVÉ KONŠTRUKCIE</t>
  </si>
  <si>
    <t>OST - Ostatné</t>
  </si>
  <si>
    <t>732</t>
  </si>
  <si>
    <t>ZARIADENIE  TECHNICKEJ MIESTNOSTI</t>
  </si>
  <si>
    <t>Pol1</t>
  </si>
  <si>
    <t>Štitky pre označenie potrubia</t>
  </si>
  <si>
    <t>ks</t>
  </si>
  <si>
    <t>19-9100</t>
  </si>
  <si>
    <t>Montáž orientačných štítkov</t>
  </si>
  <si>
    <t>998-73-2294</t>
  </si>
  <si>
    <t>Presun hmôt pre strojovne v objektoch</t>
  </si>
  <si>
    <t>733</t>
  </si>
  <si>
    <t>ROZVOD POTRUBIA</t>
  </si>
  <si>
    <t>D1</t>
  </si>
  <si>
    <t>Potrubie z rúrok závitových oceľových bezšvových</t>
  </si>
  <si>
    <t>11-1113</t>
  </si>
  <si>
    <t>DN15</t>
  </si>
  <si>
    <t>11-1114</t>
  </si>
  <si>
    <t>DN20</t>
  </si>
  <si>
    <t>11-1115</t>
  </si>
  <si>
    <t>DN25</t>
  </si>
  <si>
    <t>11-1116</t>
  </si>
  <si>
    <t>DN32</t>
  </si>
  <si>
    <t>D2</t>
  </si>
  <si>
    <t>Príplatok k cene za zhotovenie prípojky z oceľových rúrok závitových</t>
  </si>
  <si>
    <t>11-3115</t>
  </si>
  <si>
    <t>11-3116</t>
  </si>
  <si>
    <t>D3</t>
  </si>
  <si>
    <t>Zhotovenie rúrkových prechodov</t>
  </si>
  <si>
    <t>Pol2</t>
  </si>
  <si>
    <t>20/15</t>
  </si>
  <si>
    <t>Pol3</t>
  </si>
  <si>
    <t>25/20</t>
  </si>
  <si>
    <t>12-4113</t>
  </si>
  <si>
    <t>25/15</t>
  </si>
  <si>
    <t>Pol4</t>
  </si>
  <si>
    <t>32/20</t>
  </si>
  <si>
    <t>Pol5</t>
  </si>
  <si>
    <t>32/25</t>
  </si>
  <si>
    <t>D4</t>
  </si>
  <si>
    <t>Privarenie odbočky na doterajšie potrubie o priemere odbočky</t>
  </si>
  <si>
    <t>19-1926</t>
  </si>
  <si>
    <t>19-0107</t>
  </si>
  <si>
    <t>Tlakové skúšky potrubia z oceľových  rúrok</t>
  </si>
  <si>
    <t>Pol6</t>
  </si>
  <si>
    <t>Presun hmôt pre rozvody potrubia v objektoch</t>
  </si>
  <si>
    <t>734</t>
  </si>
  <si>
    <t>ARMATÚRY</t>
  </si>
  <si>
    <t>Pol7</t>
  </si>
  <si>
    <t>Automatický odvzdušňovací ventil AOV</t>
  </si>
  <si>
    <t>21-3270</t>
  </si>
  <si>
    <t>Montáž automatického odvzdušňovacieho ventilu</t>
  </si>
  <si>
    <t>D5</t>
  </si>
  <si>
    <t>Montáž závitových armatúr s dvomi závitmi</t>
  </si>
  <si>
    <t>20-9113</t>
  </si>
  <si>
    <t>20-9114</t>
  </si>
  <si>
    <t>20-9116</t>
  </si>
  <si>
    <t>Pol8</t>
  </si>
  <si>
    <t>Guľový kohút závitový DN 32</t>
  </si>
  <si>
    <t>D6</t>
  </si>
  <si>
    <t>Ručný reg. ventil závit. s meri ventilmi, prednast., meranie, uzatvár., napúšť.vypúšť.,sada na mer.</t>
  </si>
  <si>
    <t>Pol9</t>
  </si>
  <si>
    <t>Pol10</t>
  </si>
  <si>
    <t>Pol11</t>
  </si>
  <si>
    <t>D7</t>
  </si>
  <si>
    <t>Kohúty plniace a vypúšťacie</t>
  </si>
  <si>
    <t>29-1113</t>
  </si>
  <si>
    <t>Pol12</t>
  </si>
  <si>
    <t>Vyregulovanie ručných regulačných ventilov</t>
  </si>
  <si>
    <t>Pol13</t>
  </si>
  <si>
    <t>Montáž regulačných uzlov dodávka vyduchotechniky DN 15</t>
  </si>
  <si>
    <t>P</t>
  </si>
  <si>
    <t>Poznámka k položke:_x000D_
DN15</t>
  </si>
  <si>
    <t>998-73-4203</t>
  </si>
  <si>
    <t>Presun hmôt pre armatúry v objektov výšky do 24m</t>
  </si>
  <si>
    <t>NÁTERY</t>
  </si>
  <si>
    <t>42-4140</t>
  </si>
  <si>
    <t>Náter potrubia syntetický základný dvojnásobný 50Z+2</t>
  </si>
  <si>
    <t>12-2510</t>
  </si>
  <si>
    <t>Nátery oceľových konštrukcií syntetické - dvojnásobný s 1xemailovaním</t>
  </si>
  <si>
    <t>IZOLÁCIE</t>
  </si>
  <si>
    <t>D8</t>
  </si>
  <si>
    <t>Izolácia potrubia izoláciou z penového polyetylénu  hrúbky 20mm vr.príslušenstva</t>
  </si>
  <si>
    <t>48-2121</t>
  </si>
  <si>
    <t>pre oceľové potrubie DN15</t>
  </si>
  <si>
    <t>48-2121.1</t>
  </si>
  <si>
    <t>pre oceľové potrubie DN20</t>
  </si>
  <si>
    <t>48-2121.2</t>
  </si>
  <si>
    <t>pre oceľové potrubie DN25</t>
  </si>
  <si>
    <t>48-2122</t>
  </si>
  <si>
    <t>pre oceľové potrubie DN32</t>
  </si>
  <si>
    <t>Pol14</t>
  </si>
  <si>
    <t>Izolácia armatúr, prírubových spojov  a všetkých súčasti potrubia</t>
  </si>
  <si>
    <t>Poznámka k položke:_x000D_
izolačnými pásmi z penového polyetylénu  hrúbky 20mm</t>
  </si>
  <si>
    <t>Pol15</t>
  </si>
  <si>
    <t>Presun hmot-2,7%</t>
  </si>
  <si>
    <t>DOPLNKOVÉ KONŠTRUKCIE</t>
  </si>
  <si>
    <t>99-5101</t>
  </si>
  <si>
    <t>Montáž ocelových konštrukcií atyp do 5 kg</t>
  </si>
  <si>
    <t>Pol16</t>
  </si>
  <si>
    <t>Dodávka ocelových konštrukcií atyp</t>
  </si>
  <si>
    <t>998-76-7202</t>
  </si>
  <si>
    <t>Presun hmôt pre oceľové doplnkové konštrukcie</t>
  </si>
  <si>
    <t>Poznámka k položke:_x000D_
v objekte výšky do 24m</t>
  </si>
  <si>
    <t>OST</t>
  </si>
  <si>
    <t>Ostatné</t>
  </si>
  <si>
    <t>950dopr</t>
  </si>
  <si>
    <t>Doprava</t>
  </si>
  <si>
    <t>207275869</t>
  </si>
  <si>
    <t>950skusky</t>
  </si>
  <si>
    <t>Komplexné skúšky 72 hod.</t>
  </si>
  <si>
    <t>-1944901588</t>
  </si>
  <si>
    <t>S01-5 - SO 01 - Urgentný príjem - ELI</t>
  </si>
  <si>
    <t>921 -  Elektromontáže</t>
  </si>
  <si>
    <t>921</t>
  </si>
  <si>
    <t xml:space="preserve"> Elektromontáže</t>
  </si>
  <si>
    <t>210010033</t>
  </si>
  <si>
    <t>Rúrka elektroinšt. ohybná HFXP, uložená voľne alebo pod omietkou typ 2425</t>
  </si>
  <si>
    <t>-1788225933</t>
  </si>
  <si>
    <t>3450710900</t>
  </si>
  <si>
    <t>Rúrka HFXP 25 čierna</t>
  </si>
  <si>
    <t>-1201209794</t>
  </si>
  <si>
    <t>210010301</t>
  </si>
  <si>
    <t>Krabica prístrojová bez zapojenia (1901, KP 68, KZ 3)</t>
  </si>
  <si>
    <t>-390376814</t>
  </si>
  <si>
    <t>3410300438</t>
  </si>
  <si>
    <t xml:space="preserve">Krabica univerzálna    KPM 64 KA   </t>
  </si>
  <si>
    <t>62709355</t>
  </si>
  <si>
    <t>210010321</t>
  </si>
  <si>
    <t>Krabica odbočná s viečkom, svorkovnicou vrátane zapojenia (1903, KR 68) kruhová</t>
  </si>
  <si>
    <t>808282608</t>
  </si>
  <si>
    <t>3450907510</t>
  </si>
  <si>
    <t>Krabica  KU 68-1903</t>
  </si>
  <si>
    <t>-1195544839</t>
  </si>
  <si>
    <t>210010327</t>
  </si>
  <si>
    <t>Krabica štvorcová do dutých stien odbočná s viečkom, IP 56</t>
  </si>
  <si>
    <t>510633123</t>
  </si>
  <si>
    <t>3410300371</t>
  </si>
  <si>
    <t>Krabica odbočná  okrová  KO 125, IP 56</t>
  </si>
  <si>
    <t>-11465666</t>
  </si>
  <si>
    <t>210100002</t>
  </si>
  <si>
    <t>Ukončenie vodičov v rozvádzač. vrátane zapojenia a vodičovej koncovky do 6 mm2</t>
  </si>
  <si>
    <t>1066969848</t>
  </si>
  <si>
    <t>210100003</t>
  </si>
  <si>
    <t>Ukončenie vodičov v rozvádzač. vrátane zapojenia a vodičovej koncovky do 16 mm2</t>
  </si>
  <si>
    <t>1113829079</t>
  </si>
  <si>
    <t>210100004</t>
  </si>
  <si>
    <t>Ukončenie vodičov v rozvádzač. vrátane zapojenia a vodičovej koncovky do 25 mm2</t>
  </si>
  <si>
    <t>63156609</t>
  </si>
  <si>
    <t>210100006</t>
  </si>
  <si>
    <t>Ukončenie vodičov v rozvádzač. vrátane zapojenia a vodičovej koncovky do 50 mm2</t>
  </si>
  <si>
    <t>-1612942602</t>
  </si>
  <si>
    <t>210100007</t>
  </si>
  <si>
    <t>Ukončenie vodičov v rozvádzač. vrátane zapojenia a vodičovej koncovky do 70 mm2</t>
  </si>
  <si>
    <t>-1684398690</t>
  </si>
  <si>
    <t>3452111100</t>
  </si>
  <si>
    <t>G-Káblové oko CU 70x12 KU</t>
  </si>
  <si>
    <t>-2011234206</t>
  </si>
  <si>
    <t>210100008</t>
  </si>
  <si>
    <t>Ukončenie vodičov v rozvádzač. vrátane zapojenia a vodičovej koncovky do 95 mm2</t>
  </si>
  <si>
    <t>-1687897227</t>
  </si>
  <si>
    <t>210100009</t>
  </si>
  <si>
    <t>Ukončenie vodičov v rozvádzač. vrátane zapojenia a vodičovej koncovky do 120 mm2</t>
  </si>
  <si>
    <t>45498078</t>
  </si>
  <si>
    <t>3452122100</t>
  </si>
  <si>
    <t>Káblové oko 120/12 rúrkové</t>
  </si>
  <si>
    <t>692174880</t>
  </si>
  <si>
    <t>-805391865</t>
  </si>
  <si>
    <t>3452113300</t>
  </si>
  <si>
    <t>G-Káblové oko CU 120x12 KU-L</t>
  </si>
  <si>
    <t>1794943709</t>
  </si>
  <si>
    <t>210100012</t>
  </si>
  <si>
    <t>Ukončenie vodičov v rozvádzač. vrátane zapojenia a vodičovej koncovky do 240 mm2</t>
  </si>
  <si>
    <t>1931124811</t>
  </si>
  <si>
    <t>3452122400</t>
  </si>
  <si>
    <t>Káblové oko 240 rúrkové</t>
  </si>
  <si>
    <t>526229459</t>
  </si>
  <si>
    <t>210100251</t>
  </si>
  <si>
    <t>Ukončenie celoplastových káblov zmrašť. záklopkou alebo páskou do 4 x 10 mm2</t>
  </si>
  <si>
    <t>2069560371</t>
  </si>
  <si>
    <t>210100253</t>
  </si>
  <si>
    <t>Ukončenie celoplastových káblov zmrašť. záklopkou alebo páskou do 4 x 50 mm2</t>
  </si>
  <si>
    <t>642497697</t>
  </si>
  <si>
    <t>210100254</t>
  </si>
  <si>
    <t>Ukončenie celoplastových káblov zmrašť. záklopkou alebo páskou do 4 x 95 mm2</t>
  </si>
  <si>
    <t>-1617555245</t>
  </si>
  <si>
    <t>210100257</t>
  </si>
  <si>
    <t>Ukončenie celoplastových káblov zmrašť. záklopkou alebo páskou do 4 x 240 mm2</t>
  </si>
  <si>
    <t>-1115517786</t>
  </si>
  <si>
    <t>210110001</t>
  </si>
  <si>
    <t>Spínač nástenný pre prostredie obyčajné alebo vlhké vrátane zapojenia jednopólový - radenie 1</t>
  </si>
  <si>
    <t>289292205</t>
  </si>
  <si>
    <t>3450230000</t>
  </si>
  <si>
    <t>Spínač NDS S 1106-1</t>
  </si>
  <si>
    <t>1583005991</t>
  </si>
  <si>
    <t>210110003</t>
  </si>
  <si>
    <t>Spínač nástenný pre prostredie obyčajné alebo vlhké vrátane zapojenia sériový prepínač-radenie 5</t>
  </si>
  <si>
    <t>-1703229387</t>
  </si>
  <si>
    <t>3450201100</t>
  </si>
  <si>
    <t xml:space="preserve">L-spínač EP  c.5 </t>
  </si>
  <si>
    <t>1676607784</t>
  </si>
  <si>
    <t>210110045</t>
  </si>
  <si>
    <t>Spínač polozapustený a zapustený vrátane zapojenia stried.prep.- radenie 6+6</t>
  </si>
  <si>
    <t>464126696</t>
  </si>
  <si>
    <t>3450201520</t>
  </si>
  <si>
    <t>Spínač polozapustený 6+6</t>
  </si>
  <si>
    <t>-758179213</t>
  </si>
  <si>
    <t>210110045.1</t>
  </si>
  <si>
    <t>Spínač polozapustený a zapustený vrátane zapojenia stried.prep.- radenie 6</t>
  </si>
  <si>
    <t>198119462</t>
  </si>
  <si>
    <t>3450201520.1</t>
  </si>
  <si>
    <t>Prepínač 6 3553-06289 B1 lesklý biely</t>
  </si>
  <si>
    <t>1492967207</t>
  </si>
  <si>
    <t>210110044</t>
  </si>
  <si>
    <t>Spínač polozapustený a zapustený vrátane zapojenia dvojitý prep.stried. - radenie 5 B</t>
  </si>
  <si>
    <t>951229890</t>
  </si>
  <si>
    <t>3450201910</t>
  </si>
  <si>
    <t>Prepínač 6+1 3553-52289 B1 lesklý biely</t>
  </si>
  <si>
    <t>807173263</t>
  </si>
  <si>
    <t>210111011</t>
  </si>
  <si>
    <t>Domová zásuvka polozapustená alebo zapustená vrátane zapojenia 10/16 A 250 V 2P + Z</t>
  </si>
  <si>
    <t>-1089069540</t>
  </si>
  <si>
    <t>3450317700</t>
  </si>
  <si>
    <t>Zásuvka 4FN 15037 BM jednoduchá</t>
  </si>
  <si>
    <t>-347195047</t>
  </si>
  <si>
    <t>210111011.1</t>
  </si>
  <si>
    <t>Domová zásuvka polozapustená alebo zapustená vrátane zapojenia zv. prepätia D</t>
  </si>
  <si>
    <t>212349127</t>
  </si>
  <si>
    <t>3450318300</t>
  </si>
  <si>
    <t>Zásuvka 4FN 15038 BM dvojitá , zvodič prep. D</t>
  </si>
  <si>
    <t>-163558626</t>
  </si>
  <si>
    <t>210120102</t>
  </si>
  <si>
    <t>Poistka nožová veľkost 00 do 160A 500 V</t>
  </si>
  <si>
    <t>220396700</t>
  </si>
  <si>
    <t>3450117300</t>
  </si>
  <si>
    <t>Poist.patron PN000 80A gG</t>
  </si>
  <si>
    <t>-612454721</t>
  </si>
  <si>
    <t>477130046</t>
  </si>
  <si>
    <t>3410363330</t>
  </si>
  <si>
    <t>Poistka nožová T00 125A AM</t>
  </si>
  <si>
    <t>1186913602</t>
  </si>
  <si>
    <t>210120103</t>
  </si>
  <si>
    <t>Poistka nožová veľkost 1 do 250 A 500 V</t>
  </si>
  <si>
    <t>2134725562</t>
  </si>
  <si>
    <t>3450118200</t>
  </si>
  <si>
    <t>Poist.patron PN1 200A gG</t>
  </si>
  <si>
    <t>-590854587</t>
  </si>
  <si>
    <t>210120105</t>
  </si>
  <si>
    <t>Poistka nožová veľkost 3 do 630 A 500 V</t>
  </si>
  <si>
    <t>-944824099</t>
  </si>
  <si>
    <t>3450120100</t>
  </si>
  <si>
    <t>Poist.patron PN3 500A gG</t>
  </si>
  <si>
    <t>-1404525558</t>
  </si>
  <si>
    <t>210120409</t>
  </si>
  <si>
    <t xml:space="preserve">Istič vzduchový trojpólový od 100 do 250  A </t>
  </si>
  <si>
    <t>-1085279077</t>
  </si>
  <si>
    <t>3410363740</t>
  </si>
  <si>
    <t xml:space="preserve">Istič vzduchový 100A </t>
  </si>
  <si>
    <t>964074735</t>
  </si>
  <si>
    <t>760782816</t>
  </si>
  <si>
    <t>3410363750</t>
  </si>
  <si>
    <t xml:space="preserve">Istič vzduchový160A </t>
  </si>
  <si>
    <t>267901865</t>
  </si>
  <si>
    <t>3410363750.1</t>
  </si>
  <si>
    <t xml:space="preserve">Istič vzduchový 250A </t>
  </si>
  <si>
    <t>1820077652</t>
  </si>
  <si>
    <t>210120423</t>
  </si>
  <si>
    <t>Zvodiče prepätia kombinované triedy B + C</t>
  </si>
  <si>
    <t>-1374956518</t>
  </si>
  <si>
    <t>3410360150</t>
  </si>
  <si>
    <t>Zvodič prepätia B+C, 4P</t>
  </si>
  <si>
    <t>245729729</t>
  </si>
  <si>
    <t>210193030</t>
  </si>
  <si>
    <t>Rozpájacia a istiaca plastová skriňa zapustená - typ SR 10</t>
  </si>
  <si>
    <t>495934897</t>
  </si>
  <si>
    <t>3570190745</t>
  </si>
  <si>
    <t xml:space="preserve">Rozpájacia a istiaca plastová skriňa zapustená SR 8, PRIS 10 SR10 </t>
  </si>
  <si>
    <t>911218146</t>
  </si>
  <si>
    <t>210881202</t>
  </si>
  <si>
    <t>Kábel bezhalogénový, medený uložený pevne 1-CHKE-V 0,6/1,0 kV  10 PS 90</t>
  </si>
  <si>
    <t>1042071302</t>
  </si>
  <si>
    <t>3410350915</t>
  </si>
  <si>
    <t>1-CHKE-V 10 Nehorľavý kábel s funkčnosťou STN PS 90</t>
  </si>
  <si>
    <t>309424106</t>
  </si>
  <si>
    <t>210881203</t>
  </si>
  <si>
    <t>Kábel bezhalogénový, medený uložený pevne 1-CHKE-V 0,6/1,0 kV  35 PS 90</t>
  </si>
  <si>
    <t>1626428167</t>
  </si>
  <si>
    <t>3410350916</t>
  </si>
  <si>
    <t>1-CHKE-V 35 Nehorľavý kábel s funkčnosťou STN PS 90</t>
  </si>
  <si>
    <t>717563930</t>
  </si>
  <si>
    <t>210881221</t>
  </si>
  <si>
    <t>Kábel bezhalogénový, medený uložený pevne 1-CHKE-V 0,6/1,0 kV  3x16</t>
  </si>
  <si>
    <t>1567402481</t>
  </si>
  <si>
    <t>3410350935</t>
  </si>
  <si>
    <t>1-CHKE-V 3x16 Nehorľavý kábel s funkčnosťou STN</t>
  </si>
  <si>
    <t>979427731</t>
  </si>
  <si>
    <t>210881236</t>
  </si>
  <si>
    <t>Kábel bezhalogénový, medený uložený pevne 1-CHKE-V 0,6/1,0 kV  5x10 PS 90</t>
  </si>
  <si>
    <t>-334933048</t>
  </si>
  <si>
    <t>3410350950</t>
  </si>
  <si>
    <t>1-CHKE-V 5x10 Nehorľavý kábel s funkčnosťou STN PS 90</t>
  </si>
  <si>
    <t>893944017</t>
  </si>
  <si>
    <t>210881237</t>
  </si>
  <si>
    <t>Kábel bezhalogénový, medený uložený pevne 1-CHKE-V 0,6/1,0 kV  5x16 PS 90</t>
  </si>
  <si>
    <t>114744172</t>
  </si>
  <si>
    <t>3410350951</t>
  </si>
  <si>
    <t>1-CHKE-V 5x16 Nehorľavý kábel s funkčnosťou STN PS 90</t>
  </si>
  <si>
    <t>2084163477</t>
  </si>
  <si>
    <t>210881242</t>
  </si>
  <si>
    <t>Kábel bezhalogénový, medený uložený pevne 1-CHKE-V 0,6/1,0 kV  12x1,5 PS 90</t>
  </si>
  <si>
    <t>-756307831</t>
  </si>
  <si>
    <t>3410350956</t>
  </si>
  <si>
    <t>1-CHKE-V 12x1,5 Nehorľavý kábel s funkčnosťou STN PS 90</t>
  </si>
  <si>
    <t>-476494679</t>
  </si>
  <si>
    <t>210881252</t>
  </si>
  <si>
    <t>Kábel bezhalogénový, medený uložený pevne NHXH-FE 180/E30 0,6/1,0 kV  16 PS 90</t>
  </si>
  <si>
    <t>-1019831063</t>
  </si>
  <si>
    <t>3410350960</t>
  </si>
  <si>
    <t>NHXH 16 FE180/E30 Nehorľavý kábel s funkčnosťou VDE PS 90</t>
  </si>
  <si>
    <t>-1691304804</t>
  </si>
  <si>
    <t>210881348</t>
  </si>
  <si>
    <t>Kábel bezhalogénový, medený uložený pevne NHXH-FE 180/E30 0,6/1,0 kV  4x120+70 PS 90</t>
  </si>
  <si>
    <t>1256036731</t>
  </si>
  <si>
    <t>3410350994</t>
  </si>
  <si>
    <t>NHXH 4x120+70 FE180/E30 Nehorľavý kábel s funkčnosťou VDE</t>
  </si>
  <si>
    <t>1410384690</t>
  </si>
  <si>
    <t>220511002</t>
  </si>
  <si>
    <t xml:space="preserve">Montáž zásuvky RJ45 na omietku                                                                    </t>
  </si>
  <si>
    <t>1075489352</t>
  </si>
  <si>
    <t>3582010059</t>
  </si>
  <si>
    <t xml:space="preserve">Počítačová sieť a príslušenstvo Zásuvka  na povrchov, Tango RJ45/u, Cat.5e   </t>
  </si>
  <si>
    <t>661809455</t>
  </si>
  <si>
    <t>220511002.1</t>
  </si>
  <si>
    <t xml:space="preserve">Montáž zásuvky 2xRJ45 pod omietku                                                                   </t>
  </si>
  <si>
    <t>1283283810</t>
  </si>
  <si>
    <t>3582010059.1</t>
  </si>
  <si>
    <t xml:space="preserve">Počítačová sieť a príslušenstvo Zásuvka  podpovrchová, Tango 2xRJ45/u, Cat.5e   </t>
  </si>
  <si>
    <t>-272885300</t>
  </si>
  <si>
    <t>210881234</t>
  </si>
  <si>
    <t>Kábel bezhalogénový, medený uložený pevne 1-CHKE-V 0,6/1,0 kV  5x4 PS 90</t>
  </si>
  <si>
    <t>2015439401</t>
  </si>
  <si>
    <t>3410350948</t>
  </si>
  <si>
    <t>1-CHKE-V 5x4 Nehorľavý kábel s funkčnosťou STN PS 90</t>
  </si>
  <si>
    <t>1881540557</t>
  </si>
  <si>
    <t>210902113</t>
  </si>
  <si>
    <t>Kábel hliníkový silový uložený pevne 1-AYKY 0,6/1 kV 3x240+120</t>
  </si>
  <si>
    <t>385385356</t>
  </si>
  <si>
    <t>3410350018</t>
  </si>
  <si>
    <t>1-AYKY 3x240+120 Kábel pre pevné uloženie, hliníkový STN</t>
  </si>
  <si>
    <t>891592114</t>
  </si>
  <si>
    <t>210881361</t>
  </si>
  <si>
    <t>Kábel bezhalogénový, medený uložený pevne NHXH-FE 180/E30 0,6/1,0 kV  5x70 PS 90</t>
  </si>
  <si>
    <t>456719992</t>
  </si>
  <si>
    <t>3410351007</t>
  </si>
  <si>
    <t>NHXH 5x70 FE180/E30 Nehorľavý kábel s funkčnosťou VDE</t>
  </si>
  <si>
    <t>-1242886171</t>
  </si>
  <si>
    <t>3458011700</t>
  </si>
  <si>
    <t>Hríbikové tlačítko d=30 mm, s aretáciou červená</t>
  </si>
  <si>
    <t>-1436863030</t>
  </si>
  <si>
    <t>-234807975</t>
  </si>
  <si>
    <t>210190071</t>
  </si>
  <si>
    <t>Montáž rozvádzača nedeliteľného do váhy 500 kg</t>
  </si>
  <si>
    <t>1587882534</t>
  </si>
  <si>
    <t>210200041</t>
  </si>
  <si>
    <t>Svietidlo interierové Svietidlo  IP 23 jednožiarivkové</t>
  </si>
  <si>
    <t>82116058</t>
  </si>
  <si>
    <t>3480715400</t>
  </si>
  <si>
    <t xml:space="preserve">Interiérové zabudovateľné  Podhľadové svietidlo IP23 1x26 </t>
  </si>
  <si>
    <t>1134165086</t>
  </si>
  <si>
    <t>3480728340</t>
  </si>
  <si>
    <t>Svetelné zdroje Kompaktná žiarivka TT3/840/2P   AMI</t>
  </si>
  <si>
    <t>-773967626</t>
  </si>
  <si>
    <t>210200055</t>
  </si>
  <si>
    <t>Svietidlo interierové zabudované žiarivkové s prizmatickým krytom, IP 20 štvortrubicové</t>
  </si>
  <si>
    <t>2071205604</t>
  </si>
  <si>
    <t>3480715750</t>
  </si>
  <si>
    <t xml:space="preserve">Interiérové zabudovateľné Podhľadové svietidlo  4x14W BW T5   </t>
  </si>
  <si>
    <t>-1064014905</t>
  </si>
  <si>
    <t>3480728180</t>
  </si>
  <si>
    <t xml:space="preserve">Svetelné zdroje Žiarivka T18W/840/GE/SL1/25   </t>
  </si>
  <si>
    <t>-1534361204</t>
  </si>
  <si>
    <t>210200055.1</t>
  </si>
  <si>
    <t>Svietidlo interierové zabudované žiarivkové s prizmatickým krytom, IP 20 štvortrubicové so záložným zdrojom</t>
  </si>
  <si>
    <t>-1106949621</t>
  </si>
  <si>
    <t>3480716020</t>
  </si>
  <si>
    <t>Interiérové zabudovateľné podhľadové svietidlo  4x18W BW-S, lešt. Al parabol.mriežka, el.predr.´so záložným zdrojom</t>
  </si>
  <si>
    <t>1405857284</t>
  </si>
  <si>
    <t>3480728200</t>
  </si>
  <si>
    <t>Svetelné zdroje žiarivka /36W/840/GE/SL1/25</t>
  </si>
  <si>
    <t>-91693424</t>
  </si>
  <si>
    <t>210200111</t>
  </si>
  <si>
    <t>Núdzové svietidlá nástenne, stropné, 1x8 W, núdzový režim, IP 22</t>
  </si>
  <si>
    <t>205329956</t>
  </si>
  <si>
    <t>3480723700</t>
  </si>
  <si>
    <t xml:space="preserve">Núdzové svietidlá   IP22  1x8W/3hod, len núdz.režim   </t>
  </si>
  <si>
    <t>1828509270</t>
  </si>
  <si>
    <t>3480728320</t>
  </si>
  <si>
    <t>Svetelné zdroje Kompaktná žiarivka TS F9BX/SPX41/840</t>
  </si>
  <si>
    <t>-2098222246</t>
  </si>
  <si>
    <t>0000000000</t>
  </si>
  <si>
    <t>Svietidlo LED</t>
  </si>
  <si>
    <t>1583665936</t>
  </si>
  <si>
    <t>210201010</t>
  </si>
  <si>
    <t>Zapojenie svietidlá IP54, 1 x svetelný zdroj, stropného interierového so žiarovkou</t>
  </si>
  <si>
    <t>-1018537899</t>
  </si>
  <si>
    <t>3486301460</t>
  </si>
  <si>
    <t>Interiérové svietidlo žiarivkové 2x9W, IP54,</t>
  </si>
  <si>
    <t>-2099608387</t>
  </si>
  <si>
    <t>199155521</t>
  </si>
  <si>
    <t>0000000000.1</t>
  </si>
  <si>
    <t>Svietidlo nástenné IP 44 so senzorom pohybu</t>
  </si>
  <si>
    <t>-62109333</t>
  </si>
  <si>
    <t>00000000000</t>
  </si>
  <si>
    <t>-1499416112</t>
  </si>
  <si>
    <t>210881161</t>
  </si>
  <si>
    <t>Kábel bezhalogénový, medený uložený voľne 1-CHKE-V 0,6/1,0 kV  35 PS 90</t>
  </si>
  <si>
    <t>-1782605049</t>
  </si>
  <si>
    <t>3410350916.1</t>
  </si>
  <si>
    <t>1-CHKE-V 35   Nehorľavý kábel s funkčnosťou STN PS 90</t>
  </si>
  <si>
    <t xml:space="preserve">m </t>
  </si>
  <si>
    <t>1268324382</t>
  </si>
  <si>
    <t>210881204</t>
  </si>
  <si>
    <t>Kábel bezhalogénový, medený uložený pevne 1-CHKE-V 0,6/1,0 kV  50 PS 90</t>
  </si>
  <si>
    <t>529676470</t>
  </si>
  <si>
    <t>3410350917</t>
  </si>
  <si>
    <t>1-CHKE-V 50   Nehorľavý kábel, s funkčnosťou ČSN, STN PS 90</t>
  </si>
  <si>
    <t>2143438471</t>
  </si>
  <si>
    <t>210881216</t>
  </si>
  <si>
    <t>Kábel bezhalogénový, medený uložený pevne 1-CHKE-V 0,6/1,0 kV  3Ox1,5 PS 90</t>
  </si>
  <si>
    <t>-287814349</t>
  </si>
  <si>
    <t>3410350930</t>
  </si>
  <si>
    <t>1-CHKE-V 3Ox1,5   Nehorľavý kábel, s funkčnosťou ČSN, STN PS 90</t>
  </si>
  <si>
    <t>1169355038</t>
  </si>
  <si>
    <t>210881216.1</t>
  </si>
  <si>
    <t>Kábel bezhalogénový, medený uložený pevne 1-CHKE-V 0,6/1,0 kV  3x1,5 PS 90</t>
  </si>
  <si>
    <t>-387526348</t>
  </si>
  <si>
    <t>3410350930.1</t>
  </si>
  <si>
    <t>1-CHKE-V 3x1,5   Nehorľavý kábel, s funkčnosťou ČSN, STN PS 90</t>
  </si>
  <si>
    <t>-388481288</t>
  </si>
  <si>
    <t>210881217</t>
  </si>
  <si>
    <t>Kábel bezhalogénový, medený uložený pevne 1-CHKE-V 0,6/1,0 kV  3x2,5 PS 90</t>
  </si>
  <si>
    <t>-627133116</t>
  </si>
  <si>
    <t>3410350931</t>
  </si>
  <si>
    <t>1-CHKE-V 3x2,5   Nehorľavý kábel, s funkčnosťou ČSN, STN PS 90</t>
  </si>
  <si>
    <t>-1961750627</t>
  </si>
  <si>
    <t>210881218</t>
  </si>
  <si>
    <t>Kábel bezhalogénový, medený uložený pevne 1-CHKE-V 0,6/1,0 kV  3x4 PS 90</t>
  </si>
  <si>
    <t>-1700085605</t>
  </si>
  <si>
    <t>3410350932</t>
  </si>
  <si>
    <t>1-CHKE-V 3x4   Nehorľavý kábel, s funkčnosťou ČSN, STN PS 90</t>
  </si>
  <si>
    <t>1886634383</t>
  </si>
  <si>
    <t>210881232</t>
  </si>
  <si>
    <t>Kábel bezhalogénový, medený uložený pevne 1-CHKE-V 0,6/1,0 kV  5x1,5 PS 90</t>
  </si>
  <si>
    <t>-942707296</t>
  </si>
  <si>
    <t>3410350946</t>
  </si>
  <si>
    <t>1-CHKE-V 5x1,5   Nehorľavý kábel, s funkčnosťou ČSN, STN PS 90</t>
  </si>
  <si>
    <t>-1914901504</t>
  </si>
  <si>
    <t>210881312</t>
  </si>
  <si>
    <t>Kábel bezhalogénový, medený uložený pevne NHXH-FE 180/E30 0,6/1,0 kV  6 PS 90</t>
  </si>
  <si>
    <t>-1969342384</t>
  </si>
  <si>
    <t>3410350958</t>
  </si>
  <si>
    <t>NHXH  6  FE180/E30   Nehorľavý kábel, s funkčnosťou VDE</t>
  </si>
  <si>
    <t>-125278976</t>
  </si>
  <si>
    <t>0000A24SB604</t>
  </si>
  <si>
    <t>J-H(St)H  4x2x0,6   Kábel pre elektroniku, párované</t>
  </si>
  <si>
    <t>-2092228444</t>
  </si>
  <si>
    <t>311161991</t>
  </si>
  <si>
    <t>Kábel bezhalogénový, medený uložený pevne NHXH-FE 180/E30 0,6/1,0 kV  5x35 PS 90</t>
  </si>
  <si>
    <t>43041087</t>
  </si>
  <si>
    <t>NHXH  5x35  FE180/E30   Nehorľavý kábel, s funkčnosťou VDE PS 90</t>
  </si>
  <si>
    <t>1370432606</t>
  </si>
  <si>
    <t>201505</t>
  </si>
  <si>
    <t>Bleskozvodný materiál (FeZn,Cu) a uzemňovací materiál -  OBO-HUS a PA pripojnica 1810, obj. č. 201505</t>
  </si>
  <si>
    <t>1146822605</t>
  </si>
  <si>
    <t>-1037684464</t>
  </si>
  <si>
    <t>210881298</t>
  </si>
  <si>
    <t>Kábel bezhalogénový, medený uložený voľne NHXH-FE 180/E30 0,6/1,0 kV  5x50 PS 90</t>
  </si>
  <si>
    <t>379221225</t>
  </si>
  <si>
    <t>3410351006</t>
  </si>
  <si>
    <t>NHXH 5x50 FE180/E30 Nehorľavý kábel s funkčnosťou VDE PS 90</t>
  </si>
  <si>
    <t>1084586230</t>
  </si>
  <si>
    <t>72569</t>
  </si>
  <si>
    <t>Káblové lišty, žľaby, rošty a príslušenstvo kovové - 60.200 žľab</t>
  </si>
  <si>
    <t>-1627927323</t>
  </si>
  <si>
    <t xml:space="preserve">Káblové lišty, žľaby, rošty a príslušenstvo kovové -  60.200 zlab </t>
  </si>
  <si>
    <t>382283880</t>
  </si>
  <si>
    <t>000000000</t>
  </si>
  <si>
    <t>Skriňa RACK</t>
  </si>
  <si>
    <t>864018454</t>
  </si>
  <si>
    <t>Skriňa Rack</t>
  </si>
  <si>
    <t>753514431</t>
  </si>
  <si>
    <t>000000000.1</t>
  </si>
  <si>
    <t>Strážič izolačnho stavu + 2 x kontrolný panel</t>
  </si>
  <si>
    <t>1185972442</t>
  </si>
  <si>
    <t>Strážič izolačnho stavu a 2 x kontrolný panel</t>
  </si>
  <si>
    <t>797979213</t>
  </si>
  <si>
    <t>000000000.2</t>
  </si>
  <si>
    <t>UPS 11kVA</t>
  </si>
  <si>
    <t>-75883524</t>
  </si>
  <si>
    <t xml:space="preserve">UPS 11kVA </t>
  </si>
  <si>
    <t>-556969771</t>
  </si>
  <si>
    <t>000000000.3</t>
  </si>
  <si>
    <t xml:space="preserve">Externá batéria  pre UPS </t>
  </si>
  <si>
    <t>836669657</t>
  </si>
  <si>
    <t>-983821210</t>
  </si>
  <si>
    <t>000000000.4</t>
  </si>
  <si>
    <t>Oddelovací transformátor 230/230V/6.3kW</t>
  </si>
  <si>
    <t>-28144643</t>
  </si>
  <si>
    <t>-1644835916</t>
  </si>
  <si>
    <t>000000000.5</t>
  </si>
  <si>
    <t>Oddelovací transformátor 230/230V/5kW</t>
  </si>
  <si>
    <t>-963618386</t>
  </si>
  <si>
    <t>-1601476210</t>
  </si>
  <si>
    <t>000000000.6</t>
  </si>
  <si>
    <t xml:space="preserve">Skriňa na transformátor </t>
  </si>
  <si>
    <t>803013779</t>
  </si>
  <si>
    <t>000000000.7</t>
  </si>
  <si>
    <t>Germicídny žiarič programovateľný s dialkovým ovládaním</t>
  </si>
  <si>
    <t>-379235739</t>
  </si>
  <si>
    <t>554110685</t>
  </si>
  <si>
    <t>000000000.8</t>
  </si>
  <si>
    <t>Videovrátnik - čítačka kariet</t>
  </si>
  <si>
    <t>-1401451752</t>
  </si>
  <si>
    <t>121690465</t>
  </si>
  <si>
    <t>000000000A23LD402</t>
  </si>
  <si>
    <t>VCCJE-R  75-4,8   Koaxiálny kábel, nehorlavý</t>
  </si>
  <si>
    <t>1466794406</t>
  </si>
  <si>
    <t>851751736</t>
  </si>
  <si>
    <t>3745106500</t>
  </si>
  <si>
    <t>Zásuvka  4FK 282105 TV+R konc.</t>
  </si>
  <si>
    <t>1319936011</t>
  </si>
  <si>
    <t>-500689622</t>
  </si>
  <si>
    <t>000000000.9</t>
  </si>
  <si>
    <t>Zásuvka  komplet - ochranné pospájanie</t>
  </si>
  <si>
    <t>1108771864</t>
  </si>
  <si>
    <t xml:space="preserve">Zásuvka  komplet - ochranné pospájanie </t>
  </si>
  <si>
    <t>-1766957520</t>
  </si>
  <si>
    <t>72569.1</t>
  </si>
  <si>
    <t>Káblové lišty, žľaby, rošty a príslušenstvo kovové - 60-300 žľab</t>
  </si>
  <si>
    <t>1914571211</t>
  </si>
  <si>
    <t>-1606516933</t>
  </si>
  <si>
    <t>000000000.10</t>
  </si>
  <si>
    <t>Skroňa Rack</t>
  </si>
  <si>
    <t>1343619778</t>
  </si>
  <si>
    <t>8595568903181</t>
  </si>
  <si>
    <t xml:space="preserve">Žľab káblový drôtový  F - žiarovo pozinkované ponorom  DZ 60X150 </t>
  </si>
  <si>
    <t>1519323434</t>
  </si>
  <si>
    <t>0000000000.2</t>
  </si>
  <si>
    <t>Antistatická podlaha</t>
  </si>
  <si>
    <t>1521749170</t>
  </si>
  <si>
    <t>Antistastická podlaha</t>
  </si>
  <si>
    <t>1235897920</t>
  </si>
  <si>
    <t>0000000000.3</t>
  </si>
  <si>
    <t>Rozvádzač RP</t>
  </si>
  <si>
    <t>1164185010</t>
  </si>
  <si>
    <t>0000000000.4</t>
  </si>
  <si>
    <t>Rozvádzač RP-R</t>
  </si>
  <si>
    <t>-1355251503</t>
  </si>
  <si>
    <t>0000000000.5</t>
  </si>
  <si>
    <t>Rozvádzač RP-A</t>
  </si>
  <si>
    <t>-697541060</t>
  </si>
  <si>
    <t>0000000000.6</t>
  </si>
  <si>
    <t>Rozvádzač RP-S</t>
  </si>
  <si>
    <t>1801529746</t>
  </si>
  <si>
    <t>0000000000.7</t>
  </si>
  <si>
    <t>Rozvádzač RP1</t>
  </si>
  <si>
    <t>-105533770</t>
  </si>
  <si>
    <t>0000000000.8</t>
  </si>
  <si>
    <t>Rozvádzač RP2</t>
  </si>
  <si>
    <t>1022183407</t>
  </si>
  <si>
    <t>000000000.11</t>
  </si>
  <si>
    <t>Sekacie práce a prierazy</t>
  </si>
  <si>
    <t>-1955863513</t>
  </si>
  <si>
    <t>000000000.12</t>
  </si>
  <si>
    <t>Odborná prehliadka a skúška</t>
  </si>
  <si>
    <t>-533790696</t>
  </si>
  <si>
    <t>000000000.13</t>
  </si>
  <si>
    <t>Pomcný materiál 2%</t>
  </si>
  <si>
    <t>-2111442708</t>
  </si>
  <si>
    <t>000000000.14</t>
  </si>
  <si>
    <t>VRN a doprava 6%</t>
  </si>
  <si>
    <t>-1507004710</t>
  </si>
  <si>
    <t>S01-51 - SO 01 - Urgentný príjem - EPS</t>
  </si>
  <si>
    <t>210881212</t>
  </si>
  <si>
    <t>Kábel bezhalogénový, medený uložený pevne 1-CHKE-V 0,6/1,0 kV  2x1,5</t>
  </si>
  <si>
    <t>674522413</t>
  </si>
  <si>
    <t>3410350925</t>
  </si>
  <si>
    <t>1-CHKE-V 2x1,5 Nehorľavý kábel s funkčnosťou STN</t>
  </si>
  <si>
    <t>1393682115</t>
  </si>
  <si>
    <t>Kábel bezhalogénový, medený uložený pevne 1-CHKE-V 0,6/1,0 kV  3x1,5</t>
  </si>
  <si>
    <t>-1890737756</t>
  </si>
  <si>
    <t>1-CHKE-V 3x1,5 Nehorľavý kábel s funkčnosťou STN</t>
  </si>
  <si>
    <t>-1535264273</t>
  </si>
  <si>
    <t>Kábel bezhalogénový, medený uložený pevne 1-CHKE-V 0,6/1,0 kV  3x2,5</t>
  </si>
  <si>
    <t>67451163</t>
  </si>
  <si>
    <t>1-CHKE-V 3x2,5 Nehorľavý kábel s funkčnosťou STN</t>
  </si>
  <si>
    <t>-1635212800</t>
  </si>
  <si>
    <t>-158713245</t>
  </si>
  <si>
    <t>-1923895844</t>
  </si>
  <si>
    <t>Rúrka elektroinšt. ohybná HFXP, uložená voľne alebo pod omietkou typ 2420</t>
  </si>
  <si>
    <t>-1358664868</t>
  </si>
  <si>
    <t>Rúrka HFXP 20 čierna</t>
  </si>
  <si>
    <t>-502919635</t>
  </si>
  <si>
    <t>Ústredňa EPS - štvorsmyčková</t>
  </si>
  <si>
    <t>1045563701</t>
  </si>
  <si>
    <t>-1743336043</t>
  </si>
  <si>
    <t xml:space="preserve">Ústredňa požiarného rozhlasu </t>
  </si>
  <si>
    <t>1780467143</t>
  </si>
  <si>
    <t>Ústredňa požiarného rozhlasu</t>
  </si>
  <si>
    <t>-25498031</t>
  </si>
  <si>
    <t>Dátový a telefónny tarifikátor</t>
  </si>
  <si>
    <t>1663265073</t>
  </si>
  <si>
    <t>856059607</t>
  </si>
  <si>
    <t>Tlačítko na rýchle vyhlásenie požiaru</t>
  </si>
  <si>
    <t>732056370</t>
  </si>
  <si>
    <t>1357534231</t>
  </si>
  <si>
    <t>Opticko dymový hlásič</t>
  </si>
  <si>
    <t>-1853592797</t>
  </si>
  <si>
    <t>-2022681723</t>
  </si>
  <si>
    <t>Vonkajšia siréna 100dB</t>
  </si>
  <si>
    <t>-1424317234</t>
  </si>
  <si>
    <t>364747523</t>
  </si>
  <si>
    <t>Vnútorná siréna</t>
  </si>
  <si>
    <t>-1679239348</t>
  </si>
  <si>
    <t>1152445559</t>
  </si>
  <si>
    <t>Reproduktor</t>
  </si>
  <si>
    <t>-2083351710</t>
  </si>
  <si>
    <t>-895802925</t>
  </si>
  <si>
    <t>-1812127275</t>
  </si>
  <si>
    <t>1244605246</t>
  </si>
  <si>
    <t>1355976966</t>
  </si>
  <si>
    <t>830364916</t>
  </si>
  <si>
    <t>605216012</t>
  </si>
  <si>
    <t>2123496565</t>
  </si>
  <si>
    <t>S01-6 - SO 01 - Urgentný príjem - VZT</t>
  </si>
  <si>
    <t>D1 - Vetranie šatne č.1   (1700 m3/h)</t>
  </si>
  <si>
    <t xml:space="preserve">    D2 - Výfuk opotrebovaného  vzduchu  od jednotky do ovzdušia</t>
  </si>
  <si>
    <t xml:space="preserve">    D3 - Prívod čerstvého vzduchuz  ovzdušia do jednotky</t>
  </si>
  <si>
    <t xml:space="preserve">    D4 - Prívod čerstvého upraveného  vzduchu  šatne</t>
  </si>
  <si>
    <t xml:space="preserve">    D5 - Odťah opotrebovaného vzduchu  zo šatní</t>
  </si>
  <si>
    <t xml:space="preserve">    D6 - Dverové mriežky v dverách medzi miestnosťami</t>
  </si>
  <si>
    <t>D7 - Vetranie šatne č.2   (2150 m3/h)</t>
  </si>
  <si>
    <t xml:space="preserve">    D8 - Prívod čerstvého vzduchu z  ovzdušia do jednotky</t>
  </si>
  <si>
    <t xml:space="preserve">    D9 - Prívod čerstvého upraveného  vzduchu  do šatní</t>
  </si>
  <si>
    <t>D10 - Vetranie vnútorných priestorov</t>
  </si>
  <si>
    <t xml:space="preserve">    D11 - Chladiace zariadenie k VZT jednotke</t>
  </si>
  <si>
    <t xml:space="preserve">    D12 - Prívod čerstvého upraveného  vzduchu  do miestností</t>
  </si>
  <si>
    <t xml:space="preserve">    D13 - Odťah opotrebovaného vzduchu  z miestností</t>
  </si>
  <si>
    <t>D14 - Vetranie  priestorov  CT</t>
  </si>
  <si>
    <t xml:space="preserve">    D15 - Prívod čerstvého upraveného  vzduchu  do miestnosti CT</t>
  </si>
  <si>
    <t xml:space="preserve">    D16 - Odťah opotrebovaného vzduchu  z miestnosti CT</t>
  </si>
  <si>
    <t>D17 - Vetranie sociálnych zariadení</t>
  </si>
  <si>
    <t xml:space="preserve">    D18 - Potrubie odvodu opotrebovaného  vzduchu  z miestností</t>
  </si>
  <si>
    <t>D19 - Vetranie lôžkovej izby CP</t>
  </si>
  <si>
    <t xml:space="preserve">    D20 - Prívod čerstvého upraveného  vzduchu  do miestnosti CP</t>
  </si>
  <si>
    <t xml:space="preserve">    D21 - Odťah opotrebovaného vzduchu  z miestnosti CP</t>
  </si>
  <si>
    <t>D22 - Klimatizácia čakární CP</t>
  </si>
  <si>
    <t>D23 - Klimatizácia RTG a algeziologických ambulancií</t>
  </si>
  <si>
    <t>D24 - Vetranie sádrovne a RTG zázemia</t>
  </si>
  <si>
    <t>D25 - Vetranie soc. zariadení RTG</t>
  </si>
  <si>
    <t>D26 - Vetranie  miestností upratovačky</t>
  </si>
  <si>
    <t xml:space="preserve">    D27 - Potrubie odvodu opotrebovaného  vzduchu  z miestnosti</t>
  </si>
  <si>
    <t>D28 - Klimatizácia  odborných ambulancií</t>
  </si>
  <si>
    <t>D29 - Klimatizácia popisovne a CT zázemia</t>
  </si>
  <si>
    <t>D30 - Tepel. izolácia potrubí</t>
  </si>
  <si>
    <t>Vetranie šatne č.1   (1700 m3/h)</t>
  </si>
  <si>
    <t>Pol17</t>
  </si>
  <si>
    <t>Rekuperačná  vetracia jednotka 1700 m3/h</t>
  </si>
  <si>
    <t>Poznámka k položke:_x000D_
Vzduchový výkon      1700  m3/h; Napatie: 400 V, 50 Hz, cca 2 kW; Pozostáva: Filter G4  (prívodný + odvodný);                   Doskový výmenní VS 15 PCR;                  Vodný ohrievač VS 15 WCL 2      výkon 14  kW 80/60°C;                     Ventilátorový diel prívodný, odvodný   (0.75 kW)     ;                     Eliminátor kvapiek</t>
  </si>
  <si>
    <t>Pol18</t>
  </si>
  <si>
    <t>Príslušenstvo: (podla ponuky): Regulácia AP-1R</t>
  </si>
  <si>
    <t>Poznámka k položke:_x000D_
Rozvádzač regulácie VS 10-75 CG UPC</t>
  </si>
  <si>
    <t>Výfuk opotrebovaného  vzduchu  od jednotky do ovzdušia</t>
  </si>
  <si>
    <t>Pol19</t>
  </si>
  <si>
    <t>Prechod 660x250- 450x225/400                                             sk.I</t>
  </si>
  <si>
    <t>Pol20</t>
  </si>
  <si>
    <t>Oblúk 450x225-90°/150                                                         sk.I</t>
  </si>
  <si>
    <t>Pol21</t>
  </si>
  <si>
    <t>Rúra s oblúkom 450x225/800-90°/150        /v.p/                  sk.I</t>
  </si>
  <si>
    <t>Pol22</t>
  </si>
  <si>
    <t>Rúra 450x225/1000                                         /v.p/                  sk.I</t>
  </si>
  <si>
    <t>Pol23</t>
  </si>
  <si>
    <t>Protidažďová žalúzia 450x225</t>
  </si>
  <si>
    <t>Prívod čerstvého vzduchuz  ovzdušia do jednotky</t>
  </si>
  <si>
    <t>Pol24</t>
  </si>
  <si>
    <t>Prechod 660x250- 450x250/400                                            sk.I</t>
  </si>
  <si>
    <t>Pol25</t>
  </si>
  <si>
    <t>Rúra 450x225/1800                                         /v.p/                  sk.I</t>
  </si>
  <si>
    <t>Prívod čerstvého upraveného  vzduchu  šatne</t>
  </si>
  <si>
    <t>Pol26</t>
  </si>
  <si>
    <t>Prechod 660x250- 450x225/400                                            sk.I</t>
  </si>
  <si>
    <t>Pol27</t>
  </si>
  <si>
    <t>Rozbočka 450x225-315x225-o200/500    /v.p/                    sk.I</t>
  </si>
  <si>
    <t>Pol28</t>
  </si>
  <si>
    <t>Oblúk 315x225-45°/150                                                           sk.I</t>
  </si>
  <si>
    <t>Pol29</t>
  </si>
  <si>
    <t>Rúra 315x225/1000                                                                  sk.I</t>
  </si>
  <si>
    <t>Pol30</t>
  </si>
  <si>
    <t>Rúra 315x225/1400                                         /v.p/                  sk.I</t>
  </si>
  <si>
    <t>Pol31</t>
  </si>
  <si>
    <t>Rozbočka 315x225- 200x200-o200/500-90°                      sk.I</t>
  </si>
  <si>
    <t>Pol32</t>
  </si>
  <si>
    <t>Prechod 200x200- o200/300                                                  sk.I</t>
  </si>
  <si>
    <t>Pol33</t>
  </si>
  <si>
    <t>Ohybná hadica o200 mm so sponami na uchytenie o potrubie</t>
  </si>
  <si>
    <t>Pol34</t>
  </si>
  <si>
    <t>Vírivá stropná vyustka VVKR-A-S-o200-600-40-W-RAL 9010</t>
  </si>
  <si>
    <t>Poznámka k položke:_x000D_
s pretlakovou komorou  PB-S-200-600-S-H-D1-I1</t>
  </si>
  <si>
    <t>Odťah opotrebovaného vzduchu  zo šatní</t>
  </si>
  <si>
    <t>Pol35</t>
  </si>
  <si>
    <t>Prechodový oblúk 660x250- 450x250-90°-R150                 sk.I</t>
  </si>
  <si>
    <t>Pol36</t>
  </si>
  <si>
    <t>Prechod  450x250-450x225/500     /odskok 55 mm/          sk.I</t>
  </si>
  <si>
    <t>Pol37</t>
  </si>
  <si>
    <t>Rúra 450x225/1600                                         /v.p/                   sk.I</t>
  </si>
  <si>
    <t>Pol38</t>
  </si>
  <si>
    <t>Oblúk 450x225-90°/150                                                           sk.I</t>
  </si>
  <si>
    <t>Pol39</t>
  </si>
  <si>
    <t>Rozbočka 450x225- 315x225-200x200/540-90°                 sk.I</t>
  </si>
  <si>
    <t>Pol40</t>
  </si>
  <si>
    <t>Rúra 315x225/600                                         /v.p/                     sk.I</t>
  </si>
  <si>
    <t>Pol41</t>
  </si>
  <si>
    <t>Rozbočka 315x225- 200x200-200x200/420-90°                 sk.I</t>
  </si>
  <si>
    <t>Pol34.</t>
  </si>
  <si>
    <t>Poznámka k položke:_x000D_
s pretlakovou komorou  PB-S-200-600-E-H-D1-I2</t>
  </si>
  <si>
    <t>Dverové mriežky v dverách medzi miestnosťami</t>
  </si>
  <si>
    <t>Pol42</t>
  </si>
  <si>
    <t>Dverová mriežka 625x325</t>
  </si>
  <si>
    <t>Vetranie šatne č.2   (2150 m3/h)</t>
  </si>
  <si>
    <t>Pol43</t>
  </si>
  <si>
    <t>Rekuperačná  vetracia jednotka 2150 m3/h</t>
  </si>
  <si>
    <t>Poznámka k položke:_x000D_
Vzduchový výkon      2200  m3/h; Napatie: 400 V, 50 Hz, cca 2 kW; Pozostáva: Filter G4  (prívodný + odvodný);                   Doskový výmenní VS 15 PCR;                Vodný ohrievač VS 15 WCL 2      výkon 14  kW 80/60°C;                     Ventilátorový diel prívodný, odvodný   (0.75 kW)     ;                     Eliminátor kvapiek;                     Príslušenstvo: (podla ponuky): Regulácia AP-1R;                     Rozvádzač regulácie VS 10-75 CG UPC</t>
  </si>
  <si>
    <t>Pol44</t>
  </si>
  <si>
    <t>Prechod 660x250- 500x225/400                                             sk.I</t>
  </si>
  <si>
    <t>Pol45</t>
  </si>
  <si>
    <t>Oblúk 500x225-90°/R100                                                          sk.I</t>
  </si>
  <si>
    <t>Pol46</t>
  </si>
  <si>
    <t>Rúra s oblúkom 500x225/800-90°/R100        /v.p/                sk.I</t>
  </si>
  <si>
    <t>Pol47</t>
  </si>
  <si>
    <t>Prechod  500x225-500x250/800    /v.p/   /viď Rez:B-B/         sk.I</t>
  </si>
  <si>
    <t>Pol48</t>
  </si>
  <si>
    <t>Protidažďová žalúzia PZ-AL-500x250-R1-S</t>
  </si>
  <si>
    <t>Prívod čerstvého vzduchu z  ovzdušia do jednotky</t>
  </si>
  <si>
    <t>Pol49</t>
  </si>
  <si>
    <t>Prechod 660x250- 500x225/400                                            sk.I</t>
  </si>
  <si>
    <t>Pol50</t>
  </si>
  <si>
    <t>Oblúk 500x225-90°/100                                                           sk.I</t>
  </si>
  <si>
    <t>Pol51</t>
  </si>
  <si>
    <t>Rúra 500x225/1000                                         /v.p/                  sk.I</t>
  </si>
  <si>
    <t>Pol52</t>
  </si>
  <si>
    <t>Prechodový oblúk 500x225-560x225-90°/R50                    sk.I</t>
  </si>
  <si>
    <t>Pol53</t>
  </si>
  <si>
    <t>Prechod  500x225-500x250/800    /v.p/   /viď Rez:B-B/        sk.I</t>
  </si>
  <si>
    <t>Pol54</t>
  </si>
  <si>
    <t>Protidažďová žalúzia PZ-AL-560x250-R1-S</t>
  </si>
  <si>
    <t>D9</t>
  </si>
  <si>
    <t>Prívod čerstvého upraveného  vzduchu  do šatní</t>
  </si>
  <si>
    <t>Pol55</t>
  </si>
  <si>
    <t>Prechod 660x250- 560x200/350                                             sk.I</t>
  </si>
  <si>
    <t>Pol56</t>
  </si>
  <si>
    <t>Rozbočka 560x200- 355x200-250x200/600-900°/R100    sk.I</t>
  </si>
  <si>
    <t>Pol57</t>
  </si>
  <si>
    <t>Rúra s oblúkom 355x200/400-45°/R150        /v.p/               sk.I</t>
  </si>
  <si>
    <t>Pol58</t>
  </si>
  <si>
    <t>Oblúk 355x200-45°/R150                                                        sk.I</t>
  </si>
  <si>
    <t>Pol59</t>
  </si>
  <si>
    <t>Rúra 355x200/2000                                         /v.p/                  sk.I</t>
  </si>
  <si>
    <t>Pol60</t>
  </si>
  <si>
    <t>Rozbočka 355x200- o200-355x140/700-90°                      sk.I</t>
  </si>
  <si>
    <t>Pol61</t>
  </si>
  <si>
    <t>Rúra 355x140/1000                                      /v.p/                     sk.I</t>
  </si>
  <si>
    <t>Pol62</t>
  </si>
  <si>
    <t>Prechod 355x140- 280x180/500                                            sk.I</t>
  </si>
  <si>
    <t>Pol63</t>
  </si>
  <si>
    <t>Oblúk 280x180-90°/R150                                                        sk.I</t>
  </si>
  <si>
    <t>Pol64</t>
  </si>
  <si>
    <t>Rúra 280x180/2000                                                                  sk.I</t>
  </si>
  <si>
    <t>Pol65</t>
  </si>
  <si>
    <t>Rúra s oblúkom 280x180/800-90°/R150        /v.p/              sk.I</t>
  </si>
  <si>
    <t>Pol66</t>
  </si>
  <si>
    <t>Prechod 280x180-280x200/1000                /v.p/                     sk.I</t>
  </si>
  <si>
    <t>Pol67</t>
  </si>
  <si>
    <t>Rozbočka 280x180- o200-280x140/700-90°                      sk.I</t>
  </si>
  <si>
    <t>Pol68</t>
  </si>
  <si>
    <t>Rúra 280x140/2000                                      /v.p/                     sk.I</t>
  </si>
  <si>
    <t>Pol69</t>
  </si>
  <si>
    <t>Oblúk 280x140-45°/R150                                                        sk.I</t>
  </si>
  <si>
    <t>Pol70</t>
  </si>
  <si>
    <t>Rúra s oblúkom 280x140/400-45°/R150        /v.p/               sk.I</t>
  </si>
  <si>
    <t>Pol71</t>
  </si>
  <si>
    <t>Prechod 280x140- o200/300                                                  sk.I</t>
  </si>
  <si>
    <t>Pol72</t>
  </si>
  <si>
    <t>Rúra 250x200/800                                      /v.p/                       sk.I</t>
  </si>
  <si>
    <t>Pol73</t>
  </si>
  <si>
    <t>Rozbočka 250x200- o200-200x200/450-90°  /R100          sk.I</t>
  </si>
  <si>
    <t>Pol74</t>
  </si>
  <si>
    <t>Prechod 200x200-o200/300                                                   sk.I</t>
  </si>
  <si>
    <t>Pol75</t>
  </si>
  <si>
    <t>spiro rúra IMOS-SR-o200</t>
  </si>
  <si>
    <t>Pol76</t>
  </si>
  <si>
    <t>Ohybná hadica ?200 mm so sponami na uchytenie o potrubie</t>
  </si>
  <si>
    <t>Pol77</t>
  </si>
  <si>
    <t>Rozbočka 660x250- 355x200-280x200/665-90°/R100         sk.I</t>
  </si>
  <si>
    <t>Poznámka k položke:_x000D_
/tvar rozbočky podla výkresu/</t>
  </si>
  <si>
    <t>Pol78</t>
  </si>
  <si>
    <t>Rozbočka 355x200- 200x200-280x200/470-90°                     sk.I</t>
  </si>
  <si>
    <t>Pol79</t>
  </si>
  <si>
    <t>Prechod 355x200- 315x200/400   /tvar podla výkresu/           sk.I</t>
  </si>
  <si>
    <t>Pol80</t>
  </si>
  <si>
    <t>Dvojozbočka 315x200- 200x200-o200-?100/775-90°          sk.I</t>
  </si>
  <si>
    <t>Pol81</t>
  </si>
  <si>
    <t>Prechod 200x200- o200/300                                                     sk.I</t>
  </si>
  <si>
    <t>Pol82</t>
  </si>
  <si>
    <t>Rúra 280x200/1500                                                                      sk.I</t>
  </si>
  <si>
    <t>Pol83</t>
  </si>
  <si>
    <t>Rúra 280x200/1400                          /v.p/                                     sk.I</t>
  </si>
  <si>
    <t>Pol84</t>
  </si>
  <si>
    <t>Rozbočka 280x200- 280x200-80x200/470-90°/R150           sk.I</t>
  </si>
  <si>
    <t>Pol85</t>
  </si>
  <si>
    <t>Rúra 280x200/800                          /v.p/                                       sk.I</t>
  </si>
  <si>
    <t>Pol86</t>
  </si>
  <si>
    <t>Rozbočka 280x200- o200-280x200/600-90°                          sk.I</t>
  </si>
  <si>
    <t>Pol87</t>
  </si>
  <si>
    <t>Prechod 280x200- o125/300                                                     sk.I</t>
  </si>
  <si>
    <t>Pol88</t>
  </si>
  <si>
    <t>Prechod 80x200- o100/200                                                        sk.I</t>
  </si>
  <si>
    <t>Pol89</t>
  </si>
  <si>
    <t>spiro rúra SR-o100</t>
  </si>
  <si>
    <t>Pol90</t>
  </si>
  <si>
    <t>spiro koleno o100/90?</t>
  </si>
  <si>
    <t>Pol91</t>
  </si>
  <si>
    <t>Ohybná hadica o100 mm so sponami na uchytenie o potrubie</t>
  </si>
  <si>
    <t>Pol92</t>
  </si>
  <si>
    <t>Tanierový ventil odvodný  o100</t>
  </si>
  <si>
    <t>Pol93</t>
  </si>
  <si>
    <t>spiro rúra SR-o125</t>
  </si>
  <si>
    <t>Pol94</t>
  </si>
  <si>
    <t>spiro prechod  o160-?125</t>
  </si>
  <si>
    <t>Pol95</t>
  </si>
  <si>
    <t>spiro koleno o160/90?</t>
  </si>
  <si>
    <t>Pol96</t>
  </si>
  <si>
    <t>Tanierový ventil odvodný  o160</t>
  </si>
  <si>
    <t>Pol97</t>
  </si>
  <si>
    <t>spiro rúra SR-o200</t>
  </si>
  <si>
    <t>Pol34..</t>
  </si>
  <si>
    <t>Poznámka k položke:_x000D_
s pretlakovou komorou  PB-S-200-600-E-H-D1-I1</t>
  </si>
  <si>
    <t>Pol98</t>
  </si>
  <si>
    <t>Dverová mriežka 425x425</t>
  </si>
  <si>
    <t>D10</t>
  </si>
  <si>
    <t>Vetranie vnútorných priestorov</t>
  </si>
  <si>
    <t>Pol99</t>
  </si>
  <si>
    <t>Rekuperačná  jednotka 1350 m3/h</t>
  </si>
  <si>
    <t>Poznámka k položke:_x000D_
Vzduchový výkon      1350  m3/h           (prívod/odvod)     ; Napatie: 230 V, 50 Hz, do 2,0 kW; Tepelná účinnosť zpätného získávania  tepla: 90 %; Menovitý externý tlak: 300 / 300 Pa (prívod / odvod); Jednotka splňuje ErP (Ecodesign) - nariadenie EU 1253/2014, ; Pozostáva: Teleso rekuper. jednotky;                    Filter    (prívodný F7 + odvodný M5);                   protiprúdový rekuperačný výmenník;                   by - pas,s cirkulácia;                   vodný ohrievač     4 kW    voda 80/60°C;                   priamy výparník pre dchladenie6,8 kW;                   Ventilátor  prívodný, odvodný   (po 0,80 kW)     ;                   Vstupné hrdlá, klapky a manžety s prírubami</t>
  </si>
  <si>
    <t>Pol100</t>
  </si>
  <si>
    <t>Komplet MaR s regulačnými prvkami a ovl. panelom</t>
  </si>
  <si>
    <t>D11</t>
  </si>
  <si>
    <t>Chladiace zariadenie k VZT jednotke</t>
  </si>
  <si>
    <t>Pol101</t>
  </si>
  <si>
    <t>Vonkajšia kondenzačná jednotka 7,1 kW</t>
  </si>
  <si>
    <t>Poznámka k položke:_x000D_
chladiaci výkon 7,1 kW    (2,6 - 7 kW) ; max. elektrický príkon: do 2  kW, 230V,  , Istenie 20A</t>
  </si>
  <si>
    <t>Pol102</t>
  </si>
  <si>
    <t>Prepojovacie rozhranie</t>
  </si>
  <si>
    <t>Pol103</t>
  </si>
  <si>
    <t>Prepojovacie potrubie chladiva a elektrický komunikačný kábel</t>
  </si>
  <si>
    <t>Poznámka k položke:_x000D_
Prepojovacie potrubie chladiva: kvapalina o6, plyn o12</t>
  </si>
  <si>
    <t>Pol104</t>
  </si>
  <si>
    <t>spiro rúra SR-o315</t>
  </si>
  <si>
    <t>Pol105</t>
  </si>
  <si>
    <t>spiro koleno o315/90°</t>
  </si>
  <si>
    <t>Pol106</t>
  </si>
  <si>
    <t>Samočinná pretlaková žalúzia VK 30</t>
  </si>
  <si>
    <t>Pol107</t>
  </si>
  <si>
    <t>Prechod o315-450x250/550                                                sk.I</t>
  </si>
  <si>
    <t>Pol108</t>
  </si>
  <si>
    <t>Rúra 450x250/800                                         /v.p/                  sk.I</t>
  </si>
  <si>
    <t>Pol109</t>
  </si>
  <si>
    <t>Protidažďová žalúzia PZ-AL-450x250-R1-S</t>
  </si>
  <si>
    <t>D12</t>
  </si>
  <si>
    <t>Prívod čerstvého upraveného  vzduchu  do miestností</t>
  </si>
  <si>
    <t>Pol110</t>
  </si>
  <si>
    <t>Prechod o315- 630x250/600                                                  sk.I</t>
  </si>
  <si>
    <t>Pol111</t>
  </si>
  <si>
    <t>Tlmič hluku TH 630x250/1000</t>
  </si>
  <si>
    <t>Pol112</t>
  </si>
  <si>
    <t>Prechodový oblúk 630x250-450x250-90°/R150                  sk.I</t>
  </si>
  <si>
    <t>Pol113</t>
  </si>
  <si>
    <t>Rúra 450x250/2000                                      /v.p/                     sk.I</t>
  </si>
  <si>
    <t>Pol114</t>
  </si>
  <si>
    <t>Rozbočka 450x250- 200x200-400x200/430-90°                 sk.I</t>
  </si>
  <si>
    <t>Pol115</t>
  </si>
  <si>
    <t>Rúra 400x200/1400                                      /v.p/                     sk.I</t>
  </si>
  <si>
    <t>Pol116</t>
  </si>
  <si>
    <t>Rúra s oblúkom 400x200/600-90°/R150        /v.p/              sk.I</t>
  </si>
  <si>
    <t>Pol117</t>
  </si>
  <si>
    <t>Rúra 400x200/1500                                                                  sk.I</t>
  </si>
  <si>
    <t>Pol118</t>
  </si>
  <si>
    <t>Odskok 400x200/800-200                                                          sk.I</t>
  </si>
  <si>
    <t>Pol119</t>
  </si>
  <si>
    <t>Prechod 400x200-355x160/700                                              sk.I</t>
  </si>
  <si>
    <t>Poznámka k položke:_x000D_
s odbočkou 500x200/100  /pre vyustku/</t>
  </si>
  <si>
    <t>Pol120</t>
  </si>
  <si>
    <t>Rúra 355x160/800                                      /v.p/                        sk.I</t>
  </si>
  <si>
    <t>Pol121</t>
  </si>
  <si>
    <t>Rozbočka 355x160- 200x160-280x160/550-90°                 sk.I</t>
  </si>
  <si>
    <t>Pol122</t>
  </si>
  <si>
    <t>Rúra 280x160/1400                                      /v.p/                      sk.I</t>
  </si>
  <si>
    <t>Pol123</t>
  </si>
  <si>
    <t>Rozbočka 280x160- 200x160-200x160/550-90°                 sk.I</t>
  </si>
  <si>
    <t>Pol124</t>
  </si>
  <si>
    <t>Prechod 160x200- o200/300                                                  sk.I</t>
  </si>
  <si>
    <t>Pol125</t>
  </si>
  <si>
    <t>spiro koleno o200/30°</t>
  </si>
  <si>
    <t>Pol126</t>
  </si>
  <si>
    <t>spiro T- ks s nástavcom rúrovým TNR90-o200-o200</t>
  </si>
  <si>
    <t>Pol127</t>
  </si>
  <si>
    <t>spiro koleno o200/90°</t>
  </si>
  <si>
    <t>Pol128</t>
  </si>
  <si>
    <t>Tanierový ventil prívodný  o200</t>
  </si>
  <si>
    <t>Pol129</t>
  </si>
  <si>
    <t>Prívodná vyustka 500x200 s reguláciou R1</t>
  </si>
  <si>
    <t>D13</t>
  </si>
  <si>
    <t>Odťah opotrebovaného vzduchu  z miestností</t>
  </si>
  <si>
    <t>Pol130</t>
  </si>
  <si>
    <t>Prechod o315-630x250/600                                                   sk.I</t>
  </si>
  <si>
    <t>Pol131</t>
  </si>
  <si>
    <t>Prechod 630x250-450x200/450                                              sk.I</t>
  </si>
  <si>
    <t>Pol132</t>
  </si>
  <si>
    <t>Rúra s oblúkom 450x200/400-45°/R150        /v.p/               sk.I</t>
  </si>
  <si>
    <t>Pol133</t>
  </si>
  <si>
    <t>Oblúk 450x200-45°/R150                                                         sk.I</t>
  </si>
  <si>
    <t>Pol134</t>
  </si>
  <si>
    <t>Rozbočka 450x200-200x200-400x200/400-90°                   sk.I</t>
  </si>
  <si>
    <t>Pol135</t>
  </si>
  <si>
    <t>Rúra 400x200/1200                                                                   sk.I</t>
  </si>
  <si>
    <t>Pol136</t>
  </si>
  <si>
    <t>Oblúk 400x200-45°/R150                                                         sk.I</t>
  </si>
  <si>
    <t>Pol137</t>
  </si>
  <si>
    <t>Rúra s oblúkom 400x200/1000-45°/R150        /v.p/             sk.I</t>
  </si>
  <si>
    <t>Pol138</t>
  </si>
  <si>
    <t>Rúra 400x200/800                                      /v.p/                        sk.I</t>
  </si>
  <si>
    <t>Pol139</t>
  </si>
  <si>
    <t>Rozbočka 400x200-200x200-355x200/430-90°                   sk.I</t>
  </si>
  <si>
    <t>Pol140</t>
  </si>
  <si>
    <t>Prechod 355x200-280x200/700                                              sk.I</t>
  </si>
  <si>
    <t>Pol141</t>
  </si>
  <si>
    <t>Rúra 280x200/2000                                      /v.p/                      sk.I</t>
  </si>
  <si>
    <t>Pol142</t>
  </si>
  <si>
    <t>Rozbočka 280x200-100x100-280x160/425-90°                   sk.I</t>
  </si>
  <si>
    <t>Pol143</t>
  </si>
  <si>
    <t>Rúra 280x160/1000                                                                   sk.I</t>
  </si>
  <si>
    <t>Pol144</t>
  </si>
  <si>
    <t>Rozbočka 280x160-200x160-200x160/550-90°                   sk.I</t>
  </si>
  <si>
    <t>Pol145</t>
  </si>
  <si>
    <t>Prechod 100x100- o100/200                                                  sk.I</t>
  </si>
  <si>
    <t>Pol146</t>
  </si>
  <si>
    <t>Odvodná vyustka 500x200 s reguláciou R1</t>
  </si>
  <si>
    <t>Pol147</t>
  </si>
  <si>
    <t>Tanierový ventil odvodný  o200</t>
  </si>
  <si>
    <t>Pol148</t>
  </si>
  <si>
    <t>spiro koleno o100/90°</t>
  </si>
  <si>
    <t>Pol149</t>
  </si>
  <si>
    <t>spiro T- ks s nástavcom rúrovým TNR90-o200-o160</t>
  </si>
  <si>
    <t>Pol150</t>
  </si>
  <si>
    <t>spiro rúra SR-o160</t>
  </si>
  <si>
    <t>Pol151</t>
  </si>
  <si>
    <t>spiro koleno o160/90°</t>
  </si>
  <si>
    <t>D14</t>
  </si>
  <si>
    <t>Vetranie  priestorov  CT</t>
  </si>
  <si>
    <t>Pol152</t>
  </si>
  <si>
    <t>Rekuperačná  jednotka 650 m3/h</t>
  </si>
  <si>
    <t>Poznámka k položke:_x000D_
Vzduchový výkon      650  m3/h           (prívod/odvod)     ; Napatie: 230 V, 50 Hz, do 1,0 kW; Tepelná účinnosť zpätného získávania  tepla: 90 %; Menovitý externý tlak: 200 / 200 Pa (prívod / odvod); Jednotka splňuje ErP (Ecodesign) - nariadenie EU 1253/2014, ; Pozostáva: Teleso rekuper. jednotky;                    Filter    (prívodný F7 + odvodný M5);                   protiprúdový rekuperačný výmenník;                   by - pas,s cirkulácia;                   vodný ohrievač  2  kW   voda 80/60°C;                   priamy výparník pre dchladenie 4,5 kW;                   Ventilátor  prívodný, odvodný   (po 0,40 kW)     ;                   Vstupné hrdlá, klapky a manžety s prírubami</t>
  </si>
  <si>
    <t>Pol100...</t>
  </si>
  <si>
    <t>Pol153</t>
  </si>
  <si>
    <t>Vonkajšia kondenzačná jednotka 5 kW</t>
  </si>
  <si>
    <t>Poznámka k položke:_x000D_
chladiaci výkon 5 kW    (1,6 - 5 kW) ; max. elektrický príkon: do 1,5  kW, 230V,  8A, Istenie 20A</t>
  </si>
  <si>
    <t>Pol154</t>
  </si>
  <si>
    <t>Prechodový oblúk 350x200- 250x200-90°-R100                 sk.I</t>
  </si>
  <si>
    <t>Pol155</t>
  </si>
  <si>
    <t>Prechod 250x200- o250/300                                                   sk.I</t>
  </si>
  <si>
    <t>Pol156</t>
  </si>
  <si>
    <t>spiro rúra SR-o250</t>
  </si>
  <si>
    <t>Pol157</t>
  </si>
  <si>
    <t>Samočinná pretlaková žalúzia VK 25</t>
  </si>
  <si>
    <t>Pol158</t>
  </si>
  <si>
    <t>spiro koleno o250/60°</t>
  </si>
  <si>
    <t>Pol159</t>
  </si>
  <si>
    <t>sacia mriežka  IGC 250</t>
  </si>
  <si>
    <t>D15</t>
  </si>
  <si>
    <t>Prívod čerstvého upraveného  vzduchu  do miestnosti CT</t>
  </si>
  <si>
    <t>Pol160</t>
  </si>
  <si>
    <t>Tlmič hluku TH o250/500</t>
  </si>
  <si>
    <t>Pol161</t>
  </si>
  <si>
    <t>spiro koleno o250/90°</t>
  </si>
  <si>
    <t>Pol162</t>
  </si>
  <si>
    <t>Prechod ?250-315x200/300                                                   sk.I</t>
  </si>
  <si>
    <t>Pol163</t>
  </si>
  <si>
    <t>Prechod 315x200-250x200/725                                              sk.I</t>
  </si>
  <si>
    <t>Poznámka k položke:_x000D_
s odbočkou 400x200/100  /pre vyustku/</t>
  </si>
  <si>
    <t>Pol164</t>
  </si>
  <si>
    <t>Rúra 250x200/1800                      /v.p/                                      sk.I</t>
  </si>
  <si>
    <t>Pol165</t>
  </si>
  <si>
    <t>Prechod 250x200-250x100/725                                              sk.I</t>
  </si>
  <si>
    <t>Pol166</t>
  </si>
  <si>
    <t>Rúra 250x100/900                                                                      sk.I</t>
  </si>
  <si>
    <t>Pol167</t>
  </si>
  <si>
    <t>Rúra 250x100/600                                                                      sk.I</t>
  </si>
  <si>
    <t>Pol168</t>
  </si>
  <si>
    <t>Prívodná vyustka 400x200 s reguláciou R1</t>
  </si>
  <si>
    <t>D16</t>
  </si>
  <si>
    <t>Odťah opotrebovaného vzduchu  z miestnosti CT</t>
  </si>
  <si>
    <t>Pol169</t>
  </si>
  <si>
    <t>Prechod 350x200- o250/250                                                   sk.I</t>
  </si>
  <si>
    <t>179</t>
  </si>
  <si>
    <t>358</t>
  </si>
  <si>
    <t>360</t>
  </si>
  <si>
    <t>181</t>
  </si>
  <si>
    <t>362</t>
  </si>
  <si>
    <t>364</t>
  </si>
  <si>
    <t>183</t>
  </si>
  <si>
    <t>366</t>
  </si>
  <si>
    <t>368</t>
  </si>
  <si>
    <t>185</t>
  </si>
  <si>
    <t>Pol170</t>
  </si>
  <si>
    <t>Rúra 250x200/900                                                                      sk.I</t>
  </si>
  <si>
    <t>370</t>
  </si>
  <si>
    <t>372</t>
  </si>
  <si>
    <t>187</t>
  </si>
  <si>
    <t>Pol171</t>
  </si>
  <si>
    <t>Odvodná vyustka 400x200 s reguláciou R1</t>
  </si>
  <si>
    <t>374</t>
  </si>
  <si>
    <t>D17</t>
  </si>
  <si>
    <t>Vetranie sociálnych zariadení</t>
  </si>
  <si>
    <t>Pol172</t>
  </si>
  <si>
    <t>Ventilátor  100 m3/h</t>
  </si>
  <si>
    <t>376</t>
  </si>
  <si>
    <t>Poznámka k položke:_x000D_
Vzduchový výkon       do 100  m3/h,  230V, 50 Hz,  24 W</t>
  </si>
  <si>
    <t>189</t>
  </si>
  <si>
    <t>Pol173</t>
  </si>
  <si>
    <t>Ventilátor  50 m3/h</t>
  </si>
  <si>
    <t>378</t>
  </si>
  <si>
    <t>Poznámka k položke:_x000D_
Vzduchový výkon       do 50  m3/h,  230V, 50 Hz,  20 W</t>
  </si>
  <si>
    <t>D18</t>
  </si>
  <si>
    <t>Potrubie odvodu opotrebovaného  vzduchu  z miestností</t>
  </si>
  <si>
    <t>Pol174</t>
  </si>
  <si>
    <t>spiro rúra o100 mm</t>
  </si>
  <si>
    <t>380</t>
  </si>
  <si>
    <t>191</t>
  </si>
  <si>
    <t>Pol175</t>
  </si>
  <si>
    <t>spiro rúra o140 mm</t>
  </si>
  <si>
    <t>382</t>
  </si>
  <si>
    <t>384</t>
  </si>
  <si>
    <t>193</t>
  </si>
  <si>
    <t>Pol176</t>
  </si>
  <si>
    <t>spiro T-kus s nástavcom rúrovým TNR90 - o100 -o100</t>
  </si>
  <si>
    <t>386</t>
  </si>
  <si>
    <t>Pol177</t>
  </si>
  <si>
    <t>spiro T-kus s nástavcom rúrovým TNR90 - o140 -o100</t>
  </si>
  <si>
    <t>388</t>
  </si>
  <si>
    <t>195</t>
  </si>
  <si>
    <t>Pol178</t>
  </si>
  <si>
    <t>spiro prechod o140-100</t>
  </si>
  <si>
    <t>390</t>
  </si>
  <si>
    <t>Pol179</t>
  </si>
  <si>
    <t>Mriežka IGC o140</t>
  </si>
  <si>
    <t>392</t>
  </si>
  <si>
    <t>D19</t>
  </si>
  <si>
    <t>Vetranie lôžkovej izby CP</t>
  </si>
  <si>
    <t>197</t>
  </si>
  <si>
    <t>Pol180</t>
  </si>
  <si>
    <t>Rekuperačná  jednotka 1150 m3/h</t>
  </si>
  <si>
    <t>394</t>
  </si>
  <si>
    <t>Poznámka k položke:_x000D_
Vzduchový výkon      1150  m3/h           (prívod/odvod)     ; Napatie: 400 V, 50 Hz, do 2,0 kW; Tepelná účinnosť zpätného získávania  tepla: 90 %; Menovitý externý tlak: 300 / 300 Pa (prívod / odvod); Jednotka splňuje ErP (Ecodesign) - nariadenie EU 1253/2014, ; Pozostáva: Teleso rekuper. jednotky;                    Filter    (prívodný F7 + odvodný M5);                   protiprúdový rekuperačný výmenník;                   by - pas,s cirkulácia;                   vodný ohrievač;                   priamy výparník pre dchladenie 6,8 kW;                   Ventilátor  prívodný, odvodný   (po 0,80 kW)     ;                   Vstupné hrdlá, klapky a manžety s prírubami</t>
  </si>
  <si>
    <t>Pol100.....</t>
  </si>
  <si>
    <t>396</t>
  </si>
  <si>
    <t>199</t>
  </si>
  <si>
    <t>398</t>
  </si>
  <si>
    <t>400</t>
  </si>
  <si>
    <t>201</t>
  </si>
  <si>
    <t>402</t>
  </si>
  <si>
    <t>404</t>
  </si>
  <si>
    <t>203</t>
  </si>
  <si>
    <t>406</t>
  </si>
  <si>
    <t>Pol181</t>
  </si>
  <si>
    <t>Výfuková hlavica VH o315</t>
  </si>
  <si>
    <t>408</t>
  </si>
  <si>
    <t>205</t>
  </si>
  <si>
    <t>Pol182</t>
  </si>
  <si>
    <t>Strešný prechod  o315</t>
  </si>
  <si>
    <t>410</t>
  </si>
  <si>
    <t>Pol183</t>
  </si>
  <si>
    <t>Rúra 400x200/400                                                                       sk.I</t>
  </si>
  <si>
    <t>412</t>
  </si>
  <si>
    <t>207</t>
  </si>
  <si>
    <t>Pol184</t>
  </si>
  <si>
    <t>Nasávacia mriežka 400x200</t>
  </si>
  <si>
    <t>414</t>
  </si>
  <si>
    <t>D20</t>
  </si>
  <si>
    <t>Prívod čerstvého upraveného  vzduchu  do miestnosti CP</t>
  </si>
  <si>
    <t>Pol185</t>
  </si>
  <si>
    <t>spiro prechod o315-280</t>
  </si>
  <si>
    <t>416</t>
  </si>
  <si>
    <t>209</t>
  </si>
  <si>
    <t>Pol186</t>
  </si>
  <si>
    <t>spiro rúra SR-o280</t>
  </si>
  <si>
    <t>418</t>
  </si>
  <si>
    <t>Pol187</t>
  </si>
  <si>
    <t>spiro koleno o280/90°</t>
  </si>
  <si>
    <t>420</t>
  </si>
  <si>
    <t>211</t>
  </si>
  <si>
    <t>Pol188</t>
  </si>
  <si>
    <t>Prechod 450x200- o280/400                                                    sk.I</t>
  </si>
  <si>
    <t>422</t>
  </si>
  <si>
    <t>Pol189</t>
  </si>
  <si>
    <t>Rúra 450x200/900                                                                      sk.I</t>
  </si>
  <si>
    <t>424</t>
  </si>
  <si>
    <t>213</t>
  </si>
  <si>
    <t>Pol190</t>
  </si>
  <si>
    <t>Prechod 450x200- 630x250/500                                              sk.I</t>
  </si>
  <si>
    <t>426</t>
  </si>
  <si>
    <t>428</t>
  </si>
  <si>
    <t>215</t>
  </si>
  <si>
    <t>Pol191</t>
  </si>
  <si>
    <t>Rúra 450x200/1500                                                                    sk.I</t>
  </si>
  <si>
    <t>430</t>
  </si>
  <si>
    <t>Pol192</t>
  </si>
  <si>
    <t>Rúra s oblúkom 500x200/800-90°/R150        /v.p/                sk.I</t>
  </si>
  <si>
    <t>432</t>
  </si>
  <si>
    <t>217</t>
  </si>
  <si>
    <t>Pol193</t>
  </si>
  <si>
    <t>Rúra 450x200/800                      /v.p/                                         sk.I</t>
  </si>
  <si>
    <t>434</t>
  </si>
  <si>
    <t>Pol194</t>
  </si>
  <si>
    <t>Prechod 450x200-355x200/1000                                             sk.I</t>
  </si>
  <si>
    <t>436</t>
  </si>
  <si>
    <t>219</t>
  </si>
  <si>
    <t>Pol195</t>
  </si>
  <si>
    <t>Rúra 355x200/1000                                                                    sk.I</t>
  </si>
  <si>
    <t>438</t>
  </si>
  <si>
    <t>Pol196</t>
  </si>
  <si>
    <t>Rúra 355x200/1600                      /v.p/                                       sk.I</t>
  </si>
  <si>
    <t>440</t>
  </si>
  <si>
    <t>221</t>
  </si>
  <si>
    <t>Pol197</t>
  </si>
  <si>
    <t>Prechod 355x200-250x200/900                                               sk.I</t>
  </si>
  <si>
    <t>442</t>
  </si>
  <si>
    <t>Pol198</t>
  </si>
  <si>
    <t>Rúra 250x200/1000                                                                    sk.I</t>
  </si>
  <si>
    <t>444</t>
  </si>
  <si>
    <t>223</t>
  </si>
  <si>
    <t>Pol199</t>
  </si>
  <si>
    <t>Rúra 250x200/1600                      /v.p/                                       sk.I</t>
  </si>
  <si>
    <t>446</t>
  </si>
  <si>
    <t>Pol200</t>
  </si>
  <si>
    <t>Prechod 250x200-200x125/900                                               sk.I</t>
  </si>
  <si>
    <t>448</t>
  </si>
  <si>
    <t>225</t>
  </si>
  <si>
    <t>Pol201</t>
  </si>
  <si>
    <t>Rúra 200x125/1000                                                                    sk.I</t>
  </si>
  <si>
    <t>450</t>
  </si>
  <si>
    <t>Pol202</t>
  </si>
  <si>
    <t>Rúra 200x125/1600                      /v.p/                                       sk.I</t>
  </si>
  <si>
    <t>452</t>
  </si>
  <si>
    <t>227</t>
  </si>
  <si>
    <t>Pol203</t>
  </si>
  <si>
    <t>Rúra 200x125/650                                               sk.I</t>
  </si>
  <si>
    <t>454</t>
  </si>
  <si>
    <t>456</t>
  </si>
  <si>
    <t>D21</t>
  </si>
  <si>
    <t>Odťah opotrebovaného vzduchu  z miestnosti CP</t>
  </si>
  <si>
    <t>229</t>
  </si>
  <si>
    <t>458</t>
  </si>
  <si>
    <t>460</t>
  </si>
  <si>
    <t>231</t>
  </si>
  <si>
    <t>Pol204</t>
  </si>
  <si>
    <t>Prechod 450x250- o280/400                                                    sk.I</t>
  </si>
  <si>
    <t>462</t>
  </si>
  <si>
    <t>Pol205</t>
  </si>
  <si>
    <t>Prechodový oblúk 450x250- 630x250-90°-R150                 sk.I</t>
  </si>
  <si>
    <t>464</t>
  </si>
  <si>
    <t>233</t>
  </si>
  <si>
    <t>466</t>
  </si>
  <si>
    <t>468</t>
  </si>
  <si>
    <t>235</t>
  </si>
  <si>
    <t>470</t>
  </si>
  <si>
    <t>472</t>
  </si>
  <si>
    <t>237</t>
  </si>
  <si>
    <t>474</t>
  </si>
  <si>
    <t>476</t>
  </si>
  <si>
    <t>239</t>
  </si>
  <si>
    <t>478</t>
  </si>
  <si>
    <t>480</t>
  </si>
  <si>
    <t>241</t>
  </si>
  <si>
    <t>482</t>
  </si>
  <si>
    <t>484</t>
  </si>
  <si>
    <t>243</t>
  </si>
  <si>
    <t>486</t>
  </si>
  <si>
    <t>488</t>
  </si>
  <si>
    <t>245</t>
  </si>
  <si>
    <t>490</t>
  </si>
  <si>
    <t>492</t>
  </si>
  <si>
    <t>247</t>
  </si>
  <si>
    <t>494</t>
  </si>
  <si>
    <t>496</t>
  </si>
  <si>
    <t>249</t>
  </si>
  <si>
    <t>498</t>
  </si>
  <si>
    <t>500</t>
  </si>
  <si>
    <t>251</t>
  </si>
  <si>
    <t>Pol206</t>
  </si>
  <si>
    <t>Mriežka IGC o100</t>
  </si>
  <si>
    <t>502</t>
  </si>
  <si>
    <t>504</t>
  </si>
  <si>
    <t>D22</t>
  </si>
  <si>
    <t>Klimatizácia čakární CP</t>
  </si>
  <si>
    <t>253</t>
  </si>
  <si>
    <t>Pol207</t>
  </si>
  <si>
    <t>Vonkajšia jednotka 8,3 kW</t>
  </si>
  <si>
    <t>506</t>
  </si>
  <si>
    <t>Poznámka k položke:_x000D_
chladiaci výkon 8,3 Kw; vykurovací výkon 9.0kW; max. elektrický príkon: 2,2  kW, 230V, istenie 25A; Príslušenstvo: konzola uchytenia - vyrobiť pri montáži (z U10/2m)</t>
  </si>
  <si>
    <t>Pol208</t>
  </si>
  <si>
    <t>Vnútorná  jednotka velkosť 50 kazetová</t>
  </si>
  <si>
    <t>508</t>
  </si>
  <si>
    <t>Poznámka k položke:_x000D_
chladiaci výkon 4,7  kW; vykurovací výkon 5.5  kW; max. elektrický príkon: 0,05  kW</t>
  </si>
  <si>
    <t>255</t>
  </si>
  <si>
    <t>Pol209</t>
  </si>
  <si>
    <t>Príslušenstvo k vnútorným jednotkám: Ovládač k jednotke</t>
  </si>
  <si>
    <t>510</t>
  </si>
  <si>
    <t>D23</t>
  </si>
  <si>
    <t>Klimatizácia RTG a algeziologických ambulancií</t>
  </si>
  <si>
    <t>257</t>
  </si>
  <si>
    <t>Pol210</t>
  </si>
  <si>
    <t>Vonkajšia jednotka 10,2 kW</t>
  </si>
  <si>
    <t>514</t>
  </si>
  <si>
    <t>Poznámka k položke:_x000D_
chladiaci výkon 10,2 kW; vykurovací výkon 10.5 Kw; max. elektrický príkon: 2,5  kW, 230V, istenie 25A; Príslušenstvo: konzola uchytenia - vyrobiť pri montáži (z U10/2m)</t>
  </si>
  <si>
    <t>516</t>
  </si>
  <si>
    <t>Poznámka k položke:_x000D_
chladiaci výkon 4,6  kW; vykurovací výkon 5.0  kW; max. elektrický príkon: 0,05  kW</t>
  </si>
  <si>
    <t>259</t>
  </si>
  <si>
    <t>518</t>
  </si>
  <si>
    <t>Pol211</t>
  </si>
  <si>
    <t>Vnútorná  jednotka velkosť 25 kazetová</t>
  </si>
  <si>
    <t>520</t>
  </si>
  <si>
    <t>Poznámka k položke:_x000D_
chladiaci výkon 2,6  kW; vykurovací výkon 2.8  kW; max. elektrický príkon: 0,05  kW</t>
  </si>
  <si>
    <t>261</t>
  </si>
  <si>
    <t>522</t>
  </si>
  <si>
    <t>Pol212</t>
  </si>
  <si>
    <t>Vnútorná  jednotka velkosť 35 kazetová</t>
  </si>
  <si>
    <t>524</t>
  </si>
  <si>
    <t>Poznámka k položke:_x000D_
chladiaci výkon 3,5 kW; vykurovací výkon 3.9  kW; max. elektrický príkon: 0,05  kW</t>
  </si>
  <si>
    <t>263</t>
  </si>
  <si>
    <t>526</t>
  </si>
  <si>
    <t>528</t>
  </si>
  <si>
    <t>D24</t>
  </si>
  <si>
    <t>Vetranie sádrovne a RTG zázemia</t>
  </si>
  <si>
    <t>265</t>
  </si>
  <si>
    <t>Pol213</t>
  </si>
  <si>
    <t>Ventilátor  200 m3/h</t>
  </si>
  <si>
    <t>530</t>
  </si>
  <si>
    <t>Poznámka k položke:_x000D_
Vzduchový výkon       do 200  m3/h,  230V, 50 Hz,  38 W</t>
  </si>
  <si>
    <t>532</t>
  </si>
  <si>
    <t>267</t>
  </si>
  <si>
    <t>534</t>
  </si>
  <si>
    <t>Pol214</t>
  </si>
  <si>
    <t>spiro koleno o100/30°</t>
  </si>
  <si>
    <t>536</t>
  </si>
  <si>
    <t>269</t>
  </si>
  <si>
    <t>538</t>
  </si>
  <si>
    <t>540</t>
  </si>
  <si>
    <t>D25</t>
  </si>
  <si>
    <t>Vetranie soc. zariadení RTG</t>
  </si>
  <si>
    <t>271</t>
  </si>
  <si>
    <t>Pol215</t>
  </si>
  <si>
    <t>Ventilátor  175m3/h</t>
  </si>
  <si>
    <t>542</t>
  </si>
  <si>
    <t>Poznámka k položke:_x000D_
Vzduchový výkon       do 175  m3/h,  230V, 50 Hz,  28 W</t>
  </si>
  <si>
    <t>544</t>
  </si>
  <si>
    <t>273</t>
  </si>
  <si>
    <t>546</t>
  </si>
  <si>
    <t>548</t>
  </si>
  <si>
    <t>275</t>
  </si>
  <si>
    <t>550</t>
  </si>
  <si>
    <t>D26</t>
  </si>
  <si>
    <t>Vetranie  miestností upratovačky</t>
  </si>
  <si>
    <t>Pol216</t>
  </si>
  <si>
    <t>Ventilátor  30 m3/h</t>
  </si>
  <si>
    <t>552</t>
  </si>
  <si>
    <t>Poznámka k položke:_x000D_
Vzduchový výkon       do 30  m3/h,  230V, 50 Hz,  15 W</t>
  </si>
  <si>
    <t>D27</t>
  </si>
  <si>
    <t>Potrubie odvodu opotrebovaného  vzduchu  z miestnosti</t>
  </si>
  <si>
    <t>277</t>
  </si>
  <si>
    <t>554</t>
  </si>
  <si>
    <t>556</t>
  </si>
  <si>
    <t>279</t>
  </si>
  <si>
    <t>558</t>
  </si>
  <si>
    <t>D28</t>
  </si>
  <si>
    <t>Klimatizácia  odborných ambulancií</t>
  </si>
  <si>
    <t>Pol217</t>
  </si>
  <si>
    <t>Vonkajšia jednotka velkosť 125</t>
  </si>
  <si>
    <t>560</t>
  </si>
  <si>
    <t>Poznámka k položke:_x000D_
chladiaci výkon 14 kW; vykurovací výkon 16 kW; max. elektrický príkon: 4  kW, 400V, istenie 25A; Príslušenstvo: konzola uchytenia - vyrobiť pri montáži (z U10/2m)</t>
  </si>
  <si>
    <t>281</t>
  </si>
  <si>
    <t>Pol218</t>
  </si>
  <si>
    <t>Vnútorná  jednotka velkosť 20 nástenná</t>
  </si>
  <si>
    <t>562</t>
  </si>
  <si>
    <t>Poznámka k položke:_x000D_
chladiaci výkon 2,0  kW; vykurovací výkon 2.2 kW</t>
  </si>
  <si>
    <t>Pol209a</t>
  </si>
  <si>
    <t>564</t>
  </si>
  <si>
    <t>283</t>
  </si>
  <si>
    <t>Pol219</t>
  </si>
  <si>
    <t>Vnútorná  jednotka velkosť 15 nástenná</t>
  </si>
  <si>
    <t>566</t>
  </si>
  <si>
    <t>Poznámka k položke:_x000D_
chladiaci výkon 1,5  kW; vykurovací výkon 1.7 kW</t>
  </si>
  <si>
    <t>568</t>
  </si>
  <si>
    <t>285</t>
  </si>
  <si>
    <t>Pol220</t>
  </si>
  <si>
    <t>Rozbočovač pre 5 jednotiek</t>
  </si>
  <si>
    <t>570</t>
  </si>
  <si>
    <t>Pol221</t>
  </si>
  <si>
    <t>Rozbočovač pre 3 jednotiek</t>
  </si>
  <si>
    <t>572</t>
  </si>
  <si>
    <t>287</t>
  </si>
  <si>
    <t>574</t>
  </si>
  <si>
    <t>D29</t>
  </si>
  <si>
    <t>Klimatizácia popisovne a CT zázemia</t>
  </si>
  <si>
    <t>Pol222</t>
  </si>
  <si>
    <t>Vonkajšia jednotka velkosť 42</t>
  </si>
  <si>
    <t>576</t>
  </si>
  <si>
    <t>Poznámka k položke:_x000D_
chladiaci výkon 4,2 kW; vykurovací výkon 4,5 kW; max. elektrický príkon: 1  kW, 230V, istenie 16A; Príslušenstvo: konzola uchytenia - vyrobiť pri montáži (z U10/2m)</t>
  </si>
  <si>
    <t>289</t>
  </si>
  <si>
    <t>Pol218b</t>
  </si>
  <si>
    <t>578</t>
  </si>
  <si>
    <t>580</t>
  </si>
  <si>
    <t>291</t>
  </si>
  <si>
    <t>582</t>
  </si>
  <si>
    <t>Pol223</t>
  </si>
  <si>
    <t>Konzolový materiál</t>
  </si>
  <si>
    <t>584</t>
  </si>
  <si>
    <t>Poznámka k položke:_x000D_
Zhotovenie konzol z tipizovaných dielov</t>
  </si>
  <si>
    <t>293</t>
  </si>
  <si>
    <t>Pol224</t>
  </si>
  <si>
    <t>Tesniaci a spojovací materiál</t>
  </si>
  <si>
    <t>586</t>
  </si>
  <si>
    <t>Poznámka k položke:_x000D_
PE páska a tmel na Spiro potrubie; Skrutky, matice a podložky podľa dimenzie potrubia</t>
  </si>
  <si>
    <t>Pol225</t>
  </si>
  <si>
    <t>Vyregulovanie VTZ</t>
  </si>
  <si>
    <t>588</t>
  </si>
  <si>
    <t>Poznámka k položke:_x000D_
(nastavenie - vyustky)</t>
  </si>
  <si>
    <t>295</t>
  </si>
  <si>
    <t>Pol226</t>
  </si>
  <si>
    <t>Zariadenia pre manipuláciu vo výškach</t>
  </si>
  <si>
    <t>590</t>
  </si>
  <si>
    <t>Poznámka k položke:_x000D_
(vysokozdvižná plošina, prípadne lešenie)</t>
  </si>
  <si>
    <t>D30</t>
  </si>
  <si>
    <t>Tepel. izolácia potrubí</t>
  </si>
  <si>
    <t>Pol227</t>
  </si>
  <si>
    <t>Minerálna vata hr. 50 mm + pozinkovaný plech /alebo Al plech/</t>
  </si>
  <si>
    <t>592</t>
  </si>
  <si>
    <t>Poznámka k položke:_x000D_
Celková dĺžka potrubí pre potrubia zariadení 1,2,3,4,6: ca 200m</t>
  </si>
  <si>
    <t>297</t>
  </si>
  <si>
    <t>950ost</t>
  </si>
  <si>
    <t>-1279316859</t>
  </si>
  <si>
    <t>SO01-7.0 - SO 01-7 - Čisté priestory - ostatné</t>
  </si>
  <si>
    <t>Zařízení staveniště - Vybavení a provoz staveniště, bezpečnostní hrazení, oplocení, zajištění přístupu na staveniště v průběhu realizace stavby a až do předání stavby do užívání.  - Zabezpečení staveniště a ploch dotčených stavbou, vybavení proti odcizení</t>
  </si>
  <si>
    <t>1442867593</t>
  </si>
  <si>
    <t xml:space="preserve">Zajištění kompletační, inženýrské a koordinační činnosti spojené s realizací stavby. Služby manažerů stavby. Následné předání do užívání. </t>
  </si>
  <si>
    <t>911629671</t>
  </si>
  <si>
    <t>Náklady na vyhotovení realizační dokumentace , montážní dokumentace a skutečného provedení stavby dle SoD, platné legislativy, podmínek a požadavků investora.</t>
  </si>
  <si>
    <t>1653147445</t>
  </si>
  <si>
    <t>Náklady na vyhotovení skutečného provedení stavby dle SoD, platné legislativy, podmínek a požadavků investora.</t>
  </si>
  <si>
    <t>-1204032578</t>
  </si>
  <si>
    <t>Validace - Kontrolní měření prostor, doplňková defektoskopie, těsnost montáže</t>
  </si>
  <si>
    <t>-751610121</t>
  </si>
  <si>
    <t>S01-7.1 - SO 01-71 - Vstavba ČP</t>
  </si>
  <si>
    <t>01.1. - Vestavba ČP</t>
  </si>
  <si>
    <t>D1 - Svítidla integrovaná v podhledu</t>
  </si>
  <si>
    <t>D2 - Elementy VZT</t>
  </si>
  <si>
    <t xml:space="preserve">    D3 - Zariadenie č.9 - Urgentný príjem a izolácie</t>
  </si>
  <si>
    <t>01.1.</t>
  </si>
  <si>
    <t>Vestavba ČP</t>
  </si>
  <si>
    <t>Vypratanie a vyčistenie priestoru pred začatím vstavby čistého priestoru operačných sály a ich zázemie</t>
  </si>
  <si>
    <t>Kovová sendvičová priečka hr. 60 mm, výplň min. vlna, povrch. úprava- obojstranne plášť pozink. plech s povrchovou úpravou práškový polyesterový lak vo farbe RAL , vrátane basic profilu pri podlahe, horného U profilu, všetkých lemovanie a kotvenie</t>
  </si>
  <si>
    <t>Kovová sendvičová priečka hr. 80 mm, výplň min. vlna, povrch. úprava- obojstranne plášť pozink. plech s povrchovou úpravou práškový polyesterový lak vo farbe RAL , vrátane basic profilu pri podlahe, horného U profilu, všetkých lemovanie a kotvenie</t>
  </si>
  <si>
    <t>Obkladové kovové sendvičové panely hr. 32 mm - steny, výplň min. vlna, povrch. úprava - obojstranne plášť pozink. plech s povrchovou úpravou práškový polyesterový lak vo farbe, vrátane basic profilu pri podlahe, horného U profilu, všetkých lemovanie a kot</t>
  </si>
  <si>
    <t>Obkladové kovové panely hr. 19 mm - ostení okien a dverí, Obkladový sadrokartónový panel plný tl.19mm, vlepená sadrokartónová doska. V cene sú započítané vodiace profily, kotviaci materiál.</t>
  </si>
  <si>
    <t>Vyrovnanie podkladu pod PVC podlahovinu - samonivelačná, hladká cementová stierkovacia hmota, 4,2 kg/m2 -  hr. 2 až 3 mm</t>
  </si>
  <si>
    <t>Podlahovina elektrostaticky vodivá, hr. 2 mm v pásoch, vodivá 104 -106 ?, vrátane zvodových medených páskov, vodivého lepidla, vrátane disperzného lepidla</t>
  </si>
  <si>
    <t>Fabión z podlahoviny PVC-vodivá 104 -106 ?</t>
  </si>
  <si>
    <t>Podlahovina PVC - nevodivá, vhodná do zdravotnického provozu, tl.2mm, vrátane disperzného lepidla</t>
  </si>
  <si>
    <t>Fabión z podlahoviny PVC - nevodivá</t>
  </si>
  <si>
    <t>Rohovník vnútorný u podlahy pre styk 2 fabiónov, z podlahoviny PVC - nevodivá</t>
  </si>
  <si>
    <t>Rohovník vnútorný u podlahy pre styk 2 fabiónov, z podlahoviny PVC - vodivá 104 -106 ?</t>
  </si>
  <si>
    <t>Podkladový podlahový profil gumený 30x30 mm, pod fabión z podlahoviny</t>
  </si>
  <si>
    <t>Ľahký kovový podhľad, kazetový tesný, so skrytým rastrom 625x625 mm - plech oceľový obojstranne pozinkovaný s úpravou pohľadovej strany polyesterovým lakom v odtieni RAL 9016. Vrátane kotviacich a lemovacích prvkov aj odkokov v podhľadu.</t>
  </si>
  <si>
    <t>Rohový hliníkový fabionový profil pre styk stena + podhľad, vrátane rohových a ukončovacich prvkov, vo farbe RAL 9016</t>
  </si>
  <si>
    <t>Dvere kovové otočné, jednokrídlové 700/2010, plné, vrátane zárubne do kovovej priečky. Kovanie kľučka-kľučka. Materiál dverného krídla aj zárubne - obojstranne plášť pozink. plech s povrchovou úpravou práškový polyesterový lak vo farbe RAL</t>
  </si>
  <si>
    <t>Dvere kovové posuvné automatické jednokrídlové 1400/2010, presklené z 1/3, magnetická žalúzie, vrátane zárubne do systému vstaveb. Kovanie mušle-mušle. Ovládanie na bezdotykový spínač. Materiál dverného krídla aj zárubne - obojstranne plášť pozink. plech</t>
  </si>
  <si>
    <t>Dvere kovové otočné automatické dvojkrídlové 1400/2010, presklené z 1/3, magnetická žalúzie, vrátane zárubne do systému vstaveb. Kovanie mušle-mušle. Ovládanie na bezdotykový spínač. Materiál dverného krídla aj zárubne - obojstranne plášť pozink. plech s</t>
  </si>
  <si>
    <t>Svítidla integrovaná v podhledu</t>
  </si>
  <si>
    <t>LED svítidlo do kovového podhledu, 59W, IP54, microprisma, 625x625mm, Ra90</t>
  </si>
  <si>
    <t>LED svítidlo do kovového podhledu, 59W, IP54, microprisma, 625x625mm, Ra90  s nouzovým zdrojom</t>
  </si>
  <si>
    <t>LED svítidlo do kovového podhledu, 59W, IP54, opálový zákryt, 625x625mm, Ra80</t>
  </si>
  <si>
    <t>LED svítidlo do kovového podhledu, 59W, IP54, opálový zákryt, 625x625mm, Ra80 s nouzovým zdrojom</t>
  </si>
  <si>
    <t>LED svítidlo do kovového podhledu, 59W, IP54, microprisma, 625x625mm, Ra80 s nouzovým zdrojom</t>
  </si>
  <si>
    <t>Elementy VZT</t>
  </si>
  <si>
    <t>Zariadenie č.9 - Urgentný príjem a izolácie</t>
  </si>
  <si>
    <t>Čistý nástavec s HEPA filtrom  457 x 457</t>
  </si>
  <si>
    <t>Čistý nástavec s HEPA filtrom 305x305</t>
  </si>
  <si>
    <t>Vzduchotechnické mriežky do ČP</t>
  </si>
  <si>
    <t>S01-7.2 - SO 01-72 - Zdravotnícka technológia a vybavenie</t>
  </si>
  <si>
    <t>01.2. - Zdravotnická technologie a vybavení</t>
  </si>
  <si>
    <t>01.2.</t>
  </si>
  <si>
    <t>Zdravotnická technologie a vybavení</t>
  </si>
  <si>
    <t>Pol228</t>
  </si>
  <si>
    <t>most zdrojový pre 1 lôžko</t>
  </si>
  <si>
    <t>Poznámka k položke:_x000D_
Obsah zdrojového mostu:; viď PD elektro - vč.č.E-1, E-2, E-3; viď PD plyn - v.č.1</t>
  </si>
  <si>
    <t>S01-7.3 - SO 01-73 - Vzduchotechnika</t>
  </si>
  <si>
    <t>01.3. - Vzduchotechnika</t>
  </si>
  <si>
    <t>01.3.</t>
  </si>
  <si>
    <t>Vzduchotechnika</t>
  </si>
  <si>
    <t>Pol229</t>
  </si>
  <si>
    <t>Demontáže starých zariadeni a rozvodov vzduchotechniky (cenu upresniť po obhliadke stavby)</t>
  </si>
  <si>
    <t>Pol230</t>
  </si>
  <si>
    <t>Poznámka k položke:_x000D_
Vzduchotechnická jednotka Prívodný jednotka čestvovzdušná, prietok 1.280 m3 / h Zostava jednotky: - Pripojovací diel (pružná manžeta, sanie do čela), pozink. uzatváracia klapka so servopohonom (dodávka MaR), - 1 ° filtrácia vzduchu (vreckový filter, trieda filtra M5, vyberaní do boku), - Komora ZZT doskový,  - Ventilátor privádzaného vzduchu ex. tlak 1200 Pa, 400V, - ventilátor s voľným obežným kolesom bez špirálovej skrine (jednootáčkový elektromotor pre riadenie frekvenčným meničom otáčok, FM - dodávka MaR, servisný spínač pre opravy, silentbloky), Trieda V účinnosti motora IE2 - Ohrievacie komora, top.výkon 15 kW, vykurovacia voda 80/60 ° C, vykurovací výmenník - medený rozdeľovač a zberač s vonkajšími závitmi, rám a vodiace profily z oceľového pozinkovaného plechu, medené trubičky, nalisované lamely Alu, Max. prevádzkový tlak 15 bar, skúšobný tlak 30 barov. Tlaková strata na strane vody max. 10 kPa, prispôsobený pre umiestnenie čidla protimrazovej ochrany.  - Chladiaci komora, chl.výkon 16 kW, chladicia voda 7/12 ° C, chladiací výmenník - medený rozdeľovač a zberač s vonkajšími závitmi, rám a vodiace profily z oceľového pozinkovaného plechu, medené trubičky, nalisované lamely Alu, Max. prevádzkový tlak 15 bar, skúšobný tlak 30 barov. Tlaková strata na strane vody max. 10 kPa. Kondenzátnej vaňa z oceľového nehrdzavejúceho plechu s odpadovým hrdlom, sifón. - Ohrievacie komora, top.výkon 7 kW, vykurovacia voda 80/60 ° C, vykurovací výmenník - medený rozdeľovač a zberač s vonkajšími závitmi, rám a vodiace profily z oceľového pozinkovaného plechu, medené trubičky, nalisované lamely Alu, Max. prevádzkový tlak 15 bar, skúšobný tlak 30 barov. Tlaková strata na strane vody max. 10 kPa, prispôsobený pre umiestnenie čidla protimrazovej ochrany. - 2 ° filtrácia vzduchu (vreckový filter, trieda filtra F9, vyberaní do boku), - Pripojovací diel (pružná manžeta, výtlak do čela) - Základný rám jednotky výšky cca 80 mm; Odvodné jednotka, prietok 1.340 m3 / h Zostava jednotky: - Pripojovací diel (pružná manžeta, sanie do čela), - 1 ° filtrácia vzduchu (vreckový filter, trieda filtra M5, vyberaní do boku), - Komora ZZT doskový - Ventilátor privádzaného vzduchu ex. tlak 1000 Pa, 400V, - ventilátor s voľným obežným kolesom bez špirálovej skrine (jednootáčkový elektromotor pre riadenie frekvenčným meničom otáčok - dodávka MaR, servisný spínač pre opravy, silentbloky), Trieda V účinnosti motora IE2 - Pripojovací diel (pružná manžeta, výtlak do čela), pozink. uzatváracia klapka so servopohonom (dodávka MaR), základný rám jednotky výšky cca 80 mm prevedenie - vnútorne čistiteľné, bez vyčnievajúcich častí zachytávajúce nečistoty, - Plášť v oblasti rosného bodu tepelne oddelený - Hrúbka steny plášťa 50mm - Vlastnosti plášťa podľa prEN 1886 (2007) - Mechanická stabilita D1 - Tesnosť placho L1 - Tepelná izolácia T3 - Faktor tepelných mostov TB2 strana obsluhy do boku Spĺňať nariadenia EÚ č.1253 / 2014 (vetracie VZT jednotky); Rám pod vzduchotechnickú jednotku výška rámu 200 mm, samostatný, s nastaviteľnými nôžkami, s pružnými silenbloky delený na jednotlivé polia z dôvodu dopravy do strojovne vzduchotechniky, zostavené pomocou skrutkových spojení.; Elektrický parný zvlhčovač odporový, pre vlhčenie vo vzt. Potrubí M = 10 kg / hod, P = 7,5 kW, 400 V So zbernou nádržou na sedimenty, na pitnú vodu, s relé pre diaľkovú obsluhou a indikáciu chýb príslušenstvo: Tlakový kompenzátor pre kompenzáciu tlaku vo vzt. Potrubia do 10000 Pa - 1 ks Distribučná trubice (šírka potrubie 500 mm) - 1 ks, Filtračné ventil 3/8 "- 1 ks, Parná hadica pre popojení telesa zvlhčovače a distribučných trubíc 5/4 "- 4m, Kondenzačné hadica pre odvod kondenzátu z distribučných trubíc - 4m Sada pre ochladzovanie vypúšťanej vody Nieje súčasťou tejto etapy projektu</t>
  </si>
  <si>
    <t>Pol231</t>
  </si>
  <si>
    <t>Rám pod vzduchotechnickú jednotku</t>
  </si>
  <si>
    <t>Poznámka k položke:_x000D_
výška rámu 200 mm, samostatný, s nastaviteľnými nôžkami, s pružnými silenbloky delený na jednotlivé polia z dôvodu dopravy do strojovne vzduchotechniky, zostavené_x000D_
pomocou skrutkových spojení.</t>
  </si>
  <si>
    <t>Pol232</t>
  </si>
  <si>
    <t>Zvlhčovacie diel do potrubi Zvlhčovacie diel pre osadenie distribučných trubíc s odtokom kondenzátu a revíznym otvorom Rúra 500 x 550/2000, odtok kondenzátu (hrdlo) zospodu Tesná revízne dvierka 300x200 prevedenie vodotesné, trieda tesnosti B podľa EN12 2</t>
  </si>
  <si>
    <t xml:space="preserve">Poznámka k položke:_x000D_
Zvlhčovacie diel do potrubi Zvlhčovacie diel pre osadenie distribučných trubíc s odtokom kondenzátu a revíznym otvorom Rúra 500 x 550/2000, odtok kondenzátu (hrdlo) zospodu Tesná revízne dvierka 300x200 prevedenie vodotesné, trieda tesnosti B podľa EN12 237_x000D_
</t>
  </si>
  <si>
    <t>Pol233</t>
  </si>
  <si>
    <t>Tlmič hluku  3 ks  - Kulisový tlmič hluku pôsobí na princípe absorbcie v komore, povrch kulís odolný proti oteru, max. rýchlosť do 9 m / s, nehorľavá minerálna vlna (stavebný trieda A), skriňa z pozinkovaného oceľového plechu, obojstranne s prípojným rámo</t>
  </si>
  <si>
    <t xml:space="preserve">Poznámka k položke:_x000D_
Tlmič hluku  3 ks  - Kulisový tlmič hluku pôsobí na princípe absorbcie v komore, povrch kulís odolný proti oteru, max. rýchlosť do 9 m / s, nehorľavá minerálna vlna (stavebný trieda A), skriňa z pozinkovaného oceľového plechu, obojstranne s prípojným rámom, so zaoblenými koncami kulís, vrátane upevňovacieho materiálu ) Technické údaje: šírka: 500 mm výška: 500 mm dĺžka: 1500 mm celkový vložený útlm do sania pri 250 Hz .: min. 25 dB trieda tesnosti A podľa EN12 237 2ks - Kruhový tlmič hluku pôsobí na princípe absorbcie v komore, absorbčný materiál minerálna vlna nehorľavá, (stavebné trieda A), vonkajší obal z pozinkovaného oceľového plechu, na oboch stranách opatrený prírubami. Technické údaje: menovitá svetlosť: DN 250 hrúbka tlmiace vložky: 50 mm dĺžka: 1000 mm vložený útlm pri 250 Hz .: 10 dB trieda tesnosti A podľa EN12 237  2 ks - Kruhový tlmič hluku pôsobí na princípe absorbcie v komore, absorbčný materiál minerálna vlna nehorľavá, (stavebné trieda A), vonkajší obal z pozinkovaného oceľového plechu, na oboch stranách opatrený prírubami. Technické údaje: menovitá svetlosť: DN 250 hrúbka tlmiace vložky: 50 mm dĺžka: 1000 mm vložený útlm pri 250 Hz .: 10 dB trieda tesnosti A podľa EN12 237_x000D_
</t>
  </si>
  <si>
    <t>Pol234</t>
  </si>
  <si>
    <t>Regulačná klapka Regulačný (škrtiaca) klapka kruhová na reguláciu množstva vzduchu. Z pozinkovanej ocele, nastavenie klapky ručne vonkajšie nastavovacie pákou, sa zaisťovacím zariadením listu klapky prostredníctvom krídlovej skrutky. Menovitý rozmer: O 16</t>
  </si>
  <si>
    <t xml:space="preserve">Poznámka k položke:_x000D_
Regulačná klapka Regulačný (škrtiaca) klapka kruhová na reguláciu množstva vzduchu. Z pozinkovanej ocele, nastavenie klapky ručne vonkajšie nastavovacie pákou, sa zaisťovacím zariadením listu klapky prostredníctvom krídlovej skrutky. Menovitý rozmer: O 160 mm trieda tesnosti B podľa EN12 237_x000D_
</t>
  </si>
  <si>
    <t>Pol235</t>
  </si>
  <si>
    <t>Škrtiaca klapka 5 ks - Regulačný (škrtiaca) klapka kruhová na reguláciu množstva vzduchu. Z pozinkovanej ocele, nastavenie klapky ručne vonkajšie nastavovacie pákou, sa zaisťovacím zariadením listu klapky prostredníctvom krídlovej skrutky. Menovitý rozmer</t>
  </si>
  <si>
    <t xml:space="preserve">Poznámka k položke:_x000D_
Škrtiaca klapka 5 ks - Regulačný (škrtiaca) klapka kruhová na reguláciu množstva vzduchu. Z pozinkovanej ocele, nastavenie klapky ručne vonkajšie nastavovacie pákou, sa zaisťovacím zariadením listu klapky prostredníctvom krídlovej skrutky. Menovitý rozmer: O 250 mm trieda tesnosti B podľa EN12 237 5 ks - Regulačný (škrtiaca) klapka kruhová na reguláciu množstva vzduchu. Z pozinkovanej ocele, nastavenie klapky ručne vonkajšie nastavovacie pákou, sa zaisťovacím zariadením listu klapky prostredníctvom krídlovej skrutky. Menovitý rozmer: O 200 mm trieda tesnosti B podľa EN12 237_x000D_
</t>
  </si>
  <si>
    <t>Pol236</t>
  </si>
  <si>
    <t>Regulačná klapka pre osadenie servopohonu, pozink, Trieda tesnosti A podľa EN12 237 rozmer: O 300 servo v dodávke MaR</t>
  </si>
  <si>
    <t>Poznámka k položke:_x000D_
Elektronický regulátor prietoku vzduchu oceľový kruhový s plynulou reguláciou, so servopohonom, skladá sa zo skrine s regulačnou klapkou a čidlá stredné hodnoty tlakovej diferencie, Regulátor, prevodník a servopohon (24V) tvoria neoddeliteľnú súčasť prístroja. Nastavenie regulátora bez prístrojov na požadované prietoky vzduchu. Kontrola funkčnosti LED diódou, Rozsah tlakovej diferencie je 20-1000Pa, ovládacie napätie 0-10 V rozmer  300x200mm, prietok vzduchu 1160 m3/h</t>
  </si>
  <si>
    <t>Pol236a</t>
  </si>
  <si>
    <t>Elektronický regulátor prietoku vzduchu oceľový kruhový s plynulou reguláciou, so servopohonom, skladá sa zo skrine s regulačnou klapkou a čidlá stredné hodnoty tlakovej diferencie, Regulátor, prevodník a servopohon (24V) tvoria neoddeliteľnú súčasť príst</t>
  </si>
  <si>
    <t>-588284149</t>
  </si>
  <si>
    <t xml:space="preserve">Poznámka k položke:_x000D_
Elektronický regulátor prietoku vzduchu oceľový kruhový s plynulou reguláciou, so servopohonom, skladá sa zo skrine s regulačnou klapkou a čidlá stredné hodnoty tlakovej diferencie, Regulátor, prevodník a servopohon (24V) tvoria neoddeliteľnú súčasť prístroja. Nastavenie regulátora bez prístrojov na požadované prietoky vzduchu. Kontrola funkčnosti LED diódou, Rozsah tlakovej diferencie je 20-1000Pa, ovládacie napätie 0-10 V rozmer 300x200mm mm, prietok vzduchu 1160 m3/h_x000D_
</t>
  </si>
  <si>
    <t>Pol237</t>
  </si>
  <si>
    <t xml:space="preserve">Poznámka k položke:_x000D_
Elektronický regulátor prietoku vzduchu oceľový kruhový s plynulou reguláciou, so servopohonom, skladá sa zo skrine s regulačnou klapkou a čidlá stredné hodnoty tlakovej diferencie, Regulátor, prevodník a servopohon (24V) tvoria neoddeliteľnú súčasť prístroja. Nastavenie regulátora bez prístrojov na požadované prietoky vzduchu. Kontrola funkčnosti LED diódou, Rozsah tlakovej diferencie je 20-1000Pa, ovládacie napätie 0-10 V rozmer O250 mm, prietok vzduchu 820 m3/h_x000D_
</t>
  </si>
  <si>
    <t>Pol238</t>
  </si>
  <si>
    <t xml:space="preserve">Poznámka k položke:_x000D_
Elektronický regulátor prietoku vzduchu oceľový kruhový s plynulou reguláciou, so servopohonom, skladá sa zo skrine s regulačnou klapkou a čidlá stredné hodnoty tlakovej diferencie, Regulátor, prevodník a servopohon (24V) tvoria neoddeliteľnú súčasť prístroja. Nastavenie regulátora bez prístrojov na požadované prietoky vzduchu. Kontrola funkčnosti LED diódou, Rozsah tlakovej diferencie je 20-1000Pa, ovládacie napätie 0-10 V rozmer O200 mm, prietok vzduchu 730 m3/h_x000D_
</t>
  </si>
  <si>
    <t>Pol239</t>
  </si>
  <si>
    <t>Protidažďová žalúzia do 2.000 m3/h Protidažďová žalúzia veľkosť: 500 x 400 mm Na ochranu pred priamo pôsobiacim dažďom a vnikaním lístia a vtákov do vstupného otvoru vzduchotechnických zariadení, pozostávajúce z prvkov rámu s nasadenými lamelovými profilm</t>
  </si>
  <si>
    <t xml:space="preserve">Poznámka k položke:_x000D_
Protidažďová žalúzia do 2.000 m3/h Protidažďová žalúzia veľkosť: 500 x 400 mm Na ochranu pred priamo pôsobiacim dažďom a vnikaním lístia a vtákov do vstupného otvoru vzduchotechnických zariadení, pozostávajúce z prvkov rámu s nasadenými lamelovými profilmi proti dažďu a vzadu nasadené mriežky z vlnitého drôtu, z profilovaného, ??pozinkovaného oceľového plechu, s rámom a všetkým ďalším príslušenstvom. prevedenie: z oceľového pozinkovaného plechu s povrchovou úpravou práškovým vypaľovacím lakom rýchlosť vzduchu do 3,0 m / s_x000D_
</t>
  </si>
  <si>
    <t>Pol240</t>
  </si>
  <si>
    <t>Výfuková hlavica do 2.000 m3/h Výfuková samoťažné hlavice O315 mm proti prenikaniu poveternostných zrážok a nečistôt do potrubia, prevedenie z pozinkovaného plechu trieda tesnosti B podľa EN12 237</t>
  </si>
  <si>
    <t>Pol241</t>
  </si>
  <si>
    <t xml:space="preserve">Ohybná flexo hadica 5m - Ohybná flexo hadica o250 mm z dvoch vrstiev PVC s polyamidovou tkaninou, spevnená špirálovito vinutou kostrou z oceľového drôtu. prevádzková teplota -18 až +75 °C, max. rýchlosť vzduchu 25 m / s, Výpočet polomeru ohybu: R = 0,6 D </t>
  </si>
  <si>
    <t xml:space="preserve">Poznámka k položke:_x000D_
Ohybná flexo hadica 5m - Ohybná flexo hadica o250 mm z dvoch vrstiev PVC s polyamidovou tkaninou, spevnená špirálovito vinutou kostrou z oceľového drôtu. prevádzková teplota -18 až +75 °C, max. rýchlosť vzduchu 25 m / s, Výpočet polomeru ohybu: R = 0,6 D 3m - Ohybná flexo hadica o200 mm z dvoch vrstiev PVC s polyamidovou tkaninou, spevnená špirálovito vinutou kostrou z oceľového drôtu. prevádzková teplota -18 až +75 °C, max. rýchlosť vzduchu 25 m / s, Výpočet polomeru ohybu: R = 0,6 D 7m -Ohybná flexo hadica o200 mm z dvoch vrstiev PVC s polyamidovou tkaninou, spevnená špirálovito vinutou kostrou z oceľového drôtu. prevádzková teplota -18 až +75 °C, max. rýchlosť vzduchu 25 m / s, Výpočet polomeru ohybu: R = 0,6 D_x000D_
</t>
  </si>
  <si>
    <t>Pol242</t>
  </si>
  <si>
    <t xml:space="preserve">Potrubie trieda tesnosti B Štvorhranné a kruhové potrubie oceľové pozinkované z pozinkovaného plechu, s diagonálnym vystužením, z pozinkovaných profilov a rohov z uholníkov. Trieda tesnosti B podľa EN12 237, Hrúbka plechu a tlaková trieda podľa DIN 24190 </t>
  </si>
  <si>
    <t xml:space="preserve">Poznámka k položke:_x000D_
Potrubie trieda tesnosti B Štvorhranné a kruhové potrubie oceľové pozinkované z pozinkovaného plechu, s diagonálnym vystužením, z pozinkovaných profilov a rohov z uholníkov. Trieda tesnosti B podľa EN12 237, Hrúbka plechu a tlaková trieda podľa DIN 24190 / DIN 24191. Potrubie rozmerov väčších ako 1000x1000 mm budú vystužené spevňovacími pozink.kříži uloženými vnútri potrubia. Oblúky so šírkou väčšou ako 500 mm osadiť vodiacimi plechmi. Odbočky a rozbočky osadiť regulačnými plechy. Percento tvaroviek: 40% vrátane spojovacieho a tesniaceho materiálu_x000D_
</t>
  </si>
  <si>
    <t>Pol243</t>
  </si>
  <si>
    <t>Tepelná izolácia Vnútorná tepelná izolácia. Vnútorná tepelná izolácia hr. 30 mm z termoizolačných pásov - prevedenie B - samoshášivé lepená na potrubia, tepelná vodivosť 0,04 W / m.K určená pre izoláciu potrubia vzduchu v strojovniach vzt Hrúbka vrstvy iz</t>
  </si>
  <si>
    <t xml:space="preserve">Poznámka k položke:_x000D_
Tepelná izolácia Vnútorná tepelná izolácia. Vnútorná tepelná izolácia hr. 30 mm z termoizolačných pásov - prevedenie B - samoshášivé lepená na potrubia, tepelná vodivosť 0,04 W / m.K určená pre izoláciu potrubia vzduchu v strojovniach vzt Hrúbka vrstvy izolácie: 30 mm_x000D_
</t>
  </si>
  <si>
    <t>Pol244</t>
  </si>
  <si>
    <t>Tepelná izolácia pre nasávanie čerstvého vzduchu materiál na báze syntetického kaučuku, faktor difúzneho odporu m&gt; 7000, použitie od -40 ° C do + 105 ° C, súčiniteľ tepelnej vodivosti ? = 0,038W / m * K hrúbka izolácie 25 mm, typ: nekonečné dosky</t>
  </si>
  <si>
    <t xml:space="preserve">Poznámka k položke:_x000D_
Tepelná izolácia pre nasávanie čerstvého vzduchu materiál na báze syntetického kaučuku, faktor difúzneho odporu m&gt; 7000, použitie od -40 ° C do + 105 ° C, súčiniteľ tepelnej vodivosti ? = 0,038W / m * K hrúbka izolácie 25 mm, typ: nekonečné dosky_x000D_
</t>
  </si>
  <si>
    <t>Pol245</t>
  </si>
  <si>
    <t>Tepelná izolácia s oplechováním Vonkajšia izolácia s oplechovaním tepelná izolácia hr. 100 mm z dosiek z minerálnej plsti min.40 kg / m3, tepelná vodivosť 0,04 W / m.K, opatrená krycím plechom z pozinkovavaného plechu určená pre izoláciu potrubia na fasád</t>
  </si>
  <si>
    <t>Pol246</t>
  </si>
  <si>
    <t>Spojovací a tesniaci materiál</t>
  </si>
  <si>
    <t>Pol247</t>
  </si>
  <si>
    <t>Závesy a uchytenie</t>
  </si>
  <si>
    <t>Pol248</t>
  </si>
  <si>
    <t xml:space="preserve">Požiarna klapka pre osadenie servopohonu 2ks -Požiarna klapka štvorhranná pozinkovaná veľkosť: 300 x 300 mm,  -Prevedenie: se servopohonom s koncovým spínačom (zatvorené), požiarna odolnosť podľa PBR 2ks - Požiarna klapka štvorhranná pozinkovaná veľkosť: </t>
  </si>
  <si>
    <t xml:space="preserve">Poznámka k položke:_x000D_
Požiarna klapka pre osadenie servopohonu 2ks -Požiarna klapka štvorhranná pozinkovaná veľkosť: 300 x 300 mm,  -Prevedenie: se servopohonom s koncovým spínačom (zatvorené), požiarna odolnosť podľa PBR 2ks - Požiarna klapka štvorhranná pozinkovaná veľkosť: 300 x 300 mm,  -Prevedenie: se servopohonom s koncovým spínačom (zatvorené), požiarna odolnosť podľa PBR_x000D_
</t>
  </si>
  <si>
    <t>Pol249</t>
  </si>
  <si>
    <t>Montážne a pomocné lešenie</t>
  </si>
  <si>
    <t>Pol250</t>
  </si>
  <si>
    <t>Zaregulovanie a sprevádzkovanie</t>
  </si>
  <si>
    <t>S01-7.4 - SO 01-74 - Trubné rozvody pre VZT</t>
  </si>
  <si>
    <t>01.4. - Trubní rozvody pro VZT</t>
  </si>
  <si>
    <t xml:space="preserve">    D1 - Rozvod chladu pre VZT</t>
  </si>
  <si>
    <t xml:space="preserve">    D2 - odbočka zo spoločného rozvodu pre OAIM</t>
  </si>
  <si>
    <t xml:space="preserve">    D3 - Regulačné uzly tepla pre VZT</t>
  </si>
  <si>
    <t>01.4.</t>
  </si>
  <si>
    <t>Trubní rozvody pro VZT</t>
  </si>
  <si>
    <t>Rozvod chladu pre VZT</t>
  </si>
  <si>
    <t>odbočka zo spoločného rozvodu pre OAIM</t>
  </si>
  <si>
    <t>Pol251</t>
  </si>
  <si>
    <t>Guľový kohút, DN 2 "</t>
  </si>
  <si>
    <t>Pol252</t>
  </si>
  <si>
    <t>Filter hrubý, DN2 "- vrátane prieslušenstva</t>
  </si>
  <si>
    <t>Pol253</t>
  </si>
  <si>
    <t>Tlakove nezávislý regulačný a vyvažovací ventil s nezávislou EQM charakteristikou P, DN50 Vysoko výkonný proporcionálny pohon TA-MC55, pre proporcionálnu alebo 3 bodovú reguláciu, 24V AC / DC, 5m kábel</t>
  </si>
  <si>
    <t>Pol254</t>
  </si>
  <si>
    <t>Guľový vypúšťací kohút s napojením na hadicu, DN 1/2 "</t>
  </si>
  <si>
    <t>Pol255</t>
  </si>
  <si>
    <t>Teplomer priemer 100 mm, -30 -50 ° C, vr. návarku a jímky</t>
  </si>
  <si>
    <t>Pol256</t>
  </si>
  <si>
    <t>Tlakomer pre meranie zanesenia filtra priem. 100 mm, pripojenie G1 / 2 ", rozsah: 0 - 600 kPa. Vrátane kondenzačnej slučky s 3-cestným skúšobným kohútom, pripojovacím potrubím a 2 ks uzatváracích guľových kohútov</t>
  </si>
  <si>
    <t>Pol257</t>
  </si>
  <si>
    <t>Nákrutka 2 ", vrátane tesnenia</t>
  </si>
  <si>
    <t>Pol258</t>
  </si>
  <si>
    <t>Potrubie z oceľových rúrok závitových bezšvíkových J. M. 11 353 (Vr. Ohybov, redukcií, T-kusov, chladiarenských objímok atď.).</t>
  </si>
  <si>
    <t>Poznámka k položke:_x000D_
DN50</t>
  </si>
  <si>
    <t>Pol259</t>
  </si>
  <si>
    <t>Trubicová kaučuková izolácia AC, tl.13 mm, (napr. Armaflex)</t>
  </si>
  <si>
    <t>Poznámka k položke:_x000D_
13x60 mm pre DN 50</t>
  </si>
  <si>
    <t>Pol260</t>
  </si>
  <si>
    <t>Plošná kaučuková izolácia AC 19-99 / E, hr. 19 mm, (role š. 1 m) pre armatúry</t>
  </si>
  <si>
    <t>Pol261</t>
  </si>
  <si>
    <t>Náter potrubia 2x základná pod tepelnou izoláciou</t>
  </si>
  <si>
    <t>Pol262</t>
  </si>
  <si>
    <t>Náter pomocných oceľových konštrukcií 1x základnou farbou, 2x vrchný email</t>
  </si>
  <si>
    <t>Pol263</t>
  </si>
  <si>
    <t>Štítky pre opis zariadenia a armatúr</t>
  </si>
  <si>
    <t>Pol264</t>
  </si>
  <si>
    <t>Štítky pre označenie smeru prúdenia</t>
  </si>
  <si>
    <t>Pol265</t>
  </si>
  <si>
    <t>Fabrikované, žiarovo pozinkované závesy pre potrubie (úpravy 2x pozinkovať. Lakom)</t>
  </si>
  <si>
    <t>Regulačné uzly tepla pre VZT</t>
  </si>
  <si>
    <t>Pol266</t>
  </si>
  <si>
    <t>Potrubie z oceľových rúrok bezšvíkových hladkých (Vr. Ohybov, redukcií, T-kusov, objímok, izolacie, závesov, náterov atď.) DN 20</t>
  </si>
  <si>
    <t>Pol267</t>
  </si>
  <si>
    <t>Potrubie z oceľových rúrok bezšvíkových hladkých (Vr. Ohybov, redukcií, T-kusov, objímok, izolacie, závesov, náterov atď.) DN 25</t>
  </si>
  <si>
    <t>Pol268</t>
  </si>
  <si>
    <t>Potrubie z oceľových rúrok bezšvíkových hladkých (Vr. Ohybov, redukcií, T-kusov, objímok, izolacie, závesov, náterov atď.) DN 32</t>
  </si>
  <si>
    <t>Pol269</t>
  </si>
  <si>
    <t>Armatúry ostatné, odvzdušňovacie, vypúšťacie, štítky zariadení a smeru</t>
  </si>
  <si>
    <t>Pol270</t>
  </si>
  <si>
    <t>Tepelná izolácia z minerálnych vlákien lamelová rohož (napr. Orsil ML3) s hliníkovou úpravou na povrchu, pre armatúry hr. 20mm</t>
  </si>
  <si>
    <t>Pol271</t>
  </si>
  <si>
    <t>Guľový kohút, DN 3/4"</t>
  </si>
  <si>
    <t>Pol272</t>
  </si>
  <si>
    <t>Guľový kohút, DN 1"</t>
  </si>
  <si>
    <t>Pol273</t>
  </si>
  <si>
    <t>Filter hrubý, DN3/4"</t>
  </si>
  <si>
    <t>Pol274</t>
  </si>
  <si>
    <t>Filter hrubý, DN1"</t>
  </si>
  <si>
    <t>Pol275</t>
  </si>
  <si>
    <t>Obehové čerpadlo, Q = 0,8 m3 / h, H = 2,5m, 1N-230V, 50Hz, P = 0,02kW, vrátane 2ks pripojovací nákrutka,</t>
  </si>
  <si>
    <t>Pol276</t>
  </si>
  <si>
    <t>Tlakove nezávislý regulačný a vyvažovací ventil pre plynulú reguláciu, DN20 Vysoko výkonný proporcionálny pohon, pre proporcionálnu Alebo 3 bodovu reguláciu, 24V AC / DC, 5m kábel</t>
  </si>
  <si>
    <t>Pol277</t>
  </si>
  <si>
    <t>Tlakove nezávislý regulačný a vyvažovací ventil pre plynulú reguláciu, DN25 Vysoko výkonný proporcionálny pohon, pre proporcionálnu Alebo 3 bodovu reguláciu, 24V AC / DC, 5m kábel</t>
  </si>
  <si>
    <t>Pol278</t>
  </si>
  <si>
    <t>Teplomer priemer 100 mm, 0 -120 ° C, vr. návarku a jímky</t>
  </si>
  <si>
    <t>Pol279</t>
  </si>
  <si>
    <t>Diferenčný tlakomer priem. 100 mm, pripojenie G1 / 2 ", rozsah: 0 - 600 kPa, vrátane 2 ks kondenzačnej slučky, 1 m pripojovacieho potrubia DN 15 a 2 ks 3-cestných skúšobných kohútov</t>
  </si>
  <si>
    <t>Pol280</t>
  </si>
  <si>
    <t>Nákrutka 3/4", vrátane tesnenia</t>
  </si>
  <si>
    <t>Pol281</t>
  </si>
  <si>
    <t>Nákrutka 1 ", vrátane tesnenia</t>
  </si>
  <si>
    <t>Pol282</t>
  </si>
  <si>
    <t>Vyvažovací ventil, typ napr. IMI STAD, DN 1"</t>
  </si>
  <si>
    <t>Pol283</t>
  </si>
  <si>
    <t>Regulační a vyvažovací ventil pre proporcionálnu regulaciu, DN25 Vysoko výkonný proporcionálny pohon, pre proporcionálnu alebo 3 bodovú reguláciu, 24V AC / DC, 5m kábel</t>
  </si>
  <si>
    <t>S01-7.5 - SO 01-75 - ELI</t>
  </si>
  <si>
    <t>01.5. - Elektroinstalace</t>
  </si>
  <si>
    <t>D1 - Elektroinstalace pro VZT</t>
  </si>
  <si>
    <t xml:space="preserve">    D3 - MONTÁŽE</t>
  </si>
  <si>
    <t xml:space="preserve">    D4 - STROJE A ZARIADENIA - DODÁVKA</t>
  </si>
  <si>
    <t xml:space="preserve">    D5 - STROJE A ZARIADENIA - MONTÁŽE</t>
  </si>
  <si>
    <t xml:space="preserve">    D6 - NOSNÝ MATERIÁL - MONTÁŽE</t>
  </si>
  <si>
    <t xml:space="preserve">    D7 - MONTÁŽNE PRIRÁŽKY</t>
  </si>
  <si>
    <t xml:space="preserve">    D9 - NOSNÝ MATERIÁL</t>
  </si>
  <si>
    <t xml:space="preserve">    D10 - MATERIÁL - PRIRÁŽKY</t>
  </si>
  <si>
    <t>01.5.</t>
  </si>
  <si>
    <t>Elektroinstalace</t>
  </si>
  <si>
    <t>Elektroinstalace pro VZT</t>
  </si>
  <si>
    <t>MONTÁŽE</t>
  </si>
  <si>
    <t>STROJE A ZARIADENIA - DODÁVKA</t>
  </si>
  <si>
    <t>Pol284</t>
  </si>
  <si>
    <t>Rozvádzač vzduchotechniky RV 9.1.1, pole č. +01, rozmery 800x400x2000mm, vrátane výzbroje</t>
  </si>
  <si>
    <t>Pol285</t>
  </si>
  <si>
    <t>Miestna ovládacia skrinka pre motorické spotrebiče, 230V AC, IP54, z plastu, nástenná, štítky gravírované, kábl. vývodky</t>
  </si>
  <si>
    <t>Pol286</t>
  </si>
  <si>
    <t>Servisný vypínač, 32A, 3P, 400V AC, IP54, štítky gravírované, káblové vývodky</t>
  </si>
  <si>
    <t>Pol287</t>
  </si>
  <si>
    <t>Servisný vypínač, 10A, 1P, 230V AC, IP54, štítky gravírované, káblové vývodky</t>
  </si>
  <si>
    <t>Pol288</t>
  </si>
  <si>
    <t>Frekvenčný menič, 1,5kW, 400V AC, IP54, asistenčný ovládací panel</t>
  </si>
  <si>
    <t>Pol289</t>
  </si>
  <si>
    <t>Frekvenčný menič, 1,1kW, 400V AC, IP54, asistenčný ovládací panel</t>
  </si>
  <si>
    <t>Pol290</t>
  </si>
  <si>
    <t>Prepojovacia skrinka, polyester, 4+PE, 400V AC, IP54, do 4mm2, káblové vývodky</t>
  </si>
  <si>
    <t>STROJE A ZARIADENIA - MONTÁŽE</t>
  </si>
  <si>
    <t>Pol291</t>
  </si>
  <si>
    <t>Montáž rozvádzača, skriňový-delený do 500kg</t>
  </si>
  <si>
    <t>Pol292</t>
  </si>
  <si>
    <t>Montáž krabice, alebo skrine do 5kg</t>
  </si>
  <si>
    <t>Pol293</t>
  </si>
  <si>
    <t>Montáž a parametrovanie fr. meniča</t>
  </si>
  <si>
    <t>Pol294</t>
  </si>
  <si>
    <t>Pripojenie motorického spotrebiča do 5kW</t>
  </si>
  <si>
    <t>Pol295</t>
  </si>
  <si>
    <t>Montáž rozvodnice do 150kg</t>
  </si>
  <si>
    <t>NOSNÝ MATERIÁL - MONTÁŽE</t>
  </si>
  <si>
    <t>Pol296</t>
  </si>
  <si>
    <t>Montáž, kábel Cu 750V uložený pevne CYKY 5x4-16</t>
  </si>
  <si>
    <t>Pol297</t>
  </si>
  <si>
    <t>Montáž, kábel Cu 750V uložený pevne CYKY, Olflex Classic 4x4</t>
  </si>
  <si>
    <t>Pol298</t>
  </si>
  <si>
    <t>Montáž, kábel Cu 750V uložený pevne CYKY, Olflex Classic 4x2,5</t>
  </si>
  <si>
    <t>Pol299</t>
  </si>
  <si>
    <t>Montáž, kábel Cu 750V uložený pevne CYKY,CGSG 3x2,5</t>
  </si>
  <si>
    <t>Pol300</t>
  </si>
  <si>
    <t>Montáž, kábel Cu 750V uložený pevne CYKY 12x1,5</t>
  </si>
  <si>
    <t>Pol301</t>
  </si>
  <si>
    <t>Montáž, kábel Cu 750V uložený pevne CYKY 5x1,5</t>
  </si>
  <si>
    <t>Pol302</t>
  </si>
  <si>
    <t>Montáž, kábel Cu signálny uložený pevne JYTY do 14x1</t>
  </si>
  <si>
    <t>Pol303</t>
  </si>
  <si>
    <t>Montáž, šnúra 500V, lanové jadro, opletanie Cu drôtom, uložená pevne CMFM 3x1</t>
  </si>
  <si>
    <t>Pol304</t>
  </si>
  <si>
    <t>Ukončenie celoplastových káblov zmršťovacou záklopkou do 5x10 mm2</t>
  </si>
  <si>
    <t>Pol305</t>
  </si>
  <si>
    <t>Ukončenie celoplastových káblov zmršťovacou záklopkou do 12x4 mm2</t>
  </si>
  <si>
    <t>Pol306</t>
  </si>
  <si>
    <t>Montáž označovacieho štítka na kábel</t>
  </si>
  <si>
    <t>Pol307</t>
  </si>
  <si>
    <t>Montáž U profilu 50x50mm</t>
  </si>
  <si>
    <t>Pol308</t>
  </si>
  <si>
    <t>Montáž káblového žľabu, výška bočnice 100, š.250 (mm), vrátane kolien, T-kusov, s podperami, s vekom</t>
  </si>
  <si>
    <t>Pol309</t>
  </si>
  <si>
    <t>Montáž káblového žľabu, výška bočnice 100, š.125 (mm), vrátane kolien, T-kusov, s podperami, s vekom</t>
  </si>
  <si>
    <t>Pol310</t>
  </si>
  <si>
    <t>Montáž káblového žľabu, výška bočnice 50, š.62 (mm), vrátane kolien, T-kusov, s podperami, s vekom</t>
  </si>
  <si>
    <t>Pol311</t>
  </si>
  <si>
    <t>Montáž el-inšt rúrky (kov) tuhá závitová, uložená pevne D25mm (P21)</t>
  </si>
  <si>
    <t>Pol312</t>
  </si>
  <si>
    <t>Montáž el-inšt rúrky (kov) ohybná, uložená pevne D25 (d23)mm</t>
  </si>
  <si>
    <t>Pol313</t>
  </si>
  <si>
    <t>Montáž ochranného pospojovanie vodičom Cu 4-25mm2, voľne uložené, bez pripojenia</t>
  </si>
  <si>
    <t>Pol314</t>
  </si>
  <si>
    <t>Montáž zachytávacieho, zvodového vodiča s podperami, FeZn drôt D8-10mm</t>
  </si>
  <si>
    <t>Pol315</t>
  </si>
  <si>
    <t>Montáž bleskozvodnej svorky do 2 skrutiek (SS,SP1,SR 03)</t>
  </si>
  <si>
    <t>Pol316</t>
  </si>
  <si>
    <t>Montáž bleskozvodnej svorky nad 2 skrutky (SJ,SK,SO,SZ,ST,SR01-2)</t>
  </si>
  <si>
    <t>Pol317</t>
  </si>
  <si>
    <t>Montáž protipožiarnej upchávky, priechod stenou hrúbky 30cm</t>
  </si>
  <si>
    <t>Pol318</t>
  </si>
  <si>
    <t>Náterový systém Remoplast na OK+ príprava podkladu</t>
  </si>
  <si>
    <t>Pol319</t>
  </si>
  <si>
    <t>Výroba a montáž oceľovej všeobecnej konštrukcie, pre el. zariadenia (klasická)</t>
  </si>
  <si>
    <t>Pol320</t>
  </si>
  <si>
    <t>Nešpecifikované náklady pri montáži el. zariadení</t>
  </si>
  <si>
    <t>Pol321</t>
  </si>
  <si>
    <t>Prvotná kontrola elektro zariadenia, individuálna skúška</t>
  </si>
  <si>
    <t>Pol322</t>
  </si>
  <si>
    <t>Komplexné skúšky</t>
  </si>
  <si>
    <t>Pol323</t>
  </si>
  <si>
    <t>Spracovanie východiskovej revízie a vypracovanie správy</t>
  </si>
  <si>
    <t>Pol324</t>
  </si>
  <si>
    <t>Dokumentácia skutkového stavu</t>
  </si>
  <si>
    <t>MONTÁŽNE PRIRÁŽKY</t>
  </si>
  <si>
    <t>Pol325</t>
  </si>
  <si>
    <t>Doprava materiálu</t>
  </si>
  <si>
    <t>Pol326</t>
  </si>
  <si>
    <t>PPV (pomocné a podružné výkony)</t>
  </si>
  <si>
    <t>Pol327</t>
  </si>
  <si>
    <t>Presun</t>
  </si>
  <si>
    <t>NOSNÝ MATERIÁL</t>
  </si>
  <si>
    <t>Pol328</t>
  </si>
  <si>
    <t>Kábel Cu 750V : CYKY-J 5x6</t>
  </si>
  <si>
    <t>Pol329</t>
  </si>
  <si>
    <t>Kábel Cu 750V : CYKY-J 4x4</t>
  </si>
  <si>
    <t>Pol330</t>
  </si>
  <si>
    <t>Kábel Cu 750V : CYKY-J 4x2,5</t>
  </si>
  <si>
    <t>Pol331</t>
  </si>
  <si>
    <t>Kábel Cu 750V : CYKY-J 3x2,5</t>
  </si>
  <si>
    <t>Pol332</t>
  </si>
  <si>
    <t>Kábel Cu 750V : CYKY-J 12x1,5</t>
  </si>
  <si>
    <t>Pol333</t>
  </si>
  <si>
    <t>Kábel Cu 750V : CYKY-J 5x1,5</t>
  </si>
  <si>
    <t>Pol334</t>
  </si>
  <si>
    <t>Kábel ohybný, lanko Cu 750V: 100CY 4G4</t>
  </si>
  <si>
    <t>Pol335</t>
  </si>
  <si>
    <t>Kábel ohybný, lanko Cu 750V:  100CY 4G2,5</t>
  </si>
  <si>
    <t>Pol336</t>
  </si>
  <si>
    <t>Kábel ohybný gumený Cu 750V : (CGSG) H07RN-F 3G2,5</t>
  </si>
  <si>
    <t>Pol337</t>
  </si>
  <si>
    <t>CMFM 3G1,00</t>
  </si>
  <si>
    <t>Pol338</t>
  </si>
  <si>
    <t>JYTY-O 10x1,0</t>
  </si>
  <si>
    <t>Pol339</t>
  </si>
  <si>
    <t>Štítok na označ. kábel. vývodu z PVC</t>
  </si>
  <si>
    <t>Pol340</t>
  </si>
  <si>
    <t>Záves U 50x50x3000mm FT (FeZn)</t>
  </si>
  <si>
    <t>Pol341</t>
  </si>
  <si>
    <t>Žľab káblový dierovaný  : NKZ 100x250 (EC)</t>
  </si>
  <si>
    <t>Pol342</t>
  </si>
  <si>
    <t>Žľab káblový dierovaný  : NKZ 100x125 (EC)</t>
  </si>
  <si>
    <t>Pol343</t>
  </si>
  <si>
    <t>Žľab káblový dierovaný  : NKZ 50x62 (EC)</t>
  </si>
  <si>
    <t>Pol344</t>
  </si>
  <si>
    <t>- veko káblového žľabu : V 100 (XX)</t>
  </si>
  <si>
    <t>Pol345</t>
  </si>
  <si>
    <t>- veko káblového žľabu : V 50 (XX)</t>
  </si>
  <si>
    <t>Pol346</t>
  </si>
  <si>
    <t>Rúrka el-inšt Fe tuhá 6021 ZN F, so závitom P21, zinkovaná ponorom (3m)</t>
  </si>
  <si>
    <t>Pol347</t>
  </si>
  <si>
    <t>Hadica kovová ochranná A 1080 d 25 mm</t>
  </si>
  <si>
    <t>Pol348</t>
  </si>
  <si>
    <t>Vývodka 4821/PVC</t>
  </si>
  <si>
    <t>Pol349</t>
  </si>
  <si>
    <t>Kábel Cu (CYA) : H07V-K 25 GNYE lano (RM) zel/žltý</t>
  </si>
  <si>
    <t>Pol350</t>
  </si>
  <si>
    <t>Vodič Cu (CYA) : H07V-K 16 GNYE lanko (RM) zel/žltý</t>
  </si>
  <si>
    <t>Pol351</t>
  </si>
  <si>
    <t>Vodič Cu (CYA) : H07V-K 6 GNYE lanko (RM) zel/žltý</t>
  </si>
  <si>
    <t>Pol352</t>
  </si>
  <si>
    <t>Oko kabelové lis. KOR 25/8 Cu</t>
  </si>
  <si>
    <t>Pol353</t>
  </si>
  <si>
    <t>Oko kábelové lis. KOR 16/8</t>
  </si>
  <si>
    <t>Pol354</t>
  </si>
  <si>
    <t>Oko kábelové izol. KOI 6/8</t>
  </si>
  <si>
    <t>Pol355</t>
  </si>
  <si>
    <t>Uzemňovacia pásková príchytka pre trubky 3/8-4"</t>
  </si>
  <si>
    <t>Pol356</t>
  </si>
  <si>
    <t>Montážna páska pre uzemňovaciu objímku 100m</t>
  </si>
  <si>
    <t>Pol357</t>
  </si>
  <si>
    <t>Kruhový bleskozvodný (FeZn) drôt D8</t>
  </si>
  <si>
    <t>Pol358</t>
  </si>
  <si>
    <t>Podpera vedenia : PV 21, na ploché strechy, oceľová (110mm)</t>
  </si>
  <si>
    <t>Pol359</t>
  </si>
  <si>
    <t>Svorka pripájacia (FeZn) : SP 1, pre spojenie kovových súčiastoky (2xM8)</t>
  </si>
  <si>
    <t>Pol360</t>
  </si>
  <si>
    <t>Svorka krížová (FeZn) : SK (4xM8)</t>
  </si>
  <si>
    <t>Pol361</t>
  </si>
  <si>
    <t>Systém protipožiarnej ochrany EI 90, odolnosť 90 min.</t>
  </si>
  <si>
    <t>Pol362</t>
  </si>
  <si>
    <t>Náterový systém Remoplast  na OK  náter 3x</t>
  </si>
  <si>
    <t>Pol363</t>
  </si>
  <si>
    <t>Oceľové konštrukcie - predbežná cena</t>
  </si>
  <si>
    <t>Pol364</t>
  </si>
  <si>
    <t>Ostatný materiál</t>
  </si>
  <si>
    <t>MATERIÁL - PRIRÁŽKY</t>
  </si>
  <si>
    <t>Pol365</t>
  </si>
  <si>
    <t>Podružný materiál</t>
  </si>
  <si>
    <t>Pol366</t>
  </si>
  <si>
    <t>Stratné</t>
  </si>
  <si>
    <t>S01-7.6 - SO 01-76 - MaR</t>
  </si>
  <si>
    <t>01.6. - Měření a regulace</t>
  </si>
  <si>
    <t>D1 - MaR pro VZT</t>
  </si>
  <si>
    <t xml:space="preserve">    D2 - A1 - DODÁVKA ZARIADENÍ MaR</t>
  </si>
  <si>
    <t xml:space="preserve">    D3 - A2 - MONTÁŽ ZARIADENÍ MaR</t>
  </si>
  <si>
    <t xml:space="preserve">    D4 - B1 - NOSNÝ MATERIÁL</t>
  </si>
  <si>
    <t xml:space="preserve">    D5 - B2 - MONTÁŽ NOSNÉHO MATERIÁLU</t>
  </si>
  <si>
    <t xml:space="preserve">    D6 - B3 - MONTÁŽNE PRIRÁŽKY</t>
  </si>
  <si>
    <t xml:space="preserve">    D7 - B4 - MATERIÁLOVÉ PRIRÁŽKY</t>
  </si>
  <si>
    <t xml:space="preserve">    D8 - B5 - LEŠENIE</t>
  </si>
  <si>
    <t>01.6.</t>
  </si>
  <si>
    <t>Měření a regulace</t>
  </si>
  <si>
    <t>MaR pro VZT</t>
  </si>
  <si>
    <t>A1 - DODÁVKA ZARIADENÍ MaR</t>
  </si>
  <si>
    <t>Pol367</t>
  </si>
  <si>
    <t>Kanálový snímač teploty s príslušenstvom, snímací prvok: LG-Ni 1000, BNV</t>
  </si>
  <si>
    <t>Pol368</t>
  </si>
  <si>
    <t>Odporový snímač teploty s jímkou (s prevodníkom Pt100/4-20mA), BNV</t>
  </si>
  <si>
    <t>Pol369</t>
  </si>
  <si>
    <t>Protimrazový termostat -5...15 °C, kapilára ..m, s manuál. nastav.</t>
  </si>
  <si>
    <t>Pol370</t>
  </si>
  <si>
    <t>Vysielač tlakovej diferencie, pripojenie PE 6x4, výstup 0-10V, BNV</t>
  </si>
  <si>
    <t>Pol371</t>
  </si>
  <si>
    <t>Diferenční tlakový spínač, pripojenie PE 6x4, výstup kontakt, BNV</t>
  </si>
  <si>
    <t>Pol372</t>
  </si>
  <si>
    <t>Kanálový snímač a prevodník rel. vlhkosti pre VZT potrubie, výstup 4-20mA, BNV</t>
  </si>
  <si>
    <t>Pol373</t>
  </si>
  <si>
    <t>Elektropohon pre on-off VZT klapku, 24VAC, BNV</t>
  </si>
  <si>
    <t>Pol374</t>
  </si>
  <si>
    <t>Regulačný elektropohon pre VZT klapku, 0-10V, 24VAC, BNV</t>
  </si>
  <si>
    <t>Pol375</t>
  </si>
  <si>
    <t>Jednofázový bezpečnostný transformátor 230VAC/24VAC, 250VA</t>
  </si>
  <si>
    <t>Pol376</t>
  </si>
  <si>
    <t>Rozvádzač RV 9.1.1 pole č.2 (šxvxh : 800x2000x400) s príslušenstvom (svietidlo, zásuvka, ventilátor ...)</t>
  </si>
  <si>
    <t>Pol377</t>
  </si>
  <si>
    <t>Riadíací systém - (HW,SW,oživenie montáž...) - podstanica, kom.rozhranie,nap.modul, I/O moduly, adresné klúče, ethernet switch, Patch kábel</t>
  </si>
  <si>
    <t>Pol378</t>
  </si>
  <si>
    <t>Napájací zdroj, výstup 24VDC, 1,5A</t>
  </si>
  <si>
    <t>Pol379</t>
  </si>
  <si>
    <t>Relé, 2P/8A, cievka 24V~, s paticou a sponou</t>
  </si>
  <si>
    <t>Pol380</t>
  </si>
  <si>
    <t>Prepäťová ochrana  DA-275 DF 16 S</t>
  </si>
  <si>
    <t>Pol381</t>
  </si>
  <si>
    <t>Prepäťová ochrana pre Ethernet</t>
  </si>
  <si>
    <t>A2 - MONTÁŽ ZARIADENÍ MaR</t>
  </si>
  <si>
    <t>Pol382</t>
  </si>
  <si>
    <t>Montáž teplomeru</t>
  </si>
  <si>
    <t>Pol383</t>
  </si>
  <si>
    <t>Montáž snímača tlakovej diferencie</t>
  </si>
  <si>
    <t>Pol384</t>
  </si>
  <si>
    <t>Montáž snímača a převodníku vlhkosti</t>
  </si>
  <si>
    <t>Pol385</t>
  </si>
  <si>
    <t>Montáž elektropohonu na VZT klapku  (on/off, reg.)</t>
  </si>
  <si>
    <t>Pol386</t>
  </si>
  <si>
    <t>Montáž napájacieho zdroja</t>
  </si>
  <si>
    <t>Pol387</t>
  </si>
  <si>
    <t>Montáž transformátora</t>
  </si>
  <si>
    <t>Pol388</t>
  </si>
  <si>
    <t>Montáž rozvádzača</t>
  </si>
  <si>
    <t>Pol389</t>
  </si>
  <si>
    <t>Montáž prep. ochrany</t>
  </si>
  <si>
    <t>Pol390</t>
  </si>
  <si>
    <t>Montáž relé</t>
  </si>
  <si>
    <t>Pol391</t>
  </si>
  <si>
    <t>Prvotná kontrola a nastavenie MaR zariadení, individuálne skúšky, kalibrácie, oživenie, zaškolenie obsluhy</t>
  </si>
  <si>
    <t>B1 - NOSNÝ MATERIÁL</t>
  </si>
  <si>
    <t>Pol392</t>
  </si>
  <si>
    <t>Výzbroj rozvádzača (prevodníky, svorky, lišty, žlaby ....)</t>
  </si>
  <si>
    <t>Pol393</t>
  </si>
  <si>
    <t>Kábel Cu signálny JYTY 2x1</t>
  </si>
  <si>
    <t>Pol394</t>
  </si>
  <si>
    <t>Kábel Cu signálny JYTY 3x1</t>
  </si>
  <si>
    <t>Pol395</t>
  </si>
  <si>
    <t>Kábel Cu signálny JYTY 4x1</t>
  </si>
  <si>
    <t>Pol396</t>
  </si>
  <si>
    <t>Napájací kábel Cu 750V : CYKY-J 3x2,5</t>
  </si>
  <si>
    <t>Pol397</t>
  </si>
  <si>
    <t>Vodič CYA/H05V-K 0.50 čierna</t>
  </si>
  <si>
    <t>Pol398</t>
  </si>
  <si>
    <t>Vodič CYA/H07V-K 1.5 čierna</t>
  </si>
  <si>
    <t>Pol399</t>
  </si>
  <si>
    <t>Vodič CYA/H07V-K 4 žlto-zelená</t>
  </si>
  <si>
    <t>Pol400</t>
  </si>
  <si>
    <t>Rúrka el-inšt pancier. pr.16</t>
  </si>
  <si>
    <t>Pol401</t>
  </si>
  <si>
    <t>Rúrka el-inšt pancier. pr.21</t>
  </si>
  <si>
    <t>Pol402</t>
  </si>
  <si>
    <t>Žľab káblový 62/50, vrátane mont.materiálu (komplet aj s vekom, kolenami, "T" kusmi, prepážkami, spojkami so skrutkami a maticami + uchytenie žľabu)</t>
  </si>
  <si>
    <t>Pol403</t>
  </si>
  <si>
    <t>Žľab káblový 125/100, vrátane mont.materiálu (komplet aj s vekom, kolenami, "T" kusmi, prepážkami, spojkami so skrutkami a maticami + uchytenie žľabu)</t>
  </si>
  <si>
    <t>Pol404</t>
  </si>
  <si>
    <t>Protipožiarna prepážka EI 90</t>
  </si>
  <si>
    <t>Pol405</t>
  </si>
  <si>
    <t>Nosné konštrukcie a drobný materiál</t>
  </si>
  <si>
    <t>Pol406</t>
  </si>
  <si>
    <t>PE rúrka 6/4</t>
  </si>
  <si>
    <t>Pol407</t>
  </si>
  <si>
    <t>Štítok kovový označovací pre káble a rúrky</t>
  </si>
  <si>
    <t>B2 - MONTÁŽ NOSNÉHO MATERIÁLU</t>
  </si>
  <si>
    <t>Pol408</t>
  </si>
  <si>
    <t>Montáž výzbroje rozvádzača RV....</t>
  </si>
  <si>
    <t>Pol409</t>
  </si>
  <si>
    <t>Kábel signálny pevne uložený do 5x1mm</t>
  </si>
  <si>
    <t>Pol410</t>
  </si>
  <si>
    <t>Kábel napájací pevne uložený do 5x2,5</t>
  </si>
  <si>
    <t>Pol411</t>
  </si>
  <si>
    <t>Vodič Cu ranžírovací pevne uložený pr. do 4mm</t>
  </si>
  <si>
    <t>Pol412</t>
  </si>
  <si>
    <t>Rúrka pancierová upevnená na povrchu pr. 16mm</t>
  </si>
  <si>
    <t>Pol413</t>
  </si>
  <si>
    <t>Rúrka pancierová upevnená na povrchu pr 21mm</t>
  </si>
  <si>
    <t>Pol414</t>
  </si>
  <si>
    <t>Žľab 62/50mm</t>
  </si>
  <si>
    <t>Pol415</t>
  </si>
  <si>
    <t>Žľab 125/100 mm</t>
  </si>
  <si>
    <t>Pol416</t>
  </si>
  <si>
    <t>Forma káblová do dĺžky 0,5 na kábli do 5x2</t>
  </si>
  <si>
    <t>Pol417</t>
  </si>
  <si>
    <t>Montáž nosných konštrukcií a drobného materiálu</t>
  </si>
  <si>
    <t>Pol418</t>
  </si>
  <si>
    <t>Montáž rúrky z polyetylénu d  6/4 mm</t>
  </si>
  <si>
    <t>Pol419</t>
  </si>
  <si>
    <t>Montáž káblového štítku</t>
  </si>
  <si>
    <t>Pol420</t>
  </si>
  <si>
    <t>Odkrytie, zakrytie veka káblového žľabu</t>
  </si>
  <si>
    <t>B3 - MONTÁŽNE PRIRÁŽKY</t>
  </si>
  <si>
    <t>Pol421</t>
  </si>
  <si>
    <t>Doprava zariadení MaR - 3,6%</t>
  </si>
  <si>
    <t>Pol422</t>
  </si>
  <si>
    <t>Presun - 1%</t>
  </si>
  <si>
    <t>Pol423</t>
  </si>
  <si>
    <t>PPV (pomocné a podružné výkony) - 6%</t>
  </si>
  <si>
    <t>B4 - MATERIÁLOVÉ PRIRÁŽKY</t>
  </si>
  <si>
    <t>Pol424</t>
  </si>
  <si>
    <t>Doprava materiálu - 3,8%</t>
  </si>
  <si>
    <t>Pol425</t>
  </si>
  <si>
    <t>Podružný materiál - 3,15%</t>
  </si>
  <si>
    <t>Pol426</t>
  </si>
  <si>
    <t>Stratné - 5%</t>
  </si>
  <si>
    <t>Pol427</t>
  </si>
  <si>
    <t>PPV (pomocné a podružné výkony) - 5%</t>
  </si>
  <si>
    <t>B5 - LEŠENIE</t>
  </si>
  <si>
    <t>Pol428</t>
  </si>
  <si>
    <t>Montáž lešenia ľahk. radového s podlahami š. do 1,5 m v. do 10 m</t>
  </si>
  <si>
    <t>Pol429</t>
  </si>
  <si>
    <t>Príplatok za prvý a každý ďalší mesiac použitia lešenia k pol. -1051</t>
  </si>
  <si>
    <t>Pol430</t>
  </si>
  <si>
    <t>Demontáž lešenia ľahk. radového s podlahami š. do 1,5 m v. do 10 m</t>
  </si>
  <si>
    <t>Pol431</t>
  </si>
  <si>
    <t>Presun hmôt samostatne budovaného lešenia</t>
  </si>
  <si>
    <t>S02-1 - SO 02 - OAIM - ASR</t>
  </si>
  <si>
    <t>HSV - HSV - Práce a dodávky HSV</t>
  </si>
  <si>
    <t xml:space="preserve">    1 - 1 - Zemné práce</t>
  </si>
  <si>
    <t xml:space="preserve">    2 - 2 - Zakladanie</t>
  </si>
  <si>
    <t xml:space="preserve">    3 - 3 - Zvislé a kompletné konštrukcie</t>
  </si>
  <si>
    <t xml:space="preserve">    4 - 4 - Vodorovné konštrukcie</t>
  </si>
  <si>
    <t xml:space="preserve">    5 - 5 - Komunikácie</t>
  </si>
  <si>
    <t xml:space="preserve">    6 - 6 - Úpravy povrchov, podlahy, osadenie</t>
  </si>
  <si>
    <t xml:space="preserve">    9 - 9 - Ostatné konštrukcie a práce-búranie</t>
  </si>
  <si>
    <t xml:space="preserve">    99 - 99 - Presun hmôt HSV</t>
  </si>
  <si>
    <t>PSV - PSV - Práce a dodávky PSV</t>
  </si>
  <si>
    <t xml:space="preserve">    712 - 712 - Izolácie striech</t>
  </si>
  <si>
    <t xml:space="preserve">    763 - 763 - Konštrukcie - drevostavby</t>
  </si>
  <si>
    <t xml:space="preserve">    767 - 767 - Konštrukcie doplnkové kovové</t>
  </si>
  <si>
    <t xml:space="preserve">    771 - 771 - Podlahy z dlaždíc</t>
  </si>
  <si>
    <t xml:space="preserve">    777 - 777 - Podlahy syntetické</t>
  </si>
  <si>
    <t xml:space="preserve">    781 - 781 - Dokončovacie práce a obklady</t>
  </si>
  <si>
    <t xml:space="preserve">    784 - 784 - Dokončovacie práce - maľby</t>
  </si>
  <si>
    <t>M - M - Práce a dodávky M</t>
  </si>
  <si>
    <t xml:space="preserve">    43-M - 43-M - Montáž oceľových konštrukcií</t>
  </si>
  <si>
    <t>HSV - Práce a dodávky HSV</t>
  </si>
  <si>
    <t>1 - Zemné práce</t>
  </si>
  <si>
    <t>113107141</t>
  </si>
  <si>
    <t>Odstránenie  krytu v ploche do 200 m2 asfaltového, hr. vrstvy do 50 mm,  -0,09800t</t>
  </si>
  <si>
    <t>113307112</t>
  </si>
  <si>
    <t>Odstránenie podkladu v ploche do 200m2 z kameniva ťaženého, hr.100- 200mm,  -0,24000t</t>
  </si>
  <si>
    <t>113307131</t>
  </si>
  <si>
    <t>Odstránenie podkladu v ploche do 200 m2 z betónu prostého, hr. vrstvy do 150 mm,  -0,22500t</t>
  </si>
  <si>
    <t>121101111</t>
  </si>
  <si>
    <t>Odstránenie ornice s vodor. premiestn. na hromady, so zložením na vzdialenosť do 100 m a do 100m3</t>
  </si>
  <si>
    <t>131201102</t>
  </si>
  <si>
    <t>Výkop nezapaženej jamy v hornine 3 ( HTÚ po úroveň -0,63m _</t>
  </si>
  <si>
    <t>131201109</t>
  </si>
  <si>
    <t>Hĺbenie nezapažených jám a zárezov. Príplatok za lepivosť horniny 3</t>
  </si>
  <si>
    <t>132201202</t>
  </si>
  <si>
    <t>Výkop ryhy šírky 600-2000mm horn.3 od 100 do 1000 m3</t>
  </si>
  <si>
    <t>132201209</t>
  </si>
  <si>
    <t>Príplatok k cenám za lepivosť pri hĺbení rýh š. nad 600 do 2 000 mm zapažených i nezapažených, s urovnaním dna v hornine 3</t>
  </si>
  <si>
    <t>162201102</t>
  </si>
  <si>
    <t>Vodorovné premiestnenie výkopku z horniny 1-4 nad 20-50m</t>
  </si>
  <si>
    <t>162501122</t>
  </si>
  <si>
    <t>Vodorovné premiestnenie výkopku  po spevnenej ceste z  horniny tr.1-4  do 20km</t>
  </si>
  <si>
    <t>171209002</t>
  </si>
  <si>
    <t>Poplatok za skladovanie - zemina a kamenivo (17 05) ostatné</t>
  </si>
  <si>
    <t>174101001</t>
  </si>
  <si>
    <t>Zásyp sypaninou so zhutnením jám, šachiet, rýh, zárezov alebo okolo objektov</t>
  </si>
  <si>
    <t>5834351000</t>
  </si>
  <si>
    <t>Kamenivo drvené hrubé ( zásyp oporného múra )</t>
  </si>
  <si>
    <t>180402111</t>
  </si>
  <si>
    <t>Založenie trávnika parkového výsevom v rovine do 1:5</t>
  </si>
  <si>
    <t>0057211200</t>
  </si>
  <si>
    <t>Trávové semeno - parková zmes</t>
  </si>
  <si>
    <t>181301102</t>
  </si>
  <si>
    <t>Rozprestretie ornice v rovine, plocha do 500 m2,hr.do 150 mm</t>
  </si>
  <si>
    <t>181301102.1</t>
  </si>
  <si>
    <t>Planírovanie ornice</t>
  </si>
  <si>
    <t>184102113</t>
  </si>
  <si>
    <t>Výsadba dreviny s balom v rovine alebo na svahu do 1:5 vrátane vykopania jamky</t>
  </si>
  <si>
    <t>0266205715</t>
  </si>
  <si>
    <t>Borievka čínska - Juniperus chinensis</t>
  </si>
  <si>
    <t>0266202270</t>
  </si>
  <si>
    <t>Skalník rozprestretý - Cotoneaster horizontalis; listnatý krík dekoratívny kvetom, plodom</t>
  </si>
  <si>
    <t>2 - Zakladanie</t>
  </si>
  <si>
    <t>212752125</t>
  </si>
  <si>
    <t>Trativody z flexodrenážnych rúr DN 100</t>
  </si>
  <si>
    <t>271533001</t>
  </si>
  <si>
    <t>Násyp pod základové  konštrukcie so zhutnením z  kameniva hrubého drveného fr.32-63 mm</t>
  </si>
  <si>
    <t>273321211</t>
  </si>
  <si>
    <t>Betón základových dosiek, železový (bez výstuže), tr.C 12/15</t>
  </si>
  <si>
    <t>273362422</t>
  </si>
  <si>
    <t>Výstuž základových dosiek zo zvár. sietí KARI, priemer drôtu 6/6 mm, veľkosť oka 150x150 mm</t>
  </si>
  <si>
    <t>27432131pc</t>
  </si>
  <si>
    <t>Betón základových konštrukcií železový vrátane oporného múru</t>
  </si>
  <si>
    <t>274351216</t>
  </si>
  <si>
    <t>Debnenie stien základových konštrukcií vrátane oporného múru, odstránenie-dielce</t>
  </si>
  <si>
    <t>27435121pc</t>
  </si>
  <si>
    <t>Debnenie základových konštrukcií vrátane oporného múru, zhotovenie-dielce</t>
  </si>
  <si>
    <t>27436182pc</t>
  </si>
  <si>
    <t>Výstuž základových konštrukcií vrátane oporného múru z ocele 10505</t>
  </si>
  <si>
    <t>3 - Zvislé a kompletné konštrukcie</t>
  </si>
  <si>
    <t>312272120</t>
  </si>
  <si>
    <t>Murivo výplňové (m3) z tvárnic hr. 200 mm</t>
  </si>
  <si>
    <t>312273551</t>
  </si>
  <si>
    <t>Murivo výplňové (m3) z tvárnic hr. 300 mm</t>
  </si>
  <si>
    <t>317321411</t>
  </si>
  <si>
    <t>Betón prekladov a vencov železový (bez výstuže) tr.C 25/30</t>
  </si>
  <si>
    <t>317351101</t>
  </si>
  <si>
    <t>Debnenie klenbových pásov valcových vrátane podpernej konštrukcie do výšky 4m zhotovenie</t>
  </si>
  <si>
    <t>317351102</t>
  </si>
  <si>
    <t>Debnenie klenbových pásov valcových vrátane podpernej konštrukcie do výšky 4m odstránenie</t>
  </si>
  <si>
    <t>317361821</t>
  </si>
  <si>
    <t>Výstuž prekladov z ocele 10505</t>
  </si>
  <si>
    <t>331321610</t>
  </si>
  <si>
    <t>Betón stĺpov a pilierov hranatých, ťahadiel, rámových stojok, vzpier, železový (bez výstuže) tr.C 30/37</t>
  </si>
  <si>
    <t>331351101</t>
  </si>
  <si>
    <t>Debnenie hranatých stĺpov prierezu pravouhlého štvoruholníka výšky do 4 m, zhotovenie-dielce</t>
  </si>
  <si>
    <t>331351102</t>
  </si>
  <si>
    <t>Debnenie hranatých stĺpov prierezu pravouhlého štvoruholníka výšky do 4 m, odstránenie-dielce</t>
  </si>
  <si>
    <t>331361821</t>
  </si>
  <si>
    <t>Výstuž stĺpov, pilierov, stojok hranatých z bet. ocele 10505</t>
  </si>
  <si>
    <t>341321610</t>
  </si>
  <si>
    <t>Betón stien a priečok, železový (bez výstuže) tr.C 30/37</t>
  </si>
  <si>
    <t>341351105</t>
  </si>
  <si>
    <t>Debnenie stien a priečok  obojstranné zhotovenie-dielce</t>
  </si>
  <si>
    <t>341351106</t>
  </si>
  <si>
    <t>Debnenie stien a priečok  obojstranné odstránenie-dielce</t>
  </si>
  <si>
    <t>341361821</t>
  </si>
  <si>
    <t>Výstuž  stien a priečok 10505</t>
  </si>
  <si>
    <t>342272102</t>
  </si>
  <si>
    <t>Priečky z tvárnic hr. 100 mm vrátane prekladov</t>
  </si>
  <si>
    <t>342272104</t>
  </si>
  <si>
    <t>Priečky z tvárnic hr. 150 mm vrátane prekladov</t>
  </si>
  <si>
    <t>4 - Vodorovné konštrukcie</t>
  </si>
  <si>
    <t>411321616</t>
  </si>
  <si>
    <t>Betón stropov doskových a trámových,  železový tr.C 30/37</t>
  </si>
  <si>
    <t>411351101</t>
  </si>
  <si>
    <t>Debnenie stropov doskových zhotovenie-dielce</t>
  </si>
  <si>
    <t>411351102</t>
  </si>
  <si>
    <t>Debnenie stropov doskových odstránenie-dielce</t>
  </si>
  <si>
    <t>411354173</t>
  </si>
  <si>
    <t>Podporná konštrukcia stropov výšky do 4 m pre zaťaženie do 12 kPa zhotovenie</t>
  </si>
  <si>
    <t>411354174</t>
  </si>
  <si>
    <t>Podporná konštrukcia stropov výšky do 4 m pre zaťaženie do 12 kPa odstránenie</t>
  </si>
  <si>
    <t>411361821</t>
  </si>
  <si>
    <t>Výstuž stropov doskových, trámových, vložkových,konzolových alebo balkónových, 10505</t>
  </si>
  <si>
    <t>CS CENEKON 2018 01</t>
  </si>
  <si>
    <t>-997650746</t>
  </si>
  <si>
    <t>5 - Komunikácie</t>
  </si>
  <si>
    <t>564801112</t>
  </si>
  <si>
    <t>Podklad zo štrkodrviny s rozprestrením a zhutnením po zhutnení hr. 40 mm</t>
  </si>
  <si>
    <t>564831111</t>
  </si>
  <si>
    <t>Podklad zo štrkodrviny s rozprestrením a zhutnením po zhutnení hr. 100 mm</t>
  </si>
  <si>
    <t>56712211pc</t>
  </si>
  <si>
    <t>Podklad z kameniva spevneného cementom, s rozprestrením a zhutnením KZC I, po zhutnení hr. 100 mm</t>
  </si>
  <si>
    <t>596911112</t>
  </si>
  <si>
    <t>Kladenie zámkovej dlažby  hr. 6 cm pre peších nad 20 m2</t>
  </si>
  <si>
    <t>5921952360</t>
  </si>
  <si>
    <t>Dodávka betónovej dlažby hr. 6cm</t>
  </si>
  <si>
    <t>6 - Úpravy povrchov, podlahy, osadenie</t>
  </si>
  <si>
    <t>612465110</t>
  </si>
  <si>
    <t>Cementový Prednástrek</t>
  </si>
  <si>
    <t>612465131</t>
  </si>
  <si>
    <t>Vápennocementová omietka</t>
  </si>
  <si>
    <t>622464232</t>
  </si>
  <si>
    <t>Vonkajšia omietka stien tenkovrstvová škrabaná</t>
  </si>
  <si>
    <t>622464310</t>
  </si>
  <si>
    <t>Vonkajšia omietka stien mozaiková , ručné miešanie a nanášanie, Mozaiková omietka</t>
  </si>
  <si>
    <t>622466114</t>
  </si>
  <si>
    <t>Príprava vonkajšieho podkladu stien , Regulátor nasiakavosti</t>
  </si>
  <si>
    <t>62525135pc</t>
  </si>
  <si>
    <t>Kontaktný zatepľovací systém hr. 150 mm - minerálne riešenie, zatĺkacie kotvy</t>
  </si>
  <si>
    <t>625251405</t>
  </si>
  <si>
    <t>Kontaktný zatepľovací systém hr. 100 mm  - riešenie pre sokel (XPS), zatĺkacie kotvy</t>
  </si>
  <si>
    <t>631362412</t>
  </si>
  <si>
    <t>Výstuž mazanín z betónov (z kameniva) a z ľahkých betónov, zo zváraných sietí KARI, priemer drôtu 5/5 mm, veľkosť oka 150x150 mm</t>
  </si>
  <si>
    <t>631571003</t>
  </si>
  <si>
    <t>Násyp zo štrkopiesku 0-32 (pre spevnenie podkladu)</t>
  </si>
  <si>
    <t>631571010</t>
  </si>
  <si>
    <t>Násyp z kameniva ťaženého na plochých strechách vodorovný alebo v spáde, s utlačením  urovnaním povrchu</t>
  </si>
  <si>
    <t>632450340pp</t>
  </si>
  <si>
    <t>Samonivelizačná podlahová stierka, hr. 22 mm</t>
  </si>
  <si>
    <t>632450425pp</t>
  </si>
  <si>
    <t>Cementový poter, hr. 55 mm</t>
  </si>
  <si>
    <t>632450427pp</t>
  </si>
  <si>
    <t>Cementový poter, hr. 65 mm</t>
  </si>
  <si>
    <t>632450431pp</t>
  </si>
  <si>
    <t>Cementový poter hr. 80 mm vyhladený</t>
  </si>
  <si>
    <t>9 - Ostatné konštrukcie a práce-búranie</t>
  </si>
  <si>
    <t>941941031</t>
  </si>
  <si>
    <t>Montáž lešenia ľahkého pracovného radového s podlahami šírky od 0,80 do 1,00 m, výšky do 10 m</t>
  </si>
  <si>
    <t>941941191</t>
  </si>
  <si>
    <t>Príplatok za prvý a každý ďalší i začatý mesiac použitia lešenia ľahkého pracovného radového s podlahami šírky od 0,80 do 1,00 m, výšky do 10 m</t>
  </si>
  <si>
    <t>941941831</t>
  </si>
  <si>
    <t>Demontáž lešenia ľahkého pracovného radového s podlahami šírky nad 0,80 do 1,00 m, výšky do 10 m</t>
  </si>
  <si>
    <t>941955001</t>
  </si>
  <si>
    <t>Lešenie ľahké pracovné pomocné, s výškou lešeňovej podlahy do 1,20 m</t>
  </si>
  <si>
    <t>952901111</t>
  </si>
  <si>
    <t>Vyčistenie budov pri výške podlaží do 4m</t>
  </si>
  <si>
    <t>962032231</t>
  </si>
  <si>
    <t>Búranie muriva nadzákladového z tehál pálených, vápenopieskových,cementových na maltu,  -1,90500t</t>
  </si>
  <si>
    <t>963051113</t>
  </si>
  <si>
    <t>Búranie železobetónových stropov doskových hr.nad 80 mm,  -2,40000t</t>
  </si>
  <si>
    <t>965043341</t>
  </si>
  <si>
    <t>Búranie podkladov pod dlažby, liatych dlažieb a mazanín,betón s poterom,teracom</t>
  </si>
  <si>
    <t>9680623pc</t>
  </si>
  <si>
    <t>Vybúranie drevených rámov okien dvojitých alebo zdvojených</t>
  </si>
  <si>
    <t>979081111</t>
  </si>
  <si>
    <t>Odvoz sutiny a vybúraných hmôt na skládku do 20 km</t>
  </si>
  <si>
    <t>979089012</t>
  </si>
  <si>
    <t>Poplatok za skladovanie - betón, tehly, dlaždice (17 01 ), ostatné</t>
  </si>
  <si>
    <t>99 - Presun hmôt HSV</t>
  </si>
  <si>
    <t>998011002</t>
  </si>
  <si>
    <t>Presun hmôt pre budovy JKSO 801, 803,812,zvislá konštr.z tehál,tvárnic,z kovu výšky do 12 m</t>
  </si>
  <si>
    <t>PSV - Práce a dodávky PSV</t>
  </si>
  <si>
    <t>71111100pc</t>
  </si>
  <si>
    <t>Zhotovenie izolácie proti zemnej vlhkosti vodorovná náterom penetračným za studena</t>
  </si>
  <si>
    <t>11163150pc</t>
  </si>
  <si>
    <t>Penetračný náter</t>
  </si>
  <si>
    <t>711111015pp</t>
  </si>
  <si>
    <t>Izolácia proti zemnej vlhkosti,povrchovej a tlakovej vode do 1,5bar jednozložkovým HI tmelom</t>
  </si>
  <si>
    <t>711131103</t>
  </si>
  <si>
    <t>Zhotovenie  izolácie proti zemnej vlhkosti vodorovne, separačná fólia na sucho</t>
  </si>
  <si>
    <t>2832210100pp</t>
  </si>
  <si>
    <t>Separačná fólia</t>
  </si>
  <si>
    <t>711141559</t>
  </si>
  <si>
    <t>Zhotovenie  izolácie proti zemnej vlhkosti a tlakovej vode vodorovná NAIP pritavením</t>
  </si>
  <si>
    <t>62832289pp</t>
  </si>
  <si>
    <t>62832290pp</t>
  </si>
  <si>
    <t>711142101</t>
  </si>
  <si>
    <t>Izolácia proti zemnej vlhkosti s protiradarovou odolnosťou šírka 2 m zvislá</t>
  </si>
  <si>
    <t>711212501</t>
  </si>
  <si>
    <t>Tekutá hydroizolácia dvojnásobna</t>
  </si>
  <si>
    <t>998711202</t>
  </si>
  <si>
    <t>Presun hmôt pre izoláciu proti vode v objektoch výšky nad 6 do 12 m</t>
  </si>
  <si>
    <t>712</t>
  </si>
  <si>
    <t>712 - Izolácie striech</t>
  </si>
  <si>
    <t>712290010</t>
  </si>
  <si>
    <t>Zhotovenie parozábrany pre strechy ploché do 10°</t>
  </si>
  <si>
    <t>28329901pp</t>
  </si>
  <si>
    <t>Parozábrana</t>
  </si>
  <si>
    <t>712370050</t>
  </si>
  <si>
    <t>Zhotovenie povlakovej krytiny striech plochých do 10°PVC-P fóliou</t>
  </si>
  <si>
    <t>28330001pc</t>
  </si>
  <si>
    <t>Fólia PVC</t>
  </si>
  <si>
    <t>712990040</t>
  </si>
  <si>
    <t>Položenie geotextílie vodorovne alebo zvislo na strechy ploché do 10°</t>
  </si>
  <si>
    <t>6936651300</t>
  </si>
  <si>
    <t>Geotextília netkaná polypropylénová PP   300</t>
  </si>
  <si>
    <t>998712202</t>
  </si>
  <si>
    <t>Presun hmôt pre izoláciu povlakovej krytiny v objektoch výšky nad 6 do 12 m</t>
  </si>
  <si>
    <t>713122111</t>
  </si>
  <si>
    <t>Montáž tepelnej izolácie podláh polystyrénom, kladeným voľne v jednej vrstve</t>
  </si>
  <si>
    <t>2837653442</t>
  </si>
  <si>
    <t>EPS 150S penový polystyrén hrúbka 100 mm</t>
  </si>
  <si>
    <t>713122121</t>
  </si>
  <si>
    <t>Montáž tepelnej izolácie podláh polystyrénom, kladeným voľne v dvoch vrstvách</t>
  </si>
  <si>
    <t>2837650280</t>
  </si>
  <si>
    <t>Extrudovaný polystyrén - XPS hrúbka 100mm ( 300kPa )</t>
  </si>
  <si>
    <t>713142160</t>
  </si>
  <si>
    <t>Montáž tepelnej izolácie striech plochých do 10° spádovými doskami z polystyrénu v jednej vrstve</t>
  </si>
  <si>
    <t>2837653502</t>
  </si>
  <si>
    <t>EPS spádová doska  spádový penový polystyrén 150S</t>
  </si>
  <si>
    <t>713142255</t>
  </si>
  <si>
    <t>Montáž TI striech plochých do 10° polystyrénom, rozloženej v dvoch vrstvách, prikotvením</t>
  </si>
  <si>
    <t>2837653444</t>
  </si>
  <si>
    <t>EPS 150S penový polystyrén hrúbka 140 mm</t>
  </si>
  <si>
    <t>998713202</t>
  </si>
  <si>
    <t>Presun hmôt pre izolácie tepelné v objektoch výšky nad 6 m do 12 m</t>
  </si>
  <si>
    <t>763 - Konštrukcie - drevostavby</t>
  </si>
  <si>
    <t>763135080</t>
  </si>
  <si>
    <t>Kazetový podhľad 600 x 600 mm</t>
  </si>
  <si>
    <t>763138220</t>
  </si>
  <si>
    <t>Podhľad SDK RB 12.5 mm závesný, dvojúrovňová oceľová podkonštrukcia CD</t>
  </si>
  <si>
    <t>763138222</t>
  </si>
  <si>
    <t>Podhľad SDK RBI 12.5 mm závesný, dvojúrovňová oceľová podkonštrukcia CD</t>
  </si>
  <si>
    <t>998763403</t>
  </si>
  <si>
    <t>Presun hmôt pre sádrokartónové konštrukcie v stavbách(objektoch )výšky od 7 do 24 m</t>
  </si>
  <si>
    <t>766_01</t>
  </si>
  <si>
    <t>Dodávka a montáž drevených dverí 600x1970 vrátane zárubne a kovania ( pol. 01 v zmysle PD )</t>
  </si>
  <si>
    <t>766_02</t>
  </si>
  <si>
    <t>Dodávka a montáž drevených dverí 800x1970 vrátane zárubne a kovania ( pol. 02 v zmysle PD )</t>
  </si>
  <si>
    <t>766_03</t>
  </si>
  <si>
    <t>Dodávka a montáž drevených dverí 900x1970 vrátane zárubne a kovania ( pol. 03 v zmysle PD )</t>
  </si>
  <si>
    <t>766_04</t>
  </si>
  <si>
    <t>Dodávka a montáž drevených dverí 1100x1970 vrátane zárubne a kovania ( pol. 04 v zmysle PD )</t>
  </si>
  <si>
    <t>766_05</t>
  </si>
  <si>
    <t>Dodávka a montáž drevených dverí 700x1970 vrátane zárubne, kovania a púzdra ( pol. 05 v zmysle PD )</t>
  </si>
  <si>
    <t>766_06</t>
  </si>
  <si>
    <t>Dodávka a montáž drevených dverí 1450x2100mm vrátane zárubne a kovania ( pol. 06 v zmysle PD )</t>
  </si>
  <si>
    <t>766_06_</t>
  </si>
  <si>
    <t>Dodávka a montáž drevených dverí s požiarnou odolnosťou EW30/D3-C so samozatváračom,1450x2100mm vrátane zárubne a kovania ( pol. 06* v zmysle PD )</t>
  </si>
  <si>
    <t>766_21</t>
  </si>
  <si>
    <t>Dodávka a montáž plastového okna 600x600mm vrátane parapetov ( pol. 21 v zmysle PD )</t>
  </si>
  <si>
    <t>766_22</t>
  </si>
  <si>
    <t>Dodávka a montáž plastového okna 1200x1500mm vrátane parapetov ( pol. 22 v zmysle PD )</t>
  </si>
  <si>
    <t>766_23</t>
  </si>
  <si>
    <t>Dodávka a montáž plastového okna 1500x1500mm vrátane parapetov ( pol. 23 v zmysle PD )</t>
  </si>
  <si>
    <t>766_24</t>
  </si>
  <si>
    <t>Dodávka a montáž plastového okna 2100x1500mm vrátane parapetov ( pol. 24 v zmysle PD )</t>
  </si>
  <si>
    <t>766_25</t>
  </si>
  <si>
    <t>Dodávka a montáž plastového okna 2400x1500mm vrátane parapetov ( pol. 25 v zmysle PD )</t>
  </si>
  <si>
    <t>766_26</t>
  </si>
  <si>
    <t>Dodávka a montáž plastového okna 2400x1200mm vrátane parapetov ( pol. 26 v zmysle PD )</t>
  </si>
  <si>
    <t>766_27</t>
  </si>
  <si>
    <t>Dodávka a montáž plastového okna 2850x1000mm vrátane parapetov ( pol. 27 v zmysle PD )</t>
  </si>
  <si>
    <t>766_28</t>
  </si>
  <si>
    <t>Dodávka a montáž plastového okna 1800x2400 mm vrátane parapetov ( pol. 28 v zmysle PD )</t>
  </si>
  <si>
    <t>766_ac_A</t>
  </si>
  <si>
    <t>Dodávka a montáž ochranných prvkov klučky ( polmesiac pol. A )</t>
  </si>
  <si>
    <t>766_ac_B</t>
  </si>
  <si>
    <t>Dodávka a montáž ochranných madla HRB 35 ( pol. B )</t>
  </si>
  <si>
    <t>766_ac_C</t>
  </si>
  <si>
    <t>Dodávka a montáž ochranných pásov TP 300 ( pol. C )</t>
  </si>
  <si>
    <t>766_ac_D</t>
  </si>
  <si>
    <t>Dodávka a montáž ochranných rohov SO 75 ( pol. D )</t>
  </si>
  <si>
    <t>766_pc01</t>
  </si>
  <si>
    <t>Dodávka a montáž svetlovodu</t>
  </si>
  <si>
    <t>766_pc02</t>
  </si>
  <si>
    <t>Dodávka a montáž montovanej priečky MP1</t>
  </si>
  <si>
    <t>766_pc03</t>
  </si>
  <si>
    <t>Dodávka a montáž montovanej priečky MP2</t>
  </si>
  <si>
    <t>998766202</t>
  </si>
  <si>
    <t>Presun hmot pre konštrukcie stolárske v objektoch výšky nad 6 do 12 m</t>
  </si>
  <si>
    <t>767 - Konštrukcie doplnkové kovové</t>
  </si>
  <si>
    <t>767_07</t>
  </si>
  <si>
    <t>Dodávka a montáž hliníkových dverí 1600x2350mm  ( pol. 07 v zmysle PD )</t>
  </si>
  <si>
    <t>767_07_</t>
  </si>
  <si>
    <t>Dodávka a montáž hliníkových dverí 1600x2350mm s požiarnou odolnosťou EW30/D3-C so samozatváračom  ( pol. 07* v zmysle PD )</t>
  </si>
  <si>
    <t>767_08</t>
  </si>
  <si>
    <t>Dodávka a montáž hliníkových dverí so svetlíkom 2700x2350mm  ( pol. 08 v zmysle PD )</t>
  </si>
  <si>
    <t>767_08_</t>
  </si>
  <si>
    <t>Dodávka a montáž hliníkových dverí so svetlíkom 2700x2350mm s požiarnou odolnosťou EW30/D3-C so samozatváračom  ( pol. 08* v zmysle PD )</t>
  </si>
  <si>
    <t>767_29</t>
  </si>
  <si>
    <t>Dodávka a montáž hliníkovej zasklenej steny 3350x2400 s dverami ( pol. 29 v zmysle PD )</t>
  </si>
  <si>
    <t>767_30</t>
  </si>
  <si>
    <t>Dodávka a montáž hliníkovej zasklenej steny 10795x2038mm ( pol. 30 v zmysle PD )</t>
  </si>
  <si>
    <t>767_31</t>
  </si>
  <si>
    <t>Dodávka a montáž hliníkovej zasklenej steny 10795x2296mm ( pol. 31 v zmysle PD )</t>
  </si>
  <si>
    <t>767_32</t>
  </si>
  <si>
    <t>Dodávka a montáž hliníkových dverí 1900x2450mm  ( pol. 32 v zmysle PD )</t>
  </si>
  <si>
    <t>7674111pc1</t>
  </si>
  <si>
    <t>Dodávka a montáž opláštenia stien nadstavby sendvičovými panelmi s minerálnou výplňou hr. 100mm, vrátane lemovaní otvorov a spojov a tesnení</t>
  </si>
  <si>
    <t>7674111pc2</t>
  </si>
  <si>
    <t>Dodávka a montáž opláštenia strechy nadstavby a krčka sendvičovými panelmi s minerálnou výplňou hr. 150mm, vrátane lemovaní otvorov a spojov a tesnení</t>
  </si>
  <si>
    <t>7674pc</t>
  </si>
  <si>
    <t>Dodávka a montáž pozinkovaného zábradlia</t>
  </si>
  <si>
    <t>998767202</t>
  </si>
  <si>
    <t>Presun hmôt pre kovové stavebné doplnkové konštrukcie v objektoch výšky nad 6 do 12 m</t>
  </si>
  <si>
    <t>771 - Podlahy z dlaždíc</t>
  </si>
  <si>
    <t>771575109</t>
  </si>
  <si>
    <t>Montáž podláh z dlaždíc keramických do tmelu vrátane soklíkov</t>
  </si>
  <si>
    <t>5978650320</t>
  </si>
  <si>
    <t>Dodávka dlažby vrátane soklíkov</t>
  </si>
  <si>
    <t>998771202</t>
  </si>
  <si>
    <t>Presun hmôt pre podlahy z dlaždíc v objektoch výšky nad 6 do 12 m</t>
  </si>
  <si>
    <t>77652120pc</t>
  </si>
  <si>
    <t>Lepenie povlakových podláh z plastov PVC vrátane soklíkov</t>
  </si>
  <si>
    <t>2841291570</t>
  </si>
  <si>
    <t>Antistatická podlahovina vrátane soklíkov</t>
  </si>
  <si>
    <t>998776202</t>
  </si>
  <si>
    <t>Presun hmôt pre podlahy povlakové v objektoch výšky nad 6 do 12 m</t>
  </si>
  <si>
    <t>777</t>
  </si>
  <si>
    <t>777 - Podlahy syntetické</t>
  </si>
  <si>
    <t>77761521pc</t>
  </si>
  <si>
    <t>Nátery podláh betónových dvojnásobný umývateľný</t>
  </si>
  <si>
    <t>998777202</t>
  </si>
  <si>
    <t>Presun hmôt pre podlahy syntetické v objektoch výšky nad 6 do 12 m</t>
  </si>
  <si>
    <t>781 - Dokončovacie práce a obklady</t>
  </si>
  <si>
    <t>781415025</t>
  </si>
  <si>
    <t>Montáž obkladov vnútor. stien kladených do tmelu pravouhlých</t>
  </si>
  <si>
    <t>5978152pc</t>
  </si>
  <si>
    <t>Dodávka keramického obkladu</t>
  </si>
  <si>
    <t>998781202</t>
  </si>
  <si>
    <t>Presun hmôt pre obklady keramické v objektoch výšky nad 6 do 12 m</t>
  </si>
  <si>
    <t>784</t>
  </si>
  <si>
    <t>784 - Dokončovacie práce - maľby</t>
  </si>
  <si>
    <t>7844300pc</t>
  </si>
  <si>
    <t>Maľby a nátery dvojnásobné</t>
  </si>
  <si>
    <t>M - Práce a dodávky M</t>
  </si>
  <si>
    <t>43-M</t>
  </si>
  <si>
    <t>43-M - Montáž oceľových konštrukcií</t>
  </si>
  <si>
    <t>4301pc</t>
  </si>
  <si>
    <t>Dodávka a montáž oceľovej pozinkovanej konštrukcie nadstavby a spoj. krčka vrátane kotvenia a protipožiarného náteru s odolnosťou min. 15 min</t>
  </si>
  <si>
    <t>S02-2 - SO 02 - OAIM - ZTI</t>
  </si>
  <si>
    <t>13220-1101</t>
  </si>
  <si>
    <t>Hĺbenie rýh šírka do 60 cm v horn. tr. 3 do 100 m3</t>
  </si>
  <si>
    <t>13220-1109</t>
  </si>
  <si>
    <t>Príplatok za lepivosť horniny tr. 3 v rýhach š. do 60 cm</t>
  </si>
  <si>
    <t>16710-1101</t>
  </si>
  <si>
    <t>Nakladanie výkopku do 100 m3 v horn. tr. 1-4</t>
  </si>
  <si>
    <t>17120-1210</t>
  </si>
  <si>
    <t>Uloženie sypaniny na skládku vr. poplatku*</t>
  </si>
  <si>
    <t>17510-1101</t>
  </si>
  <si>
    <t>Obsyp potrubia bez prehodenia sypaniny</t>
  </si>
  <si>
    <t>17510-1109</t>
  </si>
  <si>
    <t>Obsyp potrubia príplatok za prehodenie sypaniny</t>
  </si>
  <si>
    <t>583 371970</t>
  </si>
  <si>
    <t>Štrkopiesok 0-32</t>
  </si>
  <si>
    <t>Presun hmôt pre budovy murované výšky do 6 m</t>
  </si>
  <si>
    <t>M+D tep. izolácie potrubia</t>
  </si>
  <si>
    <t>Presun hmôt pre izolácie tepelné v obj. výšky do 6 m</t>
  </si>
  <si>
    <t>Potrubie plastové na odvod kondenzátu DN15</t>
  </si>
  <si>
    <t>Potrubie kanalizačné DN 40</t>
  </si>
  <si>
    <t>Potrubie kanalizačné PVC DN 50</t>
  </si>
  <si>
    <t>Potrubie kanalizačné PVC DN 70</t>
  </si>
  <si>
    <t>72117-3606</t>
  </si>
  <si>
    <t>Potrubie kanalizačné PVC DN 110</t>
  </si>
  <si>
    <t>Potrubie kanalizačné PVC DN 125</t>
  </si>
  <si>
    <t>Potrubie kanalizačné PVC DN 160</t>
  </si>
  <si>
    <t>72119-4105</t>
  </si>
  <si>
    <t>Vyvedenie a upevnenie kanal. výpustiek D 50x1.8</t>
  </si>
  <si>
    <t>72119-4107</t>
  </si>
  <si>
    <t>Vyvedenie a upevnenie kanal. výpustiek D 75x1.9</t>
  </si>
  <si>
    <t>72119-4109</t>
  </si>
  <si>
    <t>Vyvedenie a upevnenie kanal. výpustiek D 110x2.3</t>
  </si>
  <si>
    <t>72121-2111</t>
  </si>
  <si>
    <t>Odtokový žľab dĺžky 700 mm s krycím roštom a zápachovou uzávierkou</t>
  </si>
  <si>
    <t>72121-2114</t>
  </si>
  <si>
    <t>Odtokový žľab dĺžky 1000 mm s krycím roštom a zápachovou uzávierkou</t>
  </si>
  <si>
    <t>Privzdušňovací ventil odpadového potrubia DN 110</t>
  </si>
  <si>
    <t>Presun hmôt pre vnút. kanalizáciu v obj. výšky do 6 m</t>
  </si>
  <si>
    <t>Montáž vodov. armatúr s 2 závitmi G 2 1/2</t>
  </si>
  <si>
    <t>Tlakové skúšky vodov. potrubia závitového do DN 50</t>
  </si>
  <si>
    <t>Tlakové skúšky vodov. potrubia závitového do DN 100</t>
  </si>
  <si>
    <t>72511-2173</t>
  </si>
  <si>
    <t>Zách. misa kombi na komplet</t>
  </si>
  <si>
    <t>72511-9309</t>
  </si>
  <si>
    <t>Príplatok za použitie silikónového tmelu 0,30 kg/kus</t>
  </si>
  <si>
    <t>72521-1681</t>
  </si>
  <si>
    <t>Umývadlo keram s otvorom pre batérie + sifón DN40</t>
  </si>
  <si>
    <t>72531-2200</t>
  </si>
  <si>
    <t>Drez jednoduchý štandardná kvalita+drez. zápach. uzávierka</t>
  </si>
  <si>
    <t>Batéria drezová jednopáková do 1 otvoru štandardná kvalita</t>
  </si>
  <si>
    <t>72582-1300</t>
  </si>
  <si>
    <t>Batéria umývadlová jednopálpvá stojanková štandardná kvalita</t>
  </si>
  <si>
    <t>Batéria sprchová nástenná štandardná kvalita</t>
  </si>
  <si>
    <t>Presun hmôt pre zariaď. predmety v obj. výšky do 6 m</t>
  </si>
  <si>
    <t>Nátery synt. potrubia do DN 50mm vrchný</t>
  </si>
  <si>
    <t>Nátery synt. kov. potrubia do DN 50mm základné</t>
  </si>
  <si>
    <t>S02-3 - SO 02 - OAIM - MP</t>
  </si>
  <si>
    <t>D1 - PRÁCE A DODÁVKY HSV</t>
  </si>
  <si>
    <t xml:space="preserve">    D2 - 9 - OSTATNÉ KONŠTRUKCIE A PRÁCE</t>
  </si>
  <si>
    <t>D3 - PRÁCE A DODÁVKY PSV</t>
  </si>
  <si>
    <t xml:space="preserve">    D4 - 723 - Vnútorný plynovod</t>
  </si>
  <si>
    <t>D5 - 76 - KONŠTRUKCIE</t>
  </si>
  <si>
    <t xml:space="preserve">    D6 - 767 - Konštrukcie doplnk. kovové stavebné</t>
  </si>
  <si>
    <t>D7 - 78 - DOKONČOVACIE PRÁCE</t>
  </si>
  <si>
    <t xml:space="preserve">    D8 - 783 - Nátery</t>
  </si>
  <si>
    <t>D9 - PRÁCE A DODÁVKY M</t>
  </si>
  <si>
    <t xml:space="preserve">    D10 - M23 - 157 Montáž potrubia</t>
  </si>
  <si>
    <t>D11 - OSTATNÉ</t>
  </si>
  <si>
    <t>76 - KONŠTRUKCIE</t>
  </si>
  <si>
    <t>78 - DOKONČOVACIE PRÁCE</t>
  </si>
  <si>
    <t>Projektová dokumentácia pre stavebné povolenie</t>
  </si>
  <si>
    <t>S02-4 - SO 02 - OAIM - UK</t>
  </si>
  <si>
    <t xml:space="preserve">    D3 - Potrubie z rúrok závitových oceľových bezšvových</t>
  </si>
  <si>
    <t xml:space="preserve">    D4 - Príplatok k cene za zhotovenie prípojky z oceľových rúrok závitových</t>
  </si>
  <si>
    <t xml:space="preserve">    D5 - Potrubie z rúrok hladkých oceľových bezšvových</t>
  </si>
  <si>
    <t xml:space="preserve">    D6 - Príplatok k cene za zhotovenie prípojky z oceľových rúrok hladkých</t>
  </si>
  <si>
    <t xml:space="preserve">    D7 - Zhotovenie rúrkových prechodov</t>
  </si>
  <si>
    <t xml:space="preserve">    D8 - Chránička pre vedenie potrubia cez strop</t>
  </si>
  <si>
    <t xml:space="preserve">    D9 - Privarenie odbočky na doterajšie potrubie o priemere odbočky</t>
  </si>
  <si>
    <t xml:space="preserve">    D10 - Prírubový spoj</t>
  </si>
  <si>
    <t xml:space="preserve">    D11 - Montáž závitových armatúr s dvomi závitmi</t>
  </si>
  <si>
    <t xml:space="preserve">    D12 - Guľový kohút závitový</t>
  </si>
  <si>
    <t xml:space="preserve">    D15 - Ručný regul. ventil prírubový  s mer. ventilmi DN80 prednastav., meranie, uzatv., napúšťanie,vypúšť.</t>
  </si>
  <si>
    <t xml:space="preserve">    D16 - Kohúty plniace a vypúšťacie</t>
  </si>
  <si>
    <t xml:space="preserve">    D17 - Teplomer technický , vrátane teplomerného púzdra</t>
  </si>
  <si>
    <t xml:space="preserve">    D18 - Tlakomer deformačný f100mm</t>
  </si>
  <si>
    <t xml:space="preserve">    D19 - Armatúry na pripojenie vykurovacích telies</t>
  </si>
  <si>
    <t>735 - VYKUROVACIE TELESÁ</t>
  </si>
  <si>
    <t xml:space="preserve">    D20 - Tlakové skúšky telies vodou</t>
  </si>
  <si>
    <t xml:space="preserve">    D21 - Montáž vykurovacích telies oceľových panelových</t>
  </si>
  <si>
    <t>D22 - VYKUROVACÍ SYSTÉM PLAST-HLINÍK</t>
  </si>
  <si>
    <t>D23 - NAPOJENIE VYKUROVACÍCH TELIES</t>
  </si>
  <si>
    <t xml:space="preserve">    D24 - Viacvrstvá rúrka z PE-RT, prípustné prevádzkové zaťaženie 90°C</t>
  </si>
  <si>
    <t xml:space="preserve">    D25 - Prechodová spojka z PE rúrok na kovový závit</t>
  </si>
  <si>
    <t xml:space="preserve">    D26 - Tvarovky pre vykurovací systém z PE-RT</t>
  </si>
  <si>
    <t xml:space="preserve">    D27 - T-kus pre PE-RT rúrky</t>
  </si>
  <si>
    <t xml:space="preserve">    D29 - Izolácia potrubia izoláciou z penového polyetylénu  hrúbky 20mm vrátane príslušenstva</t>
  </si>
  <si>
    <t xml:space="preserve">    D31 - Izolácia potrubia izoláciou z pen. pol.13mm potrubia z PE-RT vedeného v podlahe vrátane prísl.</t>
  </si>
  <si>
    <t>D32 - PRÁCE A DODÁVKY HSV</t>
  </si>
  <si>
    <t xml:space="preserve">    D33 - ZEMNE PRÁCE</t>
  </si>
  <si>
    <t>D34 - PRÁCE A DODÁVKY M</t>
  </si>
  <si>
    <t xml:space="preserve">    D35 - MONTÁŽ POTRUBIA</t>
  </si>
  <si>
    <t>D36 - OCELOVÉ PREDIZOLOVANÉ POTRUBIE VEDENÉ  PODZEMNE BEZKANÁLOVO</t>
  </si>
  <si>
    <t>HVDT</t>
  </si>
  <si>
    <t>Hydraulický vyrovnávač dynamických tlakok PN6</t>
  </si>
  <si>
    <t>Poznámka k položke:_x000D_
hydraulické oddelenie okruhu výmenníkovej stanice s jestvujúcim obehovým; čerpadlom a okruhu vykurovania v objekte SO02; Prietok 8,6m3/hod, f  219mm/1500mm - pripojovacie hrdlá DN80; Automatický odvzdušňovací ventil, vypúšťací kohút</t>
  </si>
  <si>
    <t>RZ</t>
  </si>
  <si>
    <t>Kombinovaný rozdeľovač so zberačom -dvojkomorové teleso PN6</t>
  </si>
  <si>
    <t>Poznámka k položke:_x000D_
pripojovacie hrdlá - hlavný prívod 2xDN80; okruh vzduchotechniky - 2xDN65; okruh vykurovania 2xDN32; návarky pre tlakomery - 2x, návarky pre teplomery 2x, návarky pre; vypúšťacie kohúty 2x, nastaviteľný stojan</t>
  </si>
  <si>
    <t>C1</t>
  </si>
  <si>
    <t>Elektronicky regulované obehové čerpadlo pre vetvu vykurovanie radiátormi</t>
  </si>
  <si>
    <t>Poznámka k položke:_x000D_
prietok 1,3m3/hod, H=6m, 230V, 50W, tepelno izolačný kryt; * funkcia - AUTO ADAPT ; * Integrovaný systém riadenia na základe diferenčného tlaku umožňujúci; plynulú reguláciu výkonu čerpadla podla okamžitých prevádzkových podmienok sústavy; * Automaticky redukovaná nočná prevádzka; * Ochrana proti prevádzke nasucho.</t>
  </si>
  <si>
    <t>C2</t>
  </si>
  <si>
    <t>Elektronicky regulované obehové čerpadlo pre vetvu vzduchotechniky</t>
  </si>
  <si>
    <t>Poznámka k položke:_x000D_
prietok 6,9m3/hod, H=10m, 230V, 50W, tepelno izolačný kryt; * funkcia - AUTO ADAPT ; * Integrovaný systém riadenia na základe diferenčného tlaku umožňujúci; plynulú reguláciu výkonu čerpadla podla okamžitých prevádzkových podmienok sústavy; * Automaticky redukovaná nočná prevádzka; * Riadenie na proporcionálny tlak, konštantný tlak, konštantnú teplotu,; riadenie podla diferenčnčj teploty,  prevádzka podľa konštantnej krivky</t>
  </si>
  <si>
    <t>11-3113</t>
  </si>
  <si>
    <t>Potrubie z rúrok hladkých oceľových bezšvových</t>
  </si>
  <si>
    <t>12-1122</t>
  </si>
  <si>
    <t>76/3,2</t>
  </si>
  <si>
    <t>12-1125</t>
  </si>
  <si>
    <t>89/3,6</t>
  </si>
  <si>
    <t>Príplatok k cene za zhotovenie prípojky z oceľových rúrok hladkých</t>
  </si>
  <si>
    <t>12-3123</t>
  </si>
  <si>
    <t>12-3125</t>
  </si>
  <si>
    <t>12-4119</t>
  </si>
  <si>
    <t>65/40</t>
  </si>
  <si>
    <t>Chránička pre vedenie potrubia cez strop</t>
  </si>
  <si>
    <t>Pol432</t>
  </si>
  <si>
    <t>pre potrubie DN15</t>
  </si>
  <si>
    <t>Pol433</t>
  </si>
  <si>
    <t>pre potrubie DN80</t>
  </si>
  <si>
    <t>19-4925</t>
  </si>
  <si>
    <t>10-9115</t>
  </si>
  <si>
    <t>Montáž medziprírubovej uzatváracej klapky DN65 PN6</t>
  </si>
  <si>
    <t>10-9116</t>
  </si>
  <si>
    <t>Montáž medziprírubovej uzatváracej klapky DN80 PN6</t>
  </si>
  <si>
    <t>Pol434</t>
  </si>
  <si>
    <t>Medzibrírubová uzatváracia klapka DN65</t>
  </si>
  <si>
    <t>Pol435</t>
  </si>
  <si>
    <t>Medzibrírubová uzatváracia klapka DN80</t>
  </si>
  <si>
    <t>10-9315</t>
  </si>
  <si>
    <t>Montáž prírubovej armatúry s dvomi prírubami DN65 PN6</t>
  </si>
  <si>
    <t>10-9116.1</t>
  </si>
  <si>
    <t>Montáž prírubovej armatúry s dvomi prírubami DN80 PN6</t>
  </si>
  <si>
    <t>Pol436</t>
  </si>
  <si>
    <t>Ručný regulačný ventil prírubový  s meracími ventilmi DN65</t>
  </si>
  <si>
    <t>Poznámka k položke:_x000D_
prednastavenie, meranie, uzatváranie, napúšťanie, vypúšťanie; sada na meranie prietoku</t>
  </si>
  <si>
    <t>Pol437</t>
  </si>
  <si>
    <t>Ručný regulačný ventil prírubový  s meracími ventilmi DN80</t>
  </si>
  <si>
    <t>Poznámka k položke:_x000D_
prednastavenie, meranie, uzatváranie, napúšťanie, vypúšťanie; sada na meranie prietoku - vo výmenníkovej stanici</t>
  </si>
  <si>
    <t>Pol438</t>
  </si>
  <si>
    <t>Filter prírubový DN65, PN6</t>
  </si>
  <si>
    <t>Pol439</t>
  </si>
  <si>
    <t>Spätná klapka prírubová DN65, PN6</t>
  </si>
  <si>
    <t>Prírubový spoj</t>
  </si>
  <si>
    <t>17-3412</t>
  </si>
  <si>
    <t>17-3413</t>
  </si>
  <si>
    <t>DN40</t>
  </si>
  <si>
    <t>17-3416</t>
  </si>
  <si>
    <t>DN65</t>
  </si>
  <si>
    <t>17-3417</t>
  </si>
  <si>
    <t>DN80</t>
  </si>
  <si>
    <t>Guľový kohút závitový</t>
  </si>
  <si>
    <t>Pol440</t>
  </si>
  <si>
    <t>Spätný ventil DN32 závitový</t>
  </si>
  <si>
    <t>Pol441</t>
  </si>
  <si>
    <t>Filtrer závitový DN32</t>
  </si>
  <si>
    <t>Ručný regul. ventil prírubový  s mer. ventilmi DN80 prednastav., meranie, uzatv., napúšťanie,vypúšť.</t>
  </si>
  <si>
    <t>20-9126</t>
  </si>
  <si>
    <t>Montáž závitových armatúr s tromi závitmi DN32</t>
  </si>
  <si>
    <t>Poznámka k položke:_x000D_
Trojcestný regulačný ventil  pre reguláciu okruhu vykurovania</t>
  </si>
  <si>
    <t>Pol442</t>
  </si>
  <si>
    <t>Trojcestný regulačný ventil  pre reguláciu okruhu vykurovania so servopohonom DN32 + šroubenia</t>
  </si>
  <si>
    <t>29-1114</t>
  </si>
  <si>
    <t>Teplomer technický , vrátane teplomerného púzdra</t>
  </si>
  <si>
    <t>41-1141</t>
  </si>
  <si>
    <t>rozsah 0 až 120°C</t>
  </si>
  <si>
    <t>39-1114</t>
  </si>
  <si>
    <t>Kondenzačná slučka tlakomerová zahnutá M20</t>
  </si>
  <si>
    <t>Tlakomer deformačný f100mm</t>
  </si>
  <si>
    <t>42-1160</t>
  </si>
  <si>
    <t>rozsah 0 až 600kPa</t>
  </si>
  <si>
    <t>42-4912</t>
  </si>
  <si>
    <t>Kohút k tlakomeru M 20x1,5</t>
  </si>
  <si>
    <t>42-4934</t>
  </si>
  <si>
    <t>Prípojky tlakomerov DN20</t>
  </si>
  <si>
    <t>49-4214</t>
  </si>
  <si>
    <t>Návarky pre tlakomery</t>
  </si>
  <si>
    <t>49-4215</t>
  </si>
  <si>
    <t>Návarky pre teplomery</t>
  </si>
  <si>
    <t>49-4215.1</t>
  </si>
  <si>
    <t>Návarky pre MaR</t>
  </si>
  <si>
    <t>Armatúry na pripojenie vykurovacích telies</t>
  </si>
  <si>
    <t>Pol443</t>
  </si>
  <si>
    <t>Regul. a uzatváracie skrutkovanie pre vykurovacie telesá ventil - kompakt</t>
  </si>
  <si>
    <t>Pol444</t>
  </si>
  <si>
    <t>Termostat.hlavica pre panelové vykurovacie telesá so zabudovaným čidlom</t>
  </si>
  <si>
    <t>735-000912</t>
  </si>
  <si>
    <t>Vyregulovanie, radiátorových ventilov,  termostatických ventilov, šroubenia</t>
  </si>
  <si>
    <t>735</t>
  </si>
  <si>
    <t>VYKUROVACIE TELESÁ</t>
  </si>
  <si>
    <t>Pol445</t>
  </si>
  <si>
    <t>Vykurovacie telesá oceľové panelové s integrovanou ventilovou vložkou</t>
  </si>
  <si>
    <t>Poznámka k položke:_x000D_
inštalované na 2NP v technickej miestnosti; 22VK-600/1000 - dvojitý s dvomi konvektormi a krytmi; Vykurovacie telesá oceľové panelové s integrovanou ventilovou vložkou; inštalované na 1NP s hladkou čelnou plochou</t>
  </si>
  <si>
    <t>Pol446</t>
  </si>
  <si>
    <t>10VKH-600/500 - jednoduchý</t>
  </si>
  <si>
    <t>Pol447</t>
  </si>
  <si>
    <t>10VKH-600/600 - jednoduchý</t>
  </si>
  <si>
    <t>Pol448</t>
  </si>
  <si>
    <t>20VKH-600/400 - dvojitý s krytmi</t>
  </si>
  <si>
    <t>Pol449</t>
  </si>
  <si>
    <t>20VKH-600/500 - dvojitý s krytmi</t>
  </si>
  <si>
    <t>Pol450</t>
  </si>
  <si>
    <t>20VKH-600/600 - dvojitý s krytmi</t>
  </si>
  <si>
    <t>Pol451</t>
  </si>
  <si>
    <t>20VKH-600/800 - dvojitý s krytmi</t>
  </si>
  <si>
    <t>Pol452</t>
  </si>
  <si>
    <t>20VKH-600/900 - dvojitý s krytmi</t>
  </si>
  <si>
    <t>Pol453</t>
  </si>
  <si>
    <t>20VKH-600/1000 - dvojitý s krytmi</t>
  </si>
  <si>
    <t>Pol454</t>
  </si>
  <si>
    <t>20VKH-600/1200 - dvojitý s krytmi</t>
  </si>
  <si>
    <t>Pol455</t>
  </si>
  <si>
    <t>20VKH-600/1400 - dvojitý s krytmi</t>
  </si>
  <si>
    <t>Pol456</t>
  </si>
  <si>
    <t>Závesné konzoly pre vykurovacie telesá</t>
  </si>
  <si>
    <t>15-3300</t>
  </si>
  <si>
    <t>Priplatok za odvzdušňovací ventil telies</t>
  </si>
  <si>
    <t>Tlakové skúšky telies vodou</t>
  </si>
  <si>
    <t>15-8110</t>
  </si>
  <si>
    <t>jednoradových</t>
  </si>
  <si>
    <t>15-8120</t>
  </si>
  <si>
    <t>dvojradových</t>
  </si>
  <si>
    <t>Montáž vykurovacích telies oceľových panelových</t>
  </si>
  <si>
    <t>15-4040</t>
  </si>
  <si>
    <t>jednoradých výšky 600mm dĺžky 400-600mm</t>
  </si>
  <si>
    <t>15-4140</t>
  </si>
  <si>
    <t>dvojradých výšky 600mm dĺžky 400-600mm</t>
  </si>
  <si>
    <t>15-4141</t>
  </si>
  <si>
    <t>dvojradých výšky 600mm dĺžky 700-900mm</t>
  </si>
  <si>
    <t>15-4142</t>
  </si>
  <si>
    <t>dvojradých výšky 600mm dĺžky 1000-1200mm</t>
  </si>
  <si>
    <t>15-4143</t>
  </si>
  <si>
    <t>dvojradých výšky 600mm dĺžky 1400-1800mm</t>
  </si>
  <si>
    <t>Pol457</t>
  </si>
  <si>
    <t>Presun hmôt pre vykurovacie telesá  do 24m-2,5%</t>
  </si>
  <si>
    <t>VYKUROVACÍ SYSTÉM PLAST-HLINÍK</t>
  </si>
  <si>
    <t>NAPOJENIE VYKUROVACÍCH TELIES</t>
  </si>
  <si>
    <t>Viacvrstvá rúrka z PE-RT, prípustné prevádzkové zaťaženie 90°C</t>
  </si>
  <si>
    <t>Pol458</t>
  </si>
  <si>
    <t>16x2</t>
  </si>
  <si>
    <t>Pol459</t>
  </si>
  <si>
    <t>18x2</t>
  </si>
  <si>
    <t>Pol460</t>
  </si>
  <si>
    <t>20x2</t>
  </si>
  <si>
    <t>Prechodová spojka z PE rúrok na kovový závit</t>
  </si>
  <si>
    <t>Pol461</t>
  </si>
  <si>
    <t>16-1/2"</t>
  </si>
  <si>
    <t>Pol462</t>
  </si>
  <si>
    <t>18-1/2"</t>
  </si>
  <si>
    <t>Pol463</t>
  </si>
  <si>
    <t>20-1/2"</t>
  </si>
  <si>
    <t>Tvarovky pre vykurovací systém z PE-RT</t>
  </si>
  <si>
    <t>T-kus pre PE-RT rúrky</t>
  </si>
  <si>
    <t>Pol464</t>
  </si>
  <si>
    <t>16/16/16</t>
  </si>
  <si>
    <t>Pol465</t>
  </si>
  <si>
    <t>18/16/18</t>
  </si>
  <si>
    <t>Pol466</t>
  </si>
  <si>
    <t>18/16/16</t>
  </si>
  <si>
    <t>Pol467</t>
  </si>
  <si>
    <t>16/18/16</t>
  </si>
  <si>
    <t>Pol468</t>
  </si>
  <si>
    <t>18/18/16</t>
  </si>
  <si>
    <t>Pol469</t>
  </si>
  <si>
    <t>20/16/18</t>
  </si>
  <si>
    <t>Pol470</t>
  </si>
  <si>
    <t>Adaptér na pripojenie vykurovacích telies s integrovanými ventilmi</t>
  </si>
  <si>
    <t>Pol471</t>
  </si>
  <si>
    <t>Ochranný oblúk na pripojenie vykurovacieho telesa zo steny</t>
  </si>
  <si>
    <t>pár</t>
  </si>
  <si>
    <t>Poznámka k položke:_x000D_
na pripojenie vykurovacích telies s integrovaným ventilom</t>
  </si>
  <si>
    <t>Pol472</t>
  </si>
  <si>
    <t>Dvojitá rozeta na prekrytie vyústenia rúrok</t>
  </si>
  <si>
    <t>Pol473</t>
  </si>
  <si>
    <t>Dvojitý držiak rúrok</t>
  </si>
  <si>
    <t>733-191301</t>
  </si>
  <si>
    <t>Tlaková skúška rozvodov vykurovania</t>
  </si>
  <si>
    <t>Pol474</t>
  </si>
  <si>
    <t>Presun hmôt v objekte</t>
  </si>
  <si>
    <t>42-4150</t>
  </si>
  <si>
    <t>Náter potrubia syntetický základný dvojnásobný 100Z+2</t>
  </si>
  <si>
    <t>Izolácia potrubia izoláciou z penového polyetylénu  hrúbky 20mm vrátane príslušenstva</t>
  </si>
  <si>
    <t>48-2123</t>
  </si>
  <si>
    <t>pre oceľové potrubie DN65</t>
  </si>
  <si>
    <t>48-2123.1</t>
  </si>
  <si>
    <t>pre oceľové potrubie DN80</t>
  </si>
  <si>
    <t>D31</t>
  </si>
  <si>
    <t>Izolácia potrubia izoláciou z pen. pol.13mm potrubia z PE-RT vedeného v podlahe vrátane prísl.</t>
  </si>
  <si>
    <t>48-2121.3</t>
  </si>
  <si>
    <t>pre potrubia 16x2</t>
  </si>
  <si>
    <t>48-2121.4</t>
  </si>
  <si>
    <t>pre potrubia 18x2</t>
  </si>
  <si>
    <t>48-2121.5</t>
  </si>
  <si>
    <t>pre potrubia 20x2</t>
  </si>
  <si>
    <t>D32</t>
  </si>
  <si>
    <t>D33</t>
  </si>
  <si>
    <t>ZEMNE PRÁCE</t>
  </si>
  <si>
    <t>13220-1201</t>
  </si>
  <si>
    <t>Hĺbenie rýh šírka do 2 m v horn. tr. 3 do 100 m3</t>
  </si>
  <si>
    <t>13220-1209</t>
  </si>
  <si>
    <t>Príplatok za lepivosť horniny tr.3 v rýhach š. do 200 cm</t>
  </si>
  <si>
    <t>16260-1102</t>
  </si>
  <si>
    <t>Vodorovné premiestnenie výkopu do 5000 m horn. tr. 1-4</t>
  </si>
  <si>
    <t>17120-1205</t>
  </si>
  <si>
    <t>Uloženie sypaniny na skládky - poplatok za skládku*</t>
  </si>
  <si>
    <t>583 313460</t>
  </si>
  <si>
    <t>Kamenivo na lôžko a obsyp potrubia  0-4</t>
  </si>
  <si>
    <t>D34</t>
  </si>
  <si>
    <t>D35</t>
  </si>
  <si>
    <t>MONTÁŽ POTRUBIA</t>
  </si>
  <si>
    <t>80712-0085</t>
  </si>
  <si>
    <t>Montáž : Uloženie PE fólie na obsyp*</t>
  </si>
  <si>
    <t>283 230394</t>
  </si>
  <si>
    <t>Výstražná PVC-P fólia hr.0,60mm,š.50cm zelená</t>
  </si>
  <si>
    <t>D36</t>
  </si>
  <si>
    <t>OCELOVÉ PREDIZOLOVANÉ POTRUBIE VEDENÉ  PODZEMNE BEZKANÁLOVO</t>
  </si>
  <si>
    <t>Pol475</t>
  </si>
  <si>
    <t>Rúra priama DN 80"A" 6m oceľ 88,9x3,2</t>
  </si>
  <si>
    <t>Pol476</t>
  </si>
  <si>
    <t>Oblúk DN80 'A' 90° 88,9/3,2</t>
  </si>
  <si>
    <t>Pol477</t>
  </si>
  <si>
    <t>Oblúk vertikálny DN80 'A' 90° (1x1,55m) oceľ poz. zvar. 88,9x3,2 - HDPE</t>
  </si>
  <si>
    <t>Pol478</t>
  </si>
  <si>
    <t>Spojka DN80</t>
  </si>
  <si>
    <t>Pol479</t>
  </si>
  <si>
    <t>prechod stenou DN80</t>
  </si>
  <si>
    <t>Pol480</t>
  </si>
  <si>
    <t>Manžeta koncová DN80</t>
  </si>
  <si>
    <t>Pol481</t>
  </si>
  <si>
    <t>Svorkovnica typ A</t>
  </si>
  <si>
    <t>Pol482</t>
  </si>
  <si>
    <t>Cu dutinka</t>
  </si>
  <si>
    <t>Pol483</t>
  </si>
  <si>
    <t>Dištančný držiak</t>
  </si>
  <si>
    <t>Pol484</t>
  </si>
  <si>
    <t>Sada montážnzch pomôcok</t>
  </si>
  <si>
    <t>Pol485</t>
  </si>
  <si>
    <t>Príprava pre skúšku tesnosti</t>
  </si>
  <si>
    <t>Pol486</t>
  </si>
  <si>
    <t>Skúška tesnosti potrubia</t>
  </si>
  <si>
    <t>Pol487</t>
  </si>
  <si>
    <t>Montáž bezkanálového systému</t>
  </si>
  <si>
    <t>950doprO</t>
  </si>
  <si>
    <t>1862192311</t>
  </si>
  <si>
    <t>-1745014845</t>
  </si>
  <si>
    <t>S02-5 - SO 02 - OAIM - ELI</t>
  </si>
  <si>
    <t>921 - 921 - Elektromontáže</t>
  </si>
  <si>
    <t>946 - 946 - Zemné práce pri externých montážach</t>
  </si>
  <si>
    <t>921 - Elektromontáže</t>
  </si>
  <si>
    <t>210010351</t>
  </si>
  <si>
    <t>Krabicová rozvodka z lisovaného izolantu vrátane ukončenia káblov a zapojenia vodičov typ 6455-11 do 4 m</t>
  </si>
  <si>
    <t>3450927000</t>
  </si>
  <si>
    <t>Krabica 6455-11 acid</t>
  </si>
  <si>
    <t>210010108</t>
  </si>
  <si>
    <t>Lišta elektroinštalačná z PVC 24x22, uložená pevne, vkladacia</t>
  </si>
  <si>
    <t>3410300973</t>
  </si>
  <si>
    <t>Lišta vkladacia HD - biela RAL 9003 LV 24X22 HD</t>
  </si>
  <si>
    <t>210010111</t>
  </si>
  <si>
    <t>Lišta elektroinštalačná z PVC 60x40, uložená pevne, vkladacia</t>
  </si>
  <si>
    <t>-1245338052</t>
  </si>
  <si>
    <t>210100252</t>
  </si>
  <si>
    <t>Ukončenie celoplastových káblov zmrašť. záklopkou alebo páskou do 4 x 25 mm2</t>
  </si>
  <si>
    <t>210110021</t>
  </si>
  <si>
    <t>Spínač nástenný pre prostredie vonkajšie a mokré, vrátane zapojenia jednopólový - radenie 1</t>
  </si>
  <si>
    <t>3450201330</t>
  </si>
  <si>
    <t>Spínač 1 vodotesný 3553-01750</t>
  </si>
  <si>
    <t>210110023</t>
  </si>
  <si>
    <t>Spínač nástenný pre prostredie vonkajšie a mokré, vrátane zapojenia sériový prepínač-radenie 5</t>
  </si>
  <si>
    <t>3450201490</t>
  </si>
  <si>
    <t>Prepínač 5 vodotesný 3553-05750</t>
  </si>
  <si>
    <t>210111021</t>
  </si>
  <si>
    <t>Domová zásuvka v krabici obyč. alebo do vlhka, vrátane zapojenia 10/16 A 250 V 2P + Z</t>
  </si>
  <si>
    <t>3450319000</t>
  </si>
  <si>
    <t>Zásuvka 4FN 15044 do vlhka</t>
  </si>
  <si>
    <t>210111127</t>
  </si>
  <si>
    <t>Priemyslová zásuvka nástenná 400 V,IP 67, typ IZG 3253 vrátane zapojenia 3P +N+ PE</t>
  </si>
  <si>
    <t>3450348700</t>
  </si>
  <si>
    <t>Zásuvka IZS 3253</t>
  </si>
  <si>
    <t>210201600</t>
  </si>
  <si>
    <t>Zapojenie svietidla 1x svetelný zdroj, nevýbušné, stropné s lineárnou žiarovkou</t>
  </si>
  <si>
    <t>3486801010</t>
  </si>
  <si>
    <t>Nástenné núdzové svietidlo 1x11W, EVG, IP54, 2 hodiny, 360x140 mm núdzový režim</t>
  </si>
  <si>
    <t>Hríbikové tlačítko v plastovej skrinke P65, s aretáciou červená</t>
  </si>
  <si>
    <t>3452200630</t>
  </si>
  <si>
    <t>210220021</t>
  </si>
  <si>
    <t>Uzemňovacie vedenie v zemi FeZn vrátane izolácie spojov O 10mm</t>
  </si>
  <si>
    <t>3544224150</t>
  </si>
  <si>
    <t>Územňovací vodič ocelový žiarovo zinkovaný označenie O 10</t>
  </si>
  <si>
    <t>210220104</t>
  </si>
  <si>
    <t>Podpery vedenia FeZn na plechové strechy PV23-24</t>
  </si>
  <si>
    <t>3544218350</t>
  </si>
  <si>
    <t>Podpera vedenia na plechové strechy ocelová žiarovo zinkovaná označenie PV 23</t>
  </si>
  <si>
    <t>210220105</t>
  </si>
  <si>
    <t>Podpery vedenia FeZn do muriva PV 01h a PV01-03</t>
  </si>
  <si>
    <t>3544216400</t>
  </si>
  <si>
    <t>Podpera vedenia do muriva na hmoždinku ocelová žiarovo zinkovaná označenie PV 01 h</t>
  </si>
  <si>
    <t>210220204</t>
  </si>
  <si>
    <t>Zachytávacia tyč FeZn bez osadenia a s osadením JP10-30</t>
  </si>
  <si>
    <t>3544215550</t>
  </si>
  <si>
    <t>Zachytávacia tyč ocelová žiarovo zinkovaná označenie JP 20</t>
  </si>
  <si>
    <t>210220220</t>
  </si>
  <si>
    <t>Držiak zachytávacej tyče FeZn DJ1-8</t>
  </si>
  <si>
    <t>3544215750</t>
  </si>
  <si>
    <t>Držiak zachytávacej tyče na upevnenie do muriva ocelový žiarovo zinkovaný označenie DJ 2</t>
  </si>
  <si>
    <t>210220230</t>
  </si>
  <si>
    <t>Ochranná strieška FeZn</t>
  </si>
  <si>
    <t>3544216200</t>
  </si>
  <si>
    <t>Horná ochranná strieška ocelová žiarovo zinkovaná označenie OS 01</t>
  </si>
  <si>
    <t>210220240</t>
  </si>
  <si>
    <t>Svorka FeZn k uzemňovacej tyči  SJ</t>
  </si>
  <si>
    <t>3544218900</t>
  </si>
  <si>
    <t>Svorka k uzemňovacej tyči ocelová žiarovo zinkovaná označenie SJ 01</t>
  </si>
  <si>
    <t>210220241</t>
  </si>
  <si>
    <t>Svorka FeZn krížová SK a diagonálna krížová DKS</t>
  </si>
  <si>
    <t>3544219150</t>
  </si>
  <si>
    <t>Svorka krížová ocelová žiarovo zinkovaná označenie SK</t>
  </si>
  <si>
    <t>210220243</t>
  </si>
  <si>
    <t>Svorka FeZn spojovacia SS</t>
  </si>
  <si>
    <t>3544219650</t>
  </si>
  <si>
    <t>Svorka spojovacia ocelová žiarovo zinkovaná označenie SS m.2 skr.s.p.</t>
  </si>
  <si>
    <t>210220246</t>
  </si>
  <si>
    <t>Svorka FeZn na odkvapový žľab SO</t>
  </si>
  <si>
    <t>3544219950</t>
  </si>
  <si>
    <t>Svorka okapová ocelová žiarovo zinkovaná označenie SO</t>
  </si>
  <si>
    <t>210220247</t>
  </si>
  <si>
    <t>Svorka FeZn skúšobná SZ</t>
  </si>
  <si>
    <t>3544220000</t>
  </si>
  <si>
    <t>Svorka skušobná ocelová žiarovo zinkovaná označenie SZ</t>
  </si>
  <si>
    <t>210220253</t>
  </si>
  <si>
    <t>Svorka FeZn uzemňovacia SR03</t>
  </si>
  <si>
    <t>3544221300</t>
  </si>
  <si>
    <t>Uzemňovacia svorka ocelová žiarovo zinkovaná označenie SR 03 A</t>
  </si>
  <si>
    <t>210220260</t>
  </si>
  <si>
    <t>Ochranný uholník FeZn   OU</t>
  </si>
  <si>
    <t>3544221650</t>
  </si>
  <si>
    <t>Ochraný uholník ocelový žiarovo zinkovaný označenie OU 2 m</t>
  </si>
  <si>
    <t>210220261</t>
  </si>
  <si>
    <t>Držiak ochranného uholníka FeZn   DU-Z,D a DOU</t>
  </si>
  <si>
    <t>3544221750</t>
  </si>
  <si>
    <t>Držiak ochranného uholníka do muriva ocelový žiarovo zinkovaný označenie DU Z</t>
  </si>
  <si>
    <t>210220270</t>
  </si>
  <si>
    <t>Uzemňovacia doska FeZn   ZD</t>
  </si>
  <si>
    <t>3544222300</t>
  </si>
  <si>
    <t>Uzemňovacia doska s privarenou páskou ocelová žiarovo zinkovaná označenie ZD 01 s páskou</t>
  </si>
  <si>
    <t>210220800</t>
  </si>
  <si>
    <t>Uzemňovacie vedenie na povrchu  AlMgSi  O 8-10</t>
  </si>
  <si>
    <t>3544245350</t>
  </si>
  <si>
    <t>Územňovací vodič zliatina AlMgSi označenie O 8 Al</t>
  </si>
  <si>
    <t>1-CHKE-V 50 PS90 Nehorľavý kábel s funkčnosťou STN</t>
  </si>
  <si>
    <t>1-CHKE-V 3x1,5 PS 90 Nehorľavý kábel s funkčnosťou STN</t>
  </si>
  <si>
    <t>1-CHKE-V 3Ox1,5 PS 90 Nehorľavý kábel s funkčnosťou STN</t>
  </si>
  <si>
    <t>1-CHKE-V 3x2,5 PS 90 Nehorľavý kábel s funkčnosťou STN</t>
  </si>
  <si>
    <t>1-CHKE-V 5x1,5 PS 90Nehorľavý kábel s funkčnosťou STN</t>
  </si>
  <si>
    <t>1-CHKE-V 5x4 Nehorľavý kábel s funkčnosťou STN PS90</t>
  </si>
  <si>
    <t>Kábel bezhalogénový, medený uložený pevne NHXH-FE 180/E30 0,6/1,0 kV  6</t>
  </si>
  <si>
    <t>NHXH 6 FE180/E30 Nehorľavý kábel s funkčnosťou VDE</t>
  </si>
  <si>
    <t>00A24SB604</t>
  </si>
  <si>
    <t>Rúrka ohybná elektroinštalačná z PVC typ HFXP 25, uložená pevne</t>
  </si>
  <si>
    <t>Rúrka HFXP 25</t>
  </si>
  <si>
    <t>Krabica univerzálna KPM 64 KA</t>
  </si>
  <si>
    <t>Krabica (1903, KR 68) odbočná s viečkom, svorkovnicou vrátane zapojenia, kruhová</t>
  </si>
  <si>
    <t>Krabica KU 68-1903</t>
  </si>
  <si>
    <t>Jednopólový spínač - radenie 1, nástenný pre prostredie obyčajné alebo vlhké vrátane zapojenia</t>
  </si>
  <si>
    <t>Sériový spínač (prepínač) -  radenie 5, nástenný pre prostredie obyčajné alebo vlhké vrátane zapojenia</t>
  </si>
  <si>
    <t>3450201900</t>
  </si>
  <si>
    <t>L-Spínač LIP-5000F c.5 IP44</t>
  </si>
  <si>
    <t>Prepínač 6+6 3553-52289 B1 lesklý biely</t>
  </si>
  <si>
    <t>Kábel bezhalogénový, medený uložený pevne NHXH-FE 180/E30 0,6/1,0 kV  4x70</t>
  </si>
  <si>
    <t>NHXH 4x70 FE180/E30 Nehorľavý kábel s funkčnosťou VDE</t>
  </si>
  <si>
    <t>Montáž zásuvky 2xRJ45 pod omietku</t>
  </si>
  <si>
    <t>Počítačová sieť a príslušenstvo Zásuvka podpovrchová, Tango 2xRJ45/u, Cat.5e</t>
  </si>
  <si>
    <t>Montáž zásuvky RJ45 na omietku</t>
  </si>
  <si>
    <t>Počítačová sieť a príslušenstvo Zásuvka na povrchov, Tango RJ45/u, Cat.5e</t>
  </si>
  <si>
    <t>2100103237</t>
  </si>
  <si>
    <t>3410300374</t>
  </si>
  <si>
    <t>Bleskozvodný materiál (FeZn,Cu) a uzemňovací materiál -   pripojnica 1810,</t>
  </si>
  <si>
    <t>210200005</t>
  </si>
  <si>
    <t>Svietidlo interierové okrúhle stropné, IP 40 jednožiarovkové</t>
  </si>
  <si>
    <t>3480714180</t>
  </si>
  <si>
    <t>Stropné interiérové svietidlo SMO IP20 SMO 1x32W/FC opál so žiarivkou</t>
  </si>
  <si>
    <t>3480728420</t>
  </si>
  <si>
    <t>Svetelné zdroje úsporná žiarovka OT FLE 7CDL/T2/840/E27 BX 1/10 GE 6Y /05</t>
  </si>
  <si>
    <t>3480723730</t>
  </si>
  <si>
    <t>Núdzové svietidlá IP22 P 1x8W/3hod, len núdz.režim</t>
  </si>
  <si>
    <t>Svetelné zdroje kompaktná žiarivka TS F9BX/SPX41/840 MIH</t>
  </si>
  <si>
    <t>Interiérové zabudovateľné podhľadové svietidlo MCL90F1 4x18W BW-S, lešt. Al parabol.mriežka, el.predr.´so záložným zdrojom</t>
  </si>
  <si>
    <t>Svetelné zdroje žiarivka T8 FT8/36W/840/GE/SL1/25</t>
  </si>
  <si>
    <t>212000055</t>
  </si>
  <si>
    <t>3480716020.1</t>
  </si>
  <si>
    <t>Interiérové zabudovateľné podhľadové svietidlo MCL90F1 4x18W BW-S, lešt. Al parabol.mriežka, el.predr.</t>
  </si>
  <si>
    <t>210201002</t>
  </si>
  <si>
    <t>Svietidlá žiarivkové pre priemysel žiarivkové stropné s krytom z termoplastu,IP 65 dvojtrubicové</t>
  </si>
  <si>
    <t>3480011980</t>
  </si>
  <si>
    <t>Svietidlo   prachotesné   FTCW 03-2XTL-D58W D P-R</t>
  </si>
  <si>
    <t>3480728200.1</t>
  </si>
  <si>
    <t>Svetelné zdroje žiarivka T8 FT8/58W/840/GE/SL1/25</t>
  </si>
  <si>
    <t>Interiérové svietidlo žiarivkové 2x9W, IP54,EVG, 200x200mm</t>
  </si>
  <si>
    <t>Strážič izolačnho stavu + 2 xkontrolný panel</t>
  </si>
  <si>
    <t>Strážič izolačnho stavu a kontrolný panel</t>
  </si>
  <si>
    <t>Externá batéria  pre UPS</t>
  </si>
  <si>
    <t>Skriňa na transformátor</t>
  </si>
  <si>
    <t>21090071</t>
  </si>
  <si>
    <t>Montáž neoddelitelných rozvádzačov</t>
  </si>
  <si>
    <t>Žľab káblový drôtový  F - žiarovo pozinkované ponorom  DZ 60X150 BF,</t>
  </si>
  <si>
    <t>Rozvádzač RP-VZT2</t>
  </si>
  <si>
    <t>210190004</t>
  </si>
  <si>
    <t>3544222300.1</t>
  </si>
  <si>
    <t>Zemniaca doska   ocelová žiarovo zinkovaná  označenie  ZD 01 s páskou</t>
  </si>
  <si>
    <t>3544224150.1</t>
  </si>
  <si>
    <t>Územňovací vodič    ocelový žiarovo zinkovaný  označenie     O 10</t>
  </si>
  <si>
    <t>3544221300.1</t>
  </si>
  <si>
    <t>Svorka  odbočná spojovacia  ocelová žiarovo zinkovaná  označenie  SR 03 A</t>
  </si>
  <si>
    <t>460200163</t>
  </si>
  <si>
    <t>Hĺbenie káblovej ryhy 35 cm širokej a 80 cm hlbokej, v zemine triedy 3</t>
  </si>
  <si>
    <t>460560163</t>
  </si>
  <si>
    <t>Ručný zásyp nezap. káblovej ryhy bez zhutn. zeminy, 35 cm širokej, 80 cm hlbokej v zemine tr. 3</t>
  </si>
  <si>
    <t>460620014</t>
  </si>
  <si>
    <t>Proviz. úprava terénu v zemine tr. 3, aby nerovnosti terénu neboli väčšie ako 2 cm od vodor.hladiny</t>
  </si>
  <si>
    <t>460420022</t>
  </si>
  <si>
    <t>Zriadenie, rekonšt. káblového lôžka z piesku bez zakrytia, v ryhe šír. do 65 cm, hrúbky vrstvy 10 cm</t>
  </si>
  <si>
    <t>5815366500</t>
  </si>
  <si>
    <t>Piesok kopaný</t>
  </si>
  <si>
    <t>567100932</t>
  </si>
  <si>
    <t>Káblové chráničky a príslušenstvo -  Folia PE 330x0,100 blesk. 250m, obj. č. 567100932</t>
  </si>
  <si>
    <t>Káblové chráničky a príslušenstvo -  Folia PE 330x0,100 blesk. 250m,</t>
  </si>
  <si>
    <t>946</t>
  </si>
  <si>
    <t>946 - Zemné práce pri externých montážach</t>
  </si>
  <si>
    <t>460070103</t>
  </si>
  <si>
    <t>Jama pre ulož. pás. uzemň. FeZn 2000x250x3 mm a ryha pre zemný pásik FeZn 30x4 mm. zemina tr. 3</t>
  </si>
  <si>
    <t>460120002</t>
  </si>
  <si>
    <t>Zásyp jamy so zhutnením a s úpravou povrchu, zemina triedy 3 - 4</t>
  </si>
  <si>
    <t>460200163.1</t>
  </si>
  <si>
    <t>Hĺbenie káblovej ryhy ručne 35 cm širokej a 80 cm hlbokej, v zemine triedy 3</t>
  </si>
  <si>
    <t>460620013</t>
  </si>
  <si>
    <t>Odborná prehliadka a skúška Eelektroinštalácie a bleskozvodu</t>
  </si>
  <si>
    <t>Pomocný materiál 2%</t>
  </si>
  <si>
    <t>S02-51 - SO 02 - OAIM - EPS</t>
  </si>
  <si>
    <t>Ústredňa EPS - dvojsmyčková</t>
  </si>
  <si>
    <t>Dátový a telefónny komunikátor</t>
  </si>
  <si>
    <t>Tlačítko na rýchle vyhlásenie požiaru IP54</t>
  </si>
  <si>
    <t>S02-6.0 - SO 02-6 - Čisté priestory - ostatné</t>
  </si>
  <si>
    <t>S02-6.1 - SO 02-61 - Vstavba ČP</t>
  </si>
  <si>
    <t>02.1. - Vestavba ČP</t>
  </si>
  <si>
    <t xml:space="preserve">    D1 - Svítidla integrovaná v podhledu</t>
  </si>
  <si>
    <t xml:space="preserve">    D2 - Elementy VZT</t>
  </si>
  <si>
    <t xml:space="preserve">    D3 - Zariadenie č. 7 - ARO</t>
  </si>
  <si>
    <t>02.1.</t>
  </si>
  <si>
    <t>Pharma presklenie priečkových panelov hr.60mm, povrch RAL/RAL. Rozmer 1190x1200mm.Presklenie je vyhotovené z číreho  skla hr.4 mm.</t>
  </si>
  <si>
    <t>Pharma presklenie priečkových panelov hr.60mm, povrch RAL/RAL. Rozmer cca 850x1200mm - ATYP.Presklenie je vyhotovené z číreho  skla hr.4 mm.</t>
  </si>
  <si>
    <t>Rohovník vnútorný u podlahy pre styk 3 fabiónov, z podlahoviny PVC - vodivá 104 -106 ?</t>
  </si>
  <si>
    <t>Rohový hliníkový fabionový profil pre styk stena+ stena- zvislý, vrátane rohových a ukončovacich prvkov, vo farbe RAL podľa investora.</t>
  </si>
  <si>
    <t>Dvere kovové posuvné automatické jednokrídlové 1000/2010, presklené z 1/3, magnetická žalúzie, vrátane zárubne do systému vstaveb. Kovanie mušle-mušle. Ovládanie na bezdotykový spínač. Materiál dverného krídla aj zárubne - obojstranne plášť pozink. plech</t>
  </si>
  <si>
    <t>Dvere kovové posuvné automatické dvojkrídlové 1300/2010, presklené z 1/3, magnetická žalúzie, vrátane zárubne do systému vstaveb. Kovanie mušle-mušle. Ovládanie na bezdotykový spínač. Materiál dverného krídla aj zárubne - obojstranne plášť pozink. plech s</t>
  </si>
  <si>
    <t>LED svítidlo do kovového podhledu, 59W, IP54, microprisma, 625x625mm, Ra90 s nouzovým zdrojom</t>
  </si>
  <si>
    <t>LED svítidlo do kovového podhledu, 59W, IP54, microprisma, 625x625mm, Ra80</t>
  </si>
  <si>
    <t>Zariadenie č. 7 - ARO</t>
  </si>
  <si>
    <t>Čistý nástavec s HEPA filtrom  570 x 570</t>
  </si>
  <si>
    <t>S02-6.2 - SO 02-62 - Zdravotnícka technológia</t>
  </si>
  <si>
    <t>02.2. - Zdravotnická technologie a vybavení</t>
  </si>
  <si>
    <t>02.2.</t>
  </si>
  <si>
    <t>Poznámka k položke:_x000D_
Obsah zdrojového mostu:; viď PD elektro - vč.č.E-1, E-3, E-4; viď PD plyn - v.č.1</t>
  </si>
  <si>
    <t>S02-6.3 - SO 02-63 - VZT</t>
  </si>
  <si>
    <t>02.3. - Vzduchotechnika</t>
  </si>
  <si>
    <t xml:space="preserve">    D1 - Zariadenie č. 7 - ARO</t>
  </si>
  <si>
    <t xml:space="preserve">    D2 - Zariadenie č. 8 - Sociální zařízení</t>
  </si>
  <si>
    <t>02.3.</t>
  </si>
  <si>
    <t>Pol488</t>
  </si>
  <si>
    <t xml:space="preserve">Vzduchotechnická jednotka Zostava jednotky: - Pripojovací diel (pružná manžeta, sanie do čela), pozink. uzatváracia klapka so servopohonom (dodávka MaR), - 1 ° filtrácia vzduchu (vreckový filter, trieda filtra M5, vyberaní do boku), - Komora ZZT doskový, </t>
  </si>
  <si>
    <t>Poznámka k položke:_x000D_
Vzduchotechnická jednotka Zostava jednotky: - Pripojovací diel (pružná manžeta, sanie do čela), pozink. uzatváracia klapka so servopohonom (dodávka MaR), - 1 ° filtrácia vzduchu (vreckový filter, trieda filtra M5, vyberaní do boku), - Komora ZZT doskový,  - Ventilátor privádzaného vzduchu ex. tlak 1200 Pa, 400V, - ventilátor s voľným obežným kolesom bez špirálovej skrine (jednootáčkový elektromotor pre riadenie frekvenčným meničom otáčok, FM - dodávka MaR, servisný spínač pre opravy, silentbloky), Trieda V účinnosti motora IE2 - Ohrievacie komora, top.výkon 74 kW, vykurovacia voda 80/60 ° C, vykurovací výmenník - medený rozdeľovač a zberač s vonkajšími závitmi, rám a vodiace profily z oceľového pozinkovaného plechu, medené trubičky, nalisované lamely Alu, Max. prevádzkový tlak 15 bar, skúšobný tlak 30 barov. Tlaková strata na strane vody max. 10 kPa, prispôsobený pre umiestnenie čidla protimrazovej ochrany.  - Chladiaci komora, chl.výkon 85 kW, chladicia voda 7/12 ° C, chladiací výmenník - medený rozdeľovač a zberač s vonkajšími závitmi, rám a vodiace profily z oceľového pozinkovaného plechu, medené trubičky, nalisované lamely Alu, Max. prevádzkový tlak 15 bar, skúšobný tlak 30 barov. Tlaková strata na strane vody max. 10 kPa. Kondenzátnej vaňa z oceľového nehrdzavejúceho plechu s odpadovým hrdlom, sifón._x000D_
Ohrievacie komora, top.výkon 38 kW, vykurovacia voda 80/60 ° C, vykurovací výmenník - medený rozdeľovač a zberač s vonkajšími závitmi, rám a vodiace profily z oceľového pozinkovaného plechu, medené trubičky, nalisované lamely Alu, Max. prevádzkový tlak 15 bar, skúšobný tlak 30 barov. Tlaková strata na strane vody max. 10 kPa, prispôsobený pre umiestnenie čidla protimrazovej ochrany. - 2 ° filtrácia vzduchu (vreckový filter, trieda filtra F9, vyberaní do boku), - Pripojovací diel (pružná manžeta, výtlak do čela) - Základný rám jednotky výšky cca 80 mm Odvodné jednotka, prietok 6.370 m3 / h Zostava jednotky: - Pripojovací diel (pružná manžeta, sanie do čela), - 1 ° filtrácia vzduchu (vreckový filter, trieda filtra M5, vyberaní do boku), - Komora ZZT doskový - Ventilátor privádzaného vzduchu ex. tlak 1000 Pa, 400V, - ventilátor s voľným obežným kolesom bez špirálovej skrine (jednootáčkový elektromotor pre riadenie frekvenčným meničom otáčok - dodávka MaR, servisný spínač pre opravy, silentbloky), Trieda V účinnosti motora IE2 - Pripojovací diel (pružná manžeta, výtlak do čela), pozink. uzatváracia klapka so servopohonom (dodávka MaR), základný rám jednotky výšky cca 80 mm prevedenie - vnútorne čistiteľné, bez vyčnievajúcich častí ; zachytávajúce nečistoty, - Plášť v oblasti rosného bodu tepelne oddelený - Hrúbka steny plášťa 50mm - Vlastnosti plášťa podľa prEN 1886 (2007) - Mechanická stabilita D1 - Tesnosť placho L1 - Tepelná izolácia T3 - Faktor tepelných mostov TB2 strana obsluhy do boku Spĺňať nariadenia EÚ č.1253 / 2014 (vetracie VZT jednotky</t>
  </si>
  <si>
    <t>Pol489</t>
  </si>
  <si>
    <t>Rám pod vzduchotechnickú jednotku výška rámu 200 mm, samostatný, s nastaviteľnými nôžkami, s pružnými silenbloky delený na jednotlivé polia z dôvodu dopravy do strojovne vzduchotechniky, zostavené pomocou skrutkových spojení.</t>
  </si>
  <si>
    <t>Pol491</t>
  </si>
  <si>
    <t>Zvlhčovacie diel do potrubi Zvlhčovacie diel pre osadenie distribučných trubíc s odtokom kondenz. a revíz. otvorom Rúra 1000 x 800/2000, odtok kondenzátu (hrdlo) zospodu Tesná revízne dvierka 300x200 prevedenie vodotesné, trieda tesnosti B podľa EN12 237</t>
  </si>
  <si>
    <t>Pol492</t>
  </si>
  <si>
    <t>3 ks - Kulisový tlmič hluku pôsobí na princípe absorbcie v komore, povrch kulís odolný proti oteru, max. rýchlosť do 9 m / s, nehorľavá minerálna vlna (stavebný trieda A), skriňa z pozinkovaného oceľového plechu, obojstranne s prípojným rámom, so zaoblený</t>
  </si>
  <si>
    <t>Poznámka k položke:_x000D_
3 ks - Kulisový tlmič hluku pôsobí na princípe absorbcie v komore, povrch kulís odolný proti oteru, max. rýchlosť do 9 m / s, nehorľavá minerálna vlna (stavebný trieda A), skriňa z pozinkovaného oceľového plechu, obojstranne s prípojným rámom, so zaoblenými koncami kulís, vrátane upevňovacieho materiálu ) Technické údaje: šírka: 1000 mm výška: 800 mm dĺžka: 1500 mm celkový vložený útlm pri 250 Hz .: min. 25 dB trieda tesnosti A podľa EN12 237 2 ks - Kulisový tlmič hluku pôsobí na princípe absorbcie v komore, povrch kulís odolný proti oteru, max. rýchlosť do 9 m / s, nehorľavá minerálna vlna (stavebný trieda A), skriňa z pozinkovaného oceľového plechu, obojstranne s prípojným rámom, so zaoblenými koncami kulís, vrátane upevňovacieho materiálu ) Technické údaje: šírka: 1000 mm výška: 500 mm dĺžka: 1000 mm celkový vložený útlm pri 250 Hz .: min. 10 dB trieda tesnosti A podľa EN12 237 1 ks - Kulisový tlmič hluku pôsobí na princípe absorbcie v komore, povrch kulís odolný proti oteru, max. rýchlosť do 9 m / s, nehorľavá minerálna vlna (stavebný trieda A), skriňa z pozinkovaného oceľového plechu, obojstranne s prípojným rámom, so zaoblenými koncami kulís, vrátane upevňovacieho materiálu ) Technické údaje: šírka: 1000 mm výška: 400 mm dĺžka: 1000 mm celkový vložený útlm pri 250 Hz .: min. 10 dB trieda tesnosti A podľa EN12 237_x000D_
1ks - Kulisový tlmič hluku pôsobí na princípe absorbcie v komore, povrch kulís odolný proti oteru, max. rýchlosť do 9 m / s, nehorľavá minerálna vlna (stavebný trieda A), skriňa z pozinkovaného oceľového plechu, obojstranne s prípojným rámom, so zaoblenými koncami kulís, vrátane upevňovacieho materiálu ) Technické údaje: šírka: 400 mm výška: 250 mm dĺžka: 1000 mm celkový vložený útlm pri 250 Hz .: min. 10 dB trieda tesnosti A podľa EN12 237</t>
  </si>
  <si>
    <t>Pol493</t>
  </si>
  <si>
    <t>Regulačná klapka Regulačný (škrtiaca) klapka kruhová na reguláciu množstva vzduchu. Z pozinkovanej ocele, nastavenie klapky ručne vonkajšie nastavovacie pákou, sa zaisťovacím zariadením listu klapky prostredníctvom krídlovej skrutky. Menovitý rozmer: O 25</t>
  </si>
  <si>
    <t xml:space="preserve">Poznámka k položke:_x000D_
Regulačná klapka Regulačný (škrtiaca) klapka kruhová na reguláciu množstva vzduchu. Z pozinkovanej ocele, nastavenie klapky ručne vonkajšie nastavovacie pákou, sa zaisťovacím zariadením listu klapky prostredníctvom krídlovej skrutky. Menovitý rozmer: O 250 mm trieda tesnosti B podľa EN12 237_x000D_
</t>
  </si>
  <si>
    <t>Pol494</t>
  </si>
  <si>
    <t>Škrtiaca klapka 8 ks - Regulačný (škrtiaca) klapka kruhová na reguláciu množstva vzduchu. Z pozinkovanej ocele, nastavenie klapky ručne vonkajšie nastavovacie pákou, sa zaisťovacím zariadením listu klapky prostredníctvom krídlovej skrutky. Menovitý rozmer</t>
  </si>
  <si>
    <t xml:space="preserve">Poznámka k položke:_x000D_
Škrtiaca klapka 8 ks - Regulačný (škrtiaca) klapka kruhová na reguláciu množstva vzduchu. Z pozinkovanej ocele, nastavenie klapky ručne vonkajšie nastavovacie pákou, sa zaisťovacím zariadením listu klapky prostredníctvom krídlovej skrutky. Menovitý rozmer: O 315 mm trieda tesnosti B podľa EN12 237 10 ks - Regulačný (škrtiaca) klapka kruhová na reguláciu množstva vzduchu. Z pozinkovanej ocele, nastavenie klapky ručne vonkajšie nastavovacie pákou, sa zaisťovacím zariadením listu klapky prostredníctvom krídlovej skrutky. Menovitý rozmer: O 200 mm trieda tesnosti B podľa EN12 237 4 ks - Regulačný (škrtiaca) klapka kruhová na reguláciu množstva vzduchu. Z pozinkovanej ocele, nastavenie klapky ručne vonkajšie nastavovacie pákou, sa zaisťovacím zariadením listu klapky prostredníctvom krídlovej skrutky. Menovitý rozmer: O 160 mm trieda tesnosti B podľa EN12 237_x000D_
</t>
  </si>
  <si>
    <t>Pol495</t>
  </si>
  <si>
    <t>Regulačná klapka pre osadenie servopohonu, pozink, Trieda tesnosti A podľa EN12 237 rozmer: O 200 servo v dodávke MaR</t>
  </si>
  <si>
    <t>Pol496</t>
  </si>
  <si>
    <t>Požiarna klapka pre osadenie servopohonu 1ks - Požiarna klapka štvorhranná pozinkovaná veľkosť: 800 x 500 mm,  -Prevedenie: se servopohonom (řízení UPS), požiarna odolnosť podľa PBR 1 ks - Požiarna klapka štvorhranná pozinkovaná veľkosť: 800 x 400 mm,  -P</t>
  </si>
  <si>
    <t xml:space="preserve">Poznámka k položke:_x000D_
Požiarna klapka pre osadenie servopohonu 1ks - Požiarna klapka štvorhranná pozinkovaná veľkosť: 800 x 500 mm,  -Prevedenie: se servopohonom (řízení UPS), požiarna odolnosť podľa PBR 1 ks - Požiarna klapka štvorhranná pozinkovaná veľkosť: 800 x 400 mm,  -Prevedenie: se servopohonom (řízení UPS), požiarna odolnosť podľa PBR 1 ks - Požiarna klapka štvorhranná pozinkovaná veľkosť: 250 x 250 mm,  -Prevedenie: se servopohonom (řízení UPS), požiarna odolnosť podľa PBR_x000D_
</t>
  </si>
  <si>
    <t>Pol497</t>
  </si>
  <si>
    <t xml:space="preserve">Regulátor prietoku elektronický 2 ks - Elektronický regulátor prietoku vzduchu oceľový kruhový s plynulou reguláciou, so servopohonom, skladá sa zo skrine s regulačnou klapkou a čidlá stredné hodnoty tlakovej diferencie, Regulátor, prevodník a servopohon </t>
  </si>
  <si>
    <t xml:space="preserve">Poznámka k položke:_x000D_
Regulátor prietoku elektronický 2 ks - Elektronický regulátor prietoku vzduchu oceľový kruhový s plynulou reguláciou, so servopohonom, skladá sa zo skrine s regulačnou klapkou a čidlá stredné hodnoty tlakovej diferencie, Regulátor, prevodník a servopohon (24V) tvoria neoddeliteľnú súčasť prístroja. Nastavenie regulátora bez prístrojov na požadované prietoky vzduchu. Kontrola funkčnosti LED diódou, Rozsah tlakovej diferencie je 20-1000Pa, ovládacie napätie 0-10 V rozmer  800x500mm, prietok vzduchu 7260 m3/h 1 ks - Elektronický regulátor prietoku vzduchu oceľový kruhový s plynulou reguláciou, so servopohonom, skladá sa zo skrine s regulačnou klapkou a čidlá stredné hodnoty tlakovej diferencie, Regulátor, prevodník a servopohon (24V) tvoria neoddeliteľnú súčasť prístroja. Nastavenie regulátora bez prístrojov na požadované prietoky vzduchu. Kontrola funkčnosti LED diódou, Rozsah tlakovej diferencie je 20-1000Pa, ovládacie napätie 0-10 V rozmer  200x200mm, prietok vzduchu 1300 m3/h 1ks - Elektronický regulátor prietoku vzduchu oceľový kruhový s plynulou reguláciou, so servopohonom, skladá sa zo skrine s regulačnou klapkou a čidlá stredné hodnoty tlakovej diferencie, Regulátor, prevodník a servopohon (24V) tvoria neoddeliteľnú súčasť prístroja. Nastavenie regulátora bez prístrojov na požadované prietoky vzduchu. Kontrola funkčnosti LED diódou, Rozsah tlakovej diferencie je 20-1000Pa, ovládacie napätie 0-10 V rozmer  800x400mm, prietok vzduchu 5070 m3/h_x000D_
</t>
  </si>
  <si>
    <t>Pol498</t>
  </si>
  <si>
    <t xml:space="preserve">Ohybná flexo hadica 5m - Ohybná flexo hadica o315 mm z dvoch vrstiev PVC s polyamidovou tkaninou, spevnená špirálovito vinutou kostrou z oceľového drôtu. prevádzková teplota -18 až +75 °C, max. rýchlosť vzduchu 25 m / s, Výpočet polomeru ohybu: R = 0,6 D </t>
  </si>
  <si>
    <t>Poznámka k položke:_x000D_
Ohybná flexo hadica 5m - Ohybná flexo hadica o315 mm z dvoch vrstiev PVC s polyamidovou tkaninou, spevnená špirálovito vinutou kostrou z oceľového drôtu. prevádzková teplota -18 až +75 °C, max. rýchlosť vzduchu 25 m / s, Výpočet polomeru ohybu: R = 0,6 D 17m - Ohybná flexo hadica o250 mm z dvoch vrstiev PVC s polyamidovou tkaninou, spevnená špirálovito vinutou kostrou z oceľového drôtu. prevádzková teplota -18 až +75 °C, max. rýchlosť vzduchu 25 m / s, Výpočet polomeru ohybu: R = 0,6 D 8 m - Ohybná flexo hadica o200 mm z dvoch vrstiev PVC s polyamidovou tkaninou, spevnená špirálovito vinutou kostrou z oceľového drôtu. prevádzková teplota -18 až +75 °C, max. rýchlosť vzduchu 25 m / s, Výpočet polomeru ohybu: R = 0,6 D 3 m - Ohybná flexo hadica o160 mm z dvoch vrstiev PVC s polyamidovou tkaninou, spevnená špirálovito vinutou kostrou z oceľového drôtu. prevádzková teplota -18 až +75 °C, max. rýchlosť vzduchu 25 m / s, Výpočet polomeru ohybu: R = 0,6 D</t>
  </si>
  <si>
    <t>Pol499</t>
  </si>
  <si>
    <t>Pol500</t>
  </si>
  <si>
    <t xml:space="preserve">Tepelná izolácia 82 m2 -  Vnútorná tepelná izolácia. Vnútorná tepelná izolácia hr. 30 mm z termoizolačných pásov - prevedenie B - samoshášivé lepená na potrubia, tepelná vodivosť 0,04 W / m.K určená pre izoláciu potrubia vzduchu v strojovniach vzt Hrúbka </t>
  </si>
  <si>
    <t xml:space="preserve">Poznámka k položke:_x000D_
Tepelná izolácia 82 m2 -  Vnútorná tepelná izolácia. Vnútorná tepelná izolácia hr. 30 mm z termoizolačných pásov - prevedenie B - samoshášivé lepená na potrubia, tepelná vodivosť 0,04 W / m.K určená pre izoláciu potrubia vzduchu v strojovniach vzt Hrúbka vrstvy izolácie: 30 mm 20 m2 - Tepelná izolácia pre nasávanie čerstvého vzduchu materiál na báze syntetického kaučuku, faktor difúzneho odporu m&gt; 7000, použitie od -40 ° C do + 105 ° C, súčiniteľ tepelnej vodivosti ? = 0,038W / m * K hrúbka izolácie 25 mm, typ: nekonečné dosky_x000D_
</t>
  </si>
  <si>
    <t>Zariadenie č. 8 - Sociální zařízení</t>
  </si>
  <si>
    <t>Pol501</t>
  </si>
  <si>
    <t xml:space="preserve">Tlmič hluku 2ks - Kruhový tlmič hluku pôsobí na princípe absorbcie v komore, absorbčný materiál minerálna vlna nehorľavá, (stavebné trieda A), vonkajší obal z pozinkovaného oceľového plechu, na oboch stranách opatrený prírubami. Technické údaje: menovitá </t>
  </si>
  <si>
    <t xml:space="preserve">Poznámka k položke:_x000D_
Tlmič hluku 2ks - Kruhový tlmič hluku pôsobí na princípe absorbcie v komore, absorbčný materiál minerálna vlna nehorľavá, (stavebné trieda A), vonkajší obal z pozinkovaného oceľového plechu, na oboch stranách opatrený prírubami. Technické údaje: menovitá svetlosť: DN 200 hrúbka tlmiace vložky: 50 mm dĺžka: 1000 mm vložený útlm pri 250 Hz .: 10 dB trieda tesnosti A podľa EN12 237 2 ks - Kruhový tlmič hluku pôsobí na princípe absorbcie v komore, absorbčný materiál minerálna vlna nehorľavá, (stavebné trieda A), vonkajší obal z pozinkovaného oceľového plechu, na oboch stranách opatrený prírubami. Technické údaje: menovitá svetlosť: DN 160 hrúbka tlmiace vložky: 50 mm dĺžka: 1000 mm vložený útlm pri 250 Hz .: 10 dB trieda tesnosti A podľa EN12 237 2 ks - Kruhový tlmič hluku pôsobí na princípe absorbcie v komore, absorbčný materiál minerálna vlna nehorľavá, (stavebné trieda A), vonkajší obal z pozinkovaného oceľového plechu, na oboch stranách opatrený prírubami. Technické údaje: menovitá svetlosť: DN 125 hrúbka tlmiace vložky: 50 mm dĺžka: 1000 mm vložený útlm pri 250 Hz .: 10 dB trieda tesnosti A podľa EN12 237_x000D_
</t>
  </si>
  <si>
    <t>Pol502</t>
  </si>
  <si>
    <t>Škrtiaca klapka Regulačný (škrtiaca) klapka kruhová na reguláciu množstva vzduchu. Z pozinkovanej ocele, nastavenie klapky ručne vonkajšie nastavovacie pákou, sa zaisťovacím zariadením listu klapky prostredníctvom krídlovej skrutky. Menovitý rozmer: O 150</t>
  </si>
  <si>
    <t xml:space="preserve">Poznámka k položke:_x000D_
Škrtiaca klapka Regulačný (škrtiaca) klapka kruhová na reguláciu množstva vzduchu. Z pozinkovanej ocele, nastavenie klapky ručne vonkajšie nastavovacie pákou, sa zaisťovacím zariadením listu klapky prostredníctvom krídlovej skrutky. Menovitý rozmer: O 150 mm trieda tesnosti A podľa EN12 237_x000D_
</t>
  </si>
  <si>
    <t>Pol503</t>
  </si>
  <si>
    <t>Regulačná klapka pre osadenie servopohonu 1 ks - Regulačná klapka pre osadenie servopohonu, pozink, Trieda tesnosti A podľa EN12 237 rozmer: O 125 servo v dodávke MaR 1 ks - Regulačná klapka pre osadenie servopohonu, pozink, Trieda tesnosti A podľa EN12 2</t>
  </si>
  <si>
    <t xml:space="preserve">Poznámka k položke:_x000D_
Regulačná klapka pre osadenie servopohonu 1 ks - Regulačná klapka pre osadenie servopohonu, pozink, Trieda tesnosti A podľa EN12 237 rozmer: O 125 servo v dodávke MaR 1 ks - Regulačná klapka pre osadenie servopohonu, pozink, Trieda tesnosti A podľa EN12 237 rozmer: O 160 servo v dodávke MaR 1 ks - Regulačná klapka pre osadenie servopohonu, pozink, Trieda tesnosti A podľa EN12 237 rozmer: O 200 servo v dodávke MaR_x000D_
</t>
  </si>
  <si>
    <t>Pol504</t>
  </si>
  <si>
    <t>Odvodní ventil Tanierový ventil univerzálny kovový na odvod vzduchu. Odtieň RAL 9016, rozmer O 150 mm, príslušenstvo: -Plastové zder -upevňovací krúžok</t>
  </si>
  <si>
    <t>Pol505</t>
  </si>
  <si>
    <t>Radiálny ventilátor pre osadenie do kruhového potrubia prietok 260 m3 / h, ext. tlak 300 Pa 230V, IP44, inštalácia v ľubovoľnej pozícii príslušenstvo: rýchloupínacie spona 2 ks, montážna konzola 1 ks</t>
  </si>
  <si>
    <t>Pol506</t>
  </si>
  <si>
    <t>Radiálny ventilátor pre osadenie do kruhového potrubia prietok 170 m3 / h, ext. tlak 200 Pa 230V, IP44, inštalácia v ľubovoľnej pozícii príslušenstvo: rýchloupínacie spona 2 ks, montážna konzola 1 ks</t>
  </si>
  <si>
    <t>Pol507</t>
  </si>
  <si>
    <t>Radiálny ventilátor pre osadenie do kruhového potrubia prietok 410 m3 / h, ext. tlak 300 Pa 230V, IP44, inštalácia v ľubovoľnej pozícii príslušenstvo: rýchloupínacie spona 2 ks, montážna konzola 1 ks</t>
  </si>
  <si>
    <t>Pol508</t>
  </si>
  <si>
    <t>Výfuková hlavica do 500 m3/h 1 ks - Výfuková samoťažné hlavice O125 mm proti prenikaniu poveternostných zrážok a nečistôt do potrubia, prevedenie z pozinkovaného plechu trieda tesnosti A podľa EN12 237 1 ks - Výfuková samoťažné hlavice O160 mm proti preni</t>
  </si>
  <si>
    <t xml:space="preserve">Poznámka k položke:_x000D_
Výfuková hlavica do 500 m3/h 1 ks - Výfuková samoťažné hlavice O125 mm proti prenikaniu poveternostných zrážok a nečistôt do potrubia, prevedenie z pozinkovaného plechu trieda tesnosti A podľa EN12 237 1 ks - Výfuková samoťažné hlavice O160 mm proti prenikaniu poveternostných zrážok a nečistôt do potrubia, prevedenie z pozinkovaného plechu trieda tesnosti A podľa EN12 237 1 ks - Výfuková samoťažné hlavice O200 mm proti prenikaniu poveternostných zrážok a nečistôt do potrubia, prevedenie z pozinkovaného plechu trieda tesnosti A podľa EN12 237_x000D_
</t>
  </si>
  <si>
    <t>Pol509</t>
  </si>
  <si>
    <t>Ohybná flexo hadica o150 mm z dvoch vrstiev PVC s polyamidovou tkaninou, spevnená špirálovito vinutou kostrou z oceľového drôtu. prevádzková teplota -18 až +75 °C, max. rýchlosť vzduchu 25 m / s, Výpočet polomeru ohybu: R = 0,6 D</t>
  </si>
  <si>
    <t>Pol510</t>
  </si>
  <si>
    <t xml:space="preserve">Potrubie trieda tesnosti B Štvorhranné a kruhové potrubie oceľové pozinkované z pozinkovaného plechu, s diagonálnym vystužením, z pozinkovaných profilov a rohov z uholníkov. Trieda tesnosti A podľa EN12 237, Hrúbka plechu a tlaková trieda podľa DIN 24190 </t>
  </si>
  <si>
    <t xml:space="preserve">Poznámka k položke:_x000D_
Potrubie trieda tesnosti B Štvorhranné a kruhové potrubie oceľové pozinkované z pozinkovaného plechu, s diagonálnym vystužením, z pozinkovaných profilov a rohov z uholníkov. Trieda tesnosti A podľa EN12 237, Hrúbka plechu a tlaková trieda podľa DIN 24190 / DIN 24191. Potrubie rozmerov väčších ako 1000x1000 mm budú vystužené spevňovacími pozink.kříži uloženými vnútri potrubia. Oblúky so šírkou väčšou ako 500 mm osadiť vodiacimi plechmi. Odbočky a rozbočky osadiť regulačnými plechy. Percento tvaroviek: 40% vrátane spojovacieho a tesniaceho materiálu_x000D_
</t>
  </si>
  <si>
    <t>Pol511</t>
  </si>
  <si>
    <t>Pol512</t>
  </si>
  <si>
    <t>S02-6.4 - SO 02-64 - Trubné rozvody pre VZT</t>
  </si>
  <si>
    <t>02.4. - Trubní rozvody pro VZT</t>
  </si>
  <si>
    <t xml:space="preserve">    D1 - Rozvody chladu pre VZT</t>
  </si>
  <si>
    <t xml:space="preserve">    D2 - Potrubie z oc.rúrok závitových bezšv. J. M. 11 353 (Vr. Ohybov, redukcií, T-kusov, chladiar.ojímok..</t>
  </si>
  <si>
    <t xml:space="preserve">    D3 - Potrubie z oc. rúrok bezšv. hladkých (Vr. Ohybov, redukcií, T-kusov, chladiarenských objímok...</t>
  </si>
  <si>
    <t xml:space="preserve">    D4 - Trubicová kaučuková izolácia AC, tl.13 mm</t>
  </si>
  <si>
    <t xml:space="preserve">    D5 - Trubicová kaučuková izolácia AC, tl.19 mm</t>
  </si>
  <si>
    <t xml:space="preserve">    D6 - Regulačné uzly tepla pre VZT</t>
  </si>
  <si>
    <t>02.4.</t>
  </si>
  <si>
    <t>Rozvody chladu pre VZT</t>
  </si>
  <si>
    <t>Pol513</t>
  </si>
  <si>
    <t>Guľový kohút, DN 1/2 "</t>
  </si>
  <si>
    <t>Pol514</t>
  </si>
  <si>
    <t>Bezprírubová uzatváracia klapka DN 80/6, vrátane pripojovacích protiprírub</t>
  </si>
  <si>
    <t>Pol515</t>
  </si>
  <si>
    <t>Filter prírubový DN 80 / PN 6 s vypúšťací skrutkou, vrátane pripojovacích protiprírub</t>
  </si>
  <si>
    <t>Pol516</t>
  </si>
  <si>
    <t>Tlakove nezávislý regulačný a vyvažovací ventil s nezávislou EQM charakteristikou P, DN80 / 16, vrátane 2ks protiprírub, spojovacieho materiálu a 2ks tesnenie Vysoko výkonný proporcionálny pohon TA-MC55, pre proporcionálnu alebo 3 bodovú reguláciu, 24V AC</t>
  </si>
  <si>
    <t>Pol517</t>
  </si>
  <si>
    <t>Kombinovaný regulačný a vyvažovací ventil s nezávislou EQM charakteristikou C, DN32, Vysoko výkonný proporcionálny pohon TA-MC55, pre proporcionálnu alebo 3 bodovú reguláciu, 24V AC / DC, 5m kábel</t>
  </si>
  <si>
    <t>Pol518</t>
  </si>
  <si>
    <t>Automatický odvzdušňovací ventil, DN 1/2 "</t>
  </si>
  <si>
    <t>Pol519</t>
  </si>
  <si>
    <t>Tlakomer pre meranie zanesenia filtra priem. 100 mm, pripojenie G1 / 2 ", rozsah: 0 - 600 kPa. Vrátane kondenzačné slučky s 3-cestným skúšobným kohútom, pripojovacím potrubím a 2 ks uzatváracích guľových kohútov</t>
  </si>
  <si>
    <t>Pol520</t>
  </si>
  <si>
    <t>Prírubový spoj, DN 80 / PN6, vrátane tesnenia a spojovacieho materiálu</t>
  </si>
  <si>
    <t>Potrubie z oc.rúrok závitových bezšv. J. M. 11 353 (Vr. Ohybov, redukcií, T-kusov, chladiar.ojímok..</t>
  </si>
  <si>
    <t>Potrubie z oc. rúrok bezšv. hladkých (Vr. Ohybov, redukcií, T-kusov, chladiarenských objímok...</t>
  </si>
  <si>
    <t>Pol521</t>
  </si>
  <si>
    <t>Pol522</t>
  </si>
  <si>
    <t>Pol523</t>
  </si>
  <si>
    <t>DN125</t>
  </si>
  <si>
    <t>Trubicová kaučuková izolácia AC, tl.13 mm</t>
  </si>
  <si>
    <t>Pol524</t>
  </si>
  <si>
    <t>13x35 mm pre DN 25</t>
  </si>
  <si>
    <t>Trubicová kaučuková izolácia AC, tl.19 mm</t>
  </si>
  <si>
    <t>Pol525</t>
  </si>
  <si>
    <t>19x76 mm pre DN 65</t>
  </si>
  <si>
    <t>Pol526</t>
  </si>
  <si>
    <t>19x89 mm pre DN 80</t>
  </si>
  <si>
    <t>Pol527</t>
  </si>
  <si>
    <t>19x133 mm pre DN 125</t>
  </si>
  <si>
    <t>Pol528</t>
  </si>
  <si>
    <t>Prestupy cez stavebné konštrukcie</t>
  </si>
  <si>
    <t>Pol529</t>
  </si>
  <si>
    <t>Tepelná izolácia-izolačné rohože hr. 30 mm (pre vonkajšie potrubie)</t>
  </si>
  <si>
    <t>Pol530</t>
  </si>
  <si>
    <t>Oplechovanie vonkajšieho potrubia Al plechom</t>
  </si>
  <si>
    <t>Pol531</t>
  </si>
  <si>
    <t>protipožiarne opatrenia</t>
  </si>
  <si>
    <t>Pol532</t>
  </si>
  <si>
    <t>Guľový kohút, DN 5/4"</t>
  </si>
  <si>
    <t>Pol533</t>
  </si>
  <si>
    <t>Guľový kohút, DN 6/4"</t>
  </si>
  <si>
    <t>Pol534</t>
  </si>
  <si>
    <t>Filter hrubý, DN5/4"</t>
  </si>
  <si>
    <t>Pol535</t>
  </si>
  <si>
    <t>Filter hrubý, DN6/4"</t>
  </si>
  <si>
    <t>Pol536</t>
  </si>
  <si>
    <t>Obehové čerpadlo, Q = 4,0 m3 / h, H = 2,5m, 1N-230V, 50Hz, P = 1,1kW, vrátane 2ks pripojovací nákrutka,</t>
  </si>
  <si>
    <t>Pol537</t>
  </si>
  <si>
    <t>Tlakove nezávislý regulačný a vyvažovací ventil pre plynulú reguláciu, DN25 Vysoko výkonný proporcionálny pohon napr. TA-Slider 160, pre proporcionálnu Alebo 3 bodovu reguláciu, 24V AC / DC, 5m kábel</t>
  </si>
  <si>
    <t>Pol538</t>
  </si>
  <si>
    <t>Tlakove nezávislý regulačný a vyvažovací ventil s nezávislou EQM charakteristikou P, DN32 Vysoko výkonný proporcionálny pohon TA-MC55, pre proporcionálnu alebo 3 bodovú reguláciu, 24V AC / DC, 5m kábel</t>
  </si>
  <si>
    <t>Pol539</t>
  </si>
  <si>
    <t>Tlakove nezávislý regulačný a vyvažovací ventil s nezávislou EQM charakteristikou P, DN40 Vysoko výkonný proporcionálny pohon TA-MC55, pre proporcionálnu alebo 3 bodovú reguláciu, 24V AC / DC, 5m kábel</t>
  </si>
  <si>
    <t>Pol540</t>
  </si>
  <si>
    <t>Diferenčný tlakomer priem. 100 mm, pripojenie G1 / 2 ", rozsah: 0 - 600 kPa, vrátane 2 ks kondenzačné slučky, 1 m pripojovacieho potrubia DN 15 a 2 ks 3-cestných skúšobných kohútov</t>
  </si>
  <si>
    <t>Pol541</t>
  </si>
  <si>
    <t>Nákrutka 5/4", vrátane tesnenia</t>
  </si>
  <si>
    <t>Pol542</t>
  </si>
  <si>
    <t>Nákrutka 6/4", vrátane tesnenia</t>
  </si>
  <si>
    <t>Pol543</t>
  </si>
  <si>
    <t>Vyvažovací ventil, typ napr. IMI STAD, DN 6/4"</t>
  </si>
  <si>
    <t>Pol544</t>
  </si>
  <si>
    <t>Regulačný a vyvažovací ventil pre proporcionálny reguláciu napr. TBV-CM NF, DN25 Vysoko výkonný proporcionálny pohon napr. TA-MC15 / 24-C, pre proporcionálnu Alebo 3 bodovu reguláciu, 24V AC / DC, 5m kábel</t>
  </si>
  <si>
    <t>Pol545</t>
  </si>
  <si>
    <t>Potrubie z oceľových rúrok bezšvíkových hladkých (Vr. Ohybov, redukcií, T-kusov, objímok, izolacie, závesov, náterov atď.) DN 40</t>
  </si>
  <si>
    <t>Pol546</t>
  </si>
  <si>
    <t>Potrubie z oceľových rúrok bezšvíkových hladkých (Vr. Ohybov, redukcií, T-kusov, objímok, izolacie, závesov, náterov atď.) DN 65</t>
  </si>
  <si>
    <t>S02-6.5 - SO 02-65 - ELI pre VZT</t>
  </si>
  <si>
    <t>02.5. - Elektroinstalace pro VZT</t>
  </si>
  <si>
    <t xml:space="preserve">    D1 - MONTÁŽE</t>
  </si>
  <si>
    <t xml:space="preserve">    D2 - STROJE A ZARIADENIA - DODÁVKA</t>
  </si>
  <si>
    <t xml:space="preserve">    D3 - STROJE A ZARIADENIA - MONTÁŽE</t>
  </si>
  <si>
    <t xml:space="preserve">    D4 - NOSNÝ MATERIÁL - MONTÁŽE</t>
  </si>
  <si>
    <t xml:space="preserve">    D5 - MONTÁŽNE PRIRÁŽKY</t>
  </si>
  <si>
    <t xml:space="preserve">    D6 - MATERIÁL</t>
  </si>
  <si>
    <t xml:space="preserve">    D7 - NOSNÝ MATERIÁL</t>
  </si>
  <si>
    <t xml:space="preserve">    D8 - MATERIÁL - PRIRÁŽKY</t>
  </si>
  <si>
    <t>02.5.</t>
  </si>
  <si>
    <t>Pol547</t>
  </si>
  <si>
    <t>Rozvádzač vzduchotechniky RV 7.1.1, pole č. +01, rozmery 800x400x2000mm, vrátane výzbroje</t>
  </si>
  <si>
    <t>Pol548</t>
  </si>
  <si>
    <t>Rozvádzač vzduchotechniky RV 8.1.1, pole č. +01, rozmery 800x400x2000mm, vrátane výzbroje</t>
  </si>
  <si>
    <t>Pol549</t>
  </si>
  <si>
    <t>Pol550</t>
  </si>
  <si>
    <t>Servisný vypínač, 63A, 3P, 400V AC, IP54, štítky gravírované, káblové vývodky</t>
  </si>
  <si>
    <t>Pol551</t>
  </si>
  <si>
    <t>Pol552</t>
  </si>
  <si>
    <t>Pol553</t>
  </si>
  <si>
    <t>Frekvenčný menič, 11kW, 400V AC, IP54, asistenčný ovládací panel</t>
  </si>
  <si>
    <t>Pol554</t>
  </si>
  <si>
    <t>Frekvenčný menič, 5,5kW, 400V AC, IP54, asistenčný ovládací panel</t>
  </si>
  <si>
    <t>Pol555</t>
  </si>
  <si>
    <t>Pol556</t>
  </si>
  <si>
    <t>Pol557</t>
  </si>
  <si>
    <t>Pol558</t>
  </si>
  <si>
    <t>Pol559</t>
  </si>
  <si>
    <t>Pripojenie motorického spotrebiča do 25kW</t>
  </si>
  <si>
    <t>Pol560</t>
  </si>
  <si>
    <t>Pripojenie motorického spotrebiča do 7,5kW</t>
  </si>
  <si>
    <t>Pol561</t>
  </si>
  <si>
    <t>Pol562</t>
  </si>
  <si>
    <t>Pol563</t>
  </si>
  <si>
    <t>Montáž, kábel Cu 1kV uložený pevne CYKY 5x35</t>
  </si>
  <si>
    <t>Pol564</t>
  </si>
  <si>
    <t>Montáž, kábel Cu 750V uložený pevne CYKY, Olflex Classic 4x10</t>
  </si>
  <si>
    <t>Pol565</t>
  </si>
  <si>
    <t>Ukončenie celoplastových káblov zmršťovacou záklopkou 5x 35-50 mm2</t>
  </si>
  <si>
    <t>Pol566</t>
  </si>
  <si>
    <t>Pol567</t>
  </si>
  <si>
    <t>Pol568</t>
  </si>
  <si>
    <t>Pol569</t>
  </si>
  <si>
    <t>Pol570</t>
  </si>
  <si>
    <t>Pol571</t>
  </si>
  <si>
    <t>Pol325.</t>
  </si>
  <si>
    <t>Pol326.</t>
  </si>
  <si>
    <t>MATERIÁL</t>
  </si>
  <si>
    <t>Pol572</t>
  </si>
  <si>
    <t>Kábel Cu 1kV : 1-CYKY-J 5x35</t>
  </si>
  <si>
    <t>Pol573</t>
  </si>
  <si>
    <t>Kábel Cu 750V : CYKY-J 4x10</t>
  </si>
  <si>
    <t>Pol574</t>
  </si>
  <si>
    <t>Kábel ohybný, lanko Cu 750V :  100  4G10</t>
  </si>
  <si>
    <t>Pol575</t>
  </si>
  <si>
    <t>Kábel ohybný, lanko Cu 750V:  100CY 4G4</t>
  </si>
  <si>
    <t>Pol576</t>
  </si>
  <si>
    <t>Pol577</t>
  </si>
  <si>
    <t>Pol578</t>
  </si>
  <si>
    <t>Pol579</t>
  </si>
  <si>
    <t>Pol580</t>
  </si>
  <si>
    <t>Pol581</t>
  </si>
  <si>
    <t>Pol582</t>
  </si>
  <si>
    <t>Pol583</t>
  </si>
  <si>
    <t>Pol584</t>
  </si>
  <si>
    <t>Pol585</t>
  </si>
  <si>
    <t>Pol586</t>
  </si>
  <si>
    <t>Náterový systém na OK  náter 3x</t>
  </si>
  <si>
    <t>S02-6.6 - SO 02-66 - MaR</t>
  </si>
  <si>
    <t>02.6. - Měření a regulace</t>
  </si>
  <si>
    <t xml:space="preserve">    D4 - A2 - MONTÁŽ ZARIADENÍ MaR</t>
  </si>
  <si>
    <t xml:space="preserve">    D5 - B1 - NOSNÝ MATERIÁL</t>
  </si>
  <si>
    <t xml:space="preserve">    D6 - B2 - MONTÁŽ NOSNÉHO MATERIÁLU</t>
  </si>
  <si>
    <t xml:space="preserve">    D7 - B3 - MONTÁŽNE PRIRÁŽKY</t>
  </si>
  <si>
    <t xml:space="preserve">    D8 - B4 - MATERIÁLOVÉ PRIRÁŽKY</t>
  </si>
  <si>
    <t xml:space="preserve">    D9 - B5 - LEŠENIE</t>
  </si>
  <si>
    <t>02.6.</t>
  </si>
  <si>
    <t>Pol587</t>
  </si>
  <si>
    <t>Kanálový snímač tlaku pre VZT potrubie, výstup 4-20mA, BNV</t>
  </si>
  <si>
    <t>Pol588</t>
  </si>
  <si>
    <t>Rozvádzač RV ... pole č.2 (šxvxh : 800x2000x400) s príslušenstvom (svietidlo, zásuvka, ventilátor ...)</t>
  </si>
  <si>
    <t>Pol589</t>
  </si>
  <si>
    <t>Riadíací systém  (HW,SW,oživenie montáž...) - podstanica, kom.rozhranie,nap.modul, I/O moduly, adresné klúče, ethernet switch, Patch kábel</t>
  </si>
  <si>
    <t>Pol590</t>
  </si>
  <si>
    <t>Montáž snímača tlakovej diferencie, tlaku</t>
  </si>
  <si>
    <t>Pol591</t>
  </si>
  <si>
    <t>Žlab káblový 250/100, vrátane mont.materiálu (komplet aj s vekom, kolenami, "T" kusmi, prepážkami, spojkami so skrutkami a maticami + uchytenie žľabu)</t>
  </si>
  <si>
    <t>Pol592</t>
  </si>
  <si>
    <t>Žľab 250/100mm</t>
  </si>
  <si>
    <t>S03-1 - SO 03 - Operačky 1. poschodie - ASR</t>
  </si>
  <si>
    <t>31716-1114</t>
  </si>
  <si>
    <t>Preklady keramické 120/65/1750 mm</t>
  </si>
  <si>
    <t>Výstuž prekladov, ríms BSt 500 (10505) (preklady HEA)</t>
  </si>
  <si>
    <t>31794-1123</t>
  </si>
  <si>
    <t>Osadenie valc. nosníkov I, U, L číslo 14-22</t>
  </si>
  <si>
    <t>Tyč ocel HEA označ 120/140 vr. povrch. úparvy*</t>
  </si>
  <si>
    <t>Plentovanie ocel. valc. nosníkov tehlami pri výške do 20cm</t>
  </si>
  <si>
    <t>Zamurovanie zhlavia valc. nosníkov výšky do 150mm</t>
  </si>
  <si>
    <t>61140-4273</t>
  </si>
  <si>
    <t>Stierka stropov vyrovnávacia strojne miešaná, nanášaná ručne hr.3 mm (ST5)</t>
  </si>
  <si>
    <t>Zatepl.vonk.ostenia šírka do200mm om.su.zm. a EPS70 hr.30mm</t>
  </si>
  <si>
    <t>63136-2152</t>
  </si>
  <si>
    <t>Výstuž betónových mazanín zo zvarovaných sietí Kari d drôtu 5 mm, oko 15 cm (112-122)</t>
  </si>
  <si>
    <t>Samoniv. expandujúca zál. malta hr. 30-50mm (preklady HEA)*</t>
  </si>
  <si>
    <t>63245-9245</t>
  </si>
  <si>
    <t>Poter cementový zo suchej zmesi B20, hr. 45 mm (112-122)</t>
  </si>
  <si>
    <t>63411-1113</t>
  </si>
  <si>
    <t>Obvodová dilatácia pružnou tesniacou páskou v 80 mm medzi stenou a mazaninou (112-122)</t>
  </si>
  <si>
    <t>94121-1111</t>
  </si>
  <si>
    <t>Montáž lešenia radového rámového ľahkého, zaťaženie do 200 kg/m2 š do 0,9 m v do 10 m</t>
  </si>
  <si>
    <t>94121-1211</t>
  </si>
  <si>
    <t>Príplatok k lešeniu radovému rámovému ľahkému š 0,9 m v do 25 m za prvý a ZKD deň použitia</t>
  </si>
  <si>
    <t>94121-1811</t>
  </si>
  <si>
    <t>Demontáž lešenia radového rámového ľahkého, zaťaženie do 200 kg/m2 š do 0,9 m v do 10 m</t>
  </si>
  <si>
    <t>94494-4102</t>
  </si>
  <si>
    <t>Ochranná sieť z umelých vlákien bez obrátkovosti</t>
  </si>
  <si>
    <t>96203-2231</t>
  </si>
  <si>
    <t>Búranie muriva z tehál na MV, MVC alebo otvorov nad 4 m2</t>
  </si>
  <si>
    <t>Poznámka k položke:_x000D_
(3,11*3,55-1,8)*0,35 =   3,234</t>
  </si>
  <si>
    <t>96504-2141</t>
  </si>
  <si>
    <t>Búr. podkl. betón alebo liat. asfalt hr. do 10 cm nad 4 m2</t>
  </si>
  <si>
    <t>96703-1734</t>
  </si>
  <si>
    <t>Prisekanie plošné v murive tehlovom na MV, MVC hr. do 30 cm</t>
  </si>
  <si>
    <t>96806-2354</t>
  </si>
  <si>
    <t>Vybúranie rámov okien drev. dvojitých alebo zdvoj. do 1 m2</t>
  </si>
  <si>
    <t>Poznámka k položke:_x000D_
0,75*0,45+0,5*0,35*3 =   0,863</t>
  </si>
  <si>
    <t>96806-2356</t>
  </si>
  <si>
    <t>Vybúranie rámov okien drev. dvojitých alebo zdvoj. do 4 m2</t>
  </si>
  <si>
    <t>Poznámka k položke:_x000D_
1,15*2,25*2 =   5,175</t>
  </si>
  <si>
    <t>96808-2140</t>
  </si>
  <si>
    <t>Vybúranie plast. rámov dvojitých okien, nad 2 do 4 m2</t>
  </si>
  <si>
    <t>97103-5561</t>
  </si>
  <si>
    <t>Vybúr. otvorov do 1 m2 v murive tehl. na MC,MVC hr. do 60 cm</t>
  </si>
  <si>
    <t>97103-5581</t>
  </si>
  <si>
    <t>Vybúr. otvorov do 1 m2 v murive tehl. na MC,MVC hr. do 90 cm</t>
  </si>
  <si>
    <t>97103-5681</t>
  </si>
  <si>
    <t>Vybúr. otvorov do 4 m2 v murive tehl. na MC,MVC hr. do 90 cm</t>
  </si>
  <si>
    <t>Rezanie tehového muriva do hr. 40cm*</t>
  </si>
  <si>
    <t>Vysekanie rýh v tehel. murive pri  strope do 15 x 30 cm (HEA)</t>
  </si>
  <si>
    <t>Vysekanie rýh v tehel. murive pri  strope do 30 x 20 cm (HEA)</t>
  </si>
  <si>
    <t>97901-1111</t>
  </si>
  <si>
    <t>Zvislá doprava sute a vybúr. hmôt za prvé podlažie</t>
  </si>
  <si>
    <t>71312-1111</t>
  </si>
  <si>
    <t>Montáž tep. izolácie podláh 1 x položenie</t>
  </si>
  <si>
    <t>283 1B0302</t>
  </si>
  <si>
    <t>Polystyrén extrudovaný hr.30 mm</t>
  </si>
  <si>
    <t>71319-1131</t>
  </si>
  <si>
    <t>Izolácia tepelná podlah, stropov vrchom a striech prekrytie PE fóliou hr. 0,2 mm</t>
  </si>
  <si>
    <t>99876-2202</t>
  </si>
  <si>
    <t>Presun hmôt pre tesárske konštr. v obj. výšky do 12m</t>
  </si>
  <si>
    <t>SDK inštalačná predsadená stena pre sanitárne zariadenia, jednoduché opláštenie, RBI 12,5 mm (122)</t>
  </si>
  <si>
    <t>Presun hmôt pre drevostavby v obj. výšky do 12m</t>
  </si>
  <si>
    <t>M+D sanit. steny-1x hyg. box v 2,0m+dvere 70x200cm-celk. dl cca =1,8m (7)*</t>
  </si>
  <si>
    <t>M+D drev. fólia dvier 60x197+kov. zárubeň s náterom+okop. plast (3)*</t>
  </si>
  <si>
    <t>M+D drev. fólia dvier 80x197+kov. zárubeň s náterom+okop. plast (2)*</t>
  </si>
  <si>
    <t>M+D drev. fólia dvier 90x197+kov. zárubeň s náterom+okop. plast (4)*</t>
  </si>
  <si>
    <t>M+D drev. fólia dvier s presklením, posuvné s horným závesom 125x200 (6)*</t>
  </si>
  <si>
    <t>Presun hmôt pre konštr. stolárske v objektoch výšky do 6 m</t>
  </si>
  <si>
    <t>Montáž podhľadov do betónovej konštrukcie, 600 x 600 mm, vr. úprav pre svietidlá (ST1)</t>
  </si>
  <si>
    <t>M+D okien plast 120x210+parapet vnút. a vonk.+žaluzie (A+a+kl1)*</t>
  </si>
  <si>
    <t>M+D okien plast 150x180+parapet vnút. a vonk.+žaluzie (B+b+kl2)*</t>
  </si>
  <si>
    <t>M+D Al (plast) zaskl stena 258x297,5 s elektr. ovl. dverami 145x202,5 (1)*</t>
  </si>
  <si>
    <t>M+D Al (plast)  dvere s elektr. ovl. 140x197+98+zárubeň (5)*</t>
  </si>
  <si>
    <t>M+D nárazového madla, vr. konzol, spojok a koncoviek*</t>
  </si>
  <si>
    <t>M+D lepeného zvodidlového pása š=300*</t>
  </si>
  <si>
    <t>M+D nalep. kryt rohov pravouhlý, š.75mm / 135st.*</t>
  </si>
  <si>
    <t>Presun hmôt pre kov. stav. doplnk. konštr. v obj. výšky do 6m</t>
  </si>
  <si>
    <t>M+D prechodovej lišty</t>
  </si>
  <si>
    <t>Montáž soklov keram.rovných do flexib.lep.do 12cm (P4)</t>
  </si>
  <si>
    <t>Montáž podláh z dlaždíc keram. protišmyk. do tmelu, škár. (P4)</t>
  </si>
  <si>
    <t>Presun hmôt pre podlahy z dlaždíc v obj. výšky do 6m</t>
  </si>
  <si>
    <t>Zbrúsenie a vyčistenie podkladu*</t>
  </si>
  <si>
    <t>Lepenie a dodávka podlahových soklíkov alebo líšt gumených</t>
  </si>
  <si>
    <t>Odstránenie povlakových podláh lepených s podložkou vr. líšt</t>
  </si>
  <si>
    <t>Lepenie povlakových podláh plastových pásov</t>
  </si>
  <si>
    <t>Podlahovina PVC (P1)</t>
  </si>
  <si>
    <t>284 122090</t>
  </si>
  <si>
    <t>Podlahovina PVC protišmyková (P3)</t>
  </si>
  <si>
    <t>Presun hmôt pre podlahy povlak. v obj. výšky do 6m</t>
  </si>
  <si>
    <t>Presun hmôt pre obklady keramické v obj. výšky do 6m</t>
  </si>
  <si>
    <t>S03-2 - SO 03 - Nadstavba a zateplenie strechy</t>
  </si>
  <si>
    <t xml:space="preserve">    D1 - </t>
  </si>
  <si>
    <t xml:space="preserve">    714 - 714 - Akustické a protiotrasové opatrenie</t>
  </si>
  <si>
    <t>311275701</t>
  </si>
  <si>
    <t>Murivo nosné (m3) z tvárnic hr. 250 mm</t>
  </si>
  <si>
    <t>317166144</t>
  </si>
  <si>
    <t>Samonosný preklad  šírky 125 mm, výšky 250 mm, dĺžky 2000 mm</t>
  </si>
  <si>
    <t>411321314</t>
  </si>
  <si>
    <t>Betón stropov doskových a trámových,  železový tr. C 20/25</t>
  </si>
  <si>
    <t>1800979806</t>
  </si>
  <si>
    <t>411354171</t>
  </si>
  <si>
    <t>Podporná konštrukcia stropov výšky do 4 m pre zaťaženie do 5 kPa zhotovenie</t>
  </si>
  <si>
    <t>411354172</t>
  </si>
  <si>
    <t>Podporná konštrukcia stropov výšky do 4 m pre zaťaženie do 5 kPa odstránenie</t>
  </si>
  <si>
    <t>430321315</t>
  </si>
  <si>
    <t>Schodiskové konštrukcie, betón železový tr. C 20/25</t>
  </si>
  <si>
    <t>430361821</t>
  </si>
  <si>
    <t>Výstuž schodiskových konštrukcií z betonárskej ocele 10505</t>
  </si>
  <si>
    <t>431351121</t>
  </si>
  <si>
    <t>Debnenie do 4 m výšky - podest a podstupňových dosiek pôdorysne priamočiarych zhotovenie</t>
  </si>
  <si>
    <t>431351122</t>
  </si>
  <si>
    <t>Debnenie do 4 m výšky - podest a podstupňových dosiek pôdorysne priamočiarych odstránenie</t>
  </si>
  <si>
    <t>625251307</t>
  </si>
  <si>
    <t>Kontaktný zatepľovací systém hr. 100 mm  - štandardné riešenie (EPS-F), lepiace kotvy</t>
  </si>
  <si>
    <t>632450pc</t>
  </si>
  <si>
    <t>Nadbetonávka B20 hr. 60mm s adhéznym mostíkom</t>
  </si>
  <si>
    <t>9650pc</t>
  </si>
  <si>
    <t>Búranie strešných vrstiev až po nosnú konštrukciu</t>
  </si>
  <si>
    <t>979011111</t>
  </si>
  <si>
    <t>Zvislá doprava sutiny a vybúraných hmôt za prvé podlažie nad alebo pod základným podlažím</t>
  </si>
  <si>
    <t>979011121</t>
  </si>
  <si>
    <t>Zvislá doprava sutiny a vybúraných hmôt za každé ďalšie podlažie</t>
  </si>
  <si>
    <t>979089011</t>
  </si>
  <si>
    <t>Poplatok za skladovanie - betón, tehly, dlaždice, (17 01) nebezpečné</t>
  </si>
  <si>
    <t>712370070</t>
  </si>
  <si>
    <t>Zhotovenie povlakovej krytiny striech plochých do 10° PVC-P fóliou upevnenou prikotvením so zvarením spoju</t>
  </si>
  <si>
    <t>Fólia PVC vrátane kotvenia a systémových prvkov</t>
  </si>
  <si>
    <t>998712203</t>
  </si>
  <si>
    <t>Presun hmôt pre izoláciu povlakovej krytiny v objektoch výšky nad 12 do 24 m</t>
  </si>
  <si>
    <t>2837650750</t>
  </si>
  <si>
    <t>Extrudovaný polystyrén - XPS hrúbka 100mm</t>
  </si>
  <si>
    <t>XPS hrúbka 100mm ( 300kPa )</t>
  </si>
  <si>
    <t>2837650280.1</t>
  </si>
  <si>
    <t>Spádové kliny - Extrudovaný polystyrén</t>
  </si>
  <si>
    <t>998713203</t>
  </si>
  <si>
    <t>Presun hmôt pre izolácie tepelné v objektoch výšky nad 12 m do 24 m</t>
  </si>
  <si>
    <t>714</t>
  </si>
  <si>
    <t>714 - Akustické a protiotrasové opatrenie</t>
  </si>
  <si>
    <t>714110pc</t>
  </si>
  <si>
    <t>Dodávka a montáž antivibračných dosiek hr. 60mm</t>
  </si>
  <si>
    <t>998714103</t>
  </si>
  <si>
    <t>Presun hmôt pre izolácie akustické a protiotrasové opatrenia v objektoch výšky (hĺbky) nad 12 do 24m</t>
  </si>
  <si>
    <t>767311pc1</t>
  </si>
  <si>
    <t>Dodávka a montáž oceľových dverí 1600/2100mm vrátane zárubne a kovania</t>
  </si>
  <si>
    <t>767311pc2</t>
  </si>
  <si>
    <t>Dodávka a montáž protihlukovej zábrany</t>
  </si>
  <si>
    <t>Dodávka a montáž opláštenia strechy nadstavby sendvičovými panelmi s minerálnou výplňou hr. 150mm, vrátane lemovaní otvorov a spojov a tesnení</t>
  </si>
  <si>
    <t>998767203</t>
  </si>
  <si>
    <t>Presun hmôt pre kovové stavebné doplnkové konštrukcie v objektoch výšky nad 12 do 24 m</t>
  </si>
  <si>
    <t>771275107</t>
  </si>
  <si>
    <t>Montáž obkladov schodiskových stupňov dlaždicami do tmelu vrátane soklíkov</t>
  </si>
  <si>
    <t>5976498320</t>
  </si>
  <si>
    <t>Dlaždice keramické vrátane soklíkov</t>
  </si>
  <si>
    <t>998771203</t>
  </si>
  <si>
    <t>Presun hmôt pre podlahy z dlaždíc v objektoch výšky nad l2 do 24 m</t>
  </si>
  <si>
    <t>4301pc1</t>
  </si>
  <si>
    <t>Dodávka a montáž oceľovej konštrukcie nadstavby vrátane kotvenia a protipožiarného náteru s odolnosťou min. 15 min</t>
  </si>
  <si>
    <t>4301pc2</t>
  </si>
  <si>
    <t>Dodávka a montáž oceľovej pozinkovanej konštrukcie pre zdroje chladu</t>
  </si>
  <si>
    <t>4301pc3</t>
  </si>
  <si>
    <t>Dodávka a montáž pororoštov</t>
  </si>
  <si>
    <t>4301pc4</t>
  </si>
  <si>
    <t>Oceľové kotvy</t>
  </si>
  <si>
    <t>S03-3 - SO 03 - Operačky 1.poschodie - ZTI</t>
  </si>
  <si>
    <t xml:space="preserve">    D2 - 6 - ÚPRAVY POVRCHOV, PODLAHY, VÝPLNE</t>
  </si>
  <si>
    <t xml:space="preserve">    D3 - 91 - Dopln.konšt.a práce komun.a sp</t>
  </si>
  <si>
    <t xml:space="preserve">    D4 - 96 - Búranie konstrukcií</t>
  </si>
  <si>
    <t xml:space="preserve">    D5 - 97 - Prerážanie otvorov a ost.búr.p</t>
  </si>
  <si>
    <t xml:space="preserve">    D6 - 99 - Vnútrostaveniskový presun hmôt</t>
  </si>
  <si>
    <t>D7 - PRÁCE A DODÁVKY PSV</t>
  </si>
  <si>
    <t xml:space="preserve">    D8 - 711 - Izolácie proti vode a vlhkosti</t>
  </si>
  <si>
    <t xml:space="preserve">    D9 - 713 - Izolácie tepelné</t>
  </si>
  <si>
    <t xml:space="preserve">    D10 - 721 - Vnútorná kanalizácia</t>
  </si>
  <si>
    <t xml:space="preserve">    D11 - 722 - Vnútorný vodovod</t>
  </si>
  <si>
    <t xml:space="preserve">    D12 - 725 - Zariaďovacie predmety</t>
  </si>
  <si>
    <t>63131-2131</t>
  </si>
  <si>
    <t>Doplnenie jestvujúcich mazanín betónom prostým pl. 1-4 m2 hr. nad 80 mm</t>
  </si>
  <si>
    <t>91973-4210</t>
  </si>
  <si>
    <t>Rezanie stávajúceho betón. hr. do 10 cm</t>
  </si>
  <si>
    <t>Sekanie betón. krytu a bet. podkladu hr. do 10 cm</t>
  </si>
  <si>
    <t>Vybúranie kanalizačného potrubia DN do 200 mm</t>
  </si>
  <si>
    <t>Vŕtanie otvor. do pr. 50 mm jadrové do žel.bet. steny</t>
  </si>
  <si>
    <t>97901-1121</t>
  </si>
  <si>
    <t>Zvislá doprava sute a vybúr. hmôt za každé ďalšie podlažie</t>
  </si>
  <si>
    <t>Odvoz sute a vybúr. hmôt na skládku do 1 km</t>
  </si>
  <si>
    <t>Odvoz sute a vybúr. hmôt na skládku každý ďalší 1 km, do 10 km</t>
  </si>
  <si>
    <t>71111-1052</t>
  </si>
  <si>
    <t>Zhotovenie izolácie proti vlhkosti za studena vodorovná  tekutou lepenkou</t>
  </si>
  <si>
    <t>111 442200R</t>
  </si>
  <si>
    <t>Tekutá lepenka</t>
  </si>
  <si>
    <t>Rohový pripojovací ventil s filtrom DN 15</t>
  </si>
  <si>
    <t>72521-9201</t>
  </si>
  <si>
    <t>Montáž umývadiel</t>
  </si>
  <si>
    <t>D+M liniový sprchový žľab l = 0,8</t>
  </si>
  <si>
    <t>Nástenná jednopáková batéria s výtokom - predb. cena</t>
  </si>
  <si>
    <t>72585-9101R</t>
  </si>
  <si>
    <t>D+M podomietkovej zápachovej uzávierky - DN 50</t>
  </si>
  <si>
    <t>72585-9102R</t>
  </si>
  <si>
    <t>D+M podomietkový prívod vody 1/2"</t>
  </si>
  <si>
    <t>S03-4 - SO 03 - Operačky 1.poschodie - medicinálne plyny</t>
  </si>
  <si>
    <t xml:space="preserve">    D5 - 767 - Konštrukcie doplnk. kovové stavebné</t>
  </si>
  <si>
    <t xml:space="preserve">    D6 - 783 - Nátery</t>
  </si>
  <si>
    <t>D7 - PRÁCE A DODÁVKY M</t>
  </si>
  <si>
    <t xml:space="preserve">    D8 - M23 - 157 Montáž potrubia</t>
  </si>
  <si>
    <t>D9 - OSTATNÉ</t>
  </si>
  <si>
    <t>sub.</t>
  </si>
  <si>
    <t>S03-5 - SO 03 - Operačky 1.poschodie - UK</t>
  </si>
  <si>
    <t>732 - ZARIADENIE</t>
  </si>
  <si>
    <t xml:space="preserve">    D3 - Potrubie z rúrok hladkých oceľových bezšvových</t>
  </si>
  <si>
    <t xml:space="preserve">    D4 - Príplatok k cene za zhotovenie prípojky z oceľových rúrok hladkých</t>
  </si>
  <si>
    <t xml:space="preserve">    D5 - Zhotovenie rúrkových prechodov</t>
  </si>
  <si>
    <t xml:space="preserve">    D6 - Chránička pre vedenie potrubia cez strop</t>
  </si>
  <si>
    <t xml:space="preserve">    D7 - Privarenie odbočky na doterajšie potrubie o priemere odbočky</t>
  </si>
  <si>
    <t xml:space="preserve">    D8 - Zaslepenie potrubia kovaním a zvarením</t>
  </si>
  <si>
    <t xml:space="preserve">    D9 - Prírubový spoj</t>
  </si>
  <si>
    <t xml:space="preserve">    D10 - Montáž závitových armatúr s dvomi závitmi</t>
  </si>
  <si>
    <t xml:space="preserve">    D11 - Guľový kohút závitový</t>
  </si>
  <si>
    <t xml:space="preserve">    D12 - Ručný reg.ventil závit. s mer. ventilmi,prednastav.,meranie, uzatv.,napúšťanie,vypúšť, sada na meran</t>
  </si>
  <si>
    <t xml:space="preserve">    D13 - Kohúty plniace a vypúšťacie</t>
  </si>
  <si>
    <t xml:space="preserve">    D14 - Teplomer technický , vrátane teplomerného púzdra</t>
  </si>
  <si>
    <t xml:space="preserve">    D15 - Tlakomer deformačný f100mm</t>
  </si>
  <si>
    <t xml:space="preserve">    D16 - Armatúry na pripojenie vykurovacích telies</t>
  </si>
  <si>
    <t xml:space="preserve">    D17 - Vykurovacie telesá oceľové panelové s integrovanou ventilovou vložkou</t>
  </si>
  <si>
    <t xml:space="preserve">    D18 - Tlakové skúšky telies vodou</t>
  </si>
  <si>
    <t xml:space="preserve">    D19 - Montáž vykurovacích telies oceľových panelových</t>
  </si>
  <si>
    <t xml:space="preserve">    49-4811 - Vypúšťanie vody z vykurovacích sústav</t>
  </si>
  <si>
    <t xml:space="preserve">    D20 - Izolácia potrubia izoláciou z penového polyetylénu  hrúbky 20mm</t>
  </si>
  <si>
    <t>ZARIADENIE</t>
  </si>
  <si>
    <t>Poznámka k položke:_x000D_
hydraulické oddelenie okruhu výmenníkovej stanice s jestvujúcim obehovým; čerpadlom a okruhu vykurovania VZT - napojenie VZT v objekte SO03; Prietok 20,3m3/hod, f  219mm/1500mm - pripojovacie hrdlá DN100; Automatický odvzdušňovací ventil, vypúšťací kohút</t>
  </si>
  <si>
    <t>Poznámka k položke:_x000D_
prietok 20,3m3/hod, H=10m, 230V, 1,5kW, tepelno izolačný kryt; * funkcia - AUTO ADAPT ; * Integrovaný systém riadenia na základe diferenčného tlaku umožňujúci; plynulú reguláciu výkonu čerpadla podla okamžitých prevádzkových podmienok sústavy; * Automaticky redukovaná nočná prevádzka; * Riadenie na proporcionálny tlak, konštantný tlak, konštantnú teplotu,; riadenie podla diferenčnčj teploty,  prevádzka podľa konštantnej krivky</t>
  </si>
  <si>
    <t>11-3114</t>
  </si>
  <si>
    <t>12-1128</t>
  </si>
  <si>
    <t>108/4</t>
  </si>
  <si>
    <t>12-3128</t>
  </si>
  <si>
    <t>Pol595</t>
  </si>
  <si>
    <t>100/80</t>
  </si>
  <si>
    <t>Pol596</t>
  </si>
  <si>
    <t>pre potrubie DN32</t>
  </si>
  <si>
    <t>Pol597</t>
  </si>
  <si>
    <t>pre potrubie DN100</t>
  </si>
  <si>
    <t>19-1923</t>
  </si>
  <si>
    <t>19-1924</t>
  </si>
  <si>
    <t>19-4928</t>
  </si>
  <si>
    <t>Zaslepenie potrubia kovaním a zvarením</t>
  </si>
  <si>
    <t>19-1913</t>
  </si>
  <si>
    <t>19-1914</t>
  </si>
  <si>
    <t>11-0803</t>
  </si>
  <si>
    <t>Demontáž potrubia z oceľových rúrok závitových do DN15</t>
  </si>
  <si>
    <t>11-0806</t>
  </si>
  <si>
    <t>Demontáž potrubia z oceľových rúrok závitových nad DN15 do DN32</t>
  </si>
  <si>
    <t>Tlakové skúšky potrubia z oceľových  rúrok závitových</t>
  </si>
  <si>
    <t>19-0232</t>
  </si>
  <si>
    <t>nad 89 do 133</t>
  </si>
  <si>
    <t>10-9117</t>
  </si>
  <si>
    <t>Montáž prírubovej armatúry s dvomi prírubami DN100 PN6</t>
  </si>
  <si>
    <t>Pol598</t>
  </si>
  <si>
    <t>Medzibrírubová uzatváracia klapka DN100 PN6</t>
  </si>
  <si>
    <t>Pol599</t>
  </si>
  <si>
    <t>Ručný regulačný ventil prírubový  s meracími ventilmi DN100</t>
  </si>
  <si>
    <t>Pol600</t>
  </si>
  <si>
    <t>Filter prírubový DN100, PN6</t>
  </si>
  <si>
    <t>Pol601</t>
  </si>
  <si>
    <t>Spätná klapka prírubová DN100, PN6</t>
  </si>
  <si>
    <t>17-3418</t>
  </si>
  <si>
    <t>DN100</t>
  </si>
  <si>
    <t>20-9115</t>
  </si>
  <si>
    <t>Ručný reg.ventil závit. s mer. ventilmi,prednastav.,meranie, uzatv.,napúšťanie,vypúšť, sada na meran</t>
  </si>
  <si>
    <t>Regul. a uzatváracie skrutkovanie pre vykurovacie telesá ventil - kompakt DN 15</t>
  </si>
  <si>
    <t>Pol602</t>
  </si>
  <si>
    <t>Termostat.hlavica pre penelové vykurovacie telesá so zabudovaným čidlom</t>
  </si>
  <si>
    <t>20-0821</t>
  </si>
  <si>
    <t>Demontáž armatúr závitových s dvomi závitmi do DN15</t>
  </si>
  <si>
    <t>Pol603</t>
  </si>
  <si>
    <t>21VK-600/700 - dvojitý s jedným konvektorom a krytmi</t>
  </si>
  <si>
    <t>Pol604</t>
  </si>
  <si>
    <t>21VK-600/800 - dvojitý s jedným konvektorom a krytmi</t>
  </si>
  <si>
    <t>Pol605</t>
  </si>
  <si>
    <t>21VK-600/900 - dvojitý s jedným konvektorom a krytmi</t>
  </si>
  <si>
    <t>Pol606</t>
  </si>
  <si>
    <t>22VK-600/600 - dvojitý s dvomi konvektormi a krytmi</t>
  </si>
  <si>
    <t>Pol607</t>
  </si>
  <si>
    <t>22VK-600/900 - dvojitý s dvomi konvektormi a krytmi</t>
  </si>
  <si>
    <t>Pol608</t>
  </si>
  <si>
    <t>22VK-600/1000 - dvojitý s dvomi konvektormi a krytmi</t>
  </si>
  <si>
    <t>Pol609</t>
  </si>
  <si>
    <t>22VK-600/1100 - dvojitý s dvomi konvektormi a krytmi</t>
  </si>
  <si>
    <t>11-1810</t>
  </si>
  <si>
    <t>Demontáž vykurovacích telies liatinových</t>
  </si>
  <si>
    <t>29-1800</t>
  </si>
  <si>
    <t>Demontáž konzol vykurovacích telies</t>
  </si>
  <si>
    <t>49-4811</t>
  </si>
  <si>
    <t>Vypúšťanie vody z vykurovacích sústav</t>
  </si>
  <si>
    <t>Pol610</t>
  </si>
  <si>
    <t>o velkosti plochy vykurovacích telies</t>
  </si>
  <si>
    <t>Izolácia potrubia izoláciou z penového polyetylénu  hrúbky 20mm</t>
  </si>
  <si>
    <t>48-2124</t>
  </si>
  <si>
    <t>pre oceľové potrubie DN100</t>
  </si>
  <si>
    <t>950doprCH</t>
  </si>
  <si>
    <t>635512113</t>
  </si>
  <si>
    <t>-1998372214</t>
  </si>
  <si>
    <t>S03-61 - SO 03 - Operačky 1.poschodie - EPS</t>
  </si>
  <si>
    <t>Tlačítko na rýchle vyhlásenie požiaru IP 54</t>
  </si>
  <si>
    <t>S03-6 - SO 03 - Operačky 1.poschodie - ELI</t>
  </si>
  <si>
    <t>3451316100</t>
  </si>
  <si>
    <t>Žľab 60/40 LH L=2m 9003 biela</t>
  </si>
  <si>
    <t>210110082</t>
  </si>
  <si>
    <t>Sporáková prípojka typ 39563 - 23C, pre zapustenú montáž vrátane tlejivky</t>
  </si>
  <si>
    <t>3450663620</t>
  </si>
  <si>
    <t>Šporáková prípojka 39563-23 do steny</t>
  </si>
  <si>
    <t>210220050</t>
  </si>
  <si>
    <t>Označenie zvodov číselnými štítkami</t>
  </si>
  <si>
    <t>3544247915</t>
  </si>
  <si>
    <t>Štítok orientačný zemniaci,  EBL000000360; bleskozvodný a uzemňovací materiál</t>
  </si>
  <si>
    <t>3544218400</t>
  </si>
  <si>
    <t>Podpera vedenia na plechové strechy ocelová žiarovo zinkovaná označenie PV 23 vytočená</t>
  </si>
  <si>
    <t>3544216450</t>
  </si>
  <si>
    <t>Podpera vedenia do muriva ocelová žiarovo zinkovaná označenie PV 01</t>
  </si>
  <si>
    <t>210881205</t>
  </si>
  <si>
    <t>Kábel bezhalogénový, medený uložený pevne 1-CHKE-V 0,6/1,0 kV  70</t>
  </si>
  <si>
    <t>3410350918</t>
  </si>
  <si>
    <t>1-CHKE-V 70 Nehorľavý kábel s funkčnosťou STN</t>
  </si>
  <si>
    <t>Kábel bezhalogénový, medený uložený pevne 1-CHKE-V 0,6/1,0 kV  3Jx1,5 PS 90</t>
  </si>
  <si>
    <t>1-CHKE-V 3Jx1,5 PS 90 Nehorľavý kábel s funkčnosťou STN</t>
  </si>
  <si>
    <t>Kábel bezhalogénový, medený uložený pevne 1-CHKE-V 0,6/1,0 kV  3Bx2,5 PS 90</t>
  </si>
  <si>
    <t>1-CHKE-V 3Bx2,5 PS 90 Nehorľavý kábel s funkčnosťou STN</t>
  </si>
  <si>
    <t>210881217.1</t>
  </si>
  <si>
    <t>Kábel bezhalogénový, medený uložený pevne 1-CHKE-V 0,6/1,0 kV  3Jx2,5 PS 90</t>
  </si>
  <si>
    <t>3410350931.1</t>
  </si>
  <si>
    <t>1-CHKE-V 3Jx2,5 PS 90 Nehorľavý kábel s funkčnosťou STN</t>
  </si>
  <si>
    <t>UNIV 09/125um LSOH, CLT</t>
  </si>
  <si>
    <t>000000000A26JA406</t>
  </si>
  <si>
    <t>L-spínač EP LUX c.5</t>
  </si>
  <si>
    <t>Počítačová sieť a príslušenstvo Zásuvka  na povrchov, Tango RJ45/u, Cat.5e</t>
  </si>
  <si>
    <t>Zásuvka SIGNAL TV/R/SAT/RJ45/RJ11 koncová</t>
  </si>
  <si>
    <t>3845702150</t>
  </si>
  <si>
    <t>Interiérové zabudovateľné podhľadové svietidlo 4x18W BW-S, lešt. Al parabol.mriežka, el.predr.´so záložným zdrojom</t>
  </si>
  <si>
    <t>Interiérové zabudovateľné podhľadové svietidlo  4x18W BW-S, lešt. Al parabol.mriežka, el.predr.</t>
  </si>
  <si>
    <t>Núdzové svietidlá IP22  P 1x8W/3hod, len núdz.režim</t>
  </si>
  <si>
    <t>Stropné interiérové svietidlo S IP20 1x32W/FC opál so žiarivkou</t>
  </si>
  <si>
    <t>Svietidlo   prachotesné   FTCW 03-2XTL-D36W D P-R</t>
  </si>
  <si>
    <t>Strážič izolačnho stavu a  2 x kontrolný panel</t>
  </si>
  <si>
    <t>Strážič izolačnho stavu a 2x kontrolný panel</t>
  </si>
  <si>
    <t>Oddelovací transformátor 230/230V/6,3kW</t>
  </si>
  <si>
    <t>Žľab káblový drôtový  F - žiarovo pozinkované ponorom  DZ 60X150 BF</t>
  </si>
  <si>
    <t>Bleskozvodný materiál (FeZn,Cu) a uzemňovací materiál -   PA pripojnica 1810,</t>
  </si>
  <si>
    <t>Bleskozvodová sústava</t>
  </si>
  <si>
    <t>Rozvázač RP</t>
  </si>
  <si>
    <t>Rozvádzač RP UPS</t>
  </si>
  <si>
    <t>Rozvádzač RP VZT1</t>
  </si>
  <si>
    <t>UPS pre operačné svietidlo 1000W</t>
  </si>
  <si>
    <t>Odborná prehliadka a skúška elektroinštalácie , bleskozvodu</t>
  </si>
  <si>
    <t>S03-7 - SO 03 - Operačky 1.poschodie - VZT</t>
  </si>
  <si>
    <t>1/ - Vetranie sociálnych zariadení</t>
  </si>
  <si>
    <t>2/ - Vetranie chodby , miestnosť č. 112</t>
  </si>
  <si>
    <t xml:space="preserve">    2 - Potrubie odvodu opotrebovaného  vzduchu  z chodby</t>
  </si>
  <si>
    <t>3/ - Vetranie skladu , miestnosť č. 118</t>
  </si>
  <si>
    <t>4/ - Vetranie skladu použitého prádla , miestnosť č. 118</t>
  </si>
  <si>
    <t xml:space="preserve">    D1 - Potrubie odvodu opotrebovaného  vzduchu  z miestnosti</t>
  </si>
  <si>
    <t>1/</t>
  </si>
  <si>
    <t>Fancoil nástenný 5 kW</t>
  </si>
  <si>
    <t>Poznámka k položke:_x000D_
Vzduchový výkon       1020/820/670  m3/h, 3 stupne; Chladenie:5,0, 3,95, 3,21 kW      prietok vody: do 860 l/h; Príkon:       37,5 W; Príslušenstvo: nástenný ovládač</t>
  </si>
  <si>
    <t>Fancoil nástenný 2,5 kW</t>
  </si>
  <si>
    <t>Poznámka k položke:_x000D_
Vzduchový výkon       425/410/320  m3/h, 3 stupne; Chladenie:2,6, 2,20, 1,97 kW      prietok vody: do450 l/h; Príkon:       11 W; Príslušenstvo: nástenný ovládač</t>
  </si>
  <si>
    <t>2/</t>
  </si>
  <si>
    <t>Vetranie chodby , miestnosť č. 112</t>
  </si>
  <si>
    <t>1.1</t>
  </si>
  <si>
    <t>Poznámka k položke:_x000D_
Vzduchový výkon       do 200  m3/h,  230V, 50 Hz,  50 W</t>
  </si>
  <si>
    <t>Potrubie odvodu opotrebovaného  vzduchu  z chodby</t>
  </si>
  <si>
    <t>1.2</t>
  </si>
  <si>
    <t>2.1</t>
  </si>
  <si>
    <t>3/</t>
  </si>
  <si>
    <t>Vetranie skladu , miestnosť č. 118</t>
  </si>
  <si>
    <t>1.3</t>
  </si>
  <si>
    <t>Poznámka k položke:_x000D_
Vzduchový výkon       do 50  m3/h,  230V, 50 Hz,  24 W</t>
  </si>
  <si>
    <t>443222910</t>
  </si>
  <si>
    <t>578653208</t>
  </si>
  <si>
    <t>4/</t>
  </si>
  <si>
    <t>Vetranie skladu použitého prádla , miestnosť č. 118</t>
  </si>
  <si>
    <t>1.4</t>
  </si>
  <si>
    <t>2.2</t>
  </si>
  <si>
    <t>Poznámka k položke:_x000D_
Zhotovenie konzol z typizovaných dielov</t>
  </si>
  <si>
    <t>S03-7.0 - SO 03-7 - Čisté priestory - ostatné</t>
  </si>
  <si>
    <t>S03-8.1 - SO 03-81 - Vstavba ČP</t>
  </si>
  <si>
    <t>03.1. - Vestavba ČP</t>
  </si>
  <si>
    <t xml:space="preserve">    D3 - Zariadenie č.1 - Klimatizácia aseptického sálu 123, 127 a zázemie</t>
  </si>
  <si>
    <t xml:space="preserve">    D4 - Zariadenie č.3 - Klimatizácia aseptického sálu 104 a zázemie</t>
  </si>
  <si>
    <t>03.1.</t>
  </si>
  <si>
    <t>Kovová sendvičová priečka  hr. 110mm, jednostranný obklad, vrátane izolácie a kotviacich prvkov (spodný panel-pozink s povrchovou úpravou v odtieni RAL, prostredný panel-pozink spovrchovou úpravou v odtieni RAL, horný panel-pozink spovrchovou úpravou v od</t>
  </si>
  <si>
    <t>Kovová sendvičová priečka hr. 180 mm, výplň min. vlna, povrch. úprava- obojstranne plášť pozink. plech s povrchovou úpravou práškový polyesterový lak vo farbe RAL , vrátane basic profilu pri podlahe, horného U profilu, všetkých lemovanie a kotvenie</t>
  </si>
  <si>
    <t>mb</t>
  </si>
  <si>
    <t>Ľahký kovový podhľad, kazetový tesný na OS, so skrytým rastrom min. 312,5x625 mm - plech oceľový obojstranne pozinkovaný s úpravou pohľadovej strany polyesterovým lakom v odtieni RAL 9016. Vrátane kotviacich a lemovacích prvkov aj odkokov v podhľadu.</t>
  </si>
  <si>
    <t>Dvere kovové posuvné automatické dvojkrídlové 1400/2010, plné, vrátane zárubne do systému vstaveb. Kovanie mušle-mušle. Ovládanie na bezdotykový spínač. Materiál dverného krídla aj zárubne - obojstranne plášť pozink. plech s povrchovou úpravou práškový po</t>
  </si>
  <si>
    <t>Dvere kovové posuvné automatické dvojkrídlové 1400/2010, presklené z 1/3, magnetická žalúzie, vrátane zárubne do systému vstaveb. Kovanie mušle-mušle. Ovládanie na bezdotykový spínač. Materiál dverného krídla aj zárubne - obojstranne plášť pozink. plech s</t>
  </si>
  <si>
    <t>Dvere kovové otočné automatické, jednokrídlové 800/2010, presklené z 1/3, magnetická žalúzie, vrátane zárubne do kovovej priečky. Kovanie mušle-mušle. Materiál dverného krídla aj zárubne - obojstranne plášť pozink. plech s povrchovou úpravou práškový poly</t>
  </si>
  <si>
    <t>Dvere kovové otočné, jednokrídlové 800/2010, plné, vrátane zárubne do kovovej priečky. Kovanie kľučka-kľučka. Materiál dverného krídla aj zárubne - obojstranne plášť pozink. plech s povrchovou úpravou práškový polyesterový lak vo farbe RAL</t>
  </si>
  <si>
    <t>Dvere kovové otočné, jednokrídlové 600/2010, plné, vrátane zárubne do kovovej priečky. Kovanie kľučka-kľučka. Materiál dverného krídla aj zárubne - obojstranne plášť pozink. plech s povrchovou úpravou práškový polyesterový lak vo farbe RAL</t>
  </si>
  <si>
    <t>Dvere kovové posuvné automatické jednokrídlové 900/2010, presklené z 1/3, magnetická žalúzie, vrátane zárubne do systému vstaveb. Kovanie mušle-mušle. Ovládanie na bezdotykový spínač. Materiál dverného krídla aj zárubne - obojstranne plášť pozink. plech s</t>
  </si>
  <si>
    <t>Dvere kovové posuvné automatické jednokrídlové 900/2010, plné, vrátane zárubne do systému vstaveb. Kovanie mušle-mušle. Ovládanie na bezdotykový spínač. Materiál dverného krídla aj zárubne - obojstranne plášť pozink. plech s povrchovou úpravou práškový po</t>
  </si>
  <si>
    <t>Dvere kovové otočné automatické, jednokrídlové 900/2010, presklené z 1/3, magnetická žalúzie, vrátane zárubne do kovovej priečky. Kovanie mušle-mušle. Materiál dverného krídla aj zárubne - obojstranne plášť pozink. plech s povrchovou úpravou práškový poly</t>
  </si>
  <si>
    <t>Mycí žľab 3 miestny, rozmer 2100x500x1350, prevedenie v nerez AISI 304, bezdotyková batéria, odpad, dávkovač mydla, dávkovač dezinfekcie, zrkadlo</t>
  </si>
  <si>
    <t>Skriňa na materiál pre operačnú sálu do systému vstavieb, s 5 policami, vonkajšie rozmery: š.1020mm x v.2100mm x hl.500mm, Dvere skrine zo strany operačného sály dvojkrídlové symetrické presklené materiál - nerez AISI 304</t>
  </si>
  <si>
    <t>Prekladacie skriňa pre operačnú sálu do systému vstavieb, s 3 policami (prejazdné), vonkajšie rozmery: š.1020mm x v.2100mm x hl.830mm, Dvere skrine zo strany operačného sály dvojkrídlové symetrické plné, zo strany skladu dvojkrídlové symetrické presklené,</t>
  </si>
  <si>
    <t>Výsuvné prekladacie okno hr. 60mm rozmer prokládacího otvoru 700x750mm bezpečnostné sklo parapet obojstranný materiál: nerezová oceľ AISI304</t>
  </si>
  <si>
    <t>Multifunkční panel min. uhlopříčky 30,7 cm - požadované funkce k inteligentnímu ovládání a monitorování provozu na operačních sálech: • Časové funkce • Funkce osvětlení • Funkce klinických alarmů • Funkce ZIS - Datový přenos ze systému BENDER • Funkce tec</t>
  </si>
  <si>
    <t>LED svítidlo do kovového podhledu, 59W, IP54, microprisma, 1250x312mm, stmívatelné, Ra90</t>
  </si>
  <si>
    <t>LED svítidlo do kovového podhledu , 59W, IP54, microprisma, 1250x312mm, stmívatelné, Ra90 s nouzovým zdrojom</t>
  </si>
  <si>
    <t>Zariadenie č.1 - Klimatizácia aseptického sálu 123, 127 a zázemie</t>
  </si>
  <si>
    <t>Operačná laminárna vyústka 1975x2500</t>
  </si>
  <si>
    <t>VZT odťahový kanál vrátane mriežok s reguláciou do OS</t>
  </si>
  <si>
    <t>Zariadenie č.3 - Klimatizácia aseptického sálu 104 a zázemie</t>
  </si>
  <si>
    <t>S03-8.2 - SO 03-82 - Zdravotnícka technológia a vybavenie</t>
  </si>
  <si>
    <t>03.2. - Zdravotnická technologie a vybavení</t>
  </si>
  <si>
    <t>03.2.</t>
  </si>
  <si>
    <t>Poznámka k položke:_x000D_
Obsah zdrojového mostu:; viď PD elektro - vč.č.E-2, E-3, E-4; viď PD plyn - v.č.1</t>
  </si>
  <si>
    <t>S03-8.3 - SO 03-83 - VZT</t>
  </si>
  <si>
    <t>03.3. - Vzduchotechnika</t>
  </si>
  <si>
    <t xml:space="preserve">    D1 - Zariadenie č.1 - Klimatizácia aseptického sálu 123, 127 a zázemie</t>
  </si>
  <si>
    <t xml:space="preserve">    D2 - Zariadenie č.3 - Klimatizácia aseptického sálu 104 a zázemie</t>
  </si>
  <si>
    <t xml:space="preserve">    D3 - Zariadenie č.10 - Havarijní větrání strojovny chladu a větrání strojoven</t>
  </si>
  <si>
    <t>03.3.</t>
  </si>
  <si>
    <t>Pol611</t>
  </si>
  <si>
    <t>Demontáže stávajících zařízení a rozvodů vzduchotechniky (cenu upresniť na základe obhliadky stavby)</t>
  </si>
  <si>
    <t>Pol612</t>
  </si>
  <si>
    <t>Oceľové konštrukcie pre VZT potrubie na fasáde, aj 2x podkladný a 1x finálny nater</t>
  </si>
  <si>
    <t>Pol613</t>
  </si>
  <si>
    <t>Obklad oceľové konštrukcie pre VZT potrubie cementotriskovými doskami, pohľad západný i východný, vrátane</t>
  </si>
  <si>
    <t>Pol614</t>
  </si>
  <si>
    <t>Vzduchotechnická jednotkaPrívodný jednotka čestvovzdušná, prietok 12.280 m3 / h Zostava jednotky: - Pripojovací diel (pružná manžeta, sanie do čela), pozink. uzatváracia klapka so servopohonom (dodávka MaR), - 1 ° filtrácia vzduchu (vreckový filter, tried</t>
  </si>
  <si>
    <t>Poznámka k položke:_x000D_
Vzduchotechnická jednotkaPrívodný jednotka čestvovzdušná, prietok 12.280 m3 / h Zostava jednotky: - Pripojovací diel (pružná manžeta, sanie do čela), pozink. uzatváracia klapka so servopohonom (dodávka MaR), - 1 ° filtrácia vzduchu (vreckový filter, trieda filtra M5, vyberaní do boku), - Komora ZZT doskový,  - Ventilátor privádzaného vzduchu ex. tlak 1200 Pa, 400V, - ventilátor s voľným obežným kolesom bez špirálovej skrine (jednootáčkový elektromotor pre riadenie frekvenčným meničom otáčok, FM - dodávka MaR, servisný spínač pre opravy, silentbloky), Trieda V účinnosti motora IE2 - Ohrievacie komora, top.výkon 115 kW, vykurovacia voda 80/60 ° C, vykurovací výmenník - medený rozdeľovač a zberač s vonkajšími závitmi, rám a vodiace profily z oceľového pozinkovaného plechu, medené trubičky, nalisované lamely Alu, Max. prevádzkový tlak 15 bar, skúšobný tlak 30 barov. Tlaková strata na strane vody max. 10 kPa, prispôsobený pre umiestnenie čidla protimrazovej ochrany.  - Chladiaci komora, chl.výkon 126 kW, chladicia voda 7/12 ° C, chladiací výmenník - medený rozdeľovač a zberač s vonkajšími závitmi, rám a vodiace profily z oceľového pozinkovaného plechu, medené trubičky, nalisované lamely Alu, Max. prevádzkový tlak 15 bar, skúšobný tlak 30 barov. Tlaková strata na strane vody max. 10 kPa. Kondenzátnej vaňa z oceľového nehrdzavejúceho plechu s odpadovým hrdlom, sifón._x000D_
Ohrievacie komora, top.výkon 58 kW, vykurovacia voda 80/60 ° C, vykurovací výmenník - medený rozdeľovač a zberač s vonkajšími závitmi, rám a vodiace profily z oceľového pozinkovaného plechu, medené trubičky, nalisované lamely Alu, Max. prevádzkový tlak 15 bar, skúšobný tlak 30 barov. Tlaková strata na strane vody max. 10 kPa, prispôsobený pre umiestnenie čidla protimrazovej ochrany. - 2 ° filtrácia vzduchu (vreckový filter, trieda filtra F9, vyberaní do boku), - Pripojovací diel (pružná manžeta, výtlak do čela) - Základný rám jednotky výšky cca 80 mm Odvodné jednotka, prietok 10.880 m3 / h Zostava jednotky: - Pripojovací diel (pružná manžeta, sanie do čela), - 1 ° filtrácia vzduchu (vreckový filter, trieda filtra M5, vyberaní do boku), - Komora ZZT doskový - Ventilátor privádzaného vzduchu ex. tlak 1000 Pa, 400V, - ventilátor s voľným obežným kolesom bez špirálovej skrine (jednootáčkový elektromotor pre riadenie frekvenčným meničom otáčok - dodávka MaR, servisný spínač pre opravy, silentbloky), Trieda V účinnosti motora IE2 - Pripojovací diel (pružná manžeta, výtlak do čela), pozink. uzatváracia klapka so servopohonom (dodávka MaR), základný rám jednotky výšky cca 80 mm; prevedenie - vnútorne čistiteľné, bez vyčnievajúcich častí zachytávajúce nečistoty, - Plášť v oblasti rosného bodu tepelne oddelený - Hrúbka steny plášťa 50mm - Vlastnosti plášťa podľa prEN 1886 (2007) - Mechanická stabilita D1 - Tesnosť placho L1 - Tepelná izolácia T3 - Faktor tepelných mostov TB2 strana obsluhy do boku Spĺňať nariadenia EÚ č.1253 / 2014 (vetracie VZT jednotky)</t>
  </si>
  <si>
    <t>Pol615</t>
  </si>
  <si>
    <t>Rám pod vzduchotechnickú jednotku Rám pod vzduchotechnickú jednotku výška rámu 200 mm, samostatný, s nastaviteľnými nôžkami, s pružnými silenbloky delený na jednotlivé polia z dôvodu dopravy do strojovne vzduchotechniky, zostavené pomocou skrutkových spoj</t>
  </si>
  <si>
    <t>Pol616</t>
  </si>
  <si>
    <t>Elektrický parný zvlhčovač 80 kg/h Elektrický parný zvlhčovač odporový, pre vlhčenie vo vzt. potrubí M = 2x40 kg / hod, P = 2x30 kW, 400 V So zbernou nádržou na sedimenty, na pitnú vodu, s relé pre diaľkovú obsluhou a indikáciu chýb príslušenstvo: Tlakový</t>
  </si>
  <si>
    <t xml:space="preserve">Poznámka k položke:_x000D_
Elektrický parný zvlhčovač 80 kg/h Elektrický parný zvlhčovač odporový, pre vlhčenie vo vzt. potrubí M = 2x40 kg / hod, P = 2x30 kW, 400 V So zbernou nádržou na sedimenty, na pitnú vodu, s relé pre diaľkovú obsluhou a indikáciu chýb príslušenstvo: Tlakový kompenzátor pre kompenzáciu tlaku vo vzt. Potrubia do 10000 Pa - 1 ks Distribučná trubice (šírka potrubie 1800 mm) - 2 ks, Filtračné ventil 3/8 "- 1 ks, Parná hadica pre popojení telesa zvlhčovače a distribučných trubíc 5/4 "- 4m, Kondenzačné hadica pre odvod kondenzátu z distribučných trubíc - 4m Sada pre ochladzovanie vypúšťanej vody_x000D_
</t>
  </si>
  <si>
    <t>Pol617</t>
  </si>
  <si>
    <t>Rám pod zvlhčovač</t>
  </si>
  <si>
    <t>Pol618</t>
  </si>
  <si>
    <t xml:space="preserve">Zvlhčovacie diel do potrubi Zvlhčovacie diel pre osadenie distribučných trubíc s odtokom kondenzátu a revíznym otvorom Rúra 1800 x 900/2000, odtok kondenzátu (hrdlo) zospodu Tesná revízne dvierka 300x200 prevedenie vodotesné, trieda tesnosti B podľa EN12 </t>
  </si>
  <si>
    <t xml:space="preserve">Poznámka k položke:_x000D_
Zvlhčovacie diel do potrubi Zvlhčovacie diel pre osadenie distribučných trubíc s odtokom kondenzátu a revíznym otvorom Rúra 1800 x 900/2000, odtok kondenzátu (hrdlo) zospodu Tesná revízne dvierka 300x200 prevedenie vodotesné, trieda tesnosti B podľa EN12 237_x000D_
</t>
  </si>
  <si>
    <t>Pol619</t>
  </si>
  <si>
    <t>Tlmič hluku 3 ks - Kulisový tlmič hluku (pozicia 1.10.1) pôsobí na princípe absorbcie v komore, povrch kulís odolný proti oteru, max. rýchlosť do 9 m / s, nehorľavá minerálna vlna (stavebný trieda A), skriňa z pozinkovaného oceľového plechu, obojstranne s</t>
  </si>
  <si>
    <t>Poznámka k položke:_x000D_
Tlmič hluku 3 ks - Kulisový tlmič hluku (pozicia 1.10.1) pôsobí na princípe absorbcie v komore, povrch kulís odolný proti oteru, max. rýchlosť do 9 m / s, nehorľavá minerálna vlna (stavebný trieda A), skriňa z pozinkovaného oceľového plechu, obojstranne s prípojným rámom, so zaoblenými koncami kulís, vrátane upevňovacieho materiálu ) Technické údaje: šírka: 1800 mm výška: 900 mm dĺžka: 1500 mm celkový vložený útlm pri 250 Hz .: min. 25 dB trieda tesnosti A podľa EN12 237 1 ks - Kulisový tlmič hluku (pozicia 1.10.2) Technické údaje: šírka: 600 mm výška: 450 mm dĺžka: 1000 mm celkový vložený útlm pri 250 Hz .: min. 10 dB trieda tesnosti A podľa EN12 237 1 ks - Kulisový tlmič hluku ( pozicia 1.10.3) Technické údaje: šírka: 500 mm výška: 250 mm dĺžka: 1000 mm celkový vložený útlm pri 250 Hz .: min. 10 dB trieda tesnosti A podľa EN12 237_x000D_
1ks - Kulisový tlmič hluku ( pozicia 1.10.4) pôsobí na princípe absorbcie v komore, povrch kulís odolný proti oteru, max. rýchlosť do 9 m / s, nehorľavá minerálna vlna (stavebný trieda A), skriňa z pozinkovaného oceľového plechu, obojstranne s prípojným rámom, so zaoblenými koncami kulís, vrátane upevňovacieho materiálu ) Technické údaje: šírka: 500 mm výška: 450 mm dĺžka: 1000 mm celkový vložený útlm pri 250 Hz .: min. 10 dB trieda tesnosti A podľa EN12 237 1 ks - Kulisový tlmič hluku (pozicia 1.10.5) Technické údaje: šírka: 550 mm výška: 450 mm dĺžka: 1000 mm celkový vložený útlm pri 250 Hz .: min. 10 dB trieda tesnosti A podľa EN12 237 1 ks - Kulisový tlmič hluku ( pozicia 1.10.6) Technické údaje: šírka: 500 mm výška: 450 mm dĺžka: 1000 mm celkový vložený útlm pri 250 Hz .: min. 10 dB trieda tesnosti A podľa EN12 237; 1 ks - Kulisový tlmič hluku ( pozicia 1.10.7) Technické údaje: šírka: 500 mm výška: 400 mm dĺžka: 1000 mm celkový vložený útlm pri 250 Hz .: min. 10 dB trieda tesnosti A podľa EN12 237 1 ks - Kulisový tlmič hluku (pozicia 1.10.8) Technické údaje: šírka: 400 mm výška: 250 mm dĺžka: 1000 mm celkový vložený útlm pri 250 Hz .: min. 10 dB trieda tesnosti A podľa EN12 237 1 ks - Kulisový tlmič hluku (pozicia 1.10.9) výška: 450 mm dĺžka: 1000 mm celkový vložený útlm pri 250 Hz .: min. 10 dB trieda tesnosti A podľa EN12 237 1 ks - Kruhový tlmič hluku ( pozicia 1.10.10-1.10.11) pôsobí na princípe absorbcie v komore, absorbčný materiál minerálna vlna nehorľavá, (stavebné trieda A), vonkajší obal z pozinkovaného oceľového plechu, na oboch stranách opatrený prírubami. Technické údaje: menovitá svetlosť: DN 160 hrúbka tlmiace vložky: 50 mm dĺžka: 1000 mm vložený útlm pri 250 Hz .: 10 dB trieda tesnosti A podľa EN12 237</t>
  </si>
  <si>
    <t>Pol620</t>
  </si>
  <si>
    <t>Regulačná klapka pre osadenie servopohonu 8 ks - Regulačný (škrtiaca) klapka kruhová na reguláciu množstva vzduchu. Z pozinkovanej ocele, nastavenie klapky ručne vonkajšie nastavovacie pákou, sa zaisťovacím zariadením listu klapky prostredníctvom krídlove</t>
  </si>
  <si>
    <t xml:space="preserve">Poznámka k položke:_x000D_
Regulačná klapka pre osadenie servopohonu 8 ks - Regulačný (škrtiaca) klapka kruhová na reguláciu množstva vzduchu. Z pozinkovanej ocele, nastavenie klapky ručne vonkajšie nastavovacie pákou, sa zaisťovacím zariadením listu klapky prostredníctvom krídlovej skrutky. Menovitý rozmer: O 315 mm trieda tesnosti B podľa EN12 237 6 ks - Regulačný (škrtiaca) klapka kruhová na reguláciu množstva vzduchu. Z pozinkovanej ocele, nastavenie klapky ručne vonkajšie nastavovacie pákou, sa zaisťovacím zariadením listu klapky prostredníctvom krídlovej skrutky. Menovitý rozmer: O 250 mm trieda tesnosti B podľa EN12 237_x000D_
</t>
  </si>
  <si>
    <t>Pol621</t>
  </si>
  <si>
    <t>Škrtiaca klapka 11 ks - Regulačný (škrtiaca) klapka kruhová na reguláciu množstva vzduchu. Z pozinkovanej ocele, nastavenie klapky ručne vonkajšie nastavovacie pákou, sa zaisťovacím zariadením listu klapky prostredníctvom krídlovej skrutky. Menovitý rozme</t>
  </si>
  <si>
    <t xml:space="preserve">Poznámka k položke:_x000D_
Škrtiaca klapka 11 ks - Regulačný (škrtiaca) klapka kruhová na reguláciu množstva vzduchu. Z pozinkovanej ocele, nastavenie klapky ručne vonkajšie nastavovacie pákou, sa zaisťovacím zariadením listu klapky prostredníctvom krídlovej skrutky. Menovitý rozmer: O 200 mm trieda tesnosti B podľa EN12 237 5 ks - Regulačný (škrtiaca) klapka kruhová na reguláciu množstva vzduchu. Z pozinkovanej ocele, nastavenie klapky ručne vonkajšie nastavovacie pákou, sa zaisťovacím zariadením listu klapky prostredníctvom krídlovej skrutky. Menovitý rozmer: O 160 mm trieda tesnosti B podľa EN12 237 6 ks - Regulačný (škrtiaca) klapka kruhová na reguláciu množstva vzduchu. Z pozinkovanej ocele, nastavenie klapky ručne vonkajšie nastavovacie pákou, sa zaisťovacím zariadením listu klapky prostredníctvom krídlovej skrutky. Menovitý rozmer: O 125 mm trieda tesnosti B podľa EN12 237_x000D_
</t>
  </si>
  <si>
    <t>Pol622</t>
  </si>
  <si>
    <t>Spatná klapka , Menovitý rozmer: O 250 mm</t>
  </si>
  <si>
    <t>Pol623</t>
  </si>
  <si>
    <t>Regulačná klapka pre osadenie servopohonu, pozink, Trieda tesnosti A podľa EN12 237 rozmer: 400x500 servo v dodávke MaR</t>
  </si>
  <si>
    <t>Pol624</t>
  </si>
  <si>
    <t>Požiarna klapka pre osadenie servopohonu  1 ks  - Požiarna klapka štvorhranná pozinkovaná veľkosť: 450 x 450 mm, ( pozicia 1.13.1) -Prevedenie: se servopohonom (řízení UPS), požiarna odolnosť podľa PBR 1 ks - Požiarna klapka štvorhranná pozinkovaná veľkos</t>
  </si>
  <si>
    <t xml:space="preserve">Poznámka k položke:_x000D_
Požiarna klapka pre osadenie servopohonu  1 ks  - Požiarna klapka štvorhranná pozinkovaná veľkosť: 450 x 450 mm, ( pozicia 1.13.1) -Prevedenie: se servopohonom (řízení UPS), požiarna odolnosť podľa PBR 1 ks - Požiarna klapka štvorhranná pozinkovaná veľkosť: 450 x 450 mm, ( pozicia 1.13.2) -Prevedenie: se servopohonom (řízení UPS), požiarna odolnosť podľa PBR 1 ks - Požiarna klapka štvorhranná pozinkovaná veľkosť: 450 x 450 mm, ( pozicia 1.13.3a) -Prevedenie: se servopohonom (řízení UPS), požiarna odolnosť podľa PBR 1 ks - Požiarna klapka štvorhranná pozinkovaná veľkosť: 300 x 250 mm,  ( pozicia 1.13.3b) -Prevedenie: se servopohonom (řízení UPS), požiarna odolnosť podľa PBR  1 ks - Požiarna klapka štvorhranná pozinkovaná veľkosť: 450 x 450 mm, ( pozicia 1.13.4) -Prevedenie: se servopohonom (řízení UPS), požiarna odolnosť podľa PBR  1 ks - Požiarna klapka štvorhranná pozinkovaná veľkosť: 450 x 450 mm,  ( pozicia 1.13.5) -Prevedenie: se servopohonom (řízení UPS), požiarna odolnosť podľa PBR_x000D_
</t>
  </si>
  <si>
    <t>Pol625</t>
  </si>
  <si>
    <t xml:space="preserve">Regulátor prietoku elektronický 1 ks - Elektronický regulátor prietoku vzduchu oceľový kruhový s plynulou reguláciou, so servopohonom, skladá sa zo skrine s regulačnou klapkou a čidlá stredné hodnoty tlakovej diferencie, Regulátor, prevodník a servopohon </t>
  </si>
  <si>
    <t>Poznámka k položke:_x000D_
Regulátor prietoku elektronický 1 ks - Elektronický regulátor prietoku vzduchu oceľový kruhový s plynulou reguláciou, so servopohonom, skladá sa zo skrine s regulačnou klapkou a čidlá stredné hodnoty tlakovej diferencie, Regulátor, prevodník a servopohon (24V) tvoria neoddeliteľnú súčasť prístroja. Nastavenie regulátora bez prístrojov na požadované prietoky vzduchu. Kontrola funkčnosti LED diódou, Rozsah tlakovej diferencie je 20-1000Pa, ovládacie napätie 0-10 V rozmer  400x400mm, prietok vzduchu 3700 m3/h (pozicia1.7.1 ) 1 ks - Elektronický regulátor prietoku vzduchu oceľový kruhový s plynulou reguláciou, so servopohonom, skladá sa zo skrine s regulačnou klapkou a čidlá stredné hodnoty tlakovej diferencie, Regulátor, prevodník a servopohon (24V) tvoria neoddeliteľnú súčasť prístroja. Nastavenie regulátora bez prístrojov na požadované prietoky vzduchu. Kontrola funkčnosti LED diódou, Rozsah tlakovej diferencie je 20-1000Pa, ovládacie napätie 0-10 V rozmer  400x400mm, prietok vzduchu 3700 m3/h (pozicia1.7.2 )_x000D_
1 ks - Elektronický regulátor prietoku vzduchu oceľový kruhový s plynulou reguláciou, so servopohonom, skladá sa zo skrine s regulačnou klapkou a čidlá stredné hodnoty tlakovej diferencie, Regulátor, prevodník a servopohon (24V) tvoria neoddeliteľnú súčasť prístroja. Nastavenie regulátora bez prístrojov na požadované prietoky vzduchu. Kontrola funkčnosti LED diódou, Rozsah tlakovej diferencie je 20-1000Pa, ovládacie napätie 0-10 V rozmer  400x400mm, prietok vzduchu 3760 m3/h (pozicia1.7.2 ) 1 ks - Elektronický regulátor prietoku vzduchu oceľový kruhový s plynulou reguláciou, so servopohonom, skladá sa zo skrine s regulačnou klapkou a čidlá stredné hodnoty tlakovej diferencie, Regulátor, prevodník a servopohon (24V) tvoria neoddeliteľnú súčasť prístroja. Nastavenie regulátora bez prístrojov na požadované prietoky vzduchu. Kontrola funkčnosti LED diódou, Rozsah tlakovej diferencie je 20-1000Pa, ovládacie napätie 0-10 V rozmer  400x400mm, prietok vzduchu cca3700 m3/h ( pozicia 1.7.4.); 1 ks - Elektronický regulátor prietoku vzduchu oceľový kruhový s plynulou reguláciou, so servopohonom, skladá sa zo skrine s regulačnou klapkou a čidlá stredné hodnoty tlakovej diferencie, Regulátor, prevodník a servopohon (24V) tvoria neoddeliteľnú súčasť prístroja. Nastavenie regulátora bez prístrojov na požadované prietoky vzduchu. Kontrola funkčnosti LED diódou, Rozsah tlakovej diferencie je 20-1000Pa, ovládacie napätie 0-10 V rozmer  400x400mm, prietok vzduchu cca3700 m3/h ( pozícia 1.7.5) 1 ks - Elektronický regulátor prietoku vzduchu oceľový kruhový s plynulou reguláciou, so servopohonom, skladá sa zo skrine s regulačnou klapkou a čidlá stredné hodnoty tlakovej diferencie, Regulátor, prevodník a servopohon (24V) tvoria neoddeliteľnú súčasť prístroja. Nastavenie regulátora bez prístrojov na požadované prietoky vzduchu. Kontrola funkčnosti LED diódou, Rozsah tlakovej diferencie je 20-1000Pa, ovládacie napätie 0-10 V rozmer  400x400mm, prietok vzduchu cca3480 m3/h ( pozícia 1.7.6)</t>
  </si>
  <si>
    <t>Pol626</t>
  </si>
  <si>
    <t>Elektrický ohrievač vzduchu</t>
  </si>
  <si>
    <t>Pol627</t>
  </si>
  <si>
    <t>Radiálny ventilátor pre osadenie do kruhového potrubia prietok 280 m3 / h, ext. tlak 300 Pa 230V, IP44, inštalácia v ľubovoľnej pozícii príslušenstvo: rýchloupínacie spona 2 ks, montážna konzola 1 ks</t>
  </si>
  <si>
    <t>Pol628</t>
  </si>
  <si>
    <t>Protidažďová žalúzia do 13.000 m3/h Protidažďová žalúzia veľkosť: 1800 x 900 mm Na ochranu pred priamo pôsobiacim dažďom a vnikaním lístia a vtákov do vstupného otvoru vzduchotechnických zariadení, pozostávajúce z prvkov rámu s nasadenými lamelovými profi</t>
  </si>
  <si>
    <t xml:space="preserve">Poznámka k položke:_x000D_
Protidažďová žalúzia do 13.000 m3/h Protidažďová žalúzia veľkosť: 1800 x 900 mm Na ochranu pred priamo pôsobiacim dažďom a vnikaním lístia a vtákov do vstupného otvoru vzduchotechnických zariadení, pozostávajúce z prvkov rámu s nasadenými lamelovými profilmi proti dažďu a vzadu nasadené mriežky z vlnitého drôtu, z profilovaného, ??pozinkovaného oceľového plechu, s rámom a všetkým ďalším príslušenstvom. prevedenie: z oceľového pozinkovaného plechu s povrchovou úpravou práškovým vypaľovacím lakom rýchlosť vzduchu do 3,0 m / s_x000D_
</t>
  </si>
  <si>
    <t>Pol629</t>
  </si>
  <si>
    <t>Výfuková hlavica do 500 m3/h Výfuková samoťažné hlavice O160 mm proti prenikaniu poveternostných zrážok a nečistôt do potrubia, prevedenie z pozinkovaného plechu trieda tesnosti A podľa EN12 237</t>
  </si>
  <si>
    <t>Pol630</t>
  </si>
  <si>
    <t>Výfuková hlavica do 11.000 m3/h Výfuková samoťažné hlavice O900 mm proti prenikaniu poveternostných zrážok a nečistôt do potrubia, prevedenie z pozinkovaného plechu trieda tesnosti A podľa EN12 237</t>
  </si>
  <si>
    <t>Pol631</t>
  </si>
  <si>
    <t>Ohybná flexo hadica 11m - Ohybná flexo hadica o315 mm z dvoch vrstiev PVC s polyamidovou tkaninou, spevnená špirálovito vinutou kostrou z oceľového drôtu. prevádzková teplota -18 až +75 °C, max. rýchlosť vzduchu 25 m / s, Výpočet polomeru ohybu: R = 0,6 D</t>
  </si>
  <si>
    <t xml:space="preserve">Poznámka k položke:_x000D_
Ohybná flexo hadica 11m - Ohybná flexo hadica o315 mm z dvoch vrstiev PVC s polyamidovou tkaninou, spevnená špirálovito vinutou kostrou z oceľového drôtu. prevádzková teplota -18 až +75 °C, max. rýchlosť vzduchu 25 m / s, Výpočet polomeru ohybu: R = 0,6 D 10m - Ohybná flexo hadica o250 mm z dvoch vrstiev PVC s polyamidovou tkaninou, spevnená špirálovito vinutou kostrou z oceľového drôtu. prevádzková teplota -18 až +75 °C, max. rýchlosť vzduchu 25 m / s, Výpočet polomeru ohybu: R = 0,6 D 16m - Ohybná flexo hadica o200 mm z dvoch vrstiev PVC s polyamidovou tkaninou, spevnená špirálovito vinutou kostrou z oceľového drôtu. prevádzková teplota -18 až +75 °C, max. rýchlosť vzduchu 25 m / s, Výpočet polomeru ohybu: R = 0,6 D 6m - Ohybná flexo hadica o160 mm z dvoch vrstiev PVC s polyamidovou tkaninou, spevnená špirálovito vinutou kostrou z oceľového drôtu. prevádzková teplota -18 až +75 °C, max. rýchlosť vzduchu 25 m / s, Výpočet polomeru ohybu: R = 0,6 D 2m - Ohybná flexo hadica o125 mm z dvoch vrstiev PVC s polyamidovou tkaninou, spevnená špirálovito vinutou kostrou z oceľového drôtu. prevádzková teplota -18 až +75 °C, max. rýchlosť vzduchu 25 m / s, Výpočet polomeru ohybu: R = 0,6 D_x000D_
</t>
  </si>
  <si>
    <t>Pol632</t>
  </si>
  <si>
    <t>Pol633</t>
  </si>
  <si>
    <t>Pol634</t>
  </si>
  <si>
    <t>Tepelná izolácia čerstvého vzduchu Tepelná izolácia pre nasávanie čerstvého vzduchu materiál na báze syntetického kaučuku, faktor difúzneho odporu m&gt; 7000, použitie od -40 ° C do + 105 ° C, súčiniteľ tepelnej vodivosti ? = 0,038W / m * K hrúbka izolácie 2</t>
  </si>
  <si>
    <t xml:space="preserve">Poznámka k položke:_x000D_
Tepelná izolácia čerstvého vzduchu Tepelná izolácia pre nasávanie čerstvého vzduchu materiál na báze syntetického kaučuku, faktor difúzneho odporu m&gt; 7000, použitie od -40 ° C do + 105 ° C, súčiniteľ tepelnej vodivosti ? = 0,038W / m * K hrúbka izolácie 25 mm, typ: nekonečné dosky_x000D_
</t>
  </si>
  <si>
    <t>Pol635</t>
  </si>
  <si>
    <t xml:space="preserve">Poznámka k položke:_x000D_
Tepelná izolácia s oplechováním Vonkajšia izolácia s oplechovaním tepelná izolácia hr. 100 mm z dosiek z minerálnej plsti min.40 kg / m3, tepelná vodivosť 0,04 W / m.K, opatrená krycím plechom z pozinkovavaného plechu určená pre izoláciu potrubia na fasáde_x000D_
</t>
  </si>
  <si>
    <t>Pol636</t>
  </si>
  <si>
    <t>Vzduchotechnická jednotka Prívodný jednotka čestvovzdušná, prietok 4.700 m3 / h Zostava jednotky: - Pripojovací diel (pružná manžeta, sanie do čela), pozink. uzatváracia klapka so servopohonom (dodávka MaR), - 1 ° filtrácia vzduchu (vreckový filter, tried</t>
  </si>
  <si>
    <t>Poznámka k položke:_x000D_
Vzduchotechnická jednotka Prívodný jednotka čestvovzdušná, prietok 4.700 m3 / h Zostava jednotky: - Pripojovací diel (pružná manžeta, sanie do čela), pozink. uzatváracia klapka so servopohonom (dodávka MaR), - 1 ° filtrácia vzduchu (vreckový filter, trieda filtra M5, vyberaní do boku), - Komora ZZT doskový,  - Ventilátor privádzaného vzduchu ex. tlak 1200 Pa, 400V, - ventilátor s voľným obežným kolesom bez špirálovej skrine (jednootáčkový elektromotor pre riadenie frekvenčným meničom otáčok, FM - dodávka MaR, servisný spínač pre opravy, silentbloky), Trieda V účinnosti motora IE2 - Ohrievacie komora, top.výkon 51 kW, vykurovacia voda 80/60 ° C, vykurovací výmenník - medený rozdeľovač a zberač s vonkajšími závitmi, rám a vodiace profily z oceľového pozinkovaného plechu, medené trubičky, nalisované lamely Alu, Max. prevádzkový tlak 15 bar, skúšobný tlak 30 barov. Tlaková strata na strane vody max. 10 kPa, prispôsobený pre umiestnenie čidla protimrazovej ochrany.  - Chladiaci komora, chl.výkon 57 kW, chladicia voda 7/12 ° C, chladiací výmenník - medený rozdeľovač a zberač s vonkajšími závitmi, rám a vodiace profily z oceľového pozinkovaného plechu, medené trubičky, nalisované lamely Alu, Max. prevádzkový tlak 15 bar, skúšobný tlak 30 barov. Tlaková strata na strane vody max. 10 kPa. Kondenzátnej vaňa z oceľového nehrdzavejúceho plechu s odpadovým hrdlom, sifón._x000D_
Ohrievacie komora, top.výkon 26 kW, vykurovacia voda 80/60 ° C, vykurovací výmenník - medený rozdeľovač a zberač s vonkajšími závitmi, rám a vodiace profily z oceľového pozinkovaného plechu, medené trubičky, nalisované lamely Alu, Max. prevádzkový tlak 15 bar, skúšobný tlak 30 barov. Tlaková strata na strane vody max. 10 kPa, prispôsobený pre umiestnenie čidla protimrazovej ochrany. - 2 ° filtrácia vzduchu (vreckový filter, trieda filtra F9, vyberaní do boku), - Pripojovací diel (pružná manžeta, výtlak do čela) - Základný rám jednotky výšky cca 80 mm Odvodné jednotka, prietok 4.280 m3 / h Zostava jednotky: - Pripojovací diel (pružná manžeta, sanie do čela), - 1 ° filtrácia vzduchu (vreckový filter, trieda filtra M5, vyberaní do boku), - Komora ZZT doskový - Ventilátor privádzaného vzduchu ex. tlak 1000 Pa, 400V, - ventilátor s voľným obežným kolesom bez špirálovej skrine (jednootáčkový elektromotor pre riadenie frekvenčným meničom otáčok - dodávka MaR, servisný spínač pre opravy, silentbloky), Trieda V účinnosti motora IE2 - Pripojovací diel (pružná manžeta, výtlak do čela), pozink. uzatváracia klapka so servopohonom (dodávka MaR), základný rám jednotky výšky cca 80 mm;  prevedenie - vnútorne čistiteľné, bez vyčnievajúcich častí zachytávajúce nečistoty, - Plášť v oblasti rosného bodu tepelne oddelený - Hrúbka steny plášťa 50mm - Vlastnosti plášťa podľa prEN 1886 (2007) - Mechanická stabilita D1 - Tesnosť placho L1 - Tepelná izolácia T3 - Faktor tepelných mostov TB2 strana obsluhy do boku Spĺňať nariadenia EÚ č.1253 / 2014 (vetracie VZT jednotky)</t>
  </si>
  <si>
    <t xml:space="preserve">Poznámka k položke:_x000D_
Rám pod vzduchotechnickú jednotku Rám pod vzduchotechnickú jednotku výška rámu 200 mm, samostatný, s nastaviteľnými nôžkami, s pružnými silenbloky delený na jednotlivé polia z dôvodu dopravy do strojovne vzduchotechniky, zostavené pomocou skrutkových spojení._x000D_
</t>
  </si>
  <si>
    <t>Pol637</t>
  </si>
  <si>
    <t>Elektrický parný zvlhčovač 40 kg/h Elektrický parný zvlhčovač odporový, pre vlhčenie vo vzt. potrubí M = 40 kg / hod, P = 30 kW, 400 V So zbernou nádržou na sedimenty, na pitnú vodu, s relé pre diaľkovú obsluhou a indikáciu chýb príslušenstvo: Tlakový kom</t>
  </si>
  <si>
    <t xml:space="preserve">Poznámka k položke:_x000D_
Elektrický parný zvlhčovač 40 kg/h Elektrický parný zvlhčovač odporový, pre vlhčenie vo vzt. potrubí M = 40 kg / hod, P = 30 kW, 400 V So zbernou nádržou na sedimenty, na pitnú vodu, s relé pre diaľkovú obsluhou a indikáciu chýb príslušenstvo: Tlakový kompenzátor pre kompenzáciu tlaku vo vzt. Potrubia do 10000 Pa - 1 ks Distribučná trubice (šírka potrubie 900 mm) - 1 ks, Filtračné ventil 3/8 "- 1 ks, Parná hadica pre popojení telesa zvlhčovače a distribučných trubíc 5/4 "- 4m, Kondenzačné hadica pre odvod kondenzátu z distribučných trubíc - 4m Sada pre ochladzovanie vypúšťanej vody_x000D_
</t>
  </si>
  <si>
    <t>Pol638</t>
  </si>
  <si>
    <t>Zvlhčovacie diel do potrubi Zvlhčovacie diel pre osadenie distribučných trubíc s odtokom kondenzátu a revíznym otvorom Rúra 900 x 600/2000, odtok kondenzátu (hrdlo) zospodu Tesná revízne dvierka 300x200 prevedenie vodotesné, trieda tesnosti B podľa EN12 2</t>
  </si>
  <si>
    <t xml:space="preserve">Poznámka k položke:_x000D_
Zvlhčovacie diel do potrubi Zvlhčovacie diel pre osadenie distribučných trubíc s odtokom kondenzátu a revíznym otvorom Rúra 900 x 600/2000, odtok kondenzátu (hrdlo) zospodu Tesná revízne dvierka 300x200 prevedenie vodotesné, trieda tesnosti B podľa EN12 237_x000D_
</t>
  </si>
  <si>
    <t>Pol639</t>
  </si>
  <si>
    <t>Tlmič hluku 2 ks - Kulisový tlmič hluku pôsobí na princípe absorbcie v komore, povrch kulís odolný proti oteru, max. rýchlosť do 9 m / s, nehorľavá minerálna vlna (stavebný trieda A), skriňa z pozinkovaného oceľového plechu, obojstranne s prípojným rámom,</t>
  </si>
  <si>
    <t xml:space="preserve">Poznámka k položke:_x000D_
Tlmič hluku 2 ks - Kulisový tlmič hluku pôsobí na princípe absorbcie v komore, povrch kulís odolný proti oteru, max. rýchlosť do 9 m / s, nehorľavá minerálna vlna (stavebný trieda A), skriňa z pozinkovaného oceľového plechu, obojstranne s prípojným rámom, so zaoblenými koncami kulís, vrátane upevňovacieho materiálu ) šírka: 900 mm výška: 600 mm dĺžka: 1500 mm celkový vložený útlm pri 250 Hz .: min. 25 dB trieda tesnosti A podľa EN12 237 2 ks - Kulisový tlmič hluku šírka: 900 mm výška: 600 mm dĺžka: 1500 mm celkový vložený útlm pri 250 Hz .: min. 25 dB trieda tesnosti A podľa EN12 237 1 ks - Kulisový tlmič hluku šírka: 300 mm výška: 300 mm dĺžka: 1000 mm celkový vložený útlm pri 250 Hz .: min. 10 dB trieda tesnosti A podľa EN12 237 1 ks - Kulisový tlmič hluku šírka: 450 mm výška: 450 mm dĺžka: 1000 mm celkový vložený útlm pri 250 Hz .: min. 10 dB trieda tesnosti A podľa EN12 237_x000D_
</t>
  </si>
  <si>
    <t>Pol640</t>
  </si>
  <si>
    <t>Regulačná klapka 7 ks - Regulačný (škrtiaca) klapka kruhová na reguláciu množstva vzduchu. Z pozinkovanej ocele, nastavenie klapky ručne vonkajšie nastavovacie pákou, sa zaisťovacím zariadením listu klapky prostredníctvom krídlovej skrutky. Menovitý rozme</t>
  </si>
  <si>
    <t xml:space="preserve">Poznámka k položke:_x000D_
Regulačná klapka 7 ks - Regulačný (škrtiaca) klapka kruhová na reguláciu množstva vzduchu. Z pozinkovanej ocele, nastavenie klapky ručne vonkajšie nastavovacie pákou, sa zaisťovacím zariadením listu klapky prostredníctvom krídlovej skrutky. Menovitý rozmer: O 315 mm trieda tesnosti B podľa EN12 237 3 ks - Regulačný (škrtiaca) klapka kruhová na reguláciu množstva vzduchu. Z pozinkovanej ocele, nastavenie klapky ručne vonkajšie nastavovacie pákou, sa zaisťovacím zariadením listu klapky prostredníctvom krídlovej skrutky. Menovitý rozmer: O 250 mm trieda tesnosti B podľa EN12 237_x000D_
</t>
  </si>
  <si>
    <t>Pol641</t>
  </si>
  <si>
    <t xml:space="preserve">Poznámka k položke:_x000D_
Škrtiaca klapka 8 ks - Regulačný (škrtiaca) klapka kruhová na reguláciu množstva vzduchu. Z pozinkovanej ocele, nastavenie klapky ručne vonkajšie nastavovacie pákou, sa zaisťovacím zariadením listu klapky prostredníctvom krídlovej skrutky. Menovitý rozmer: O 160 mm trieda tesnosti B podľa EN12 237 8 ks - Regulačný (škrtiaca) klapka kruhová na reguláciu množstva vzduchu. Z pozinkovanej ocele, nastavenie klapky ručne vonkajšie nastavovacie pákou, sa zaisťovacím zariadením listu klapky prostredníctvom krídlovej skrutky. Menovitý rozmer: O 200 mm trieda tesnosti B podľa EN12 237_x000D_
</t>
  </si>
  <si>
    <t>Pol642</t>
  </si>
  <si>
    <t>Regulačná klapka pre osadenie servopohonu, pozink, Trieda tesnosti A podľa EN12 237 rozmer: O 250 mm servo v dodávke MaR</t>
  </si>
  <si>
    <t>Pol643</t>
  </si>
  <si>
    <t>Požiarna klapka pre osadenie servopohonu 1 ks - Požiarna klapka štvorhranná pozinkovaná veľkosť: 450 x 450 mm,  -Prevedenie: se servopohonom (řízení UPS), požiarna odolnosť podľa PBR 1 ks - Požiarna klapka štvorhranná pozinkovaná veľkosť: 300 x 250 mm,  -</t>
  </si>
  <si>
    <t xml:space="preserve">Poznámka k položke:_x000D_
Požiarna klapka pre osadenie servopohonu 1 ks - Požiarna klapka štvorhranná pozinkovaná veľkosť: 450 x 450 mm,  -Prevedenie: se servopohonom (řízení UPS), požiarna odolnosť podľa PBR 1 ks - Požiarna klapka štvorhranná pozinkovaná veľkosť: 300 x 250 mm,  -Prevedenie: se servopohonom (řízení UPS), požiarna odolnosť podľa PBR 1 ks - Požiarna klapka štvorhranná pozinkovaná veľkosť: 450 x 500 mm,  -Prevedenie: se servopohonom (řízení UPS), požiarna odolnosť podľa PBR_x000D_
</t>
  </si>
  <si>
    <t>Pol644</t>
  </si>
  <si>
    <t xml:space="preserve">Poznámka k položke:_x000D_
Regulátor prietoku elektronický 2 ks - Elektronický regulátor prietoku vzduchu oceľový kruhový s plynulou reguláciou, so servopohonom, skladá sa zo skrine s regulačnou klapkou a čidlá stredné hodnoty tlakovej diferencie, Regulátor, prevodník a servopohon (24V) tvoria neoddeliteľnú súčasť prístroja. Nastavenie regulátora bez prístrojov na požadované prietoky vzduchu. Kontrola funkčnosti LED diódou, Rozsah tlakovej diferencie je 20-1000Pa, ovládacie napätie 0-10 V rozmer  400x400mm, prietok vzduchu 3000 m3/h  2 ks - Elektronický regulátor prietoku vzduchu oceľový kruhový s plynulou reguláciou, so servopohonom, skladá sa zo skrine s regulačnou klapkou a čidlá stredné hodnoty tlakovej diferencie, Regulátor, prevodník a servopohon (24V) tvoria neoddeliteľnú súčasť prístroja. Nastavenie regulátora bez prístrojov na požadované prietoky vzduchu. Kontrola funkčnosti LED diódou, Rozsah tlakovej diferencie je 20-1000Pa, ovládacie napätie 0-10 V rozmer  300x200mm, prietok vzduchu 1280 m3/h_x000D_
</t>
  </si>
  <si>
    <t>Pol645</t>
  </si>
  <si>
    <t>Odvodní VZT nástavec Nástavec odvodný pre osadenie výrivé výustky pre osadenie do ľahkého kovového podhľadu 625 x 625 mm výstupný element: vírivka, Plášť s antibakteriálnou povrchovou úpravou v odtieni RAL 9016, připojení boční do O250mm</t>
  </si>
  <si>
    <t>Pol646</t>
  </si>
  <si>
    <t>5 m - Ohybná flexo hadica o315 mm z dvoch vrstiev PVC s polyamidovou tkaninou, spevnená špirálovito vinutou kostrou z oceľového drôtu. prevádzková teplota -18 až +75 °C, max. rýchlosť vzduchu 25 m / s, Výpočet polomeru ohybu: R = 0,6 D  2 m - Ohybná flexo</t>
  </si>
  <si>
    <t xml:space="preserve">Poznámka k položke:_x000D_
5 m - Ohybná flexo hadica o315 mm z dvoch vrstiev PVC s polyamidovou tkaninou, spevnená špirálovito vinutou kostrou z oceľového drôtu. prevádzková teplota -18 až +75 °C, max. rýchlosť vzduchu 25 m / s, Výpočet polomeru ohybu: R = 0,6 D  2 m - Ohybná flexo hadica o250 mm z dvoch vrstiev PVC s polyamidovou tkaninou, spevnená špirálovito vinutou kostrou z oceľového drôtu. prevádzková teplota -18 až +75 °C, max. rýchlosť vzduchu 25 m / s, Výpočet polomeru ohybu: R = 0,6 D  7 m - Ohybná flexo hadica o200 mm z dvoch vrstiev PVC s polyamidovou tkaninou, spevnená špirálovito vinutou kostrou z oceľového drôtu. prevádzková teplota -18 až +75 °C, max. rýchlosť vzduchu 25 m / s, Výpočet polomeru ohybu: R = 0,6 D  6 m - Ohybná flexo hadica o160 mm z dvoch vrstiev PVC s polyamidovou tkaninou, spevnená špirálovito vinutou kostrou z oceľového drôtu. prevádzková teplota -18 až +75 °C, max. rýchlosť vzduchu 25 m / s, Výpočet polomeru ohybu: R = 0,6 D  7 m - Ohybná flexo hadica o125 mm z dvoch vrstiev PVC s polyamidovou tkaninou, spevnená špirálovito vinutou kostrou z oceľového drôtu. prevádzková teplota -18 až +75 °C, max. rýchlosť vzduchu 25 m / s, Výpočet polomeru ohybu: R = 0,6 D_x000D_
</t>
  </si>
  <si>
    <t>Zariadenie č.10 - Havarijní větrání strojovny chladu a větrání strojoven</t>
  </si>
  <si>
    <t>Pol647</t>
  </si>
  <si>
    <t>Axiálny ventilátor pre osadenie do kruhového potrubia prietok 3000 m3 / h, ext. tlak 150 Pa 400V, IP44, inštalácia v ľubovoľnej pozícii príslušenstvo: rýchloupínacie spona 2 ks, montážna konzola 1 ks</t>
  </si>
  <si>
    <t>Pol648</t>
  </si>
  <si>
    <t>Radiálny ventilátor pre osadenie do kruhového potrubia prietok 800 m3 / h, ext. tlak 150 Pa 230V, IP44, inštalácia v ľubovoľnej pozícii príslušenstvo: rýchloupínacie spona 2 ks, montážna konzola 1 ks</t>
  </si>
  <si>
    <t>Pol649</t>
  </si>
  <si>
    <t>Radiálny ventilátor pre osadenie do kruhového potrubia prietok 500 m3 / h, ext. tlak 150 Pa 230V, IP44, inštalácia v ľubovoľnej pozícii príslušenstvo: rýchloupínacie spona 2 ks, montážna konzola 1 ks</t>
  </si>
  <si>
    <t>Pol650</t>
  </si>
  <si>
    <t>Tlmič hluku 1 ks - Kruhový tlmič hluku pôsobí na princípe absorbcie v komore, absorbčný materiál minerálna vlna nehorľavá, (stavebné trieda A), vonkajší obal z pozinkovaného oceľového plechu, na oboch stranách opatrený prírubami. Technické údaje: menovitá</t>
  </si>
  <si>
    <t xml:space="preserve">Poznámka k položke:_x000D_
Tlmič hluku 1 ks - Kruhový tlmič hluku pôsobí na princípe absorbcie v komore, absorbčný materiál minerálna vlna nehorľavá, (stavebné trieda A), vonkajší obal z pozinkovaného oceľového plechu, na oboch stranách opatrený prírubami. Technické údaje: menovitá svetlosť: DN 450 hrúbka tlmiace vložky: 50 mm dĺžka: 1000 mm vložený útlm pri 250 Hz .: 10 dB trieda tesnosti A podľa EN12 237  1 ks - Kruhový tlmič hluku menovitá svetlosť: DN 315 hrúbka tlmiace vložky: 50 mm dĺžka: 1000 mm vložený útlm pri 250 Hz .: 10 dB trieda tesnosti A podľa EN12 237  1 ks - Kruhový tlmič hluku menovitá svetlosť: DN 315 hrúbka tlmiace vložky: 50 mm dĺžka: 250 mm vložený útlm pri 250 Hz .: 10 dB trieda tesnosti A podľa EN12 237_x000D_
</t>
  </si>
  <si>
    <t>Pol651</t>
  </si>
  <si>
    <t>Regulačná klapka pre osadenie servopohonu 2 ks - Regulačná klapka pre osadenie servopohonu, pozink, Trieda tesnosti A podľa EN12 237 rozmer: 700x700 servo v dodávke MaR 1 ks - Regulačná klapka pre osadenie servopohonu, pozink, Trieda tesnosti A podľa EN12</t>
  </si>
  <si>
    <t xml:space="preserve">Poznámka k položke:_x000D_
Regulačná klapka pre osadenie servopohonu 2 ks - Regulačná klapka pre osadenie servopohonu, pozink, Trieda tesnosti A podľa EN12 237 rozmer: 700x700 servo v dodávke MaR 1 ks - Regulačná klapka pre osadenie servopohonu, pozink, Trieda tesnosti A podľa EN12 237 rozmer: 400x500 servo v dodávke MaR 1 ks - Regulačná klapka pre osadenie servopohonu, pozink, Trieda tesnosti A podľa EN12 237 rozmer: O 315 servo v dodávke MaR 1 ks - Regulačná klapka pre osadenie servopohonu, pozink, Trieda tesnosti A podľa EN12 237 rozmer: 400x300 servo v dodávke MaR 1 ks - Regulačná klapka pre osadenie servopohonu, pozink, Trieda tesnosti A podľa EN12 237 rozmer: O 250 servo v dodávke MaR_x000D_
</t>
  </si>
  <si>
    <t>Pol652</t>
  </si>
  <si>
    <t>Protidažďová žalúzia do 3000 m3/h 2 ks - Protidažďová žalúzia veľkosť: 700 x 700 mm Na ochranu pred priamo pôsobiacim dažďom a vnikaním lístia a vtákov do vstupného otvoru vzduchotechnických zariadení, pozostávajúce z prvkov rámu s nasadenými lamelovými p</t>
  </si>
  <si>
    <t xml:space="preserve">Poznámka k položke:_x000D_
Protidažďová žalúzia do 3000 m3/h 2 ks - Protidažďová žalúzia veľkosť: 700 x 700 mm Na ochranu pred priamo pôsobiacim dažďom a vnikaním lístia a vtákov do vstupného otvoru vzduchotechnických zariadení, pozostávajúce z prvkov rámu s nasadenými lamelovými profilmi proti dažďu a vzadu nasadené mriežky z vlnitého drôtu, z profilovaného, ??pozinkovaného oceľového plechu, s rámom a všetkým ďalším príslušenstvom. prevedenie: z oceľového pozinkovaného plechu s povrchovou úpravou práškovým vypaľovacím lakom rýchlosť vzduchu do 3,0 m / s 2ks- Protidažďová žalúzia veľkosť: 500 x 400 mm  2 ks - Protidažďová žalúzia veľkosť: 400 x 300 mm_x000D_
</t>
  </si>
  <si>
    <t>Pol653</t>
  </si>
  <si>
    <t>Krycí mřížka 2ks - Krycí mriežka pozink rozmer: O450 2 ks - Krycí mriežka pozink rozmer: O315 2 ks - Krycí mriežka pozink rozmer: O250</t>
  </si>
  <si>
    <t>Pol654</t>
  </si>
  <si>
    <t>Filtr G3 kazetový</t>
  </si>
  <si>
    <t>Pol655</t>
  </si>
  <si>
    <t>Priečka ze sendvičových průmyslových kovových panelov  do strojovny VZT tl. 80mm</t>
  </si>
  <si>
    <t>Pol656</t>
  </si>
  <si>
    <t>Dveře dvoukřídlové kovové sendvičové rozm. 1600/2500mm   do strojovny VZT</t>
  </si>
  <si>
    <t>S03-8.4 - SO 03-84 - Trubné rozvody</t>
  </si>
  <si>
    <t>03.4. - Trubní rozvody pro VZT</t>
  </si>
  <si>
    <t xml:space="preserve">    D1 - Zdroj chladu</t>
  </si>
  <si>
    <t xml:space="preserve">    D2 - Potrubie z oceľ. rúrok závit. bezšvík. J. M. 11 353 (Vr. Ohybov, redukcií, T-kusov, chladiar.objímok</t>
  </si>
  <si>
    <t xml:space="preserve">    D3 - Potrubie z oceľ. rúrok bezšvík. hladkých (Vr. Ohybov, redukciou, T-kusov, chladiarenských objímok...</t>
  </si>
  <si>
    <t xml:space="preserve">    D6 - Rozvody chladu pre VZT</t>
  </si>
  <si>
    <t xml:space="preserve">    D7 - Potrubie z oceľových rúrok bezšvíkových hladkých (Vr. Ohybov, redukcií, T-kusov, chladiarenských obj</t>
  </si>
  <si>
    <t xml:space="preserve">    D8 - Regulačné uzly tepla pre VZT</t>
  </si>
  <si>
    <t>03.4.</t>
  </si>
  <si>
    <t>Zdroj chladu</t>
  </si>
  <si>
    <t>C1.1a,b</t>
  </si>
  <si>
    <t>Vnútorná chladiaca jednotka, výkon 322,3kW, príkon 116,8kW, EER cooling efficiency 2,76kW / kW, ESEER 5,540kW / kW, IPLV.IP 6,36kW / kW, chladiaca voda 7/12 ° C, propylénglykol 35-40 % 45/50 ° C, Lw = 91dB (a) alebo menej, Lp v 1m = 73 dB (a), chladivo R4</t>
  </si>
  <si>
    <t>C1.2a,b</t>
  </si>
  <si>
    <t>Suchý chladič V, výkon 425kW, príkon 2,15kW, 3N-400V, 50 Hz, rezerva plochy 1,7%, teplota v lete 35 ° C, propylénglykol 35-40%, 50/45 ° C, tlaková strata 0,46bar , 12 ventilátorov, akustický výkon 71 dBa, hladina akustického tlaku v 10m 38 dB (a), približ</t>
  </si>
  <si>
    <t>C1.3</t>
  </si>
  <si>
    <t>Akumulační nádoba atypická, 3000 litrů, PN 6, 2x hrdlo DN 150/PN6, 1x hrdlo 200/PN6, odkalení DN100/PN6, odvzdušnění DN 3/8", revizní otvor d= 450 mm, materiál ocel, uvnitř bez nátěru, vně 2x základní, včetně  návarků, přírub.</t>
  </si>
  <si>
    <t>C1.4a,b</t>
  </si>
  <si>
    <t>Obehové čerpadlo, Q = 51,3-55m3 / h, H = 10-12m, DN80 / PN16, 3N-400V, 50Hz, P = 3,0 kW, I = 6,3A, účinnosť IE3 / 87,1%, vrátane pripojovacích protiprírub</t>
  </si>
  <si>
    <t>C1.5a,b</t>
  </si>
  <si>
    <t>Obehové čerpadlo, Q = 79-86m3 / h, H = 20m, glykol 35%, DN100 / PN16, 3N-400V, 50Hz, P = 11,0kW, I = 20,2, účinnosť IE3 / 91,2%, vrátane pripojovacích protiprírub</t>
  </si>
  <si>
    <t>C1.6a,b</t>
  </si>
  <si>
    <t>Obehové čerpadlo s integrovaným frekvenčným meničom a tlakovými čidlami, Q = 10-12m3 / h, H = 11m, DN32 / PN6 / 10, 1N-230V, 50Hz, P = 0,55kW, I = 3,6A, účinnosť 84,9 %, vrátane pripojovacích protiprírub</t>
  </si>
  <si>
    <t>C1.7a,b</t>
  </si>
  <si>
    <t>Obehové čerpadlo s integrovaným frekvenčným meničom a tlakovými čidlami, Q = 32-36m3 / h, H = 14m, DN65 / PN16, 3N-400V, 50Hz, P = 2,2 kW, I = 4,35, účinnosť 90,1 %, vrátane pripojovacích protiprírub</t>
  </si>
  <si>
    <t>C1.8a,b</t>
  </si>
  <si>
    <t>Obehové čerpadlo s integrovaným frekvenčným meničom a tlakovými čidlami, Q = 72,2-80m3 / h, H = 16m, DN80 / PN16, 3N-400V, 50Hz, P = 5,5 kW, I = 10,3, účinnosť 92,7%, vrátane pripojovacích protiprírub</t>
  </si>
  <si>
    <t>C1.9</t>
  </si>
  <si>
    <t>Expanzný automat dvojčerpadlový, udržiavanie tlaku ± 0.2 bar, skladá sa z riadiacej jednotky, ktorá obsahuje 2 čerpadlá, 1 prepúšťací ventil pre odplynenie a udržiavanie tlaku. 1 prepúšťací ventil pre udržiavanie tlaku pri špičkovom zaťažení.1 solenoidový</t>
  </si>
  <si>
    <t>C1.10</t>
  </si>
  <si>
    <t>Expanzná nádoba membránová s vakom a plynovým vankúšom, glykol PN10</t>
  </si>
  <si>
    <t>C1.11</t>
  </si>
  <si>
    <t>Automatické zariadenia na prípravu a plnenie glykolových zmesí, max. Doplňované množstvo 4 m3 / h, max. Výtlačný tlak 5,5 baru, komplet vrátane plastovej nádoby 200l na prípravu glykolovej zmesi, solenid</t>
  </si>
  <si>
    <t>C1.12</t>
  </si>
  <si>
    <t>Automatická bloková úpravňa vody 200 s automatickým zmäkčovacom filtrom AZ a elektromagnetickým dávkovacím čerpadlom na automatické proporcionálne dávkovanie inhibítora korózie. Dávkovacia frekvencia čerpadla je riadená impulzom od vodomeru G 3/4 ", ktoré</t>
  </si>
  <si>
    <t>C1.13</t>
  </si>
  <si>
    <t>Rozdeľovač CHV 7 ° C, materiál 11353.1, DN 300, dĺžka 3,0m, hrdla: 3x DN65 / 6, 2x DN125 / 6, 2xDN150 / 6, 1x DN200 / 6, vypúšťanie DN3 / 4 ", 2x návarok 1/2" , vnútri bez náteru, vonku 2x základný náter,</t>
  </si>
  <si>
    <t>C1.14</t>
  </si>
  <si>
    <t>Zberač CHV 12 ° C, materiál 11353.1, DN 300, dĺžka 2,7m, hrdla: 2x DN65 / 6, 1x DN125 / 6, 1xDN150 / 6, 1x DN200 / 6, vypúšťanie DN3 / 4 ", 2x návarok 1/2" , vnútri bez náteru, vonku 2x základný náter</t>
  </si>
  <si>
    <t>Pol657</t>
  </si>
  <si>
    <t>Guľový kohút pre zaistenie expanznej nádoby, 3/4 "</t>
  </si>
  <si>
    <t>Pol658</t>
  </si>
  <si>
    <t>Guľový kohút pre zaistenie expanznej nádoby, 1 "</t>
  </si>
  <si>
    <t>Pol659</t>
  </si>
  <si>
    <t>Vložkový filter doplňovacej vody, DN 3/4 ", PN10, plastová jímka, pórovitosť 100 mikrometrov,</t>
  </si>
  <si>
    <t>Pol660</t>
  </si>
  <si>
    <t>Potrubný oddeľovač 3/4 ", PN10, mosadz, pre ochranu rozvodovej pitnej vody proti kontaminácii spôsoben spätným tlakom, spätným prietokom alebo spätným nasatím. Trojnásobná bezpečnosť - dva spätné ventily a jeden vypúšťací ventil rozdeľujú oddeľovač do tro</t>
  </si>
  <si>
    <t>Pol661</t>
  </si>
  <si>
    <t>Membránový poistný ventil DN 1 1/4 "x1 1/2" KD, otev.přetlak. 400 kPa, (napr. Meibes)</t>
  </si>
  <si>
    <t>Pol662</t>
  </si>
  <si>
    <t>Gumový kompenzátor DN 32 / PN10 - červený, vrátane napojovacích protiprírub</t>
  </si>
  <si>
    <t>Pol663</t>
  </si>
  <si>
    <t>Gumový kompenzátor  DN 65 / PN16 - červený, vrátane napojovacích protiprírub</t>
  </si>
  <si>
    <t>Pol664</t>
  </si>
  <si>
    <t>Gumový kompenzátor DN 80 / PN6 - červený, vrátane napojovacích protiprírub</t>
  </si>
  <si>
    <t>Pol665</t>
  </si>
  <si>
    <t>Gumový kompenzátor DN 80 / PN16 - červený, vrátane napojovacích protiprírub</t>
  </si>
  <si>
    <t>Pol666</t>
  </si>
  <si>
    <t>Gumový kompenzátor DN 100 / PN16 - červený, vrátane napojovacích protiprírub</t>
  </si>
  <si>
    <t>Pol667</t>
  </si>
  <si>
    <t>Bezprírubová uzatváracia klapka DN 65/6, vrátane pripojovacích protiprírub</t>
  </si>
  <si>
    <t>Pol668</t>
  </si>
  <si>
    <t>Bezprírubová uzatváracia klapka DN 125/6, vrátane pripojovacích protiprírub</t>
  </si>
  <si>
    <t>Pol669</t>
  </si>
  <si>
    <t>Bezprírubová uzatváracia klapka DN 150/6, vrátane pripojovacích protiprírub</t>
  </si>
  <si>
    <t>Pol670</t>
  </si>
  <si>
    <t>Bezprírubová uzatváracia klapka DN 200/6, vrátane pripojovacích protiprírub</t>
  </si>
  <si>
    <t>Pol671</t>
  </si>
  <si>
    <t>Filter prírubový DN 65 / PN 6 s vypúšťací skrutkou, vrátane pripojovacích protiprírub</t>
  </si>
  <si>
    <t>Pol672</t>
  </si>
  <si>
    <t>Filter prírubový DN 125 / PN 6 s vypúšťací skrutkou, vrátane pripojovacích protiprírub</t>
  </si>
  <si>
    <t>Pol673</t>
  </si>
  <si>
    <t>Filter prírubový DN 150 / PN 6 s vypúšťací skrutkou, vrátane pripojovacích protiprírub</t>
  </si>
  <si>
    <t>Pol674</t>
  </si>
  <si>
    <t>Vyvažovací ventil DN 65/16 bez vypúšťania, vrátane protiprírub a tesnenia</t>
  </si>
  <si>
    <t>Pol675</t>
  </si>
  <si>
    <t>Vyvažovací ventil DN 100/16 bez vypúšťania, vrátane protiprírub a tesnenia</t>
  </si>
  <si>
    <t>Pol676</t>
  </si>
  <si>
    <t>Vyvažovací ventil DN 125/16 bez vypúšťania, vrátane protiprírub a tesnenia</t>
  </si>
  <si>
    <t>Pol677</t>
  </si>
  <si>
    <t>Vyvažovací ventil DN 150/16 bez vypúšťania, vrátane protiprírub a tesnenia</t>
  </si>
  <si>
    <t>Pol678</t>
  </si>
  <si>
    <t>Medziprírubový spätný ventil, DN 65/6, vrátane pripojovacích protiprírub</t>
  </si>
  <si>
    <t>Pol679</t>
  </si>
  <si>
    <t>Medziprírubový spätný ventil, DN 125/6, vrátane pripojovacích protiprírub</t>
  </si>
  <si>
    <t>Pol680</t>
  </si>
  <si>
    <t>Medziprírubový spätný ventil, DN 150/6, vrátane pripojovacích protiprírub</t>
  </si>
  <si>
    <t>Pol681</t>
  </si>
  <si>
    <t>Trojcestný prírubový ventil DN 150 PN16, kvs300 s pohonom 0-10V 24V, vrátane pripojovacích protiprírub</t>
  </si>
  <si>
    <t>Pol682</t>
  </si>
  <si>
    <t>Dvojcestný ventil solenoid DN 20 PN16, s pohonom pre dopúšťanie vody do systému chladenia, vr pripojenia na plastové potrubia</t>
  </si>
  <si>
    <t>Pol683</t>
  </si>
  <si>
    <t>Guľový vypúšťací kohút s napojením na hadicu, DN 1/2"</t>
  </si>
  <si>
    <t>Pol684</t>
  </si>
  <si>
    <t>Guľový vypúšťací kohút s napojením na hadicu, DN 3/4"</t>
  </si>
  <si>
    <t>Pol685</t>
  </si>
  <si>
    <t>Automatický odvzdušňovací ventil, DN 1/2"</t>
  </si>
  <si>
    <t>Pol686</t>
  </si>
  <si>
    <t>Plastový guľový kohút DN 15 / PN16 (PPR-3) s výstupom na hadicu</t>
  </si>
  <si>
    <t>Pol687</t>
  </si>
  <si>
    <t>Plastový guľový kohút d 25 / PN16 (PPR-3)</t>
  </si>
  <si>
    <t>Pol688</t>
  </si>
  <si>
    <t>Plastová spätná klapka d 25 / PN16 (PPR-3)</t>
  </si>
  <si>
    <t>Pol689</t>
  </si>
  <si>
    <t>Tlakomer prům.100 mm rozsah: 0 - 600 kPa, vrátane kondenzačné slučky s 3-cestným skúšobným kohútom, 1m pripojovacieho potrubia DN 15</t>
  </si>
  <si>
    <t>Pol690</t>
  </si>
  <si>
    <t>Tlakomer pre meranie zanesenia filtra priem. 100 mm, pripojenie G1 / 2 ", rozsah: 0 - 600 kPa. Vrátane kondenzačné slučky s 3-cestným skúšobným kohútom, pripájovacím potrubím a 2 ks uzatváracích guľových kohútov</t>
  </si>
  <si>
    <t>Pol691</t>
  </si>
  <si>
    <t>Návarok pre teplotný snímač MaR DN1 / 2 "vrátane záchytky</t>
  </si>
  <si>
    <t>Pol692</t>
  </si>
  <si>
    <t>Návarok pre tlakové čidlo DN1 / 2 ", vrátane 3-cestného skúšobného kohúta</t>
  </si>
  <si>
    <t>Pol693</t>
  </si>
  <si>
    <t>Prírubový spoj, DN 65 / PN6, vrátane tesnenia a spojovacieho materiálu</t>
  </si>
  <si>
    <t>Pol694</t>
  </si>
  <si>
    <t>Prírubový spoj zaslepujúci, DN 65 / PN6, vrátane tesnenia a spojovacieho materiálu</t>
  </si>
  <si>
    <t>Pol695</t>
  </si>
  <si>
    <t>Prírubový spoj, DN 125 / PN6, vrátane tesnenia a spojovacieho materiálu</t>
  </si>
  <si>
    <t>Pol696</t>
  </si>
  <si>
    <t>Prírubový spoj, DN 150 / PN6, vrátane tesnenia a spojovacieho materiálu</t>
  </si>
  <si>
    <t>Pol697</t>
  </si>
  <si>
    <t>Prírubový spoj, DN 200 / PN6, vrátane tesnenia a spojovacieho materiálu</t>
  </si>
  <si>
    <t>Pol698</t>
  </si>
  <si>
    <t>Potrubie vnútorné kanalizačné šedej barvy PP-HT d32 (vrátane tvaroviek, prechodiek)</t>
  </si>
  <si>
    <t>Pol699</t>
  </si>
  <si>
    <t>Potrubie vnútorné kanalizačné šedej barvy PP-HT d50 (vrátane tvaroviek, prechodiek)</t>
  </si>
  <si>
    <t>Pol700</t>
  </si>
  <si>
    <t>Potrubie z plastových PPR-3, priemer. 25, PN 16 (vrátane tvaroviek, priechodov a podporného pozinkovaného žľabu)</t>
  </si>
  <si>
    <t>Potrubie z oceľ. rúrok závit. bezšvík. J. M. 11 353 (Vr. Ohybov, redukcií, T-kusov, chladiar.objímok</t>
  </si>
  <si>
    <t>Potrubie z oceľ. rúrok bezšvík. hladkých (Vr. Ohybov, redukciou, T-kusov, chladiarenských objímok...</t>
  </si>
  <si>
    <t>Pol701</t>
  </si>
  <si>
    <t>DN150</t>
  </si>
  <si>
    <t>Pol702</t>
  </si>
  <si>
    <t>DN200</t>
  </si>
  <si>
    <t>Pol703</t>
  </si>
  <si>
    <t>Trubicová izolácie (napr. Mirelon PRO) pre potrubie d 25, hr. 9 mm, difúzny odpor 2,247</t>
  </si>
  <si>
    <t>Pol704</t>
  </si>
  <si>
    <t>13x28 mm pre DN 20</t>
  </si>
  <si>
    <t>Pol705</t>
  </si>
  <si>
    <t>19x160 mm pre DN 150</t>
  </si>
  <si>
    <t>Pol706</t>
  </si>
  <si>
    <t>Plošná kaučuková izolácia AC 19-99 / E, hr. 19 mm, (role š. 1 m) pre potrubie DN 200 a viac, armatúry</t>
  </si>
  <si>
    <t>Pol707</t>
  </si>
  <si>
    <t>Tepelná izolácia-izolačné rohože hr. 30 mm (pre vonkalšie potrubie)</t>
  </si>
  <si>
    <t>Pol708</t>
  </si>
  <si>
    <t>Pol709</t>
  </si>
  <si>
    <t>Propylen glykol 100 % zmes</t>
  </si>
  <si>
    <t>l</t>
  </si>
  <si>
    <t>Pol710</t>
  </si>
  <si>
    <t>Tlaková skúška potrubia</t>
  </si>
  <si>
    <t>Pol711</t>
  </si>
  <si>
    <t>Ľahké pracovné lešenie 8 m2</t>
  </si>
  <si>
    <t>Pol712</t>
  </si>
  <si>
    <t>sprevádzkovanie</t>
  </si>
  <si>
    <t>Pol713</t>
  </si>
  <si>
    <t>Naplnenie a odvzdušnenie systému</t>
  </si>
  <si>
    <t>Pol714</t>
  </si>
  <si>
    <t>chladiacia skúška</t>
  </si>
  <si>
    <t>Pol715</t>
  </si>
  <si>
    <t>Hydraulické vyváženie sústavy vrátane protokolu</t>
  </si>
  <si>
    <t>Pol716</t>
  </si>
  <si>
    <t>Bezprírubová uzatváracia klapka DN 100/6, vrátane pripojovacích protiprírub</t>
  </si>
  <si>
    <t>Pol717</t>
  </si>
  <si>
    <t>Filter prírubový DN 100 / PN 6 s vypúšťací skrutkou, vrátane pripojovacích protiprírub</t>
  </si>
  <si>
    <t>Pol718</t>
  </si>
  <si>
    <t>Tlakove nezávislý regulačný a vyvažovací ventil s nezávislou EQM charakteristikou P, DN65 / 16, vrátane 2ks protiprírub, spojovacieho materiálu a 2ks tesnenie Vysoko výkonný proporcionálny pohon TA-MC55, pre proporcionálnu alebo 3 bodovú reguláciu, 24V AC</t>
  </si>
  <si>
    <t>Pol719</t>
  </si>
  <si>
    <t>Tlakove nezávislý regulačný a vyvažovací ventil s nezávislou EQM charakteristikou P, DN100 / 16, vrátane 2ks protiprírub, spojovacieho materiálu a 2ks tesnenie Vysoko výkonný proporcionálny pohon TA-MC55, pre proporcionálnu alebo 3 bodovú reguláciu, 24V A</t>
  </si>
  <si>
    <t>Pol720</t>
  </si>
  <si>
    <t>Kombinovaný regulačný a vyvažovací ventil s nezávislou EQM charakteristikou C, DN32, Vysoko výkonný proporcionálny pohon TA-MC55, pre proporcionálny alebo 3 bodovú reguláciu, 24V AC / DC, 5m kábel</t>
  </si>
  <si>
    <t>Pol721</t>
  </si>
  <si>
    <t>Prírubový spoj, DN 100 / PN6, vrátane tesnenia a spojovacieho materiálu</t>
  </si>
  <si>
    <t>Potrubie z oceľových rúrok bezšvíkových hladkých (Vr. Ohybov, redukcií, T-kusov, chladiarenských obj</t>
  </si>
  <si>
    <t>Pol722</t>
  </si>
  <si>
    <t>Pol723</t>
  </si>
  <si>
    <t>13x42 mm pre DN 32</t>
  </si>
  <si>
    <t>Pol724</t>
  </si>
  <si>
    <t>19x108 mm pre DN 100</t>
  </si>
  <si>
    <t>Pol725</t>
  </si>
  <si>
    <t>Pol726</t>
  </si>
  <si>
    <t>Guľový kohút, DN 2"</t>
  </si>
  <si>
    <t>Pol727</t>
  </si>
  <si>
    <t>Filter hrubý, DN2"</t>
  </si>
  <si>
    <t>Pol728</t>
  </si>
  <si>
    <t>Obehové čerpadlo Q = 2,2 m3 / h, H = 2,5m, 1N-230V, 50Hz, P = 0,034kW, vrátane 2ks pripojovacích nákrutek,</t>
  </si>
  <si>
    <t>Pol729</t>
  </si>
  <si>
    <t>Obehové čerpadlo (napr. GRUNDFOS Magna1 32-60), Q = 5,2 m3 / h, H = 2,5m, 1N-230V, 50Hz, P = 1,1kW, vrátane 2ks pripojovacích nákrutek,</t>
  </si>
  <si>
    <t>Pol730</t>
  </si>
  <si>
    <t>Tlakove nezávislý regulačný a vyvažovacie ventil pre plynulú reguláciu (DN25) Vysoko výkonný proporcionálne pohon, pre proporcionálnu Alebo 3 bodový reguláciám, 24V AC / DC, 5m kábel</t>
  </si>
  <si>
    <t>Pol731</t>
  </si>
  <si>
    <t>Nákrutka 2", vrátane tesnenia</t>
  </si>
  <si>
    <t>Pol732</t>
  </si>
  <si>
    <t>Vyvažovací ventil, typ napr. IMI STAD, DN 2"</t>
  </si>
  <si>
    <t>Pol733</t>
  </si>
  <si>
    <t>Regulační a vyvažovací ventil pre proporcionálnu reguláciu, DN25 Vysoko výkonný proporcionálny pohon, pre proporcionálnu alebo 3 bodovú reguláciu, 24V AC / DC, 5m kábel</t>
  </si>
  <si>
    <t>Pol734</t>
  </si>
  <si>
    <t>Potrubie z oceľových rúrok bezšvíkových hladkých (Vr. Ohybov, redukcií, T-kusov, objímok, izolacie, závesy, náterů atď.) DN 25</t>
  </si>
  <si>
    <t>Pol735</t>
  </si>
  <si>
    <t>Potrubie z oceľových rúrok bezšvíkových hladkých (Vr. Ohybov, redukcií, T-kusov, objímok, izolacie, závesy, náterů atď.) DN 40</t>
  </si>
  <si>
    <t>Pol736</t>
  </si>
  <si>
    <t>Potrubie z oceľových rúrok bezšvíkových hladkých (Vr. Ohybov, redukcií, T-kusov, objímok, izolacie, závesy, náterů atď.) DN 50</t>
  </si>
  <si>
    <t>Pol737</t>
  </si>
  <si>
    <t>Potrubie z oceľových rúrok bezšvíkových hladkých (Vr. Ohybov, redukcií, T-kusov, objímok, izolacie, závesy, náterů atď.) DN 65</t>
  </si>
  <si>
    <t>Pol738</t>
  </si>
  <si>
    <t>Potrubie z oceľových rúrok bezšvíkových hladkých (Vr. Ohybov, redukcií, T-kusov, objímok, izolacie, závesy, náterů atď.) DN 80</t>
  </si>
  <si>
    <t>Pol739</t>
  </si>
  <si>
    <t>Potrubie z oceľových rúrok bezšvíkových hladkých (Vr. Ohybov, redukcií, T-kusov, objímok, izolacie, závesy, náterů atď.) DN 100</t>
  </si>
  <si>
    <t>Pol740</t>
  </si>
  <si>
    <t>Tepelná izolácia z minerálnych vlákien lamelová rohož s hliníkovou úpravou na povrchu, pre armatúry hr. 20mm</t>
  </si>
  <si>
    <t>Pol741</t>
  </si>
  <si>
    <t>Skúšky, testy, zaregulovanie, sprevádzkovanie</t>
  </si>
  <si>
    <t>S03-8.5 - SO 03-85 - ELI</t>
  </si>
  <si>
    <t>03.5. - Elektroinstalace</t>
  </si>
  <si>
    <t xml:space="preserve">    D1 - Pro VZT</t>
  </si>
  <si>
    <t xml:space="preserve">    D2 - MONTÁŽE</t>
  </si>
  <si>
    <t xml:space="preserve">    D3 - STROJE A ZARIADENIA - DODÁVKA</t>
  </si>
  <si>
    <t xml:space="preserve">    D4 - STROJE A ZARIADENIA - MONTÁŽE</t>
  </si>
  <si>
    <t xml:space="preserve">    D5 - NOSNÝ MATERIÁL - MONTÁŽE</t>
  </si>
  <si>
    <t xml:space="preserve">    D6 - MONTÁŽNE PRIRÁŽKY</t>
  </si>
  <si>
    <t xml:space="preserve">    D7 - MATERIÁL</t>
  </si>
  <si>
    <t xml:space="preserve">    D8 - NOSNÝ MATERIÁL</t>
  </si>
  <si>
    <t xml:space="preserve">    D9 - MATERIÁL - PRIRÁŽKY</t>
  </si>
  <si>
    <t>D11 - Pro zdroj chladu</t>
  </si>
  <si>
    <t>D12 - Pro zdroj ohrevu</t>
  </si>
  <si>
    <t>03.5.</t>
  </si>
  <si>
    <t>Pro VZT</t>
  </si>
  <si>
    <t>Pol742</t>
  </si>
  <si>
    <t>Rozvádzač vzduchotechniky RV 1.1.1, pole č. +01, rozmery 800x400x2000mm, vrátane výzbroje</t>
  </si>
  <si>
    <t>Pol743</t>
  </si>
  <si>
    <t>Rozvádzač vzduchotechniky RV 3.1.1, pole č. +01, rozmery 800x400x2000mm, vrátane výzbroje</t>
  </si>
  <si>
    <t>Pol744</t>
  </si>
  <si>
    <t>Frekvenčný menič, 15kW, 400V AC, IP54, asistenčný ovládací panel</t>
  </si>
  <si>
    <t>Pol745</t>
  </si>
  <si>
    <t>Frekvenčný menič, 7,5kW, 400V AC, IP54, asistenčný ovládací panel</t>
  </si>
  <si>
    <t>Pol746</t>
  </si>
  <si>
    <t>Frekvenčný menič, 3kW, 400V AC, IP54, asistenčný ovládací panel</t>
  </si>
  <si>
    <t>Pol747</t>
  </si>
  <si>
    <t>Montáž, kábel Cu 1kV uložený pevne CYKY 5x35, 4x35, 3x35+16 (+25)</t>
  </si>
  <si>
    <t>Pol748</t>
  </si>
  <si>
    <t>Montáž, kábel Cu 750V uložený pevne CYKY, Olflex Classic 4x16</t>
  </si>
  <si>
    <t>Pol749</t>
  </si>
  <si>
    <t>Montáž, kábel Cu 750V uložený pevne CYKY, Olflex Classic 4x6</t>
  </si>
  <si>
    <t>Pol750</t>
  </si>
  <si>
    <t>suma</t>
  </si>
  <si>
    <t>Pol751</t>
  </si>
  <si>
    <t>Kábel Cu 750V : CYKY-J 4x16</t>
  </si>
  <si>
    <t>Pol752</t>
  </si>
  <si>
    <t>Kábel Cu 750V : CYKY-J 4x6</t>
  </si>
  <si>
    <t>Pol753</t>
  </si>
  <si>
    <t>Kábel ohybný, lanko Cu 750V:  100CY 4G16</t>
  </si>
  <si>
    <t>Pol754</t>
  </si>
  <si>
    <t>Kábel ohybný, lanko Cu 750V:  100CY 4G6</t>
  </si>
  <si>
    <t>Pol755</t>
  </si>
  <si>
    <t>Pro zdroj chladu</t>
  </si>
  <si>
    <t>Pol756</t>
  </si>
  <si>
    <t>Rozvádzač zdroja chladu RM 10, pole č. +01, rozmery 800x400x2000mm, polia č. +02, +03, +04, rozmery</t>
  </si>
  <si>
    <t>Poznámka k položke:_x000D_
800x400x2000mm, vrátane výzbroje</t>
  </si>
  <si>
    <t>Pol757</t>
  </si>
  <si>
    <t>Zásuvka 1-nás. Garant 5518-2760, kovová (Al) nástenná s viečkom, kompletná, IP55, s kovovou priechodkou, šedá (TRO)</t>
  </si>
  <si>
    <t>Pol758</t>
  </si>
  <si>
    <t>Montáž, kábel Cu 1kV voľne uložený 1-YY (CYKY) 1x185</t>
  </si>
  <si>
    <t>Pol759</t>
  </si>
  <si>
    <t>Montáž, kábel Cu 750V uložený pevne CYKY, CGSG, Olflex Classic 4x6</t>
  </si>
  <si>
    <t>Pol760</t>
  </si>
  <si>
    <t>Montáž, kábel Cu 750V uložený pevne CYKY 3x6-16</t>
  </si>
  <si>
    <t>Pol761</t>
  </si>
  <si>
    <t>Montáž, kábel Cu 750V uložený pevne CYKY, CGSG 4x2,5</t>
  </si>
  <si>
    <t>Pol762</t>
  </si>
  <si>
    <t>Montáž, kábel Cu 750V uložený pevne CYKY, CGSG 3x2,5</t>
  </si>
  <si>
    <t>Pol763</t>
  </si>
  <si>
    <t>Ukončenie celoplastových káblov zmršťovacou záklopkou 1x185 mm2</t>
  </si>
  <si>
    <t>Pol764</t>
  </si>
  <si>
    <t>Náterový systém na OK+ príprava podkladu</t>
  </si>
  <si>
    <t>Pol765</t>
  </si>
  <si>
    <t>1-YY 1x185</t>
  </si>
  <si>
    <t>Pol766</t>
  </si>
  <si>
    <t>Kábel Cu 750V : CYKY-J 3x6</t>
  </si>
  <si>
    <t>Pol767</t>
  </si>
  <si>
    <t>Kábel ohybný gumený Cu 750V : (CGSG) H07RN-F 4G6</t>
  </si>
  <si>
    <t>Pol768</t>
  </si>
  <si>
    <t>Kábel ohybný gumený Cu 750V : (CGSG) H07RN-F 4G2,5</t>
  </si>
  <si>
    <t>Pol769</t>
  </si>
  <si>
    <t>1 KS</t>
  </si>
  <si>
    <t>Pol770</t>
  </si>
  <si>
    <t>Montážna páska pre uzemňovaciu objímku</t>
  </si>
  <si>
    <t>100 M</t>
  </si>
  <si>
    <t>Pol771</t>
  </si>
  <si>
    <t>Pro zdroj ohrevu</t>
  </si>
  <si>
    <t>Pol772</t>
  </si>
  <si>
    <t>Doplnenie rozvádzača zdroja ohrevu RM exist., 3x navrhovaný vývod</t>
  </si>
  <si>
    <t>Pol773</t>
  </si>
  <si>
    <t>Úprava vnútorného zapojenia rozvádzača</t>
  </si>
  <si>
    <t>S03-8.6 - SO 03-86 - MaR</t>
  </si>
  <si>
    <t>03.6. - Měření a regulace</t>
  </si>
  <si>
    <t xml:space="preserve">    D1 - MaR pro VZT</t>
  </si>
  <si>
    <t xml:space="preserve">    D2 - A2 - MONTÁŽ ZARIADENÍ MaR</t>
  </si>
  <si>
    <t xml:space="preserve">    D3 - B1 - NOSNÝ MATERIÁL</t>
  </si>
  <si>
    <t xml:space="preserve">    D4 - B2 - MONTÁŽ NOSNÉHO MATERIÁLU</t>
  </si>
  <si>
    <t xml:space="preserve">    D5 - B3 - MONTÁŽNE PRIRÁŽKY</t>
  </si>
  <si>
    <t xml:space="preserve">    D6 - B4 - MATERIÁLOVÉ PRIRÁŽKY</t>
  </si>
  <si>
    <t xml:space="preserve">    D7 - B5 - LEŠENIE</t>
  </si>
  <si>
    <t>D8 - MaR pro zdroj chladu</t>
  </si>
  <si>
    <t xml:space="preserve">    D9 - A1 - DODÁVKA ZARIADENÍ MaR</t>
  </si>
  <si>
    <t xml:space="preserve">    D10 - MaR pro ohřev</t>
  </si>
  <si>
    <t>03.6.</t>
  </si>
  <si>
    <t>Pol774</t>
  </si>
  <si>
    <t>Riadíací systém - Siemens (HW,SW,oživenie montáž...) - podstanica, kom.rozhranie,nap.modul, I/O moduly, adresné klúče, ethernet switch, Patch kábel</t>
  </si>
  <si>
    <t>Pol775</t>
  </si>
  <si>
    <t>Kabeláž pre komunik. RS VZT (LON, TCP/IT)</t>
  </si>
  <si>
    <t>MaR pro zdroj chladu</t>
  </si>
  <si>
    <t>Pol776</t>
  </si>
  <si>
    <t>Strážič prietoku s vyhodnocovacou jednotkou</t>
  </si>
  <si>
    <t>Pol777</t>
  </si>
  <si>
    <t>Snímač teploty Pt100, jímka, závitové pripojenie, L=160 mm, výstup 4-20mA HART</t>
  </si>
  <si>
    <t>Pol778</t>
  </si>
  <si>
    <t>Limitný spínač hladiny - vibračný</t>
  </si>
  <si>
    <t>Pol779</t>
  </si>
  <si>
    <t>Snímač teploty priestorový, -40 / +80°C</t>
  </si>
  <si>
    <t>Pol780</t>
  </si>
  <si>
    <t>Optická a akustická signalizace</t>
  </si>
  <si>
    <t>Pol781</t>
  </si>
  <si>
    <t>Vysielač tlaku, závitové pripojenie, 0-600kPa, výstup 4-20mA</t>
  </si>
  <si>
    <t>Pol782</t>
  </si>
  <si>
    <t>Ovládacia a signalizačná skrinka (štart / stop, signalizácia chod)</t>
  </si>
  <si>
    <t>Pol783</t>
  </si>
  <si>
    <t>Elektropohonom s príslušenstvom pre VZT klapku</t>
  </si>
  <si>
    <t>Pol784</t>
  </si>
  <si>
    <t>Riadiaci systém ako celok (HW, SW, Aplikačný SW, Operačný panel na dvere rozvádzača, UPS, pre počet I/O signálov : AI-24, AO-8, DI-56, DO-32)</t>
  </si>
  <si>
    <t>Pol785</t>
  </si>
  <si>
    <t>Rozvádzač 800 x 2000 x 400 (š x v x h) mm (RM10 poleč.5)</t>
  </si>
  <si>
    <t>Pol786</t>
  </si>
  <si>
    <t>Napájací zdroj   230VAC/24VDC</t>
  </si>
  <si>
    <t>Pol787</t>
  </si>
  <si>
    <t>Relé, 2P/8A, cievka 24VDC, s paticou a sponou</t>
  </si>
  <si>
    <t>Pol788</t>
  </si>
  <si>
    <t>Prepäťová ochrana</t>
  </si>
  <si>
    <t>Pol789</t>
  </si>
  <si>
    <t>Montáž strážiča prietoku a vyhodnocovacej jednotky</t>
  </si>
  <si>
    <t>Pol790</t>
  </si>
  <si>
    <t>Montáž snímača teploty; L do 250 mm</t>
  </si>
  <si>
    <t>Pol791</t>
  </si>
  <si>
    <t>Montáž limitného vibračného spínača hladiny</t>
  </si>
  <si>
    <t>Pol792</t>
  </si>
  <si>
    <t>Montáž vysielača tlaku</t>
  </si>
  <si>
    <t>Pol793</t>
  </si>
  <si>
    <t>Montáž solenoidového ventilu (len elektrické zapojenie)</t>
  </si>
  <si>
    <t>Pol794</t>
  </si>
  <si>
    <t>Montáž 3-cestného ventilu s elektropohonom  (len elektrické zapojenie)</t>
  </si>
  <si>
    <t>Pol795</t>
  </si>
  <si>
    <t>Montáž elektropohonu s príslušenstvom na VZT klapku</t>
  </si>
  <si>
    <t>Pol796</t>
  </si>
  <si>
    <t>Montáž optickej a akustickej signalizácie</t>
  </si>
  <si>
    <t>Pol797</t>
  </si>
  <si>
    <t>Montáž ovládacej a signalizačnej skrinky</t>
  </si>
  <si>
    <t>Pol798</t>
  </si>
  <si>
    <t>Montáž RS ako celku</t>
  </si>
  <si>
    <t>Pol799</t>
  </si>
  <si>
    <t>Montáž rozvádzača 800 x 2000 x 400 (š x v x h) mm (RM10 poleč.5)</t>
  </si>
  <si>
    <t>Pol800</t>
  </si>
  <si>
    <t>Pol801</t>
  </si>
  <si>
    <t>Montáž pomocného relé</t>
  </si>
  <si>
    <t>Pol802</t>
  </si>
  <si>
    <t>Montáž prepäťovej ochrany</t>
  </si>
  <si>
    <t>Pol803</t>
  </si>
  <si>
    <t>Pol804</t>
  </si>
  <si>
    <t>Východiskováj revízia a vypracovanie správy</t>
  </si>
  <si>
    <t>Pol805</t>
  </si>
  <si>
    <t>Výzbroj rozvádzača RM10 poleč.5 (prevodníky, svorky, lišty, žlaby, vývodky ....)</t>
  </si>
  <si>
    <t>celok</t>
  </si>
  <si>
    <t>Pol806</t>
  </si>
  <si>
    <t>Kábel Cu signálny CMFM-O 4x1</t>
  </si>
  <si>
    <t>Pol807</t>
  </si>
  <si>
    <t>Kábel Cu signálny CMFM-O 7x1</t>
  </si>
  <si>
    <t>Pol808</t>
  </si>
  <si>
    <t>Kábel Cu signálny CMFM-O 10x1</t>
  </si>
  <si>
    <t>Pol809</t>
  </si>
  <si>
    <t>Kábel Cu signálny JYTY-O 2x1</t>
  </si>
  <si>
    <t>Pol810</t>
  </si>
  <si>
    <t>Kábel Cu signálny JYTY-O 4x1</t>
  </si>
  <si>
    <t>Pol811</t>
  </si>
  <si>
    <t>Kábel Cu 750V : CYKY-J 3x1,5</t>
  </si>
  <si>
    <t>Pol812</t>
  </si>
  <si>
    <t>VRM 25 IES, Trubka plastová, pevná, svetlosivá</t>
  </si>
  <si>
    <t>Pol813</t>
  </si>
  <si>
    <t>VRM 32 IES, Trubka plastová, pevná, svetlosivá</t>
  </si>
  <si>
    <t>Pol814</t>
  </si>
  <si>
    <t>Žľab káblový 125/100, vrátane mont.materiálu  (komplet aj s vekom, kolenami, "T" kusmi, prepážkami, spojkami so skrutkami a maticami + uchytenie žľabu)</t>
  </si>
  <si>
    <t>Pol815</t>
  </si>
  <si>
    <t>Žlab káblový 250/100, vrátane mont.materiálu  (komplet aj s vekom, kolenami, "T" kusmi, prepážkami, spojkami so skrutkami a maticami + uchytenie žľabu)</t>
  </si>
  <si>
    <t>Pol816</t>
  </si>
  <si>
    <t>Pol817</t>
  </si>
  <si>
    <t>Nosné konštrukcie a drobný materiál (uholníky, farba, riedidlo...)</t>
  </si>
  <si>
    <t>Pol818</t>
  </si>
  <si>
    <t>Montáž výzbroje rozvádzača 883 RM02.01MR (prevodníky, svorky, lišty, žlaby, vývodky ....)</t>
  </si>
  <si>
    <t>Pol819</t>
  </si>
  <si>
    <t>Kábel napájací pevne uložený do 5x1,5</t>
  </si>
  <si>
    <t>Pol820</t>
  </si>
  <si>
    <t>Kábel signálny pevne uložený do 10x1mm</t>
  </si>
  <si>
    <t>Pol821</t>
  </si>
  <si>
    <t>Pol822</t>
  </si>
  <si>
    <t>Forma káblová do dĺžky 0,5 na kábli do 10x2</t>
  </si>
  <si>
    <t>Pol823</t>
  </si>
  <si>
    <t>Montáž Žľab 62/50mm komplet</t>
  </si>
  <si>
    <t>Pol824</t>
  </si>
  <si>
    <t>Montáž Žľab 125/100mm komplet</t>
  </si>
  <si>
    <t>Pol825</t>
  </si>
  <si>
    <t>Montáž Žľab 250/100mm komplet</t>
  </si>
  <si>
    <t>Pol826</t>
  </si>
  <si>
    <t>Montáž protipožiarna prepážka EI 90</t>
  </si>
  <si>
    <t>Pol827</t>
  </si>
  <si>
    <t>Štítok kobový označovací pre káble a rúrky</t>
  </si>
  <si>
    <t>Pol828</t>
  </si>
  <si>
    <t>Montáž nosných konštrukcii a drobného materiálu</t>
  </si>
  <si>
    <t>MaR pro ohřev</t>
  </si>
  <si>
    <t>Pol829</t>
  </si>
  <si>
    <t>Snímač teploty Pt100, jímka, závitové pripojenie, L=160 mm, výstup 4-20mA</t>
  </si>
  <si>
    <t>Pol830</t>
  </si>
  <si>
    <t>Rozšírenie existujúceho riadiaceho systému (HW doplnenie I/O kariet podľa potreby, úprava aplikačného SW, úprava vizualizácie, pre počet I/O signálov : AI-4, AO-4, DI-6, DO-8)</t>
  </si>
  <si>
    <t>SO 01 - Urgentný príjem - MP</t>
  </si>
  <si>
    <t>SO 01-72 - Zdravotnícka technológia</t>
  </si>
  <si>
    <t>SO 03 - Operačky 1.poschodie - MP</t>
  </si>
  <si>
    <t>SO 03-82 - Zdravotnícka technológia</t>
  </si>
  <si>
    <t>Chemkostav a.s.</t>
  </si>
  <si>
    <t xml:space="preserve">
v objekte výšky do 24m</t>
  </si>
  <si>
    <t>8a</t>
  </si>
  <si>
    <t>vynechané zámerne</t>
  </si>
  <si>
    <t>20-9112</t>
  </si>
  <si>
    <t>DN10</t>
  </si>
  <si>
    <t>20a</t>
  </si>
  <si>
    <t>23a</t>
  </si>
  <si>
    <t>Guľový kohút závitový DN 20</t>
  </si>
  <si>
    <t>23b</t>
  </si>
  <si>
    <t>Pol8a</t>
  </si>
  <si>
    <t>Pol8b</t>
  </si>
  <si>
    <t>Guľový uzáver s vymeniteľným filtrom DN20 závitový</t>
  </si>
  <si>
    <t>24a</t>
  </si>
  <si>
    <t>Pol9a</t>
  </si>
  <si>
    <t>Tlakovo nezávislý vyvažovací ventil IMI TA TA-COMPACT-P DN15 LF rozsah prietoku 44 -245 l/hod</t>
  </si>
  <si>
    <t>26a</t>
  </si>
  <si>
    <t>Pol11a</t>
  </si>
  <si>
    <t>číslo ZL</t>
  </si>
  <si>
    <t>D1 - ZARIADENIE  TECHNICKEJ MIESTNOSTI</t>
  </si>
  <si>
    <t>733a</t>
  </si>
  <si>
    <t>Potrubie vetvy -VZT pre napojenie VZT jedn.v strojovni na 2.np</t>
  </si>
  <si>
    <t>11-11167</t>
  </si>
  <si>
    <t>11-3117</t>
  </si>
  <si>
    <t>12-1119</t>
  </si>
  <si>
    <t>60,3/3,2</t>
  </si>
  <si>
    <t>18a</t>
  </si>
  <si>
    <t>Pol2a</t>
  </si>
  <si>
    <t>15/10</t>
  </si>
  <si>
    <t>pre potrubie DN65</t>
  </si>
  <si>
    <t>Pol432a</t>
  </si>
  <si>
    <t>Pol432b</t>
  </si>
  <si>
    <t>24b</t>
  </si>
  <si>
    <t>19-4926</t>
  </si>
  <si>
    <t>734a</t>
  </si>
  <si>
    <t>ARMATÚRY vetvy UK-VZT pre napojenie VZT jednotiek v strojovni na 2.np</t>
  </si>
  <si>
    <t>20-9118</t>
  </si>
  <si>
    <t>DN50</t>
  </si>
  <si>
    <t>11-3118</t>
  </si>
  <si>
    <t>29a</t>
  </si>
  <si>
    <t>29b</t>
  </si>
  <si>
    <t>20-9112.</t>
  </si>
  <si>
    <t>45a</t>
  </si>
  <si>
    <t>45b</t>
  </si>
  <si>
    <t>20-9114.</t>
  </si>
  <si>
    <t>47a</t>
  </si>
  <si>
    <t>51a</t>
  </si>
  <si>
    <t>51b</t>
  </si>
  <si>
    <t>29-1112</t>
  </si>
  <si>
    <t>54a</t>
  </si>
  <si>
    <t>Pol443a</t>
  </si>
  <si>
    <t>Regul. a uzatváracie skrutkovanie pre vykurovacie telesá ventil - kompakt DN15 priame prevedenie</t>
  </si>
  <si>
    <t>Regul. a uzatváracie skrutkovanie pre vykurovacie telesá ventil - kompakt DN15 rohové prevedenie</t>
  </si>
  <si>
    <t>66a</t>
  </si>
  <si>
    <t>Pol456a</t>
  </si>
  <si>
    <t>Stojanové konzoly pre vykurovacie telesá</t>
  </si>
  <si>
    <t>81a</t>
  </si>
  <si>
    <t>Pol469a</t>
  </si>
  <si>
    <t>20/16/20</t>
  </si>
  <si>
    <t>102a</t>
  </si>
  <si>
    <t>NÁTERY vetvy UK-VZT pre napojenie VZT jednotiek v strojovni na 2.np</t>
  </si>
  <si>
    <t>713a</t>
  </si>
  <si>
    <t>IZOLÁCIE vetvy UK-VZT pre napojenie VZT jedn.v strojovni na 2.np</t>
  </si>
  <si>
    <t>D29a</t>
  </si>
  <si>
    <t>Izolácia potrubia izoláciou z penového polyetylénu  hrúbky 30mm vrátane príslušenstva</t>
  </si>
  <si>
    <t>48-2525</t>
  </si>
  <si>
    <t>Vinuté izolačné púzdra z minerálnej vlny s vystuženou AL fóliou - SKRUŽ vrátane prísl. hr.izol.40mm pre DN32</t>
  </si>
  <si>
    <t>48-2526</t>
  </si>
  <si>
    <t>Vinuté izolačné púzdra z minerálnej vlny s vystuženou AL fóliou - SKRUŽ vrátane prísl. hr.izol.40mm pre DN40</t>
  </si>
  <si>
    <t>48-2527</t>
  </si>
  <si>
    <t>Vinuté izolačné púzdra z minerálnej vlny s vystuženou AL fóliou - SKRUŽ vrátane prísl. hr.izol.50mm pre DN50</t>
  </si>
  <si>
    <t>48-2528</t>
  </si>
  <si>
    <t>Vinuté izolačné púzdra z minerálnej vlny s vystuženou AL fóliou - SKRUŽ vrátane prísl. hr.izol.50mm pre DN65</t>
  </si>
  <si>
    <t>pre oceľové potrubie DN25 hr.30mm</t>
  </si>
  <si>
    <t xml:space="preserve">pre oceľové potrubie DN32  </t>
  </si>
  <si>
    <t>111a</t>
  </si>
  <si>
    <t>111b</t>
  </si>
  <si>
    <t>111c</t>
  </si>
  <si>
    <t>111d</t>
  </si>
  <si>
    <t>111e</t>
  </si>
  <si>
    <t>111f</t>
  </si>
  <si>
    <t>111g</t>
  </si>
  <si>
    <t>117a</t>
  </si>
  <si>
    <t>117b</t>
  </si>
  <si>
    <t>767a</t>
  </si>
  <si>
    <t>DOPLNKOVÉ KONŠTRUKCIEvetvy UK-VZT pre napojenieVZT jednotiek v stroj.na 2.np</t>
  </si>
  <si>
    <t>122a</t>
  </si>
  <si>
    <t>122b</t>
  </si>
  <si>
    <t>509</t>
  </si>
  <si>
    <t>Rúra  priama DN65"B" 6m oceľ poz. zváraná 76,1x2,9 - HDPE 160x3</t>
  </si>
  <si>
    <t>Oblúk ohýbaný DN65 "B" 90°C (0,65x0,65m) oceľ. zoz. zváraná</t>
  </si>
  <si>
    <t>511</t>
  </si>
  <si>
    <t>Oblúk vertikálny DN65 "B" 90°C (1,05x1,45m) oceľ. zoz. zváraná</t>
  </si>
  <si>
    <t>Spojka  DN65 "B" SP 120</t>
  </si>
  <si>
    <t>513</t>
  </si>
  <si>
    <t>Zmršťovacia presuvka MTM 160x500 s tesniacimi pásmi</t>
  </si>
  <si>
    <t>Zmršťovacia koncovka REC 160</t>
  </si>
  <si>
    <t>515</t>
  </si>
  <si>
    <t>Prechod stenou priemer 160mm</t>
  </si>
  <si>
    <t>Vankúš kompenzačný pre plášte priemeru 160-180mm 40x166x1000</t>
  </si>
  <si>
    <t>MS.spojka lahčená L1-P</t>
  </si>
  <si>
    <t>519</t>
  </si>
  <si>
    <t>MS: držiak alarm. drôtu dvojitý H19</t>
  </si>
  <si>
    <t>MS: odbočná krabica</t>
  </si>
  <si>
    <t>521</t>
  </si>
  <si>
    <t>MS: držiak rozvodnej krabice</t>
  </si>
  <si>
    <t>136a</t>
  </si>
  <si>
    <t>136j</t>
  </si>
  <si>
    <t>136k</t>
  </si>
  <si>
    <t>136l</t>
  </si>
  <si>
    <t>136m</t>
  </si>
  <si>
    <t>136n</t>
  </si>
  <si>
    <t>136o</t>
  </si>
  <si>
    <t>136p</t>
  </si>
  <si>
    <t>136r</t>
  </si>
  <si>
    <t>136s</t>
  </si>
  <si>
    <t>136t</t>
  </si>
  <si>
    <t>136u</t>
  </si>
  <si>
    <t>136v</t>
  </si>
  <si>
    <t>Výmenníková stanica - Kombinovaný rozdeľovač so zberačom -dvojkomorové teleso PN6</t>
  </si>
  <si>
    <t xml:space="preserve">Poznámka k položke:_x000D_
M200/2550mm, OKRUH UK - VZT, prietok 25,8m3/hod, pripojovacie hrdlá - hlavný prívod 2xDN100, príruba PN16 Hrdlá pre vykurovacie okruhy okruh vzduchotechniky SO03 - DN80, PN16, DN65, PN16  okruh vzduchotechniky šatne - 2x3/4"_x000D_
okruh vzduchotechniky SO02 - 2xDN65, PN16  návarky pre tlakomery - 2x, návarky pre teplomery 2x, návarky pre_x000D_
vypúšťacie kohúty 2x, nastaviteľný stojan_x000D_
</t>
  </si>
  <si>
    <t>1a</t>
  </si>
  <si>
    <t>733b</t>
  </si>
  <si>
    <t>11-1117</t>
  </si>
  <si>
    <t>11-3115...</t>
  </si>
  <si>
    <t>11-3116,</t>
  </si>
  <si>
    <t>12-3119</t>
  </si>
  <si>
    <t>5a</t>
  </si>
  <si>
    <t>5b</t>
  </si>
  <si>
    <t>5c</t>
  </si>
  <si>
    <t>5d</t>
  </si>
  <si>
    <t>5e</t>
  </si>
  <si>
    <t>5f</t>
  </si>
  <si>
    <t>5g</t>
  </si>
  <si>
    <t>5h</t>
  </si>
  <si>
    <t>5i</t>
  </si>
  <si>
    <t>5j</t>
  </si>
  <si>
    <t>5k</t>
  </si>
  <si>
    <t>5l</t>
  </si>
  <si>
    <t>9a</t>
  </si>
  <si>
    <t>11a</t>
  </si>
  <si>
    <t>12a</t>
  </si>
  <si>
    <t>13a</t>
  </si>
  <si>
    <t>Pol596c</t>
  </si>
  <si>
    <t>pre potrubie DN25</t>
  </si>
  <si>
    <t>Pol597c</t>
  </si>
  <si>
    <t>17a</t>
  </si>
  <si>
    <t>19-1925</t>
  </si>
  <si>
    <t>19-1927</t>
  </si>
  <si>
    <t>21a</t>
  </si>
  <si>
    <t>Pol463a</t>
  </si>
  <si>
    <t>20-3/4"</t>
  </si>
  <si>
    <t>Pol469c</t>
  </si>
  <si>
    <t>20/18/16</t>
  </si>
  <si>
    <t>Pol473m</t>
  </si>
  <si>
    <t>Montáž systému napojenia vykur.telies</t>
  </si>
  <si>
    <t>30a</t>
  </si>
  <si>
    <t>30b</t>
  </si>
  <si>
    <t>30c</t>
  </si>
  <si>
    <t>30d</t>
  </si>
  <si>
    <t>30e</t>
  </si>
  <si>
    <t>30f</t>
  </si>
  <si>
    <t>30g</t>
  </si>
  <si>
    <t>30h</t>
  </si>
  <si>
    <t>30i</t>
  </si>
  <si>
    <t>30j</t>
  </si>
  <si>
    <t>30k</t>
  </si>
  <si>
    <t>30l</t>
  </si>
  <si>
    <t>30m</t>
  </si>
  <si>
    <t>30n</t>
  </si>
  <si>
    <t>30o</t>
  </si>
  <si>
    <t>30p</t>
  </si>
  <si>
    <t>20-9117</t>
  </si>
  <si>
    <t>11-3117c</t>
  </si>
  <si>
    <t>30r</t>
  </si>
  <si>
    <t>30s</t>
  </si>
  <si>
    <t>30t</t>
  </si>
  <si>
    <t>30u</t>
  </si>
  <si>
    <t>Montáž prírubovej armatúry s dvomi prírubami DN80 PN16</t>
  </si>
  <si>
    <t>Pol598c</t>
  </si>
  <si>
    <t>Medzibrírubová uzatváracia klapka DN80 PN16</t>
  </si>
  <si>
    <t>31a</t>
  </si>
  <si>
    <t>31b</t>
  </si>
  <si>
    <t>Montáž prírubovej armatúry s dvomi prírubami DN65 PN16</t>
  </si>
  <si>
    <t>34a</t>
  </si>
  <si>
    <t>34b</t>
  </si>
  <si>
    <t>34c</t>
  </si>
  <si>
    <t>38a</t>
  </si>
  <si>
    <t>20-9117uk</t>
  </si>
  <si>
    <t>DN40 vetva UK radiátory vo VS</t>
  </si>
  <si>
    <t>41a</t>
  </si>
  <si>
    <t>11-3117uk</t>
  </si>
  <si>
    <t>44a</t>
  </si>
  <si>
    <t>44b</t>
  </si>
  <si>
    <t>Regul. a uzatváracie skrutkovanie pre vykurovacie telesá ventil - kompakt DN 15 rohové prevedenie IMI HEIMEIER VEKOTEC</t>
  </si>
  <si>
    <t>22-3120</t>
  </si>
  <si>
    <t>Termostatický radiátorový ventil s prednastavením IMI HEIMEIER V-Exact II DN15</t>
  </si>
  <si>
    <t>22-3257</t>
  </si>
  <si>
    <t>Uzatváracie a regulačné skrutkovanie s vypúšťaním IMI HEIMEIER Regulux DN15</t>
  </si>
  <si>
    <t>22-3257c</t>
  </si>
  <si>
    <t>Jednobodový termostatický ventil s uzatváracím šroubením IMI HEIMEIER E-Z ventil pre dvojtrubkové sústavy DN15, rohové prevedenie</t>
  </si>
  <si>
    <t>57a</t>
  </si>
  <si>
    <t>57b</t>
  </si>
  <si>
    <t>57c</t>
  </si>
  <si>
    <t>Termostat.hlavica VK pre penelové vykurovacie telesá so zabudovaným čidlom  IMI HEIMEIER</t>
  </si>
  <si>
    <t>Pol602c</t>
  </si>
  <si>
    <t>58a</t>
  </si>
  <si>
    <t>Termostat.hlavica K so zabudovaným čidlom IMI HEIEMEIER pre panel.vykur.telesá</t>
  </si>
  <si>
    <t>Vykurovacie telesá oceľové panelové KORAD K - Kompakt 22K-600/1000 - dvojitý s dvomi konvektormi a krytmi</t>
  </si>
  <si>
    <t>62a</t>
  </si>
  <si>
    <t>Pol603c</t>
  </si>
  <si>
    <t>11VK-600/600 -jednoduchý</t>
  </si>
  <si>
    <t>Pol603cc</t>
  </si>
  <si>
    <t>21VK-600/600 - dvojitý s jedným konvektorom a krytmi</t>
  </si>
  <si>
    <t>62b</t>
  </si>
  <si>
    <t>62c</t>
  </si>
  <si>
    <t>Pol609c</t>
  </si>
  <si>
    <t>Kúpelňové vykurovacie teleso KORALUX LINEAR MAX 600/1215 (dĺžka/výška)</t>
  </si>
  <si>
    <t>68a</t>
  </si>
  <si>
    <t>71a</t>
  </si>
  <si>
    <t>jednoradových výšky 600mm dĺžky 400-600mm</t>
  </si>
  <si>
    <t>15-4040k</t>
  </si>
  <si>
    <t>kúpelňového vykurovacieho telesa</t>
  </si>
  <si>
    <t>72a</t>
  </si>
  <si>
    <t>72b</t>
  </si>
  <si>
    <t>783c</t>
  </si>
  <si>
    <t>Náter vetvy UK-VZT pre napojenie vZT jednotiek v stroj.na 5.np</t>
  </si>
  <si>
    <t>78a</t>
  </si>
  <si>
    <t>78b</t>
  </si>
  <si>
    <t>78c</t>
  </si>
  <si>
    <t>48-2529</t>
  </si>
  <si>
    <t>Vinuté izolačné púzdra z minerálnej vlny s vystuženou AL fóliou - SKRUŽ vrátane prísl. hr.izol.70mm pre DN65</t>
  </si>
  <si>
    <t>48-2530</t>
  </si>
  <si>
    <t>Vinuté izolačné púzdra z minerálnej vlny s vystuženou AL fóliou - SKRUŽ vrátane prísl. hr.izol.80mm pre DN80</t>
  </si>
  <si>
    <t>48-2531</t>
  </si>
  <si>
    <t>Vinuté izolačné púzdra z minerálnej vlny s vystuženou AL fóliou - SKRUŽ vrátane prísl. hr.izol.40mm pre DN80</t>
  </si>
  <si>
    <t>Izolácie vetvy UK-VZT pre napojenie vZT jednotiek v stroj.na 5.np</t>
  </si>
  <si>
    <t>82a</t>
  </si>
  <si>
    <t>82b</t>
  </si>
  <si>
    <t>82c</t>
  </si>
  <si>
    <t>82d</t>
  </si>
  <si>
    <t>82e</t>
  </si>
  <si>
    <t>82f</t>
  </si>
  <si>
    <t>82g</t>
  </si>
  <si>
    <t>48-2531.</t>
  </si>
  <si>
    <t>Doplnkové konštrukcie vetvy UK-VZT pre napojenie vZT jednotiek v stroj.na 5.np</t>
  </si>
  <si>
    <t>88a</t>
  </si>
  <si>
    <t>88b</t>
  </si>
  <si>
    <t>Armatúry vetvy UK-VZT pre napojenie vZT jednotiek v stroj.na 5.np</t>
  </si>
  <si>
    <t>Vykurovací systém plast hliník NAPOJENIE VYKUROVACÍCH TELIES</t>
  </si>
  <si>
    <t>7, 10</t>
  </si>
  <si>
    <t>8aa</t>
  </si>
  <si>
    <t>DN40 - stupačky</t>
  </si>
  <si>
    <t>60,3/3,2 - 50iz</t>
  </si>
  <si>
    <t>9b</t>
  </si>
  <si>
    <t>12-4115.1</t>
  </si>
  <si>
    <t>40/25</t>
  </si>
  <si>
    <t>12-4117</t>
  </si>
  <si>
    <t>50/32</t>
  </si>
  <si>
    <t>14a</t>
  </si>
  <si>
    <t>14b</t>
  </si>
  <si>
    <t>Príplatok k cene na zvýšenú pracnosť pri montáži potrubia</t>
  </si>
  <si>
    <t>Pol1157</t>
  </si>
  <si>
    <t>z rúrok oceľových</t>
  </si>
  <si>
    <t>14c</t>
  </si>
  <si>
    <t>Chránička pre vedenie potrubia cez steny</t>
  </si>
  <si>
    <t>Pol1158</t>
  </si>
  <si>
    <t>Pol1159</t>
  </si>
  <si>
    <t>Pol1160</t>
  </si>
  <si>
    <t>Pol1161</t>
  </si>
  <si>
    <t>pre potrubie DN50</t>
  </si>
  <si>
    <t>14d</t>
  </si>
  <si>
    <t>14e</t>
  </si>
  <si>
    <t>14f</t>
  </si>
  <si>
    <t>14g</t>
  </si>
  <si>
    <t>15a</t>
  </si>
  <si>
    <t>15b</t>
  </si>
  <si>
    <t>230-23-0121</t>
  </si>
  <si>
    <t>Príprava pre tlakové skúšky do 0,6MPa</t>
  </si>
  <si>
    <t>úsek</t>
  </si>
  <si>
    <t>15c</t>
  </si>
  <si>
    <t>22a</t>
  </si>
  <si>
    <t>22b</t>
  </si>
  <si>
    <t>Pol1164</t>
  </si>
  <si>
    <t>22c</t>
  </si>
  <si>
    <t>Guľový kohút závitový DN 15</t>
  </si>
  <si>
    <t>Pol1166</t>
  </si>
  <si>
    <t>Guľový kohút závitový DN 25</t>
  </si>
  <si>
    <t>23d</t>
  </si>
  <si>
    <t>Pol1167</t>
  </si>
  <si>
    <t>Guľový kohút závitový DN 50</t>
  </si>
  <si>
    <t>23c</t>
  </si>
  <si>
    <t>Pol1170</t>
  </si>
  <si>
    <t>Pol1172</t>
  </si>
  <si>
    <t>Uzatváracie skrutkovanie pre vykurovacie telesá ventil - kompakt DN15  - rohové prevedenie IMI HEIMEIER VEKOLUX s vypúšťaním</t>
  </si>
  <si>
    <t>Pol1173</t>
  </si>
  <si>
    <t>Krytka biela pre rohové prevedenie</t>
  </si>
  <si>
    <t>Pol1174</t>
  </si>
  <si>
    <t>Termostat.hlavica VK so zabudovaným čidlom IMI HEIEMEIER pre panelové vykurovacie telesá s integrovaným ventilom s ochranou proti odcudzeniu</t>
  </si>
  <si>
    <t>Pol1175</t>
  </si>
  <si>
    <t>Termostatický ventil v rohovom prevedení, s prednastavením, uzatváraním vypúšťaním s termostatickou hlavicou a plastovou krytkou ventilu pre dvojtrubkové vykurovacie sústavy rohové prevedenie   so stredným pripojením IMI HEIMEIER Multilux 4-Set DN15 farba</t>
  </si>
  <si>
    <t>29c</t>
  </si>
  <si>
    <t>29d</t>
  </si>
  <si>
    <t>Vykurovacie telesá oceľové panelové s integrovanou ventilovou vložkou KORAD</t>
  </si>
  <si>
    <t>Pol1176</t>
  </si>
  <si>
    <t>21VK-900/500 - dvojitý s jedným konvektorom a krytmi</t>
  </si>
  <si>
    <t>Pol1177</t>
  </si>
  <si>
    <t>22VK-600/1200 - dvojitý s dvomi konvektormi a krytmi</t>
  </si>
  <si>
    <t>Pol1178</t>
  </si>
  <si>
    <t>Vykurovacie telesá oceľové panelové s integrovanou ventilovou vložkou s hladkou čelnou plochou PLAN 22VK-600/1000 - prevedenie PLAN</t>
  </si>
  <si>
    <t>Vertikálne vykurovacie telesá s hladkou čelnou plochou, stredové pripojenie</t>
  </si>
  <si>
    <t>KERMI</t>
  </si>
  <si>
    <t>Verteo Plan 800x2400mm - typ 21 - 2,6kW - 80/60/20°C</t>
  </si>
  <si>
    <t>Pol1179</t>
  </si>
  <si>
    <t>Verteo Plan 800x2400mm - typ 22 - 3,5kW - 80/60/20°C</t>
  </si>
  <si>
    <t>Pol1180</t>
  </si>
  <si>
    <t>Sada stenových konzol  pre vykurovacie telesá Verteo</t>
  </si>
  <si>
    <t>KORADO</t>
  </si>
  <si>
    <t>Trubkové vykurovacie telesá so spodným stredovým pripojením</t>
  </si>
  <si>
    <t>Pol1181</t>
  </si>
  <si>
    <t>Koralux Linear Max - M  KLM 600/1810mm</t>
  </si>
  <si>
    <t>Pol1182</t>
  </si>
  <si>
    <t>Koralux Linear Comfort - M KLC 450/1500mm</t>
  </si>
  <si>
    <t>Pol1183</t>
  </si>
  <si>
    <t>Pol1184</t>
  </si>
  <si>
    <t>dvojradých výšky 600mm dĺžky 1000-1200mm v čistom priestore</t>
  </si>
  <si>
    <t>15-4150</t>
  </si>
  <si>
    <t>dvojradých výšky 900mm dĺžky 400-600mm</t>
  </si>
  <si>
    <t>Pol1185</t>
  </si>
  <si>
    <t>Montáž vertikálnych vykurovacích telies</t>
  </si>
  <si>
    <t>Pol1186</t>
  </si>
  <si>
    <t>Montáž trubkových  vykurovacích telies</t>
  </si>
  <si>
    <t>Pol1187</t>
  </si>
  <si>
    <t>VYKUROVACÍ SYSTÉM PLAST-HLINÍK NAPOJENIE VYKUROVACÍCH TELIES GABOTHERM</t>
  </si>
  <si>
    <t>733-167100</t>
  </si>
  <si>
    <t>733-167103</t>
  </si>
  <si>
    <t>733-167103.1</t>
  </si>
  <si>
    <t>733-167106</t>
  </si>
  <si>
    <t>26x3</t>
  </si>
  <si>
    <t>Prechodová spojka z PE rúrok na kovový závit, dodávka, montáž</t>
  </si>
  <si>
    <t>Pol1188</t>
  </si>
  <si>
    <t>Pol1189</t>
  </si>
  <si>
    <t>Pol1190</t>
  </si>
  <si>
    <t>26-3/4"</t>
  </si>
  <si>
    <t>Tvarovky pre vykurovací systém z PE-RT, dodávka, montáž</t>
  </si>
  <si>
    <t>733-167199</t>
  </si>
  <si>
    <t>733-167200</t>
  </si>
  <si>
    <t>733-167200.1</t>
  </si>
  <si>
    <t>733-167200.2</t>
  </si>
  <si>
    <t>733-167200.3</t>
  </si>
  <si>
    <t>733-167203</t>
  </si>
  <si>
    <t>18/26/20</t>
  </si>
  <si>
    <t>Pol1191</t>
  </si>
  <si>
    <t>Adaptér na pripojenie vykurovacích telies s integrovanými ventilmi 16x2</t>
  </si>
  <si>
    <t>Pol1192</t>
  </si>
  <si>
    <t>Adaptér na pripojenie vykurovacích telies s integrovanými ventilmi 20x2</t>
  </si>
  <si>
    <t>Pol1193</t>
  </si>
  <si>
    <t>Pol1194</t>
  </si>
  <si>
    <t>Pol1195</t>
  </si>
  <si>
    <t>Pol1196</t>
  </si>
  <si>
    <t>Bližšie nešpecifikovaný montážny materiál</t>
  </si>
  <si>
    <t>Tlaková skúška plastových rozvodov vykurovania</t>
  </si>
  <si>
    <t>Pol1197</t>
  </si>
  <si>
    <t>Izolácia potrubia izoláciou z penového polyet.30mm vrát.prísl. TUBOLIT DG  rozsah použitia do 100°C</t>
  </si>
  <si>
    <t>Vinuté izolačné púzdra z minerálnej vlny s vystuženou AL fóliou - SKRUŽ  a samol. presahom vr.prísl.</t>
  </si>
  <si>
    <t>Pol1198</t>
  </si>
  <si>
    <t>hrúbka izolácie 40mm pre potrubie DN32</t>
  </si>
  <si>
    <t>Pol1199</t>
  </si>
  <si>
    <t>hrúbka izolácie 50mm pre potrubie DN50</t>
  </si>
  <si>
    <t>Izolácia potr. izoláciou z pen. polyet.  hrúbky 13mm, PE-RT vedeného v stenách vr.prísl.</t>
  </si>
  <si>
    <t>48-2121.6</t>
  </si>
  <si>
    <t>pre potrubia 26x3</t>
  </si>
  <si>
    <t>Pol1200</t>
  </si>
  <si>
    <t>Izolácia armatúr, prírubových spojov  a všetkých súčasti potrubia izolačnými pásmi z penového polyetylénu  hrúbky 20mm</t>
  </si>
  <si>
    <t>D37</t>
  </si>
  <si>
    <t>DEMONTÁŽ , ÚPRAVY POTRUBIA</t>
  </si>
  <si>
    <t>733-11 0808</t>
  </si>
  <si>
    <t>Demontáž potrubia z oceľových rúrok závitových do DN50</t>
  </si>
  <si>
    <t>D38</t>
  </si>
  <si>
    <t>Demontáž jestvujúcich stupačie medzi prízemím a 1NP</t>
  </si>
  <si>
    <t>D39</t>
  </si>
  <si>
    <t>Zaslepenie potrubia stupačiek nad podlahou</t>
  </si>
  <si>
    <t>733-19-1913</t>
  </si>
  <si>
    <t>733-19-1914</t>
  </si>
  <si>
    <t>733-19-1916</t>
  </si>
  <si>
    <t>733-19-1917</t>
  </si>
  <si>
    <t>733-19-1918</t>
  </si>
  <si>
    <t>Poznámka k položke:_x000D_
Provizórne prepojenie jestvujúceho vykurovania na 1NP, 2NP ; napojením potrubia pod stropom prízemia na jestvujúcu prípojku UK</t>
  </si>
  <si>
    <t>Pol1203</t>
  </si>
  <si>
    <t>Provizórne prepojenie jestvujúceho vykurovania na 1NP, 2NP napojením potrubia pod stropom prízemia na jestvujúcu prípojku UK  privedenú do objektu - odhad</t>
  </si>
  <si>
    <t>Poznámka k položke:_x000D_
Zrušenie provizórneho prepojenia UK, pripojenie na novú prípojku vedenú</t>
  </si>
  <si>
    <t>Pol1204</t>
  </si>
  <si>
    <t>Zrušenie provizórneho prepojenia UK, pripojenie na novú prípojku vedenú bezkanálovo z výmenníkovej stanice pre objekt OAIM a Urgentný príjem - odhad</t>
  </si>
  <si>
    <t>Pol1205</t>
  </si>
  <si>
    <t>Čistenie jestvujúceho potrubia prefúkavaním alebo preplachovaním</t>
  </si>
  <si>
    <t>Pol1206</t>
  </si>
  <si>
    <t>Vnútrostaveniskové premiestnenie demontovaného potrubia</t>
  </si>
  <si>
    <t>D41</t>
  </si>
  <si>
    <t>HODINNOVÉ ZÚĆTOVACIE SADZBY</t>
  </si>
  <si>
    <t>Pol1207</t>
  </si>
  <si>
    <t>Vypustenie jestvujúceho systému</t>
  </si>
  <si>
    <t>Pol1208</t>
  </si>
  <si>
    <t>Napustenie a odvzdušnenie systému</t>
  </si>
  <si>
    <t>Pol1209</t>
  </si>
  <si>
    <t>Vykurovacia skúška</t>
  </si>
  <si>
    <t>Pol1210</t>
  </si>
  <si>
    <t>Vyregulovanie systému</t>
  </si>
  <si>
    <t>Pol1211</t>
  </si>
  <si>
    <t>Projekt skutočného vyhotovenia</t>
  </si>
  <si>
    <t>D43</t>
  </si>
  <si>
    <t>STAVEBNÉ PRÁCE</t>
  </si>
  <si>
    <t>D44</t>
  </si>
  <si>
    <t>Drážky pre vedenie PH izolovaného potrubia v stene</t>
  </si>
  <si>
    <t>pre potrubie 16x2iz - priemer potrubia s izoláciou f42mm</t>
  </si>
  <si>
    <t>Pol1212</t>
  </si>
  <si>
    <t>pre potrubie 18x2iz - priemer potrubia s izoláciou f44mm</t>
  </si>
  <si>
    <t>Pol1213</t>
  </si>
  <si>
    <t>pre potrubie 20x2iz - priemer potrubia s izoláciou f46mm</t>
  </si>
  <si>
    <t>Pol1214</t>
  </si>
  <si>
    <t>Zabezpečenie prístupu v podhľade  k armatúram na jednotlivých stupačkách, vetvách - uzavretie, vyregulovanie, vypúšťanie - dvierka</t>
  </si>
  <si>
    <t>76312</t>
  </si>
  <si>
    <t xml:space="preserve">Zakrytovanie potrubia DN20iz f67mm - stupačka 11 vedené pri obvodovej stene pred medziokenným pilierom </t>
  </si>
  <si>
    <t>30v</t>
  </si>
  <si>
    <t>30x</t>
  </si>
  <si>
    <t>30aa</t>
  </si>
  <si>
    <t>30ab</t>
  </si>
  <si>
    <t>30ac</t>
  </si>
  <si>
    <t>30ad</t>
  </si>
  <si>
    <t>30ae</t>
  </si>
  <si>
    <t>30af</t>
  </si>
  <si>
    <t>30ag</t>
  </si>
  <si>
    <t>30ah</t>
  </si>
  <si>
    <t>30ai</t>
  </si>
  <si>
    <t>30aj</t>
  </si>
  <si>
    <t>30ak</t>
  </si>
  <si>
    <t>30al</t>
  </si>
  <si>
    <t>30am</t>
  </si>
  <si>
    <t>30an</t>
  </si>
  <si>
    <t>30ao</t>
  </si>
  <si>
    <t>30ap</t>
  </si>
  <si>
    <t>30ar</t>
  </si>
  <si>
    <t>37a</t>
  </si>
  <si>
    <t>37b</t>
  </si>
  <si>
    <t>37c</t>
  </si>
  <si>
    <t>37d</t>
  </si>
  <si>
    <t>37e</t>
  </si>
  <si>
    <t>37f</t>
  </si>
  <si>
    <t>37g</t>
  </si>
  <si>
    <t>37h</t>
  </si>
  <si>
    <t>41b</t>
  </si>
  <si>
    <t>41c</t>
  </si>
  <si>
    <t>41d</t>
  </si>
  <si>
    <t>41e</t>
  </si>
  <si>
    <t>41f</t>
  </si>
  <si>
    <t>41g</t>
  </si>
  <si>
    <t>41h</t>
  </si>
  <si>
    <t>41i</t>
  </si>
  <si>
    <t>41j</t>
  </si>
  <si>
    <t>41k</t>
  </si>
  <si>
    <t>41l</t>
  </si>
  <si>
    <t>41m</t>
  </si>
  <si>
    <t>41n</t>
  </si>
  <si>
    <t>41o</t>
  </si>
  <si>
    <t>41p</t>
  </si>
  <si>
    <t>41r</t>
  </si>
  <si>
    <t>41s</t>
  </si>
  <si>
    <t>41t</t>
  </si>
  <si>
    <t>41u</t>
  </si>
  <si>
    <t xml:space="preserve">    D14 - Armatúry na pripojenie vykurovacích telies</t>
  </si>
  <si>
    <t>D16 - Vykurovacie telesá</t>
  </si>
  <si>
    <t xml:space="preserve">    Vykurovacie telesá oceľové panelové s integrovanou ventilovou vložkou KORAD</t>
  </si>
  <si>
    <t xml:space="preserve">    Vertikálne vykurovacie telesá s hladkou čelnou plochou, stredové pripojenie</t>
  </si>
  <si>
    <t xml:space="preserve">    Trubkové vykurovacie telesá so spodným stredovým pripojením</t>
  </si>
  <si>
    <t xml:space="preserve">    Tlakové skúšky telies vodou</t>
  </si>
  <si>
    <t xml:space="preserve">    Montáž vykurovacích telies oceľových panelových</t>
  </si>
  <si>
    <t>D23 - VYKUROVACÍ SYSTÉM PLAST-HLINÍK NAPOJENIE VYKUROVACÍCH TELIES GABOTHERM</t>
  </si>
  <si>
    <t xml:space="preserve">     Viacvrstvá rúrka z PE-RT, prípustné prevádzkové zaťaženie 90°C</t>
  </si>
  <si>
    <t xml:space="preserve">    Prechodová spojka z PE rúrok na kovový závit, dodávka, montáž</t>
  </si>
  <si>
    <t xml:space="preserve">    T-kus pre PE-RT rúrky</t>
  </si>
  <si>
    <t xml:space="preserve">    Izolácia potrubia izoláciou z penového polyet.30mm vrát.prísl. TUBOLIT DG  rozsah použitia do 100°C</t>
  </si>
  <si>
    <t xml:space="preserve">    Vinuté izolačné púzdra z minerálnej vlny s vystuženou AL fóliou - SKRUŽ  a samol. presahom vr.prísl.</t>
  </si>
  <si>
    <t xml:space="preserve">    Izolácia potr. izoláciou z pen. polyet.  hrúbky 13mm, PE-RT vedeného v stenách vr.prísl.</t>
  </si>
  <si>
    <t xml:space="preserve">    Montáž závitových armatúr s dvomi závitmi</t>
  </si>
  <si>
    <t xml:space="preserve">    Guľový kohút závitový</t>
  </si>
  <si>
    <t xml:space="preserve">    D29a - Izolácia potrubia izoláciou z penového polyetylénu  hrúbky 30mm vrátane príslušenstva</t>
  </si>
  <si>
    <t>D23 - Vykurovací systém plast hliník NAPOJENIE VYKUROVACÍCH TELIES</t>
  </si>
  <si>
    <t xml:space="preserve">    Izolácia potrubia izoláciou z pen. pol.13mm potrubia z PE-RT vedeného v podlahe vrátane prísl.</t>
  </si>
  <si>
    <t xml:space="preserve">    Izolácia potrubia izoláciou z penového polyetylénu  hrúbky 30mm vrátane príslušenstva</t>
  </si>
  <si>
    <t>32a</t>
  </si>
  <si>
    <t>8b</t>
  </si>
  <si>
    <t>274313711</t>
  </si>
  <si>
    <t>Betón základových pásov, prostý tr. C 25/30</t>
  </si>
  <si>
    <t>25a</t>
  </si>
  <si>
    <t>317166102</t>
  </si>
  <si>
    <t>Nosný preklad PORFIX, šírky 100 mm, výšky 250 mm, dĺžky 1500 mm</t>
  </si>
  <si>
    <t>317166103</t>
  </si>
  <si>
    <t>Nosný preklad PORFIX, šírky 100 mm, výšky 250 mm, dĺžky 1800 mm</t>
  </si>
  <si>
    <t>317166104</t>
  </si>
  <si>
    <t>Nosný preklad PORFIX, šírky 100 mm, výšky 250 mm, dĺžky 2100 mm</t>
  </si>
  <si>
    <t>317166105</t>
  </si>
  <si>
    <t>Nosný preklad PORFIX, šírky 100 mm, výšky 250 mm, dĺžky 2400 mm</t>
  </si>
  <si>
    <t>317166106</t>
  </si>
  <si>
    <t>Nosný preklad PORFIX, šírky 100 mm, výšky 250 mm, dĺžky 2700 mm</t>
  </si>
  <si>
    <t>31c</t>
  </si>
  <si>
    <t>31d</t>
  </si>
  <si>
    <t>31e</t>
  </si>
  <si>
    <t>411361821.1</t>
  </si>
  <si>
    <t>Šmyková výstuž PSB-12/225-3/510 (85/170/170/85)</t>
  </si>
  <si>
    <t>411361821.2</t>
  </si>
  <si>
    <t>Šmyková výstuž PSB-14/225-2/340 (85/170/85)</t>
  </si>
  <si>
    <t>411361821.3</t>
  </si>
  <si>
    <t>Šmyková výstuž PSB-16/225-6/1020 (85/4x170/85)</t>
  </si>
  <si>
    <t>411365006pc1</t>
  </si>
  <si>
    <t>Tepelnoizolačný prvok pre ŽB konštrukcie HIT-SP MVX 0504</t>
  </si>
  <si>
    <t>411365006pc2</t>
  </si>
  <si>
    <t>Tepelnoizolačný prvok pre ŽB konštrukcie HIT-SP MVX 0403</t>
  </si>
  <si>
    <t>411365006pc3</t>
  </si>
  <si>
    <t>Tepelnoizolačný prvok pre ŽB konštrukcie HIT-SP MVX 1208</t>
  </si>
  <si>
    <t>411365006pc4</t>
  </si>
  <si>
    <t>Tepelnoizolačný prvok pre ŽB konštrukcie HIT-SP MVX 0604</t>
  </si>
  <si>
    <t>411365006pc5</t>
  </si>
  <si>
    <t>Tepelnoizolačný prvok pre ŽB konštrukcie HIT-SP MVX 0302</t>
  </si>
  <si>
    <t>50a</t>
  </si>
  <si>
    <t>50b</t>
  </si>
  <si>
    <t>50c</t>
  </si>
  <si>
    <t>50d</t>
  </si>
  <si>
    <t>50e</t>
  </si>
  <si>
    <t>50f</t>
  </si>
  <si>
    <t>50g</t>
  </si>
  <si>
    <t>50h</t>
  </si>
  <si>
    <t>564861111</t>
  </si>
  <si>
    <t>Podklad zo štrkodrviny s rozprestretím a zhutnením, po zhutnení hr. 200 mm</t>
  </si>
  <si>
    <t>52a</t>
  </si>
  <si>
    <t>62525135pc1</t>
  </si>
  <si>
    <t>Zateplenie atiky z vnútornej a vrchnej časti vrátane OSB dosiek pod oplech.v zmysle detailov PD</t>
  </si>
  <si>
    <t>916561112</t>
  </si>
  <si>
    <t>Osadenie záhonového alebo parkového obrubníka betón., do lôžka z bet. pros. tr. C 16/20 s bočnou oporou</t>
  </si>
  <si>
    <t>592170001800</t>
  </si>
  <si>
    <t>Obrubník parkový, lxšxv 1000x50x200 mm, sivá</t>
  </si>
  <si>
    <t>628310001100pp</t>
  </si>
  <si>
    <t>Pás asfaltový - parozábrana</t>
  </si>
  <si>
    <t>Zdravotechnika -  vnútorná kanalizácia</t>
  </si>
  <si>
    <t>721242121</t>
  </si>
  <si>
    <t>Lapač strešných splavenín plastový univerzálny priamy 300x155/125</t>
  </si>
  <si>
    <t>763126620</t>
  </si>
  <si>
    <t xml:space="preserve">Predsadená SDK stena Rigips hr. 75 mm, dvojito opláštená doskou RB 12.5 mm </t>
  </si>
  <si>
    <t>766_28x</t>
  </si>
  <si>
    <t>Dodávka a montáž hliníkových dverí 1800x2400 mm EW30/D3C ( pol. 28* v zmysle PD )</t>
  </si>
  <si>
    <t>7674111pc1a</t>
  </si>
  <si>
    <t>Dodávka a montáž opláštenia stien nadstavby sendvičovými panelmi s minerálnou výplňou hr. 150mm, vrátane lemovaní otvorov a spojov a tesnení</t>
  </si>
  <si>
    <t>764</t>
  </si>
  <si>
    <t>Konštrukcie klampiarske</t>
  </si>
  <si>
    <t>76433941pc</t>
  </si>
  <si>
    <t>Oplechovanie strešného otvoru prestupy VZT  ( kl22-kl24 v zmysle PD )</t>
  </si>
  <si>
    <t>764352423.</t>
  </si>
  <si>
    <t>Žľaby z pozinkovaného farbeného PZf plechu, pododkvapové polkruhové r.š. 250 mm ( kl7-kl9 v zmysle PD ) vrátane čiel rohov a hákov</t>
  </si>
  <si>
    <t>764352427.</t>
  </si>
  <si>
    <t>Žľaby z pozinkovaného farbeného PZf plechu, pododkvapové polkruhové r.š. 330 mm ( kl7-kl9 v zmysle PD ) vrátane čiel rohov a hákov</t>
  </si>
  <si>
    <t>764359411.</t>
  </si>
  <si>
    <t>Kotlík kónický z pozinkovaného farbeného PZf plechu, pre rúry s priemerom do 100 mm ( kl10 zmysle PD )</t>
  </si>
  <si>
    <t>764359413.</t>
  </si>
  <si>
    <t>Kotlík kónický z pozinkovaného farbeného PZf plechu, pre rúry s priemerom od 125 do 150 mm ( kl10 zmysle PD )</t>
  </si>
  <si>
    <t>764410440.</t>
  </si>
  <si>
    <t>Oplechovanie parapetov z pozinkovaného farbeného PZf plechu, vrátane rohov r.š. 250 mm ( kl1 -kl6 v zmysle PD )</t>
  </si>
  <si>
    <t>764421460pc</t>
  </si>
  <si>
    <t>Oplechovanie ríms a ozdobných prvkov z pozinkovaného farbeného PZf plechu, r.š. 350 mm ( kl19 v zmysle PD )</t>
  </si>
  <si>
    <t>764430430pc</t>
  </si>
  <si>
    <t>Oplechovanie muriva a atík z pozinkovaného farbeného PZf plechu, vrátane rohov r.š. 350 mm ( kl17,kl18,kl20,kl21 v zmysle PD )</t>
  </si>
  <si>
    <t>764430450pc</t>
  </si>
  <si>
    <t>Oplechovanie muriva a atík z pozinkovaného farbeného PZf plechu, vrátane rohov r.š. 560 mm ( kl16 v zmysle PD )</t>
  </si>
  <si>
    <t>764454451.</t>
  </si>
  <si>
    <t>Zvodové rúry z pozinkovaného farbeného PZf plechu, kruhové priemer 60 mm ( kl11,12,13,15 v zmysle PD ) vrátane kolien a objímok</t>
  </si>
  <si>
    <t>764454453.</t>
  </si>
  <si>
    <t>Zvodové rúry z pozinkovaného farbeného PZf plechu, kruhové priemer 100 mm  ( kl11,12,13,15 v zmysle PD ) vrátane kolien a objímok</t>
  </si>
  <si>
    <t>998764202</t>
  </si>
  <si>
    <t>Presun hmôt pre konštrukcie klampiarske v objektoch výšky nad 6 do 12 m</t>
  </si>
  <si>
    <t>693110001100</t>
  </si>
  <si>
    <t>Geotextília 200 g/m2</t>
  </si>
  <si>
    <t>98a</t>
  </si>
  <si>
    <t>159a</t>
  </si>
  <si>
    <t>144a</t>
  </si>
  <si>
    <t>135a</t>
  </si>
  <si>
    <t>135b</t>
  </si>
  <si>
    <t>135c</t>
  </si>
  <si>
    <t>135d</t>
  </si>
  <si>
    <t>135e</t>
  </si>
  <si>
    <t>135f</t>
  </si>
  <si>
    <t>135g</t>
  </si>
  <si>
    <t>135h</t>
  </si>
  <si>
    <t>135i</t>
  </si>
  <si>
    <t>135j</t>
  </si>
  <si>
    <t>135k</t>
  </si>
  <si>
    <t>135l</t>
  </si>
  <si>
    <t>108a</t>
  </si>
  <si>
    <t>108b</t>
  </si>
  <si>
    <t>70a,</t>
  </si>
  <si>
    <t>70b</t>
  </si>
  <si>
    <t>311208151</t>
  </si>
  <si>
    <t>Podrezávanie tehlového muriva reťazovou pílou hr. do 150 mm s vložením vodorovnej izolácie</t>
  </si>
  <si>
    <t>317162133</t>
  </si>
  <si>
    <t>Keramický preklad POROTHERM 23,8, šírky 70 mm, výšky 238 mm, dĺžky 1500 mm</t>
  </si>
  <si>
    <t>340239233</t>
  </si>
  <si>
    <t>Zamurovanie otvorov plochy nad 1 do 4 m2 tvárnicami YTONG (100x599x249)</t>
  </si>
  <si>
    <t>642944121</t>
  </si>
  <si>
    <t>Dodatočná montáž oceľovej dverovej zárubne, plochy otvoru do 2,5 m2</t>
  </si>
  <si>
    <t>553310008300</t>
  </si>
  <si>
    <t>Zárubňa oceľová CgH šxvxhr 600x1970x160 mm L</t>
  </si>
  <si>
    <t>553310008700</t>
  </si>
  <si>
    <t>Zárubňa oceľová CgU šxvxhr 800x1970x160 mm L</t>
  </si>
  <si>
    <t>553310008900</t>
  </si>
  <si>
    <t>Zárubňa oceľová CgU šxvxhr 900x1970x160 mm L</t>
  </si>
  <si>
    <t>553310009200</t>
  </si>
  <si>
    <t>Zárubňa oceľová CgH šxvxhr 1100x1970x160 mm P</t>
  </si>
  <si>
    <t>Rúrové vedenie</t>
  </si>
  <si>
    <t>899101111</t>
  </si>
  <si>
    <t>Osadenie poklopu liatinového a oceľového vrátane rámu hmotn. do 50 kg</t>
  </si>
  <si>
    <t>55241000dl</t>
  </si>
  <si>
    <t>Poklop ľahký hliníkový  s rámom 600x600 mm, (na uloženie dlažby)</t>
  </si>
  <si>
    <t>978012191</t>
  </si>
  <si>
    <t>Otlčenie omietok stropov vnútorných rákosovaných vápenných alebo vápennocementových v rozsahu do 100 %,  -0,05000t</t>
  </si>
  <si>
    <t>762841811</t>
  </si>
  <si>
    <t>Demont.podbíjania obkladov stropov a striech sklonu do 60st., z dosiek hr.do 35 mm bez omietky,  -0.01400t</t>
  </si>
  <si>
    <t>76665-11102kr</t>
  </si>
  <si>
    <t>M+D drev. fólia dvier 80x197+okop. plech</t>
  </si>
  <si>
    <t>76665-11104kr</t>
  </si>
  <si>
    <t xml:space="preserve">M+D drev. fólia dvier 90x197+okop. plech </t>
  </si>
  <si>
    <t>76665-11105kr</t>
  </si>
  <si>
    <t xml:space="preserve">M+D drev. fólia dvier 110x197+okop. plech </t>
  </si>
  <si>
    <t>783225100</t>
  </si>
  <si>
    <t>Nátery kov.stav.doplnk.konštr. syntetické na vzduchu schnúce dvojnás. 1x s emailov. - 105µm</t>
  </si>
  <si>
    <t>783802822</t>
  </si>
  <si>
    <t>Odstránenie starých náterov z omietok opálením s obrúsením stien</t>
  </si>
  <si>
    <t>961043111</t>
  </si>
  <si>
    <t>Búranie základov z betónu prostého alebo preloženého kameňom,  -2,20000t</t>
  </si>
  <si>
    <t>1b</t>
  </si>
  <si>
    <t>2a</t>
  </si>
  <si>
    <t>2b</t>
  </si>
  <si>
    <t>10a</t>
  </si>
  <si>
    <t>46a</t>
  </si>
  <si>
    <t>47b</t>
  </si>
  <si>
    <t>47c</t>
  </si>
  <si>
    <t>47d</t>
  </si>
  <si>
    <t>47e</t>
  </si>
  <si>
    <t>47f</t>
  </si>
  <si>
    <t>47g</t>
  </si>
  <si>
    <t>52b</t>
  </si>
  <si>
    <t>52c</t>
  </si>
  <si>
    <t>52d</t>
  </si>
  <si>
    <t>52e</t>
  </si>
  <si>
    <t>74a</t>
  </si>
  <si>
    <t>91a</t>
  </si>
  <si>
    <t>91b</t>
  </si>
  <si>
    <t>92a</t>
  </si>
  <si>
    <t>108c</t>
  </si>
  <si>
    <t>176a</t>
  </si>
  <si>
    <t>177a</t>
  </si>
  <si>
    <t>210010314</t>
  </si>
  <si>
    <t>Krabica (KT 250) odbočná s viečkom, bez zapojenia</t>
  </si>
  <si>
    <t>3410301487</t>
  </si>
  <si>
    <t>Skriňa rozvodná šedá s viečkom KT 250 KB</t>
  </si>
  <si>
    <t>4a</t>
  </si>
  <si>
    <t>4b</t>
  </si>
  <si>
    <t>210802475</t>
  </si>
  <si>
    <t>Kábel medený uložený pevne H07RN-F (CGSG) 450/750 V  3x25</t>
  </si>
  <si>
    <t>341310034000</t>
  </si>
  <si>
    <t>Kábel medený flexibilný gumený H07RN-F 3x25 mm2</t>
  </si>
  <si>
    <t>210802497</t>
  </si>
  <si>
    <t>Kábel medený uložený pevne H07RN-F (CGSG) 450/750 V  5x25</t>
  </si>
  <si>
    <t>341310036200</t>
  </si>
  <si>
    <t>Kábel medený flexibilný gumený H07RN-F 5x25 mm2</t>
  </si>
  <si>
    <t>341610023700</t>
  </si>
  <si>
    <t>Kábel medený bezhalogenový NHXH FE180/E30 4 mm2</t>
  </si>
  <si>
    <t>210881314</t>
  </si>
  <si>
    <t>Kábel bezhalogénový, medený uložený pevne NHXH-FE 180/E30 0,6/1,0 kV  16</t>
  </si>
  <si>
    <t>341610023900</t>
  </si>
  <si>
    <t>Kábel medený bezhalogenový NHXH FE180/E30 16 mm2</t>
  </si>
  <si>
    <t>210881437</t>
  </si>
  <si>
    <t>Kábel bezhalogénový, medený uložený pevne NHXCH-FE 180/E30 0,6/1,0 kV  5Jx95</t>
  </si>
  <si>
    <t>341610031100</t>
  </si>
  <si>
    <t>Kábel medený bezhalogenový NHXCH FE180/E30 5Jx95 mm2</t>
  </si>
  <si>
    <t>210902106</t>
  </si>
  <si>
    <t>Kábel hliníkový silový uložený pevne 1-AYKY 0,6/1 kV 3x150</t>
  </si>
  <si>
    <t>341110029700</t>
  </si>
  <si>
    <t>Kábel hliníkový 1-AYKY 3x150 mm2</t>
  </si>
  <si>
    <t>210902116</t>
  </si>
  <si>
    <t>Kábel hliníkový silový uložený pevne 1-AYKY 0,6/1 kV 4x50</t>
  </si>
  <si>
    <t>341110030700</t>
  </si>
  <si>
    <t>Kábel hliníkový 1-AYKY 4x50 mm2</t>
  </si>
  <si>
    <t>3451201800</t>
  </si>
  <si>
    <t>Lišta DIN EN 2 m perforovaná</t>
  </si>
  <si>
    <t>3451201800.</t>
  </si>
  <si>
    <t>210192999</t>
  </si>
  <si>
    <t>Nulový mostík zelený 15x16</t>
  </si>
  <si>
    <t>210192999.</t>
  </si>
  <si>
    <t>62d</t>
  </si>
  <si>
    <t>70a</t>
  </si>
  <si>
    <t>70c</t>
  </si>
  <si>
    <t>70d</t>
  </si>
  <si>
    <t>73a</t>
  </si>
  <si>
    <t>73b</t>
  </si>
  <si>
    <t>73c</t>
  </si>
  <si>
    <t>73d</t>
  </si>
  <si>
    <t>73e</t>
  </si>
  <si>
    <t>73f</t>
  </si>
  <si>
    <t>156a</t>
  </si>
  <si>
    <t>156b</t>
  </si>
  <si>
    <t>156c</t>
  </si>
  <si>
    <t>156d</t>
  </si>
  <si>
    <t>354310023500</t>
  </si>
  <si>
    <t xml:space="preserve">Káblové oko medené lisovacie CU 70x8 </t>
  </si>
  <si>
    <t>354310024800</t>
  </si>
  <si>
    <t xml:space="preserve">Káblové oko medené lisovacie CU 95x08 </t>
  </si>
  <si>
    <t>210220020</t>
  </si>
  <si>
    <t>Uzemňovacie vedenie v zemi FeZn vrátane izolácie spojov</t>
  </si>
  <si>
    <t>354410058800</t>
  </si>
  <si>
    <t>Pásovina uzemňovacia FeZn 30 x 4 mm</t>
  </si>
  <si>
    <t>210881176</t>
  </si>
  <si>
    <t>Kábel bezhalogénový, medený uložený voľne 1-CHKE-V 0,6/1,0 kV  3x4</t>
  </si>
  <si>
    <t>1-CHKE-V 3x4 PS 90 Nehorľavý kábel s funkčnosťou STN</t>
  </si>
  <si>
    <t>210881179</t>
  </si>
  <si>
    <t>Kábel bezhalogénový, medený uložený voľne 1-CHKE-V 0,6/1,0 kV  3x16</t>
  </si>
  <si>
    <t>210881250</t>
  </si>
  <si>
    <t>Kábel bezhalogénový, medený uložený voľne NHXH-FE 180/E30 0,6/1,0 kV  4</t>
  </si>
  <si>
    <t>3410350958.</t>
  </si>
  <si>
    <t>NHXH 4 FE180/E30 Nehorľavý kábel s funkčnosťou VDE</t>
  </si>
  <si>
    <t>210881361.</t>
  </si>
  <si>
    <t>Kábel bezhalogénový, medený uložený pevne NHXH-FE 180/E30 0,6/1,0 kV  4x95</t>
  </si>
  <si>
    <t>3410351007.</t>
  </si>
  <si>
    <t>NHXH 4x95 FE180/E30 Nehorľavý kábel s funkčnosťou VDE</t>
  </si>
  <si>
    <t>Nulový mostík zelený 15x13</t>
  </si>
  <si>
    <t>210192999..,</t>
  </si>
  <si>
    <t>000000000.4n</t>
  </si>
  <si>
    <t>Oddelovací transformátor 230/230V/8kW</t>
  </si>
  <si>
    <t>8c</t>
  </si>
  <si>
    <t>21b</t>
  </si>
  <si>
    <t>55a</t>
  </si>
  <si>
    <t>55b</t>
  </si>
  <si>
    <t>55c</t>
  </si>
  <si>
    <t>55d</t>
  </si>
  <si>
    <t>69a</t>
  </si>
  <si>
    <t>69b</t>
  </si>
  <si>
    <t>93a</t>
  </si>
  <si>
    <t>93b</t>
  </si>
  <si>
    <t>93c</t>
  </si>
  <si>
    <t>93d</t>
  </si>
  <si>
    <t>93e</t>
  </si>
  <si>
    <t>93f</t>
  </si>
  <si>
    <t>105a</t>
  </si>
  <si>
    <t>105b</t>
  </si>
  <si>
    <t>105c</t>
  </si>
  <si>
    <t>105d</t>
  </si>
  <si>
    <t>134a</t>
  </si>
  <si>
    <t>134b</t>
  </si>
  <si>
    <t>142a</t>
  </si>
  <si>
    <t>142b</t>
  </si>
  <si>
    <t>210220001</t>
  </si>
  <si>
    <t>Uzemňovacie vedenie na povrchu FeZn</t>
  </si>
  <si>
    <t>354410053400</t>
  </si>
  <si>
    <t>Uholník ochranný FeZn označenie OU 2 m</t>
  </si>
  <si>
    <t>000000000.9ok</t>
  </si>
  <si>
    <t>Kovová konštrukcia pod RP UPS</t>
  </si>
  <si>
    <t>000000000.9ok1</t>
  </si>
  <si>
    <t>6a</t>
  </si>
  <si>
    <t>6b</t>
  </si>
  <si>
    <t>38b</t>
  </si>
  <si>
    <t>58b</t>
  </si>
  <si>
    <t>60a</t>
  </si>
  <si>
    <t>60b</t>
  </si>
  <si>
    <t>60c</t>
  </si>
  <si>
    <t>60d</t>
  </si>
  <si>
    <t>147a</t>
  </si>
  <si>
    <t>147b</t>
  </si>
  <si>
    <t>147c</t>
  </si>
  <si>
    <t>147d</t>
  </si>
  <si>
    <t>147e</t>
  </si>
  <si>
    <t>147f</t>
  </si>
  <si>
    <t>151a</t>
  </si>
  <si>
    <t>151b</t>
  </si>
  <si>
    <t>153a</t>
  </si>
  <si>
    <t>153b</t>
  </si>
  <si>
    <t>132301201</t>
  </si>
  <si>
    <t>Výkop ryhy šírky 600-2000mm hor 4 do 100 m3</t>
  </si>
  <si>
    <t>132301209</t>
  </si>
  <si>
    <t>Príplatok za lepivosť pri hĺbení rýh š. nad 600 do 2 000 mm zapažených i nezapažených, s urovnaním dna v hornine 4</t>
  </si>
  <si>
    <t>89115-3111</t>
  </si>
  <si>
    <t>D+M vodomernej šachty Klartec 1200/900/1800mm + doprava + zemné práce</t>
  </si>
  <si>
    <t>89118-1111</t>
  </si>
  <si>
    <t>D+M uzatváracích ventilov DN65, PN16</t>
  </si>
  <si>
    <t>89118-1221</t>
  </si>
  <si>
    <t>D+M filtrov DN65, PN16</t>
  </si>
  <si>
    <t>89118-5111</t>
  </si>
  <si>
    <t>D+M spätných klapiek DN65, PN16</t>
  </si>
  <si>
    <t>89118-5321</t>
  </si>
  <si>
    <t>D+M vypúšťacích ventilov DN20, PN16</t>
  </si>
  <si>
    <t>89970-1054</t>
  </si>
  <si>
    <t>Výstražná fólia z PVC</t>
  </si>
  <si>
    <t>89970-1114</t>
  </si>
  <si>
    <t>Vytyčovací vodič medený s prierezom 6 mm2</t>
  </si>
  <si>
    <t>Ostatné konštrukcie a práce-búranie</t>
  </si>
  <si>
    <t>974049132</t>
  </si>
  <si>
    <t>Vysekanie rýh v betónových stenách do hĺbky 50 mm a š. do 70 mm,  -0,00800t</t>
  </si>
  <si>
    <t>974049153</t>
  </si>
  <si>
    <t>Vysekanie rýh v betónových stenách do hĺbky 100 mm a š. do 100 mm,  -0,02200t</t>
  </si>
  <si>
    <t>72121-2303</t>
  </si>
  <si>
    <t>D+M podlahová vpusť s horizont.odtokom so sifónom DN75 a liat.mriežkou</t>
  </si>
  <si>
    <t>72127-4124</t>
  </si>
  <si>
    <t>D+M lapač strešných splavenín HL660 MINIMAX</t>
  </si>
  <si>
    <t>72129-0111a</t>
  </si>
  <si>
    <t>Súprava vetracej hlavice HL807 DN75</t>
  </si>
  <si>
    <t>72217-1911</t>
  </si>
  <si>
    <t>D+M  potrubia PWHC - DN40 (Uponor Ecoflet Aqua Single 175/50x6,9) - bezkanálové vedenie</t>
  </si>
  <si>
    <t>72217-1912</t>
  </si>
  <si>
    <t>D+M  potrubia PWH - DN50 (Uponor Ecoflet Aqua Single 175/63x8,6) - bezkanálové vedenie</t>
  </si>
  <si>
    <t>72217-1913</t>
  </si>
  <si>
    <t>D+M rúrka PE - HD DN65, PN16 - HDPE PE 100 plus RC 75x6,8</t>
  </si>
  <si>
    <t>72582-0700.1</t>
  </si>
  <si>
    <t>72584-0200.1</t>
  </si>
  <si>
    <t>72126-3806</t>
  </si>
  <si>
    <t>D+M podomietkový sifón pre VZT zariadenia DN 20</t>
  </si>
  <si>
    <t>72127-4102</t>
  </si>
  <si>
    <t>Privzdušňovací ventil DN 50</t>
  </si>
  <si>
    <t>72223-2045.1</t>
  </si>
  <si>
    <t>1c</t>
  </si>
  <si>
    <t>1d</t>
  </si>
  <si>
    <t>1e</t>
  </si>
  <si>
    <t>1f</t>
  </si>
  <si>
    <t>3a</t>
  </si>
  <si>
    <t>26b</t>
  </si>
  <si>
    <t>26c</t>
  </si>
  <si>
    <t>26d</t>
  </si>
  <si>
    <t>36a</t>
  </si>
  <si>
    <t>39a</t>
  </si>
  <si>
    <t xml:space="preserve">    1 - Zemné práce</t>
  </si>
  <si>
    <t xml:space="preserve">    2 - ZÁKLADY</t>
  </si>
  <si>
    <t>9c</t>
  </si>
  <si>
    <t>9d</t>
  </si>
  <si>
    <t>9e</t>
  </si>
  <si>
    <t>9f</t>
  </si>
  <si>
    <t>9g</t>
  </si>
  <si>
    <t>9h</t>
  </si>
  <si>
    <t>9i</t>
  </si>
  <si>
    <t>9j</t>
  </si>
  <si>
    <t>9k</t>
  </si>
  <si>
    <t>9l</t>
  </si>
  <si>
    <t>9m</t>
  </si>
  <si>
    <t>9n</t>
  </si>
  <si>
    <t>9o</t>
  </si>
  <si>
    <t>9p</t>
  </si>
  <si>
    <t>9r</t>
  </si>
  <si>
    <t>25b</t>
  </si>
  <si>
    <t>25c</t>
  </si>
  <si>
    <t>38c</t>
  </si>
  <si>
    <t>61a</t>
  </si>
  <si>
    <t>61b</t>
  </si>
  <si>
    <t>61c</t>
  </si>
  <si>
    <t>61d</t>
  </si>
  <si>
    <t>61e</t>
  </si>
  <si>
    <t>68b</t>
  </si>
  <si>
    <t>68c</t>
  </si>
  <si>
    <t>68d</t>
  </si>
  <si>
    <t>68e</t>
  </si>
  <si>
    <t>68g</t>
  </si>
  <si>
    <t>68h</t>
  </si>
  <si>
    <t>68i</t>
  </si>
  <si>
    <t>68j</t>
  </si>
  <si>
    <t>68k</t>
  </si>
  <si>
    <t>68l</t>
  </si>
  <si>
    <t xml:space="preserve">    Rúrové vedenie</t>
  </si>
  <si>
    <t xml:space="preserve">    Ostatné konštrukcie a práce-búranie</t>
  </si>
  <si>
    <t xml:space="preserve">    97 - Prerážanie otvorov a ost.búr.p</t>
  </si>
  <si>
    <t>76a</t>
  </si>
  <si>
    <t>969011131</t>
  </si>
  <si>
    <t>Vybúranie vodovodného vedenia DN do 125 mm,  -0,03700t</t>
  </si>
  <si>
    <t>969011161</t>
  </si>
  <si>
    <t>Vybúranie plynového vedenia DN do 125 mm,  -0,03700t</t>
  </si>
  <si>
    <t>79a</t>
  </si>
  <si>
    <t>79b</t>
  </si>
  <si>
    <t>79c</t>
  </si>
  <si>
    <t>79d</t>
  </si>
  <si>
    <t>713400841</t>
  </si>
  <si>
    <t>Odstránenie tepelnej izolácie potrubia z vlák. materiálov s konštr. bez povrchovej úpravy,  -0,02000t</t>
  </si>
  <si>
    <t>107a</t>
  </si>
  <si>
    <t>Vetranie šatne č.1   (miestnosti č. D35-D39)</t>
  </si>
  <si>
    <t>Pol869</t>
  </si>
  <si>
    <t>Tanierový ventil odvodný  O200      /300 m3/h/</t>
  </si>
  <si>
    <t xml:space="preserve"> s pretlakovou komorou  PB-VVK-S-200-600-E-H-D1</t>
  </si>
  <si>
    <t xml:space="preserve">Vírivá stropná vyustka VVKR-A-S-O200-600-40-W-RAL 9010 </t>
  </si>
  <si>
    <t>Vetranie vnútorných priestorov D.01 až D.23</t>
  </si>
  <si>
    <t>Pol932</t>
  </si>
  <si>
    <t>Vonkajšia kondenzačná jednotka AOYG-18LBCB chladiaci/vykurovací výkon 5 kW    (0,9 - 5,9 kW) max. elektrický príkon: do 1,5  kW, 230V,  , Istenie 20A</t>
  </si>
  <si>
    <t>Pol933</t>
  </si>
  <si>
    <t>Príslušenstvo:     konzola uchytenia MS 118    550 mm spojovací a kotviaci materiál</t>
  </si>
  <si>
    <t>Vetranie  priestorov  CT č. D.11</t>
  </si>
  <si>
    <t>Vonkajšia kondenzačná jednotka AOYG-14LMCE</t>
  </si>
  <si>
    <t>chladiaci/vykurovací výkon 4 kW    (0,9 - 4,4 kW) max. elektrický príkon: do 1,5  kW, 230V,  , Istenie 20A  Príslušenstvo:     konzola uchytenia MS 118    550 mm spojovací a kotviaci materiál</t>
  </si>
  <si>
    <t>Pol1026</t>
  </si>
  <si>
    <t>Prechod 300x250-315x250/200                                              sk.I</t>
  </si>
  <si>
    <t>Pol1027</t>
  </si>
  <si>
    <t>Rúra s prechodovým  kolenom 250x315-315x315/90°/R150 s rúrou na strane 315x315/200         /v.p/</t>
  </si>
  <si>
    <t>Pol1028</t>
  </si>
  <si>
    <t>Protidažďová žalúzia PZ-AL-315x315</t>
  </si>
  <si>
    <t>Pol1029</t>
  </si>
  <si>
    <t>Rúra s prechodovým  kolenom 300x250-315x250/90°/R150 s rúrou na strane 300x250/200         /v.p/</t>
  </si>
  <si>
    <t>Pol1030</t>
  </si>
  <si>
    <t>Rúra s prechodovým  kolenom 250x315-315x315/90°/R150 s rúrou na strane 300x250/200         /v.p/</t>
  </si>
  <si>
    <t>Pol1031</t>
  </si>
  <si>
    <t>Rúra 315x315/300                    /v.p/                                       sk.I</t>
  </si>
  <si>
    <t>Pol1076</t>
  </si>
  <si>
    <t>plastové revízne dvierka 200x200</t>
  </si>
  <si>
    <t>Vetranie sádrovne a RTG zázemia č. B.04 a B.06a</t>
  </si>
  <si>
    <t>Pol1088</t>
  </si>
  <si>
    <t>Rozdelovač chladiva UTP-SX248A</t>
  </si>
  <si>
    <t>Chladenie miestností náhr.zdrojov pod A.01 a A.14</t>
  </si>
  <si>
    <t>Pol1092</t>
  </si>
  <si>
    <t>Vonkajšia jednotka AOYG-18LFCA chladiaci výkon 5  Kw max. elektrický príkon: 1,5  kW, 230V, istenie 20A</t>
  </si>
  <si>
    <t>Pol1093</t>
  </si>
  <si>
    <t>Vnútorná  jednotka ASYG-18LFCA chladiaci výkon 5  kW</t>
  </si>
  <si>
    <t>Pol1091</t>
  </si>
  <si>
    <t>Pol1071</t>
  </si>
  <si>
    <t>Pol1099</t>
  </si>
  <si>
    <t>Samolepiaca kaučuková izolácia hr. 20 mm /Izolácia potrubí rekuper. jednotiek od jednotky po vonkajšok/</t>
  </si>
  <si>
    <t>28g</t>
  </si>
  <si>
    <t>205a</t>
  </si>
  <si>
    <t>205b</t>
  </si>
  <si>
    <t>205c</t>
  </si>
  <si>
    <t>207a</t>
  </si>
  <si>
    <t>207b</t>
  </si>
  <si>
    <t>207c</t>
  </si>
  <si>
    <t>207d</t>
  </si>
  <si>
    <t>261b</t>
  </si>
  <si>
    <t>263b</t>
  </si>
  <si>
    <t>286c</t>
  </si>
  <si>
    <t>291a</t>
  </si>
  <si>
    <t>291b</t>
  </si>
  <si>
    <t>291c</t>
  </si>
  <si>
    <t>291d</t>
  </si>
  <si>
    <t>291e</t>
  </si>
  <si>
    <t>295a</t>
  </si>
  <si>
    <t>Cena bez DPH ZoD</t>
  </si>
  <si>
    <t xml:space="preserve">Vnútorná chladiaca jednotka firmy DAIKIN typ EWWD280J-SS, s chladiacim výkonom Q= 250kW. Teplotný spád chladiaceho média 7/12°C, prietok chladiaceho média 12,0 lit./s (43,2m3/h), médium: chladiaca voda. Kondenzátor: teplotný spád na kondenzátore 48/43°C,   </t>
  </si>
  <si>
    <t xml:space="preserve">Suchý chladič firmy GUNTNER typ GFHV FD 080.2NF/24E-49, chladiaci výkon Q=345kW, 49 dBa v 10m. Teplotný spád 48/43°C, prietok na kondenzátore 62,97m3/h, médium: PROPYLENGLYKOL 35%. Elektrický príkon P=4,75kW, 400V, 50Hz, istenie viď. podklady výrobcu. Roz   </t>
  </si>
  <si>
    <t xml:space="preserve">Akumulačná nádoba na chladiacu vodu, firmy REFLEX typ RECON 1600/6, OBJEM 1600 litrov, PN6, 1x príruba DN200, 2x príruba DN150, vrátane čistiaceho otvoru s prírubou DN400. Vrátane nenasiakavej tepelnej izolácie (kaučuková izolácia) so súčtovou hrúbkou 60m   </t>
  </si>
  <si>
    <t xml:space="preserve">Obehové čerpadlo glykolového okruhu (zmes voda + propylénglykol 35%), firmy GRUNDFOS typ TP 80-240/2 A-F-A-BQQE. Médium: voda a propylénglykol 35%. Požadovaný prietok min. Q= 65m3/h, výtlak čerpadla H=20m. Elektrický príkon P= 5,5kW, 400V, 50Hz, istenie v   </t>
  </si>
  <si>
    <t xml:space="preserve">Konštrukcia pre inštaláciu zdroja chladu na podlahu strojovne   </t>
  </si>
  <si>
    <t xml:space="preserve">Obehové čerpadlo s frekvenčným meničom a tlak. snímačom, firmy GRUNDFOS typ TPE3 65-200-S A-F-I-BQQE. Médium: chladiaca voda. Požadovaný prietok min. Q= 35m3/h, výtlak čerpadla H=15m. Elektrický príkon P= 2,2kW, 400V, 50Hz, istenie viď. podklady výrobcu.   </t>
  </si>
  <si>
    <t xml:space="preserve">Expanzný automat dvojčerpadlový s expanznou nádobou. Riadiaca jednotka firmy REFLEX typ VARIOMAT 2-2/35 TOUCH. El. príkon: 1,5kW, 230V, 50Hz. Rozmery (ŠxHxV): 700x780x920mm. Hmotnosť: 58kg. Pripojenie základnej nádoby REFLEX VARIOMAT G 5/4, d=1000-1500mm.   </t>
  </si>
  <si>
    <t xml:space="preserve">Zariadenie na plnenie a miešanie glykolovej zmesi s integrovaným čerpadlom. Doplňovacie zariadenie firmy REFLEX typ FILLCONTROL AUTO 500 (vhodný pre glykol). El. príkon: 1,1kW, 230V, 50Hz. Rozmery (VxŠxH): 610x800x290mm. Hmotnosť: 50kg. Nádoba firmy REFLE   </t>
  </si>
  <si>
    <t xml:space="preserve">Rúrový rozdeľovač sekundárneho okruhu, firmy RACEN, rozmer DN300, dĺžka 2850mm, počet prírub 5 (dimenzie podľa schémy). Vrátane nenasiakavej tepelnej izolácie (kaučuková izolácia), súčtová hrúbka izolácie hr. 60mm, s hliníkovou fóliou (napríklad plošná iz   </t>
  </si>
  <si>
    <t xml:space="preserve">Rúrový zberač sekundárneho okruhu, firmy RACEN, rozmer DN300, dĺžka 1800mm, počet prírub 5 (dimenzie podľa schémy). Vrátane nenasiakavej tepelnej izolácie (kaučuková izolácia), súčtová hrúbka izolácie hr. 60mm, s hliníkovou fóliou (napríklad plošná izolác   </t>
  </si>
  <si>
    <t xml:space="preserve">Trojcestný zmiešavací ventil firmy SIEMENS typ VXF32.125-250, DN125, kvs= 250 m3/h + servopohon SIEMENS typ SKC62UA (40mm, 2800N, AC24V, 0-10V). Hmotnosť: ventil 44kg + servopohon 11 kg = spolu 55kg.   </t>
  </si>
  <si>
    <t>40a</t>
  </si>
  <si>
    <t xml:space="preserve">Obehové čerpadlo GRUNDFOS typ MAGNA3, 25-100, el. príkon: 153W, 230V, 50Hz   </t>
  </si>
  <si>
    <t xml:space="preserve">Obehové čerpadlo GRUNDFOS typ MAGNA3, 32-100, el. príkon: 171W, 230V, 50Hz   </t>
  </si>
  <si>
    <t>131a</t>
  </si>
  <si>
    <t>132a</t>
  </si>
  <si>
    <t>119001999</t>
  </si>
  <si>
    <t xml:space="preserve">Zabezpečenie nezapaženej  stavebnej jamy plachtou   </t>
  </si>
  <si>
    <t xml:space="preserve">Výkopy v uzavretých priestoroch v horn. tr. 1-4   </t>
  </si>
  <si>
    <t>273362412</t>
  </si>
  <si>
    <t xml:space="preserve">Výstuž základových dosiek zo zvár. sietí KARI, priemer drôtu 5/5 mm, veľkosť oka 150x150 mm   </t>
  </si>
  <si>
    <t>25aa</t>
  </si>
  <si>
    <t>279351103mont</t>
  </si>
  <si>
    <t xml:space="preserve">Debnenie základových múrov jednostranné zhotovenie-tradičné   </t>
  </si>
  <si>
    <t>27a</t>
  </si>
  <si>
    <t>711132102</t>
  </si>
  <si>
    <t xml:space="preserve">Zhotovenie geotextílie alebo tkaniny na plochu zvislú   </t>
  </si>
  <si>
    <t>693110000400</t>
  </si>
  <si>
    <t xml:space="preserve">Geotextília polypropylénová , 500g/m2, netkaná separačno-filtračná geotextília   </t>
  </si>
  <si>
    <t>86a</t>
  </si>
  <si>
    <t>86b</t>
  </si>
  <si>
    <t xml:space="preserve">Modernizácia infraštruktúry pre zefektívnenie poskytovania akútnej zdravotnej starostlivosti v Nemocnici Zvolen a.s. </t>
  </si>
  <si>
    <t>Kuzmányho nábrežie 28, 960 01 Zvolen</t>
  </si>
  <si>
    <t>Nemocnica AGEL Zvolen</t>
  </si>
  <si>
    <t>Nemocnica AGEL Zvolen a.s.</t>
  </si>
  <si>
    <t>Modernizácia infraštruktúry pre zefektívnenie poskytovania akútnej zdravotnej starostlivosti v Nemocnici Zvolen a.s.</t>
  </si>
  <si>
    <t>Modernizácia infraštruktúry pre zefektívnenie akútnej zdravotnej starostlivosti v Nemocnici Zvolen a.s.</t>
  </si>
  <si>
    <t>7, 10, 12a</t>
  </si>
  <si>
    <t>10, 12a</t>
  </si>
  <si>
    <t>37bb</t>
  </si>
  <si>
    <t>Pol1198b</t>
  </si>
  <si>
    <t>hrúbka izolácie 40mm pre potrubie DN40</t>
  </si>
  <si>
    <t>48-demont</t>
  </si>
  <si>
    <t xml:space="preserve">Demontáž izolácie potrubia   </t>
  </si>
  <si>
    <t>37i</t>
  </si>
  <si>
    <t>37j</t>
  </si>
  <si>
    <t>48-preiz</t>
  </si>
  <si>
    <t xml:space="preserve">Preizolovanie spojov, ohybov, Tkusov...   </t>
  </si>
  <si>
    <t xml:space="preserve">Demontáž armatúr závitových s dvomi závitmi do DN15   </t>
  </si>
  <si>
    <t xml:space="preserve">Termostatický radiátorový ventil s prednastavením IMI HEIMEIER V-Exact II DN15   </t>
  </si>
  <si>
    <t xml:space="preserve">Uzatváracie a regulačné skrutkovanie s vypúšťaním IMI HEIMEIER Regulux DN15   </t>
  </si>
  <si>
    <t>29e</t>
  </si>
  <si>
    <t>29f</t>
  </si>
  <si>
    <t>29g</t>
  </si>
  <si>
    <t>Pol602-vent</t>
  </si>
  <si>
    <t xml:space="preserve">Prispôsobenie prípojok ventilov   </t>
  </si>
  <si>
    <t>29h</t>
  </si>
  <si>
    <t xml:space="preserve">Priplatok za odvzdušňovací ventil telies   </t>
  </si>
  <si>
    <t>Pol607-R</t>
  </si>
  <si>
    <t xml:space="preserve">22R-550/900 - dvojitý   </t>
  </si>
  <si>
    <t>Pol607-R1</t>
  </si>
  <si>
    <t xml:space="preserve">22R-550/800 - dvojitý   </t>
  </si>
  <si>
    <t>Pol608-R</t>
  </si>
  <si>
    <t xml:space="preserve">22R-550/1000 - dvojitý   </t>
  </si>
  <si>
    <t>Pol609-R</t>
  </si>
  <si>
    <t xml:space="preserve">22R-550/1200 - dvojitý   </t>
  </si>
  <si>
    <t>Pol609-R2</t>
  </si>
  <si>
    <t xml:space="preserve">22K, 900/400 - dvojitý   </t>
  </si>
  <si>
    <t xml:space="preserve">Vykurovacie telesá oceľové panelové   </t>
  </si>
  <si>
    <t xml:space="preserve">Vypúšťanie vody z vykurovacích sústav   </t>
  </si>
  <si>
    <t xml:space="preserve">o velkosti plochy vykurovacích telies   </t>
  </si>
  <si>
    <t xml:space="preserve">dvojradých výšky 600mm dĺžky 700-900mm   </t>
  </si>
  <si>
    <t xml:space="preserve">Demontáž vykurovacích telies liatinových   </t>
  </si>
  <si>
    <t>733120819</t>
  </si>
  <si>
    <t xml:space="preserve">Demontáž potrubia z oceľových rúrok hladkých nad 38 do D 60,3,  -0,00473t   </t>
  </si>
  <si>
    <t>733120832</t>
  </si>
  <si>
    <t xml:space="preserve">Demontáž potrubia z oceľových rúrok hladkých nad 89 do D 133,  -0,01384t   </t>
  </si>
  <si>
    <t>30ca</t>
  </si>
  <si>
    <t>30cb</t>
  </si>
  <si>
    <t>30cc</t>
  </si>
  <si>
    <t>30cd</t>
  </si>
  <si>
    <t>30ce</t>
  </si>
  <si>
    <t>30cf</t>
  </si>
  <si>
    <t>30cg</t>
  </si>
  <si>
    <t>30ma</t>
  </si>
  <si>
    <t>30ra</t>
  </si>
  <si>
    <t>41aa</t>
  </si>
  <si>
    <t>41ab</t>
  </si>
  <si>
    <t>12b</t>
  </si>
  <si>
    <t>9, 12b</t>
  </si>
  <si>
    <t>551110007100</t>
  </si>
  <si>
    <t xml:space="preserve">Vypúšťací ventil   </t>
  </si>
  <si>
    <t>722131931G</t>
  </si>
  <si>
    <t xml:space="preserve">Prepojenie doterajšieho potrubia DN 15 cez GEBO spojku   </t>
  </si>
  <si>
    <t>722131932G</t>
  </si>
  <si>
    <t xml:space="preserve">Prepojenie doterajšieho potrubia DN 20 cez GEBO spojku   </t>
  </si>
  <si>
    <t>721172348</t>
  </si>
  <si>
    <t xml:space="preserve">Montáž prechodu HT potrubia na liatinu DN 100   </t>
  </si>
  <si>
    <t>286540018tes</t>
  </si>
  <si>
    <t xml:space="preserve">Prechod z liatinu na HT DN 100, s tesnením   </t>
  </si>
  <si>
    <t>65a</t>
  </si>
  <si>
    <t>65b</t>
  </si>
  <si>
    <t>65c</t>
  </si>
  <si>
    <t>65d</t>
  </si>
  <si>
    <t>65e</t>
  </si>
  <si>
    <t>713400821</t>
  </si>
  <si>
    <t xml:space="preserve">Odstránenie tepelnej izolácie potrubia pásmi alebo fóliami potrubie,  -0,00210t   </t>
  </si>
  <si>
    <t>722250040</t>
  </si>
  <si>
    <t xml:space="preserve">Montáž skrinky nástenného hydrantu bez vybavenia   </t>
  </si>
  <si>
    <t>449170000500</t>
  </si>
  <si>
    <t xml:space="preserve">Skriňa nástenného hydrantu D 25 bez vybavenia oceľová, šxvxhl 460x460x110 mm, PHHP   </t>
  </si>
  <si>
    <t>449170000600</t>
  </si>
  <si>
    <t xml:space="preserve">Skriňa nástenného hydrantu C 52 bez vybavenia oceľová, šxvxhl 500x570x210 mm, PHHP   </t>
  </si>
  <si>
    <t>722250dem</t>
  </si>
  <si>
    <t xml:space="preserve">Demontáž skrinky nástenného hydrantu   </t>
  </si>
  <si>
    <t>722250vyzb</t>
  </si>
  <si>
    <t xml:space="preserve">Demontáž a montáž výzbroje hydrantu   </t>
  </si>
  <si>
    <t>12c</t>
  </si>
  <si>
    <t>9, 12b,c</t>
  </si>
  <si>
    <t>12d</t>
  </si>
  <si>
    <t>=SUM(E232:E233)</t>
  </si>
  <si>
    <t xml:space="preserve">Rezanie existujúceho betónového krytu s dlažbou a bet. podkladu, hr. do 20 cm   </t>
  </si>
  <si>
    <t xml:space="preserve">Sekanie betón. krytu a bet. podkladu hr. nad 10 cm   </t>
  </si>
  <si>
    <t>76758DV200</t>
  </si>
  <si>
    <t xml:space="preserve">Montáž a dodávka plastových revíznych dvierok 200/200   </t>
  </si>
  <si>
    <t>286220026700</t>
  </si>
  <si>
    <t xml:space="preserve">Prechod liatina/PVC DN 75 hladký kanalizačný systém, PIPELIFE   </t>
  </si>
  <si>
    <t>286220026800</t>
  </si>
  <si>
    <t xml:space="preserve">Prechod liatina/PVC DN 110 hladký kanalizačný systém, PIPELIFE   </t>
  </si>
  <si>
    <t>319510002500</t>
  </si>
  <si>
    <t xml:space="preserve">Spojka zverná QA, DN 32, 5/4", D 40,0-42,9 mm , s vonkajším závitom pre oceľové rúry   </t>
  </si>
  <si>
    <t>319510002400</t>
  </si>
  <si>
    <t xml:space="preserve">Spojka zverná QA, DN 25, 1", D 31,4-34,2 mm , s vonkajším závitom pre oceľové rúry   </t>
  </si>
  <si>
    <t>319510002300</t>
  </si>
  <si>
    <t xml:space="preserve">Spojka zverná QA, DN 20, 3/4", D 24,6-27,3 mm , s vonkajším závitom pre oceľové rúry   </t>
  </si>
  <si>
    <t>319510002200</t>
  </si>
  <si>
    <t xml:space="preserve">Spojka zverná QA, DN 15, 1/2", D 19,7-21,8 mm , s vonkajším závitom pre oceľové rúry   </t>
  </si>
  <si>
    <t>26e</t>
  </si>
  <si>
    <t>26f</t>
  </si>
  <si>
    <t>26g</t>
  </si>
  <si>
    <t>26h</t>
  </si>
  <si>
    <t>26i</t>
  </si>
  <si>
    <t>26j</t>
  </si>
  <si>
    <t xml:space="preserve">D+M čistiaca tvarovka PVC DN 110   </t>
  </si>
  <si>
    <t>26k</t>
  </si>
  <si>
    <t>12e</t>
  </si>
  <si>
    <t>9, 12e</t>
  </si>
  <si>
    <t>12d,e</t>
  </si>
  <si>
    <t>974031164</t>
  </si>
  <si>
    <t xml:space="preserve">Vysekávanie rýh v akomkoľvek murive tehlovom na akúkoľvek maltu do hĺbky 150 mm a š. do 150 mm,  -0,04000t   </t>
  </si>
  <si>
    <t>974031185</t>
  </si>
  <si>
    <t xml:space="preserve">Vysekávanie rýh v akomkoľvek murive tehlovom na akúkoľvek maltu do hĺbky 300 mm a š. do 200 mm,  -0,07100t   </t>
  </si>
  <si>
    <t>66b</t>
  </si>
  <si>
    <t>9, 12d,e</t>
  </si>
  <si>
    <t>7,12e</t>
  </si>
  <si>
    <t>48-2121.24a</t>
  </si>
  <si>
    <t xml:space="preserve">pre oceľové potrubie DN80   </t>
  </si>
  <si>
    <t>85a</t>
  </si>
  <si>
    <t xml:space="preserve">Potrubie kanalizačné DN 125x3,2   </t>
  </si>
  <si>
    <t>26aa</t>
  </si>
  <si>
    <t>26l</t>
  </si>
  <si>
    <t>72119-4103a</t>
  </si>
  <si>
    <t>D+M čistiaca tvarovka PVC DN 125</t>
  </si>
  <si>
    <t>26m</t>
  </si>
  <si>
    <t>72119-4103b</t>
  </si>
  <si>
    <t>D+M čistiaca tvarovka PVC DN 75</t>
  </si>
  <si>
    <t>722130216</t>
  </si>
  <si>
    <t xml:space="preserve">Potrubie z oceľ.rúr pozink.bezšvík.bežných-11 353.0, 10 004.0 zvarov. bežných-11 343.00 DN 50   </t>
  </si>
  <si>
    <t>722130218</t>
  </si>
  <si>
    <t xml:space="preserve">Potrubie z oceľ.rúr pozink.bezšvík.bežných-11 353.0, 10 004.0 zvarov. bežných-11 343.00 DN 80   </t>
  </si>
  <si>
    <t>28a</t>
  </si>
  <si>
    <t>28b</t>
  </si>
  <si>
    <t xml:space="preserve">Kohút guľový DN 80 PN 16   </t>
  </si>
  <si>
    <t xml:space="preserve">Montáž vodov. armatúr s 2 závitmi G 3   </t>
  </si>
  <si>
    <t xml:space="preserve">Tlakové skúšky vodov. potrubia závitového do DN 100   </t>
  </si>
  <si>
    <t>1,13a</t>
  </si>
  <si>
    <t>8, 13b</t>
  </si>
  <si>
    <t>31716-1115</t>
  </si>
  <si>
    <t xml:space="preserve">Preklady keramické 120/65/2000 mm   </t>
  </si>
  <si>
    <t>331231146</t>
  </si>
  <si>
    <t xml:space="preserve">Murivo pilierov štvorhranných z tehál dľ.250 mm P 20-P 25 M I, pod omietku,na MC-10   </t>
  </si>
  <si>
    <t>3, 14</t>
  </si>
  <si>
    <t>4, 14</t>
  </si>
  <si>
    <t>61190brus</t>
  </si>
  <si>
    <t xml:space="preserve">Prebrúsenie pôvodnej podlahy - cementový poter   </t>
  </si>
  <si>
    <t>46aa</t>
  </si>
  <si>
    <t>953943111</t>
  </si>
  <si>
    <t xml:space="preserve">Osadenie ostatných výrobkov do muriva, so zaliatím cementovou maltou, hmotnosti do 1 kg/kus (bez dodávky)   </t>
  </si>
  <si>
    <t>553000050</t>
  </si>
  <si>
    <t xml:space="preserve">Oceľ.konštrukcie - závitová tyč M16-400mm (A statika)   </t>
  </si>
  <si>
    <t>49a</t>
  </si>
  <si>
    <t>49b</t>
  </si>
  <si>
    <t xml:space="preserve">Búranie muriva z tehál na MV, MVC alebo otvorov nad 4 m2   </t>
  </si>
  <si>
    <t>968072245</t>
  </si>
  <si>
    <t xml:space="preserve">Vybúranie kovových rámov okien jednoduchých plochy do 2 m2,  -0,04100t   </t>
  </si>
  <si>
    <t>968072247</t>
  </si>
  <si>
    <t xml:space="preserve">Vybúranie kovových rámov okien jednoduchých plochy nad 4 m2,  -0,03400t   </t>
  </si>
  <si>
    <t>968082357</t>
  </si>
  <si>
    <t xml:space="preserve">Vybúranie plastových rámov okien dvojitých, plochy cez 4 m2,  -0,04400t   </t>
  </si>
  <si>
    <t>52f</t>
  </si>
  <si>
    <t>52g</t>
  </si>
  <si>
    <t>52h</t>
  </si>
  <si>
    <t>974031664</t>
  </si>
  <si>
    <t xml:space="preserve">Vysekávanie rýh v tehl. murive pre vťahov. nosníkov 150 x 150 mm (A statika)   </t>
  </si>
  <si>
    <t>974031666</t>
  </si>
  <si>
    <t xml:space="preserve">Vysekávanie rýh v tehl. murive pre vťahov. nosníkov 150 x 250 mm (A statika)   </t>
  </si>
  <si>
    <t>974031668</t>
  </si>
  <si>
    <t xml:space="preserve">Vysekávanie rýh v tehl. murive pre vťahov. nosníkov 150 x 350 mm (C)   </t>
  </si>
  <si>
    <t>978013191</t>
  </si>
  <si>
    <t xml:space="preserve">Otlčenie omietok stien vnútorných vápenných alebo vápennocementových v rozsahu do 100 %,  -0,04600t   </t>
  </si>
  <si>
    <t>72225-9210</t>
  </si>
  <si>
    <t xml:space="preserve">Požiarne príslušenstvo, ručný hasiaci prístroj práškový 6kg+držiak*   </t>
  </si>
  <si>
    <t>92b</t>
  </si>
  <si>
    <t>725989rev</t>
  </si>
  <si>
    <t xml:space="preserve">Montáž revíznych dvierok 200/200 mm   </t>
  </si>
  <si>
    <t>590160001600</t>
  </si>
  <si>
    <t xml:space="preserve">Dvierka revízne s pevnými pántami F1, šxl 200x200 mm, G125 do sadrokartónových systémov RIGIPS   </t>
  </si>
  <si>
    <t>59016000obkl</t>
  </si>
  <si>
    <t xml:space="preserve">Dvierka revízne  200x200 mm, pod obklad   </t>
  </si>
  <si>
    <t xml:space="preserve">Presun hmôt pre zariaď. predmety v obj. výšky do 6m   </t>
  </si>
  <si>
    <t>101a</t>
  </si>
  <si>
    <t>101b</t>
  </si>
  <si>
    <t>101c</t>
  </si>
  <si>
    <t>101d</t>
  </si>
  <si>
    <t>767995104</t>
  </si>
  <si>
    <t xml:space="preserve">Montáž ostatných atypických kovových stavebných doplnkových konštrukcií  (A-stuženie strednej steny)   </t>
  </si>
  <si>
    <t>553000030</t>
  </si>
  <si>
    <t xml:space="preserve">Oceľové konštrukcie - predbežná cena vrátane náteru   </t>
  </si>
  <si>
    <t>149a</t>
  </si>
  <si>
    <t>149b</t>
  </si>
  <si>
    <t>16a</t>
  </si>
  <si>
    <t>9A.11.1</t>
  </si>
  <si>
    <t>109.01B:LK625:AN2:OB:D200:9016:9016</t>
  </si>
  <si>
    <t>Vzduchotechnické nástavce do lehkého kovového podhledu, Typ podhledu: (LK625) lehký kovový, Forclean, rastr 625, Výstupní element: (AN2) vířivý anemostat VDW (Trox), Přívod vzduchu: (OB)  odtahové boční s kruhovým hrdlem, Velikost vstupního hrdla: (D200) průměr kruhového hrdla 200, Povrch dílů nástavce: (9016) Komaxit v odstínu RAL 9016, Povrch výstupního elementu a pohledových ploch nástavce: (9016) Komaxit v odstínu RAL 9016</t>
  </si>
  <si>
    <t>9A.11.2</t>
  </si>
  <si>
    <t>109.01B:LK625:PP:OB:D160:9016:9016</t>
  </si>
  <si>
    <t xml:space="preserve">Vzduchotechnické nástavce do lehkého kovového podhledu, Typ podhledu: (LK625) lehký kovový, Forclean, rastr 625, Výstupní element: (PP) děrovaný plech s volnou plochou ~ 30%, Přívod vzduchu: (OB)  odtahové boční s kruhovým hrdlem, Velikost vstupního hrdla: (D160) průměr kruhového hrdla 160, Povrch dílů nástavce: (9016) Komaxit v odstínu RAL 9016, Povrch výstupního elementu a pohledových ploch nástavce: (9016) Komaxit v odstínu RAL 9016
</t>
  </si>
  <si>
    <t>7.8.16</t>
  </si>
  <si>
    <t>108.01E:305x305x117:H14:75:BK:D160:0:0:625:PP:9016:0</t>
  </si>
  <si>
    <t xml:space="preserve">Filtrační nástavce PUROFIL do lehkého kovového podhledu, Rozměr filtru: (305x305x117) rozměr filtru 305x305x117 mm, Třída filtrace: (H14) třída filtrace H14, Jmenovitý průtok: (75) jmenovitý průtok filtru 75 m3/h, Přívod vzduchu: (BK) boční s kruhovým hrdlem, Velikost vstupního hrdla: (D160) průměr kruhového hrdla 160, Klapka: (0) bez klapky, Přechod: (0) bez doplňku, Typový rozměr podhledu: (625) rozměr rastru stropu 625x625, Výstupní element: (PP) děrovaný plech s volnou plochou ~ 30%, Povrch výstupního elementu a pohledových ploch nástavce: (9016) Komaxit v odstínu RAL 9016, Atypické provedení: (0) Typové provedení
</t>
  </si>
  <si>
    <t>7A.11.1</t>
  </si>
  <si>
    <t xml:space="preserve">Vzduchotechnické nástavce do lehkého kovového podhledu, Typ podhledu: (LK625) lehký kovový, Forclean, rastr 625, Výstupní element: (AN2) vířivý anemostat VDW (Trox), Přívod vzduchu: (OB)  odtahové boční s kruhovým hrdlem, Velikost vstupního hrdla: (D200) průměr kruhového hrdla 200, Povrch dílů nástavce: (9016) Komaxit v odstínu RAL 9016, Povrch výstupního elementu a pohledových ploch nástavce: (9016) Komaxit v odstínu RAL 9016
</t>
  </si>
  <si>
    <t>7A.11.2</t>
  </si>
  <si>
    <t>7A.999</t>
  </si>
  <si>
    <t>Ukončovací plechové prvky pro čisté kanály vzt - plech pozink tl.0,8 mm s bočním vývodem D315 mm.</t>
  </si>
  <si>
    <t>F01</t>
  </si>
  <si>
    <t xml:space="preserve">DVERE KOVOVÉ AUTOMATICKY POSUVNÉ S ELEKTROPOHONOM, JEDNOKRÍDLOVÉ, ROZM.800x2010 mm. </t>
  </si>
  <si>
    <t>Dvere určené do čistých priestorov - kovové, sendvičové s plášťom z pozink. plechu, povrchovo upraveného práškovým polyeesterovým lakom v odtieni RAL, s vnútornou výplňou minerálnou vlnou. Presklené z 1/3-sklo bezpečnostné hr. 6mm, s vnútornou magneticky ovládanou žalúziou. Vrátane zárubne z pozink. plechu  s povrchovou úpravou práškovým polyeesterovým lakom v odtieni RAL. Kovanie: mušľa-mušľa. Ovládanie dverí bezdotykovým spínačom  (2ks). (vrátane zapojenia a sprevádzkovania pohonu - požiarna kabeláž podľa PBŘ)</t>
  </si>
  <si>
    <t>27b</t>
  </si>
  <si>
    <t>F04</t>
  </si>
  <si>
    <t>DVERE KOVOVÉ AUTOMATICKY POSUVNÉ S ELEKTROPOHONOM, JEDNOKRÍDLOVÉ, ROZM.1400x2010 mm.</t>
  </si>
  <si>
    <t>1.8.12</t>
  </si>
  <si>
    <t>108.01E:570x570x117:H14:730:BO:B120x417:0:PJ:625:AN2:9016:0</t>
  </si>
  <si>
    <t xml:space="preserve">Filtrační nástavce PUROFIL do lehkého kovového podhledu, Rozměr filtru: (570x570x117) rozměr filtru 570x570x117 mm, Třída filtrace: (H14) třída filtrace H14, Jmenovitý průtok: (730) jmenovitý průtok filtru 730 m3/h, Přívod vzduchu: (BO) boční s obdélníkovým hrdlem  (s přechodem / bez přechodu), Velikost vstupního hrdla: (B120x417) obdélníkové hrdlo 120x417 pro přechod d250, Klapka: (0) bez klapky, Přechod: (PJ) vzduchotechnický přechod jednostranný, Typový rozměr podhledu: (625) rozměr rastru stropu 625x625, Výstupní element: (AN2) vířivý anemostat VDW (Trox), Povrch výstupního elementu a pohledových ploch nástavce: (9016) Komaxit v odstínu RAL 9016, Atypické provedení: (0) Typové provedení
</t>
  </si>
  <si>
    <t>1.8.7</t>
  </si>
  <si>
    <t>108.01E:570x570x117:H14:630:BK:D315:0:0:625:AN2:9016:0</t>
  </si>
  <si>
    <t>1A.11.1</t>
  </si>
  <si>
    <t>109.01B:LK625:AN2:OB:D315:9016:9016</t>
  </si>
  <si>
    <t>1A.11.2</t>
  </si>
  <si>
    <t>1A.11.2b</t>
  </si>
  <si>
    <t>109.01B:LK625:PP:OB:D200:9016:9016</t>
  </si>
  <si>
    <t>1A.11.3</t>
  </si>
  <si>
    <t>3.8.5</t>
  </si>
  <si>
    <t>108.01E:570x570x117:H14:730:BK:D315:0:0:625:AN2:9016:0</t>
  </si>
  <si>
    <t>3A.11.1</t>
  </si>
  <si>
    <t>3A.11.2</t>
  </si>
  <si>
    <t>3A.11.2b</t>
  </si>
  <si>
    <t>3A.11.3</t>
  </si>
  <si>
    <t>Filtrační nástavce PUROFIL do lehkého kovového podhledu, Rozměr filtru: (570x570x117) rozměr filtru 570x570x117 mm, Třída filtrace: (H14) třída filtrace H14, Jmenovitý průtok: (630) jmenovitý průtok filtru 630 m3/h, Přívod vzduchu: (BK) boční s kruhovým hrdlem, Velikost vstupního hrdla: (D315) průměr kruhového hrdla 315, Klapka: (0) bez klapky, Přechod: (0) bez doplňku, Typový rozměr podhledu: (625) rozměr rastru stropu 625x625, Výstupní element: (AN2) vířivý anemostat VDW (Trox), Povrch výstupního elementu a pohledových ploch nástavce: (9016) Komaxit v odstínu RAL 9016, Atypické provedení: (0) Typové provedení</t>
  </si>
  <si>
    <t xml:space="preserve">Vzduchotechnické nástavce do lehkého kovového podhledu, Typ podhledu: (LK625) lehký kovový, Forclean, rastr 625, Výstupní element: (AN2) vířivý anemostat VDW (Trox), Přívod vzduchu: (OB)  odtahové boční s kruhovým hrdlem, Velikost vstupního hrdla: (D315) průměr kruhového hrdla 315, Povrch dílů nástavce: (9016) Komaxit v odstínu RAL 9016, Povrch výstupního elementu a pohledových ploch nástavce: (9016) Komaxit v odstínu RAL 9016
</t>
  </si>
  <si>
    <t xml:space="preserve">Vzduchotechnické nástavce do lehkého kovového podhledu, Typ podhledu: (LK625) lehký kovový, Forclean, rastr 625, Výstupní element: (PP) děrovaný plech s volnou plochou ~ 30%, Přívod vzduchu: (OB)  odtahové boční s kruhovým hrdlem, Velikost vstupního hrdla: (D200) průměr kruhového hrdla 200, Povrch dílů nástavce: (9016) Komaxit v odstínu RAL 9016, Povrch výstupního elementu a pohledových ploch nástavce: (9016) Komaxit v odstínu RAL 9016
</t>
  </si>
  <si>
    <t xml:space="preserve">Filtrační nástavce PUROFIL do lehkého kovového podhledu, Rozměr filtru: (570x570x117) rozměr filtru 570x570x117 mm, Třída filtrace: (H14) třída filtrace H14, Jmenovitý průtok: (730) jmenovitý průtok filtru 730 m3/h, Přívod vzduchu: (BK) boční s kruhovým hrdlem, Velikost vstupního hrdla: (D315) průměr kruhového hrdla 315, Klapka: (0) bez klapky, Přechod: (0) bez doplňku, Typový rozměr podhledu: (625) rozměr rastru stropu 625x625, Výstupní element: (AN2) vířivý anemostat VDW (Trox), Povrch výstupního elementu a pohledových ploch nástavce: (9016) Komaxit v odstínu RAL 9016, Atypické provedení: (0) Typové provedení
</t>
  </si>
  <si>
    <t>47h</t>
  </si>
  <si>
    <t>47i</t>
  </si>
  <si>
    <t>47j</t>
  </si>
  <si>
    <t xml:space="preserve">Dvere kovové otočné, jednokrídlové 700/2010, plné, vrátane zárubne do kovovej priečky. Kovanie kľučka-kľučka. Materiál dverného krídla aj zárubne - obojstranne plášť pozink. plech s povrchovou úpravou práškový polyesterový lak vo farbe RAL   </t>
  </si>
  <si>
    <t>16b</t>
  </si>
  <si>
    <t>revkaz</t>
  </si>
  <si>
    <t xml:space="preserve">D+M revízna kazeta LO 625x625, zatváranie na magnet, RAL 9010   </t>
  </si>
  <si>
    <t>16c</t>
  </si>
  <si>
    <t>1, 17a</t>
  </si>
  <si>
    <t>317162135</t>
  </si>
  <si>
    <t xml:space="preserve">Keramický preklad POROTHERM 23,8, šírky 70 mm, výšky 238 mm, dĺžky 2000 mm   </t>
  </si>
  <si>
    <t>31aa</t>
  </si>
  <si>
    <t>17b</t>
  </si>
  <si>
    <t>8, 13b, 17b</t>
  </si>
  <si>
    <t xml:space="preserve">Vybúr. otvorov do 1 m2 v murive tehl. na MC,MVC hr. do 60 cm   </t>
  </si>
  <si>
    <t>78d</t>
  </si>
  <si>
    <t xml:space="preserve">Rezanie tehového muriva do hr. 40cm*   </t>
  </si>
  <si>
    <t>78e</t>
  </si>
  <si>
    <t xml:space="preserve">SDK inštalačná predsadená stena pre sanitárne zariadenia, jednoduché opláštenie, RBI 12,5 mm (122)   </t>
  </si>
  <si>
    <t>763170031a</t>
  </si>
  <si>
    <t xml:space="preserve">Revízne dvierka s pevnými pántmi 250x250 mm   </t>
  </si>
  <si>
    <t>1, 17b</t>
  </si>
  <si>
    <t>76758DV300</t>
  </si>
  <si>
    <t xml:space="preserve">Montáž a dodávka plastových revíznych dvierok 300/300   </t>
  </si>
  <si>
    <t>76758DV600</t>
  </si>
  <si>
    <t xml:space="preserve">Montáž a dodávka plechových dvierok 600/600 do SDK priečky   </t>
  </si>
  <si>
    <t>143a</t>
  </si>
  <si>
    <t>143b</t>
  </si>
  <si>
    <t>143c</t>
  </si>
  <si>
    <t>9, 17b</t>
  </si>
  <si>
    <t>72541-0811R2</t>
  </si>
  <si>
    <t xml:space="preserve">M+D liniový sprchový žľab l = 2m   </t>
  </si>
  <si>
    <t>68m</t>
  </si>
  <si>
    <t xml:space="preserve">Montáž armatúr žľabovej, drezovej umývadlovej   </t>
  </si>
  <si>
    <t>55145000spr</t>
  </si>
  <si>
    <t xml:space="preserve">Bidetová sprška k stojankovej batérii   </t>
  </si>
  <si>
    <t>68n</t>
  </si>
  <si>
    <t>68o</t>
  </si>
  <si>
    <t>722250005</t>
  </si>
  <si>
    <t xml:space="preserve">Montáž hydrantového systému s tvarovo stálou hadicou D 25   </t>
  </si>
  <si>
    <t>súb.</t>
  </si>
  <si>
    <t>449150000800</t>
  </si>
  <si>
    <t xml:space="preserve">Hydrantový systém s tvarovo stálou hadicou D 25 PH-PLUS, hadica 30 m, plné dvierka, prúdnica ekv. 10,   </t>
  </si>
  <si>
    <t>722250nap</t>
  </si>
  <si>
    <t xml:space="preserve">Napojenie hydrantu   </t>
  </si>
  <si>
    <t>722262151</t>
  </si>
  <si>
    <t xml:space="preserve">Montáž vodomeru pre vodu do 30°C prírubového skrutkového vertikálneho DN 50   </t>
  </si>
  <si>
    <t>388240001sen</t>
  </si>
  <si>
    <t xml:space="preserve">Vodomer Sensus Qn 10, DN 40   </t>
  </si>
  <si>
    <t>57d</t>
  </si>
  <si>
    <t>57e</t>
  </si>
  <si>
    <t>57f</t>
  </si>
  <si>
    <t>7, 17b</t>
  </si>
  <si>
    <t>10b</t>
  </si>
  <si>
    <t>10c</t>
  </si>
  <si>
    <t>32c</t>
  </si>
  <si>
    <t>32d</t>
  </si>
  <si>
    <t>76763-1181a</t>
  </si>
  <si>
    <t>M+D okien plast 108x120+parapet vnút. a vonk.+žaluzie ("D"-C+b+kl2)*a</t>
  </si>
  <si>
    <t>137a</t>
  </si>
  <si>
    <t>76763-1182a</t>
  </si>
  <si>
    <t>M+D okien plast 137x145+parapet vnút. a vonk.+žaluzie ("D"-D+b+kl2)*a</t>
  </si>
  <si>
    <t>138a</t>
  </si>
  <si>
    <t>76764-1360el</t>
  </si>
  <si>
    <t>M+D plast dvier a nadsvetl. celozaskl. 168x197+350+zárubeň+samozatvárač + elektrozámok  ("D"-1+Ael)*</t>
  </si>
  <si>
    <t>139a</t>
  </si>
  <si>
    <t>76764-1362</t>
  </si>
  <si>
    <t>M+D AL dvier KZ EI30D3/C  145x197+zárubeň+samozatvárač ("D"-2)*</t>
  </si>
  <si>
    <t>140a</t>
  </si>
  <si>
    <t>76764-1362bb</t>
  </si>
  <si>
    <t>M+D AL dvier  165x203+zárubeň+samozatvárač + elektrozámok , akt.krídlo 120</t>
  </si>
  <si>
    <t>140b</t>
  </si>
  <si>
    <t>76764-1362o</t>
  </si>
  <si>
    <t>M+D AL dvier  145x197+zárubeň+samozatvárač ("D"-2)*</t>
  </si>
  <si>
    <t>140c</t>
  </si>
  <si>
    <t>76764-6550o</t>
  </si>
  <si>
    <t>M+D Al dvier 145x197+zárubeň+samozatvárač ("D"-2a)*</t>
  </si>
  <si>
    <t>141a</t>
  </si>
  <si>
    <t>76764-6551akt</t>
  </si>
  <si>
    <t>M+D Al zaskl stena KZ EI30D3/C  235x250 s elektr. ovl. dverami 190x202,5 ("C"-7)*</t>
  </si>
  <si>
    <t>76764-6555akt</t>
  </si>
  <si>
    <t>M+D Al dvier 2/3 zaskl. EI45 D1/C 145x210+zárubeň+samozatvárač ("A"-19)*</t>
  </si>
  <si>
    <t>146a</t>
  </si>
  <si>
    <t>76764-6556</t>
  </si>
  <si>
    <t>M+D Al dvier zaskl. el. teleskopických  271x295 + zárubeň (20)*</t>
  </si>
  <si>
    <t>146b</t>
  </si>
  <si>
    <t>76764-6556a</t>
  </si>
  <si>
    <t>M+D Al dvier zaskl. el.otváravých KZ EI30D3/C  241/250 + zárubeň (21)*</t>
  </si>
  <si>
    <t>146c</t>
  </si>
  <si>
    <t>76764-6550b</t>
  </si>
  <si>
    <t xml:space="preserve">M+D Al dvier 180x215+zárubeň </t>
  </si>
  <si>
    <t>146d</t>
  </si>
  <si>
    <t>767_29aut</t>
  </si>
  <si>
    <t>Dodávka a montáž hliníkovej zasklenej steny 3350x2400 s autom.dverami ( pol. 29 v zmysle PD )</t>
  </si>
  <si>
    <t>1, 17b,20</t>
  </si>
  <si>
    <t>767311O1</t>
  </si>
  <si>
    <t>M+D okien plast 148x188 - viď špecifikácia O1</t>
  </si>
  <si>
    <t>109a</t>
  </si>
  <si>
    <t>76764-6551PO</t>
  </si>
  <si>
    <t>M+D Al zaskl stena 258x297,5 s elektr. ovl. dverami 145x202,5  KZ  EI30D3/C  (1)*</t>
  </si>
  <si>
    <t>112a</t>
  </si>
  <si>
    <t>76764-6551S</t>
  </si>
  <si>
    <t>M+D Al zaskl stena 258x297,5 s elektr. ovl. dverami 145x202,5  EW S/C  (1)*</t>
  </si>
  <si>
    <t>112b</t>
  </si>
  <si>
    <t>76764-6552PO</t>
  </si>
  <si>
    <t>M+D Al (plast)  dvere s elektr. ovl. 140x197   EI30D3/C  +zárubeň (5z)*</t>
  </si>
  <si>
    <t>113a</t>
  </si>
  <si>
    <t>210881kab</t>
  </si>
  <si>
    <t>Príchytky pre kábel</t>
  </si>
  <si>
    <t>210881kabD</t>
  </si>
  <si>
    <t>000000BX0214</t>
  </si>
  <si>
    <t>Vstupno výstupný modul BX-O214</t>
  </si>
  <si>
    <t>000000BX0214.</t>
  </si>
  <si>
    <t>000000 REL4</t>
  </si>
  <si>
    <t>Výstupný modul BX-REL4</t>
  </si>
  <si>
    <t>000000 REL4.</t>
  </si>
  <si>
    <t>0000000krab</t>
  </si>
  <si>
    <t xml:space="preserve">Krabica pre modul </t>
  </si>
  <si>
    <t>0000000krab.</t>
  </si>
  <si>
    <t>10d</t>
  </si>
  <si>
    <t>10e</t>
  </si>
  <si>
    <t>10f</t>
  </si>
  <si>
    <t>10g</t>
  </si>
  <si>
    <t>10h</t>
  </si>
  <si>
    <t>00000kartaM</t>
  </si>
  <si>
    <t>Montáž karty</t>
  </si>
  <si>
    <t>00000kartaD</t>
  </si>
  <si>
    <t>Prídavná linková karta do ústredne EPS</t>
  </si>
  <si>
    <t>00000smerM</t>
  </si>
  <si>
    <t>Montáž smerovača</t>
  </si>
  <si>
    <t>00000smerD</t>
  </si>
  <si>
    <t>Smerovač - rozšírenie ústredne o 6 liniek</t>
  </si>
  <si>
    <t>00000zosilM</t>
  </si>
  <si>
    <t>Montáž zosilovača</t>
  </si>
  <si>
    <t>00000zosilD</t>
  </si>
  <si>
    <t>Linkový zosilovač 420 W</t>
  </si>
  <si>
    <t>0000A24SB604a</t>
  </si>
  <si>
    <t>JE-H(St)H  1x2x0,8   Kábel pre elektroniku, párované</t>
  </si>
  <si>
    <t>12f</t>
  </si>
  <si>
    <t>12g</t>
  </si>
  <si>
    <t>12h</t>
  </si>
  <si>
    <t>16a, 16c</t>
  </si>
  <si>
    <t>625251335</t>
  </si>
  <si>
    <t>Kontaktný zatepľovací systém hr. 80 mm  - minerálne  riešenie vrátane líšt</t>
  </si>
  <si>
    <t>97807-21rez</t>
  </si>
  <si>
    <t>Demontáž kontaktného zateplenia - rezanie KZS</t>
  </si>
  <si>
    <t>7a</t>
  </si>
  <si>
    <t>7b</t>
  </si>
  <si>
    <t xml:space="preserve">Betón stropov doskových a trámových,  železový tr.C 30/37   </t>
  </si>
  <si>
    <t xml:space="preserve">Debnenie stropov doskových zhotovenie-dielce   </t>
  </si>
  <si>
    <t>17c</t>
  </si>
  <si>
    <t xml:space="preserve">Debnenie stropov doskových odstránenie-dielce   </t>
  </si>
  <si>
    <t>17d</t>
  </si>
  <si>
    <t xml:space="preserve">Podporná konštrukcia stropov výšky do 4 m pre zaťaženie do 12 kPa zhotovenie   </t>
  </si>
  <si>
    <t>17e</t>
  </si>
  <si>
    <t xml:space="preserve">Podporná konštrukcia stropov výšky do 4 m pre zaťaženie do 12 kPa odstránenie   </t>
  </si>
  <si>
    <t>17f</t>
  </si>
  <si>
    <t xml:space="preserve">Výstuž stropov doskových, trámových, vložkových,konzolových alebo balkónových, 10505   </t>
  </si>
  <si>
    <t xml:space="preserve">Kontaktný zatepľovací systém hr. 150 mm - minerálne riešenie, zatĺkacie kotvy   </t>
  </si>
  <si>
    <t xml:space="preserve">Cementový poter, hr. 55 mm   </t>
  </si>
  <si>
    <t>53a</t>
  </si>
  <si>
    <t>965081812</t>
  </si>
  <si>
    <t xml:space="preserve">Búranie dlažieb, z kamen., cement., terazzových, čadičových alebo keram. dĺžky , hr.nad 10 mm,  -0,06500t   </t>
  </si>
  <si>
    <t>978065061</t>
  </si>
  <si>
    <t xml:space="preserve">Odstránenie kontaktného zateplenia vrátane povrchovej úpravy z dosiek z minerálnej vlny hrúbky nad 80 -120 mm -0,03898 t   </t>
  </si>
  <si>
    <t xml:space="preserve">Otlčenie omietok stropov vnútorných rákosovaných vápenných alebo vápennocementových v rozsahu do 100 %,  -0,05000t   </t>
  </si>
  <si>
    <t xml:space="preserve">Vybúr. otvorov do 0,09 m2 murivo tehl. MV, MVC hr. do 15 cm (VZT)   </t>
  </si>
  <si>
    <t xml:space="preserve">Vybúr. otvorov do 0,25 m2 v murive tehl. na MC,MVC hr. do 45 cm (VZT)   </t>
  </si>
  <si>
    <t xml:space="preserve">Vybúr. otvorov do 0,25 m2 v murive tehl. na MC,MVC hr. nad 90 cm (D-VZT)   </t>
  </si>
  <si>
    <t>12d,e, 15a</t>
  </si>
  <si>
    <t>95a</t>
  </si>
  <si>
    <t xml:space="preserve">Demont.podbíjania obkladov stropov a striech sklonu do 60st., z dosiek hr.do 35 mm bez omietky,  -0.01400t   </t>
  </si>
  <si>
    <t>766694142</t>
  </si>
  <si>
    <t xml:space="preserve">Montáž parapetnej dosky plastovej šírky do 300 mm, dĺžky 1000-1600 mm   </t>
  </si>
  <si>
    <t>611560000100</t>
  </si>
  <si>
    <t xml:space="preserve">Parapetná doska plastová, šírka 150 mm, komôrková vnútorná, zlatý dub, mramor, mahagon, svetlý buk, orech, WINK TRADE   </t>
  </si>
  <si>
    <t>611560000400</t>
  </si>
  <si>
    <t xml:space="preserve">Parapetná doska plastová, šírka 300 mm, komôrková vnútorná, zlatý dub, mramor, mahagon, svetlý buk, orech, WINK TRADE   </t>
  </si>
  <si>
    <t>611560000800</t>
  </si>
  <si>
    <t xml:space="preserve">Plastové krytky k vnútorným parapetom plastovým, pár, vo farbe biela, mramor, zlatý dub, buk, mahagón, orech, WINK TRADE   </t>
  </si>
  <si>
    <t>127a</t>
  </si>
  <si>
    <t xml:space="preserve">M+D prechodovej lišty   </t>
  </si>
  <si>
    <t>12d, 15a</t>
  </si>
  <si>
    <t>316170051300</t>
  </si>
  <si>
    <t xml:space="preserve">Prechodový závitový spoj s vonkajším závitom d 22 mm - 3/4", Mapress uhlíková oceľ, tesniaci krúžok CIIR, GEBERIT   </t>
  </si>
  <si>
    <t>15a,b</t>
  </si>
  <si>
    <t>311231294</t>
  </si>
  <si>
    <t xml:space="preserve">Murivo nosné z tehál pálených dierovaných CDm dĺžky 240mm P 10-20 MVC 2, 5   </t>
  </si>
  <si>
    <t xml:space="preserve">Preklady nenosné porobet 2500x100x250 mm (B)   </t>
  </si>
  <si>
    <t xml:space="preserve">Preklady keramické 120/65/1000 mm (A)   </t>
  </si>
  <si>
    <t>4c</t>
  </si>
  <si>
    <t xml:space="preserve">Preklady keramické 120/65/1250 mm   </t>
  </si>
  <si>
    <t>12d,e, 15b</t>
  </si>
  <si>
    <t>612421421</t>
  </si>
  <si>
    <t xml:space="preserve">Oprava vnútorných vápenných omietok stien, v množstve opravenej plochy nad 30 do 50 % hladkých   </t>
  </si>
  <si>
    <t>9539491611</t>
  </si>
  <si>
    <t xml:space="preserve">Kotvy chem HILTI HIT HY200+HIT-V M16/200 alt. HILTI HIT HY170+HIT-V M16/300do betónu,muriva s vyvŕtaním otvoru*   </t>
  </si>
  <si>
    <t>967042713</t>
  </si>
  <si>
    <t xml:space="preserve">Odsekanie muriva z kameňa alebo betónu plošné hr. do 150 mm,  -0,37500t   </t>
  </si>
  <si>
    <t>60aa</t>
  </si>
  <si>
    <t>971033531</t>
  </si>
  <si>
    <t xml:space="preserve">Vybúranie otvorov v murive tehl. plochy do 1 m2 hr.do 150 mm,  -0,28100t   </t>
  </si>
  <si>
    <t>64b</t>
  </si>
  <si>
    <t xml:space="preserve">Rezanie tehového muriva do hr. 15cm*   </t>
  </si>
  <si>
    <t>974049223</t>
  </si>
  <si>
    <t xml:space="preserve">Vysekanie rýh v bet. stenách v priestore priľ. k str. konštr. hĺbky 30mm a šírky do 100mm,  -0,00700t   </t>
  </si>
  <si>
    <t>87a</t>
  </si>
  <si>
    <t>15b,c</t>
  </si>
  <si>
    <t>15a,b,c</t>
  </si>
  <si>
    <t>15a,c</t>
  </si>
  <si>
    <t>12e, 15c</t>
  </si>
  <si>
    <t>12d,e, 15a,b,c</t>
  </si>
  <si>
    <t>100a</t>
  </si>
  <si>
    <t>76611-1100a</t>
  </si>
  <si>
    <t xml:space="preserve">M+D sanit. steny-sprchovej zásteny v 2,0m  95,5x200cm-celk. dl 0,955m   </t>
  </si>
  <si>
    <t>100b</t>
  </si>
  <si>
    <t>76611-1100b</t>
  </si>
  <si>
    <t xml:space="preserve">M+D sanit. steny-sprchovej zásteny 1x hyg. box v 2,0m+dvere 70x200cm-celk. dl cca =1,7m   </t>
  </si>
  <si>
    <t>100c</t>
  </si>
  <si>
    <t>64294pripl</t>
  </si>
  <si>
    <t xml:space="preserve">Príplatok za dodatočnú montáž oceľovej dverovej zárubne, plochy otvoru do 2,5 m2   </t>
  </si>
  <si>
    <t xml:space="preserve">Rúrka elektroinšt. ohybná HFXP, uložená voľne alebo pod omietkou typ 2425   </t>
  </si>
  <si>
    <t xml:space="preserve">Rúrka HFXP 25 čierna   </t>
  </si>
  <si>
    <t>2, 15c</t>
  </si>
  <si>
    <t>125a</t>
  </si>
  <si>
    <t>921001bod</t>
  </si>
  <si>
    <t xml:space="preserve">D+M svietidlo bodové ARGUS CT-2115 00307 max. 50W GU5.3 12V IP20 biela - SIN000000608 plus objimka a žiarovka   </t>
  </si>
  <si>
    <t>9, 12d,e, 15c</t>
  </si>
  <si>
    <t>9, 12d, 15c</t>
  </si>
  <si>
    <t>9, 12d,e, 15a,c</t>
  </si>
  <si>
    <t>9,12e, 15c</t>
  </si>
  <si>
    <t>48a</t>
  </si>
  <si>
    <t xml:space="preserve">Zách. misa kombi na komplet   </t>
  </si>
  <si>
    <t>48b</t>
  </si>
  <si>
    <t xml:space="preserve">Príplatok za použitie silikónového tmelu 0,30 kg/kus   </t>
  </si>
  <si>
    <t>9, 15c</t>
  </si>
  <si>
    <t>12d,e, 15c</t>
  </si>
  <si>
    <t>7,12e, 15c</t>
  </si>
  <si>
    <t>7, 15c</t>
  </si>
  <si>
    <t>15d</t>
  </si>
  <si>
    <t>4301pcSCH</t>
  </si>
  <si>
    <t xml:space="preserve">Dodávka a montáž konštrukcie oceľového dvojramenného schodiska vrátane kotvenia a protipožiarneho náteru s odolnosťou min. 30 min.   </t>
  </si>
  <si>
    <t>59a</t>
  </si>
  <si>
    <t>9aa</t>
  </si>
  <si>
    <t xml:space="preserve">Preklady keramické 120/65/1750 mm   </t>
  </si>
  <si>
    <t>Keramický preklad POROTHERM 23,8, šírky 70 mm, výšky 238 mm, dĺžky 2000 mm</t>
  </si>
  <si>
    <t>3, 14, 22</t>
  </si>
  <si>
    <t>4, 22</t>
  </si>
  <si>
    <t>14, 22</t>
  </si>
  <si>
    <t>4, 14, 22</t>
  </si>
  <si>
    <t>3, 4, 22</t>
  </si>
  <si>
    <t>3, 4, 5, 14, 22</t>
  </si>
  <si>
    <t>3, 4, 14, 22</t>
  </si>
  <si>
    <t>130a</t>
  </si>
  <si>
    <t>4, 14,20, 22</t>
  </si>
  <si>
    <t>176b</t>
  </si>
  <si>
    <t>783201812</t>
  </si>
  <si>
    <t xml:space="preserve">Odstránenie starých náterov z kovových stavebných doplnkových konštrukcií oceľovou kefou   </t>
  </si>
  <si>
    <t>177b</t>
  </si>
  <si>
    <t xml:space="preserve">Nátery kov.stav.doplnk.konštr. syntetické na vzduchu schnúce dvojnás. 1x s emailov. - 105µm   </t>
  </si>
  <si>
    <t>179a</t>
  </si>
  <si>
    <t xml:space="preserve">Dodávka a montáž oceľovej pozinkovanej konštrukcie pre zdroje chladu   </t>
  </si>
  <si>
    <t>179b</t>
  </si>
  <si>
    <t>4301pc2PRIP</t>
  </si>
  <si>
    <t xml:space="preserve">Príplatok za sťažené podmienky pri montáži a zložitosť konštrukcie   </t>
  </si>
  <si>
    <t>179c</t>
  </si>
  <si>
    <t xml:space="preserve">Oceľové kotvy   </t>
  </si>
  <si>
    <t>179d</t>
  </si>
  <si>
    <t>4301pcžľab</t>
  </si>
  <si>
    <t xml:space="preserve">Dodávka a montáž oceľového žľabu   </t>
  </si>
  <si>
    <t xml:space="preserve">43-M - Montáž oceľových konštrukcií   </t>
  </si>
  <si>
    <t>12a, 22</t>
  </si>
  <si>
    <t>7, 10, 12a, 22</t>
  </si>
  <si>
    <t>7, 12a, 22</t>
  </si>
  <si>
    <t>7, 22</t>
  </si>
  <si>
    <t>48-2122aa</t>
  </si>
  <si>
    <t xml:space="preserve">pre oceľové potrubie DN40   </t>
  </si>
  <si>
    <t>36b</t>
  </si>
  <si>
    <t>48-2122a</t>
  </si>
  <si>
    <t xml:space="preserve">pre oceľové potrubie DN50   </t>
  </si>
  <si>
    <t>36c</t>
  </si>
  <si>
    <t xml:space="preserve">pre oceľové potrubie DN65   </t>
  </si>
  <si>
    <t>36d</t>
  </si>
  <si>
    <t>10, 12a, 22</t>
  </si>
  <si>
    <t>10, 22</t>
  </si>
  <si>
    <t>735154153</t>
  </si>
  <si>
    <t xml:space="preserve">Montáž vykurovacieho telesa panelového dvojradového výšky 900 mm/ dĺžky 1400-1800 mm   </t>
  </si>
  <si>
    <t>30oa</t>
  </si>
  <si>
    <t>Pol610-R</t>
  </si>
  <si>
    <t xml:space="preserve">22R-550/1400 - dvojitý   </t>
  </si>
  <si>
    <t>30ch</t>
  </si>
  <si>
    <t>484530068800</t>
  </si>
  <si>
    <t xml:space="preserve">Teleso vykurovacie doskové dvojpanelové oceľové KORAD 22K, vxl 900x1500 mm s bočným pripojením a dvoma konvektormi, U.S.STEEL KOSICE   </t>
  </si>
  <si>
    <t>30ci</t>
  </si>
  <si>
    <t>9, 12b, 22</t>
  </si>
  <si>
    <t xml:space="preserve">Sekanie betón. krytu a bet. podkladu hr. do 10 cm   </t>
  </si>
  <si>
    <t xml:space="preserve">Rezanie stávajúceho betón. hr. do 10 cm   </t>
  </si>
  <si>
    <t>32b</t>
  </si>
  <si>
    <t>783401811</t>
  </si>
  <si>
    <t xml:space="preserve">Odstránenie starých náterov z kovových potrubí a armatúr potrubie do DN 50 mm   </t>
  </si>
  <si>
    <t>21011prep</t>
  </si>
  <si>
    <t xml:space="preserve">GM22P - prepážkový systém   </t>
  </si>
  <si>
    <t>21011prepD</t>
  </si>
  <si>
    <t xml:space="preserve">Demontáže  a spätné montáže VZT potrubí   </t>
  </si>
  <si>
    <t xml:space="preserve">Nové VZT kusy - tvarovky   </t>
  </si>
  <si>
    <t xml:space="preserve">Tepelná izolácia z minerálnej vlny hr.40mm   </t>
  </si>
  <si>
    <t>6c</t>
  </si>
  <si>
    <t xml:space="preserve">Montážny a spojovací materiál   </t>
  </si>
  <si>
    <t xml:space="preserve">D1 - Demontáže  a spätné montáže VZT potrubí   </t>
  </si>
  <si>
    <t xml:space="preserve">Oprava samonivelizačnej podl. stierky hr.3mm   </t>
  </si>
  <si>
    <t>63247-6opr</t>
  </si>
  <si>
    <t>42a</t>
  </si>
  <si>
    <t xml:space="preserve">Dodávka a montáž oceľovej konštrukcie pre zdravotnícke technológie   </t>
  </si>
  <si>
    <t>430anest</t>
  </si>
  <si>
    <t xml:space="preserve">Montáž platní  pre anesteziologické rameno   </t>
  </si>
  <si>
    <t>430oper</t>
  </si>
  <si>
    <t xml:space="preserve">Montáž platní  pre operačné svietidlo   </t>
  </si>
  <si>
    <t>430hilti</t>
  </si>
  <si>
    <t xml:space="preserve">Kotvy HILTI pre vysoké zaťaženie   </t>
  </si>
  <si>
    <t>116a</t>
  </si>
  <si>
    <t>116b</t>
  </si>
  <si>
    <t>116c</t>
  </si>
  <si>
    <t>116d</t>
  </si>
  <si>
    <t>116e</t>
  </si>
  <si>
    <t>72319-D-kol</t>
  </si>
  <si>
    <t xml:space="preserve">Demontáž potrubia v operačných sálach v mieste kolízie   </t>
  </si>
  <si>
    <t>72319-M-kol</t>
  </si>
  <si>
    <t xml:space="preserve">Opätovná montáž potrubia v operačných sálach po montáži oceľovej konštrukcie   </t>
  </si>
  <si>
    <t>722presun</t>
  </si>
  <si>
    <t xml:space="preserve">Presun rozvodovo ZTI (demontáž+nová montáž)   </t>
  </si>
  <si>
    <t>2, 15c, 22</t>
  </si>
  <si>
    <t>15c, 28</t>
  </si>
  <si>
    <t>2108mont</t>
  </si>
  <si>
    <t xml:space="preserve">Spätná montáž rozvodov ELI + žľaby   </t>
  </si>
  <si>
    <t>2108mont2</t>
  </si>
  <si>
    <t xml:space="preserve">Spätná montáž rozvodov EPS + úchytky   </t>
  </si>
  <si>
    <t>12i</t>
  </si>
  <si>
    <t>2, 28</t>
  </si>
  <si>
    <t>2, 29</t>
  </si>
  <si>
    <t>3480715400L1</t>
  </si>
  <si>
    <t>Svietidlo LED downlight SLIM ALU DN205 22W (za 2x18W) 1920lm 4000K 230V IP20 - SIN000011828</t>
  </si>
  <si>
    <t>3480715750L1</t>
  </si>
  <si>
    <t>Panel LED zapustený 600x600 36W (za 4x18W) 4300lm 4000K IP20 OP biela - SIN000012184</t>
  </si>
  <si>
    <t>3480716020L1</t>
  </si>
  <si>
    <t xml:space="preserve">Panel LED VALUE 600x600 40W/840 (za 4x18W) 3600lm 230V IP20 EM AT 3H -  SIN000017223 </t>
  </si>
  <si>
    <t>94a</t>
  </si>
  <si>
    <t>3480723700L1</t>
  </si>
  <si>
    <t>Svietidlo LED núdzové prisadené SafeLite SL20 3h 100lm 230V IP42 trva./netrv. Biela -  SNU000000886</t>
  </si>
  <si>
    <t>97a</t>
  </si>
  <si>
    <t>3486301460L1</t>
  </si>
  <si>
    <t>Svietidlo LED prisadené BL 12W 850lm 4000K 230V IP54 biela -  SIN000009387</t>
  </si>
  <si>
    <t>0000000000L1</t>
  </si>
  <si>
    <t>Svietidlo bodové ARGUS CT-2115 00307 max. 50W GU5.3 12V IP20 biela - SIN000000608 plus objimka a ziarovka</t>
  </si>
  <si>
    <t>00000000000L1</t>
  </si>
  <si>
    <t xml:space="preserve">Svietidlo nástenné so senzorom WHST69-BI max. 60W E27 230V IP44 -  SIN000007478 plus ziarovka LED </t>
  </si>
  <si>
    <t>103a</t>
  </si>
  <si>
    <t>0000000000L2</t>
  </si>
  <si>
    <t>110a</t>
  </si>
  <si>
    <t>3480723730L2</t>
  </si>
  <si>
    <t>3480716020L2</t>
  </si>
  <si>
    <t>115a</t>
  </si>
  <si>
    <t>3480716020.1L2</t>
  </si>
  <si>
    <t>119a</t>
  </si>
  <si>
    <t>3480011980L2</t>
  </si>
  <si>
    <t>Svietidlo LED prachotesné DAMP PROOF 55W (za 2x58W) 6400lm 4000K 230V IP65 -  SPR000002638</t>
  </si>
  <si>
    <t>3480716020L3</t>
  </si>
  <si>
    <t>3480716020.1L3</t>
  </si>
  <si>
    <t>3480723730L3</t>
  </si>
  <si>
    <t>0000000000L3</t>
  </si>
  <si>
    <t>3480714180L3</t>
  </si>
  <si>
    <t>Svietidlo LED prisadené SF Circular 350 18W (za 2x18W) 1440lm 4000K 230V IP44 -  SIN000012099</t>
  </si>
  <si>
    <t>3480011980L3.</t>
  </si>
  <si>
    <t>Svietidlo LED prachotesné DAMP PROOF 39W (za 2x36W) 4400lm 4000K 230V IP65 -  SPR000002646</t>
  </si>
  <si>
    <t>3486801010L3</t>
  </si>
  <si>
    <t>Svietidlo LED núdzové prisadené SafeLite SL20 3h 100lm 230V IP65 trva./netrv. Biela -  SNU000000937</t>
  </si>
  <si>
    <t>120a</t>
  </si>
  <si>
    <t>123a</t>
  </si>
  <si>
    <t>3, 4, 5,14,20,22</t>
  </si>
  <si>
    <t>POTRUBIE VETVY UK-VZT PRE NAPOJ. VZT JEDNOTIEK V STROJ. NA 5.poschodí</t>
  </si>
  <si>
    <t xml:space="preserve">Požiarne príslušenstvo, ručný hasiaci prístroj snehový 5kg+držiak*   </t>
  </si>
  <si>
    <t>108ab</t>
  </si>
  <si>
    <t>108ac</t>
  </si>
  <si>
    <t>M+D Al zaskl stena 257x282 s dverami 190x197 ("A"-15)*</t>
  </si>
  <si>
    <t>M+D Al zaskl stena 165x288 s posuv dverami 75x197 ("A"-18a+18b)*</t>
  </si>
  <si>
    <t>M+D Al zaskl stena 390x288 s plast kazetami ("A"-18c)*</t>
  </si>
  <si>
    <t>Dodávka a montáž hliníkových dverí 1740x2055mm  ( pol. 07 v zmysle PD )</t>
  </si>
  <si>
    <t>Dodávka a montáž hliníkových dverí 1895x2420mm s požiarnou odolnosťou EW30/D3-C so samozatváračom  ( pol. 07* v zmysle PD )</t>
  </si>
  <si>
    <t>Dodávka a montáž hliníkových dverí so svetlíkom 2763x2410mm  ( pol. 08 v zmysle PD )</t>
  </si>
  <si>
    <t>Dodávka a montáž hliníkovej zasklenej steny 10883x2005mm ( pol. 30 v zmysle PD )</t>
  </si>
  <si>
    <t>Dodávka a montáž hliníkovej zasklenej steny 10883x2260mm ( pol. 31 v zmysle PD )</t>
  </si>
  <si>
    <t>9,12b,c,22</t>
  </si>
  <si>
    <t>7, 10, 12a,22</t>
  </si>
  <si>
    <t>2,22,25b,29</t>
  </si>
  <si>
    <t>1, 8,13a,b,17a,b,20,22</t>
  </si>
  <si>
    <t>9,17b</t>
  </si>
  <si>
    <t>7, 10,17b</t>
  </si>
  <si>
    <t>12d,e,15a,b,c,20,28</t>
  </si>
  <si>
    <t>15d, 25a,b</t>
  </si>
  <si>
    <t>9,12d,e,15a,c,25b,28</t>
  </si>
  <si>
    <t>7,12e,15c</t>
  </si>
  <si>
    <t>2,15c,b,22,28,29</t>
  </si>
  <si>
    <t>Z1</t>
  </si>
  <si>
    <t>Z2</t>
  </si>
  <si>
    <t>Z1+Z2</t>
  </si>
  <si>
    <t>9, 12d</t>
  </si>
  <si>
    <t>15a,b, 25b</t>
  </si>
  <si>
    <t>12e, 15a,b,c, 25b</t>
  </si>
  <si>
    <t>Cena bez DPH  ZoD+ZL</t>
  </si>
  <si>
    <t xml:space="preserve">    764 - 764 - Konštrukcie klampiarske</t>
  </si>
  <si>
    <t xml:space="preserve">    721 - 721 - Zdravotechnika -  vnútorná kanalizácia</t>
  </si>
  <si>
    <t>D31 - Chladenie miestností náhr.zdrojov pod A.01 a A.14</t>
  </si>
  <si>
    <t xml:space="preserve">    D4 - Potrubie z rúrok hladkých oceľových bezšvových</t>
  </si>
  <si>
    <t xml:space="preserve">    D6 - Príplatok k cene na zvýšenú pracnosť pri montáži potrubia</t>
  </si>
  <si>
    <t xml:space="preserve">    D7 - Chránička pre vedenie potrubia cez steny</t>
  </si>
  <si>
    <t xml:space="preserve">    Vykurovacie telesá oceľové panelové   </t>
  </si>
  <si>
    <t xml:space="preserve">    Vypúšťanie vody z vykurovacích sústav   </t>
  </si>
  <si>
    <t xml:space="preserve">    8 - 8 - Rúrové vedenie</t>
  </si>
  <si>
    <t xml:space="preserve">    43-M - Montáž oceľových konštrukcií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</si>
</sst>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
    <numFmt numFmtId="165" formatCode="dd\.mm\.yyyy"/>
    <numFmt numFmtId="166" formatCode="#,##0.00000"/>
    <numFmt numFmtId="167" formatCode="#,##0.000"/>
    <numFmt numFmtId="168" formatCode="#,##0.000;\-#,##0.000"/>
  </numFmts>
  <fonts count="99" x14ac:knownFonts="1">
    <font>
      <sz val="8"/>
      <name val="Arial CE"/>
      <family val="2"/>
    </font>
    <font>
      <sz val="10"/>
      <color rgb="FF969696"/>
      <name val="Arial CE"/>
      <family val="2"/>
      <charset val="238"/>
    </font>
    <font>
      <sz val="10"/>
      <name val="Arial CE"/>
      <family val="2"/>
      <charset val="238"/>
    </font>
    <font>
      <b/>
      <sz val="11"/>
      <name val="Arial CE"/>
      <family val="2"/>
      <charset val="238"/>
    </font>
    <font>
      <b/>
      <sz val="12"/>
      <name val="Arial CE"/>
      <family val="2"/>
      <charset val="238"/>
    </font>
    <font>
      <sz val="11"/>
      <name val="Arial CE"/>
      <family val="2"/>
      <charset val="238"/>
    </font>
    <font>
      <sz val="12"/>
      <color rgb="FF003366"/>
      <name val="Arial CE"/>
      <family val="2"/>
      <charset val="238"/>
    </font>
    <font>
      <sz val="10"/>
      <color rgb="FF003366"/>
      <name val="Arial CE"/>
      <family val="2"/>
      <charset val="238"/>
    </font>
    <font>
      <sz val="8"/>
      <color rgb="FF003366"/>
      <name val="Arial CE"/>
      <family val="2"/>
      <charset val="238"/>
    </font>
    <font>
      <sz val="8"/>
      <color rgb="FFFFFFFF"/>
      <name val="Arial CE"/>
      <family val="2"/>
      <charset val="238"/>
    </font>
    <font>
      <sz val="8"/>
      <color rgb="FF3366FF"/>
      <name val="Arial CE"/>
      <family val="2"/>
      <charset val="238"/>
    </font>
    <font>
      <b/>
      <sz val="14"/>
      <name val="Arial CE"/>
      <family val="2"/>
      <charset val="238"/>
    </font>
    <font>
      <b/>
      <sz val="10"/>
      <name val="Arial CE"/>
      <family val="2"/>
      <charset val="238"/>
    </font>
    <font>
      <b/>
      <sz val="10"/>
      <color rgb="FF969696"/>
      <name val="Arial CE"/>
      <family val="2"/>
      <charset val="238"/>
    </font>
    <font>
      <b/>
      <sz val="10"/>
      <color rgb="FF464646"/>
      <name val="Arial CE"/>
      <family val="2"/>
      <charset val="238"/>
    </font>
    <font>
      <sz val="12"/>
      <color rgb="FF969696"/>
      <name val="Arial CE"/>
      <family val="2"/>
      <charset val="238"/>
    </font>
    <font>
      <sz val="8"/>
      <color rgb="FF969696"/>
      <name val="Arial CE"/>
      <family val="2"/>
      <charset val="238"/>
    </font>
    <font>
      <sz val="9"/>
      <name val="Arial CE"/>
      <family val="2"/>
      <charset val="238"/>
    </font>
    <font>
      <sz val="9"/>
      <color rgb="FF969696"/>
      <name val="Arial CE"/>
      <family val="2"/>
      <charset val="238"/>
    </font>
    <font>
      <b/>
      <sz val="12"/>
      <color rgb="FF960000"/>
      <name val="Arial CE"/>
      <family val="2"/>
      <charset val="238"/>
    </font>
    <font>
      <sz val="12"/>
      <name val="Arial CE"/>
      <family val="2"/>
      <charset val="238"/>
    </font>
    <font>
      <sz val="18"/>
      <color theme="10"/>
      <name val="Wingdings 2"/>
      <family val="1"/>
      <charset val="2"/>
    </font>
    <font>
      <b/>
      <sz val="11"/>
      <color rgb="FF003366"/>
      <name val="Arial CE"/>
      <family val="2"/>
      <charset val="238"/>
    </font>
    <font>
      <sz val="11"/>
      <color rgb="FF003366"/>
      <name val="Arial CE"/>
      <family val="2"/>
      <charset val="238"/>
    </font>
    <font>
      <sz val="11"/>
      <color rgb="FF969696"/>
      <name val="Arial CE"/>
      <family val="2"/>
      <charset val="238"/>
    </font>
    <font>
      <sz val="10"/>
      <color rgb="FF3366FF"/>
      <name val="Arial CE"/>
      <family val="2"/>
      <charset val="238"/>
    </font>
    <font>
      <b/>
      <sz val="12"/>
      <color rgb="FF800000"/>
      <name val="Arial CE"/>
      <family val="2"/>
      <charset val="238"/>
    </font>
    <font>
      <sz val="8"/>
      <color rgb="FF960000"/>
      <name val="Arial CE"/>
      <family val="2"/>
      <charset val="238"/>
    </font>
    <font>
      <b/>
      <sz val="8"/>
      <name val="Arial CE"/>
      <family val="2"/>
      <charset val="238"/>
    </font>
    <font>
      <i/>
      <sz val="9"/>
      <color rgb="FF0000FF"/>
      <name val="Arial CE"/>
      <family val="2"/>
      <charset val="238"/>
    </font>
    <font>
      <i/>
      <sz val="8"/>
      <color rgb="FF0000FF"/>
      <name val="Arial CE"/>
      <family val="2"/>
      <charset val="238"/>
    </font>
    <font>
      <sz val="7"/>
      <color rgb="FF969696"/>
      <name val="Arial CE"/>
      <family val="2"/>
      <charset val="238"/>
    </font>
    <font>
      <i/>
      <sz val="7"/>
      <color rgb="FF969696"/>
      <name val="Arial CE"/>
      <family val="2"/>
      <charset val="238"/>
    </font>
    <font>
      <u/>
      <sz val="11"/>
      <color theme="10"/>
      <name val="Calibri"/>
      <family val="2"/>
      <charset val="238"/>
      <scheme val="minor"/>
    </font>
    <font>
      <sz val="9"/>
      <name val="Arial CE"/>
      <family val="2"/>
      <charset val="238"/>
    </font>
    <font>
      <b/>
      <sz val="9"/>
      <name val="Arial CE"/>
      <family val="2"/>
      <charset val="238"/>
    </font>
    <font>
      <sz val="12"/>
      <color rgb="FF003366"/>
      <name val="Arial CE"/>
      <family val="2"/>
      <charset val="238"/>
    </font>
    <font>
      <sz val="8"/>
      <color rgb="FF003366"/>
      <name val="Arial CE"/>
      <family val="2"/>
      <charset val="238"/>
    </font>
    <font>
      <sz val="10"/>
      <color rgb="FF003366"/>
      <name val="Arial CE"/>
      <family val="2"/>
      <charset val="238"/>
    </font>
    <font>
      <sz val="8"/>
      <color rgb="FFFF0000"/>
      <name val="Arial CE"/>
      <family val="2"/>
      <charset val="238"/>
    </font>
    <font>
      <sz val="12"/>
      <color rgb="FFFF0000"/>
      <name val="Arial CE"/>
      <family val="2"/>
      <charset val="238"/>
    </font>
    <font>
      <sz val="7"/>
      <color rgb="FF969696"/>
      <name val="Arial CE"/>
      <family val="2"/>
      <charset val="238"/>
    </font>
    <font>
      <i/>
      <sz val="7"/>
      <color rgb="FF969696"/>
      <name val="Arial CE"/>
      <family val="2"/>
      <charset val="238"/>
    </font>
    <font>
      <b/>
      <sz val="9"/>
      <color rgb="FF969696"/>
      <name val="Arial CE"/>
      <family val="2"/>
      <charset val="238"/>
    </font>
    <font>
      <b/>
      <sz val="9"/>
      <color rgb="FF003366"/>
      <name val="Arial CE"/>
      <family val="2"/>
      <charset val="238"/>
    </font>
    <font>
      <sz val="10"/>
      <color rgb="FF969696"/>
      <name val="Arial CE"/>
      <family val="2"/>
      <charset val="238"/>
    </font>
    <font>
      <sz val="8"/>
      <color rgb="FF003366"/>
      <name val="Arial CE"/>
      <family val="2"/>
      <charset val="238"/>
    </font>
    <font>
      <sz val="10"/>
      <color rgb="FF003366"/>
      <name val="Arial CE"/>
      <family val="2"/>
      <charset val="238"/>
    </font>
    <font>
      <sz val="9"/>
      <name val="Arial CE"/>
      <family val="2"/>
      <charset val="238"/>
    </font>
    <font>
      <sz val="7"/>
      <color rgb="FF969696"/>
      <name val="Arial CE"/>
      <family val="2"/>
      <charset val="238"/>
    </font>
    <font>
      <i/>
      <sz val="7"/>
      <color rgb="FF969696"/>
      <name val="Arial CE"/>
      <family val="2"/>
      <charset val="238"/>
    </font>
    <font>
      <sz val="12"/>
      <color rgb="FF003366"/>
      <name val="Arial CE"/>
      <family val="2"/>
      <charset val="238"/>
    </font>
    <font>
      <sz val="9"/>
      <name val="Arial CE"/>
      <family val="2"/>
      <charset val="238"/>
    </font>
    <font>
      <i/>
      <sz val="9"/>
      <color rgb="FF0000FF"/>
      <name val="Arial CE"/>
      <family val="2"/>
      <charset val="238"/>
    </font>
    <font>
      <sz val="8"/>
      <color rgb="FF003366"/>
      <name val="Arial CE"/>
      <family val="2"/>
      <charset val="238"/>
    </font>
    <font>
      <sz val="10"/>
      <color rgb="FF003366"/>
      <name val="Arial CE"/>
      <family val="2"/>
      <charset val="238"/>
    </font>
    <font>
      <b/>
      <i/>
      <sz val="9"/>
      <color rgb="FF0000FF"/>
      <name val="Arial CE"/>
      <family val="2"/>
      <charset val="238"/>
    </font>
    <font>
      <sz val="9"/>
      <name val="Arial CE"/>
      <family val="2"/>
    </font>
    <font>
      <sz val="10"/>
      <name val="Arial CE"/>
      <family val="2"/>
    </font>
    <font>
      <sz val="10"/>
      <color rgb="FF003366"/>
      <name val="Arial CE"/>
      <family val="2"/>
    </font>
    <font>
      <sz val="12"/>
      <color rgb="FF003366"/>
      <name val="Arial CE"/>
      <family val="2"/>
      <charset val="238"/>
    </font>
    <font>
      <i/>
      <sz val="7"/>
      <name val="Arial CE"/>
      <family val="2"/>
      <charset val="238"/>
    </font>
    <font>
      <sz val="11"/>
      <color rgb="FF006100"/>
      <name val="Calibri"/>
      <family val="2"/>
      <charset val="238"/>
      <scheme val="minor"/>
    </font>
    <font>
      <sz val="11"/>
      <color rgb="FF9C5700"/>
      <name val="Calibri"/>
      <family val="2"/>
      <charset val="238"/>
      <scheme val="minor"/>
    </font>
    <font>
      <sz val="10"/>
      <color rgb="FF9C5700"/>
      <name val="Calibri"/>
      <family val="2"/>
      <charset val="238"/>
      <scheme val="minor"/>
    </font>
    <font>
      <sz val="8"/>
      <color rgb="FF00B050"/>
      <name val="Arial CE"/>
      <family val="2"/>
    </font>
    <font>
      <sz val="8"/>
      <color rgb="FFFF0000"/>
      <name val="Arial CE"/>
      <family val="2"/>
    </font>
    <font>
      <i/>
      <sz val="8"/>
      <name val="Arial CE"/>
      <family val="2"/>
      <charset val="238"/>
    </font>
    <font>
      <sz val="8"/>
      <color rgb="FF0070C0"/>
      <name val="Arial CE"/>
      <family val="2"/>
    </font>
    <font>
      <b/>
      <sz val="10"/>
      <name val="Arial CE"/>
      <family val="2"/>
    </font>
    <font>
      <b/>
      <sz val="10"/>
      <name val="Arial CE"/>
      <family val="2"/>
      <charset val="238"/>
    </font>
    <font>
      <b/>
      <sz val="11"/>
      <name val="Arial CE"/>
      <family val="2"/>
      <charset val="238"/>
    </font>
    <font>
      <sz val="10"/>
      <name val="Arial CE"/>
      <family val="2"/>
      <charset val="238"/>
    </font>
    <font>
      <b/>
      <sz val="8"/>
      <name val="Arial CE"/>
      <family val="2"/>
      <charset val="238"/>
    </font>
    <font>
      <sz val="8"/>
      <name val="Arial CE"/>
      <family val="2"/>
      <charset val="238"/>
    </font>
    <font>
      <sz val="11"/>
      <name val="Arial CE"/>
      <family val="2"/>
    </font>
    <font>
      <b/>
      <sz val="12"/>
      <color rgb="FFFF0000"/>
      <name val="Arial CE"/>
      <family val="2"/>
      <charset val="238"/>
    </font>
    <font>
      <sz val="14"/>
      <color rgb="FFFF0000"/>
      <name val="Arial CE"/>
      <family val="2"/>
    </font>
    <font>
      <b/>
      <sz val="14"/>
      <color rgb="FF00B050"/>
      <name val="Arial CE"/>
      <family val="2"/>
      <charset val="238"/>
    </font>
    <font>
      <b/>
      <sz val="14"/>
      <color rgb="FFFF0000"/>
      <name val="Arial CE"/>
      <family val="2"/>
      <charset val="238"/>
    </font>
    <font>
      <i/>
      <sz val="9"/>
      <color theme="4" tint="-0.249977111117893"/>
      <name val="Arial CE"/>
      <family val="2"/>
      <charset val="238"/>
    </font>
    <font>
      <i/>
      <sz val="9"/>
      <color rgb="FF0070C0"/>
      <name val="Arial CE"/>
      <family val="2"/>
      <charset val="238"/>
    </font>
    <font>
      <i/>
      <sz val="7"/>
      <color rgb="FF969696"/>
      <name val="Trebuchet MS"/>
      <family val="2"/>
      <charset val="238"/>
    </font>
    <font>
      <sz val="9"/>
      <name val="Arial CE"/>
      <family val="2"/>
      <charset val="238"/>
    </font>
    <font>
      <i/>
      <sz val="9"/>
      <color theme="4" tint="-0.499984740745262"/>
      <name val="Arial CE"/>
      <family val="2"/>
      <charset val="238"/>
    </font>
    <font>
      <b/>
      <sz val="10"/>
      <color indexed="18"/>
      <name val="Arial CE"/>
      <charset val="238"/>
    </font>
    <font>
      <i/>
      <sz val="9"/>
      <color rgb="FF0000FF"/>
      <name val="Arial CE"/>
    </font>
    <font>
      <sz val="9"/>
      <color theme="4" tint="-0.249977111117893"/>
      <name val="Arial CE"/>
      <family val="2"/>
      <charset val="238"/>
    </font>
    <font>
      <sz val="8"/>
      <color theme="0"/>
      <name val="Arial CE"/>
      <family val="2"/>
      <charset val="238"/>
    </font>
    <font>
      <b/>
      <sz val="10"/>
      <color theme="0"/>
      <name val="Arial CE"/>
      <family val="2"/>
      <charset val="238"/>
    </font>
    <font>
      <sz val="8"/>
      <color theme="0"/>
      <name val="Arial CE"/>
      <family val="2"/>
    </font>
    <font>
      <sz val="12"/>
      <color theme="0"/>
      <name val="Arial CE"/>
      <family val="2"/>
    </font>
    <font>
      <sz val="10"/>
      <color theme="0"/>
      <name val="Arial CE"/>
      <family val="2"/>
    </font>
    <font>
      <b/>
      <sz val="11"/>
      <color theme="0"/>
      <name val="Arial CE"/>
      <family val="2"/>
    </font>
    <font>
      <b/>
      <sz val="10"/>
      <color theme="0"/>
      <name val="Arial CE"/>
      <family val="2"/>
    </font>
    <font>
      <b/>
      <sz val="14"/>
      <name val="Arial CE"/>
      <family val="2"/>
    </font>
    <font>
      <b/>
      <sz val="12"/>
      <name val="Arial CE"/>
      <family val="2"/>
    </font>
    <font>
      <sz val="12"/>
      <name val="Arial CE"/>
      <family val="2"/>
    </font>
    <font>
      <b/>
      <sz val="11"/>
      <name val="Arial CE"/>
      <family val="2"/>
    </font>
  </fonts>
  <fills count="16">
    <fill>
      <patternFill patternType="none"/>
    </fill>
    <fill>
      <patternFill patternType="gray125"/>
    </fill>
    <fill>
      <patternFill patternType="solid">
        <fgColor rgb="FFC0C0C0"/>
      </patternFill>
    </fill>
    <fill>
      <patternFill patternType="solid">
        <fgColor rgb="FFBEBEBE"/>
      </patternFill>
    </fill>
    <fill>
      <patternFill patternType="solid">
        <fgColor rgb="FFD2D2D2"/>
      </patternFill>
    </fill>
    <fill>
      <patternFill patternType="solid">
        <fgColor rgb="FFFFFF0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FF0000"/>
        <bgColor indexed="64"/>
      </patternFill>
    </fill>
    <fill>
      <patternFill patternType="solid">
        <fgColor rgb="FF92D050"/>
        <bgColor indexed="64"/>
      </patternFill>
    </fill>
    <fill>
      <patternFill patternType="solid">
        <fgColor rgb="FF66FF33"/>
        <bgColor indexed="64"/>
      </patternFill>
    </fill>
    <fill>
      <patternFill patternType="solid">
        <fgColor rgb="FFC6EFCE"/>
      </patternFill>
    </fill>
    <fill>
      <patternFill patternType="solid">
        <fgColor rgb="FFFFEB9C"/>
      </patternFill>
    </fill>
    <fill>
      <patternFill patternType="solid">
        <fgColor theme="6" tint="0.79998168889431442"/>
        <bgColor indexed="64"/>
      </patternFill>
    </fill>
    <fill>
      <patternFill patternType="solid">
        <fgColor rgb="FFFFFF66"/>
        <bgColor indexed="64"/>
      </patternFill>
    </fill>
    <fill>
      <patternFill patternType="solid">
        <fgColor theme="0"/>
        <bgColor indexed="64"/>
      </patternFill>
    </fill>
  </fills>
  <borders count="47">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style="hair">
        <color rgb="FF969696"/>
      </top>
      <bottom/>
      <diagonal/>
    </border>
    <border>
      <left/>
      <right style="thin">
        <color indexed="64"/>
      </right>
      <top style="hair">
        <color rgb="FF000000"/>
      </top>
      <bottom style="hair">
        <color rgb="FF000000"/>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style="hair">
        <color rgb="FF969696"/>
      </bottom>
      <diagonal/>
    </border>
    <border>
      <left/>
      <right style="thin">
        <color indexed="64"/>
      </right>
      <top style="hair">
        <color rgb="FF969696"/>
      </top>
      <bottom style="hair">
        <color rgb="FF969696"/>
      </bottom>
      <diagonal/>
    </border>
    <border>
      <left style="hair">
        <color rgb="FF969696"/>
      </left>
      <right style="thin">
        <color indexed="64"/>
      </right>
      <top style="hair">
        <color rgb="FF969696"/>
      </top>
      <bottom style="hair">
        <color rgb="FF969696"/>
      </bottom>
      <diagonal/>
    </border>
    <border>
      <left style="thin">
        <color indexed="64"/>
      </left>
      <right/>
      <top/>
      <bottom style="thin">
        <color rgb="FF000000"/>
      </bottom>
      <diagonal/>
    </border>
    <border>
      <left/>
      <right style="thin">
        <color indexed="64"/>
      </right>
      <top/>
      <bottom style="thin">
        <color rgb="FF000000"/>
      </bottom>
      <diagonal/>
    </border>
    <border>
      <left style="hair">
        <color rgb="FF969696"/>
      </left>
      <right style="hair">
        <color rgb="FF969696"/>
      </right>
      <top style="hair">
        <color rgb="FF969696"/>
      </top>
      <bottom style="thin">
        <color indexed="64"/>
      </bottom>
      <diagonal/>
    </border>
    <border>
      <left style="hair">
        <color rgb="FF969696"/>
      </left>
      <right style="thin">
        <color indexed="64"/>
      </right>
      <top style="hair">
        <color rgb="FF969696"/>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0000"/>
      </left>
      <right/>
      <top style="thin">
        <color indexed="64"/>
      </top>
      <bottom/>
      <diagonal/>
    </border>
    <border>
      <left style="thin">
        <color rgb="FF000000"/>
      </left>
      <right/>
      <top/>
      <bottom style="thin">
        <color indexed="64"/>
      </bottom>
      <diagonal/>
    </border>
    <border>
      <left style="hair">
        <color rgb="FF969696"/>
      </left>
      <right style="hair">
        <color rgb="FF969696"/>
      </right>
      <top/>
      <bottom style="hair">
        <color rgb="FF969696"/>
      </bottom>
      <diagonal/>
    </border>
    <border>
      <left/>
      <right style="thin">
        <color indexed="64"/>
      </right>
      <top style="thin">
        <color rgb="FF000000"/>
      </top>
      <bottom/>
      <diagonal/>
    </border>
  </borders>
  <cellStyleXfs count="4">
    <xf numFmtId="0" fontId="0" fillId="0" borderId="0"/>
    <xf numFmtId="0" fontId="33" fillId="0" borderId="0" applyNumberFormat="0" applyFill="0" applyBorder="0" applyAlignment="0" applyProtection="0"/>
    <xf numFmtId="0" fontId="62" fillId="11" borderId="0" applyNumberFormat="0" applyBorder="0" applyAlignment="0" applyProtection="0"/>
    <xf numFmtId="0" fontId="63" fillId="12" borderId="0" applyNumberFormat="0" applyBorder="0" applyAlignment="0" applyProtection="0"/>
  </cellStyleXfs>
  <cellXfs count="1268">
    <xf numFmtId="0" fontId="0" fillId="0" borderId="0" xfId="0"/>
    <xf numFmtId="0" fontId="0" fillId="0" borderId="0" xfId="0" applyFont="1"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Font="1"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Font="1" applyAlignment="1">
      <alignment horizontal="center" vertical="center" wrapText="1"/>
    </xf>
    <xf numFmtId="0" fontId="8" fillId="0" borderId="0" xfId="0" applyFont="1" applyAlignment="1"/>
    <xf numFmtId="0" fontId="9" fillId="0" borderId="0" xfId="0" applyFont="1" applyAlignment="1">
      <alignment horizontal="left" vertical="center"/>
    </xf>
    <xf numFmtId="0" fontId="0" fillId="0" borderId="0" xfId="0" applyFont="1" applyAlignment="1">
      <alignment horizontal="left" vertical="center"/>
    </xf>
    <xf numFmtId="0" fontId="0" fillId="0" borderId="1" xfId="0" applyBorder="1"/>
    <xf numFmtId="0" fontId="0" fillId="0" borderId="2" xfId="0" applyBorder="1"/>
    <xf numFmtId="0" fontId="0" fillId="0" borderId="3" xfId="0" applyBorder="1"/>
    <xf numFmtId="0" fontId="11" fillId="0" borderId="0" xfId="0" applyFont="1" applyAlignment="1">
      <alignment horizontal="left" vertical="center"/>
    </xf>
    <xf numFmtId="0" fontId="10" fillId="0" borderId="0" xfId="0" applyFont="1" applyAlignment="1">
      <alignment horizontal="left" vertical="center"/>
    </xf>
    <xf numFmtId="0" fontId="2" fillId="0" borderId="0" xfId="0" applyFont="1" applyAlignment="1">
      <alignment horizontal="left" vertical="center"/>
    </xf>
    <xf numFmtId="0" fontId="3" fillId="0" borderId="0" xfId="0" applyFont="1" applyAlignment="1">
      <alignment horizontal="left" vertical="top"/>
    </xf>
    <xf numFmtId="0" fontId="1" fillId="0" borderId="0" xfId="0" applyFont="1" applyAlignment="1">
      <alignment horizontal="left" vertical="center"/>
    </xf>
    <xf numFmtId="0" fontId="2" fillId="0" borderId="0" xfId="0" applyFont="1" applyAlignment="1">
      <alignment horizontal="left" vertical="center" wrapText="1"/>
    </xf>
    <xf numFmtId="0" fontId="0" fillId="0" borderId="4" xfId="0" applyBorder="1"/>
    <xf numFmtId="0" fontId="0" fillId="0" borderId="3" xfId="0" applyFont="1" applyBorder="1" applyAlignment="1">
      <alignment vertical="center"/>
    </xf>
    <xf numFmtId="0" fontId="12" fillId="0" borderId="5" xfId="0" applyFont="1" applyBorder="1" applyAlignment="1">
      <alignment horizontal="left" vertical="center"/>
    </xf>
    <xf numFmtId="0" fontId="0" fillId="0" borderId="5" xfId="0" applyFont="1" applyBorder="1" applyAlignment="1">
      <alignment vertical="center"/>
    </xf>
    <xf numFmtId="0" fontId="1" fillId="0" borderId="3" xfId="0" applyFont="1" applyBorder="1" applyAlignment="1">
      <alignment vertical="center"/>
    </xf>
    <xf numFmtId="0" fontId="0" fillId="3" borderId="0" xfId="0" applyFont="1" applyFill="1" applyAlignment="1">
      <alignment vertical="center"/>
    </xf>
    <xf numFmtId="0" fontId="4" fillId="3" borderId="6" xfId="0" applyFont="1" applyFill="1" applyBorder="1" applyAlignment="1">
      <alignment horizontal="left" vertical="center"/>
    </xf>
    <xf numFmtId="0" fontId="0" fillId="3" borderId="7" xfId="0" applyFont="1" applyFill="1" applyBorder="1" applyAlignment="1">
      <alignment vertical="center"/>
    </xf>
    <xf numFmtId="0" fontId="4" fillId="3" borderId="7" xfId="0" applyFont="1" applyFill="1" applyBorder="1" applyAlignment="1">
      <alignment horizontal="center" vertical="center"/>
    </xf>
    <xf numFmtId="0" fontId="0" fillId="0" borderId="4" xfId="0" applyFont="1" applyBorder="1" applyAlignment="1">
      <alignment vertical="center"/>
    </xf>
    <xf numFmtId="0" fontId="0" fillId="0" borderId="9" xfId="0" applyFont="1" applyBorder="1" applyAlignment="1">
      <alignment vertical="center"/>
    </xf>
    <xf numFmtId="0" fontId="0" fillId="0" borderId="10" xfId="0" applyFont="1" applyBorder="1" applyAlignment="1">
      <alignment vertical="center"/>
    </xf>
    <xf numFmtId="0" fontId="0" fillId="0" borderId="1" xfId="0" applyFont="1" applyBorder="1" applyAlignment="1">
      <alignment vertical="center"/>
    </xf>
    <xf numFmtId="0" fontId="0" fillId="0" borderId="2" xfId="0" applyFont="1" applyBorder="1" applyAlignment="1">
      <alignment vertical="center"/>
    </xf>
    <xf numFmtId="0" fontId="2" fillId="0" borderId="3" xfId="0" applyFont="1" applyBorder="1" applyAlignment="1">
      <alignment vertical="center"/>
    </xf>
    <xf numFmtId="0" fontId="3" fillId="0" borderId="3" xfId="0" applyFont="1" applyBorder="1" applyAlignment="1">
      <alignment vertical="center"/>
    </xf>
    <xf numFmtId="165" fontId="2" fillId="0" borderId="0" xfId="0" applyNumberFormat="1" applyFont="1" applyAlignment="1">
      <alignment horizontal="left" vertical="center"/>
    </xf>
    <xf numFmtId="0" fontId="0" fillId="0" borderId="12" xfId="0" applyFont="1" applyBorder="1" applyAlignment="1">
      <alignment vertical="center"/>
    </xf>
    <xf numFmtId="0" fontId="0" fillId="0" borderId="13" xfId="0" applyFont="1" applyBorder="1" applyAlignment="1">
      <alignment vertical="center"/>
    </xf>
    <xf numFmtId="0" fontId="0" fillId="0" borderId="0" xfId="0" applyFont="1" applyBorder="1" applyAlignment="1">
      <alignment vertical="center"/>
    </xf>
    <xf numFmtId="0" fontId="0" fillId="0" borderId="15" xfId="0" applyFont="1" applyBorder="1" applyAlignment="1">
      <alignment vertical="center"/>
    </xf>
    <xf numFmtId="0" fontId="0" fillId="4" borderId="7" xfId="0" applyFont="1" applyFill="1" applyBorder="1" applyAlignment="1">
      <alignment vertical="center"/>
    </xf>
    <xf numFmtId="0" fontId="17" fillId="4" borderId="0" xfId="0" applyFont="1" applyFill="1" applyAlignment="1">
      <alignment horizontal="center" vertical="center"/>
    </xf>
    <xf numFmtId="0" fontId="18" fillId="0" borderId="16" xfId="0" applyFont="1" applyBorder="1" applyAlignment="1">
      <alignment horizontal="center" vertical="center" wrapText="1"/>
    </xf>
    <xf numFmtId="0" fontId="18" fillId="0" borderId="17" xfId="0" applyFont="1" applyBorder="1" applyAlignment="1">
      <alignment horizontal="center" vertical="center" wrapText="1"/>
    </xf>
    <xf numFmtId="0" fontId="18" fillId="0" borderId="18" xfId="0" applyFont="1" applyBorder="1" applyAlignment="1">
      <alignment horizontal="center" vertical="center" wrapText="1"/>
    </xf>
    <xf numFmtId="0" fontId="0" fillId="0" borderId="11" xfId="0" applyFont="1" applyBorder="1" applyAlignment="1">
      <alignment vertical="center"/>
    </xf>
    <xf numFmtId="0" fontId="4" fillId="0" borderId="3" xfId="0" applyFont="1" applyBorder="1" applyAlignment="1">
      <alignment vertical="center"/>
    </xf>
    <xf numFmtId="0" fontId="19" fillId="0" borderId="0" xfId="0" applyFont="1" applyAlignment="1">
      <alignment horizontal="left" vertical="center"/>
    </xf>
    <xf numFmtId="0" fontId="19" fillId="0" borderId="0" xfId="0" applyFont="1" applyAlignment="1">
      <alignment vertical="center"/>
    </xf>
    <xf numFmtId="4" fontId="19" fillId="0" borderId="0" xfId="0" applyNumberFormat="1" applyFont="1" applyAlignment="1">
      <alignment vertical="center"/>
    </xf>
    <xf numFmtId="0" fontId="4" fillId="0" borderId="0" xfId="0" applyFont="1" applyAlignment="1">
      <alignment horizontal="center" vertical="center"/>
    </xf>
    <xf numFmtId="4" fontId="15" fillId="0" borderId="14" xfId="0" applyNumberFormat="1" applyFont="1" applyBorder="1" applyAlignment="1">
      <alignment vertical="center"/>
    </xf>
    <xf numFmtId="4" fontId="15" fillId="0" borderId="0" xfId="0" applyNumberFormat="1" applyFont="1" applyBorder="1" applyAlignment="1">
      <alignment vertical="center"/>
    </xf>
    <xf numFmtId="166" fontId="15" fillId="0" borderId="0" xfId="0" applyNumberFormat="1" applyFont="1" applyBorder="1" applyAlignment="1">
      <alignment vertical="center"/>
    </xf>
    <xf numFmtId="4" fontId="15" fillId="0" borderId="15" xfId="0" applyNumberFormat="1" applyFont="1" applyBorder="1" applyAlignment="1">
      <alignment vertical="center"/>
    </xf>
    <xf numFmtId="0" fontId="4" fillId="0" borderId="0" xfId="0" applyFont="1" applyAlignment="1">
      <alignment horizontal="left" vertical="center"/>
    </xf>
    <xf numFmtId="0" fontId="20" fillId="0" borderId="0" xfId="0" applyFont="1" applyAlignment="1">
      <alignment horizontal="left" vertical="center"/>
    </xf>
    <xf numFmtId="0" fontId="21" fillId="0" borderId="0" xfId="1" applyFont="1" applyAlignment="1">
      <alignment horizontal="center" vertical="center"/>
    </xf>
    <xf numFmtId="0" fontId="5" fillId="0" borderId="3" xfId="0" applyFont="1" applyBorder="1" applyAlignment="1">
      <alignment vertical="center"/>
    </xf>
    <xf numFmtId="0" fontId="3" fillId="0" borderId="0" xfId="0" applyFont="1" applyAlignment="1">
      <alignment horizontal="center" vertical="center"/>
    </xf>
    <xf numFmtId="4" fontId="24" fillId="0" borderId="14" xfId="0" applyNumberFormat="1" applyFont="1" applyBorder="1" applyAlignment="1">
      <alignment vertical="center"/>
    </xf>
    <xf numFmtId="4" fontId="24" fillId="0" borderId="0" xfId="0" applyNumberFormat="1" applyFont="1" applyBorder="1" applyAlignment="1">
      <alignment vertical="center"/>
    </xf>
    <xf numFmtId="166" fontId="24" fillId="0" borderId="0" xfId="0" applyNumberFormat="1" applyFont="1" applyBorder="1" applyAlignment="1">
      <alignment vertical="center"/>
    </xf>
    <xf numFmtId="4" fontId="24" fillId="0" borderId="15" xfId="0" applyNumberFormat="1" applyFont="1" applyBorder="1" applyAlignment="1">
      <alignment vertical="center"/>
    </xf>
    <xf numFmtId="0" fontId="5" fillId="0" borderId="0" xfId="0" applyFont="1" applyAlignment="1">
      <alignment horizontal="left" vertical="center"/>
    </xf>
    <xf numFmtId="4" fontId="24" fillId="0" borderId="19" xfId="0" applyNumberFormat="1" applyFont="1" applyBorder="1" applyAlignment="1">
      <alignment vertical="center"/>
    </xf>
    <xf numFmtId="4" fontId="24" fillId="0" borderId="20" xfId="0" applyNumberFormat="1" applyFont="1" applyBorder="1" applyAlignment="1">
      <alignment vertical="center"/>
    </xf>
    <xf numFmtId="166" fontId="24" fillId="0" borderId="20" xfId="0" applyNumberFormat="1" applyFont="1" applyBorder="1" applyAlignment="1">
      <alignment vertical="center"/>
    </xf>
    <xf numFmtId="4" fontId="24" fillId="0" borderId="21" xfId="0" applyNumberFormat="1" applyFont="1" applyBorder="1" applyAlignment="1">
      <alignment vertical="center"/>
    </xf>
    <xf numFmtId="0" fontId="0" fillId="0" borderId="0" xfId="0" applyProtection="1"/>
    <xf numFmtId="0" fontId="25" fillId="0" borderId="0" xfId="0" applyFont="1" applyAlignment="1">
      <alignment horizontal="left" vertical="center"/>
    </xf>
    <xf numFmtId="0" fontId="0" fillId="0" borderId="3" xfId="0" applyFont="1" applyBorder="1" applyAlignment="1">
      <alignment vertical="center" wrapText="1"/>
    </xf>
    <xf numFmtId="0" fontId="12" fillId="0" borderId="0" xfId="0" applyFont="1" applyAlignment="1">
      <alignment horizontal="left" vertical="center"/>
    </xf>
    <xf numFmtId="0" fontId="16"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6" xfId="0" applyFont="1" applyFill="1" applyBorder="1" applyAlignment="1">
      <alignment horizontal="left" vertical="center"/>
    </xf>
    <xf numFmtId="0" fontId="4" fillId="4" borderId="7" xfId="0" applyFont="1" applyFill="1" applyBorder="1" applyAlignment="1">
      <alignment horizontal="right" vertical="center"/>
    </xf>
    <xf numFmtId="0" fontId="4" fillId="4" borderId="7" xfId="0" applyFont="1" applyFill="1" applyBorder="1" applyAlignment="1">
      <alignment horizontal="center" vertical="center"/>
    </xf>
    <xf numFmtId="4" fontId="4" fillId="4" borderId="7" xfId="0" applyNumberFormat="1" applyFont="1" applyFill="1" applyBorder="1" applyAlignment="1">
      <alignment vertical="center"/>
    </xf>
    <xf numFmtId="0" fontId="0" fillId="4" borderId="8" xfId="0" applyFont="1" applyFill="1" applyBorder="1" applyAlignment="1">
      <alignment vertical="center"/>
    </xf>
    <xf numFmtId="0" fontId="17" fillId="4" borderId="0" xfId="0" applyFont="1" applyFill="1" applyAlignment="1">
      <alignment horizontal="left" vertical="center"/>
    </xf>
    <xf numFmtId="0" fontId="17" fillId="4" borderId="0" xfId="0" applyFont="1" applyFill="1" applyAlignment="1">
      <alignment horizontal="right" vertical="center"/>
    </xf>
    <xf numFmtId="0" fontId="26" fillId="0" borderId="0" xfId="0" applyFont="1" applyAlignment="1">
      <alignment horizontal="left" vertical="center"/>
    </xf>
    <xf numFmtId="0" fontId="6" fillId="0" borderId="3" xfId="0" applyFont="1" applyBorder="1" applyAlignment="1">
      <alignment vertical="center"/>
    </xf>
    <xf numFmtId="0" fontId="6" fillId="0" borderId="20" xfId="0" applyFont="1" applyBorder="1" applyAlignment="1">
      <alignment horizontal="left" vertical="center"/>
    </xf>
    <xf numFmtId="0" fontId="6" fillId="0" borderId="20" xfId="0" applyFont="1" applyBorder="1" applyAlignment="1">
      <alignment vertical="center"/>
    </xf>
    <xf numFmtId="4" fontId="6" fillId="0" borderId="20" xfId="0" applyNumberFormat="1" applyFont="1" applyBorder="1" applyAlignment="1">
      <alignment vertical="center"/>
    </xf>
    <xf numFmtId="0" fontId="7" fillId="0" borderId="3" xfId="0" applyFont="1" applyBorder="1" applyAlignment="1">
      <alignment vertical="center"/>
    </xf>
    <xf numFmtId="0" fontId="7" fillId="0" borderId="20" xfId="0" applyFont="1" applyBorder="1" applyAlignment="1">
      <alignment horizontal="left" vertical="center"/>
    </xf>
    <xf numFmtId="0" fontId="7" fillId="0" borderId="20" xfId="0" applyFont="1" applyBorder="1" applyAlignment="1">
      <alignment vertical="center"/>
    </xf>
    <xf numFmtId="4" fontId="7" fillId="0" borderId="20" xfId="0" applyNumberFormat="1" applyFont="1" applyBorder="1" applyAlignment="1">
      <alignment vertical="center"/>
    </xf>
    <xf numFmtId="0" fontId="0" fillId="0" borderId="3" xfId="0" applyFont="1" applyBorder="1" applyAlignment="1">
      <alignment horizontal="center" vertical="center" wrapText="1"/>
    </xf>
    <xf numFmtId="0" fontId="17" fillId="4" borderId="16" xfId="0" applyFont="1" applyFill="1" applyBorder="1" applyAlignment="1">
      <alignment horizontal="center" vertical="center" wrapText="1"/>
    </xf>
    <xf numFmtId="0" fontId="17" fillId="4" borderId="17" xfId="0" applyFont="1" applyFill="1" applyBorder="1" applyAlignment="1">
      <alignment horizontal="center" vertical="center" wrapText="1"/>
    </xf>
    <xf numFmtId="0" fontId="17" fillId="4" borderId="18" xfId="0" applyFont="1" applyFill="1" applyBorder="1" applyAlignment="1">
      <alignment horizontal="center" vertical="center" wrapText="1"/>
    </xf>
    <xf numFmtId="0" fontId="17" fillId="4" borderId="0" xfId="0" applyFont="1" applyFill="1" applyAlignment="1">
      <alignment horizontal="center" vertical="center" wrapText="1"/>
    </xf>
    <xf numFmtId="4" fontId="19" fillId="0" borderId="0" xfId="0" applyNumberFormat="1" applyFont="1" applyAlignment="1"/>
    <xf numFmtId="166" fontId="27" fillId="0" borderId="12" xfId="0" applyNumberFormat="1" applyFont="1" applyBorder="1" applyAlignment="1"/>
    <xf numFmtId="166" fontId="27" fillId="0" borderId="13" xfId="0" applyNumberFormat="1" applyFont="1" applyBorder="1" applyAlignment="1"/>
    <xf numFmtId="4" fontId="28" fillId="0" borderId="0" xfId="0" applyNumberFormat="1" applyFont="1" applyAlignment="1">
      <alignment vertical="center"/>
    </xf>
    <xf numFmtId="0" fontId="8" fillId="0" borderId="3" xfId="0" applyFont="1" applyBorder="1" applyAlignment="1"/>
    <xf numFmtId="0" fontId="8" fillId="0" borderId="0" xfId="0" applyFont="1" applyAlignment="1">
      <alignment horizontal="left"/>
    </xf>
    <xf numFmtId="0" fontId="6" fillId="0" borderId="0" xfId="0" applyFont="1" applyAlignment="1">
      <alignment horizontal="left"/>
    </xf>
    <xf numFmtId="4" fontId="6" fillId="0" borderId="0" xfId="0" applyNumberFormat="1" applyFont="1" applyAlignment="1"/>
    <xf numFmtId="0" fontId="8" fillId="0" borderId="14" xfId="0" applyFont="1" applyBorder="1" applyAlignment="1"/>
    <xf numFmtId="0" fontId="8" fillId="0" borderId="0" xfId="0" applyFont="1" applyBorder="1" applyAlignment="1"/>
    <xf numFmtId="166" fontId="8" fillId="0" borderId="0" xfId="0" applyNumberFormat="1" applyFont="1" applyBorder="1" applyAlignment="1"/>
    <xf numFmtId="166" fontId="8" fillId="0" borderId="15" xfId="0" applyNumberFormat="1" applyFont="1" applyBorder="1" applyAlignment="1"/>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lignment horizontal="left"/>
    </xf>
    <xf numFmtId="4" fontId="7" fillId="0" borderId="0" xfId="0" applyNumberFormat="1" applyFont="1" applyAlignment="1"/>
    <xf numFmtId="0" fontId="0" fillId="0" borderId="3" xfId="0" applyFont="1" applyBorder="1" applyAlignment="1" applyProtection="1">
      <alignment vertical="center"/>
      <protection locked="0"/>
    </xf>
    <xf numFmtId="0" fontId="17" fillId="0" borderId="22" xfId="0" applyFont="1" applyBorder="1" applyAlignment="1" applyProtection="1">
      <alignment horizontal="center" vertical="center"/>
      <protection locked="0"/>
    </xf>
    <xf numFmtId="49" fontId="17" fillId="0" borderId="22" xfId="0" applyNumberFormat="1" applyFont="1" applyBorder="1" applyAlignment="1" applyProtection="1">
      <alignment horizontal="left" vertical="center" wrapText="1"/>
      <protection locked="0"/>
    </xf>
    <xf numFmtId="0" fontId="17" fillId="0" borderId="22" xfId="0" applyFont="1" applyBorder="1" applyAlignment="1" applyProtection="1">
      <alignment horizontal="left" vertical="center" wrapText="1"/>
      <protection locked="0"/>
    </xf>
    <xf numFmtId="0" fontId="17" fillId="0" borderId="22" xfId="0" applyFont="1" applyBorder="1" applyAlignment="1" applyProtection="1">
      <alignment horizontal="center" vertical="center" wrapText="1"/>
      <protection locked="0"/>
    </xf>
    <xf numFmtId="167" fontId="17" fillId="0" borderId="22" xfId="0" applyNumberFormat="1" applyFont="1" applyBorder="1" applyAlignment="1" applyProtection="1">
      <alignment vertical="center"/>
      <protection locked="0"/>
    </xf>
    <xf numFmtId="4" fontId="17" fillId="0" borderId="22" xfId="0" applyNumberFormat="1" applyFont="1" applyBorder="1" applyAlignment="1" applyProtection="1">
      <alignment vertical="center"/>
      <protection locked="0"/>
    </xf>
    <xf numFmtId="0" fontId="18" fillId="0" borderId="14" xfId="0" applyFont="1" applyBorder="1" applyAlignment="1">
      <alignment horizontal="left" vertical="center"/>
    </xf>
    <xf numFmtId="0" fontId="18" fillId="0" borderId="0" xfId="0" applyFont="1" applyBorder="1" applyAlignment="1">
      <alignment horizontal="center" vertical="center"/>
    </xf>
    <xf numFmtId="166" fontId="18" fillId="0" borderId="0" xfId="0" applyNumberFormat="1" applyFont="1" applyBorder="1" applyAlignment="1">
      <alignment vertical="center"/>
    </xf>
    <xf numFmtId="166" fontId="18" fillId="0" borderId="15" xfId="0" applyNumberFormat="1" applyFont="1" applyBorder="1" applyAlignment="1">
      <alignment vertical="center"/>
    </xf>
    <xf numFmtId="0" fontId="17" fillId="0" borderId="0" xfId="0" applyFont="1" applyAlignment="1">
      <alignment horizontal="left" vertical="center"/>
    </xf>
    <xf numFmtId="4" fontId="0" fillId="0" borderId="0" xfId="0" applyNumberFormat="1" applyFont="1" applyAlignment="1">
      <alignment vertical="center"/>
    </xf>
    <xf numFmtId="0" fontId="29" fillId="0" borderId="22" xfId="0" applyFont="1" applyBorder="1" applyAlignment="1" applyProtection="1">
      <alignment horizontal="center" vertical="center"/>
      <protection locked="0"/>
    </xf>
    <xf numFmtId="49" fontId="29" fillId="0" borderId="22" xfId="0" applyNumberFormat="1" applyFont="1" applyBorder="1" applyAlignment="1" applyProtection="1">
      <alignment horizontal="left" vertical="center" wrapText="1"/>
      <protection locked="0"/>
    </xf>
    <xf numFmtId="0" fontId="29" fillId="0" borderId="22" xfId="0" applyFont="1" applyBorder="1" applyAlignment="1" applyProtection="1">
      <alignment horizontal="left" vertical="center" wrapText="1"/>
      <protection locked="0"/>
    </xf>
    <xf numFmtId="0" fontId="29" fillId="0" borderId="22" xfId="0" applyFont="1" applyBorder="1" applyAlignment="1" applyProtection="1">
      <alignment horizontal="center" vertical="center" wrapText="1"/>
      <protection locked="0"/>
    </xf>
    <xf numFmtId="167" fontId="29" fillId="0" borderId="22" xfId="0" applyNumberFormat="1" applyFont="1" applyBorder="1" applyAlignment="1" applyProtection="1">
      <alignment vertical="center"/>
      <protection locked="0"/>
    </xf>
    <xf numFmtId="4" fontId="29" fillId="0" borderId="22" xfId="0" applyNumberFormat="1" applyFont="1" applyBorder="1" applyAlignment="1" applyProtection="1">
      <alignment vertical="center"/>
      <protection locked="0"/>
    </xf>
    <xf numFmtId="0" fontId="30" fillId="0" borderId="3" xfId="0" applyFont="1" applyBorder="1" applyAlignment="1">
      <alignment vertical="center"/>
    </xf>
    <xf numFmtId="0" fontId="29" fillId="0" borderId="14" xfId="0" applyFont="1" applyBorder="1" applyAlignment="1">
      <alignment horizontal="left" vertical="center"/>
    </xf>
    <xf numFmtId="0" fontId="29" fillId="0" borderId="0" xfId="0" applyFont="1" applyBorder="1" applyAlignment="1">
      <alignment horizontal="center" vertical="center"/>
    </xf>
    <xf numFmtId="0" fontId="18" fillId="0" borderId="19" xfId="0" applyFont="1" applyBorder="1" applyAlignment="1">
      <alignment horizontal="left" vertical="center"/>
    </xf>
    <xf numFmtId="0" fontId="18" fillId="0" borderId="20" xfId="0" applyFont="1" applyBorder="1" applyAlignment="1">
      <alignment horizontal="center" vertical="center"/>
    </xf>
    <xf numFmtId="166" fontId="18" fillId="0" borderId="20" xfId="0" applyNumberFormat="1" applyFont="1" applyBorder="1" applyAlignment="1">
      <alignment vertical="center"/>
    </xf>
    <xf numFmtId="166" fontId="18" fillId="0" borderId="21" xfId="0" applyNumberFormat="1" applyFont="1" applyBorder="1" applyAlignment="1">
      <alignment vertical="center"/>
    </xf>
    <xf numFmtId="0" fontId="31" fillId="0" borderId="0" xfId="0" applyFont="1" applyAlignment="1">
      <alignment horizontal="left" vertical="center"/>
    </xf>
    <xf numFmtId="0" fontId="32" fillId="0" borderId="0" xfId="0" applyFont="1" applyAlignment="1">
      <alignment vertical="center" wrapText="1"/>
    </xf>
    <xf numFmtId="0" fontId="0" fillId="0" borderId="14" xfId="0" applyFont="1" applyBorder="1" applyAlignment="1">
      <alignment vertical="center"/>
    </xf>
    <xf numFmtId="0" fontId="0" fillId="0" borderId="19" xfId="0" applyFont="1" applyBorder="1" applyAlignment="1">
      <alignment vertical="center"/>
    </xf>
    <xf numFmtId="0" fontId="0" fillId="0" borderId="20" xfId="0" applyFont="1" applyBorder="1" applyAlignment="1">
      <alignment vertical="center"/>
    </xf>
    <xf numFmtId="0" fontId="0" fillId="0" borderId="21" xfId="0" applyFont="1" applyBorder="1" applyAlignment="1">
      <alignment vertical="center"/>
    </xf>
    <xf numFmtId="0" fontId="32" fillId="0" borderId="0" xfId="0" applyFont="1" applyAlignment="1">
      <alignment vertical="top" wrapText="1"/>
    </xf>
    <xf numFmtId="0" fontId="0" fillId="0" borderId="0" xfId="0" applyFont="1" applyAlignment="1">
      <alignment vertical="center"/>
    </xf>
    <xf numFmtId="0" fontId="0" fillId="0" borderId="23" xfId="0" applyBorder="1"/>
    <xf numFmtId="0" fontId="0" fillId="0" borderId="24" xfId="0" applyBorder="1"/>
    <xf numFmtId="0" fontId="0" fillId="0" borderId="25" xfId="0" applyBorder="1"/>
    <xf numFmtId="0" fontId="0" fillId="0" borderId="26" xfId="0" applyBorder="1"/>
    <xf numFmtId="0" fontId="0" fillId="0" borderId="0" xfId="0" applyBorder="1"/>
    <xf numFmtId="0" fontId="0" fillId="0" borderId="27" xfId="0" applyBorder="1"/>
    <xf numFmtId="0" fontId="0" fillId="0" borderId="26" xfId="0" applyFont="1" applyBorder="1" applyAlignment="1">
      <alignment vertical="center"/>
    </xf>
    <xf numFmtId="0" fontId="0" fillId="0" borderId="27" xfId="0" applyFont="1" applyBorder="1" applyAlignment="1">
      <alignment vertical="center"/>
    </xf>
    <xf numFmtId="0" fontId="0" fillId="0" borderId="0" xfId="0" applyFont="1" applyBorder="1" applyAlignment="1">
      <alignment vertical="center"/>
    </xf>
    <xf numFmtId="0" fontId="2" fillId="0" borderId="27" xfId="0" applyFont="1" applyBorder="1" applyAlignment="1">
      <alignment horizontal="left" vertical="center"/>
    </xf>
    <xf numFmtId="165" fontId="2" fillId="0" borderId="27" xfId="0" applyNumberFormat="1" applyFont="1" applyBorder="1" applyAlignment="1">
      <alignment horizontal="left" vertical="center"/>
    </xf>
    <xf numFmtId="0" fontId="0" fillId="0" borderId="26" xfId="0" applyFont="1" applyBorder="1" applyAlignment="1">
      <alignment vertical="center" wrapText="1"/>
    </xf>
    <xf numFmtId="0" fontId="0" fillId="0" borderId="0" xfId="0" applyFont="1" applyBorder="1" applyAlignment="1">
      <alignment vertical="center" wrapText="1"/>
    </xf>
    <xf numFmtId="0" fontId="0" fillId="0" borderId="27" xfId="0" applyFont="1" applyBorder="1" applyAlignment="1">
      <alignment vertical="center" wrapText="1"/>
    </xf>
    <xf numFmtId="0" fontId="0" fillId="0" borderId="28" xfId="0" applyFont="1" applyBorder="1" applyAlignment="1">
      <alignment vertical="center"/>
    </xf>
    <xf numFmtId="0" fontId="12" fillId="0" borderId="0" xfId="0" applyFont="1" applyBorder="1" applyAlignment="1">
      <alignment horizontal="left" vertical="center"/>
    </xf>
    <xf numFmtId="4" fontId="19" fillId="0" borderId="27" xfId="0" applyNumberFormat="1" applyFont="1" applyBorder="1" applyAlignment="1">
      <alignment vertical="center"/>
    </xf>
    <xf numFmtId="0" fontId="1" fillId="0" borderId="0" xfId="0" applyFont="1" applyBorder="1" applyAlignment="1">
      <alignment horizontal="right" vertical="center"/>
    </xf>
    <xf numFmtId="4" fontId="1" fillId="0" borderId="0" xfId="0" applyNumberFormat="1" applyFont="1" applyBorder="1" applyAlignment="1">
      <alignment vertical="center"/>
    </xf>
    <xf numFmtId="164" fontId="1" fillId="0" borderId="0" xfId="0" applyNumberFormat="1" applyFont="1" applyBorder="1" applyAlignment="1">
      <alignment horizontal="right" vertical="center"/>
    </xf>
    <xf numFmtId="4" fontId="1" fillId="0" borderId="27" xfId="0" applyNumberFormat="1" applyFont="1" applyBorder="1" applyAlignment="1">
      <alignment vertical="center"/>
    </xf>
    <xf numFmtId="0" fontId="0" fillId="4" borderId="0" xfId="0" applyFont="1" applyFill="1" applyBorder="1" applyAlignment="1">
      <alignment vertical="center"/>
    </xf>
    <xf numFmtId="4" fontId="4" fillId="4" borderId="29" xfId="0" applyNumberFormat="1" applyFont="1" applyFill="1" applyBorder="1" applyAlignment="1">
      <alignment vertical="center"/>
    </xf>
    <xf numFmtId="0" fontId="0" fillId="0" borderId="30" xfId="0" applyFont="1" applyBorder="1" applyAlignment="1">
      <alignment vertical="center"/>
    </xf>
    <xf numFmtId="0" fontId="0" fillId="0" borderId="31" xfId="0" applyFont="1" applyBorder="1" applyAlignment="1">
      <alignment vertical="center"/>
    </xf>
    <xf numFmtId="0" fontId="0" fillId="0" borderId="32" xfId="0" applyFont="1" applyBorder="1" applyAlignment="1">
      <alignment vertical="center"/>
    </xf>
    <xf numFmtId="0" fontId="0" fillId="0" borderId="23" xfId="0" applyFont="1" applyBorder="1" applyAlignment="1">
      <alignment vertical="center"/>
    </xf>
    <xf numFmtId="0" fontId="0" fillId="0" borderId="24" xfId="0" applyFont="1" applyBorder="1" applyAlignment="1">
      <alignment vertical="center"/>
    </xf>
    <xf numFmtId="0" fontId="0" fillId="0" borderId="25" xfId="0" applyFont="1" applyBorder="1" applyAlignment="1">
      <alignment vertical="center"/>
    </xf>
    <xf numFmtId="0" fontId="2" fillId="0" borderId="27" xfId="0" applyFont="1" applyBorder="1" applyAlignment="1">
      <alignment horizontal="left" vertical="center" wrapText="1"/>
    </xf>
    <xf numFmtId="0" fontId="17" fillId="4" borderId="0" xfId="0" applyFont="1" applyFill="1" applyBorder="1" applyAlignment="1">
      <alignment horizontal="left" vertical="center"/>
    </xf>
    <xf numFmtId="0" fontId="17" fillId="4" borderId="27" xfId="0" applyFont="1" applyFill="1" applyBorder="1" applyAlignment="1">
      <alignment horizontal="right" vertical="center"/>
    </xf>
    <xf numFmtId="0" fontId="26" fillId="0" borderId="0" xfId="0" applyFont="1" applyBorder="1" applyAlignment="1">
      <alignment horizontal="left" vertical="center"/>
    </xf>
    <xf numFmtId="0" fontId="6" fillId="0" borderId="26" xfId="0" applyFont="1" applyBorder="1" applyAlignment="1">
      <alignment vertical="center"/>
    </xf>
    <xf numFmtId="0" fontId="6" fillId="0" borderId="0" xfId="0" applyFont="1" applyBorder="1" applyAlignment="1">
      <alignment vertical="center"/>
    </xf>
    <xf numFmtId="4" fontId="6" fillId="0" borderId="33" xfId="0" applyNumberFormat="1" applyFont="1" applyBorder="1" applyAlignment="1">
      <alignment vertical="center"/>
    </xf>
    <xf numFmtId="0" fontId="7" fillId="0" borderId="26" xfId="0" applyFont="1" applyBorder="1" applyAlignment="1">
      <alignment vertical="center"/>
    </xf>
    <xf numFmtId="0" fontId="7" fillId="0" borderId="0" xfId="0" applyFont="1" applyBorder="1" applyAlignment="1">
      <alignment vertical="center"/>
    </xf>
    <xf numFmtId="4" fontId="7" fillId="0" borderId="33" xfId="0" applyNumberFormat="1" applyFont="1" applyBorder="1" applyAlignment="1">
      <alignment vertical="center"/>
    </xf>
    <xf numFmtId="0" fontId="0" fillId="0" borderId="26" xfId="0" applyFont="1" applyBorder="1" applyAlignment="1">
      <alignment horizontal="center" vertical="center" wrapText="1"/>
    </xf>
    <xf numFmtId="0" fontId="17" fillId="4" borderId="34" xfId="0" applyFont="1" applyFill="1" applyBorder="1" applyAlignment="1">
      <alignment horizontal="center" vertical="center" wrapText="1"/>
    </xf>
    <xf numFmtId="0" fontId="19" fillId="0" borderId="0" xfId="0" applyFont="1" applyBorder="1" applyAlignment="1">
      <alignment horizontal="left" vertical="center"/>
    </xf>
    <xf numFmtId="4" fontId="19" fillId="0" borderId="27" xfId="0" applyNumberFormat="1" applyFont="1" applyBorder="1" applyAlignment="1"/>
    <xf numFmtId="0" fontId="8" fillId="0" borderId="26" xfId="0" applyFont="1" applyBorder="1" applyAlignment="1"/>
    <xf numFmtId="0" fontId="8" fillId="0" borderId="0" xfId="0" applyFont="1" applyBorder="1" applyAlignment="1">
      <alignment horizontal="left"/>
    </xf>
    <xf numFmtId="0" fontId="6" fillId="0" borderId="0" xfId="0" applyFont="1" applyBorder="1" applyAlignment="1">
      <alignment horizontal="left"/>
    </xf>
    <xf numFmtId="4" fontId="6" fillId="0" borderId="27" xfId="0" applyNumberFormat="1" applyFont="1" applyBorder="1" applyAlignment="1"/>
    <xf numFmtId="0" fontId="0" fillId="0" borderId="26" xfId="0" applyFont="1" applyBorder="1" applyAlignment="1" applyProtection="1">
      <alignment vertical="center"/>
      <protection locked="0"/>
    </xf>
    <xf numFmtId="4" fontId="17" fillId="0" borderId="35" xfId="0" applyNumberFormat="1" applyFont="1" applyBorder="1" applyAlignment="1" applyProtection="1">
      <alignment vertical="center"/>
      <protection locked="0"/>
    </xf>
    <xf numFmtId="0" fontId="7" fillId="0" borderId="0" xfId="0" applyFont="1" applyBorder="1" applyAlignment="1">
      <alignment horizontal="left"/>
    </xf>
    <xf numFmtId="4" fontId="7" fillId="0" borderId="27" xfId="0" applyNumberFormat="1" applyFont="1" applyBorder="1" applyAlignment="1"/>
    <xf numFmtId="0" fontId="31" fillId="0" borderId="0" xfId="0" applyFont="1" applyBorder="1" applyAlignment="1">
      <alignment horizontal="left" vertical="center"/>
    </xf>
    <xf numFmtId="0" fontId="32" fillId="0" borderId="0" xfId="0" applyFont="1" applyBorder="1" applyAlignment="1">
      <alignment vertical="center" wrapText="1"/>
    </xf>
    <xf numFmtId="0" fontId="17" fillId="5" borderId="22" xfId="0" applyFont="1" applyFill="1" applyBorder="1" applyAlignment="1" applyProtection="1">
      <alignment horizontal="center" vertical="center"/>
      <protection locked="0"/>
    </xf>
    <xf numFmtId="167" fontId="17" fillId="5" borderId="22" xfId="0" applyNumberFormat="1" applyFont="1" applyFill="1" applyBorder="1" applyAlignment="1" applyProtection="1">
      <alignment vertical="center"/>
      <protection locked="0"/>
    </xf>
    <xf numFmtId="0" fontId="17" fillId="8" borderId="22" xfId="0" applyFont="1" applyFill="1" applyBorder="1" applyAlignment="1" applyProtection="1">
      <alignment horizontal="center" vertical="center"/>
      <protection locked="0"/>
    </xf>
    <xf numFmtId="49" fontId="17" fillId="8" borderId="22" xfId="0" applyNumberFormat="1" applyFont="1" applyFill="1" applyBorder="1" applyAlignment="1" applyProtection="1">
      <alignment horizontal="left" vertical="center" wrapText="1"/>
      <protection locked="0"/>
    </xf>
    <xf numFmtId="0" fontId="17" fillId="8" borderId="22" xfId="0" applyFont="1" applyFill="1" applyBorder="1" applyAlignment="1" applyProtection="1">
      <alignment horizontal="left" vertical="center" wrapText="1"/>
      <protection locked="0"/>
    </xf>
    <xf numFmtId="0" fontId="17" fillId="8" borderId="22" xfId="0" applyFont="1" applyFill="1" applyBorder="1" applyAlignment="1" applyProtection="1">
      <alignment horizontal="center" vertical="center" wrapText="1"/>
      <protection locked="0"/>
    </xf>
    <xf numFmtId="167" fontId="17" fillId="8" borderId="22" xfId="0" applyNumberFormat="1" applyFont="1" applyFill="1" applyBorder="1" applyAlignment="1" applyProtection="1">
      <alignment vertical="center"/>
      <protection locked="0"/>
    </xf>
    <xf numFmtId="4" fontId="17" fillId="8" borderId="22" xfId="0" applyNumberFormat="1" applyFont="1" applyFill="1" applyBorder="1" applyAlignment="1" applyProtection="1">
      <alignment vertical="center"/>
      <protection locked="0"/>
    </xf>
    <xf numFmtId="4" fontId="17" fillId="5" borderId="22" xfId="0" applyNumberFormat="1" applyFont="1" applyFill="1" applyBorder="1" applyAlignment="1" applyProtection="1">
      <alignment vertical="center"/>
      <protection locked="0"/>
    </xf>
    <xf numFmtId="4" fontId="17" fillId="8" borderId="35" xfId="0" applyNumberFormat="1" applyFont="1" applyFill="1" applyBorder="1" applyAlignment="1" applyProtection="1">
      <alignment vertical="center"/>
      <protection locked="0"/>
    </xf>
    <xf numFmtId="0" fontId="34" fillId="8" borderId="22" xfId="0" applyFont="1" applyFill="1" applyBorder="1" applyAlignment="1" applyProtection="1">
      <alignment horizontal="center" vertical="center"/>
      <protection locked="0"/>
    </xf>
    <xf numFmtId="49" fontId="34" fillId="8" borderId="22" xfId="0" applyNumberFormat="1" applyFont="1" applyFill="1" applyBorder="1" applyAlignment="1" applyProtection="1">
      <alignment horizontal="left" vertical="center" wrapText="1"/>
      <protection locked="0"/>
    </xf>
    <xf numFmtId="0" fontId="34" fillId="8" borderId="22" xfId="0" applyFont="1" applyFill="1" applyBorder="1" applyAlignment="1" applyProtection="1">
      <alignment horizontal="left" vertical="center" wrapText="1"/>
      <protection locked="0"/>
    </xf>
    <xf numFmtId="0" fontId="34" fillId="8" borderId="22" xfId="0" applyFont="1" applyFill="1" applyBorder="1" applyAlignment="1" applyProtection="1">
      <alignment horizontal="center" vertical="center" wrapText="1"/>
      <protection locked="0"/>
    </xf>
    <xf numFmtId="167" fontId="34" fillId="8" borderId="22" xfId="0" applyNumberFormat="1" applyFont="1" applyFill="1" applyBorder="1" applyAlignment="1" applyProtection="1">
      <alignment vertical="center"/>
      <protection locked="0"/>
    </xf>
    <xf numFmtId="4" fontId="34" fillId="8" borderId="22" xfId="0" applyNumberFormat="1" applyFont="1" applyFill="1" applyBorder="1" applyAlignment="1" applyProtection="1">
      <alignment vertical="center"/>
      <protection locked="0"/>
    </xf>
    <xf numFmtId="4" fontId="34" fillId="8" borderId="35" xfId="0" applyNumberFormat="1" applyFont="1" applyFill="1" applyBorder="1" applyAlignment="1" applyProtection="1">
      <alignment vertical="center"/>
      <protection locked="0"/>
    </xf>
    <xf numFmtId="0" fontId="17" fillId="0" borderId="0" xfId="0" applyFont="1" applyBorder="1" applyAlignment="1" applyProtection="1">
      <alignment horizontal="left" vertical="center" wrapText="1"/>
      <protection locked="0"/>
    </xf>
    <xf numFmtId="0" fontId="0" fillId="0" borderId="0" xfId="0" applyAlignment="1">
      <alignment horizontal="center"/>
    </xf>
    <xf numFmtId="0" fontId="0" fillId="0" borderId="0" xfId="0" applyFont="1" applyAlignment="1">
      <alignment horizontal="center" vertical="center"/>
    </xf>
    <xf numFmtId="0" fontId="6" fillId="0" borderId="0" xfId="0" applyFont="1" applyAlignment="1">
      <alignment horizontal="center" vertical="center"/>
    </xf>
    <xf numFmtId="0" fontId="7" fillId="0" borderId="0" xfId="0" applyFont="1" applyAlignment="1">
      <alignment horizontal="center" vertical="center"/>
    </xf>
    <xf numFmtId="0" fontId="35" fillId="0" borderId="0" xfId="0" applyFont="1" applyAlignment="1">
      <alignment horizontal="center" vertical="center"/>
    </xf>
    <xf numFmtId="0" fontId="34" fillId="4" borderId="17" xfId="0" applyFont="1" applyFill="1" applyBorder="1" applyAlignment="1">
      <alignment horizontal="center" vertical="center" wrapText="1"/>
    </xf>
    <xf numFmtId="4" fontId="29" fillId="0" borderId="35" xfId="0" applyNumberFormat="1" applyFont="1" applyBorder="1" applyAlignment="1" applyProtection="1">
      <alignment vertical="center"/>
      <protection locked="0"/>
    </xf>
    <xf numFmtId="0" fontId="36" fillId="0" borderId="20" xfId="0" applyFont="1" applyBorder="1" applyAlignment="1">
      <alignment horizontal="left" vertical="center"/>
    </xf>
    <xf numFmtId="0" fontId="37" fillId="0" borderId="0" xfId="0" applyFont="1"/>
    <xf numFmtId="0" fontId="37" fillId="0" borderId="0" xfId="0" applyFont="1" applyAlignment="1">
      <alignment horizontal="left"/>
    </xf>
    <xf numFmtId="0" fontId="36" fillId="0" borderId="0" xfId="0" applyFont="1" applyAlignment="1">
      <alignment horizontal="left"/>
    </xf>
    <xf numFmtId="4" fontId="36" fillId="0" borderId="0" xfId="0" applyNumberFormat="1" applyFont="1"/>
    <xf numFmtId="0" fontId="38" fillId="0" borderId="0" xfId="0" applyFont="1" applyAlignment="1">
      <alignment horizontal="left"/>
    </xf>
    <xf numFmtId="4" fontId="38" fillId="0" borderId="0" xfId="0" applyNumberFormat="1" applyFont="1"/>
    <xf numFmtId="0" fontId="0" fillId="0" borderId="0" xfId="0"/>
    <xf numFmtId="0" fontId="0" fillId="0" borderId="0" xfId="0" applyFont="1" applyAlignment="1">
      <alignment vertical="center"/>
    </xf>
    <xf numFmtId="0" fontId="17" fillId="9" borderId="22" xfId="0" applyFont="1" applyFill="1" applyBorder="1" applyAlignment="1" applyProtection="1">
      <alignment horizontal="left" vertical="center" wrapText="1"/>
      <protection locked="0"/>
    </xf>
    <xf numFmtId="0" fontId="17" fillId="0" borderId="22" xfId="0" applyFont="1" applyFill="1" applyBorder="1" applyAlignment="1" applyProtection="1">
      <alignment horizontal="left" vertical="center" wrapText="1"/>
      <protection locked="0"/>
    </xf>
    <xf numFmtId="167" fontId="29" fillId="5" borderId="22" xfId="0" applyNumberFormat="1" applyFont="1" applyFill="1" applyBorder="1" applyAlignment="1" applyProtection="1">
      <alignment vertical="center"/>
      <protection locked="0"/>
    </xf>
    <xf numFmtId="0" fontId="29" fillId="5" borderId="22" xfId="0" applyFont="1" applyFill="1" applyBorder="1" applyAlignment="1" applyProtection="1">
      <alignment horizontal="center" vertical="center"/>
      <protection locked="0"/>
    </xf>
    <xf numFmtId="0" fontId="0" fillId="0" borderId="0" xfId="0" applyFont="1" applyAlignment="1">
      <alignment vertical="center"/>
    </xf>
    <xf numFmtId="0" fontId="0" fillId="0" borderId="0" xfId="0" applyFont="1" applyBorder="1" applyAlignment="1">
      <alignment vertical="center"/>
    </xf>
    <xf numFmtId="0" fontId="1" fillId="0" borderId="0" xfId="0" applyFont="1" applyBorder="1" applyAlignment="1">
      <alignment vertical="center" wrapText="1"/>
    </xf>
    <xf numFmtId="0" fontId="43" fillId="0" borderId="0" xfId="0" applyFont="1" applyAlignment="1">
      <alignment horizontal="center" vertical="center"/>
    </xf>
    <xf numFmtId="0" fontId="35" fillId="0" borderId="0" xfId="0" applyFont="1" applyAlignment="1">
      <alignment horizontal="center" vertical="center" wrapText="1"/>
    </xf>
    <xf numFmtId="0" fontId="44" fillId="0" borderId="0" xfId="0" applyFont="1" applyAlignment="1">
      <alignment horizontal="center" vertical="center"/>
    </xf>
    <xf numFmtId="0" fontId="0" fillId="0" borderId="36" xfId="0" applyFont="1" applyBorder="1" applyAlignment="1">
      <alignment vertical="center"/>
    </xf>
    <xf numFmtId="0" fontId="0" fillId="0" borderId="37" xfId="0" applyFont="1" applyBorder="1" applyAlignment="1">
      <alignment vertical="center"/>
    </xf>
    <xf numFmtId="0" fontId="0" fillId="0" borderId="30" xfId="0" applyBorder="1"/>
    <xf numFmtId="0" fontId="0" fillId="0" borderId="31" xfId="0" applyBorder="1"/>
    <xf numFmtId="0" fontId="0" fillId="0" borderId="32" xfId="0" applyBorder="1"/>
    <xf numFmtId="0" fontId="17" fillId="0" borderId="0" xfId="0" applyFont="1" applyBorder="1" applyAlignment="1" applyProtection="1">
      <alignment horizontal="center" vertical="center"/>
      <protection locked="0"/>
    </xf>
    <xf numFmtId="49" fontId="17" fillId="0" borderId="0" xfId="0" applyNumberFormat="1" applyFont="1" applyBorder="1" applyAlignment="1" applyProtection="1">
      <alignment horizontal="left" vertical="center" wrapText="1"/>
      <protection locked="0"/>
    </xf>
    <xf numFmtId="0" fontId="17" fillId="0" borderId="0" xfId="0" applyFont="1" applyBorder="1" applyAlignment="1" applyProtection="1">
      <alignment horizontal="center" vertical="center" wrapText="1"/>
      <protection locked="0"/>
    </xf>
    <xf numFmtId="167" fontId="17" fillId="0" borderId="0" xfId="0" applyNumberFormat="1" applyFont="1" applyBorder="1" applyAlignment="1" applyProtection="1">
      <alignment vertical="center"/>
      <protection locked="0"/>
    </xf>
    <xf numFmtId="4" fontId="17" fillId="0" borderId="0" xfId="0" applyNumberFormat="1" applyFont="1" applyBorder="1" applyAlignment="1" applyProtection="1">
      <alignment vertical="center"/>
      <protection locked="0"/>
    </xf>
    <xf numFmtId="4" fontId="17" fillId="0" borderId="27" xfId="0" applyNumberFormat="1" applyFont="1" applyBorder="1" applyAlignment="1" applyProtection="1">
      <alignment vertical="center"/>
      <protection locked="0"/>
    </xf>
    <xf numFmtId="0" fontId="0" fillId="0" borderId="0" xfId="0" applyFont="1" applyAlignment="1">
      <alignment vertical="center"/>
    </xf>
    <xf numFmtId="0" fontId="17" fillId="7" borderId="16" xfId="0" applyFont="1" applyFill="1" applyBorder="1" applyAlignment="1" applyProtection="1">
      <alignment horizontal="center" vertical="center"/>
      <protection locked="0"/>
    </xf>
    <xf numFmtId="0" fontId="17" fillId="7" borderId="17" xfId="0" applyFont="1" applyFill="1" applyBorder="1" applyAlignment="1" applyProtection="1">
      <alignment horizontal="center" vertical="center"/>
      <protection locked="0"/>
    </xf>
    <xf numFmtId="0" fontId="17" fillId="7" borderId="18" xfId="0" applyFont="1" applyFill="1" applyBorder="1" applyAlignment="1" applyProtection="1">
      <alignment horizontal="center" vertical="center"/>
      <protection locked="0"/>
    </xf>
    <xf numFmtId="167" fontId="34" fillId="0" borderId="22" xfId="0" applyNumberFormat="1" applyFont="1" applyBorder="1" applyAlignment="1" applyProtection="1">
      <alignment vertical="center"/>
      <protection locked="0"/>
    </xf>
    <xf numFmtId="0" fontId="34" fillId="9" borderId="22" xfId="0" applyFont="1" applyFill="1" applyBorder="1" applyAlignment="1" applyProtection="1">
      <alignment horizontal="left" vertical="center" wrapText="1"/>
      <protection locked="0"/>
    </xf>
    <xf numFmtId="0" fontId="36" fillId="0" borderId="0" xfId="0" applyFont="1" applyBorder="1" applyAlignment="1">
      <alignment horizontal="left"/>
    </xf>
    <xf numFmtId="0" fontId="0" fillId="0" borderId="0" xfId="0" applyBorder="1" applyAlignment="1">
      <alignment vertical="center"/>
    </xf>
    <xf numFmtId="0" fontId="41" fillId="0" borderId="0" xfId="0" applyFont="1" applyBorder="1" applyAlignment="1">
      <alignment horizontal="left" vertical="center"/>
    </xf>
    <xf numFmtId="0" fontId="42" fillId="0" borderId="0" xfId="0" applyFont="1" applyBorder="1" applyAlignment="1">
      <alignment vertical="center" wrapText="1"/>
    </xf>
    <xf numFmtId="0" fontId="0" fillId="0" borderId="27" xfId="0" applyBorder="1" applyAlignment="1">
      <alignment vertical="center"/>
    </xf>
    <xf numFmtId="0" fontId="37" fillId="0" borderId="0" xfId="0" applyFont="1" applyBorder="1"/>
    <xf numFmtId="0" fontId="37" fillId="0" borderId="0" xfId="0" applyFont="1" applyBorder="1" applyAlignment="1">
      <alignment horizontal="left"/>
    </xf>
    <xf numFmtId="4" fontId="36" fillId="0" borderId="27" xfId="0" applyNumberFormat="1" applyFont="1" applyBorder="1"/>
    <xf numFmtId="0" fontId="38" fillId="0" borderId="0" xfId="0" applyFont="1" applyBorder="1" applyAlignment="1">
      <alignment horizontal="left"/>
    </xf>
    <xf numFmtId="4" fontId="38" fillId="0" borderId="27" xfId="0" applyNumberFormat="1" applyFont="1" applyBorder="1"/>
    <xf numFmtId="0" fontId="0" fillId="0" borderId="0" xfId="0" applyFill="1" applyBorder="1" applyAlignment="1">
      <alignment vertical="center"/>
    </xf>
    <xf numFmtId="0" fontId="41" fillId="0" borderId="0" xfId="0" applyFont="1" applyFill="1" applyBorder="1" applyAlignment="1">
      <alignment horizontal="left" vertical="center"/>
    </xf>
    <xf numFmtId="0" fontId="42" fillId="0" borderId="0" xfId="0" applyFont="1" applyFill="1" applyBorder="1" applyAlignment="1">
      <alignment vertical="center" wrapText="1"/>
    </xf>
    <xf numFmtId="0" fontId="0" fillId="0" borderId="27" xfId="0" applyFill="1" applyBorder="1" applyAlignment="1">
      <alignment vertical="center"/>
    </xf>
    <xf numFmtId="0" fontId="8" fillId="0" borderId="0" xfId="0" applyFont="1" applyBorder="1"/>
    <xf numFmtId="4" fontId="7" fillId="0" borderId="27" xfId="0" applyNumberFormat="1" applyFont="1" applyBorder="1"/>
    <xf numFmtId="0" fontId="0" fillId="0" borderId="0" xfId="0" applyFont="1" applyAlignment="1">
      <alignment vertical="center"/>
    </xf>
    <xf numFmtId="0" fontId="0" fillId="0" borderId="0" xfId="0" applyFont="1" applyBorder="1" applyAlignment="1">
      <alignment vertical="center"/>
    </xf>
    <xf numFmtId="0" fontId="17" fillId="0" borderId="0" xfId="0" applyFont="1" applyFill="1" applyBorder="1" applyAlignment="1" applyProtection="1">
      <alignment horizontal="center" vertical="center"/>
      <protection locked="0"/>
    </xf>
    <xf numFmtId="0" fontId="17" fillId="0" borderId="22" xfId="0" applyFont="1" applyFill="1" applyBorder="1" applyAlignment="1" applyProtection="1">
      <alignment horizontal="center" vertical="center"/>
      <protection locked="0"/>
    </xf>
    <xf numFmtId="49" fontId="17" fillId="0" borderId="22" xfId="0" applyNumberFormat="1" applyFont="1" applyFill="1" applyBorder="1" applyAlignment="1" applyProtection="1">
      <alignment horizontal="left" vertical="center" wrapText="1"/>
      <protection locked="0"/>
    </xf>
    <xf numFmtId="0" fontId="17" fillId="0" borderId="22" xfId="0" applyFont="1" applyFill="1" applyBorder="1" applyAlignment="1" applyProtection="1">
      <alignment horizontal="center" vertical="center" wrapText="1"/>
      <protection locked="0"/>
    </xf>
    <xf numFmtId="167" fontId="17" fillId="0" borderId="22" xfId="0" applyNumberFormat="1" applyFont="1" applyFill="1" applyBorder="1" applyAlignment="1" applyProtection="1">
      <alignment vertical="center"/>
      <protection locked="0"/>
    </xf>
    <xf numFmtId="4" fontId="17" fillId="0" borderId="22" xfId="0" applyNumberFormat="1" applyFont="1" applyFill="1" applyBorder="1" applyAlignment="1" applyProtection="1">
      <alignment vertical="center"/>
      <protection locked="0"/>
    </xf>
    <xf numFmtId="4" fontId="17" fillId="0" borderId="35" xfId="0" applyNumberFormat="1" applyFont="1" applyFill="1" applyBorder="1" applyAlignment="1" applyProtection="1">
      <alignment vertical="center"/>
      <protection locked="0"/>
    </xf>
    <xf numFmtId="0" fontId="8" fillId="0" borderId="0" xfId="0" applyFont="1" applyFill="1" applyAlignment="1">
      <alignment horizontal="center"/>
    </xf>
    <xf numFmtId="0" fontId="8" fillId="0" borderId="0" xfId="0" applyFont="1" applyFill="1" applyAlignment="1"/>
    <xf numFmtId="0" fontId="48" fillId="8" borderId="22" xfId="0" applyFont="1" applyFill="1" applyBorder="1" applyAlignment="1" applyProtection="1">
      <alignment horizontal="center" vertical="center"/>
      <protection locked="0"/>
    </xf>
    <xf numFmtId="49" fontId="48" fillId="8" borderId="22" xfId="0" applyNumberFormat="1" applyFont="1" applyFill="1" applyBorder="1" applyAlignment="1" applyProtection="1">
      <alignment horizontal="left" vertical="center" wrapText="1"/>
      <protection locked="0"/>
    </xf>
    <xf numFmtId="0" fontId="48" fillId="8" borderId="22" xfId="0" applyFont="1" applyFill="1" applyBorder="1" applyAlignment="1" applyProtection="1">
      <alignment horizontal="left" vertical="center" wrapText="1"/>
      <protection locked="0"/>
    </xf>
    <xf numFmtId="0" fontId="48" fillId="8" borderId="22" xfId="0" applyFont="1" applyFill="1" applyBorder="1" applyAlignment="1" applyProtection="1">
      <alignment horizontal="center" vertical="center" wrapText="1"/>
      <protection locked="0"/>
    </xf>
    <xf numFmtId="167" fontId="48" fillId="8" borderId="22" xfId="0" applyNumberFormat="1" applyFont="1" applyFill="1" applyBorder="1" applyAlignment="1" applyProtection="1">
      <alignment vertical="center"/>
      <protection locked="0"/>
    </xf>
    <xf numFmtId="4" fontId="48" fillId="8" borderId="22" xfId="0" applyNumberFormat="1" applyFont="1" applyFill="1" applyBorder="1" applyAlignment="1" applyProtection="1">
      <alignment vertical="center"/>
      <protection locked="0"/>
    </xf>
    <xf numFmtId="0" fontId="46" fillId="0" borderId="0" xfId="0" applyFont="1" applyBorder="1"/>
    <xf numFmtId="0" fontId="46" fillId="0" borderId="0" xfId="0" applyFont="1" applyBorder="1" applyAlignment="1">
      <alignment horizontal="left"/>
    </xf>
    <xf numFmtId="0" fontId="47" fillId="0" borderId="0" xfId="0" applyFont="1" applyBorder="1" applyAlignment="1">
      <alignment horizontal="left"/>
    </xf>
    <xf numFmtId="4" fontId="47" fillId="0" borderId="27" xfId="0" applyNumberFormat="1" applyFont="1" applyBorder="1"/>
    <xf numFmtId="4" fontId="48" fillId="8" borderId="35" xfId="0" applyNumberFormat="1" applyFont="1" applyFill="1" applyBorder="1" applyAlignment="1" applyProtection="1">
      <alignment vertical="center"/>
      <protection locked="0"/>
    </xf>
    <xf numFmtId="0" fontId="49" fillId="0" borderId="0" xfId="0" applyFont="1" applyBorder="1" applyAlignment="1">
      <alignment horizontal="left" vertical="center"/>
    </xf>
    <xf numFmtId="0" fontId="50" fillId="0" borderId="0" xfId="0" applyFont="1" applyBorder="1" applyAlignment="1">
      <alignment vertical="center" wrapText="1"/>
    </xf>
    <xf numFmtId="0" fontId="51" fillId="0" borderId="0" xfId="0" applyFont="1" applyBorder="1" applyAlignment="1">
      <alignment horizontal="left"/>
    </xf>
    <xf numFmtId="4" fontId="51" fillId="0" borderId="27" xfId="0" applyNumberFormat="1" applyFont="1" applyBorder="1"/>
    <xf numFmtId="0" fontId="6" fillId="0" borderId="20" xfId="0" applyFont="1" applyFill="1" applyBorder="1" applyAlignment="1">
      <alignment horizontal="left" vertical="center"/>
    </xf>
    <xf numFmtId="0" fontId="6" fillId="0" borderId="20" xfId="0" applyFont="1" applyFill="1" applyBorder="1" applyAlignment="1">
      <alignment vertical="center"/>
    </xf>
    <xf numFmtId="0" fontId="7" fillId="0" borderId="20" xfId="0" applyFont="1" applyFill="1" applyBorder="1" applyAlignment="1">
      <alignment vertical="center"/>
    </xf>
    <xf numFmtId="0" fontId="7" fillId="0" borderId="0" xfId="0" applyFont="1" applyFill="1" applyBorder="1" applyAlignment="1">
      <alignment vertical="center"/>
    </xf>
    <xf numFmtId="0" fontId="47" fillId="0" borderId="0" xfId="0" applyFont="1" applyFill="1" applyBorder="1" applyAlignment="1">
      <alignment horizontal="left"/>
    </xf>
    <xf numFmtId="0" fontId="51" fillId="0" borderId="0" xfId="0" applyFont="1" applyFill="1" applyBorder="1" applyAlignment="1">
      <alignment horizontal="left"/>
    </xf>
    <xf numFmtId="4" fontId="7" fillId="0" borderId="33" xfId="0" applyNumberFormat="1" applyFont="1" applyFill="1" applyBorder="1" applyAlignment="1">
      <alignment vertical="center"/>
    </xf>
    <xf numFmtId="0" fontId="6" fillId="0" borderId="0" xfId="0" applyFont="1" applyFill="1" applyBorder="1" applyAlignment="1">
      <alignment vertical="center"/>
    </xf>
    <xf numFmtId="4" fontId="6" fillId="0" borderId="33" xfId="0" applyNumberFormat="1" applyFont="1" applyFill="1" applyBorder="1" applyAlignment="1">
      <alignment vertical="center"/>
    </xf>
    <xf numFmtId="0" fontId="37" fillId="0" borderId="0" xfId="0" applyFont="1" applyFill="1" applyBorder="1"/>
    <xf numFmtId="0" fontId="37" fillId="0" borderId="0" xfId="0" applyFont="1" applyFill="1" applyBorder="1" applyAlignment="1">
      <alignment horizontal="left"/>
    </xf>
    <xf numFmtId="0" fontId="36" fillId="0" borderId="0" xfId="0" applyFont="1" applyFill="1" applyBorder="1" applyAlignment="1">
      <alignment horizontal="left"/>
    </xf>
    <xf numFmtId="0" fontId="40" fillId="0" borderId="0" xfId="0" applyFont="1" applyFill="1" applyBorder="1" applyAlignment="1">
      <alignment horizontal="left"/>
    </xf>
    <xf numFmtId="0" fontId="39" fillId="0" borderId="0" xfId="0" applyFont="1" applyFill="1" applyBorder="1"/>
    <xf numFmtId="4" fontId="36" fillId="0" borderId="27" xfId="0" applyNumberFormat="1" applyFont="1" applyFill="1" applyBorder="1"/>
    <xf numFmtId="0" fontId="38" fillId="0" borderId="0" xfId="0" applyFont="1" applyFill="1" applyBorder="1" applyAlignment="1">
      <alignment horizontal="left"/>
    </xf>
    <xf numFmtId="4" fontId="38" fillId="0" borderId="27" xfId="0" applyNumberFormat="1" applyFont="1" applyFill="1" applyBorder="1"/>
    <xf numFmtId="0" fontId="39" fillId="0" borderId="0" xfId="0" applyFont="1" applyBorder="1" applyAlignment="1">
      <alignment horizontal="left"/>
    </xf>
    <xf numFmtId="0" fontId="40" fillId="0" borderId="0" xfId="0" applyFont="1" applyBorder="1" applyAlignment="1">
      <alignment horizontal="left"/>
    </xf>
    <xf numFmtId="0" fontId="39" fillId="0" borderId="0" xfId="0" applyFont="1" applyBorder="1"/>
    <xf numFmtId="4" fontId="6" fillId="0" borderId="0" xfId="0" applyNumberFormat="1" applyFont="1" applyAlignment="1">
      <alignment vertical="center"/>
    </xf>
    <xf numFmtId="0" fontId="6" fillId="0" borderId="3" xfId="0" applyFont="1" applyBorder="1" applyAlignment="1">
      <alignment horizontal="left"/>
    </xf>
    <xf numFmtId="0" fontId="6" fillId="0" borderId="20" xfId="0" applyFont="1" applyBorder="1" applyAlignment="1">
      <alignment horizontal="left"/>
    </xf>
    <xf numFmtId="4" fontId="6" fillId="0" borderId="20" xfId="0" applyNumberFormat="1" applyFont="1" applyBorder="1" applyAlignment="1">
      <alignment horizontal="left"/>
    </xf>
    <xf numFmtId="0" fontId="6" fillId="0" borderId="26" xfId="0" applyFont="1" applyBorder="1" applyAlignment="1">
      <alignment horizontal="left"/>
    </xf>
    <xf numFmtId="0" fontId="44" fillId="0" borderId="0" xfId="0" applyFont="1" applyAlignment="1">
      <alignment horizontal="left"/>
    </xf>
    <xf numFmtId="0" fontId="6" fillId="0" borderId="0" xfId="0" applyFont="1" applyBorder="1" applyAlignment="1">
      <alignment horizontal="left" vertical="center"/>
    </xf>
    <xf numFmtId="0" fontId="7" fillId="0" borderId="0" xfId="0" applyFont="1" applyBorder="1" applyAlignment="1">
      <alignment horizontal="left" vertical="center"/>
    </xf>
    <xf numFmtId="4" fontId="35" fillId="0" borderId="0" xfId="0" applyNumberFormat="1" applyFont="1" applyAlignment="1">
      <alignment horizontal="center" vertical="center"/>
    </xf>
    <xf numFmtId="0" fontId="0" fillId="0" borderId="0" xfId="0" applyFont="1" applyAlignment="1">
      <alignment vertical="center"/>
    </xf>
    <xf numFmtId="0" fontId="0" fillId="0" borderId="0" xfId="0"/>
    <xf numFmtId="0" fontId="0" fillId="0" borderId="0" xfId="0" applyFont="1" applyAlignment="1">
      <alignment vertical="center"/>
    </xf>
    <xf numFmtId="0" fontId="0" fillId="0" borderId="0" xfId="0" applyFont="1" applyAlignment="1">
      <alignment vertical="center"/>
    </xf>
    <xf numFmtId="0" fontId="52" fillId="8" borderId="22" xfId="0" applyFont="1" applyFill="1" applyBorder="1" applyAlignment="1" applyProtection="1">
      <alignment horizontal="center" vertical="center"/>
      <protection locked="0"/>
    </xf>
    <xf numFmtId="49" fontId="52" fillId="8" borderId="22" xfId="0" applyNumberFormat="1" applyFont="1" applyFill="1" applyBorder="1" applyAlignment="1" applyProtection="1">
      <alignment horizontal="left" vertical="center" wrapText="1"/>
      <protection locked="0"/>
    </xf>
    <xf numFmtId="0" fontId="52" fillId="8" borderId="22" xfId="0" applyFont="1" applyFill="1" applyBorder="1" applyAlignment="1" applyProtection="1">
      <alignment horizontal="left" vertical="center" wrapText="1"/>
      <protection locked="0"/>
    </xf>
    <xf numFmtId="0" fontId="52" fillId="8" borderId="22" xfId="0" applyFont="1" applyFill="1" applyBorder="1" applyAlignment="1" applyProtection="1">
      <alignment horizontal="center" vertical="center" wrapText="1"/>
      <protection locked="0"/>
    </xf>
    <xf numFmtId="167" fontId="52" fillId="8" borderId="22" xfId="0" applyNumberFormat="1" applyFont="1" applyFill="1" applyBorder="1" applyAlignment="1" applyProtection="1">
      <alignment vertical="center"/>
      <protection locked="0"/>
    </xf>
    <xf numFmtId="4" fontId="52" fillId="8" borderId="22" xfId="0" applyNumberFormat="1" applyFont="1" applyFill="1" applyBorder="1" applyAlignment="1" applyProtection="1">
      <alignment vertical="center"/>
      <protection locked="0"/>
    </xf>
    <xf numFmtId="0" fontId="8" fillId="0" borderId="0" xfId="0" applyFont="1" applyFill="1" applyBorder="1" applyAlignment="1"/>
    <xf numFmtId="0" fontId="53" fillId="8" borderId="22" xfId="0" applyFont="1" applyFill="1" applyBorder="1" applyAlignment="1" applyProtection="1">
      <alignment horizontal="center" vertical="center"/>
      <protection locked="0"/>
    </xf>
    <xf numFmtId="49" fontId="53" fillId="8" borderId="22" xfId="0" applyNumberFormat="1" applyFont="1" applyFill="1" applyBorder="1" applyAlignment="1" applyProtection="1">
      <alignment horizontal="left" vertical="center" wrapText="1"/>
      <protection locked="0"/>
    </xf>
    <xf numFmtId="0" fontId="53" fillId="8" borderId="22" xfId="0" applyFont="1" applyFill="1" applyBorder="1" applyAlignment="1" applyProtection="1">
      <alignment horizontal="left" vertical="center" wrapText="1"/>
      <protection locked="0"/>
    </xf>
    <xf numFmtId="0" fontId="53" fillId="8" borderId="22" xfId="0" applyFont="1" applyFill="1" applyBorder="1" applyAlignment="1" applyProtection="1">
      <alignment horizontal="center" vertical="center" wrapText="1"/>
      <protection locked="0"/>
    </xf>
    <xf numFmtId="167" fontId="53" fillId="8" borderId="22" xfId="0" applyNumberFormat="1" applyFont="1" applyFill="1" applyBorder="1" applyAlignment="1" applyProtection="1">
      <alignment vertical="center"/>
      <protection locked="0"/>
    </xf>
    <xf numFmtId="4" fontId="53" fillId="8" borderId="22" xfId="0" applyNumberFormat="1" applyFont="1" applyFill="1" applyBorder="1" applyAlignment="1" applyProtection="1">
      <alignment vertical="center"/>
      <protection locked="0"/>
    </xf>
    <xf numFmtId="0" fontId="35" fillId="0" borderId="0" xfId="0" applyFont="1" applyFill="1" applyAlignment="1">
      <alignment horizontal="center" vertical="center"/>
    </xf>
    <xf numFmtId="4" fontId="52" fillId="8" borderId="35" xfId="0" applyNumberFormat="1" applyFont="1" applyFill="1" applyBorder="1" applyAlignment="1" applyProtection="1">
      <alignment vertical="center"/>
      <protection locked="0"/>
    </xf>
    <xf numFmtId="4" fontId="53" fillId="8" borderId="35" xfId="0" applyNumberFormat="1" applyFont="1" applyFill="1" applyBorder="1" applyAlignment="1" applyProtection="1">
      <alignment vertical="center"/>
      <protection locked="0"/>
    </xf>
    <xf numFmtId="0" fontId="54" fillId="0" borderId="0" xfId="0" applyFont="1" applyBorder="1"/>
    <xf numFmtId="0" fontId="54" fillId="0" borderId="0" xfId="0" applyFont="1" applyBorder="1" applyAlignment="1">
      <alignment horizontal="left"/>
    </xf>
    <xf numFmtId="0" fontId="55" fillId="0" borderId="0" xfId="0" applyFont="1" applyBorder="1" applyAlignment="1">
      <alignment horizontal="left"/>
    </xf>
    <xf numFmtId="4" fontId="55" fillId="0" borderId="27" xfId="0" applyNumberFormat="1" applyFont="1" applyBorder="1"/>
    <xf numFmtId="0" fontId="0" fillId="0" borderId="0" xfId="0"/>
    <xf numFmtId="0" fontId="0" fillId="0" borderId="0" xfId="0" applyFont="1" applyAlignment="1">
      <alignment vertical="center"/>
    </xf>
    <xf numFmtId="0" fontId="0" fillId="0" borderId="0" xfId="0" applyFont="1" applyBorder="1" applyAlignment="1">
      <alignment vertical="center"/>
    </xf>
    <xf numFmtId="4" fontId="8" fillId="0" borderId="0" xfId="0" applyNumberFormat="1" applyFont="1" applyAlignment="1"/>
    <xf numFmtId="4" fontId="19" fillId="0" borderId="0" xfId="0" applyNumberFormat="1" applyFont="1" applyBorder="1" applyAlignment="1"/>
    <xf numFmtId="0" fontId="0" fillId="0" borderId="0" xfId="0" applyFont="1" applyBorder="1" applyAlignment="1">
      <alignment horizontal="center" vertical="center" wrapText="1"/>
    </xf>
    <xf numFmtId="0" fontId="0" fillId="0" borderId="0" xfId="0"/>
    <xf numFmtId="0" fontId="0" fillId="0" borderId="0" xfId="0" applyFont="1" applyBorder="1" applyAlignment="1">
      <alignment vertical="center"/>
    </xf>
    <xf numFmtId="0" fontId="0" fillId="0" borderId="0" xfId="0" applyFont="1" applyAlignment="1">
      <alignment vertical="center"/>
    </xf>
    <xf numFmtId="0" fontId="2" fillId="0" borderId="0" xfId="0" applyFont="1" applyBorder="1" applyAlignment="1">
      <alignment horizontal="left" vertical="center"/>
    </xf>
    <xf numFmtId="0" fontId="0" fillId="0" borderId="0" xfId="0"/>
    <xf numFmtId="0" fontId="0" fillId="0" borderId="0" xfId="0" applyFont="1" applyAlignment="1">
      <alignment vertical="center"/>
    </xf>
    <xf numFmtId="0" fontId="0" fillId="0" borderId="0" xfId="0" applyFont="1" applyBorder="1" applyAlignment="1">
      <alignment vertical="center"/>
    </xf>
    <xf numFmtId="167" fontId="0" fillId="0" borderId="0" xfId="0" applyNumberFormat="1" applyFont="1" applyAlignment="1">
      <alignment vertical="center"/>
    </xf>
    <xf numFmtId="0" fontId="0" fillId="0" borderId="0" xfId="0"/>
    <xf numFmtId="0" fontId="0" fillId="0" borderId="30" xfId="0" applyFont="1" applyBorder="1" applyAlignment="1" applyProtection="1">
      <alignment vertical="center"/>
      <protection locked="0"/>
    </xf>
    <xf numFmtId="0" fontId="17" fillId="0" borderId="38" xfId="0" applyFont="1" applyBorder="1" applyAlignment="1" applyProtection="1">
      <alignment horizontal="center" vertical="center"/>
      <protection locked="0"/>
    </xf>
    <xf numFmtId="49" fontId="17" fillId="0" borderId="38" xfId="0" applyNumberFormat="1" applyFont="1" applyBorder="1" applyAlignment="1" applyProtection="1">
      <alignment horizontal="left" vertical="center" wrapText="1"/>
      <protection locked="0"/>
    </xf>
    <xf numFmtId="0" fontId="17" fillId="0" borderId="38" xfId="0" applyFont="1" applyBorder="1" applyAlignment="1" applyProtection="1">
      <alignment horizontal="left" vertical="center" wrapText="1"/>
      <protection locked="0"/>
    </xf>
    <xf numFmtId="0" fontId="17" fillId="0" borderId="38" xfId="0" applyFont="1" applyBorder="1" applyAlignment="1" applyProtection="1">
      <alignment horizontal="center" vertical="center" wrapText="1"/>
      <protection locked="0"/>
    </xf>
    <xf numFmtId="167" fontId="17" fillId="0" borderId="38" xfId="0" applyNumberFormat="1" applyFont="1" applyBorder="1" applyAlignment="1" applyProtection="1">
      <alignment vertical="center"/>
      <protection locked="0"/>
    </xf>
    <xf numFmtId="4" fontId="17" fillId="0" borderId="38" xfId="0" applyNumberFormat="1" applyFont="1" applyBorder="1" applyAlignment="1" applyProtection="1">
      <alignment vertical="center"/>
      <protection locked="0"/>
    </xf>
    <xf numFmtId="4" fontId="17" fillId="0" borderId="39" xfId="0" applyNumberFormat="1" applyFont="1" applyBorder="1" applyAlignment="1" applyProtection="1">
      <alignment vertical="center"/>
      <protection locked="0"/>
    </xf>
    <xf numFmtId="0" fontId="35" fillId="5" borderId="22" xfId="0" applyFont="1" applyFill="1" applyBorder="1" applyAlignment="1" applyProtection="1">
      <alignment horizontal="center" vertical="center"/>
      <protection locked="0"/>
    </xf>
    <xf numFmtId="0" fontId="56" fillId="5" borderId="22" xfId="0" applyFont="1" applyFill="1" applyBorder="1" applyAlignment="1" applyProtection="1">
      <alignment horizontal="center" vertical="center"/>
      <protection locked="0"/>
    </xf>
    <xf numFmtId="0" fontId="29" fillId="8" borderId="22" xfId="0" applyFont="1" applyFill="1" applyBorder="1" applyAlignment="1" applyProtection="1">
      <alignment horizontal="center" vertical="center"/>
      <protection locked="0"/>
    </xf>
    <xf numFmtId="49" fontId="29" fillId="8" borderId="22" xfId="0" applyNumberFormat="1" applyFont="1" applyFill="1" applyBorder="1" applyAlignment="1" applyProtection="1">
      <alignment horizontal="left" vertical="center" wrapText="1"/>
      <protection locked="0"/>
    </xf>
    <xf numFmtId="0" fontId="29" fillId="8" borderId="22" xfId="0" applyFont="1" applyFill="1" applyBorder="1" applyAlignment="1" applyProtection="1">
      <alignment horizontal="left" vertical="center" wrapText="1"/>
      <protection locked="0"/>
    </xf>
    <xf numFmtId="0" fontId="29" fillId="8" borderId="22" xfId="0" applyFont="1" applyFill="1" applyBorder="1" applyAlignment="1" applyProtection="1">
      <alignment horizontal="center" vertical="center" wrapText="1"/>
      <protection locked="0"/>
    </xf>
    <xf numFmtId="167" fontId="29" fillId="8" borderId="22" xfId="0" applyNumberFormat="1" applyFont="1" applyFill="1" applyBorder="1" applyAlignment="1" applyProtection="1">
      <alignment vertical="center"/>
      <protection locked="0"/>
    </xf>
    <xf numFmtId="4" fontId="29" fillId="8" borderId="22" xfId="0" applyNumberFormat="1" applyFont="1" applyFill="1" applyBorder="1" applyAlignment="1" applyProtection="1">
      <alignment vertical="center"/>
      <protection locked="0"/>
    </xf>
    <xf numFmtId="0" fontId="0" fillId="0" borderId="0" xfId="0" applyFont="1" applyAlignment="1">
      <alignment vertical="center"/>
    </xf>
    <xf numFmtId="4" fontId="0" fillId="0" borderId="0" xfId="0" applyNumberFormat="1"/>
    <xf numFmtId="4" fontId="0" fillId="0" borderId="0" xfId="0" applyNumberFormat="1" applyFont="1" applyAlignment="1">
      <alignment vertical="center" wrapText="1"/>
    </xf>
    <xf numFmtId="4" fontId="0" fillId="0" borderId="0" xfId="0" applyNumberFormat="1" applyFont="1" applyAlignment="1">
      <alignment horizontal="center" vertical="center" wrapText="1"/>
    </xf>
    <xf numFmtId="4" fontId="57" fillId="0" borderId="0" xfId="0" applyNumberFormat="1" applyFont="1" applyAlignment="1">
      <alignment vertical="center"/>
    </xf>
    <xf numFmtId="4" fontId="59" fillId="0" borderId="0" xfId="0" applyNumberFormat="1" applyFont="1" applyAlignment="1">
      <alignment vertical="center"/>
    </xf>
    <xf numFmtId="4" fontId="58" fillId="0" borderId="0" xfId="0" applyNumberFormat="1" applyFont="1" applyAlignment="1">
      <alignment vertical="center"/>
    </xf>
    <xf numFmtId="4" fontId="58" fillId="0" borderId="0" xfId="0" applyNumberFormat="1" applyFont="1" applyAlignment="1">
      <alignment vertical="center" wrapText="1"/>
    </xf>
    <xf numFmtId="4" fontId="58" fillId="0" borderId="0" xfId="0" applyNumberFormat="1" applyFont="1" applyAlignment="1">
      <alignment horizontal="center" vertical="center" wrapText="1"/>
    </xf>
    <xf numFmtId="4" fontId="29" fillId="8" borderId="35" xfId="0" applyNumberFormat="1" applyFont="1" applyFill="1" applyBorder="1" applyAlignment="1" applyProtection="1">
      <alignment vertical="center"/>
      <protection locked="0"/>
    </xf>
    <xf numFmtId="0" fontId="0" fillId="0" borderId="0" xfId="0"/>
    <xf numFmtId="0" fontId="0" fillId="0" borderId="0" xfId="0" applyFont="1" applyAlignment="1">
      <alignment vertical="center"/>
    </xf>
    <xf numFmtId="0" fontId="0" fillId="0" borderId="0" xfId="0" applyFont="1" applyBorder="1" applyAlignment="1">
      <alignment vertical="center"/>
    </xf>
    <xf numFmtId="4" fontId="7" fillId="0" borderId="0" xfId="0" applyNumberFormat="1" applyFont="1" applyAlignment="1">
      <alignment vertical="center"/>
    </xf>
    <xf numFmtId="4" fontId="0" fillId="0" borderId="0" xfId="0" applyNumberFormat="1" applyFont="1" applyFill="1" applyAlignment="1">
      <alignment vertical="center"/>
    </xf>
    <xf numFmtId="0" fontId="0" fillId="0" borderId="0" xfId="0" applyFont="1" applyFill="1" applyAlignment="1">
      <alignment vertical="center"/>
    </xf>
    <xf numFmtId="4" fontId="8" fillId="0" borderId="0" xfId="0" applyNumberFormat="1" applyFont="1" applyFill="1" applyAlignment="1"/>
    <xf numFmtId="167" fontId="0" fillId="0" borderId="0" xfId="0" applyNumberFormat="1" applyFont="1" applyFill="1" applyAlignment="1">
      <alignment vertical="center"/>
    </xf>
    <xf numFmtId="0" fontId="0" fillId="0" borderId="0" xfId="0" applyFill="1"/>
    <xf numFmtId="0" fontId="29" fillId="0" borderId="0" xfId="0" applyFont="1" applyBorder="1" applyAlignment="1" applyProtection="1">
      <alignment horizontal="center" vertical="center"/>
      <protection locked="0"/>
    </xf>
    <xf numFmtId="49" fontId="29" fillId="0" borderId="0" xfId="0" applyNumberFormat="1" applyFont="1" applyBorder="1" applyAlignment="1" applyProtection="1">
      <alignment horizontal="left" vertical="center" wrapText="1"/>
      <protection locked="0"/>
    </xf>
    <xf numFmtId="0" fontId="29" fillId="0" borderId="0" xfId="0" applyFont="1" applyBorder="1" applyAlignment="1" applyProtection="1">
      <alignment horizontal="left" vertical="center" wrapText="1"/>
      <protection locked="0"/>
    </xf>
    <xf numFmtId="0" fontId="29" fillId="0" borderId="0" xfId="0" applyFont="1" applyBorder="1" applyAlignment="1" applyProtection="1">
      <alignment horizontal="center" vertical="center" wrapText="1"/>
      <protection locked="0"/>
    </xf>
    <xf numFmtId="167" fontId="29" fillId="0" borderId="0" xfId="0" applyNumberFormat="1" applyFont="1" applyBorder="1" applyAlignment="1" applyProtection="1">
      <alignment vertical="center"/>
      <protection locked="0"/>
    </xf>
    <xf numFmtId="4" fontId="29" fillId="0" borderId="0" xfId="0" applyNumberFormat="1" applyFont="1" applyBorder="1" applyAlignment="1" applyProtection="1">
      <alignment vertical="center"/>
      <protection locked="0"/>
    </xf>
    <xf numFmtId="0" fontId="0" fillId="0" borderId="0" xfId="0" applyFont="1" applyAlignment="1">
      <alignment vertical="center"/>
    </xf>
    <xf numFmtId="0" fontId="0" fillId="0" borderId="0" xfId="0"/>
    <xf numFmtId="0" fontId="0" fillId="0" borderId="0" xfId="0" applyFont="1" applyBorder="1" applyAlignment="1">
      <alignment vertical="center"/>
    </xf>
    <xf numFmtId="0" fontId="1" fillId="0" borderId="0" xfId="0" applyFont="1" applyBorder="1" applyAlignment="1">
      <alignment horizontal="left" vertical="center"/>
    </xf>
    <xf numFmtId="0" fontId="0" fillId="0" borderId="0" xfId="0" applyFont="1" applyAlignment="1">
      <alignment vertical="center"/>
    </xf>
    <xf numFmtId="0" fontId="2" fillId="0" borderId="0" xfId="0" applyFont="1" applyBorder="1" applyAlignment="1">
      <alignment horizontal="left" vertical="center"/>
    </xf>
    <xf numFmtId="0" fontId="17" fillId="10" borderId="22" xfId="0" applyFont="1" applyFill="1" applyBorder="1" applyAlignment="1" applyProtection="1">
      <alignment horizontal="left" vertical="center" wrapText="1"/>
      <protection locked="0"/>
    </xf>
    <xf numFmtId="0" fontId="0" fillId="0" borderId="0" xfId="0" applyFont="1" applyAlignment="1">
      <alignment vertical="center"/>
    </xf>
    <xf numFmtId="0" fontId="0" fillId="0" borderId="0" xfId="0" applyFont="1" applyBorder="1" applyAlignment="1">
      <alignment vertical="center"/>
    </xf>
    <xf numFmtId="0" fontId="0" fillId="0" borderId="0" xfId="0"/>
    <xf numFmtId="0" fontId="0" fillId="0" borderId="0" xfId="0" applyFont="1" applyFill="1" applyBorder="1" applyAlignment="1">
      <alignment vertical="center"/>
    </xf>
    <xf numFmtId="0" fontId="32" fillId="0" borderId="0" xfId="0" applyFont="1" applyFill="1" applyAlignment="1">
      <alignment vertical="center" wrapText="1"/>
    </xf>
    <xf numFmtId="0" fontId="6" fillId="0" borderId="0" xfId="0" applyFont="1" applyFill="1" applyBorder="1" applyAlignment="1">
      <alignment horizontal="left"/>
    </xf>
    <xf numFmtId="0" fontId="12" fillId="0" borderId="0" xfId="0" applyFont="1" applyFill="1" applyAlignment="1">
      <alignment horizontal="center" vertical="center"/>
    </xf>
    <xf numFmtId="0" fontId="23" fillId="0" borderId="24" xfId="0" applyFont="1" applyBorder="1" applyAlignment="1">
      <alignment vertical="center"/>
    </xf>
    <xf numFmtId="0" fontId="23" fillId="0" borderId="0" xfId="0" applyFont="1" applyBorder="1" applyAlignment="1">
      <alignment vertical="center"/>
    </xf>
    <xf numFmtId="0" fontId="23" fillId="0" borderId="31" xfId="0" applyFont="1" applyBorder="1" applyAlignment="1">
      <alignment vertical="center"/>
    </xf>
    <xf numFmtId="0" fontId="22" fillId="0" borderId="0" xfId="0" applyFont="1" applyBorder="1" applyAlignment="1">
      <alignment vertical="center"/>
    </xf>
    <xf numFmtId="0" fontId="5" fillId="0" borderId="43" xfId="0" applyFont="1" applyBorder="1" applyAlignment="1">
      <alignment vertical="center"/>
    </xf>
    <xf numFmtId="0" fontId="22" fillId="0" borderId="24" xfId="0" applyFont="1" applyBorder="1" applyAlignment="1">
      <alignment vertical="center"/>
    </xf>
    <xf numFmtId="4" fontId="5" fillId="0" borderId="0" xfId="0" applyNumberFormat="1" applyFont="1" applyAlignment="1">
      <alignment vertical="center"/>
    </xf>
    <xf numFmtId="0" fontId="5" fillId="0" borderId="44" xfId="0" applyFont="1" applyBorder="1" applyAlignment="1">
      <alignment vertical="center"/>
    </xf>
    <xf numFmtId="0" fontId="22" fillId="0" borderId="31" xfId="0" applyFont="1" applyBorder="1" applyAlignment="1">
      <alignment vertical="center"/>
    </xf>
    <xf numFmtId="4" fontId="62" fillId="11" borderId="0" xfId="2" applyNumberFormat="1" applyAlignment="1">
      <alignment vertical="center"/>
    </xf>
    <xf numFmtId="4" fontId="58" fillId="0" borderId="0" xfId="0" applyNumberFormat="1" applyFont="1"/>
    <xf numFmtId="4" fontId="64" fillId="12" borderId="0" xfId="3" applyNumberFormat="1" applyFont="1"/>
    <xf numFmtId="167" fontId="29" fillId="0" borderId="22" xfId="0" applyNumberFormat="1" applyFont="1" applyFill="1" applyBorder="1" applyAlignment="1" applyProtection="1">
      <alignment vertical="center"/>
      <protection locked="0"/>
    </xf>
    <xf numFmtId="0" fontId="29" fillId="0" borderId="22" xfId="0" applyFont="1" applyFill="1" applyBorder="1" applyAlignment="1" applyProtection="1">
      <alignment horizontal="center" vertical="center"/>
      <protection locked="0"/>
    </xf>
    <xf numFmtId="0" fontId="17" fillId="0" borderId="38" xfId="0" applyFont="1" applyFill="1" applyBorder="1" applyAlignment="1" applyProtection="1">
      <alignment horizontal="center" vertical="center"/>
      <protection locked="0"/>
    </xf>
    <xf numFmtId="0" fontId="17" fillId="0" borderId="45" xfId="0" applyFont="1" applyFill="1" applyBorder="1" applyAlignment="1" applyProtection="1">
      <alignment horizontal="center" vertical="center"/>
      <protection locked="0"/>
    </xf>
    <xf numFmtId="0" fontId="0" fillId="0" borderId="3" xfId="0" applyFont="1" applyFill="1" applyBorder="1" applyAlignment="1">
      <alignment vertical="center"/>
    </xf>
    <xf numFmtId="0" fontId="18" fillId="0" borderId="14" xfId="0" applyFont="1" applyFill="1" applyBorder="1" applyAlignment="1">
      <alignment horizontal="left" vertical="center"/>
    </xf>
    <xf numFmtId="0" fontId="18" fillId="0" borderId="0" xfId="0" applyFont="1" applyFill="1" applyBorder="1" applyAlignment="1">
      <alignment horizontal="center" vertical="center"/>
    </xf>
    <xf numFmtId="166" fontId="18" fillId="0" borderId="0" xfId="0" applyNumberFormat="1" applyFont="1" applyFill="1" applyBorder="1" applyAlignment="1">
      <alignment vertical="center"/>
    </xf>
    <xf numFmtId="166" fontId="18" fillId="0" borderId="15" xfId="0" applyNumberFormat="1" applyFont="1" applyFill="1" applyBorder="1" applyAlignment="1">
      <alignment vertical="center"/>
    </xf>
    <xf numFmtId="0" fontId="0" fillId="0" borderId="26" xfId="0" applyFont="1" applyFill="1" applyBorder="1" applyAlignment="1" applyProtection="1">
      <alignment vertical="center"/>
      <protection locked="0"/>
    </xf>
    <xf numFmtId="49" fontId="29" fillId="0" borderId="22" xfId="0" applyNumberFormat="1" applyFont="1" applyFill="1" applyBorder="1" applyAlignment="1" applyProtection="1">
      <alignment horizontal="left" vertical="center" wrapText="1"/>
      <protection locked="0"/>
    </xf>
    <xf numFmtId="0" fontId="29" fillId="0" borderId="22" xfId="0" applyFont="1" applyFill="1" applyBorder="1" applyAlignment="1" applyProtection="1">
      <alignment horizontal="left" vertical="center" wrapText="1"/>
      <protection locked="0"/>
    </xf>
    <xf numFmtId="0" fontId="29" fillId="0" borderId="22" xfId="0" applyFont="1" applyFill="1" applyBorder="1" applyAlignment="1" applyProtection="1">
      <alignment horizontal="center" vertical="center" wrapText="1"/>
      <protection locked="0"/>
    </xf>
    <xf numFmtId="4" fontId="29" fillId="0" borderId="22" xfId="0" applyNumberFormat="1" applyFont="1" applyFill="1" applyBorder="1" applyAlignment="1" applyProtection="1">
      <alignment vertical="center"/>
      <protection locked="0"/>
    </xf>
    <xf numFmtId="0" fontId="30" fillId="0" borderId="3" xfId="0" applyFont="1" applyFill="1" applyBorder="1" applyAlignment="1">
      <alignment vertical="center"/>
    </xf>
    <xf numFmtId="0" fontId="29" fillId="0" borderId="14" xfId="0" applyFont="1" applyFill="1" applyBorder="1" applyAlignment="1">
      <alignment horizontal="left" vertical="center"/>
    </xf>
    <xf numFmtId="0" fontId="29" fillId="0" borderId="0" xfId="0" applyFont="1" applyFill="1" applyBorder="1" applyAlignment="1">
      <alignment horizontal="center" vertical="center"/>
    </xf>
    <xf numFmtId="4" fontId="29" fillId="0" borderId="35" xfId="0" applyNumberFormat="1" applyFont="1" applyFill="1" applyBorder="1" applyAlignment="1" applyProtection="1">
      <alignment vertical="center"/>
      <protection locked="0"/>
    </xf>
    <xf numFmtId="0" fontId="0" fillId="0" borderId="0" xfId="0" applyFont="1" applyAlignment="1">
      <alignment vertical="center"/>
    </xf>
    <xf numFmtId="0" fontId="0" fillId="0" borderId="0" xfId="0" applyFont="1" applyAlignment="1">
      <alignment vertical="center"/>
    </xf>
    <xf numFmtId="0" fontId="65" fillId="0" borderId="3" xfId="0" applyFont="1" applyBorder="1" applyAlignment="1">
      <alignment vertical="center"/>
    </xf>
    <xf numFmtId="0" fontId="66" fillId="0" borderId="0" xfId="0" applyFont="1" applyAlignment="1">
      <alignment vertical="center"/>
    </xf>
    <xf numFmtId="0" fontId="65" fillId="0" borderId="3" xfId="0" applyFont="1" applyBorder="1" applyAlignment="1">
      <alignment vertical="center" wrapText="1"/>
    </xf>
    <xf numFmtId="0" fontId="67" fillId="10" borderId="0" xfId="0" applyFont="1" applyFill="1" applyAlignment="1">
      <alignment vertical="center" wrapText="1"/>
    </xf>
    <xf numFmtId="0" fontId="65" fillId="0" borderId="0" xfId="0" applyFont="1" applyBorder="1" applyAlignment="1">
      <alignment vertical="center" wrapText="1"/>
    </xf>
    <xf numFmtId="0" fontId="67" fillId="10" borderId="0" xfId="0" applyFont="1" applyFill="1" applyBorder="1" applyAlignment="1">
      <alignment vertical="center" wrapText="1"/>
    </xf>
    <xf numFmtId="0" fontId="68" fillId="0" borderId="3" xfId="0" applyFont="1" applyBorder="1" applyAlignment="1">
      <alignment vertical="center"/>
    </xf>
    <xf numFmtId="0" fontId="68" fillId="0" borderId="0" xfId="0" applyFont="1" applyAlignment="1">
      <alignment vertical="center"/>
    </xf>
    <xf numFmtId="0" fontId="0" fillId="0" borderId="0" xfId="0" applyFont="1" applyAlignment="1">
      <alignment vertical="center"/>
    </xf>
    <xf numFmtId="0" fontId="68" fillId="0" borderId="3" xfId="0" applyFont="1" applyBorder="1" applyAlignment="1">
      <alignment vertical="center" wrapText="1"/>
    </xf>
    <xf numFmtId="0" fontId="66" fillId="0" borderId="3" xfId="0" applyFont="1" applyBorder="1" applyAlignment="1">
      <alignment vertical="center" wrapText="1"/>
    </xf>
    <xf numFmtId="0" fontId="0" fillId="0" borderId="0" xfId="0"/>
    <xf numFmtId="0" fontId="0" fillId="0" borderId="0" xfId="0" applyFont="1" applyBorder="1" applyAlignment="1">
      <alignment vertical="center"/>
    </xf>
    <xf numFmtId="0" fontId="1" fillId="0" borderId="0" xfId="0" applyFont="1" applyBorder="1" applyAlignment="1">
      <alignment horizontal="left" vertical="center"/>
    </xf>
    <xf numFmtId="0" fontId="0" fillId="0" borderId="0" xfId="0" applyFont="1" applyAlignment="1">
      <alignment vertical="center"/>
    </xf>
    <xf numFmtId="0" fontId="2" fillId="0" borderId="0" xfId="0" applyFont="1" applyBorder="1" applyAlignment="1">
      <alignment horizontal="left" vertical="center"/>
    </xf>
    <xf numFmtId="0" fontId="0" fillId="0" borderId="3" xfId="0" applyFont="1" applyFill="1" applyBorder="1" applyAlignment="1" applyProtection="1">
      <alignment vertical="center"/>
      <protection locked="0"/>
    </xf>
    <xf numFmtId="0" fontId="18" fillId="0" borderId="19" xfId="0" applyFont="1" applyFill="1" applyBorder="1" applyAlignment="1">
      <alignment horizontal="left" vertical="center"/>
    </xf>
    <xf numFmtId="0" fontId="18" fillId="0" borderId="20" xfId="0" applyFont="1" applyFill="1" applyBorder="1" applyAlignment="1">
      <alignment horizontal="center" vertical="center"/>
    </xf>
    <xf numFmtId="166" fontId="18" fillId="0" borderId="20" xfId="0" applyNumberFormat="1" applyFont="1" applyFill="1" applyBorder="1" applyAlignment="1">
      <alignment vertical="center"/>
    </xf>
    <xf numFmtId="166" fontId="18" fillId="0" borderId="21" xfId="0" applyNumberFormat="1" applyFont="1" applyFill="1" applyBorder="1" applyAlignment="1">
      <alignment vertical="center"/>
    </xf>
    <xf numFmtId="0" fontId="0" fillId="0" borderId="9" xfId="0" applyFont="1" applyFill="1" applyBorder="1" applyAlignment="1">
      <alignment vertical="center"/>
    </xf>
    <xf numFmtId="0" fontId="0" fillId="0" borderId="10" xfId="0" applyFont="1" applyFill="1" applyBorder="1" applyAlignment="1">
      <alignment vertical="center"/>
    </xf>
    <xf numFmtId="0" fontId="0" fillId="0" borderId="30" xfId="0" applyFont="1" applyFill="1" applyBorder="1" applyAlignment="1">
      <alignment vertical="center"/>
    </xf>
    <xf numFmtId="0" fontId="0" fillId="0" borderId="31" xfId="0" applyFont="1" applyFill="1" applyBorder="1" applyAlignment="1">
      <alignment vertical="center"/>
    </xf>
    <xf numFmtId="0" fontId="61" fillId="0" borderId="0" xfId="0" applyFont="1" applyFill="1" applyAlignment="1">
      <alignment vertical="center" wrapText="1"/>
    </xf>
    <xf numFmtId="0" fontId="8" fillId="0" borderId="0" xfId="0" applyFont="1" applyFill="1" applyAlignment="1">
      <alignment horizontal="left"/>
    </xf>
    <xf numFmtId="0" fontId="7" fillId="0" borderId="0" xfId="0" applyFont="1" applyFill="1" applyAlignment="1">
      <alignment horizontal="left"/>
    </xf>
    <xf numFmtId="4" fontId="7" fillId="0" borderId="0" xfId="0" applyNumberFormat="1" applyFont="1" applyFill="1" applyAlignment="1"/>
    <xf numFmtId="0" fontId="31" fillId="0" borderId="0" xfId="0" applyFont="1" applyFill="1" applyAlignment="1">
      <alignment horizontal="left" vertical="center"/>
    </xf>
    <xf numFmtId="0" fontId="65" fillId="0" borderId="3" xfId="0" applyFont="1" applyFill="1" applyBorder="1" applyAlignment="1">
      <alignment vertical="center" wrapText="1"/>
    </xf>
    <xf numFmtId="0" fontId="66" fillId="0" borderId="0" xfId="0" applyFont="1" applyFill="1" applyAlignment="1">
      <alignment vertical="center"/>
    </xf>
    <xf numFmtId="0" fontId="0" fillId="0" borderId="14" xfId="0" applyFont="1" applyFill="1" applyBorder="1" applyAlignment="1">
      <alignment vertical="center"/>
    </xf>
    <xf numFmtId="0" fontId="0" fillId="0" borderId="15" xfId="0" applyFont="1" applyFill="1" applyBorder="1" applyAlignment="1">
      <alignment vertical="center"/>
    </xf>
    <xf numFmtId="0" fontId="8" fillId="0" borderId="3" xfId="0" applyFont="1" applyFill="1" applyBorder="1" applyAlignment="1"/>
    <xf numFmtId="0" fontId="8" fillId="0" borderId="14" xfId="0" applyFont="1" applyFill="1" applyBorder="1" applyAlignment="1"/>
    <xf numFmtId="166" fontId="8" fillId="0" borderId="0" xfId="0" applyNumberFormat="1" applyFont="1" applyFill="1" applyBorder="1" applyAlignment="1"/>
    <xf numFmtId="166" fontId="8" fillId="0" borderId="15" xfId="0" applyNumberFormat="1" applyFont="1" applyFill="1" applyBorder="1" applyAlignment="1"/>
    <xf numFmtId="0" fontId="6" fillId="0" borderId="0" xfId="0" applyFont="1" applyFill="1" applyAlignment="1">
      <alignment horizontal="left"/>
    </xf>
    <xf numFmtId="4" fontId="6" fillId="0" borderId="0" xfId="0" applyNumberFormat="1" applyFont="1" applyFill="1" applyAlignment="1"/>
    <xf numFmtId="0" fontId="67" fillId="0" borderId="0" xfId="0" applyFont="1" applyFill="1" applyAlignment="1">
      <alignment vertical="center" wrapText="1"/>
    </xf>
    <xf numFmtId="0" fontId="52" fillId="0" borderId="22" xfId="0" applyFont="1" applyFill="1" applyBorder="1" applyAlignment="1" applyProtection="1">
      <alignment horizontal="left" vertical="center" wrapText="1"/>
      <protection locked="0"/>
    </xf>
    <xf numFmtId="0" fontId="32" fillId="0" borderId="0" xfId="0" applyFont="1" applyFill="1" applyBorder="1" applyAlignment="1">
      <alignment vertical="center" wrapText="1"/>
    </xf>
    <xf numFmtId="0" fontId="8" fillId="0" borderId="0" xfId="0" applyFont="1" applyFill="1" applyBorder="1" applyAlignment="1">
      <alignment horizontal="left"/>
    </xf>
    <xf numFmtId="0" fontId="7" fillId="0" borderId="0" xfId="0" applyFont="1" applyFill="1" applyBorder="1" applyAlignment="1">
      <alignment horizontal="left"/>
    </xf>
    <xf numFmtId="0" fontId="60" fillId="0" borderId="0" xfId="0" applyFont="1" applyFill="1" applyBorder="1" applyAlignment="1">
      <alignment horizontal="left"/>
    </xf>
    <xf numFmtId="0" fontId="61" fillId="0" borderId="0" xfId="0" applyFont="1" applyFill="1" applyBorder="1" applyAlignment="1">
      <alignment vertical="center" wrapText="1"/>
    </xf>
    <xf numFmtId="4" fontId="7" fillId="0" borderId="27" xfId="0" applyNumberFormat="1" applyFont="1" applyFill="1" applyBorder="1" applyAlignment="1"/>
    <xf numFmtId="0" fontId="31" fillId="0" borderId="0" xfId="0" applyFont="1" applyFill="1" applyBorder="1" applyAlignment="1">
      <alignment horizontal="left" vertical="center"/>
    </xf>
    <xf numFmtId="0" fontId="0" fillId="0" borderId="27" xfId="0" applyFont="1" applyFill="1" applyBorder="1" applyAlignment="1">
      <alignment vertical="center"/>
    </xf>
    <xf numFmtId="4" fontId="6" fillId="0" borderId="27" xfId="0" applyNumberFormat="1" applyFont="1" applyFill="1" applyBorder="1" applyAlignment="1"/>
    <xf numFmtId="0" fontId="67" fillId="0" borderId="0" xfId="0" applyFont="1" applyFill="1" applyBorder="1" applyAlignment="1">
      <alignment vertical="center" wrapText="1"/>
    </xf>
    <xf numFmtId="4" fontId="6" fillId="0" borderId="27" xfId="0" applyNumberFormat="1" applyFont="1" applyBorder="1"/>
    <xf numFmtId="0" fontId="0" fillId="0" borderId="32" xfId="0" applyFont="1" applyFill="1" applyBorder="1" applyAlignment="1">
      <alignment vertical="center"/>
    </xf>
    <xf numFmtId="4" fontId="4" fillId="0" borderId="0" xfId="0" applyNumberFormat="1" applyFont="1" applyAlignment="1">
      <alignment vertical="center"/>
    </xf>
    <xf numFmtId="0" fontId="0" fillId="0" borderId="0" xfId="0" applyFont="1" applyAlignment="1">
      <alignment vertical="center"/>
    </xf>
    <xf numFmtId="0" fontId="1" fillId="0" borderId="0" xfId="0" applyFont="1" applyAlignment="1">
      <alignment vertical="center"/>
    </xf>
    <xf numFmtId="0" fontId="2" fillId="0" borderId="0" xfId="0" applyFont="1" applyAlignment="1">
      <alignment horizontal="left" vertical="center"/>
    </xf>
    <xf numFmtId="0" fontId="0" fillId="0" borderId="0" xfId="0" applyFont="1" applyAlignment="1">
      <alignment vertical="center"/>
    </xf>
    <xf numFmtId="0" fontId="1" fillId="0" borderId="0" xfId="0" applyFont="1" applyBorder="1" applyAlignment="1">
      <alignment horizontal="left" vertical="center"/>
    </xf>
    <xf numFmtId="0" fontId="0" fillId="0" borderId="0" xfId="0" applyFont="1" applyBorder="1" applyAlignment="1">
      <alignment vertical="center"/>
    </xf>
    <xf numFmtId="0" fontId="0" fillId="0" borderId="0" xfId="0" applyFont="1" applyFill="1" applyAlignment="1">
      <alignment horizontal="center" vertical="center" wrapText="1"/>
    </xf>
    <xf numFmtId="4" fontId="0" fillId="0" borderId="0" xfId="0" applyNumberFormat="1" applyFont="1" applyFill="1" applyAlignment="1">
      <alignment horizontal="center" vertical="center" wrapText="1"/>
    </xf>
    <xf numFmtId="0" fontId="58" fillId="0" borderId="0" xfId="0" applyFont="1" applyAlignment="1">
      <alignment horizontal="left" vertical="top"/>
    </xf>
    <xf numFmtId="0" fontId="0" fillId="0" borderId="0" xfId="0" applyFont="1"/>
    <xf numFmtId="0" fontId="58" fillId="0" borderId="0" xfId="0" applyFont="1" applyAlignment="1">
      <alignment horizontal="left" vertical="center"/>
    </xf>
    <xf numFmtId="0" fontId="58" fillId="0" borderId="0" xfId="0" applyFont="1" applyAlignment="1">
      <alignment vertical="center"/>
    </xf>
    <xf numFmtId="0" fontId="14" fillId="0" borderId="0" xfId="0" applyFont="1" applyBorder="1" applyAlignment="1">
      <alignment horizontal="left" vertical="center"/>
    </xf>
    <xf numFmtId="0" fontId="1" fillId="0" borderId="0" xfId="0" applyFont="1" applyAlignment="1">
      <alignment vertical="center" wrapText="1"/>
    </xf>
    <xf numFmtId="0" fontId="70" fillId="0" borderId="0" xfId="0" applyFont="1" applyAlignment="1">
      <alignment vertical="center"/>
    </xf>
    <xf numFmtId="0" fontId="71" fillId="0" borderId="0" xfId="0" applyFont="1" applyAlignment="1">
      <alignment vertical="center"/>
    </xf>
    <xf numFmtId="0" fontId="58" fillId="0" borderId="0" xfId="0" applyFont="1" applyAlignment="1">
      <alignment horizontal="right" vertical="center"/>
    </xf>
    <xf numFmtId="164" fontId="58" fillId="0" borderId="0" xfId="0" applyNumberFormat="1" applyFont="1" applyAlignment="1">
      <alignment horizontal="right" vertical="center"/>
    </xf>
    <xf numFmtId="0" fontId="1" fillId="0" borderId="0" xfId="0" applyFont="1" applyBorder="1" applyAlignment="1">
      <alignment horizontal="center" vertical="center"/>
    </xf>
    <xf numFmtId="0" fontId="1" fillId="0" borderId="0" xfId="0" applyFont="1" applyBorder="1" applyAlignment="1">
      <alignment vertical="center"/>
    </xf>
    <xf numFmtId="0" fontId="58" fillId="0" borderId="0" xfId="0" applyFont="1" applyBorder="1" applyAlignment="1">
      <alignment horizontal="left" vertical="center"/>
    </xf>
    <xf numFmtId="0" fontId="0" fillId="0" borderId="0" xfId="0" applyFont="1" applyBorder="1"/>
    <xf numFmtId="0" fontId="71" fillId="0" borderId="0" xfId="0" applyFont="1" applyBorder="1" applyAlignment="1">
      <alignment vertical="center"/>
    </xf>
    <xf numFmtId="0" fontId="71" fillId="0" borderId="0" xfId="0" applyFont="1" applyBorder="1" applyAlignment="1">
      <alignment horizontal="left" vertical="center"/>
    </xf>
    <xf numFmtId="0" fontId="58" fillId="0" borderId="0" xfId="0" applyFont="1" applyBorder="1" applyAlignment="1">
      <alignment horizontal="right" vertical="center"/>
    </xf>
    <xf numFmtId="0" fontId="58" fillId="0" borderId="27" xfId="0" applyFont="1" applyBorder="1" applyAlignment="1">
      <alignment horizontal="right" vertical="center"/>
    </xf>
    <xf numFmtId="0" fontId="0" fillId="0" borderId="0" xfId="0" applyFont="1" applyBorder="1" applyAlignment="1">
      <alignment horizontal="left" vertical="center"/>
    </xf>
    <xf numFmtId="4" fontId="58" fillId="0" borderId="0" xfId="0" applyNumberFormat="1" applyFont="1" applyBorder="1" applyAlignment="1">
      <alignment vertical="center"/>
    </xf>
    <xf numFmtId="164" fontId="58" fillId="0" borderId="0" xfId="0" applyNumberFormat="1" applyFont="1" applyBorder="1" applyAlignment="1">
      <alignment horizontal="right" vertical="center"/>
    </xf>
    <xf numFmtId="4" fontId="58" fillId="0" borderId="27" xfId="0" applyNumberFormat="1" applyFont="1" applyBorder="1" applyAlignment="1">
      <alignment vertical="center"/>
    </xf>
    <xf numFmtId="0" fontId="71" fillId="0" borderId="0" xfId="0" applyFont="1" applyAlignment="1">
      <alignment horizontal="left" vertical="center"/>
    </xf>
    <xf numFmtId="0" fontId="70" fillId="0" borderId="0" xfId="0" applyFont="1" applyAlignment="1">
      <alignment horizontal="left" vertical="center"/>
    </xf>
    <xf numFmtId="0" fontId="70" fillId="0" borderId="0" xfId="0" applyFont="1" applyBorder="1" applyAlignment="1">
      <alignment horizontal="left" vertical="center"/>
    </xf>
    <xf numFmtId="0" fontId="73" fillId="0" borderId="0" xfId="0" applyFont="1" applyAlignment="1">
      <alignment vertical="center"/>
    </xf>
    <xf numFmtId="0" fontId="74" fillId="0" borderId="0" xfId="0" applyFont="1" applyAlignment="1">
      <alignment vertical="center"/>
    </xf>
    <xf numFmtId="0" fontId="72" fillId="0" borderId="0" xfId="0" applyFont="1" applyAlignment="1">
      <alignment horizontal="left" vertical="center"/>
    </xf>
    <xf numFmtId="0" fontId="45" fillId="0" borderId="0" xfId="0" applyFont="1" applyBorder="1" applyAlignment="1">
      <alignment vertical="center" wrapText="1"/>
    </xf>
    <xf numFmtId="0" fontId="70" fillId="0" borderId="0" xfId="0" applyFont="1" applyBorder="1" applyAlignment="1">
      <alignment vertical="center"/>
    </xf>
    <xf numFmtId="4" fontId="75" fillId="0" borderId="0" xfId="0" applyNumberFormat="1" applyFont="1"/>
    <xf numFmtId="0" fontId="0" fillId="0" borderId="0" xfId="0" applyFont="1" applyBorder="1" applyAlignment="1">
      <alignment vertical="center"/>
    </xf>
    <xf numFmtId="0" fontId="2" fillId="0" borderId="0" xfId="0" applyFont="1" applyBorder="1" applyAlignment="1">
      <alignment horizontal="left" vertical="center"/>
    </xf>
    <xf numFmtId="0" fontId="1" fillId="0" borderId="0" xfId="0" applyFont="1" applyBorder="1" applyAlignment="1">
      <alignment horizontal="left" vertical="center"/>
    </xf>
    <xf numFmtId="2" fontId="0" fillId="0" borderId="0" xfId="0" applyNumberFormat="1"/>
    <xf numFmtId="2" fontId="0" fillId="0" borderId="0" xfId="0" applyNumberFormat="1" applyFont="1" applyAlignment="1">
      <alignment vertical="center"/>
    </xf>
    <xf numFmtId="2" fontId="0" fillId="0" borderId="0" xfId="0" applyNumberFormat="1" applyFont="1" applyAlignment="1">
      <alignment vertical="center" wrapText="1"/>
    </xf>
    <xf numFmtId="2" fontId="6" fillId="0" borderId="0" xfId="0" applyNumberFormat="1" applyFont="1" applyAlignment="1">
      <alignment vertical="center"/>
    </xf>
    <xf numFmtId="2" fontId="7" fillId="0" borderId="0" xfId="0" applyNumberFormat="1" applyFont="1" applyAlignment="1">
      <alignment vertical="center"/>
    </xf>
    <xf numFmtId="4" fontId="6" fillId="0" borderId="0" xfId="0" applyNumberFormat="1" applyFont="1" applyAlignment="1">
      <alignment horizontal="left"/>
    </xf>
    <xf numFmtId="3" fontId="76" fillId="0" borderId="0" xfId="0" applyNumberFormat="1" applyFont="1" applyAlignment="1"/>
    <xf numFmtId="2" fontId="0" fillId="0" borderId="0" xfId="0" applyNumberFormat="1" applyFont="1" applyFill="1" applyAlignment="1">
      <alignment vertical="center"/>
    </xf>
    <xf numFmtId="0" fontId="17" fillId="7" borderId="16" xfId="0" applyFont="1" applyFill="1" applyBorder="1" applyAlignment="1" applyProtection="1">
      <alignment horizontal="center" vertical="center"/>
      <protection locked="0"/>
    </xf>
    <xf numFmtId="0" fontId="17" fillId="7" borderId="17" xfId="0" applyFont="1" applyFill="1" applyBorder="1" applyAlignment="1" applyProtection="1">
      <alignment horizontal="center" vertical="center"/>
      <protection locked="0"/>
    </xf>
    <xf numFmtId="0" fontId="17" fillId="7" borderId="18" xfId="0" applyFont="1" applyFill="1" applyBorder="1" applyAlignment="1" applyProtection="1">
      <alignment horizontal="center" vertical="center"/>
      <protection locked="0"/>
    </xf>
    <xf numFmtId="0" fontId="0" fillId="0" borderId="0" xfId="0" applyFont="1" applyBorder="1" applyAlignment="1">
      <alignment vertical="center"/>
    </xf>
    <xf numFmtId="0" fontId="0" fillId="0" borderId="0" xfId="0" applyFont="1" applyAlignment="1">
      <alignment vertical="center"/>
    </xf>
    <xf numFmtId="0" fontId="4" fillId="0" borderId="0" xfId="0" applyFont="1" applyFill="1" applyAlignment="1">
      <alignment vertical="center"/>
    </xf>
    <xf numFmtId="0" fontId="78" fillId="0" borderId="0" xfId="0" applyFont="1" applyFill="1" applyAlignment="1">
      <alignment vertical="center"/>
    </xf>
    <xf numFmtId="0" fontId="5" fillId="0" borderId="0" xfId="0" applyFont="1" applyFill="1" applyAlignment="1">
      <alignment vertical="center"/>
    </xf>
    <xf numFmtId="0" fontId="58" fillId="0" borderId="0" xfId="0" applyFont="1" applyBorder="1" applyAlignment="1">
      <alignment vertical="center"/>
    </xf>
    <xf numFmtId="0" fontId="1" fillId="0" borderId="27" xfId="0" applyFont="1" applyBorder="1" applyAlignment="1">
      <alignment horizontal="right" vertical="center"/>
    </xf>
    <xf numFmtId="1" fontId="77" fillId="0" borderId="0" xfId="0" applyNumberFormat="1" applyFont="1" applyFill="1" applyAlignment="1">
      <alignment horizontal="center" vertical="center" wrapText="1"/>
    </xf>
    <xf numFmtId="4" fontId="12" fillId="0" borderId="0" xfId="0" applyNumberFormat="1" applyFont="1" applyFill="1" applyAlignment="1">
      <alignment vertical="center"/>
    </xf>
    <xf numFmtId="2" fontId="8" fillId="0" borderId="0" xfId="0" applyNumberFormat="1" applyFont="1" applyFill="1" applyAlignment="1"/>
    <xf numFmtId="2" fontId="0" fillId="0" borderId="0" xfId="0" applyNumberFormat="1" applyFill="1"/>
    <xf numFmtId="0" fontId="8" fillId="0" borderId="20" xfId="0" applyFont="1" applyBorder="1" applyAlignment="1"/>
    <xf numFmtId="0" fontId="8" fillId="0" borderId="20" xfId="0" applyFont="1" applyBorder="1" applyAlignment="1">
      <alignment horizontal="left"/>
    </xf>
    <xf numFmtId="0" fontId="7" fillId="0" borderId="20" xfId="0" applyFont="1" applyBorder="1" applyAlignment="1">
      <alignment horizontal="left"/>
    </xf>
    <xf numFmtId="4" fontId="7" fillId="0" borderId="33" xfId="0" applyNumberFormat="1" applyFont="1" applyBorder="1" applyAlignment="1"/>
    <xf numFmtId="0" fontId="0" fillId="0" borderId="24" xfId="0" applyFill="1" applyBorder="1"/>
    <xf numFmtId="0" fontId="0" fillId="0" borderId="25" xfId="0" applyFill="1" applyBorder="1"/>
    <xf numFmtId="0" fontId="0" fillId="0" borderId="0" xfId="0" applyFill="1" applyBorder="1"/>
    <xf numFmtId="0" fontId="0" fillId="0" borderId="27" xfId="0" applyFill="1" applyBorder="1"/>
    <xf numFmtId="0" fontId="71" fillId="0" borderId="0" xfId="0" applyFont="1" applyFill="1" applyBorder="1" applyAlignment="1">
      <alignment horizontal="left" vertical="center"/>
    </xf>
    <xf numFmtId="0" fontId="0" fillId="0" borderId="0" xfId="0" applyFont="1" applyFill="1" applyBorder="1"/>
    <xf numFmtId="0" fontId="1" fillId="0" borderId="0" xfId="0" applyFont="1" applyFill="1" applyBorder="1" applyAlignment="1">
      <alignment vertical="center" wrapText="1"/>
    </xf>
    <xf numFmtId="0" fontId="70" fillId="0" borderId="0" xfId="0" applyFont="1" applyFill="1" applyBorder="1" applyAlignment="1">
      <alignment horizontal="left" vertical="center"/>
    </xf>
    <xf numFmtId="0" fontId="58" fillId="0" borderId="0" xfId="0" applyFont="1" applyFill="1" applyBorder="1" applyAlignment="1">
      <alignment horizontal="left" vertical="center"/>
    </xf>
    <xf numFmtId="0" fontId="2" fillId="0" borderId="0" xfId="0" applyFont="1" applyFill="1" applyBorder="1" applyAlignment="1">
      <alignment horizontal="left" vertical="center"/>
    </xf>
    <xf numFmtId="0" fontId="2" fillId="0" borderId="27" xfId="0" applyFont="1" applyFill="1" applyBorder="1" applyAlignment="1">
      <alignment horizontal="left" vertical="center"/>
    </xf>
    <xf numFmtId="165" fontId="2" fillId="0" borderId="27" xfId="0" applyNumberFormat="1" applyFont="1" applyFill="1" applyBorder="1" applyAlignment="1">
      <alignment horizontal="left" vertical="center"/>
    </xf>
    <xf numFmtId="0" fontId="0" fillId="0" borderId="0" xfId="0" applyFont="1" applyFill="1" applyBorder="1" applyAlignment="1">
      <alignment vertical="center" wrapText="1"/>
    </xf>
    <xf numFmtId="0" fontId="0" fillId="0" borderId="27" xfId="0" applyFont="1" applyFill="1" applyBorder="1" applyAlignment="1">
      <alignment vertical="center" wrapText="1"/>
    </xf>
    <xf numFmtId="0" fontId="0" fillId="0" borderId="12" xfId="0" applyFont="1" applyFill="1" applyBorder="1" applyAlignment="1">
      <alignment vertical="center"/>
    </xf>
    <xf numFmtId="0" fontId="0" fillId="0" borderId="28" xfId="0" applyFont="1" applyFill="1" applyBorder="1" applyAlignment="1">
      <alignment vertical="center"/>
    </xf>
    <xf numFmtId="0" fontId="12" fillId="0" borderId="0" xfId="0" applyFont="1" applyFill="1" applyBorder="1" applyAlignment="1">
      <alignment horizontal="left" vertical="center"/>
    </xf>
    <xf numFmtId="4" fontId="19" fillId="0" borderId="27" xfId="0" applyNumberFormat="1" applyFont="1" applyFill="1" applyBorder="1" applyAlignment="1">
      <alignment vertical="center"/>
    </xf>
    <xf numFmtId="0" fontId="58" fillId="0" borderId="0" xfId="0" applyFont="1" applyFill="1" applyBorder="1" applyAlignment="1">
      <alignment horizontal="right" vertical="center"/>
    </xf>
    <xf numFmtId="0" fontId="58" fillId="0" borderId="27" xfId="0" applyFont="1" applyFill="1" applyBorder="1" applyAlignment="1">
      <alignment horizontal="right" vertical="center"/>
    </xf>
    <xf numFmtId="0" fontId="0" fillId="0" borderId="0" xfId="0" applyFont="1" applyFill="1" applyBorder="1" applyAlignment="1">
      <alignment horizontal="left" vertical="center"/>
    </xf>
    <xf numFmtId="4" fontId="58" fillId="0" borderId="0" xfId="0" applyNumberFormat="1" applyFont="1" applyFill="1" applyBorder="1" applyAlignment="1">
      <alignment vertical="center"/>
    </xf>
    <xf numFmtId="164" fontId="58" fillId="0" borderId="0" xfId="0" applyNumberFormat="1" applyFont="1" applyFill="1" applyBorder="1" applyAlignment="1">
      <alignment horizontal="right" vertical="center"/>
    </xf>
    <xf numFmtId="4" fontId="58" fillId="0" borderId="27" xfId="0" applyNumberFormat="1" applyFont="1" applyFill="1" applyBorder="1" applyAlignment="1">
      <alignment vertical="center"/>
    </xf>
    <xf numFmtId="0" fontId="1" fillId="0" borderId="0" xfId="0" applyFont="1" applyFill="1" applyBorder="1" applyAlignment="1">
      <alignment horizontal="left" vertical="center"/>
    </xf>
    <xf numFmtId="4" fontId="1" fillId="0" borderId="0" xfId="0" applyNumberFormat="1" applyFont="1" applyFill="1" applyBorder="1" applyAlignment="1">
      <alignment vertical="center"/>
    </xf>
    <xf numFmtId="164" fontId="1" fillId="0" borderId="0" xfId="0" applyNumberFormat="1" applyFont="1" applyFill="1" applyBorder="1" applyAlignment="1">
      <alignment horizontal="right" vertical="center"/>
    </xf>
    <xf numFmtId="4" fontId="1" fillId="0" borderId="27" xfId="0" applyNumberFormat="1" applyFont="1" applyFill="1" applyBorder="1" applyAlignment="1">
      <alignment vertical="center"/>
    </xf>
    <xf numFmtId="0" fontId="4" fillId="0" borderId="6" xfId="0" applyFont="1" applyFill="1" applyBorder="1" applyAlignment="1">
      <alignment horizontal="left" vertical="center"/>
    </xf>
    <xf numFmtId="0" fontId="0" fillId="0" borderId="7" xfId="0" applyFont="1" applyFill="1" applyBorder="1" applyAlignment="1">
      <alignment vertical="center"/>
    </xf>
    <xf numFmtId="0" fontId="4" fillId="0" borderId="7" xfId="0" applyFont="1" applyFill="1" applyBorder="1" applyAlignment="1">
      <alignment horizontal="right" vertical="center"/>
    </xf>
    <xf numFmtId="0" fontId="4" fillId="0" borderId="7" xfId="0" applyFont="1" applyFill="1" applyBorder="1" applyAlignment="1">
      <alignment horizontal="center" vertical="center"/>
    </xf>
    <xf numFmtId="4" fontId="4" fillId="0" borderId="29" xfId="0" applyNumberFormat="1" applyFont="1" applyFill="1" applyBorder="1" applyAlignment="1">
      <alignment vertical="center"/>
    </xf>
    <xf numFmtId="0" fontId="14" fillId="0" borderId="0" xfId="0" applyFont="1" applyFill="1" applyBorder="1" applyAlignment="1">
      <alignment horizontal="left" vertical="center"/>
    </xf>
    <xf numFmtId="0" fontId="1" fillId="0" borderId="0" xfId="0" applyFont="1" applyFill="1" applyBorder="1" applyAlignment="1">
      <alignment horizontal="center" vertical="center"/>
    </xf>
    <xf numFmtId="0" fontId="70" fillId="0" borderId="0" xfId="0" applyFont="1" applyFill="1" applyBorder="1" applyAlignment="1">
      <alignment vertical="center"/>
    </xf>
    <xf numFmtId="0" fontId="58" fillId="0" borderId="0" xfId="0" applyFont="1" applyFill="1" applyBorder="1" applyAlignment="1">
      <alignment vertical="center"/>
    </xf>
    <xf numFmtId="0" fontId="1" fillId="0" borderId="27" xfId="0" applyFont="1" applyFill="1" applyBorder="1" applyAlignment="1">
      <alignment horizontal="right" vertical="center"/>
    </xf>
    <xf numFmtId="0" fontId="17" fillId="7" borderId="0" xfId="0" applyFont="1" applyFill="1" applyBorder="1" applyAlignment="1" applyProtection="1">
      <alignment horizontal="center" vertical="center"/>
      <protection locked="0"/>
    </xf>
    <xf numFmtId="0" fontId="48" fillId="0" borderId="0" xfId="0" applyFont="1" applyFill="1" applyBorder="1" applyAlignment="1" applyProtection="1">
      <alignment horizontal="center" vertical="center"/>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Border="1" applyAlignment="1" applyProtection="1">
      <alignment horizontal="center" vertical="center" wrapText="1"/>
      <protection locked="0"/>
    </xf>
    <xf numFmtId="167" fontId="48" fillId="0" borderId="0" xfId="0" applyNumberFormat="1" applyFont="1" applyFill="1" applyBorder="1" applyAlignment="1" applyProtection="1">
      <alignment vertical="center"/>
      <protection locked="0"/>
    </xf>
    <xf numFmtId="4" fontId="48" fillId="0" borderId="0" xfId="0" applyNumberFormat="1" applyFont="1" applyFill="1" applyBorder="1" applyAlignment="1" applyProtection="1">
      <alignment vertical="center"/>
      <protection locked="0"/>
    </xf>
    <xf numFmtId="49" fontId="48" fillId="0" borderId="0" xfId="0" applyNumberFormat="1" applyFont="1" applyFill="1" applyBorder="1" applyAlignment="1" applyProtection="1">
      <alignment horizontal="left" wrapText="1"/>
      <protection locked="0"/>
    </xf>
    <xf numFmtId="0" fontId="0" fillId="0" borderId="0" xfId="0" applyFont="1" applyAlignment="1">
      <alignment vertical="center"/>
    </xf>
    <xf numFmtId="4" fontId="79" fillId="0" borderId="27" xfId="0" applyNumberFormat="1" applyFont="1" applyBorder="1" applyAlignment="1">
      <alignment horizontal="left" vertical="center" wrapText="1"/>
    </xf>
    <xf numFmtId="0" fontId="0" fillId="0" borderId="0" xfId="0" applyFont="1" applyAlignment="1">
      <alignment vertical="center"/>
    </xf>
    <xf numFmtId="4" fontId="76" fillId="0" borderId="27" xfId="0" applyNumberFormat="1" applyFont="1" applyBorder="1" applyAlignment="1"/>
    <xf numFmtId="0" fontId="0" fillId="0" borderId="0" xfId="0"/>
    <xf numFmtId="0" fontId="0" fillId="0" borderId="0" xfId="0" applyFont="1" applyBorder="1" applyAlignment="1">
      <alignment vertical="center"/>
    </xf>
    <xf numFmtId="0" fontId="1" fillId="0" borderId="0" xfId="0" applyFont="1" applyBorder="1" applyAlignment="1">
      <alignment horizontal="left" vertical="center"/>
    </xf>
    <xf numFmtId="0" fontId="0" fillId="0" borderId="0" xfId="0" applyFont="1" applyAlignment="1">
      <alignment vertical="center"/>
    </xf>
    <xf numFmtId="0" fontId="58" fillId="0" borderId="0" xfId="0" applyFont="1" applyBorder="1" applyAlignment="1">
      <alignment horizontal="left" vertical="center"/>
    </xf>
    <xf numFmtId="0" fontId="2" fillId="0" borderId="0" xfId="0" applyFont="1" applyBorder="1" applyAlignment="1">
      <alignment horizontal="left" vertical="center"/>
    </xf>
    <xf numFmtId="0" fontId="0" fillId="0" borderId="0" xfId="0" applyFont="1" applyAlignment="1">
      <alignment vertical="center"/>
    </xf>
    <xf numFmtId="49" fontId="80" fillId="8" borderId="22" xfId="0" applyNumberFormat="1" applyFont="1" applyFill="1" applyBorder="1" applyAlignment="1" applyProtection="1">
      <alignment horizontal="left" vertical="center" wrapText="1"/>
      <protection locked="0"/>
    </xf>
    <xf numFmtId="0" fontId="80" fillId="8" borderId="22" xfId="0" applyFont="1" applyFill="1" applyBorder="1" applyAlignment="1" applyProtection="1">
      <alignment horizontal="left" vertical="center" wrapText="1"/>
      <protection locked="0"/>
    </xf>
    <xf numFmtId="0" fontId="80" fillId="8" borderId="22" xfId="0" applyFont="1" applyFill="1" applyBorder="1" applyAlignment="1" applyProtection="1">
      <alignment horizontal="center" vertical="center" wrapText="1"/>
      <protection locked="0"/>
    </xf>
    <xf numFmtId="167" fontId="80" fillId="8" borderId="22" xfId="0" applyNumberFormat="1" applyFont="1" applyFill="1" applyBorder="1" applyAlignment="1" applyProtection="1">
      <alignment vertical="center"/>
      <protection locked="0"/>
    </xf>
    <xf numFmtId="4" fontId="80" fillId="8" borderId="22" xfId="0" applyNumberFormat="1" applyFont="1" applyFill="1" applyBorder="1" applyAlignment="1" applyProtection="1">
      <alignment vertical="center"/>
      <protection locked="0"/>
    </xf>
    <xf numFmtId="0" fontId="0" fillId="0" borderId="46" xfId="0" applyFont="1" applyBorder="1" applyAlignment="1">
      <alignment vertical="center"/>
    </xf>
    <xf numFmtId="0" fontId="0" fillId="0" borderId="0" xfId="0" applyFont="1" applyAlignment="1">
      <alignment vertical="center"/>
    </xf>
    <xf numFmtId="0" fontId="81" fillId="8" borderId="22" xfId="0" applyFont="1" applyFill="1" applyBorder="1" applyAlignment="1" applyProtection="1">
      <alignment horizontal="center" vertical="center"/>
      <protection locked="0"/>
    </xf>
    <xf numFmtId="49" fontId="81" fillId="8" borderId="22" xfId="0" applyNumberFormat="1" applyFont="1" applyFill="1" applyBorder="1" applyAlignment="1" applyProtection="1">
      <alignment horizontal="left" vertical="center" wrapText="1"/>
      <protection locked="0"/>
    </xf>
    <xf numFmtId="0" fontId="81" fillId="8" borderId="22" xfId="0" applyFont="1" applyFill="1" applyBorder="1" applyAlignment="1" applyProtection="1">
      <alignment horizontal="left" vertical="center" wrapText="1"/>
      <protection locked="0"/>
    </xf>
    <xf numFmtId="0" fontId="81" fillId="8" borderId="22" xfId="0" applyFont="1" applyFill="1" applyBorder="1" applyAlignment="1" applyProtection="1">
      <alignment horizontal="center" vertical="center" wrapText="1"/>
      <protection locked="0"/>
    </xf>
    <xf numFmtId="167" fontId="81" fillId="8" borderId="22" xfId="0" applyNumberFormat="1" applyFont="1" applyFill="1" applyBorder="1" applyAlignment="1" applyProtection="1">
      <alignment vertical="center"/>
      <protection locked="0"/>
    </xf>
    <xf numFmtId="4" fontId="81" fillId="8" borderId="22" xfId="0" applyNumberFormat="1" applyFont="1" applyFill="1" applyBorder="1" applyAlignment="1" applyProtection="1">
      <alignment vertical="center"/>
      <protection locked="0"/>
    </xf>
    <xf numFmtId="0" fontId="2" fillId="0" borderId="0" xfId="0" applyFont="1" applyBorder="1" applyAlignment="1">
      <alignment horizontal="left" vertical="center"/>
    </xf>
    <xf numFmtId="0" fontId="0" fillId="0" borderId="0" xfId="0"/>
    <xf numFmtId="0" fontId="58" fillId="0" borderId="0" xfId="0" applyFont="1" applyBorder="1" applyAlignment="1">
      <alignment horizontal="left" vertical="center"/>
    </xf>
    <xf numFmtId="0" fontId="0" fillId="0" borderId="0" xfId="0" applyFont="1" applyBorder="1" applyAlignment="1">
      <alignment vertical="center"/>
    </xf>
    <xf numFmtId="0" fontId="1" fillId="0" borderId="0" xfId="0" applyFont="1" applyBorder="1" applyAlignment="1">
      <alignment horizontal="left" vertical="center"/>
    </xf>
    <xf numFmtId="0" fontId="0" fillId="0" borderId="0" xfId="0" applyFont="1" applyAlignment="1">
      <alignment vertical="center"/>
    </xf>
    <xf numFmtId="0" fontId="0" fillId="0" borderId="0" xfId="0" applyFont="1" applyAlignment="1">
      <alignment vertical="center"/>
    </xf>
    <xf numFmtId="0" fontId="18" fillId="0" borderId="0" xfId="0" applyFont="1" applyBorder="1" applyAlignment="1">
      <alignment horizontal="left" vertical="center"/>
    </xf>
    <xf numFmtId="49" fontId="17" fillId="0" borderId="0" xfId="0" applyNumberFormat="1" applyFont="1" applyFill="1" applyBorder="1" applyAlignment="1" applyProtection="1">
      <alignment horizontal="left" vertical="center" wrapText="1"/>
      <protection locked="0"/>
    </xf>
    <xf numFmtId="4" fontId="17" fillId="0" borderId="27" xfId="0" applyNumberFormat="1" applyFont="1" applyFill="1" applyBorder="1" applyAlignment="1" applyProtection="1">
      <alignment vertical="center"/>
      <protection locked="0"/>
    </xf>
    <xf numFmtId="0" fontId="82" fillId="0" borderId="12" xfId="0" applyFont="1" applyBorder="1" applyAlignment="1">
      <alignment vertical="center" wrapText="1"/>
    </xf>
    <xf numFmtId="0" fontId="0" fillId="0" borderId="12" xfId="0" applyBorder="1" applyAlignment="1">
      <alignment vertical="center"/>
    </xf>
    <xf numFmtId="0" fontId="82" fillId="0" borderId="12" xfId="0" applyFont="1" applyBorder="1" applyAlignment="1">
      <alignment horizontal="left" vertical="center" wrapText="1"/>
    </xf>
    <xf numFmtId="0" fontId="44" fillId="0" borderId="0" xfId="0" applyFont="1" applyAlignment="1">
      <alignment horizontal="center"/>
    </xf>
    <xf numFmtId="0" fontId="82" fillId="0" borderId="12" xfId="0" quotePrefix="1" applyFont="1" applyBorder="1" applyAlignment="1">
      <alignment vertical="center" wrapText="1"/>
    </xf>
    <xf numFmtId="0" fontId="0" fillId="0" borderId="0" xfId="0" applyFont="1" applyAlignment="1">
      <alignment vertical="center"/>
    </xf>
    <xf numFmtId="0" fontId="2" fillId="0" borderId="0" xfId="0" applyFont="1" applyBorder="1" applyAlignment="1">
      <alignment horizontal="left" vertical="center"/>
    </xf>
    <xf numFmtId="0" fontId="0" fillId="0" borderId="0" xfId="0"/>
    <xf numFmtId="0" fontId="58" fillId="0" borderId="0" xfId="0" applyFont="1" applyBorder="1" applyAlignment="1">
      <alignment horizontal="left" vertical="center"/>
    </xf>
    <xf numFmtId="0" fontId="0" fillId="0" borderId="0" xfId="0" applyFont="1" applyBorder="1" applyAlignment="1">
      <alignment vertical="center"/>
    </xf>
    <xf numFmtId="0" fontId="1" fillId="0" borderId="0" xfId="0" applyFont="1" applyBorder="1" applyAlignment="1">
      <alignment horizontal="left" vertical="center"/>
    </xf>
    <xf numFmtId="0" fontId="0" fillId="0" borderId="0" xfId="0" applyFont="1" applyAlignment="1">
      <alignment vertical="center"/>
    </xf>
    <xf numFmtId="0" fontId="2" fillId="0" borderId="0" xfId="0" applyFont="1" applyBorder="1" applyAlignment="1">
      <alignment horizontal="left" vertical="center"/>
    </xf>
    <xf numFmtId="0" fontId="0" fillId="0" borderId="0" xfId="0"/>
    <xf numFmtId="0" fontId="58" fillId="0" borderId="0" xfId="0" applyFont="1" applyBorder="1" applyAlignment="1">
      <alignment horizontal="left" vertical="center"/>
    </xf>
    <xf numFmtId="0" fontId="0" fillId="0" borderId="0" xfId="0" applyFont="1" applyBorder="1" applyAlignment="1">
      <alignment vertical="center"/>
    </xf>
    <xf numFmtId="0" fontId="1" fillId="0" borderId="0" xfId="0" applyFont="1" applyBorder="1" applyAlignment="1">
      <alignment horizontal="left" vertical="center"/>
    </xf>
    <xf numFmtId="0" fontId="0" fillId="0" borderId="0" xfId="0" applyFont="1" applyAlignment="1">
      <alignment vertical="center"/>
    </xf>
    <xf numFmtId="0" fontId="0" fillId="0" borderId="0" xfId="0"/>
    <xf numFmtId="0" fontId="2" fillId="0" borderId="0" xfId="0" applyFont="1" applyBorder="1" applyAlignment="1">
      <alignment horizontal="left" vertical="center"/>
    </xf>
    <xf numFmtId="0" fontId="0" fillId="0" borderId="0" xfId="0" applyFont="1" applyBorder="1" applyAlignment="1">
      <alignment vertical="center"/>
    </xf>
    <xf numFmtId="0" fontId="1" fillId="0" borderId="0" xfId="0" applyFont="1" applyBorder="1" applyAlignment="1">
      <alignment horizontal="left" vertical="center"/>
    </xf>
    <xf numFmtId="0" fontId="0" fillId="0" borderId="0" xfId="0" applyFont="1" applyAlignment="1">
      <alignment vertical="center"/>
    </xf>
    <xf numFmtId="0" fontId="58" fillId="0" borderId="0" xfId="0" applyFont="1" applyBorder="1" applyAlignment="1">
      <alignment horizontal="left" vertical="center"/>
    </xf>
    <xf numFmtId="0" fontId="73" fillId="0" borderId="0" xfId="0" applyFont="1" applyBorder="1" applyAlignment="1">
      <alignment vertical="center"/>
    </xf>
    <xf numFmtId="0" fontId="0" fillId="0" borderId="46" xfId="0" applyBorder="1"/>
    <xf numFmtId="0" fontId="32" fillId="0" borderId="0" xfId="0" applyFont="1" applyBorder="1" applyAlignment="1">
      <alignment vertical="top" wrapText="1"/>
    </xf>
    <xf numFmtId="4" fontId="2" fillId="0" borderId="27" xfId="0" applyNumberFormat="1" applyFont="1" applyBorder="1" applyAlignment="1">
      <alignment horizontal="left" vertical="center" wrapText="1"/>
    </xf>
    <xf numFmtId="4" fontId="0" fillId="0" borderId="27" xfId="0" applyNumberFormat="1" applyFont="1" applyBorder="1" applyAlignment="1">
      <alignment vertical="center"/>
    </xf>
    <xf numFmtId="0" fontId="83" fillId="8" borderId="22" xfId="0" applyFont="1" applyFill="1" applyBorder="1" applyAlignment="1" applyProtection="1">
      <alignment horizontal="center" vertical="center"/>
      <protection locked="0"/>
    </xf>
    <xf numFmtId="49" fontId="83" fillId="8" borderId="22" xfId="0" applyNumberFormat="1" applyFont="1" applyFill="1" applyBorder="1" applyAlignment="1" applyProtection="1">
      <alignment horizontal="left" vertical="center" wrapText="1"/>
      <protection locked="0"/>
    </xf>
    <xf numFmtId="0" fontId="83" fillId="8" borderId="22" xfId="0" applyFont="1" applyFill="1" applyBorder="1" applyAlignment="1" applyProtection="1">
      <alignment horizontal="left" vertical="center" wrapText="1"/>
      <protection locked="0"/>
    </xf>
    <xf numFmtId="0" fontId="83" fillId="8" borderId="22" xfId="0" applyFont="1" applyFill="1" applyBorder="1" applyAlignment="1" applyProtection="1">
      <alignment horizontal="center" vertical="center" wrapText="1"/>
      <protection locked="0"/>
    </xf>
    <xf numFmtId="167" fontId="83" fillId="8" borderId="22" xfId="0" applyNumberFormat="1" applyFont="1" applyFill="1" applyBorder="1" applyAlignment="1" applyProtection="1">
      <alignment vertical="center"/>
      <protection locked="0"/>
    </xf>
    <xf numFmtId="4" fontId="83" fillId="8" borderId="22" xfId="0" applyNumberFormat="1" applyFont="1" applyFill="1" applyBorder="1" applyAlignment="1" applyProtection="1">
      <alignment vertical="center"/>
      <protection locked="0"/>
    </xf>
    <xf numFmtId="4" fontId="83" fillId="8" borderId="35" xfId="0" applyNumberFormat="1" applyFont="1" applyFill="1" applyBorder="1" applyAlignment="1" applyProtection="1">
      <alignment vertical="center"/>
      <protection locked="0"/>
    </xf>
    <xf numFmtId="0" fontId="0" fillId="0" borderId="0" xfId="0" applyFont="1" applyAlignment="1">
      <alignment vertical="center"/>
    </xf>
    <xf numFmtId="0" fontId="0" fillId="0" borderId="0" xfId="0" applyFont="1" applyAlignment="1">
      <alignment horizontal="left" vertical="center"/>
    </xf>
    <xf numFmtId="0" fontId="0" fillId="0" borderId="3" xfId="0" applyFont="1" applyBorder="1" applyAlignment="1">
      <alignment vertical="center"/>
    </xf>
    <xf numFmtId="0" fontId="0" fillId="0" borderId="3" xfId="0" applyFont="1" applyBorder="1" applyAlignment="1" applyProtection="1">
      <alignment vertical="center"/>
      <protection locked="0"/>
    </xf>
    <xf numFmtId="0" fontId="17" fillId="0" borderId="22" xfId="0" applyFont="1" applyBorder="1" applyAlignment="1" applyProtection="1">
      <alignment horizontal="center" vertical="center"/>
      <protection locked="0"/>
    </xf>
    <xf numFmtId="49" fontId="17" fillId="0" borderId="22" xfId="0" applyNumberFormat="1" applyFont="1" applyBorder="1" applyAlignment="1" applyProtection="1">
      <alignment horizontal="left" vertical="center" wrapText="1"/>
      <protection locked="0"/>
    </xf>
    <xf numFmtId="0" fontId="17" fillId="0" borderId="22" xfId="0" applyFont="1" applyBorder="1" applyAlignment="1" applyProtection="1">
      <alignment horizontal="left" vertical="center" wrapText="1"/>
      <protection locked="0"/>
    </xf>
    <xf numFmtId="0" fontId="17" fillId="0" borderId="22" xfId="0" applyFont="1" applyBorder="1" applyAlignment="1" applyProtection="1">
      <alignment horizontal="center" vertical="center" wrapText="1"/>
      <protection locked="0"/>
    </xf>
    <xf numFmtId="4" fontId="17" fillId="0" borderId="22" xfId="0" applyNumberFormat="1" applyFont="1" applyBorder="1" applyAlignment="1" applyProtection="1">
      <alignment vertical="center"/>
      <protection locked="0"/>
    </xf>
    <xf numFmtId="0" fontId="18" fillId="0" borderId="14" xfId="0" applyFont="1" applyBorder="1" applyAlignment="1">
      <alignment horizontal="left" vertical="center"/>
    </xf>
    <xf numFmtId="0" fontId="18" fillId="0" borderId="0" xfId="0" applyFont="1" applyBorder="1" applyAlignment="1">
      <alignment horizontal="center" vertical="center"/>
    </xf>
    <xf numFmtId="166" fontId="18" fillId="0" borderId="0" xfId="0" applyNumberFormat="1" applyFont="1" applyBorder="1" applyAlignment="1">
      <alignment vertical="center"/>
    </xf>
    <xf numFmtId="166" fontId="18" fillId="0" borderId="15" xfId="0" applyNumberFormat="1" applyFont="1" applyBorder="1" applyAlignment="1">
      <alignment vertical="center"/>
    </xf>
    <xf numFmtId="0" fontId="17" fillId="0" borderId="0" xfId="0" applyFont="1" applyAlignment="1">
      <alignment horizontal="left" vertical="center"/>
    </xf>
    <xf numFmtId="4" fontId="0" fillId="0" borderId="0" xfId="0" applyNumberFormat="1" applyFont="1" applyAlignment="1">
      <alignment vertical="center"/>
    </xf>
    <xf numFmtId="0" fontId="0" fillId="0" borderId="26" xfId="0" applyFont="1" applyBorder="1" applyAlignment="1" applyProtection="1">
      <alignment vertical="center"/>
      <protection locked="0"/>
    </xf>
    <xf numFmtId="0" fontId="17" fillId="5" borderId="22" xfId="0" applyFont="1" applyFill="1" applyBorder="1" applyAlignment="1" applyProtection="1">
      <alignment horizontal="center" vertical="center"/>
      <protection locked="0"/>
    </xf>
    <xf numFmtId="167" fontId="17" fillId="5" borderId="22" xfId="0" applyNumberFormat="1" applyFont="1" applyFill="1" applyBorder="1" applyAlignment="1" applyProtection="1">
      <alignment vertical="center"/>
      <protection locked="0"/>
    </xf>
    <xf numFmtId="0" fontId="17" fillId="0" borderId="0" xfId="0" applyFont="1" applyBorder="1" applyAlignment="1" applyProtection="1">
      <alignment horizontal="left" vertical="center" wrapText="1"/>
      <protection locked="0"/>
    </xf>
    <xf numFmtId="0" fontId="0" fillId="0" borderId="0" xfId="0" applyFont="1" applyAlignment="1">
      <alignment vertical="center"/>
    </xf>
    <xf numFmtId="0" fontId="0" fillId="0" borderId="0" xfId="0" applyFont="1" applyAlignment="1">
      <alignment horizontal="left" vertical="center"/>
    </xf>
    <xf numFmtId="0" fontId="0" fillId="0" borderId="3" xfId="0" applyFont="1" applyBorder="1" applyAlignment="1">
      <alignment vertical="center"/>
    </xf>
    <xf numFmtId="0" fontId="0" fillId="0" borderId="3" xfId="0" applyFont="1" applyBorder="1" applyAlignment="1" applyProtection="1">
      <alignment vertical="center"/>
      <protection locked="0"/>
    </xf>
    <xf numFmtId="0" fontId="17" fillId="0" borderId="22" xfId="0" applyFont="1" applyBorder="1" applyAlignment="1" applyProtection="1">
      <alignment horizontal="left" vertical="center" wrapText="1"/>
      <protection locked="0"/>
    </xf>
    <xf numFmtId="0" fontId="18" fillId="0" borderId="14" xfId="0" applyFont="1" applyBorder="1" applyAlignment="1">
      <alignment horizontal="left" vertical="center"/>
    </xf>
    <xf numFmtId="0" fontId="18" fillId="0" borderId="0" xfId="0" applyFont="1" applyBorder="1" applyAlignment="1">
      <alignment horizontal="center" vertical="center"/>
    </xf>
    <xf numFmtId="166" fontId="18" fillId="0" borderId="0" xfId="0" applyNumberFormat="1" applyFont="1" applyBorder="1" applyAlignment="1">
      <alignment vertical="center"/>
    </xf>
    <xf numFmtId="166" fontId="18" fillId="0" borderId="15" xfId="0" applyNumberFormat="1" applyFont="1" applyBorder="1" applyAlignment="1">
      <alignment vertical="center"/>
    </xf>
    <xf numFmtId="0" fontId="17" fillId="0" borderId="0" xfId="0" applyFont="1" applyAlignment="1">
      <alignment horizontal="left" vertical="center"/>
    </xf>
    <xf numFmtId="4" fontId="0" fillId="0" borderId="0" xfId="0" applyNumberFormat="1" applyFont="1" applyAlignment="1">
      <alignment vertical="center"/>
    </xf>
    <xf numFmtId="0" fontId="0" fillId="0" borderId="26" xfId="0" applyFont="1" applyBorder="1" applyAlignment="1" applyProtection="1">
      <alignment vertical="center"/>
      <protection locked="0"/>
    </xf>
    <xf numFmtId="0" fontId="17" fillId="5" borderId="22" xfId="0" applyFont="1" applyFill="1" applyBorder="1" applyAlignment="1" applyProtection="1">
      <alignment horizontal="center" vertical="center"/>
      <protection locked="0"/>
    </xf>
    <xf numFmtId="167" fontId="17" fillId="5" borderId="22" xfId="0" applyNumberFormat="1" applyFont="1" applyFill="1" applyBorder="1" applyAlignment="1" applyProtection="1">
      <alignment vertical="center"/>
      <protection locked="0"/>
    </xf>
    <xf numFmtId="0" fontId="17" fillId="8" borderId="22" xfId="0" applyFont="1" applyFill="1" applyBorder="1" applyAlignment="1" applyProtection="1">
      <alignment horizontal="center" vertical="center"/>
      <protection locked="0"/>
    </xf>
    <xf numFmtId="49" fontId="17" fillId="8" borderId="22" xfId="0" applyNumberFormat="1" applyFont="1" applyFill="1" applyBorder="1" applyAlignment="1" applyProtection="1">
      <alignment horizontal="left" vertical="center" wrapText="1"/>
      <protection locked="0"/>
    </xf>
    <xf numFmtId="0" fontId="17" fillId="8" borderId="22" xfId="0" applyFont="1" applyFill="1" applyBorder="1" applyAlignment="1" applyProtection="1">
      <alignment horizontal="left" vertical="center" wrapText="1"/>
      <protection locked="0"/>
    </xf>
    <xf numFmtId="0" fontId="17" fillId="8" borderId="22" xfId="0" applyFont="1" applyFill="1" applyBorder="1" applyAlignment="1" applyProtection="1">
      <alignment horizontal="center" vertical="center" wrapText="1"/>
      <protection locked="0"/>
    </xf>
    <xf numFmtId="167" fontId="17" fillId="8" borderId="22" xfId="0" applyNumberFormat="1" applyFont="1" applyFill="1" applyBorder="1" applyAlignment="1" applyProtection="1">
      <alignment vertical="center"/>
      <protection locked="0"/>
    </xf>
    <xf numFmtId="4" fontId="17" fillId="8" borderId="22" xfId="0" applyNumberFormat="1" applyFont="1" applyFill="1" applyBorder="1" applyAlignment="1" applyProtection="1">
      <alignment vertical="center"/>
      <protection locked="0"/>
    </xf>
    <xf numFmtId="0" fontId="0" fillId="0" borderId="0" xfId="0" applyFont="1" applyAlignment="1">
      <alignment vertical="center"/>
    </xf>
    <xf numFmtId="0" fontId="0" fillId="0" borderId="0" xfId="0" applyFont="1" applyAlignment="1">
      <alignment horizontal="left" vertical="center"/>
    </xf>
    <xf numFmtId="0" fontId="0" fillId="0" borderId="3" xfId="0" applyFont="1" applyBorder="1" applyAlignment="1">
      <alignment vertical="center"/>
    </xf>
    <xf numFmtId="0" fontId="0" fillId="0" borderId="3" xfId="0" applyFont="1" applyBorder="1" applyAlignment="1" applyProtection="1">
      <alignment vertical="center"/>
      <protection locked="0"/>
    </xf>
    <xf numFmtId="0" fontId="17" fillId="0" borderId="22" xfId="0" applyFont="1" applyBorder="1" applyAlignment="1" applyProtection="1">
      <alignment horizontal="left" vertical="center" wrapText="1"/>
      <protection locked="0"/>
    </xf>
    <xf numFmtId="0" fontId="18" fillId="0" borderId="14" xfId="0" applyFont="1" applyBorder="1" applyAlignment="1">
      <alignment horizontal="left" vertical="center"/>
    </xf>
    <xf numFmtId="0" fontId="18" fillId="0" borderId="0" xfId="0" applyFont="1" applyBorder="1" applyAlignment="1">
      <alignment horizontal="center" vertical="center"/>
    </xf>
    <xf numFmtId="166" fontId="18" fillId="0" borderId="0" xfId="0" applyNumberFormat="1" applyFont="1" applyBorder="1" applyAlignment="1">
      <alignment vertical="center"/>
    </xf>
    <xf numFmtId="166" fontId="18" fillId="0" borderId="15" xfId="0" applyNumberFormat="1" applyFont="1" applyBorder="1" applyAlignment="1">
      <alignment vertical="center"/>
    </xf>
    <xf numFmtId="0" fontId="17" fillId="0" borderId="0" xfId="0" applyFont="1" applyAlignment="1">
      <alignment horizontal="left" vertical="center"/>
    </xf>
    <xf numFmtId="4" fontId="0" fillId="0" borderId="0" xfId="0" applyNumberFormat="1" applyFont="1" applyAlignment="1">
      <alignment vertical="center"/>
    </xf>
    <xf numFmtId="0" fontId="0" fillId="0" borderId="26" xfId="0" applyFont="1" applyBorder="1" applyAlignment="1" applyProtection="1">
      <alignment vertical="center"/>
      <protection locked="0"/>
    </xf>
    <xf numFmtId="0" fontId="17" fillId="5" borderId="22" xfId="0" applyFont="1" applyFill="1" applyBorder="1" applyAlignment="1" applyProtection="1">
      <alignment horizontal="center" vertical="center"/>
      <protection locked="0"/>
    </xf>
    <xf numFmtId="167" fontId="17" fillId="5" borderId="22" xfId="0" applyNumberFormat="1" applyFont="1" applyFill="1" applyBorder="1" applyAlignment="1" applyProtection="1">
      <alignment vertical="center"/>
      <protection locked="0"/>
    </xf>
    <xf numFmtId="0" fontId="17" fillId="8" borderId="22" xfId="0" applyFont="1" applyFill="1" applyBorder="1" applyAlignment="1" applyProtection="1">
      <alignment horizontal="center" vertical="center"/>
      <protection locked="0"/>
    </xf>
    <xf numFmtId="49" fontId="17" fillId="8" borderId="22" xfId="0" applyNumberFormat="1" applyFont="1" applyFill="1" applyBorder="1" applyAlignment="1" applyProtection="1">
      <alignment horizontal="left" vertical="center" wrapText="1"/>
      <protection locked="0"/>
    </xf>
    <xf numFmtId="0" fontId="17" fillId="8" borderId="22" xfId="0" applyFont="1" applyFill="1" applyBorder="1" applyAlignment="1" applyProtection="1">
      <alignment horizontal="left" vertical="center" wrapText="1"/>
      <protection locked="0"/>
    </xf>
    <xf numFmtId="0" fontId="17" fillId="8" borderId="22" xfId="0" applyFont="1" applyFill="1" applyBorder="1" applyAlignment="1" applyProtection="1">
      <alignment horizontal="center" vertical="center" wrapText="1"/>
      <protection locked="0"/>
    </xf>
    <xf numFmtId="167" fontId="17" fillId="8" borderId="22" xfId="0" applyNumberFormat="1" applyFont="1" applyFill="1" applyBorder="1" applyAlignment="1" applyProtection="1">
      <alignment vertical="center"/>
      <protection locked="0"/>
    </xf>
    <xf numFmtId="4" fontId="17" fillId="8" borderId="22" xfId="0" applyNumberFormat="1" applyFont="1" applyFill="1" applyBorder="1" applyAlignment="1" applyProtection="1">
      <alignment vertical="center"/>
      <protection locked="0"/>
    </xf>
    <xf numFmtId="4" fontId="17" fillId="8" borderId="35" xfId="0" applyNumberFormat="1" applyFont="1" applyFill="1" applyBorder="1" applyAlignment="1" applyProtection="1">
      <alignment vertical="center"/>
      <protection locked="0"/>
    </xf>
    <xf numFmtId="0" fontId="0" fillId="0" borderId="0" xfId="0" applyFont="1" applyAlignment="1">
      <alignment vertical="center"/>
    </xf>
    <xf numFmtId="0" fontId="0" fillId="0" borderId="0" xfId="0" applyFont="1" applyAlignment="1">
      <alignment horizontal="left" vertical="center"/>
    </xf>
    <xf numFmtId="0" fontId="0" fillId="0" borderId="3" xfId="0" applyFont="1" applyBorder="1" applyAlignment="1">
      <alignment vertical="center"/>
    </xf>
    <xf numFmtId="0" fontId="0" fillId="0" borderId="3" xfId="0" applyFont="1" applyBorder="1" applyAlignment="1" applyProtection="1">
      <alignment vertical="center"/>
      <protection locked="0"/>
    </xf>
    <xf numFmtId="0" fontId="18" fillId="0" borderId="14" xfId="0" applyFont="1" applyBorder="1" applyAlignment="1">
      <alignment horizontal="left" vertical="center"/>
    </xf>
    <xf numFmtId="0" fontId="18" fillId="0" borderId="0" xfId="0" applyFont="1" applyBorder="1" applyAlignment="1">
      <alignment horizontal="center" vertical="center"/>
    </xf>
    <xf numFmtId="166" fontId="18" fillId="0" borderId="0" xfId="0" applyNumberFormat="1" applyFont="1" applyBorder="1" applyAlignment="1">
      <alignment vertical="center"/>
    </xf>
    <xf numFmtId="166" fontId="18" fillId="0" borderId="15" xfId="0" applyNumberFormat="1" applyFont="1" applyBorder="1" applyAlignment="1">
      <alignment vertical="center"/>
    </xf>
    <xf numFmtId="0" fontId="17" fillId="0" borderId="0" xfId="0" applyFont="1" applyAlignment="1">
      <alignment horizontal="left" vertical="center"/>
    </xf>
    <xf numFmtId="4" fontId="0" fillId="0" borderId="0" xfId="0" applyNumberFormat="1" applyFont="1" applyAlignment="1">
      <alignment vertical="center"/>
    </xf>
    <xf numFmtId="0" fontId="0" fillId="0" borderId="26" xfId="0" applyFont="1" applyBorder="1" applyAlignment="1" applyProtection="1">
      <alignment vertical="center"/>
      <protection locked="0"/>
    </xf>
    <xf numFmtId="0" fontId="17" fillId="8" borderId="22" xfId="0" applyFont="1" applyFill="1" applyBorder="1" applyAlignment="1" applyProtection="1">
      <alignment horizontal="center" vertical="center"/>
      <protection locked="0"/>
    </xf>
    <xf numFmtId="49" fontId="17" fillId="8" borderId="22" xfId="0" applyNumberFormat="1" applyFont="1" applyFill="1" applyBorder="1" applyAlignment="1" applyProtection="1">
      <alignment horizontal="left" vertical="center" wrapText="1"/>
      <protection locked="0"/>
    </xf>
    <xf numFmtId="0" fontId="17" fillId="8" borderId="22" xfId="0" applyFont="1" applyFill="1" applyBorder="1" applyAlignment="1" applyProtection="1">
      <alignment horizontal="left" vertical="center" wrapText="1"/>
      <protection locked="0"/>
    </xf>
    <xf numFmtId="0" fontId="17" fillId="8" borderId="22" xfId="0" applyFont="1" applyFill="1" applyBorder="1" applyAlignment="1" applyProtection="1">
      <alignment horizontal="center" vertical="center" wrapText="1"/>
      <protection locked="0"/>
    </xf>
    <xf numFmtId="167" fontId="17" fillId="8" borderId="22" xfId="0" applyNumberFormat="1" applyFont="1" applyFill="1" applyBorder="1" applyAlignment="1" applyProtection="1">
      <alignment vertical="center"/>
      <protection locked="0"/>
    </xf>
    <xf numFmtId="4" fontId="17" fillId="8" borderId="22" xfId="0" applyNumberFormat="1" applyFont="1" applyFill="1" applyBorder="1" applyAlignment="1" applyProtection="1">
      <alignment vertical="center"/>
      <protection locked="0"/>
    </xf>
    <xf numFmtId="4" fontId="17" fillId="8" borderId="35" xfId="0" applyNumberFormat="1" applyFont="1" applyFill="1" applyBorder="1" applyAlignment="1" applyProtection="1">
      <alignment vertical="center"/>
      <protection locked="0"/>
    </xf>
    <xf numFmtId="0" fontId="17" fillId="0" borderId="0" xfId="0" applyFont="1" applyBorder="1" applyAlignment="1" applyProtection="1">
      <alignment horizontal="left" vertical="center" wrapText="1"/>
      <protection locked="0"/>
    </xf>
    <xf numFmtId="0" fontId="0" fillId="0" borderId="0" xfId="0" applyFont="1" applyAlignment="1">
      <alignment vertical="center"/>
    </xf>
    <xf numFmtId="0" fontId="0" fillId="0" borderId="0" xfId="0" applyFont="1" applyAlignment="1">
      <alignment horizontal="left" vertical="center"/>
    </xf>
    <xf numFmtId="0" fontId="0" fillId="0" borderId="3" xfId="0" applyFont="1" applyBorder="1" applyAlignment="1">
      <alignment vertical="center"/>
    </xf>
    <xf numFmtId="0" fontId="0" fillId="0" borderId="3" xfId="0" applyFont="1" applyBorder="1" applyAlignment="1" applyProtection="1">
      <alignment vertical="center"/>
      <protection locked="0"/>
    </xf>
    <xf numFmtId="0" fontId="17" fillId="0" borderId="22" xfId="0" applyFont="1" applyBorder="1" applyAlignment="1" applyProtection="1">
      <alignment horizontal="left" vertical="center" wrapText="1"/>
      <protection locked="0"/>
    </xf>
    <xf numFmtId="0" fontId="18" fillId="0" borderId="14" xfId="0" applyFont="1" applyBorder="1" applyAlignment="1">
      <alignment horizontal="left" vertical="center"/>
    </xf>
    <xf numFmtId="0" fontId="18" fillId="0" borderId="0" xfId="0" applyFont="1" applyBorder="1" applyAlignment="1">
      <alignment horizontal="center" vertical="center"/>
    </xf>
    <xf numFmtId="166" fontId="18" fillId="0" borderId="0" xfId="0" applyNumberFormat="1" applyFont="1" applyBorder="1" applyAlignment="1">
      <alignment vertical="center"/>
    </xf>
    <xf numFmtId="166" fontId="18" fillId="0" borderId="15" xfId="0" applyNumberFormat="1" applyFont="1" applyBorder="1" applyAlignment="1">
      <alignment vertical="center"/>
    </xf>
    <xf numFmtId="0" fontId="17" fillId="0" borderId="0" xfId="0" applyFont="1" applyAlignment="1">
      <alignment horizontal="left" vertical="center"/>
    </xf>
    <xf numFmtId="4" fontId="0" fillId="0" borderId="0" xfId="0" applyNumberFormat="1" applyFont="1" applyAlignment="1">
      <alignment vertical="center"/>
    </xf>
    <xf numFmtId="0" fontId="0" fillId="0" borderId="26" xfId="0" applyFont="1" applyBorder="1" applyAlignment="1" applyProtection="1">
      <alignment vertical="center"/>
      <protection locked="0"/>
    </xf>
    <xf numFmtId="0" fontId="17" fillId="8" borderId="22" xfId="0" applyFont="1" applyFill="1" applyBorder="1" applyAlignment="1" applyProtection="1">
      <alignment horizontal="center" vertical="center"/>
      <protection locked="0"/>
    </xf>
    <xf numFmtId="49" fontId="17" fillId="8" borderId="22" xfId="0" applyNumberFormat="1" applyFont="1" applyFill="1" applyBorder="1" applyAlignment="1" applyProtection="1">
      <alignment horizontal="left" vertical="center" wrapText="1"/>
      <protection locked="0"/>
    </xf>
    <xf numFmtId="0" fontId="17" fillId="8" borderId="22" xfId="0" applyFont="1" applyFill="1" applyBorder="1" applyAlignment="1" applyProtection="1">
      <alignment horizontal="left" vertical="center" wrapText="1"/>
      <protection locked="0"/>
    </xf>
    <xf numFmtId="0" fontId="17" fillId="8" borderId="22" xfId="0" applyFont="1" applyFill="1" applyBorder="1" applyAlignment="1" applyProtection="1">
      <alignment horizontal="center" vertical="center" wrapText="1"/>
      <protection locked="0"/>
    </xf>
    <xf numFmtId="167" fontId="17" fillId="8" borderId="22" xfId="0" applyNumberFormat="1" applyFont="1" applyFill="1" applyBorder="1" applyAlignment="1" applyProtection="1">
      <alignment vertical="center"/>
      <protection locked="0"/>
    </xf>
    <xf numFmtId="4" fontId="17" fillId="8" borderId="22" xfId="0" applyNumberFormat="1" applyFont="1" applyFill="1" applyBorder="1" applyAlignment="1" applyProtection="1">
      <alignment vertical="center"/>
      <protection locked="0"/>
    </xf>
    <xf numFmtId="4" fontId="17" fillId="8" borderId="35" xfId="0" applyNumberFormat="1" applyFont="1" applyFill="1" applyBorder="1" applyAlignment="1" applyProtection="1">
      <alignment vertical="center"/>
      <protection locked="0"/>
    </xf>
    <xf numFmtId="0" fontId="0" fillId="0" borderId="0" xfId="0" applyFont="1" applyAlignment="1">
      <alignment vertical="center"/>
    </xf>
    <xf numFmtId="0" fontId="0" fillId="0" borderId="0" xfId="0" applyFont="1" applyAlignment="1">
      <alignment horizontal="left" vertical="center"/>
    </xf>
    <xf numFmtId="0" fontId="0" fillId="0" borderId="3" xfId="0" applyFont="1" applyBorder="1" applyAlignment="1">
      <alignment vertical="center"/>
    </xf>
    <xf numFmtId="0" fontId="0" fillId="0" borderId="3" xfId="0" applyFont="1" applyBorder="1" applyAlignment="1" applyProtection="1">
      <alignment vertical="center"/>
      <protection locked="0"/>
    </xf>
    <xf numFmtId="0" fontId="17" fillId="0" borderId="22" xfId="0" applyFont="1" applyBorder="1" applyAlignment="1" applyProtection="1">
      <alignment horizontal="left" vertical="center" wrapText="1"/>
      <protection locked="0"/>
    </xf>
    <xf numFmtId="0" fontId="18" fillId="0" borderId="14" xfId="0" applyFont="1" applyBorder="1" applyAlignment="1">
      <alignment horizontal="left" vertical="center"/>
    </xf>
    <xf numFmtId="0" fontId="18" fillId="0" borderId="0" xfId="0" applyFont="1" applyBorder="1" applyAlignment="1">
      <alignment horizontal="center" vertical="center"/>
    </xf>
    <xf numFmtId="166" fontId="18" fillId="0" borderId="0" xfId="0" applyNumberFormat="1" applyFont="1" applyBorder="1" applyAlignment="1">
      <alignment vertical="center"/>
    </xf>
    <xf numFmtId="166" fontId="18" fillId="0" borderId="15" xfId="0" applyNumberFormat="1" applyFont="1" applyBorder="1" applyAlignment="1">
      <alignment vertical="center"/>
    </xf>
    <xf numFmtId="0" fontId="17" fillId="0" borderId="0" xfId="0" applyFont="1" applyAlignment="1">
      <alignment horizontal="left" vertical="center"/>
    </xf>
    <xf numFmtId="4" fontId="0" fillId="0" borderId="0" xfId="0" applyNumberFormat="1" applyFont="1" applyAlignment="1">
      <alignment vertical="center"/>
    </xf>
    <xf numFmtId="0" fontId="0" fillId="0" borderId="26" xfId="0" applyFont="1" applyBorder="1" applyAlignment="1" applyProtection="1">
      <alignment vertical="center"/>
      <protection locked="0"/>
    </xf>
    <xf numFmtId="0" fontId="17" fillId="5" borderId="22" xfId="0" applyFont="1" applyFill="1" applyBorder="1" applyAlignment="1" applyProtection="1">
      <alignment horizontal="center" vertical="center"/>
      <protection locked="0"/>
    </xf>
    <xf numFmtId="167" fontId="17" fillId="5" borderId="22" xfId="0" applyNumberFormat="1" applyFont="1" applyFill="1" applyBorder="1" applyAlignment="1" applyProtection="1">
      <alignment vertical="center"/>
      <protection locked="0"/>
    </xf>
    <xf numFmtId="0" fontId="17" fillId="8" borderId="22" xfId="0" applyFont="1" applyFill="1" applyBorder="1" applyAlignment="1" applyProtection="1">
      <alignment horizontal="center" vertical="center"/>
      <protection locked="0"/>
    </xf>
    <xf numFmtId="49" fontId="17" fillId="8" borderId="22" xfId="0" applyNumberFormat="1" applyFont="1" applyFill="1" applyBorder="1" applyAlignment="1" applyProtection="1">
      <alignment horizontal="left" vertical="center" wrapText="1"/>
      <protection locked="0"/>
    </xf>
    <xf numFmtId="0" fontId="17" fillId="8" borderId="22" xfId="0" applyFont="1" applyFill="1" applyBorder="1" applyAlignment="1" applyProtection="1">
      <alignment horizontal="left" vertical="center" wrapText="1"/>
      <protection locked="0"/>
    </xf>
    <xf numFmtId="0" fontId="17" fillId="8" borderId="22" xfId="0" applyFont="1" applyFill="1" applyBorder="1" applyAlignment="1" applyProtection="1">
      <alignment horizontal="center" vertical="center" wrapText="1"/>
      <protection locked="0"/>
    </xf>
    <xf numFmtId="167" fontId="17" fillId="8" borderId="22" xfId="0" applyNumberFormat="1" applyFont="1" applyFill="1" applyBorder="1" applyAlignment="1" applyProtection="1">
      <alignment vertical="center"/>
      <protection locked="0"/>
    </xf>
    <xf numFmtId="4" fontId="17" fillId="8" borderId="22" xfId="0" applyNumberFormat="1" applyFont="1" applyFill="1" applyBorder="1" applyAlignment="1" applyProtection="1">
      <alignment vertical="center"/>
      <protection locked="0"/>
    </xf>
    <xf numFmtId="4" fontId="17" fillId="8" borderId="35" xfId="0" applyNumberFormat="1" applyFont="1" applyFill="1" applyBorder="1" applyAlignment="1" applyProtection="1">
      <alignment vertical="center"/>
      <protection locked="0"/>
    </xf>
    <xf numFmtId="0" fontId="0" fillId="0" borderId="0" xfId="0" applyFont="1" applyAlignment="1">
      <alignment vertical="center"/>
    </xf>
    <xf numFmtId="0" fontId="0" fillId="0" borderId="0" xfId="0" applyFont="1" applyAlignment="1">
      <alignment horizontal="left" vertical="center"/>
    </xf>
    <xf numFmtId="0" fontId="0" fillId="0" borderId="3" xfId="0" applyFont="1" applyBorder="1" applyAlignment="1">
      <alignment vertical="center"/>
    </xf>
    <xf numFmtId="0" fontId="0" fillId="0" borderId="3" xfId="0" applyFont="1" applyBorder="1" applyAlignment="1" applyProtection="1">
      <alignment vertical="center"/>
      <protection locked="0"/>
    </xf>
    <xf numFmtId="0" fontId="17" fillId="0" borderId="22" xfId="0" applyFont="1" applyBorder="1" applyAlignment="1" applyProtection="1">
      <alignment horizontal="left" vertical="center" wrapText="1"/>
      <protection locked="0"/>
    </xf>
    <xf numFmtId="0" fontId="18" fillId="0" borderId="14" xfId="0" applyFont="1" applyBorder="1" applyAlignment="1">
      <alignment horizontal="left" vertical="center"/>
    </xf>
    <xf numFmtId="0" fontId="18" fillId="0" borderId="0" xfId="0" applyFont="1" applyBorder="1" applyAlignment="1">
      <alignment horizontal="center" vertical="center"/>
    </xf>
    <xf numFmtId="166" fontId="18" fillId="0" borderId="0" xfId="0" applyNumberFormat="1" applyFont="1" applyBorder="1" applyAlignment="1">
      <alignment vertical="center"/>
    </xf>
    <xf numFmtId="166" fontId="18" fillId="0" borderId="15" xfId="0" applyNumberFormat="1" applyFont="1" applyBorder="1" applyAlignment="1">
      <alignment vertical="center"/>
    </xf>
    <xf numFmtId="0" fontId="17" fillId="0" borderId="0" xfId="0" applyFont="1" applyAlignment="1">
      <alignment horizontal="left" vertical="center"/>
    </xf>
    <xf numFmtId="4" fontId="0" fillId="0" borderId="0" xfId="0" applyNumberFormat="1" applyFont="1" applyAlignment="1">
      <alignment vertical="center"/>
    </xf>
    <xf numFmtId="0" fontId="0" fillId="0" borderId="26" xfId="0" applyFont="1" applyBorder="1" applyAlignment="1" applyProtection="1">
      <alignment vertical="center"/>
      <protection locked="0"/>
    </xf>
    <xf numFmtId="0" fontId="17" fillId="8" borderId="22" xfId="0" applyFont="1" applyFill="1" applyBorder="1" applyAlignment="1" applyProtection="1">
      <alignment horizontal="center" vertical="center"/>
      <protection locked="0"/>
    </xf>
    <xf numFmtId="49" fontId="17" fillId="8" borderId="22" xfId="0" applyNumberFormat="1" applyFont="1" applyFill="1" applyBorder="1" applyAlignment="1" applyProtection="1">
      <alignment horizontal="left" vertical="center" wrapText="1"/>
      <protection locked="0"/>
    </xf>
    <xf numFmtId="0" fontId="17" fillId="8" borderId="22" xfId="0" applyFont="1" applyFill="1" applyBorder="1" applyAlignment="1" applyProtection="1">
      <alignment horizontal="left" vertical="center" wrapText="1"/>
      <protection locked="0"/>
    </xf>
    <xf numFmtId="0" fontId="17" fillId="8" borderId="22" xfId="0" applyFont="1" applyFill="1" applyBorder="1" applyAlignment="1" applyProtection="1">
      <alignment horizontal="center" vertical="center" wrapText="1"/>
      <protection locked="0"/>
    </xf>
    <xf numFmtId="167" fontId="17" fillId="8" borderId="22" xfId="0" applyNumberFormat="1" applyFont="1" applyFill="1" applyBorder="1" applyAlignment="1" applyProtection="1">
      <alignment vertical="center"/>
      <protection locked="0"/>
    </xf>
    <xf numFmtId="4" fontId="17" fillId="8" borderId="22" xfId="0" applyNumberFormat="1" applyFont="1" applyFill="1" applyBorder="1" applyAlignment="1" applyProtection="1">
      <alignment vertical="center"/>
      <protection locked="0"/>
    </xf>
    <xf numFmtId="0" fontId="0" fillId="0" borderId="0" xfId="0" applyFont="1" applyAlignment="1">
      <alignment vertical="center"/>
    </xf>
    <xf numFmtId="0" fontId="0" fillId="0" borderId="0" xfId="0" applyFont="1" applyAlignment="1">
      <alignment horizontal="left" vertical="center"/>
    </xf>
    <xf numFmtId="0" fontId="0" fillId="0" borderId="3" xfId="0" applyFont="1" applyBorder="1" applyAlignment="1">
      <alignment vertical="center"/>
    </xf>
    <xf numFmtId="0" fontId="0" fillId="0" borderId="3" xfId="0" applyFont="1" applyBorder="1" applyAlignment="1" applyProtection="1">
      <alignment vertical="center"/>
      <protection locked="0"/>
    </xf>
    <xf numFmtId="0" fontId="17" fillId="0" borderId="22" xfId="0" applyFont="1" applyBorder="1" applyAlignment="1" applyProtection="1">
      <alignment horizontal="left" vertical="center" wrapText="1"/>
      <protection locked="0"/>
    </xf>
    <xf numFmtId="0" fontId="18" fillId="0" borderId="14" xfId="0" applyFont="1" applyBorder="1" applyAlignment="1">
      <alignment horizontal="left" vertical="center"/>
    </xf>
    <xf numFmtId="0" fontId="18" fillId="0" borderId="0" xfId="0" applyFont="1" applyBorder="1" applyAlignment="1">
      <alignment horizontal="center" vertical="center"/>
    </xf>
    <xf numFmtId="166" fontId="18" fillId="0" borderId="0" xfId="0" applyNumberFormat="1" applyFont="1" applyBorder="1" applyAlignment="1">
      <alignment vertical="center"/>
    </xf>
    <xf numFmtId="166" fontId="18" fillId="0" borderId="15" xfId="0" applyNumberFormat="1" applyFont="1" applyBorder="1" applyAlignment="1">
      <alignment vertical="center"/>
    </xf>
    <xf numFmtId="0" fontId="17" fillId="0" borderId="0" xfId="0" applyFont="1" applyAlignment="1">
      <alignment horizontal="left" vertical="center"/>
    </xf>
    <xf numFmtId="4" fontId="0" fillId="0" borderId="0" xfId="0" applyNumberFormat="1" applyFont="1" applyAlignment="1">
      <alignment vertical="center"/>
    </xf>
    <xf numFmtId="0" fontId="0" fillId="0" borderId="26" xfId="0" applyFont="1" applyBorder="1" applyAlignment="1" applyProtection="1">
      <alignment vertical="center"/>
      <protection locked="0"/>
    </xf>
    <xf numFmtId="0" fontId="17" fillId="5" borderId="22" xfId="0" applyFont="1" applyFill="1" applyBorder="1" applyAlignment="1" applyProtection="1">
      <alignment horizontal="center" vertical="center"/>
      <protection locked="0"/>
    </xf>
    <xf numFmtId="167" fontId="17" fillId="5" borderId="22" xfId="0" applyNumberFormat="1" applyFont="1" applyFill="1" applyBorder="1" applyAlignment="1" applyProtection="1">
      <alignment vertical="center"/>
      <protection locked="0"/>
    </xf>
    <xf numFmtId="0" fontId="17" fillId="8" borderId="22" xfId="0" applyFont="1" applyFill="1" applyBorder="1" applyAlignment="1" applyProtection="1">
      <alignment horizontal="center" vertical="center"/>
      <protection locked="0"/>
    </xf>
    <xf numFmtId="49" fontId="17" fillId="8" borderId="22" xfId="0" applyNumberFormat="1" applyFont="1" applyFill="1" applyBorder="1" applyAlignment="1" applyProtection="1">
      <alignment horizontal="left" vertical="center" wrapText="1"/>
      <protection locked="0"/>
    </xf>
    <xf numFmtId="0" fontId="17" fillId="8" borderId="22" xfId="0" applyFont="1" applyFill="1" applyBorder="1" applyAlignment="1" applyProtection="1">
      <alignment horizontal="left" vertical="center" wrapText="1"/>
      <protection locked="0"/>
    </xf>
    <xf numFmtId="0" fontId="17" fillId="8" borderId="22" xfId="0" applyFont="1" applyFill="1" applyBorder="1" applyAlignment="1" applyProtection="1">
      <alignment horizontal="center" vertical="center" wrapText="1"/>
      <protection locked="0"/>
    </xf>
    <xf numFmtId="167" fontId="17" fillId="8" borderId="22" xfId="0" applyNumberFormat="1" applyFont="1" applyFill="1" applyBorder="1" applyAlignment="1" applyProtection="1">
      <alignment vertical="center"/>
      <protection locked="0"/>
    </xf>
    <xf numFmtId="4" fontId="17" fillId="8" borderId="22" xfId="0" applyNumberFormat="1" applyFont="1" applyFill="1" applyBorder="1" applyAlignment="1" applyProtection="1">
      <alignment vertical="center"/>
      <protection locked="0"/>
    </xf>
    <xf numFmtId="4" fontId="17" fillId="8" borderId="35" xfId="0" applyNumberFormat="1" applyFont="1" applyFill="1" applyBorder="1" applyAlignment="1" applyProtection="1">
      <alignment vertical="center"/>
      <protection locked="0"/>
    </xf>
    <xf numFmtId="0" fontId="0" fillId="0" borderId="0" xfId="0" applyFont="1" applyAlignment="1">
      <alignment vertical="center"/>
    </xf>
    <xf numFmtId="0" fontId="0" fillId="0" borderId="0" xfId="0" applyFont="1" applyAlignment="1">
      <alignment horizontal="left" vertical="center"/>
    </xf>
    <xf numFmtId="0" fontId="0" fillId="0" borderId="3" xfId="0" applyFont="1" applyBorder="1" applyAlignment="1">
      <alignment vertical="center"/>
    </xf>
    <xf numFmtId="0" fontId="0" fillId="0" borderId="3" xfId="0" applyFont="1" applyBorder="1" applyAlignment="1" applyProtection="1">
      <alignment vertical="center"/>
      <protection locked="0"/>
    </xf>
    <xf numFmtId="0" fontId="17" fillId="0" borderId="22" xfId="0" applyFont="1" applyBorder="1" applyAlignment="1" applyProtection="1">
      <alignment horizontal="left" vertical="center" wrapText="1"/>
      <protection locked="0"/>
    </xf>
    <xf numFmtId="0" fontId="18" fillId="0" borderId="14" xfId="0" applyFont="1" applyBorder="1" applyAlignment="1">
      <alignment horizontal="left" vertical="center"/>
    </xf>
    <xf numFmtId="0" fontId="18" fillId="0" borderId="0" xfId="0" applyFont="1" applyBorder="1" applyAlignment="1">
      <alignment horizontal="center" vertical="center"/>
    </xf>
    <xf numFmtId="166" fontId="18" fillId="0" borderId="0" xfId="0" applyNumberFormat="1" applyFont="1" applyBorder="1" applyAlignment="1">
      <alignment vertical="center"/>
    </xf>
    <xf numFmtId="166" fontId="18" fillId="0" borderId="15" xfId="0" applyNumberFormat="1" applyFont="1" applyBorder="1" applyAlignment="1">
      <alignment vertical="center"/>
    </xf>
    <xf numFmtId="0" fontId="17" fillId="0" borderId="0" xfId="0" applyFont="1" applyAlignment="1">
      <alignment horizontal="left" vertical="center"/>
    </xf>
    <xf numFmtId="4" fontId="0" fillId="0" borderId="0" xfId="0" applyNumberFormat="1" applyFont="1" applyAlignment="1">
      <alignment vertical="center"/>
    </xf>
    <xf numFmtId="0" fontId="0" fillId="0" borderId="26" xfId="0" applyFont="1" applyBorder="1" applyAlignment="1" applyProtection="1">
      <alignment vertical="center"/>
      <protection locked="0"/>
    </xf>
    <xf numFmtId="0" fontId="17" fillId="8" borderId="22" xfId="0" applyFont="1" applyFill="1" applyBorder="1" applyAlignment="1" applyProtection="1">
      <alignment horizontal="center" vertical="center"/>
      <protection locked="0"/>
    </xf>
    <xf numFmtId="49" fontId="17" fillId="8" borderId="22" xfId="0" applyNumberFormat="1" applyFont="1" applyFill="1" applyBorder="1" applyAlignment="1" applyProtection="1">
      <alignment horizontal="left" vertical="center" wrapText="1"/>
      <protection locked="0"/>
    </xf>
    <xf numFmtId="0" fontId="17" fillId="8" borderId="22" xfId="0" applyFont="1" applyFill="1" applyBorder="1" applyAlignment="1" applyProtection="1">
      <alignment horizontal="left" vertical="center" wrapText="1"/>
      <protection locked="0"/>
    </xf>
    <xf numFmtId="0" fontId="17" fillId="8" borderId="22" xfId="0" applyFont="1" applyFill="1" applyBorder="1" applyAlignment="1" applyProtection="1">
      <alignment horizontal="center" vertical="center" wrapText="1"/>
      <protection locked="0"/>
    </xf>
    <xf numFmtId="167" fontId="17" fillId="8" borderId="22" xfId="0" applyNumberFormat="1" applyFont="1" applyFill="1" applyBorder="1" applyAlignment="1" applyProtection="1">
      <alignment vertical="center"/>
      <protection locked="0"/>
    </xf>
    <xf numFmtId="4" fontId="17" fillId="8" borderId="22" xfId="0" applyNumberFormat="1" applyFont="1" applyFill="1" applyBorder="1" applyAlignment="1" applyProtection="1">
      <alignment vertical="center"/>
      <protection locked="0"/>
    </xf>
    <xf numFmtId="4" fontId="17" fillId="8" borderId="35" xfId="0" applyNumberFormat="1" applyFont="1" applyFill="1" applyBorder="1" applyAlignment="1" applyProtection="1">
      <alignment vertical="center"/>
      <protection locked="0"/>
    </xf>
    <xf numFmtId="0" fontId="0" fillId="0" borderId="0" xfId="0" applyFont="1" applyAlignment="1">
      <alignment vertical="center"/>
    </xf>
    <xf numFmtId="0" fontId="0" fillId="0" borderId="0" xfId="0" applyFont="1" applyAlignment="1">
      <alignment horizontal="left" vertical="center"/>
    </xf>
    <xf numFmtId="0" fontId="0" fillId="0" borderId="3" xfId="0" applyFont="1" applyBorder="1" applyAlignment="1">
      <alignment vertical="center"/>
    </xf>
    <xf numFmtId="0" fontId="0" fillId="0" borderId="3" xfId="0" applyFont="1" applyBorder="1" applyAlignment="1" applyProtection="1">
      <alignment vertical="center"/>
      <protection locked="0"/>
    </xf>
    <xf numFmtId="0" fontId="17" fillId="0" borderId="22" xfId="0" applyFont="1" applyBorder="1" applyAlignment="1" applyProtection="1">
      <alignment horizontal="left" vertical="center" wrapText="1"/>
      <protection locked="0"/>
    </xf>
    <xf numFmtId="0" fontId="18" fillId="0" borderId="14" xfId="0" applyFont="1" applyBorder="1" applyAlignment="1">
      <alignment horizontal="left" vertical="center"/>
    </xf>
    <xf numFmtId="0" fontId="18" fillId="0" borderId="0" xfId="0" applyFont="1" applyBorder="1" applyAlignment="1">
      <alignment horizontal="center" vertical="center"/>
    </xf>
    <xf numFmtId="166" fontId="18" fillId="0" borderId="0" xfId="0" applyNumberFormat="1" applyFont="1" applyBorder="1" applyAlignment="1">
      <alignment vertical="center"/>
    </xf>
    <xf numFmtId="166" fontId="18" fillId="0" borderId="15" xfId="0" applyNumberFormat="1" applyFont="1" applyBorder="1" applyAlignment="1">
      <alignment vertical="center"/>
    </xf>
    <xf numFmtId="0" fontId="17" fillId="0" borderId="0" xfId="0" applyFont="1" applyAlignment="1">
      <alignment horizontal="left" vertical="center"/>
    </xf>
    <xf numFmtId="4" fontId="0" fillId="0" borderId="0" xfId="0" applyNumberFormat="1" applyFont="1" applyAlignment="1">
      <alignment vertical="center"/>
    </xf>
    <xf numFmtId="0" fontId="0" fillId="0" borderId="26" xfId="0" applyFont="1" applyBorder="1" applyAlignment="1" applyProtection="1">
      <alignment vertical="center"/>
      <protection locked="0"/>
    </xf>
    <xf numFmtId="0" fontId="17" fillId="8" borderId="22" xfId="0" applyFont="1" applyFill="1" applyBorder="1" applyAlignment="1" applyProtection="1">
      <alignment horizontal="center" vertical="center"/>
      <protection locked="0"/>
    </xf>
    <xf numFmtId="49" fontId="17" fillId="8" borderId="22" xfId="0" applyNumberFormat="1" applyFont="1" applyFill="1" applyBorder="1" applyAlignment="1" applyProtection="1">
      <alignment horizontal="left" vertical="center" wrapText="1"/>
      <protection locked="0"/>
    </xf>
    <xf numFmtId="0" fontId="17" fillId="8" borderId="22" xfId="0" applyFont="1" applyFill="1" applyBorder="1" applyAlignment="1" applyProtection="1">
      <alignment horizontal="left" vertical="center" wrapText="1"/>
      <protection locked="0"/>
    </xf>
    <xf numFmtId="0" fontId="17" fillId="8" borderId="22" xfId="0" applyFont="1" applyFill="1" applyBorder="1" applyAlignment="1" applyProtection="1">
      <alignment horizontal="center" vertical="center" wrapText="1"/>
      <protection locked="0"/>
    </xf>
    <xf numFmtId="167" fontId="17" fillId="8" borderId="22" xfId="0" applyNumberFormat="1" applyFont="1" applyFill="1" applyBorder="1" applyAlignment="1" applyProtection="1">
      <alignment vertical="center"/>
      <protection locked="0"/>
    </xf>
    <xf numFmtId="4" fontId="17" fillId="8" borderId="22" xfId="0" applyNumberFormat="1" applyFont="1" applyFill="1" applyBorder="1" applyAlignment="1" applyProtection="1">
      <alignment vertical="center"/>
      <protection locked="0"/>
    </xf>
    <xf numFmtId="4" fontId="17" fillId="8" borderId="35" xfId="0" applyNumberFormat="1" applyFont="1" applyFill="1" applyBorder="1" applyAlignment="1" applyProtection="1">
      <alignment vertical="center"/>
      <protection locked="0"/>
    </xf>
    <xf numFmtId="0" fontId="84" fillId="8" borderId="22" xfId="0" applyFont="1" applyFill="1" applyBorder="1" applyAlignment="1" applyProtection="1">
      <alignment horizontal="center" vertical="center"/>
      <protection locked="0"/>
    </xf>
    <xf numFmtId="49" fontId="84" fillId="8" borderId="22" xfId="0" applyNumberFormat="1" applyFont="1" applyFill="1" applyBorder="1" applyAlignment="1" applyProtection="1">
      <alignment horizontal="left" vertical="center" wrapText="1"/>
      <protection locked="0"/>
    </xf>
    <xf numFmtId="0" fontId="84" fillId="8" borderId="22" xfId="0" applyFont="1" applyFill="1" applyBorder="1" applyAlignment="1" applyProtection="1">
      <alignment horizontal="left" vertical="center" wrapText="1"/>
      <protection locked="0"/>
    </xf>
    <xf numFmtId="0" fontId="84" fillId="8" borderId="22" xfId="0" applyFont="1" applyFill="1" applyBorder="1" applyAlignment="1" applyProtection="1">
      <alignment horizontal="center" vertical="center" wrapText="1"/>
      <protection locked="0"/>
    </xf>
    <xf numFmtId="167" fontId="84" fillId="8" borderId="22" xfId="0" applyNumberFormat="1" applyFont="1" applyFill="1" applyBorder="1" applyAlignment="1" applyProtection="1">
      <alignment vertical="center"/>
      <protection locked="0"/>
    </xf>
    <xf numFmtId="4" fontId="84" fillId="8" borderId="22" xfId="0" applyNumberFormat="1" applyFont="1" applyFill="1" applyBorder="1" applyAlignment="1" applyProtection="1">
      <alignment vertical="center"/>
      <protection locked="0"/>
    </xf>
    <xf numFmtId="0" fontId="0" fillId="0" borderId="0" xfId="0" applyFont="1" applyAlignment="1">
      <alignment vertical="center"/>
    </xf>
    <xf numFmtId="0" fontId="0" fillId="0" borderId="0" xfId="0" applyFont="1" applyAlignment="1">
      <alignment horizontal="left" vertical="center"/>
    </xf>
    <xf numFmtId="0" fontId="0" fillId="0" borderId="3" xfId="0" applyFont="1" applyBorder="1" applyAlignment="1">
      <alignment vertical="center"/>
    </xf>
    <xf numFmtId="0" fontId="0" fillId="0" borderId="3" xfId="0" applyFont="1" applyBorder="1" applyAlignment="1" applyProtection="1">
      <alignment vertical="center"/>
      <protection locked="0"/>
    </xf>
    <xf numFmtId="0" fontId="17" fillId="0" borderId="22" xfId="0" applyFont="1" applyBorder="1" applyAlignment="1" applyProtection="1">
      <alignment horizontal="left" vertical="center" wrapText="1"/>
      <protection locked="0"/>
    </xf>
    <xf numFmtId="0" fontId="18" fillId="0" borderId="14" xfId="0" applyFont="1" applyBorder="1" applyAlignment="1">
      <alignment horizontal="left" vertical="center"/>
    </xf>
    <xf numFmtId="0" fontId="18" fillId="0" borderId="0" xfId="0" applyFont="1" applyBorder="1" applyAlignment="1">
      <alignment horizontal="center" vertical="center"/>
    </xf>
    <xf numFmtId="166" fontId="18" fillId="0" borderId="0" xfId="0" applyNumberFormat="1" applyFont="1" applyBorder="1" applyAlignment="1">
      <alignment vertical="center"/>
    </xf>
    <xf numFmtId="166" fontId="18" fillId="0" borderId="15" xfId="0" applyNumberFormat="1" applyFont="1" applyBorder="1" applyAlignment="1">
      <alignment vertical="center"/>
    </xf>
    <xf numFmtId="0" fontId="17" fillId="0" borderId="0" xfId="0" applyFont="1" applyAlignment="1">
      <alignment horizontal="left" vertical="center"/>
    </xf>
    <xf numFmtId="4" fontId="0" fillId="0" borderId="0" xfId="0" applyNumberFormat="1" applyFont="1" applyAlignment="1">
      <alignment vertical="center"/>
    </xf>
    <xf numFmtId="0" fontId="0" fillId="0" borderId="26" xfId="0" applyFont="1" applyBorder="1" applyAlignment="1" applyProtection="1">
      <alignment vertical="center"/>
      <protection locked="0"/>
    </xf>
    <xf numFmtId="0" fontId="17" fillId="5" borderId="22" xfId="0" applyFont="1" applyFill="1" applyBorder="1" applyAlignment="1" applyProtection="1">
      <alignment horizontal="center" vertical="center"/>
      <protection locked="0"/>
    </xf>
    <xf numFmtId="167" fontId="17" fillId="5" borderId="22" xfId="0" applyNumberFormat="1" applyFont="1" applyFill="1" applyBorder="1" applyAlignment="1" applyProtection="1">
      <alignment vertical="center"/>
      <protection locked="0"/>
    </xf>
    <xf numFmtId="0" fontId="17" fillId="8" borderId="22" xfId="0" applyFont="1" applyFill="1" applyBorder="1" applyAlignment="1" applyProtection="1">
      <alignment horizontal="center" vertical="center"/>
      <protection locked="0"/>
    </xf>
    <xf numFmtId="49" fontId="17" fillId="8" borderId="22" xfId="0" applyNumberFormat="1" applyFont="1" applyFill="1" applyBorder="1" applyAlignment="1" applyProtection="1">
      <alignment horizontal="left" vertical="center" wrapText="1"/>
      <protection locked="0"/>
    </xf>
    <xf numFmtId="0" fontId="17" fillId="8" borderId="22" xfId="0" applyFont="1" applyFill="1" applyBorder="1" applyAlignment="1" applyProtection="1">
      <alignment horizontal="left" vertical="center" wrapText="1"/>
      <protection locked="0"/>
    </xf>
    <xf numFmtId="0" fontId="17" fillId="8" borderId="22" xfId="0" applyFont="1" applyFill="1" applyBorder="1" applyAlignment="1" applyProtection="1">
      <alignment horizontal="center" vertical="center" wrapText="1"/>
      <protection locked="0"/>
    </xf>
    <xf numFmtId="167" fontId="17" fillId="8" borderId="22" xfId="0" applyNumberFormat="1" applyFont="1" applyFill="1" applyBorder="1" applyAlignment="1" applyProtection="1">
      <alignment vertical="center"/>
      <protection locked="0"/>
    </xf>
    <xf numFmtId="4" fontId="17" fillId="8" borderId="22" xfId="0" applyNumberFormat="1" applyFont="1" applyFill="1" applyBorder="1" applyAlignment="1" applyProtection="1">
      <alignment vertical="center"/>
      <protection locked="0"/>
    </xf>
    <xf numFmtId="4" fontId="17" fillId="8" borderId="35" xfId="0" applyNumberFormat="1" applyFont="1" applyFill="1" applyBorder="1" applyAlignment="1" applyProtection="1">
      <alignment vertical="center"/>
      <protection locked="0"/>
    </xf>
    <xf numFmtId="0" fontId="44" fillId="0" borderId="0" xfId="0" applyFont="1" applyAlignment="1">
      <alignment horizontal="center" vertical="center"/>
    </xf>
    <xf numFmtId="4" fontId="8" fillId="0" borderId="0" xfId="0" applyNumberFormat="1" applyFont="1" applyAlignment="1"/>
    <xf numFmtId="167" fontId="0" fillId="0" borderId="0" xfId="0" applyNumberFormat="1" applyFont="1" applyAlignment="1">
      <alignment vertical="center"/>
    </xf>
    <xf numFmtId="167" fontId="17" fillId="8" borderId="22" xfId="0" applyNumberFormat="1" applyFont="1" applyFill="1" applyBorder="1" applyAlignment="1" applyProtection="1">
      <alignment vertical="center"/>
      <protection locked="0"/>
    </xf>
    <xf numFmtId="0" fontId="84" fillId="8" borderId="22" xfId="0" applyFont="1" applyFill="1" applyBorder="1" applyAlignment="1" applyProtection="1">
      <alignment horizontal="center" vertical="center"/>
      <protection locked="0"/>
    </xf>
    <xf numFmtId="49" fontId="84" fillId="8" borderId="22" xfId="0" applyNumberFormat="1" applyFont="1" applyFill="1" applyBorder="1" applyAlignment="1" applyProtection="1">
      <alignment horizontal="left" vertical="center" wrapText="1"/>
      <protection locked="0"/>
    </xf>
    <xf numFmtId="0" fontId="84" fillId="8" borderId="22" xfId="0" applyFont="1" applyFill="1" applyBorder="1" applyAlignment="1" applyProtection="1">
      <alignment horizontal="left" vertical="center" wrapText="1"/>
      <protection locked="0"/>
    </xf>
    <xf numFmtId="0" fontId="84" fillId="8" borderId="22" xfId="0" applyFont="1" applyFill="1" applyBorder="1" applyAlignment="1" applyProtection="1">
      <alignment horizontal="center" vertical="center" wrapText="1"/>
      <protection locked="0"/>
    </xf>
    <xf numFmtId="167" fontId="84" fillId="8" borderId="22" xfId="0" applyNumberFormat="1" applyFont="1" applyFill="1" applyBorder="1" applyAlignment="1" applyProtection="1">
      <alignment vertical="center"/>
      <protection locked="0"/>
    </xf>
    <xf numFmtId="4" fontId="84" fillId="8" borderId="22" xfId="0" applyNumberFormat="1" applyFont="1" applyFill="1" applyBorder="1" applyAlignment="1" applyProtection="1">
      <alignment vertical="center"/>
      <protection locked="0"/>
    </xf>
    <xf numFmtId="0" fontId="0" fillId="0" borderId="0" xfId="0" applyFont="1" applyAlignment="1">
      <alignment vertical="center"/>
    </xf>
    <xf numFmtId="0" fontId="0" fillId="0" borderId="0" xfId="0" applyFont="1" applyAlignment="1">
      <alignment horizontal="left" vertical="center"/>
    </xf>
    <xf numFmtId="0" fontId="0" fillId="0" borderId="3" xfId="0" applyFont="1" applyBorder="1" applyAlignment="1">
      <alignment vertical="center"/>
    </xf>
    <xf numFmtId="0" fontId="0" fillId="0" borderId="3" xfId="0" applyFont="1" applyBorder="1" applyAlignment="1" applyProtection="1">
      <alignment vertical="center"/>
      <protection locked="0"/>
    </xf>
    <xf numFmtId="0" fontId="17" fillId="0" borderId="22" xfId="0" applyFont="1" applyBorder="1" applyAlignment="1" applyProtection="1">
      <alignment horizontal="left" vertical="center" wrapText="1"/>
      <protection locked="0"/>
    </xf>
    <xf numFmtId="0" fontId="18" fillId="0" borderId="14" xfId="0" applyFont="1" applyBorder="1" applyAlignment="1">
      <alignment horizontal="left" vertical="center"/>
    </xf>
    <xf numFmtId="0" fontId="18" fillId="0" borderId="0" xfId="0" applyFont="1" applyBorder="1" applyAlignment="1">
      <alignment horizontal="center" vertical="center"/>
    </xf>
    <xf numFmtId="166" fontId="18" fillId="0" borderId="0" xfId="0" applyNumberFormat="1" applyFont="1" applyBorder="1" applyAlignment="1">
      <alignment vertical="center"/>
    </xf>
    <xf numFmtId="166" fontId="18" fillId="0" borderId="15" xfId="0" applyNumberFormat="1" applyFont="1" applyBorder="1" applyAlignment="1">
      <alignment vertical="center"/>
    </xf>
    <xf numFmtId="0" fontId="17" fillId="0" borderId="0" xfId="0" applyFont="1" applyAlignment="1">
      <alignment horizontal="left" vertical="center"/>
    </xf>
    <xf numFmtId="4" fontId="0" fillId="0" borderId="0" xfId="0" applyNumberFormat="1" applyFont="1" applyAlignment="1">
      <alignment vertical="center"/>
    </xf>
    <xf numFmtId="0" fontId="0" fillId="0" borderId="26" xfId="0" applyFont="1" applyBorder="1" applyAlignment="1" applyProtection="1">
      <alignment vertical="center"/>
      <protection locked="0"/>
    </xf>
    <xf numFmtId="4" fontId="17" fillId="0" borderId="35" xfId="0" applyNumberFormat="1" applyFont="1" applyBorder="1" applyAlignment="1" applyProtection="1">
      <alignment vertical="center"/>
      <protection locked="0"/>
    </xf>
    <xf numFmtId="0" fontId="17" fillId="5" borderId="22" xfId="0" applyFont="1" applyFill="1" applyBorder="1" applyAlignment="1" applyProtection="1">
      <alignment horizontal="center" vertical="center"/>
      <protection locked="0"/>
    </xf>
    <xf numFmtId="167" fontId="17" fillId="5" borderId="22" xfId="0" applyNumberFormat="1" applyFont="1" applyFill="1" applyBorder="1" applyAlignment="1" applyProtection="1">
      <alignment vertical="center"/>
      <protection locked="0"/>
    </xf>
    <xf numFmtId="0" fontId="17" fillId="8" borderId="22" xfId="0" applyFont="1" applyFill="1" applyBorder="1" applyAlignment="1" applyProtection="1">
      <alignment horizontal="center" vertical="center"/>
      <protection locked="0"/>
    </xf>
    <xf numFmtId="49" fontId="17" fillId="8" borderId="22" xfId="0" applyNumberFormat="1" applyFont="1" applyFill="1" applyBorder="1" applyAlignment="1" applyProtection="1">
      <alignment horizontal="left" vertical="center" wrapText="1"/>
      <protection locked="0"/>
    </xf>
    <xf numFmtId="0" fontId="17" fillId="8" borderId="22" xfId="0" applyFont="1" applyFill="1" applyBorder="1" applyAlignment="1" applyProtection="1">
      <alignment horizontal="left" vertical="center" wrapText="1"/>
      <protection locked="0"/>
    </xf>
    <xf numFmtId="0" fontId="17" fillId="8" borderId="22" xfId="0" applyFont="1" applyFill="1" applyBorder="1" applyAlignment="1" applyProtection="1">
      <alignment horizontal="center" vertical="center" wrapText="1"/>
      <protection locked="0"/>
    </xf>
    <xf numFmtId="167" fontId="17" fillId="8" borderId="22" xfId="0" applyNumberFormat="1" applyFont="1" applyFill="1" applyBorder="1" applyAlignment="1" applyProtection="1">
      <alignment vertical="center"/>
      <protection locked="0"/>
    </xf>
    <xf numFmtId="4" fontId="17" fillId="8" borderId="22" xfId="0" applyNumberFormat="1" applyFont="1" applyFill="1" applyBorder="1" applyAlignment="1" applyProtection="1">
      <alignment vertical="center"/>
      <protection locked="0"/>
    </xf>
    <xf numFmtId="4" fontId="17" fillId="8" borderId="35" xfId="0" applyNumberFormat="1" applyFont="1" applyFill="1" applyBorder="1" applyAlignment="1" applyProtection="1">
      <alignment vertical="center"/>
      <protection locked="0"/>
    </xf>
    <xf numFmtId="0" fontId="35" fillId="0" borderId="0" xfId="0" applyFont="1" applyFill="1" applyAlignment="1">
      <alignment horizontal="center" vertical="center"/>
    </xf>
    <xf numFmtId="0" fontId="0" fillId="0" borderId="0" xfId="0" applyFont="1" applyAlignment="1">
      <alignment vertical="center"/>
    </xf>
    <xf numFmtId="0" fontId="0" fillId="0" borderId="0" xfId="0" applyFont="1" applyAlignment="1">
      <alignment horizontal="left" vertical="center"/>
    </xf>
    <xf numFmtId="0" fontId="0" fillId="0" borderId="3" xfId="0" applyFont="1" applyBorder="1" applyAlignment="1">
      <alignment vertical="center"/>
    </xf>
    <xf numFmtId="0" fontId="0" fillId="0" borderId="3" xfId="0" applyFont="1" applyBorder="1" applyAlignment="1" applyProtection="1">
      <alignment vertical="center"/>
      <protection locked="0"/>
    </xf>
    <xf numFmtId="0" fontId="17" fillId="0" borderId="22" xfId="0" applyFont="1" applyBorder="1" applyAlignment="1" applyProtection="1">
      <alignment horizontal="left" vertical="center" wrapText="1"/>
      <protection locked="0"/>
    </xf>
    <xf numFmtId="0" fontId="18" fillId="0" borderId="14" xfId="0" applyFont="1" applyBorder="1" applyAlignment="1">
      <alignment horizontal="left" vertical="center"/>
    </xf>
    <xf numFmtId="0" fontId="18" fillId="0" borderId="0" xfId="0" applyFont="1" applyBorder="1" applyAlignment="1">
      <alignment horizontal="center" vertical="center"/>
    </xf>
    <xf numFmtId="166" fontId="18" fillId="0" borderId="0" xfId="0" applyNumberFormat="1" applyFont="1" applyBorder="1" applyAlignment="1">
      <alignment vertical="center"/>
    </xf>
    <xf numFmtId="166" fontId="18" fillId="0" borderId="15" xfId="0" applyNumberFormat="1" applyFont="1" applyBorder="1" applyAlignment="1">
      <alignment vertical="center"/>
    </xf>
    <xf numFmtId="0" fontId="17" fillId="0" borderId="0" xfId="0" applyFont="1" applyAlignment="1">
      <alignment horizontal="left" vertical="center"/>
    </xf>
    <xf numFmtId="4" fontId="0" fillId="0" borderId="0" xfId="0" applyNumberFormat="1" applyFont="1" applyAlignment="1">
      <alignment vertical="center"/>
    </xf>
    <xf numFmtId="0" fontId="0" fillId="0" borderId="26" xfId="0" applyFont="1" applyBorder="1" applyAlignment="1" applyProtection="1">
      <alignment vertical="center"/>
      <protection locked="0"/>
    </xf>
    <xf numFmtId="0" fontId="17" fillId="5" borderId="22" xfId="0" applyFont="1" applyFill="1" applyBorder="1" applyAlignment="1" applyProtection="1">
      <alignment horizontal="center" vertical="center"/>
      <protection locked="0"/>
    </xf>
    <xf numFmtId="167" fontId="17" fillId="5" borderId="22" xfId="0" applyNumberFormat="1" applyFont="1" applyFill="1" applyBorder="1" applyAlignment="1" applyProtection="1">
      <alignment vertical="center"/>
      <protection locked="0"/>
    </xf>
    <xf numFmtId="0" fontId="17" fillId="8" borderId="22" xfId="0" applyFont="1" applyFill="1" applyBorder="1" applyAlignment="1" applyProtection="1">
      <alignment horizontal="center" vertical="center"/>
      <protection locked="0"/>
    </xf>
    <xf numFmtId="49" fontId="17" fillId="8" borderId="22" xfId="0" applyNumberFormat="1" applyFont="1" applyFill="1" applyBorder="1" applyAlignment="1" applyProtection="1">
      <alignment horizontal="left" vertical="center" wrapText="1"/>
      <protection locked="0"/>
    </xf>
    <xf numFmtId="0" fontId="17" fillId="8" borderId="22" xfId="0" applyFont="1" applyFill="1" applyBorder="1" applyAlignment="1" applyProtection="1">
      <alignment horizontal="left" vertical="center" wrapText="1"/>
      <protection locked="0"/>
    </xf>
    <xf numFmtId="0" fontId="17" fillId="8" borderId="22" xfId="0" applyFont="1" applyFill="1" applyBorder="1" applyAlignment="1" applyProtection="1">
      <alignment horizontal="center" vertical="center" wrapText="1"/>
      <protection locked="0"/>
    </xf>
    <xf numFmtId="167" fontId="17" fillId="8" borderId="22" xfId="0" applyNumberFormat="1" applyFont="1" applyFill="1" applyBorder="1" applyAlignment="1" applyProtection="1">
      <alignment vertical="center"/>
      <protection locked="0"/>
    </xf>
    <xf numFmtId="4" fontId="17" fillId="8" borderId="22" xfId="0" applyNumberFormat="1" applyFont="1" applyFill="1" applyBorder="1" applyAlignment="1" applyProtection="1">
      <alignment vertical="center"/>
      <protection locked="0"/>
    </xf>
    <xf numFmtId="4" fontId="17" fillId="8" borderId="35" xfId="0" applyNumberFormat="1" applyFont="1" applyFill="1" applyBorder="1" applyAlignment="1" applyProtection="1">
      <alignment vertical="center"/>
      <protection locked="0"/>
    </xf>
    <xf numFmtId="167" fontId="29" fillId="5" borderId="22" xfId="0" applyNumberFormat="1" applyFont="1" applyFill="1" applyBorder="1" applyAlignment="1" applyProtection="1">
      <alignment vertical="center"/>
      <protection locked="0"/>
    </xf>
    <xf numFmtId="0" fontId="29" fillId="5" borderId="22" xfId="0" applyFont="1" applyFill="1" applyBorder="1" applyAlignment="1" applyProtection="1">
      <alignment horizontal="center" vertical="center"/>
      <protection locked="0"/>
    </xf>
    <xf numFmtId="0" fontId="0" fillId="0" borderId="0" xfId="0" applyFont="1" applyAlignment="1">
      <alignment vertical="center"/>
    </xf>
    <xf numFmtId="0" fontId="0" fillId="0" borderId="0" xfId="0" applyFont="1" applyAlignment="1">
      <alignment horizontal="left" vertical="center"/>
    </xf>
    <xf numFmtId="0" fontId="0" fillId="0" borderId="3" xfId="0" applyFont="1" applyBorder="1" applyAlignment="1">
      <alignment vertical="center"/>
    </xf>
    <xf numFmtId="0" fontId="0" fillId="0" borderId="3" xfId="0" applyFont="1" applyBorder="1" applyAlignment="1" applyProtection="1">
      <alignment vertical="center"/>
      <protection locked="0"/>
    </xf>
    <xf numFmtId="0" fontId="18" fillId="0" borderId="14" xfId="0" applyFont="1" applyBorder="1" applyAlignment="1">
      <alignment horizontal="left" vertical="center"/>
    </xf>
    <xf numFmtId="0" fontId="18" fillId="0" borderId="0" xfId="0" applyFont="1" applyBorder="1" applyAlignment="1">
      <alignment horizontal="center" vertical="center"/>
    </xf>
    <xf numFmtId="166" fontId="18" fillId="0" borderId="0" xfId="0" applyNumberFormat="1" applyFont="1" applyBorder="1" applyAlignment="1">
      <alignment vertical="center"/>
    </xf>
    <xf numFmtId="166" fontId="18" fillId="0" borderId="15" xfId="0" applyNumberFormat="1" applyFont="1" applyBorder="1" applyAlignment="1">
      <alignment vertical="center"/>
    </xf>
    <xf numFmtId="0" fontId="17" fillId="0" borderId="0" xfId="0" applyFont="1" applyAlignment="1">
      <alignment horizontal="left" vertical="center"/>
    </xf>
    <xf numFmtId="4" fontId="0" fillId="0" borderId="0" xfId="0" applyNumberFormat="1" applyFont="1" applyAlignment="1">
      <alignment vertical="center"/>
    </xf>
    <xf numFmtId="0" fontId="0" fillId="0" borderId="26" xfId="0" applyFont="1" applyBorder="1" applyAlignment="1" applyProtection="1">
      <alignment vertical="center"/>
      <protection locked="0"/>
    </xf>
    <xf numFmtId="0" fontId="17" fillId="5" borderId="22" xfId="0" applyFont="1" applyFill="1" applyBorder="1" applyAlignment="1" applyProtection="1">
      <alignment horizontal="center" vertical="center"/>
      <protection locked="0"/>
    </xf>
    <xf numFmtId="167" fontId="17" fillId="5" borderId="22" xfId="0" applyNumberFormat="1" applyFont="1" applyFill="1" applyBorder="1" applyAlignment="1" applyProtection="1">
      <alignment vertical="center"/>
      <protection locked="0"/>
    </xf>
    <xf numFmtId="0" fontId="17" fillId="8" borderId="22" xfId="0" applyFont="1" applyFill="1" applyBorder="1" applyAlignment="1" applyProtection="1">
      <alignment horizontal="center" vertical="center"/>
      <protection locked="0"/>
    </xf>
    <xf numFmtId="49" fontId="17" fillId="8" borderId="22" xfId="0" applyNumberFormat="1" applyFont="1" applyFill="1" applyBorder="1" applyAlignment="1" applyProtection="1">
      <alignment horizontal="left" vertical="center" wrapText="1"/>
      <protection locked="0"/>
    </xf>
    <xf numFmtId="0" fontId="17" fillId="8" borderId="22" xfId="0" applyFont="1" applyFill="1" applyBorder="1" applyAlignment="1" applyProtection="1">
      <alignment horizontal="left" vertical="center" wrapText="1"/>
      <protection locked="0"/>
    </xf>
    <xf numFmtId="0" fontId="17" fillId="8" borderId="22" xfId="0" applyFont="1" applyFill="1" applyBorder="1" applyAlignment="1" applyProtection="1">
      <alignment horizontal="center" vertical="center" wrapText="1"/>
      <protection locked="0"/>
    </xf>
    <xf numFmtId="167" fontId="17" fillId="8" borderId="22" xfId="0" applyNumberFormat="1" applyFont="1" applyFill="1" applyBorder="1" applyAlignment="1" applyProtection="1">
      <alignment vertical="center"/>
      <protection locked="0"/>
    </xf>
    <xf numFmtId="4" fontId="17" fillId="8" borderId="22" xfId="0" applyNumberFormat="1" applyFont="1" applyFill="1" applyBorder="1" applyAlignment="1" applyProtection="1">
      <alignment vertical="center"/>
      <protection locked="0"/>
    </xf>
    <xf numFmtId="4" fontId="17" fillId="8" borderId="35" xfId="0" applyNumberFormat="1" applyFont="1" applyFill="1" applyBorder="1" applyAlignment="1" applyProtection="1">
      <alignment vertical="center"/>
      <protection locked="0"/>
    </xf>
    <xf numFmtId="0" fontId="17" fillId="0" borderId="0" xfId="0" applyFont="1" applyBorder="1" applyAlignment="1" applyProtection="1">
      <alignment horizontal="left" vertical="center" wrapText="1"/>
      <protection locked="0"/>
    </xf>
    <xf numFmtId="0" fontId="17" fillId="8" borderId="22" xfId="0" applyFont="1" applyFill="1" applyBorder="1" applyAlignment="1" applyProtection="1">
      <alignment horizontal="center" vertical="center"/>
      <protection locked="0"/>
    </xf>
    <xf numFmtId="49" fontId="17" fillId="8" borderId="22" xfId="0" applyNumberFormat="1" applyFont="1" applyFill="1" applyBorder="1" applyAlignment="1" applyProtection="1">
      <alignment horizontal="left" vertical="center" wrapText="1"/>
      <protection locked="0"/>
    </xf>
    <xf numFmtId="0" fontId="17" fillId="8" borderId="22" xfId="0" applyFont="1" applyFill="1" applyBorder="1" applyAlignment="1" applyProtection="1">
      <alignment horizontal="left" vertical="center" wrapText="1"/>
      <protection locked="0"/>
    </xf>
    <xf numFmtId="0" fontId="17" fillId="8" borderId="22" xfId="0" applyFont="1" applyFill="1" applyBorder="1" applyAlignment="1" applyProtection="1">
      <alignment horizontal="center" vertical="center" wrapText="1"/>
      <protection locked="0"/>
    </xf>
    <xf numFmtId="167" fontId="17" fillId="8" borderId="22" xfId="0" applyNumberFormat="1" applyFont="1" applyFill="1" applyBorder="1" applyAlignment="1" applyProtection="1">
      <alignment vertical="center"/>
      <protection locked="0"/>
    </xf>
    <xf numFmtId="4" fontId="17" fillId="8" borderId="22" xfId="0" applyNumberFormat="1" applyFont="1" applyFill="1" applyBorder="1" applyAlignment="1" applyProtection="1">
      <alignment vertical="center"/>
      <protection locked="0"/>
    </xf>
    <xf numFmtId="4" fontId="17" fillId="8" borderId="35" xfId="0" applyNumberFormat="1" applyFont="1" applyFill="1" applyBorder="1" applyAlignment="1" applyProtection="1">
      <alignment vertical="center"/>
      <protection locked="0"/>
    </xf>
    <xf numFmtId="0" fontId="17" fillId="5" borderId="22" xfId="0" applyFont="1" applyFill="1" applyBorder="1" applyAlignment="1" applyProtection="1">
      <alignment horizontal="center" vertical="center"/>
      <protection locked="0"/>
    </xf>
    <xf numFmtId="167" fontId="17" fillId="5" borderId="22" xfId="0" applyNumberFormat="1" applyFont="1" applyFill="1" applyBorder="1" applyAlignment="1" applyProtection="1">
      <alignment vertical="center"/>
      <protection locked="0"/>
    </xf>
    <xf numFmtId="0" fontId="17" fillId="8" borderId="22" xfId="0" applyFont="1" applyFill="1" applyBorder="1" applyAlignment="1" applyProtection="1">
      <alignment horizontal="center" vertical="center"/>
      <protection locked="0"/>
    </xf>
    <xf numFmtId="49" fontId="17" fillId="8" borderId="22" xfId="0" applyNumberFormat="1" applyFont="1" applyFill="1" applyBorder="1" applyAlignment="1" applyProtection="1">
      <alignment horizontal="left" vertical="center" wrapText="1"/>
      <protection locked="0"/>
    </xf>
    <xf numFmtId="0" fontId="17" fillId="8" borderId="22" xfId="0" applyFont="1" applyFill="1" applyBorder="1" applyAlignment="1" applyProtection="1">
      <alignment horizontal="left" vertical="center" wrapText="1"/>
      <protection locked="0"/>
    </xf>
    <xf numFmtId="0" fontId="17" fillId="8" borderId="22" xfId="0" applyFont="1" applyFill="1" applyBorder="1" applyAlignment="1" applyProtection="1">
      <alignment horizontal="center" vertical="center" wrapText="1"/>
      <protection locked="0"/>
    </xf>
    <xf numFmtId="167" fontId="17" fillId="8" borderId="22" xfId="0" applyNumberFormat="1" applyFont="1" applyFill="1" applyBorder="1" applyAlignment="1" applyProtection="1">
      <alignment vertical="center"/>
      <protection locked="0"/>
    </xf>
    <xf numFmtId="4" fontId="17" fillId="8" borderId="22" xfId="0" applyNumberFormat="1" applyFont="1" applyFill="1" applyBorder="1" applyAlignment="1" applyProtection="1">
      <alignment vertical="center"/>
      <protection locked="0"/>
    </xf>
    <xf numFmtId="4" fontId="17" fillId="5" borderId="22" xfId="0" applyNumberFormat="1" applyFont="1" applyFill="1" applyBorder="1" applyAlignment="1" applyProtection="1">
      <alignment vertical="center"/>
      <protection locked="0"/>
    </xf>
    <xf numFmtId="4" fontId="17" fillId="8" borderId="35" xfId="0" applyNumberFormat="1" applyFont="1" applyFill="1" applyBorder="1" applyAlignment="1" applyProtection="1">
      <alignment vertical="center"/>
      <protection locked="0"/>
    </xf>
    <xf numFmtId="0" fontId="17" fillId="8" borderId="22" xfId="0" applyFont="1" applyFill="1" applyBorder="1" applyAlignment="1" applyProtection="1">
      <alignment horizontal="center" vertical="center"/>
      <protection locked="0"/>
    </xf>
    <xf numFmtId="49" fontId="17" fillId="8" borderId="22" xfId="0" applyNumberFormat="1" applyFont="1" applyFill="1" applyBorder="1" applyAlignment="1" applyProtection="1">
      <alignment horizontal="left" vertical="center" wrapText="1"/>
      <protection locked="0"/>
    </xf>
    <xf numFmtId="0" fontId="17" fillId="8" borderId="22" xfId="0" applyFont="1" applyFill="1" applyBorder="1" applyAlignment="1" applyProtection="1">
      <alignment horizontal="left" vertical="center" wrapText="1"/>
      <protection locked="0"/>
    </xf>
    <xf numFmtId="0" fontId="17" fillId="8" borderId="22" xfId="0" applyFont="1" applyFill="1" applyBorder="1" applyAlignment="1" applyProtection="1">
      <alignment horizontal="center" vertical="center" wrapText="1"/>
      <protection locked="0"/>
    </xf>
    <xf numFmtId="167" fontId="17" fillId="8" borderId="22" xfId="0" applyNumberFormat="1" applyFont="1" applyFill="1" applyBorder="1" applyAlignment="1" applyProtection="1">
      <alignment vertical="center"/>
      <protection locked="0"/>
    </xf>
    <xf numFmtId="4" fontId="17" fillId="8" borderId="22" xfId="0" applyNumberFormat="1" applyFont="1" applyFill="1" applyBorder="1" applyAlignment="1" applyProtection="1">
      <alignment vertical="center"/>
      <protection locked="0"/>
    </xf>
    <xf numFmtId="4" fontId="17" fillId="8" borderId="35" xfId="0" applyNumberFormat="1" applyFont="1" applyFill="1" applyBorder="1" applyAlignment="1" applyProtection="1">
      <alignment vertical="center"/>
      <protection locked="0"/>
    </xf>
    <xf numFmtId="0" fontId="0" fillId="0" borderId="0" xfId="0" applyFont="1" applyAlignment="1">
      <alignment vertical="center"/>
    </xf>
    <xf numFmtId="0" fontId="0" fillId="0" borderId="0" xfId="0" applyFont="1" applyAlignment="1">
      <alignment horizontal="left" vertical="center"/>
    </xf>
    <xf numFmtId="0" fontId="0" fillId="0" borderId="3" xfId="0" applyFont="1" applyBorder="1" applyAlignment="1">
      <alignment vertical="center"/>
    </xf>
    <xf numFmtId="0" fontId="0" fillId="0" borderId="3" xfId="0" applyFont="1" applyBorder="1" applyAlignment="1" applyProtection="1">
      <alignment vertical="center"/>
      <protection locked="0"/>
    </xf>
    <xf numFmtId="0" fontId="17" fillId="0" borderId="22" xfId="0" applyFont="1" applyBorder="1" applyAlignment="1" applyProtection="1">
      <alignment horizontal="center" vertical="center"/>
      <protection locked="0"/>
    </xf>
    <xf numFmtId="49" fontId="17" fillId="0" borderId="22" xfId="0" applyNumberFormat="1" applyFont="1" applyBorder="1" applyAlignment="1" applyProtection="1">
      <alignment horizontal="left" vertical="center" wrapText="1"/>
      <protection locked="0"/>
    </xf>
    <xf numFmtId="0" fontId="17" fillId="0" borderId="22" xfId="0" applyFont="1" applyBorder="1" applyAlignment="1" applyProtection="1">
      <alignment horizontal="left" vertical="center" wrapText="1"/>
      <protection locked="0"/>
    </xf>
    <xf numFmtId="0" fontId="17" fillId="0" borderId="22" xfId="0" applyFont="1" applyBorder="1" applyAlignment="1" applyProtection="1">
      <alignment horizontal="center" vertical="center" wrapText="1"/>
      <protection locked="0"/>
    </xf>
    <xf numFmtId="167" fontId="17" fillId="0" borderId="22" xfId="0" applyNumberFormat="1" applyFont="1" applyBorder="1" applyAlignment="1" applyProtection="1">
      <alignment vertical="center"/>
      <protection locked="0"/>
    </xf>
    <xf numFmtId="4" fontId="17" fillId="0" borderId="22" xfId="0" applyNumberFormat="1" applyFont="1" applyBorder="1" applyAlignment="1" applyProtection="1">
      <alignment vertical="center"/>
      <protection locked="0"/>
    </xf>
    <xf numFmtId="0" fontId="18" fillId="0" borderId="14" xfId="0" applyFont="1" applyBorder="1" applyAlignment="1">
      <alignment horizontal="left" vertical="center"/>
    </xf>
    <xf numFmtId="0" fontId="18" fillId="0" borderId="0" xfId="0" applyFont="1" applyBorder="1" applyAlignment="1">
      <alignment horizontal="center" vertical="center"/>
    </xf>
    <xf numFmtId="166" fontId="18" fillId="0" borderId="0" xfId="0" applyNumberFormat="1" applyFont="1" applyBorder="1" applyAlignment="1">
      <alignment vertical="center"/>
    </xf>
    <xf numFmtId="166" fontId="18" fillId="0" borderId="15" xfId="0" applyNumberFormat="1" applyFont="1" applyBorder="1" applyAlignment="1">
      <alignment vertical="center"/>
    </xf>
    <xf numFmtId="0" fontId="17" fillId="0" borderId="0" xfId="0" applyFont="1" applyAlignment="1">
      <alignment horizontal="left" vertical="center"/>
    </xf>
    <xf numFmtId="4" fontId="0" fillId="0" borderId="0" xfId="0" applyNumberFormat="1" applyFont="1" applyAlignment="1">
      <alignment vertical="center"/>
    </xf>
    <xf numFmtId="0" fontId="0" fillId="0" borderId="26" xfId="0" applyFont="1" applyBorder="1" applyAlignment="1" applyProtection="1">
      <alignment vertical="center"/>
      <protection locked="0"/>
    </xf>
    <xf numFmtId="0" fontId="17" fillId="5" borderId="22" xfId="0" applyFont="1" applyFill="1" applyBorder="1" applyAlignment="1" applyProtection="1">
      <alignment horizontal="center" vertical="center"/>
      <protection locked="0"/>
    </xf>
    <xf numFmtId="167" fontId="17" fillId="5" borderId="22" xfId="0" applyNumberFormat="1" applyFont="1" applyFill="1" applyBorder="1" applyAlignment="1" applyProtection="1">
      <alignment vertical="center"/>
      <protection locked="0"/>
    </xf>
    <xf numFmtId="0" fontId="17" fillId="8" borderId="22" xfId="0" applyFont="1" applyFill="1" applyBorder="1" applyAlignment="1" applyProtection="1">
      <alignment horizontal="center" vertical="center"/>
      <protection locked="0"/>
    </xf>
    <xf numFmtId="49" fontId="17" fillId="8" borderId="22" xfId="0" applyNumberFormat="1" applyFont="1" applyFill="1" applyBorder="1" applyAlignment="1" applyProtection="1">
      <alignment horizontal="left" vertical="center" wrapText="1"/>
      <protection locked="0"/>
    </xf>
    <xf numFmtId="0" fontId="17" fillId="8" borderId="22" xfId="0" applyFont="1" applyFill="1" applyBorder="1" applyAlignment="1" applyProtection="1">
      <alignment horizontal="left" vertical="center" wrapText="1"/>
      <protection locked="0"/>
    </xf>
    <xf numFmtId="0" fontId="17" fillId="8" borderId="22" xfId="0" applyFont="1" applyFill="1" applyBorder="1" applyAlignment="1" applyProtection="1">
      <alignment horizontal="center" vertical="center" wrapText="1"/>
      <protection locked="0"/>
    </xf>
    <xf numFmtId="167" fontId="17" fillId="8" borderId="22" xfId="0" applyNumberFormat="1" applyFont="1" applyFill="1" applyBorder="1" applyAlignment="1" applyProtection="1">
      <alignment vertical="center"/>
      <protection locked="0"/>
    </xf>
    <xf numFmtId="4" fontId="17" fillId="8" borderId="22" xfId="0" applyNumberFormat="1" applyFont="1" applyFill="1" applyBorder="1" applyAlignment="1" applyProtection="1">
      <alignment vertical="center"/>
      <protection locked="0"/>
    </xf>
    <xf numFmtId="4" fontId="17" fillId="8" borderId="35" xfId="0" applyNumberFormat="1" applyFont="1" applyFill="1" applyBorder="1" applyAlignment="1" applyProtection="1">
      <alignment vertical="center"/>
      <protection locked="0"/>
    </xf>
    <xf numFmtId="0" fontId="8" fillId="0" borderId="0" xfId="0" applyFont="1" applyAlignment="1"/>
    <xf numFmtId="0" fontId="8" fillId="0" borderId="3" xfId="0" applyFont="1" applyBorder="1" applyAlignment="1"/>
    <xf numFmtId="0" fontId="8" fillId="0" borderId="0" xfId="0" applyFont="1" applyAlignment="1">
      <alignment horizontal="left"/>
    </xf>
    <xf numFmtId="0" fontId="8" fillId="0" borderId="14" xfId="0" applyFont="1" applyBorder="1" applyAlignment="1"/>
    <xf numFmtId="0" fontId="8" fillId="0" borderId="0" xfId="0" applyFont="1" applyBorder="1" applyAlignment="1"/>
    <xf numFmtId="166" fontId="8" fillId="0" borderId="0" xfId="0" applyNumberFormat="1" applyFont="1" applyBorder="1" applyAlignment="1"/>
    <xf numFmtId="166" fontId="8" fillId="0" borderId="15" xfId="0" applyNumberFormat="1" applyFont="1" applyBorder="1" applyAlignment="1"/>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lignment horizontal="left"/>
    </xf>
    <xf numFmtId="0" fontId="8" fillId="0" borderId="26" xfId="0" applyFont="1" applyBorder="1" applyAlignment="1"/>
    <xf numFmtId="0" fontId="17" fillId="5" borderId="22" xfId="0" applyFont="1" applyFill="1" applyBorder="1" applyAlignment="1" applyProtection="1">
      <alignment horizontal="center" vertical="center"/>
      <protection locked="0"/>
    </xf>
    <xf numFmtId="167" fontId="17" fillId="5" borderId="22" xfId="0" applyNumberFormat="1" applyFont="1" applyFill="1" applyBorder="1" applyAlignment="1" applyProtection="1">
      <alignment vertical="center"/>
      <protection locked="0"/>
    </xf>
    <xf numFmtId="0" fontId="17" fillId="8" borderId="22" xfId="0" applyFont="1" applyFill="1" applyBorder="1" applyAlignment="1" applyProtection="1">
      <alignment horizontal="center" vertical="center"/>
      <protection locked="0"/>
    </xf>
    <xf numFmtId="49" fontId="17" fillId="8" borderId="22" xfId="0" applyNumberFormat="1" applyFont="1" applyFill="1" applyBorder="1" applyAlignment="1" applyProtection="1">
      <alignment horizontal="left" vertical="center" wrapText="1"/>
      <protection locked="0"/>
    </xf>
    <xf numFmtId="0" fontId="17" fillId="8" borderId="22" xfId="0" applyFont="1" applyFill="1" applyBorder="1" applyAlignment="1" applyProtection="1">
      <alignment horizontal="left" vertical="center" wrapText="1"/>
      <protection locked="0"/>
    </xf>
    <xf numFmtId="0" fontId="17" fillId="8" borderId="22" xfId="0" applyFont="1" applyFill="1" applyBorder="1" applyAlignment="1" applyProtection="1">
      <alignment horizontal="center" vertical="center" wrapText="1"/>
      <protection locked="0"/>
    </xf>
    <xf numFmtId="167" fontId="17" fillId="8" borderId="22" xfId="0" applyNumberFormat="1" applyFont="1" applyFill="1" applyBorder="1" applyAlignment="1" applyProtection="1">
      <alignment vertical="center"/>
      <protection locked="0"/>
    </xf>
    <xf numFmtId="4" fontId="17" fillId="8" borderId="22" xfId="0" applyNumberFormat="1" applyFont="1" applyFill="1" applyBorder="1" applyAlignment="1" applyProtection="1">
      <alignment vertical="center"/>
      <protection locked="0"/>
    </xf>
    <xf numFmtId="0" fontId="17" fillId="5" borderId="22" xfId="0" applyFont="1" applyFill="1" applyBorder="1" applyAlignment="1" applyProtection="1">
      <alignment horizontal="center" vertical="center"/>
      <protection locked="0"/>
    </xf>
    <xf numFmtId="167" fontId="17" fillId="5" borderId="22" xfId="0" applyNumberFormat="1" applyFont="1" applyFill="1" applyBorder="1" applyAlignment="1" applyProtection="1">
      <alignment vertical="center"/>
      <protection locked="0"/>
    </xf>
    <xf numFmtId="0" fontId="17" fillId="8" borderId="22" xfId="0" applyFont="1" applyFill="1" applyBorder="1" applyAlignment="1" applyProtection="1">
      <alignment horizontal="center" vertical="center"/>
      <protection locked="0"/>
    </xf>
    <xf numFmtId="49" fontId="17" fillId="8" borderId="22" xfId="0" applyNumberFormat="1" applyFont="1" applyFill="1" applyBorder="1" applyAlignment="1" applyProtection="1">
      <alignment horizontal="left" vertical="center" wrapText="1"/>
      <protection locked="0"/>
    </xf>
    <xf numFmtId="0" fontId="17" fillId="8" borderId="22" xfId="0" applyFont="1" applyFill="1" applyBorder="1" applyAlignment="1" applyProtection="1">
      <alignment horizontal="left" vertical="center" wrapText="1"/>
      <protection locked="0"/>
    </xf>
    <xf numFmtId="0" fontId="17" fillId="8" borderId="22" xfId="0" applyFont="1" applyFill="1" applyBorder="1" applyAlignment="1" applyProtection="1">
      <alignment horizontal="center" vertical="center" wrapText="1"/>
      <protection locked="0"/>
    </xf>
    <xf numFmtId="167" fontId="17" fillId="8" borderId="22" xfId="0" applyNumberFormat="1" applyFont="1" applyFill="1" applyBorder="1" applyAlignment="1" applyProtection="1">
      <alignment vertical="center"/>
      <protection locked="0"/>
    </xf>
    <xf numFmtId="4" fontId="17" fillId="8" borderId="22" xfId="0" applyNumberFormat="1" applyFont="1" applyFill="1" applyBorder="1" applyAlignment="1" applyProtection="1">
      <alignment vertical="center"/>
      <protection locked="0"/>
    </xf>
    <xf numFmtId="4" fontId="17" fillId="8" borderId="35" xfId="0" applyNumberFormat="1" applyFont="1" applyFill="1" applyBorder="1" applyAlignment="1" applyProtection="1">
      <alignment vertical="center"/>
      <protection locked="0"/>
    </xf>
    <xf numFmtId="0" fontId="35" fillId="0" borderId="0" xfId="0" applyFont="1" applyAlignment="1">
      <alignment horizontal="center" vertical="center"/>
    </xf>
    <xf numFmtId="0" fontId="0" fillId="0" borderId="0" xfId="0" applyFont="1" applyAlignment="1">
      <alignment vertical="center"/>
    </xf>
    <xf numFmtId="0" fontId="17" fillId="7" borderId="16" xfId="0" applyFont="1" applyFill="1" applyBorder="1" applyAlignment="1" applyProtection="1">
      <alignment horizontal="center" vertical="center"/>
      <protection locked="0"/>
    </xf>
    <xf numFmtId="0" fontId="17" fillId="7" borderId="17" xfId="0" applyFont="1" applyFill="1" applyBorder="1" applyAlignment="1" applyProtection="1">
      <alignment horizontal="center" vertical="center"/>
      <protection locked="0"/>
    </xf>
    <xf numFmtId="0" fontId="17" fillId="7" borderId="18" xfId="0" applyFont="1" applyFill="1" applyBorder="1" applyAlignment="1" applyProtection="1">
      <alignment horizontal="center" vertical="center"/>
      <protection locked="0"/>
    </xf>
    <xf numFmtId="0" fontId="0" fillId="0" borderId="0" xfId="0" applyFont="1" applyAlignment="1">
      <alignment vertical="center"/>
    </xf>
    <xf numFmtId="0" fontId="0" fillId="0" borderId="0" xfId="0"/>
    <xf numFmtId="0" fontId="2" fillId="0" borderId="0" xfId="0" applyFont="1" applyBorder="1" applyAlignment="1">
      <alignment horizontal="left" vertical="center"/>
    </xf>
    <xf numFmtId="0" fontId="17" fillId="7" borderId="16" xfId="0" applyFont="1" applyFill="1" applyBorder="1" applyAlignment="1" applyProtection="1">
      <alignment horizontal="center" vertical="center"/>
      <protection locked="0"/>
    </xf>
    <xf numFmtId="0" fontId="17" fillId="7" borderId="17" xfId="0" applyFont="1" applyFill="1" applyBorder="1" applyAlignment="1" applyProtection="1">
      <alignment horizontal="center" vertical="center"/>
      <protection locked="0"/>
    </xf>
    <xf numFmtId="0" fontId="17" fillId="7" borderId="18" xfId="0" applyFont="1" applyFill="1" applyBorder="1" applyAlignment="1" applyProtection="1">
      <alignment horizontal="center" vertical="center"/>
      <protection locked="0"/>
    </xf>
    <xf numFmtId="0" fontId="0" fillId="0" borderId="0" xfId="0" applyFont="1" applyBorder="1" applyAlignment="1">
      <alignment vertical="center"/>
    </xf>
    <xf numFmtId="0" fontId="1" fillId="0" borderId="0" xfId="0" applyFont="1" applyBorder="1" applyAlignment="1">
      <alignment horizontal="left" vertical="center"/>
    </xf>
    <xf numFmtId="0" fontId="0" fillId="0" borderId="0" xfId="0" applyFont="1" applyAlignment="1">
      <alignment vertical="center"/>
    </xf>
    <xf numFmtId="0" fontId="58" fillId="0" borderId="0" xfId="0" applyFont="1" applyBorder="1" applyAlignment="1">
      <alignment horizontal="left" vertical="center"/>
    </xf>
    <xf numFmtId="0" fontId="17" fillId="0" borderId="16" xfId="0" applyFont="1" applyBorder="1" applyAlignment="1" applyProtection="1">
      <alignment horizontal="center" vertical="center"/>
      <protection locked="0"/>
    </xf>
    <xf numFmtId="0" fontId="17" fillId="0" borderId="17" xfId="0" applyFont="1" applyBorder="1" applyAlignment="1" applyProtection="1">
      <alignment horizontal="center" vertical="center"/>
      <protection locked="0"/>
    </xf>
    <xf numFmtId="49" fontId="17" fillId="0" borderId="17" xfId="0" applyNumberFormat="1" applyFont="1" applyBorder="1" applyAlignment="1" applyProtection="1">
      <alignment horizontal="left" vertical="center" wrapText="1"/>
      <protection locked="0"/>
    </xf>
    <xf numFmtId="0" fontId="17" fillId="0" borderId="17" xfId="0" applyFont="1" applyBorder="1" applyAlignment="1" applyProtection="1">
      <alignment horizontal="left" vertical="center" wrapText="1"/>
      <protection locked="0"/>
    </xf>
    <xf numFmtId="0" fontId="17" fillId="0" borderId="17" xfId="0" applyFont="1" applyBorder="1" applyAlignment="1" applyProtection="1">
      <alignment horizontal="center" vertical="center" wrapText="1"/>
      <protection locked="0"/>
    </xf>
    <xf numFmtId="167" fontId="17" fillId="0" borderId="17" xfId="0" applyNumberFormat="1" applyFont="1" applyBorder="1" applyAlignment="1" applyProtection="1">
      <alignment vertical="center"/>
      <protection locked="0"/>
    </xf>
    <xf numFmtId="4" fontId="17" fillId="0" borderId="17" xfId="0" applyNumberFormat="1" applyFont="1" applyBorder="1" applyAlignment="1" applyProtection="1">
      <alignment vertical="center"/>
      <protection locked="0"/>
    </xf>
    <xf numFmtId="4" fontId="17" fillId="0" borderId="18" xfId="0" applyNumberFormat="1" applyFont="1" applyBorder="1" applyAlignment="1" applyProtection="1">
      <alignment vertical="center"/>
      <protection locked="0"/>
    </xf>
    <xf numFmtId="0" fontId="8" fillId="0" borderId="0" xfId="0" applyFont="1"/>
    <xf numFmtId="0" fontId="0" fillId="0" borderId="0" xfId="0" applyFont="1" applyAlignment="1">
      <alignment vertical="center"/>
    </xf>
    <xf numFmtId="0" fontId="17" fillId="0"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167" fontId="17" fillId="0" borderId="0" xfId="0" applyNumberFormat="1" applyFont="1" applyFill="1" applyBorder="1" applyAlignment="1" applyProtection="1">
      <alignment vertical="center"/>
      <protection locked="0"/>
    </xf>
    <xf numFmtId="4" fontId="17" fillId="0" borderId="0" xfId="0" applyNumberFormat="1" applyFont="1" applyFill="1" applyBorder="1" applyAlignment="1" applyProtection="1">
      <alignment vertical="center"/>
      <protection locked="0"/>
    </xf>
    <xf numFmtId="0" fontId="85" fillId="0" borderId="0" xfId="0" applyFont="1" applyAlignment="1" applyProtection="1">
      <alignment horizontal="left" wrapText="1"/>
      <protection locked="0"/>
    </xf>
    <xf numFmtId="168" fontId="85" fillId="0" borderId="0" xfId="0" applyNumberFormat="1" applyFont="1" applyAlignment="1" applyProtection="1">
      <alignment horizontal="right"/>
      <protection locked="0"/>
    </xf>
    <xf numFmtId="39" fontId="85" fillId="0" borderId="0" xfId="0" applyNumberFormat="1" applyFont="1" applyAlignment="1" applyProtection="1">
      <alignment horizontal="right"/>
      <protection locked="0"/>
    </xf>
    <xf numFmtId="49" fontId="86" fillId="8" borderId="22" xfId="0" applyNumberFormat="1" applyFont="1" applyFill="1" applyBorder="1" applyAlignment="1" applyProtection="1">
      <alignment horizontal="left" vertical="center" wrapText="1"/>
      <protection locked="0"/>
    </xf>
    <xf numFmtId="0" fontId="86" fillId="8" borderId="22" xfId="0" applyFont="1" applyFill="1" applyBorder="1" applyAlignment="1" applyProtection="1">
      <alignment horizontal="left" vertical="center" wrapText="1"/>
      <protection locked="0"/>
    </xf>
    <xf numFmtId="0" fontId="86" fillId="8" borderId="22" xfId="0" applyFont="1" applyFill="1" applyBorder="1" applyAlignment="1" applyProtection="1">
      <alignment horizontal="center" vertical="center" wrapText="1"/>
      <protection locked="0"/>
    </xf>
    <xf numFmtId="167" fontId="86" fillId="8" borderId="22" xfId="0" applyNumberFormat="1" applyFont="1" applyFill="1" applyBorder="1" applyAlignment="1" applyProtection="1">
      <alignment vertical="center"/>
      <protection locked="0"/>
    </xf>
    <xf numFmtId="4" fontId="86" fillId="8" borderId="22" xfId="0" applyNumberFormat="1" applyFont="1" applyFill="1" applyBorder="1" applyAlignment="1" applyProtection="1">
      <alignment vertical="center"/>
      <protection locked="0"/>
    </xf>
    <xf numFmtId="0" fontId="0" fillId="0" borderId="0" xfId="0" applyFont="1" applyAlignment="1">
      <alignment vertical="center"/>
    </xf>
    <xf numFmtId="0" fontId="0" fillId="0" borderId="0" xfId="0" applyFont="1" applyAlignment="1">
      <alignment horizontal="left" vertical="center"/>
    </xf>
    <xf numFmtId="0" fontId="0" fillId="0" borderId="3" xfId="0" applyFont="1" applyBorder="1" applyAlignment="1" applyProtection="1">
      <alignment vertical="center"/>
      <protection locked="0"/>
    </xf>
    <xf numFmtId="4" fontId="0" fillId="0" borderId="0" xfId="0" applyNumberFormat="1" applyFont="1" applyAlignment="1">
      <alignment vertical="center"/>
    </xf>
    <xf numFmtId="0" fontId="58" fillId="0" borderId="0" xfId="0" applyFont="1" applyBorder="1" applyAlignment="1">
      <alignment horizontal="left" vertical="center"/>
    </xf>
    <xf numFmtId="0" fontId="0" fillId="0" borderId="0" xfId="0" applyFont="1" applyBorder="1" applyAlignment="1">
      <alignment vertical="center"/>
    </xf>
    <xf numFmtId="0" fontId="0" fillId="0" borderId="0" xfId="0" applyFont="1" applyAlignment="1">
      <alignment vertical="center"/>
    </xf>
    <xf numFmtId="0" fontId="58" fillId="0" borderId="0" xfId="0" applyFont="1" applyAlignment="1">
      <alignment vertical="center"/>
    </xf>
    <xf numFmtId="0" fontId="0" fillId="0" borderId="0" xfId="0" applyFont="1" applyBorder="1" applyAlignment="1">
      <alignment vertical="center"/>
    </xf>
    <xf numFmtId="0" fontId="0" fillId="0" borderId="0" xfId="0" applyFont="1" applyAlignment="1">
      <alignment vertical="center"/>
    </xf>
    <xf numFmtId="0" fontId="58" fillId="0" borderId="0" xfId="0" applyFont="1" applyBorder="1" applyAlignment="1">
      <alignment horizontal="left" vertical="center"/>
    </xf>
    <xf numFmtId="0" fontId="80" fillId="8" borderId="22" xfId="0" applyFont="1" applyFill="1" applyBorder="1" applyAlignment="1" applyProtection="1">
      <alignment horizontal="center" vertical="center"/>
      <protection locked="0"/>
    </xf>
    <xf numFmtId="4" fontId="80" fillId="8" borderId="35" xfId="0" applyNumberFormat="1" applyFont="1" applyFill="1" applyBorder="1" applyAlignment="1" applyProtection="1">
      <alignment vertical="center"/>
      <protection locked="0"/>
    </xf>
    <xf numFmtId="0" fontId="87" fillId="8" borderId="22" xfId="0" applyFont="1" applyFill="1" applyBorder="1" applyAlignment="1" applyProtection="1">
      <alignment horizontal="center" vertical="center"/>
      <protection locked="0"/>
    </xf>
    <xf numFmtId="0" fontId="0" fillId="0" borderId="0" xfId="0" applyFont="1" applyFill="1" applyAlignment="1">
      <alignment horizontal="center" vertical="center"/>
    </xf>
    <xf numFmtId="0" fontId="44" fillId="0" borderId="0" xfId="0" applyFont="1" applyFill="1" applyAlignment="1">
      <alignment horizontal="center" vertical="center"/>
    </xf>
    <xf numFmtId="0" fontId="88" fillId="0" borderId="0" xfId="0" applyFont="1" applyBorder="1" applyAlignment="1"/>
    <xf numFmtId="4" fontId="89" fillId="0" borderId="0" xfId="0" applyNumberFormat="1" applyFont="1" applyFill="1" applyAlignment="1">
      <alignment vertical="center"/>
    </xf>
    <xf numFmtId="0" fontId="90" fillId="0" borderId="0" xfId="0" applyFont="1" applyAlignment="1">
      <alignment vertical="center"/>
    </xf>
    <xf numFmtId="0" fontId="92" fillId="0" borderId="0" xfId="0" applyFont="1" applyAlignment="1">
      <alignment vertical="center"/>
    </xf>
    <xf numFmtId="0" fontId="93" fillId="0" borderId="0" xfId="0" applyFont="1" applyAlignment="1">
      <alignment vertical="center"/>
    </xf>
    <xf numFmtId="4" fontId="90" fillId="0" borderId="0" xfId="0" applyNumberFormat="1" applyFont="1" applyAlignment="1">
      <alignment vertical="center"/>
    </xf>
    <xf numFmtId="0" fontId="90" fillId="0" borderId="12" xfId="0" applyFont="1" applyBorder="1" applyAlignment="1">
      <alignment vertical="center"/>
    </xf>
    <xf numFmtId="0" fontId="90" fillId="0" borderId="13" xfId="0" applyFont="1" applyBorder="1" applyAlignment="1">
      <alignment vertical="center"/>
    </xf>
    <xf numFmtId="0" fontId="94" fillId="0" borderId="0" xfId="0" applyFont="1" applyAlignment="1">
      <alignment vertical="center"/>
    </xf>
    <xf numFmtId="0" fontId="90" fillId="0" borderId="0" xfId="0" applyFont="1" applyBorder="1" applyAlignment="1">
      <alignment vertical="center"/>
    </xf>
    <xf numFmtId="0" fontId="90" fillId="0" borderId="15" xfId="0" applyFont="1" applyBorder="1" applyAlignment="1">
      <alignment vertical="center"/>
    </xf>
    <xf numFmtId="4" fontId="96" fillId="0" borderId="0" xfId="0" applyNumberFormat="1" applyFont="1" applyBorder="1" applyAlignment="1">
      <alignment vertical="center" wrapText="1"/>
    </xf>
    <xf numFmtId="0" fontId="58" fillId="0" borderId="27" xfId="0" applyFont="1" applyBorder="1" applyAlignment="1">
      <alignment vertical="center"/>
    </xf>
    <xf numFmtId="4" fontId="97" fillId="0" borderId="0" xfId="0" applyNumberFormat="1" applyFont="1" applyBorder="1" applyAlignment="1">
      <alignment vertical="center" wrapText="1"/>
    </xf>
    <xf numFmtId="0" fontId="98" fillId="0" borderId="0" xfId="0" applyFont="1" applyBorder="1" applyAlignment="1">
      <alignment horizontal="left" vertical="center"/>
    </xf>
    <xf numFmtId="0" fontId="98" fillId="0" borderId="0" xfId="0" applyFont="1" applyBorder="1" applyAlignment="1">
      <alignment vertical="center"/>
    </xf>
    <xf numFmtId="0" fontId="98" fillId="0" borderId="27" xfId="0" applyFont="1" applyBorder="1" applyAlignment="1">
      <alignment vertical="center"/>
    </xf>
    <xf numFmtId="0" fontId="98" fillId="0" borderId="0" xfId="0" applyFont="1" applyAlignment="1">
      <alignment vertical="center"/>
    </xf>
    <xf numFmtId="0" fontId="69" fillId="0" borderId="0" xfId="0" applyFont="1" applyFill="1" applyAlignment="1">
      <alignment horizontal="center" vertical="center"/>
    </xf>
    <xf numFmtId="167" fontId="17" fillId="14" borderId="22" xfId="0" applyNumberFormat="1" applyFont="1" applyFill="1" applyBorder="1" applyAlignment="1" applyProtection="1">
      <alignment vertical="center"/>
      <protection locked="0"/>
    </xf>
    <xf numFmtId="0" fontId="35" fillId="15" borderId="0" xfId="0" applyFont="1" applyFill="1" applyAlignment="1">
      <alignment horizontal="center" vertical="center"/>
    </xf>
    <xf numFmtId="0" fontId="44" fillId="15" borderId="0" xfId="0" applyFont="1" applyFill="1" applyAlignment="1">
      <alignment horizontal="center" vertical="center"/>
    </xf>
    <xf numFmtId="4" fontId="6" fillId="5" borderId="33" xfId="0" applyNumberFormat="1" applyFont="1" applyFill="1" applyBorder="1" applyAlignment="1">
      <alignment vertical="center"/>
    </xf>
    <xf numFmtId="4" fontId="19" fillId="5" borderId="27" xfId="0" applyNumberFormat="1" applyFont="1" applyFill="1" applyBorder="1" applyAlignment="1">
      <alignment vertical="center"/>
    </xf>
    <xf numFmtId="4" fontId="7" fillId="5" borderId="33" xfId="0" applyNumberFormat="1" applyFont="1" applyFill="1" applyBorder="1" applyAlignment="1">
      <alignment vertical="center"/>
    </xf>
    <xf numFmtId="0" fontId="0" fillId="5" borderId="27" xfId="0" applyFont="1" applyFill="1" applyBorder="1" applyAlignment="1">
      <alignment vertical="center"/>
    </xf>
    <xf numFmtId="4" fontId="6" fillId="0" borderId="0" xfId="0" applyNumberFormat="1" applyFont="1" applyAlignment="1">
      <alignment horizontal="center" vertical="center"/>
    </xf>
    <xf numFmtId="4" fontId="0" fillId="0" borderId="0" xfId="0" applyNumberFormat="1" applyFont="1" applyAlignment="1">
      <alignment horizontal="center" vertical="center"/>
    </xf>
    <xf numFmtId="4" fontId="44" fillId="0" borderId="0" xfId="0" applyNumberFormat="1" applyFont="1" applyAlignment="1">
      <alignment horizontal="center" vertical="center"/>
    </xf>
    <xf numFmtId="0" fontId="2" fillId="0" borderId="0" xfId="0" applyFont="1" applyAlignment="1">
      <alignment horizontal="left" vertical="center"/>
    </xf>
    <xf numFmtId="0" fontId="58" fillId="0" borderId="0" xfId="0" applyFont="1" applyAlignment="1">
      <alignment horizontal="left"/>
    </xf>
    <xf numFmtId="0" fontId="58" fillId="0" borderId="0" xfId="0" applyFont="1" applyBorder="1" applyAlignment="1">
      <alignment horizontal="left" vertical="center"/>
    </xf>
    <xf numFmtId="0" fontId="58" fillId="0" borderId="0" xfId="0" applyFont="1" applyBorder="1" applyAlignment="1">
      <alignment horizontal="left"/>
    </xf>
    <xf numFmtId="0" fontId="11" fillId="0" borderId="0" xfId="0" applyFont="1" applyAlignment="1">
      <alignment horizontal="center" vertical="center"/>
    </xf>
    <xf numFmtId="0" fontId="95" fillId="0" borderId="0" xfId="0" applyFont="1" applyBorder="1" applyAlignment="1">
      <alignment horizontal="center" vertical="center"/>
    </xf>
    <xf numFmtId="0" fontId="95" fillId="0" borderId="27" xfId="0" applyFont="1" applyBorder="1" applyAlignment="1">
      <alignment horizontal="center" vertical="center"/>
    </xf>
    <xf numFmtId="4" fontId="23" fillId="0" borderId="0" xfId="0" applyNumberFormat="1" applyFont="1" applyFill="1" applyBorder="1" applyAlignment="1">
      <alignment vertical="center"/>
    </xf>
    <xf numFmtId="0" fontId="23" fillId="0" borderId="0" xfId="0" applyFont="1" applyFill="1" applyBorder="1" applyAlignment="1">
      <alignment vertical="center"/>
    </xf>
    <xf numFmtId="0" fontId="22" fillId="0" borderId="0" xfId="0" applyFont="1" applyBorder="1" applyAlignment="1">
      <alignment horizontal="left" vertical="center" wrapText="1"/>
    </xf>
    <xf numFmtId="4" fontId="23" fillId="0" borderId="0" xfId="0" applyNumberFormat="1" applyFont="1" applyBorder="1" applyAlignment="1">
      <alignment vertical="center"/>
    </xf>
    <xf numFmtId="0" fontId="23" fillId="0" borderId="0" xfId="0" applyFont="1" applyBorder="1" applyAlignment="1">
      <alignment vertical="center"/>
    </xf>
    <xf numFmtId="0" fontId="22" fillId="0" borderId="24" xfId="0" applyFont="1" applyFill="1" applyBorder="1" applyAlignment="1">
      <alignment horizontal="left" vertical="center" wrapText="1"/>
    </xf>
    <xf numFmtId="0" fontId="22" fillId="0" borderId="0" xfId="0" applyFont="1" applyFill="1" applyBorder="1" applyAlignment="1">
      <alignment horizontal="left" vertical="center" wrapText="1"/>
    </xf>
    <xf numFmtId="4" fontId="23" fillId="0" borderId="31" xfId="0" applyNumberFormat="1" applyFont="1" applyBorder="1" applyAlignment="1">
      <alignment vertical="center"/>
    </xf>
    <xf numFmtId="0" fontId="23" fillId="0" borderId="31" xfId="0" applyFont="1" applyBorder="1" applyAlignment="1">
      <alignment vertical="center"/>
    </xf>
    <xf numFmtId="0" fontId="23" fillId="0" borderId="32" xfId="0" applyFont="1" applyBorder="1" applyAlignment="1">
      <alignment vertical="center"/>
    </xf>
    <xf numFmtId="4" fontId="23" fillId="13" borderId="0" xfId="0" applyNumberFormat="1" applyFont="1" applyFill="1" applyBorder="1" applyAlignment="1">
      <alignment vertical="center"/>
    </xf>
    <xf numFmtId="0" fontId="23" fillId="13" borderId="0" xfId="0" applyFont="1" applyFill="1" applyBorder="1" applyAlignment="1">
      <alignment vertical="center"/>
    </xf>
    <xf numFmtId="0" fontId="23" fillId="13" borderId="27" xfId="0" applyFont="1" applyFill="1" applyBorder="1" applyAlignment="1">
      <alignment vertical="center"/>
    </xf>
    <xf numFmtId="0" fontId="23" fillId="0" borderId="27" xfId="0" applyFont="1" applyBorder="1" applyAlignment="1">
      <alignment vertical="center"/>
    </xf>
    <xf numFmtId="0" fontId="22" fillId="0" borderId="31" xfId="0" applyFont="1" applyFill="1" applyBorder="1" applyAlignment="1">
      <alignment horizontal="left" vertical="center" wrapText="1"/>
    </xf>
    <xf numFmtId="4" fontId="23" fillId="0" borderId="31" xfId="0" applyNumberFormat="1" applyFont="1" applyFill="1" applyBorder="1" applyAlignment="1">
      <alignment vertical="center"/>
    </xf>
    <xf numFmtId="0" fontId="23" fillId="0" borderId="31" xfId="0" applyFont="1" applyFill="1" applyBorder="1" applyAlignment="1">
      <alignment vertical="center"/>
    </xf>
    <xf numFmtId="4" fontId="23" fillId="0" borderId="24" xfId="0" applyNumberFormat="1" applyFont="1" applyFill="1" applyBorder="1" applyAlignment="1">
      <alignment vertical="center"/>
    </xf>
    <xf numFmtId="0" fontId="23" fillId="0" borderId="24" xfId="0" applyFont="1" applyFill="1" applyBorder="1" applyAlignment="1">
      <alignment vertical="center"/>
    </xf>
    <xf numFmtId="0" fontId="22" fillId="0" borderId="24" xfId="0" applyFont="1" applyBorder="1" applyAlignment="1">
      <alignment horizontal="left" vertical="center" wrapText="1"/>
    </xf>
    <xf numFmtId="0" fontId="35" fillId="6" borderId="40" xfId="0" applyFont="1" applyFill="1" applyBorder="1" applyAlignment="1">
      <alignment horizontal="center" vertical="center" wrapText="1"/>
    </xf>
    <xf numFmtId="0" fontId="35" fillId="6" borderId="41" xfId="0" applyFont="1" applyFill="1" applyBorder="1" applyAlignment="1">
      <alignment horizontal="left" vertical="center" wrapText="1"/>
    </xf>
    <xf numFmtId="0" fontId="35" fillId="6" borderId="42" xfId="0" applyFont="1" applyFill="1" applyBorder="1" applyAlignment="1">
      <alignment horizontal="left" vertical="center" wrapText="1"/>
    </xf>
    <xf numFmtId="4" fontId="23" fillId="13" borderId="24" xfId="0" applyNumberFormat="1" applyFont="1" applyFill="1" applyBorder="1" applyAlignment="1">
      <alignment vertical="center"/>
    </xf>
    <xf numFmtId="0" fontId="23" fillId="13" borderId="24" xfId="0" applyFont="1" applyFill="1" applyBorder="1" applyAlignment="1">
      <alignment vertical="center"/>
    </xf>
    <xf numFmtId="0" fontId="23" fillId="13" borderId="25" xfId="0" applyFont="1" applyFill="1" applyBorder="1" applyAlignment="1">
      <alignment vertical="center"/>
    </xf>
    <xf numFmtId="4" fontId="19" fillId="0" borderId="0" xfId="0" applyNumberFormat="1" applyFont="1" applyAlignment="1">
      <alignment vertical="center"/>
    </xf>
    <xf numFmtId="4" fontId="23" fillId="0" borderId="24" xfId="0" applyNumberFormat="1" applyFont="1" applyBorder="1" applyAlignment="1">
      <alignment vertical="center"/>
    </xf>
    <xf numFmtId="0" fontId="23" fillId="0" borderId="24" xfId="0" applyFont="1" applyBorder="1" applyAlignment="1">
      <alignment vertical="center"/>
    </xf>
    <xf numFmtId="0" fontId="23" fillId="0" borderId="27" xfId="0" applyFont="1" applyFill="1" applyBorder="1" applyAlignment="1">
      <alignment vertical="center"/>
    </xf>
    <xf numFmtId="0" fontId="22" fillId="0" borderId="31" xfId="0" applyFont="1" applyBorder="1" applyAlignment="1">
      <alignment horizontal="left" vertical="center" wrapText="1"/>
    </xf>
    <xf numFmtId="0" fontId="17" fillId="4" borderId="6" xfId="0" applyFont="1" applyFill="1" applyBorder="1" applyAlignment="1">
      <alignment horizontal="center" vertical="center"/>
    </xf>
    <xf numFmtId="0" fontId="17" fillId="4" borderId="7" xfId="0" applyFont="1" applyFill="1" applyBorder="1" applyAlignment="1">
      <alignment horizontal="left" vertical="center"/>
    </xf>
    <xf numFmtId="0" fontId="91" fillId="0" borderId="11" xfId="0" applyFont="1" applyBorder="1" applyAlignment="1">
      <alignment horizontal="center" vertical="center"/>
    </xf>
    <xf numFmtId="0" fontId="91" fillId="0" borderId="12" xfId="0" applyFont="1" applyBorder="1" applyAlignment="1">
      <alignment horizontal="left" vertical="center"/>
    </xf>
    <xf numFmtId="0" fontId="90" fillId="0" borderId="14" xfId="0" applyFont="1" applyBorder="1" applyAlignment="1">
      <alignment horizontal="left" vertical="center"/>
    </xf>
    <xf numFmtId="0" fontId="90" fillId="0" borderId="0" xfId="0" applyFont="1" applyBorder="1" applyAlignment="1">
      <alignment horizontal="left" vertical="center"/>
    </xf>
    <xf numFmtId="4" fontId="96" fillId="0" borderId="0" xfId="0" applyNumberFormat="1" applyFont="1" applyBorder="1" applyAlignment="1">
      <alignment vertical="center" wrapText="1"/>
    </xf>
    <xf numFmtId="4" fontId="96" fillId="0" borderId="0" xfId="0" applyNumberFormat="1" applyFont="1" applyBorder="1" applyAlignment="1">
      <alignment vertical="center"/>
    </xf>
    <xf numFmtId="4" fontId="96" fillId="0" borderId="27" xfId="0" applyNumberFormat="1" applyFont="1" applyBorder="1" applyAlignment="1">
      <alignment vertical="center"/>
    </xf>
    <xf numFmtId="4" fontId="19" fillId="0" borderId="0" xfId="0" applyNumberFormat="1" applyFont="1" applyAlignment="1">
      <alignment horizontal="right" vertical="center"/>
    </xf>
    <xf numFmtId="0" fontId="17" fillId="4" borderId="7" xfId="0" applyFont="1" applyFill="1" applyBorder="1" applyAlignment="1">
      <alignment horizontal="right" vertical="center"/>
    </xf>
    <xf numFmtId="4" fontId="13" fillId="0" borderId="0" xfId="0" applyNumberFormat="1" applyFont="1" applyAlignment="1">
      <alignment vertical="center"/>
    </xf>
    <xf numFmtId="0" fontId="1" fillId="0" borderId="0" xfId="0" applyFont="1" applyAlignment="1">
      <alignment vertical="center"/>
    </xf>
    <xf numFmtId="4" fontId="69" fillId="0" borderId="0" xfId="0" applyNumberFormat="1" applyFont="1" applyAlignment="1">
      <alignment vertical="center"/>
    </xf>
    <xf numFmtId="0" fontId="58" fillId="0" borderId="0" xfId="0" applyFont="1" applyAlignment="1">
      <alignment vertical="center"/>
    </xf>
    <xf numFmtId="0" fontId="4" fillId="3" borderId="7" xfId="0" applyFont="1" applyFill="1" applyBorder="1" applyAlignment="1">
      <alignment horizontal="left" vertical="center"/>
    </xf>
    <xf numFmtId="0" fontId="0" fillId="3" borderId="7" xfId="0" applyFont="1" applyFill="1" applyBorder="1" applyAlignment="1">
      <alignment vertical="center"/>
    </xf>
    <xf numFmtId="4" fontId="4" fillId="3" borderId="7" xfId="0" applyNumberFormat="1" applyFont="1" applyFill="1" applyBorder="1" applyAlignment="1">
      <alignment vertical="center"/>
    </xf>
    <xf numFmtId="0" fontId="0" fillId="3" borderId="8" xfId="0" applyFont="1" applyFill="1" applyBorder="1" applyAlignment="1">
      <alignment vertical="center"/>
    </xf>
    <xf numFmtId="0" fontId="58" fillId="0" borderId="0" xfId="0" applyFont="1" applyBorder="1" applyAlignment="1">
      <alignment vertical="center" wrapText="1"/>
    </xf>
    <xf numFmtId="0" fontId="58" fillId="0" borderId="0" xfId="0" applyFont="1" applyBorder="1" applyAlignment="1">
      <alignment vertical="center"/>
    </xf>
    <xf numFmtId="0" fontId="58" fillId="0" borderId="27" xfId="0" applyFont="1" applyBorder="1" applyAlignment="1">
      <alignment vertical="center"/>
    </xf>
    <xf numFmtId="0" fontId="98" fillId="0" borderId="0" xfId="0" applyFont="1" applyBorder="1" applyAlignment="1">
      <alignment horizontal="left" vertical="center" wrapText="1"/>
    </xf>
    <xf numFmtId="0" fontId="98" fillId="0" borderId="0" xfId="0" applyFont="1" applyBorder="1" applyAlignment="1">
      <alignment vertical="center"/>
    </xf>
    <xf numFmtId="165" fontId="58" fillId="0" borderId="0" xfId="0" applyNumberFormat="1" applyFont="1" applyBorder="1" applyAlignment="1">
      <alignment horizontal="left" vertical="center"/>
    </xf>
    <xf numFmtId="0" fontId="17" fillId="4" borderId="7" xfId="0" applyFont="1" applyFill="1" applyBorder="1" applyAlignment="1">
      <alignment horizontal="center" vertical="center"/>
    </xf>
    <xf numFmtId="0" fontId="0" fillId="0" borderId="0" xfId="0"/>
    <xf numFmtId="0" fontId="3" fillId="0" borderId="0" xfId="0" applyFont="1" applyAlignment="1">
      <alignment horizontal="left" vertical="top" wrapText="1"/>
    </xf>
    <xf numFmtId="0" fontId="10" fillId="2" borderId="0" xfId="0" applyFont="1" applyFill="1" applyAlignment="1">
      <alignment horizontal="center" vertical="center"/>
    </xf>
    <xf numFmtId="0" fontId="2" fillId="0" borderId="0" xfId="0" applyFont="1" applyAlignment="1">
      <alignment horizontal="left" vertical="center" wrapText="1"/>
    </xf>
    <xf numFmtId="4" fontId="12" fillId="0" borderId="5" xfId="0" applyNumberFormat="1" applyFont="1" applyBorder="1" applyAlignment="1">
      <alignment vertical="center"/>
    </xf>
    <xf numFmtId="0" fontId="0" fillId="0" borderId="5" xfId="0" applyFont="1" applyBorder="1" applyAlignment="1">
      <alignment vertical="center"/>
    </xf>
    <xf numFmtId="0" fontId="58" fillId="0" borderId="0" xfId="0" applyFont="1" applyAlignment="1">
      <alignment horizontal="right" vertical="center"/>
    </xf>
    <xf numFmtId="164" fontId="58" fillId="0" borderId="0" xfId="0" applyNumberFormat="1" applyFont="1" applyAlignment="1">
      <alignment horizontal="left" vertical="center"/>
    </xf>
    <xf numFmtId="164" fontId="1" fillId="0" borderId="0" xfId="0" applyNumberFormat="1" applyFont="1" applyAlignment="1">
      <alignment horizontal="left" vertical="center"/>
    </xf>
    <xf numFmtId="0" fontId="17" fillId="7" borderId="16" xfId="0" applyFont="1" applyFill="1" applyBorder="1" applyAlignment="1" applyProtection="1">
      <alignment horizontal="center" vertical="center"/>
      <protection locked="0"/>
    </xf>
    <xf numFmtId="0" fontId="17" fillId="7" borderId="17" xfId="0" applyFont="1" applyFill="1" applyBorder="1" applyAlignment="1" applyProtection="1">
      <alignment horizontal="center" vertical="center"/>
      <protection locked="0"/>
    </xf>
    <xf numFmtId="0" fontId="17" fillId="7" borderId="18" xfId="0" applyFont="1" applyFill="1" applyBorder="1" applyAlignment="1" applyProtection="1">
      <alignment horizontal="center" vertical="center"/>
      <protection locked="0"/>
    </xf>
    <xf numFmtId="0" fontId="11" fillId="0" borderId="0" xfId="0" applyFont="1" applyBorder="1" applyAlignment="1">
      <alignment horizontal="center" vertical="center"/>
    </xf>
    <xf numFmtId="0" fontId="11" fillId="0" borderId="27" xfId="0" applyFont="1" applyBorder="1" applyAlignment="1">
      <alignment horizontal="center" vertical="center"/>
    </xf>
    <xf numFmtId="0" fontId="71" fillId="0" borderId="0" xfId="0" applyFont="1" applyBorder="1" applyAlignment="1">
      <alignment horizontal="left" vertical="top" wrapText="1"/>
    </xf>
    <xf numFmtId="0" fontId="71" fillId="0" borderId="27" xfId="0" applyFont="1" applyBorder="1" applyAlignment="1">
      <alignment horizontal="left" vertical="top" wrapText="1"/>
    </xf>
    <xf numFmtId="0" fontId="58" fillId="0" borderId="27" xfId="0" applyFont="1" applyBorder="1" applyAlignment="1">
      <alignment horizontal="left" vertical="center"/>
    </xf>
    <xf numFmtId="0" fontId="58" fillId="0" borderId="0" xfId="0" applyFont="1" applyAlignment="1">
      <alignment horizontal="left" vertical="center"/>
    </xf>
    <xf numFmtId="0" fontId="1" fillId="0" borderId="0" xfId="0" applyFont="1" applyAlignment="1">
      <alignment horizontal="left" vertical="center" wrapText="1"/>
    </xf>
    <xf numFmtId="0" fontId="1" fillId="0" borderId="0" xfId="0" applyFont="1" applyAlignment="1">
      <alignment horizontal="left" vertical="center"/>
    </xf>
    <xf numFmtId="0" fontId="3" fillId="0" borderId="0" xfId="0" applyFont="1" applyBorder="1" applyAlignment="1">
      <alignment horizontal="left" vertical="center" wrapText="1"/>
    </xf>
    <xf numFmtId="0" fontId="0" fillId="0" borderId="0" xfId="0" applyFont="1" applyBorder="1" applyAlignment="1">
      <alignment vertical="center"/>
    </xf>
    <xf numFmtId="0" fontId="2" fillId="0" borderId="0" xfId="0" applyFont="1" applyBorder="1" applyAlignment="1">
      <alignment horizontal="left" vertical="center"/>
    </xf>
    <xf numFmtId="0" fontId="2" fillId="0" borderId="0" xfId="0" applyFont="1" applyBorder="1" applyAlignment="1">
      <alignment horizontal="left" vertical="center" wrapText="1"/>
    </xf>
    <xf numFmtId="0" fontId="1" fillId="0" borderId="0" xfId="0" applyFont="1" applyBorder="1" applyAlignment="1">
      <alignment horizontal="left" vertical="center" wrapText="1"/>
    </xf>
    <xf numFmtId="0" fontId="1" fillId="0" borderId="0" xfId="0" applyFont="1" applyBorder="1" applyAlignment="1">
      <alignment horizontal="left" vertical="center"/>
    </xf>
    <xf numFmtId="0" fontId="3" fillId="0" borderId="0" xfId="0" applyFont="1" applyAlignment="1">
      <alignment horizontal="left" vertical="center" wrapText="1"/>
    </xf>
    <xf numFmtId="0" fontId="0" fillId="0" borderId="0" xfId="0" applyFont="1" applyAlignment="1">
      <alignment vertical="center"/>
    </xf>
    <xf numFmtId="0" fontId="71" fillId="0" borderId="0" xfId="0" applyFont="1" applyAlignment="1">
      <alignment horizontal="left" vertical="center"/>
    </xf>
    <xf numFmtId="0" fontId="71" fillId="0" borderId="0" xfId="0" applyFont="1" applyAlignment="1">
      <alignment horizontal="left" vertical="top" wrapText="1"/>
    </xf>
    <xf numFmtId="0" fontId="11" fillId="0" borderId="26" xfId="0" applyFont="1" applyBorder="1" applyAlignment="1">
      <alignment horizontal="center" vertical="center"/>
    </xf>
    <xf numFmtId="0" fontId="11" fillId="0" borderId="3" xfId="0" applyFont="1" applyBorder="1" applyAlignment="1">
      <alignment horizontal="center" vertical="center"/>
    </xf>
    <xf numFmtId="0" fontId="11" fillId="0" borderId="2" xfId="0" applyFont="1" applyBorder="1" applyAlignment="1">
      <alignment horizontal="center" vertical="center"/>
    </xf>
    <xf numFmtId="0" fontId="11" fillId="0" borderId="0" xfId="0" applyFont="1" applyFill="1" applyBorder="1" applyAlignment="1">
      <alignment horizontal="center" vertical="center"/>
    </xf>
    <xf numFmtId="0" fontId="11" fillId="0" borderId="27" xfId="0" applyFont="1" applyFill="1" applyBorder="1" applyAlignment="1">
      <alignment horizontal="center" vertical="center"/>
    </xf>
    <xf numFmtId="0" fontId="71" fillId="0" borderId="0" xfId="0" applyFont="1" applyFill="1" applyBorder="1" applyAlignment="1">
      <alignment horizontal="left" vertical="top" wrapText="1"/>
    </xf>
    <xf numFmtId="0" fontId="71" fillId="0" borderId="27" xfId="0" applyFont="1" applyFill="1" applyBorder="1" applyAlignment="1">
      <alignment horizontal="left" vertical="top" wrapText="1"/>
    </xf>
    <xf numFmtId="0" fontId="3" fillId="0" borderId="0" xfId="0" applyFont="1" applyFill="1" applyBorder="1" applyAlignment="1">
      <alignment horizontal="left" vertical="center" wrapText="1"/>
    </xf>
    <xf numFmtId="0" fontId="0" fillId="0" borderId="0" xfId="0" applyFont="1" applyFill="1" applyBorder="1" applyAlignment="1">
      <alignment vertical="center"/>
    </xf>
    <xf numFmtId="0" fontId="2" fillId="0" borderId="0" xfId="0" applyFont="1" applyFill="1" applyBorder="1" applyAlignment="1">
      <alignment horizontal="left" vertical="center"/>
    </xf>
    <xf numFmtId="0" fontId="2" fillId="0" borderId="0" xfId="0" applyFont="1" applyFill="1" applyBorder="1" applyAlignment="1">
      <alignment horizontal="left" vertical="center" wrapText="1"/>
    </xf>
    <xf numFmtId="0" fontId="34" fillId="7" borderId="16" xfId="0" applyFont="1" applyFill="1" applyBorder="1" applyAlignment="1" applyProtection="1">
      <alignment horizontal="center" vertical="center"/>
      <protection locked="0"/>
    </xf>
    <xf numFmtId="4" fontId="7" fillId="0" borderId="0" xfId="0" applyNumberFormat="1" applyFont="1" applyAlignment="1">
      <alignment horizontal="center" vertical="center"/>
    </xf>
  </cellXfs>
  <cellStyles count="4">
    <cellStyle name="Dobrá" xfId="2" builtinId="26"/>
    <cellStyle name="Hypertextové prepojenie" xfId="1" builtinId="8"/>
    <cellStyle name="Neutrálna" xfId="3" builtinId="28"/>
    <cellStyle name="Normálna" xfId="0" builtinId="0" customBuiltin="1"/>
  </cellStyles>
  <dxfs count="0"/>
  <tableStyles count="0"/>
  <colors>
    <mruColors>
      <color rgb="FFFFFF66"/>
      <color rgb="FF66FF33"/>
      <color rgb="FFFFFF99"/>
      <color rgb="FFCC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M137"/>
  <sheetViews>
    <sheetView showGridLines="0" topLeftCell="A99" zoomScale="70" zoomScaleNormal="70" zoomScaleSheetLayoutView="80" workbookViewId="0">
      <selection activeCell="AN98" sqref="AN98:AP98"/>
    </sheetView>
  </sheetViews>
  <sheetFormatPr defaultColWidth="8.7109375" defaultRowHeight="10.199999999999999" x14ac:dyDescent="0.2"/>
  <cols>
    <col min="1" max="1" width="8.28515625" customWidth="1"/>
    <col min="2" max="2" width="1.7109375" customWidth="1"/>
    <col min="3" max="3" width="4.28515625" customWidth="1"/>
    <col min="4" max="33" width="2.7109375" customWidth="1"/>
    <col min="34" max="34" width="3.28515625" customWidth="1"/>
    <col min="35" max="35" width="22.28515625" customWidth="1"/>
    <col min="36" max="37" width="2.42578125" customWidth="1"/>
    <col min="38" max="38" width="8.28515625" customWidth="1"/>
    <col min="39" max="39" width="3.28515625" customWidth="1"/>
    <col min="40" max="40" width="10.28515625" customWidth="1"/>
    <col min="41" max="41" width="5.7109375" customWidth="1"/>
    <col min="42" max="42" width="11" customWidth="1"/>
    <col min="43" max="43" width="15.7109375" hidden="1" customWidth="1"/>
    <col min="44" max="44" width="30" customWidth="1"/>
    <col min="45" max="47" width="25.7109375" hidden="1" customWidth="1"/>
    <col min="48" max="49" width="21.7109375" hidden="1" customWidth="1"/>
    <col min="50" max="51" width="25" hidden="1" customWidth="1"/>
    <col min="52" max="52" width="21.7109375" hidden="1" customWidth="1"/>
    <col min="53" max="53" width="19.28515625" hidden="1" customWidth="1"/>
    <col min="54" max="54" width="25" hidden="1" customWidth="1"/>
    <col min="55" max="55" width="21.7109375" hidden="1" customWidth="1"/>
    <col min="56" max="56" width="19.28515625" hidden="1" customWidth="1"/>
    <col min="57" max="57" width="18.7109375" customWidth="1"/>
    <col min="59" max="59" width="13.28515625" customWidth="1"/>
    <col min="60" max="60" width="19.42578125" customWidth="1"/>
    <col min="65" max="65" width="14.42578125" bestFit="1" customWidth="1"/>
    <col min="71" max="91" width="9.28515625" hidden="1"/>
  </cols>
  <sheetData>
    <row r="1" spans="1:74" hidden="1" x14ac:dyDescent="0.2">
      <c r="A1" s="12" t="s">
        <v>0</v>
      </c>
      <c r="AZ1" s="12" t="s">
        <v>1</v>
      </c>
      <c r="BA1" s="12" t="s">
        <v>2</v>
      </c>
      <c r="BB1" s="12" t="s">
        <v>1</v>
      </c>
      <c r="BT1" s="12" t="s">
        <v>3</v>
      </c>
      <c r="BU1" s="12" t="s">
        <v>3</v>
      </c>
      <c r="BV1" s="12" t="s">
        <v>4</v>
      </c>
    </row>
    <row r="2" spans="1:74" ht="37.049999999999997" hidden="1" customHeight="1" x14ac:dyDescent="0.2">
      <c r="AR2" s="1227" t="s">
        <v>5</v>
      </c>
      <c r="AS2" s="1225"/>
      <c r="AT2" s="1225"/>
      <c r="AU2" s="1225"/>
      <c r="AV2" s="1225"/>
      <c r="AW2" s="1225"/>
      <c r="AX2" s="1225"/>
      <c r="AY2" s="1225"/>
      <c r="AZ2" s="1225"/>
      <c r="BA2" s="1225"/>
      <c r="BB2" s="1225"/>
      <c r="BC2" s="1225"/>
      <c r="BD2" s="1225"/>
      <c r="BE2" s="1225"/>
      <c r="BS2" s="13" t="s">
        <v>6</v>
      </c>
      <c r="BT2" s="13" t="s">
        <v>7</v>
      </c>
    </row>
    <row r="3" spans="1:74" ht="7.05" hidden="1" customHeight="1" x14ac:dyDescent="0.2">
      <c r="B3" s="14"/>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6"/>
      <c r="BS3" s="13" t="s">
        <v>6</v>
      </c>
      <c r="BT3" s="13" t="s">
        <v>7</v>
      </c>
    </row>
    <row r="4" spans="1:74" ht="25.05" hidden="1" customHeight="1" x14ac:dyDescent="0.2">
      <c r="B4" s="16"/>
      <c r="D4" s="1165" t="s">
        <v>8</v>
      </c>
      <c r="E4" s="1165"/>
      <c r="F4" s="1165"/>
      <c r="G4" s="1165"/>
      <c r="H4" s="1165"/>
      <c r="I4" s="1165"/>
      <c r="J4" s="1165"/>
      <c r="K4" s="1165"/>
      <c r="L4" s="1165"/>
      <c r="M4" s="1165"/>
      <c r="N4" s="1165"/>
      <c r="O4" s="1165"/>
      <c r="P4" s="1165"/>
      <c r="Q4" s="1165"/>
      <c r="R4" s="1165"/>
      <c r="S4" s="1165"/>
      <c r="T4" s="1165"/>
      <c r="U4" s="1165"/>
      <c r="V4" s="1165"/>
      <c r="W4" s="1165"/>
      <c r="X4" s="1165"/>
      <c r="Y4" s="1165"/>
      <c r="Z4" s="1165"/>
      <c r="AA4" s="1165"/>
      <c r="AB4" s="1165"/>
      <c r="AC4" s="1165"/>
      <c r="AD4" s="1165"/>
      <c r="AE4" s="1165"/>
      <c r="AF4" s="1165"/>
      <c r="AG4" s="1165"/>
      <c r="AH4" s="1165"/>
      <c r="AI4" s="1165"/>
      <c r="AJ4" s="1165"/>
      <c r="AK4" s="1165"/>
      <c r="AL4" s="1165"/>
      <c r="AM4" s="1165"/>
      <c r="AN4" s="1165"/>
      <c r="AO4" s="1165"/>
      <c r="AP4" s="1165"/>
      <c r="AR4" s="16"/>
      <c r="AS4" s="18" t="s">
        <v>9</v>
      </c>
      <c r="BS4" s="13" t="s">
        <v>10</v>
      </c>
    </row>
    <row r="5" spans="1:74" ht="12" hidden="1" customHeight="1" x14ac:dyDescent="0.2">
      <c r="B5" s="16"/>
      <c r="D5" s="526" t="s">
        <v>11</v>
      </c>
      <c r="E5" s="527"/>
      <c r="K5" s="1161"/>
      <c r="L5" s="1225"/>
      <c r="M5" s="1225"/>
      <c r="N5" s="1225"/>
      <c r="O5" s="1225"/>
      <c r="P5" s="1225"/>
      <c r="Q5" s="1225"/>
      <c r="R5" s="1225"/>
      <c r="S5" s="1225"/>
      <c r="T5" s="1225"/>
      <c r="U5" s="1225"/>
      <c r="V5" s="1225"/>
      <c r="W5" s="1225"/>
      <c r="X5" s="1225"/>
      <c r="Y5" s="1225"/>
      <c r="Z5" s="1225"/>
      <c r="AA5" s="1225"/>
      <c r="AB5" s="1225"/>
      <c r="AC5" s="1225"/>
      <c r="AD5" s="1225"/>
      <c r="AE5" s="1225"/>
      <c r="AF5" s="1225"/>
      <c r="AG5" s="1225"/>
      <c r="AH5" s="1225"/>
      <c r="AI5" s="1225"/>
      <c r="AJ5" s="1225"/>
      <c r="AK5" s="1225"/>
      <c r="AL5" s="1225"/>
      <c r="AM5" s="1225"/>
      <c r="AN5" s="1225"/>
      <c r="AO5" s="1225"/>
      <c r="AR5" s="16"/>
      <c r="BS5" s="13" t="s">
        <v>6</v>
      </c>
    </row>
    <row r="6" spans="1:74" ht="37.049999999999997" hidden="1" customHeight="1" x14ac:dyDescent="0.2">
      <c r="B6" s="16"/>
      <c r="D6" s="20" t="s">
        <v>12</v>
      </c>
      <c r="K6" s="1226" t="s">
        <v>6172</v>
      </c>
      <c r="L6" s="1225"/>
      <c r="M6" s="1225"/>
      <c r="N6" s="1225"/>
      <c r="O6" s="1225"/>
      <c r="P6" s="1225"/>
      <c r="Q6" s="1225"/>
      <c r="R6" s="1225"/>
      <c r="S6" s="1225"/>
      <c r="T6" s="1225"/>
      <c r="U6" s="1225"/>
      <c r="V6" s="1225"/>
      <c r="W6" s="1225"/>
      <c r="X6" s="1225"/>
      <c r="Y6" s="1225"/>
      <c r="Z6" s="1225"/>
      <c r="AA6" s="1225"/>
      <c r="AB6" s="1225"/>
      <c r="AC6" s="1225"/>
      <c r="AD6" s="1225"/>
      <c r="AE6" s="1225"/>
      <c r="AF6" s="1225"/>
      <c r="AG6" s="1225"/>
      <c r="AH6" s="1225"/>
      <c r="AI6" s="1225"/>
      <c r="AJ6" s="1225"/>
      <c r="AK6" s="1225"/>
      <c r="AL6" s="1225"/>
      <c r="AM6" s="1225"/>
      <c r="AN6" s="1225"/>
      <c r="AO6" s="1225"/>
      <c r="AR6" s="16"/>
      <c r="BS6" s="13" t="s">
        <v>6</v>
      </c>
    </row>
    <row r="7" spans="1:74" ht="12" hidden="1" customHeight="1" x14ac:dyDescent="0.2">
      <c r="B7" s="16"/>
      <c r="D7" s="528" t="s">
        <v>13</v>
      </c>
      <c r="K7" s="19" t="s">
        <v>1</v>
      </c>
      <c r="AK7" s="528" t="s">
        <v>14</v>
      </c>
      <c r="AN7" s="19" t="s">
        <v>1</v>
      </c>
      <c r="AR7" s="16"/>
      <c r="BS7" s="13" t="s">
        <v>6</v>
      </c>
    </row>
    <row r="8" spans="1:74" ht="12" hidden="1" customHeight="1" x14ac:dyDescent="0.2">
      <c r="B8" s="16"/>
      <c r="D8" s="528" t="s">
        <v>15</v>
      </c>
      <c r="K8" s="1161" t="s">
        <v>6173</v>
      </c>
      <c r="L8" s="1161"/>
      <c r="M8" s="1161"/>
      <c r="N8" s="1161"/>
      <c r="O8" s="1161"/>
      <c r="P8" s="1161"/>
      <c r="Q8" s="1161"/>
      <c r="R8" s="1161"/>
      <c r="S8" s="1161"/>
      <c r="T8" s="1161"/>
      <c r="U8" s="1161"/>
      <c r="V8" s="1161"/>
      <c r="W8" s="1161"/>
      <c r="X8" s="1161"/>
      <c r="Y8" s="1161"/>
      <c r="Z8" s="1161"/>
      <c r="AA8" s="1161"/>
      <c r="AB8" s="1161"/>
      <c r="AC8" s="1161"/>
      <c r="AD8" s="1161"/>
      <c r="AE8" s="1161"/>
      <c r="AK8" s="528" t="s">
        <v>17</v>
      </c>
      <c r="AN8" s="19"/>
      <c r="AR8" s="16"/>
      <c r="BS8" s="13" t="s">
        <v>6</v>
      </c>
    </row>
    <row r="9" spans="1:74" ht="14.55" hidden="1" customHeight="1" x14ac:dyDescent="0.2">
      <c r="B9" s="16"/>
      <c r="D9" s="527"/>
      <c r="E9" s="19"/>
      <c r="AK9" s="527"/>
      <c r="AR9" s="16"/>
      <c r="BS9" s="13" t="s">
        <v>6</v>
      </c>
    </row>
    <row r="10" spans="1:74" ht="12" hidden="1" customHeight="1" x14ac:dyDescent="0.25">
      <c r="B10" s="16"/>
      <c r="D10" s="528" t="s">
        <v>18</v>
      </c>
      <c r="K10" s="1162" t="s">
        <v>6174</v>
      </c>
      <c r="L10" s="1162"/>
      <c r="M10" s="1162"/>
      <c r="N10" s="1162"/>
      <c r="O10" s="1162"/>
      <c r="P10" s="1162"/>
      <c r="Q10" s="1162"/>
      <c r="R10" s="1162"/>
      <c r="S10" s="1162"/>
      <c r="T10" s="1162"/>
      <c r="U10" s="1162"/>
      <c r="V10" s="1162"/>
      <c r="W10" s="1162"/>
      <c r="X10" s="1162"/>
      <c r="Y10" s="1162"/>
      <c r="Z10" s="1162"/>
      <c r="AA10" s="1162"/>
      <c r="AB10" s="1162"/>
      <c r="AC10" s="1162"/>
      <c r="AD10" s="1162"/>
      <c r="AE10" s="1162"/>
      <c r="AK10" s="528" t="s">
        <v>19</v>
      </c>
      <c r="AN10" s="19"/>
      <c r="AR10" s="16"/>
      <c r="BS10" s="13" t="s">
        <v>6</v>
      </c>
    </row>
    <row r="11" spans="1:74" ht="18.45" hidden="1" customHeight="1" x14ac:dyDescent="0.2">
      <c r="B11" s="16"/>
      <c r="D11" s="527"/>
      <c r="E11" s="19"/>
      <c r="AK11" s="528" t="s">
        <v>20</v>
      </c>
      <c r="AN11" s="19" t="s">
        <v>1</v>
      </c>
      <c r="AR11" s="16"/>
      <c r="BS11" s="13" t="s">
        <v>6</v>
      </c>
    </row>
    <row r="12" spans="1:74" ht="7.05" hidden="1" customHeight="1" x14ac:dyDescent="0.2">
      <c r="B12" s="16"/>
      <c r="D12" s="527"/>
      <c r="AK12" s="527"/>
      <c r="AR12" s="16"/>
      <c r="BS12" s="13" t="s">
        <v>6</v>
      </c>
    </row>
    <row r="13" spans="1:74" ht="12" hidden="1" customHeight="1" x14ac:dyDescent="0.25">
      <c r="B13" s="16"/>
      <c r="D13" s="528" t="s">
        <v>21</v>
      </c>
      <c r="K13" s="1162" t="s">
        <v>5202</v>
      </c>
      <c r="L13" s="1162"/>
      <c r="M13" s="1162"/>
      <c r="N13" s="1162"/>
      <c r="O13" s="1162"/>
      <c r="P13" s="1162"/>
      <c r="Q13" s="1162"/>
      <c r="R13" s="1162"/>
      <c r="S13" s="1162"/>
      <c r="T13" s="1162"/>
      <c r="U13" s="1162"/>
      <c r="V13" s="1162"/>
      <c r="W13" s="1162"/>
      <c r="X13" s="1162"/>
      <c r="Y13" s="1162"/>
      <c r="Z13" s="1162"/>
      <c r="AA13" s="1162"/>
      <c r="AB13" s="1162"/>
      <c r="AC13" s="1162"/>
      <c r="AD13" s="1162"/>
      <c r="AK13" s="528" t="s">
        <v>19</v>
      </c>
      <c r="AN13" s="19"/>
      <c r="AR13" s="16"/>
      <c r="BS13" s="13" t="s">
        <v>6</v>
      </c>
    </row>
    <row r="14" spans="1:74" ht="13.2" hidden="1" x14ac:dyDescent="0.2">
      <c r="B14" s="16"/>
      <c r="D14" s="527"/>
      <c r="E14" s="19"/>
      <c r="AK14" s="528" t="s">
        <v>20</v>
      </c>
      <c r="AN14" s="19" t="s">
        <v>1</v>
      </c>
      <c r="AR14" s="16"/>
      <c r="BS14" s="13" t="s">
        <v>6</v>
      </c>
    </row>
    <row r="15" spans="1:74" ht="7.05" hidden="1" customHeight="1" x14ac:dyDescent="0.2">
      <c r="B15" s="16"/>
      <c r="D15" s="527"/>
      <c r="AK15" s="527"/>
      <c r="AR15" s="16"/>
      <c r="BS15" s="13" t="s">
        <v>3</v>
      </c>
    </row>
    <row r="16" spans="1:74" ht="12" hidden="1" customHeight="1" x14ac:dyDescent="0.2">
      <c r="B16" s="16"/>
      <c r="D16" s="528" t="s">
        <v>22</v>
      </c>
      <c r="AK16" s="528" t="s">
        <v>19</v>
      </c>
      <c r="AN16" s="19" t="s">
        <v>1</v>
      </c>
      <c r="AR16" s="16"/>
      <c r="BS16" s="13" t="s">
        <v>3</v>
      </c>
    </row>
    <row r="17" spans="2:71" ht="18.45" hidden="1" customHeight="1" x14ac:dyDescent="0.2">
      <c r="B17" s="16"/>
      <c r="D17" s="527"/>
      <c r="E17" s="19" t="s">
        <v>16</v>
      </c>
      <c r="AK17" s="528" t="s">
        <v>20</v>
      </c>
      <c r="AN17" s="19" t="s">
        <v>1</v>
      </c>
      <c r="AR17" s="16"/>
      <c r="BS17" s="13" t="s">
        <v>23</v>
      </c>
    </row>
    <row r="18" spans="2:71" ht="7.05" hidden="1" customHeight="1" x14ac:dyDescent="0.2">
      <c r="B18" s="16"/>
      <c r="D18" s="527"/>
      <c r="AK18" s="527"/>
      <c r="AR18" s="16"/>
      <c r="BS18" s="13" t="s">
        <v>6</v>
      </c>
    </row>
    <row r="19" spans="2:71" ht="12" hidden="1" customHeight="1" x14ac:dyDescent="0.2">
      <c r="B19" s="16"/>
      <c r="D19" s="528" t="s">
        <v>24</v>
      </c>
      <c r="AK19" s="528" t="s">
        <v>19</v>
      </c>
      <c r="AN19" s="19" t="s">
        <v>1</v>
      </c>
      <c r="AR19" s="16"/>
      <c r="BS19" s="13" t="s">
        <v>6</v>
      </c>
    </row>
    <row r="20" spans="2:71" ht="18.45" hidden="1" customHeight="1" x14ac:dyDescent="0.2">
      <c r="B20" s="16"/>
      <c r="D20" s="527"/>
      <c r="E20" s="19" t="s">
        <v>16</v>
      </c>
      <c r="AK20" s="528" t="s">
        <v>20</v>
      </c>
      <c r="AN20" s="19" t="s">
        <v>1</v>
      </c>
      <c r="AR20" s="16"/>
      <c r="BS20" s="13" t="s">
        <v>23</v>
      </c>
    </row>
    <row r="21" spans="2:71" ht="7.05" hidden="1" customHeight="1" x14ac:dyDescent="0.2">
      <c r="B21" s="16"/>
      <c r="D21" s="527"/>
      <c r="AR21" s="16"/>
    </row>
    <row r="22" spans="2:71" ht="12" hidden="1" customHeight="1" x14ac:dyDescent="0.2">
      <c r="B22" s="16"/>
      <c r="D22" s="528" t="s">
        <v>25</v>
      </c>
      <c r="AR22" s="16"/>
    </row>
    <row r="23" spans="2:71" ht="16.5" hidden="1" customHeight="1" x14ac:dyDescent="0.2">
      <c r="B23" s="16"/>
      <c r="E23" s="1228" t="s">
        <v>1</v>
      </c>
      <c r="F23" s="1228"/>
      <c r="G23" s="1228"/>
      <c r="H23" s="1228"/>
      <c r="I23" s="1228"/>
      <c r="J23" s="1228"/>
      <c r="K23" s="1228"/>
      <c r="L23" s="1228"/>
      <c r="M23" s="1228"/>
      <c r="N23" s="1228"/>
      <c r="O23" s="1228"/>
      <c r="P23" s="1228"/>
      <c r="Q23" s="1228"/>
      <c r="R23" s="1228"/>
      <c r="S23" s="1228"/>
      <c r="T23" s="1228"/>
      <c r="U23" s="1228"/>
      <c r="V23" s="1228"/>
      <c r="W23" s="1228"/>
      <c r="X23" s="1228"/>
      <c r="Y23" s="1228"/>
      <c r="Z23" s="1228"/>
      <c r="AA23" s="1228"/>
      <c r="AB23" s="1228"/>
      <c r="AC23" s="1228"/>
      <c r="AD23" s="1228"/>
      <c r="AE23" s="1228"/>
      <c r="AF23" s="1228"/>
      <c r="AG23" s="1228"/>
      <c r="AH23" s="1228"/>
      <c r="AI23" s="1228"/>
      <c r="AJ23" s="1228"/>
      <c r="AK23" s="1228"/>
      <c r="AL23" s="1228"/>
      <c r="AM23" s="1228"/>
      <c r="AN23" s="1228"/>
      <c r="AR23" s="16"/>
    </row>
    <row r="24" spans="2:71" ht="7.05" hidden="1" customHeight="1" x14ac:dyDescent="0.2">
      <c r="B24" s="16"/>
      <c r="AR24" s="16"/>
    </row>
    <row r="25" spans="2:71" ht="7.05" hidden="1" customHeight="1" x14ac:dyDescent="0.2">
      <c r="B25" s="16"/>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R25" s="16"/>
    </row>
    <row r="26" spans="2:71" s="1" customFormat="1" ht="25.95" hidden="1" customHeight="1" x14ac:dyDescent="0.2">
      <c r="B26" s="24"/>
      <c r="D26" s="25" t="s">
        <v>26</v>
      </c>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c r="AJ26" s="26"/>
      <c r="AK26" s="1229">
        <f>ROUND(AG94,2)</f>
        <v>3569640.31</v>
      </c>
      <c r="AL26" s="1230"/>
      <c r="AM26" s="1230"/>
      <c r="AN26" s="1230"/>
      <c r="AO26" s="1230"/>
      <c r="AR26" s="24"/>
    </row>
    <row r="27" spans="2:71" s="1" customFormat="1" ht="7.05" hidden="1" customHeight="1" x14ac:dyDescent="0.2">
      <c r="B27" s="24"/>
      <c r="AR27" s="24"/>
    </row>
    <row r="28" spans="2:71" s="1" customFormat="1" ht="13.2" hidden="1" x14ac:dyDescent="0.2">
      <c r="B28" s="24"/>
      <c r="D28" s="521"/>
      <c r="E28" s="521"/>
      <c r="F28" s="521"/>
      <c r="G28" s="521"/>
      <c r="H28" s="521"/>
      <c r="I28" s="521"/>
      <c r="J28" s="521"/>
      <c r="K28" s="521"/>
      <c r="L28" s="1231" t="s">
        <v>27</v>
      </c>
      <c r="M28" s="1231"/>
      <c r="N28" s="1231"/>
      <c r="O28" s="1231"/>
      <c r="P28" s="1231"/>
      <c r="Q28" s="521"/>
      <c r="R28" s="521"/>
      <c r="S28" s="521"/>
      <c r="T28" s="521"/>
      <c r="U28" s="521"/>
      <c r="V28" s="521"/>
      <c r="W28" s="1231" t="s">
        <v>28</v>
      </c>
      <c r="X28" s="1231"/>
      <c r="Y28" s="1231"/>
      <c r="Z28" s="1231"/>
      <c r="AA28" s="1231"/>
      <c r="AB28" s="1231"/>
      <c r="AC28" s="1231"/>
      <c r="AD28" s="1231"/>
      <c r="AE28" s="1231"/>
      <c r="AF28" s="521"/>
      <c r="AG28" s="521"/>
      <c r="AH28" s="521"/>
      <c r="AI28" s="521"/>
      <c r="AJ28" s="521"/>
      <c r="AK28" s="1231" t="s">
        <v>29</v>
      </c>
      <c r="AL28" s="1231"/>
      <c r="AM28" s="1231"/>
      <c r="AN28" s="1231"/>
      <c r="AO28" s="1231"/>
      <c r="AR28" s="24"/>
    </row>
    <row r="29" spans="2:71" s="2" customFormat="1" ht="14.55" hidden="1" customHeight="1" x14ac:dyDescent="0.2">
      <c r="B29" s="27"/>
      <c r="D29" s="528" t="s">
        <v>30</v>
      </c>
      <c r="E29" s="529"/>
      <c r="F29" s="528" t="s">
        <v>31</v>
      </c>
      <c r="G29" s="529"/>
      <c r="H29" s="529"/>
      <c r="I29" s="529"/>
      <c r="J29" s="529"/>
      <c r="K29" s="529"/>
      <c r="L29" s="1232">
        <v>0.2</v>
      </c>
      <c r="M29" s="1213"/>
      <c r="N29" s="1213"/>
      <c r="O29" s="1213"/>
      <c r="P29" s="1213"/>
      <c r="Q29" s="529"/>
      <c r="R29" s="529"/>
      <c r="S29" s="529"/>
      <c r="T29" s="529"/>
      <c r="U29" s="529"/>
      <c r="V29" s="529"/>
      <c r="W29" s="1212">
        <f>AK26</f>
        <v>3569640.31</v>
      </c>
      <c r="X29" s="1213"/>
      <c r="Y29" s="1213"/>
      <c r="Z29" s="1213"/>
      <c r="AA29" s="1213"/>
      <c r="AB29" s="1213"/>
      <c r="AC29" s="1213"/>
      <c r="AD29" s="1213"/>
      <c r="AE29" s="1213"/>
      <c r="AF29" s="529"/>
      <c r="AG29" s="529"/>
      <c r="AH29" s="529"/>
      <c r="AI29" s="529"/>
      <c r="AJ29" s="529"/>
      <c r="AK29" s="1212">
        <f>W29*0.2</f>
        <v>713928.06200000003</v>
      </c>
      <c r="AL29" s="1213"/>
      <c r="AM29" s="1213"/>
      <c r="AN29" s="1213"/>
      <c r="AO29" s="1213"/>
      <c r="AR29" s="27"/>
    </row>
    <row r="30" spans="2:71" s="2" customFormat="1" ht="14.55" hidden="1" customHeight="1" x14ac:dyDescent="0.2">
      <c r="B30" s="27"/>
      <c r="D30" s="529"/>
      <c r="E30" s="529"/>
      <c r="F30" s="528" t="s">
        <v>32</v>
      </c>
      <c r="G30" s="529"/>
      <c r="H30" s="529"/>
      <c r="I30" s="529"/>
      <c r="J30" s="529"/>
      <c r="K30" s="529"/>
      <c r="L30" s="1232">
        <v>0.2</v>
      </c>
      <c r="M30" s="1213"/>
      <c r="N30" s="1213"/>
      <c r="O30" s="1213"/>
      <c r="P30" s="1213"/>
      <c r="Q30" s="529"/>
      <c r="R30" s="529"/>
      <c r="S30" s="529"/>
      <c r="T30" s="529"/>
      <c r="U30" s="529"/>
      <c r="V30" s="529"/>
      <c r="W30" s="1212"/>
      <c r="X30" s="1213"/>
      <c r="Y30" s="1213"/>
      <c r="Z30" s="1213"/>
      <c r="AA30" s="1213"/>
      <c r="AB30" s="1213"/>
      <c r="AC30" s="1213"/>
      <c r="AD30" s="1213"/>
      <c r="AE30" s="1213"/>
      <c r="AF30" s="529"/>
      <c r="AG30" s="529"/>
      <c r="AH30" s="529"/>
      <c r="AI30" s="529"/>
      <c r="AJ30" s="529"/>
      <c r="AK30" s="1212"/>
      <c r="AL30" s="1213"/>
      <c r="AM30" s="1213"/>
      <c r="AN30" s="1213"/>
      <c r="AO30" s="1213"/>
      <c r="AR30" s="27"/>
    </row>
    <row r="31" spans="2:71" s="2" customFormat="1" ht="14.55" hidden="1" customHeight="1" x14ac:dyDescent="0.2">
      <c r="B31" s="27"/>
      <c r="F31" s="21" t="s">
        <v>33</v>
      </c>
      <c r="L31" s="1233">
        <v>0.2</v>
      </c>
      <c r="M31" s="1211"/>
      <c r="N31" s="1211"/>
      <c r="O31" s="1211"/>
      <c r="P31" s="1211"/>
      <c r="W31" s="1210">
        <f>ROUND(BB94, 2)</f>
        <v>0</v>
      </c>
      <c r="X31" s="1211"/>
      <c r="Y31" s="1211"/>
      <c r="Z31" s="1211"/>
      <c r="AA31" s="1211"/>
      <c r="AB31" s="1211"/>
      <c r="AC31" s="1211"/>
      <c r="AD31" s="1211"/>
      <c r="AE31" s="1211"/>
      <c r="AK31" s="1210">
        <v>0</v>
      </c>
      <c r="AL31" s="1211"/>
      <c r="AM31" s="1211"/>
      <c r="AN31" s="1211"/>
      <c r="AO31" s="1211"/>
      <c r="AR31" s="27"/>
    </row>
    <row r="32" spans="2:71" s="2" customFormat="1" ht="14.55" hidden="1" customHeight="1" x14ac:dyDescent="0.2">
      <c r="B32" s="27"/>
      <c r="F32" s="21" t="s">
        <v>34</v>
      </c>
      <c r="L32" s="1233">
        <v>0.2</v>
      </c>
      <c r="M32" s="1211"/>
      <c r="N32" s="1211"/>
      <c r="O32" s="1211"/>
      <c r="P32" s="1211"/>
      <c r="W32" s="1210">
        <f>ROUND(BC94, 2)</f>
        <v>0</v>
      </c>
      <c r="X32" s="1211"/>
      <c r="Y32" s="1211"/>
      <c r="Z32" s="1211"/>
      <c r="AA32" s="1211"/>
      <c r="AB32" s="1211"/>
      <c r="AC32" s="1211"/>
      <c r="AD32" s="1211"/>
      <c r="AE32" s="1211"/>
      <c r="AK32" s="1210">
        <v>0</v>
      </c>
      <c r="AL32" s="1211"/>
      <c r="AM32" s="1211"/>
      <c r="AN32" s="1211"/>
      <c r="AO32" s="1211"/>
      <c r="AR32" s="27"/>
    </row>
    <row r="33" spans="2:44" s="2" customFormat="1" ht="14.55" hidden="1" customHeight="1" x14ac:dyDescent="0.2">
      <c r="B33" s="27"/>
      <c r="F33" s="21" t="s">
        <v>35</v>
      </c>
      <c r="L33" s="1233">
        <v>0</v>
      </c>
      <c r="M33" s="1211"/>
      <c r="N33" s="1211"/>
      <c r="O33" s="1211"/>
      <c r="P33" s="1211"/>
      <c r="W33" s="1210">
        <f>ROUND(BD94, 2)</f>
        <v>0</v>
      </c>
      <c r="X33" s="1211"/>
      <c r="Y33" s="1211"/>
      <c r="Z33" s="1211"/>
      <c r="AA33" s="1211"/>
      <c r="AB33" s="1211"/>
      <c r="AC33" s="1211"/>
      <c r="AD33" s="1211"/>
      <c r="AE33" s="1211"/>
      <c r="AK33" s="1210">
        <v>0</v>
      </c>
      <c r="AL33" s="1211"/>
      <c r="AM33" s="1211"/>
      <c r="AN33" s="1211"/>
      <c r="AO33" s="1211"/>
      <c r="AR33" s="27"/>
    </row>
    <row r="34" spans="2:44" s="1" customFormat="1" ht="7.05" hidden="1" customHeight="1" x14ac:dyDescent="0.2">
      <c r="B34" s="24"/>
      <c r="AR34" s="24"/>
    </row>
    <row r="35" spans="2:44" s="1" customFormat="1" ht="25.95" hidden="1" customHeight="1" x14ac:dyDescent="0.2">
      <c r="B35" s="24"/>
      <c r="C35" s="28"/>
      <c r="D35" s="29" t="s">
        <v>36</v>
      </c>
      <c r="E35" s="30"/>
      <c r="F35" s="30"/>
      <c r="G35" s="30"/>
      <c r="H35" s="30"/>
      <c r="I35" s="30"/>
      <c r="J35" s="30"/>
      <c r="K35" s="30"/>
      <c r="L35" s="30"/>
      <c r="M35" s="30"/>
      <c r="N35" s="30"/>
      <c r="O35" s="30"/>
      <c r="P35" s="30"/>
      <c r="Q35" s="30"/>
      <c r="R35" s="30"/>
      <c r="S35" s="30"/>
      <c r="T35" s="31" t="s">
        <v>37</v>
      </c>
      <c r="U35" s="30"/>
      <c r="V35" s="30"/>
      <c r="W35" s="30"/>
      <c r="X35" s="1214" t="s">
        <v>38</v>
      </c>
      <c r="Y35" s="1215"/>
      <c r="Z35" s="1215"/>
      <c r="AA35" s="1215"/>
      <c r="AB35" s="1215"/>
      <c r="AC35" s="30"/>
      <c r="AD35" s="30"/>
      <c r="AE35" s="30"/>
      <c r="AF35" s="30"/>
      <c r="AG35" s="30"/>
      <c r="AH35" s="30"/>
      <c r="AI35" s="30"/>
      <c r="AJ35" s="30"/>
      <c r="AK35" s="1216">
        <f>SUM(AK26:AK33)</f>
        <v>4283568.3720000004</v>
      </c>
      <c r="AL35" s="1215"/>
      <c r="AM35" s="1215"/>
      <c r="AN35" s="1215"/>
      <c r="AO35" s="1217"/>
      <c r="AP35" s="28"/>
      <c r="AQ35" s="28"/>
      <c r="AR35" s="24"/>
    </row>
    <row r="36" spans="2:44" s="1" customFormat="1" ht="7.05" hidden="1" customHeight="1" x14ac:dyDescent="0.2">
      <c r="B36" s="24"/>
      <c r="AR36" s="24"/>
    </row>
    <row r="37" spans="2:44" s="1" customFormat="1" ht="14.55" hidden="1" customHeight="1" x14ac:dyDescent="0.2">
      <c r="B37" s="24"/>
      <c r="AR37" s="24"/>
    </row>
    <row r="38" spans="2:44" ht="14.55" hidden="1" customHeight="1" x14ac:dyDescent="0.2">
      <c r="B38" s="16"/>
      <c r="AR38" s="16"/>
    </row>
    <row r="39" spans="2:44" ht="14.55" hidden="1" customHeight="1" x14ac:dyDescent="0.2">
      <c r="B39" s="16"/>
      <c r="AR39" s="16"/>
    </row>
    <row r="40" spans="2:44" ht="14.55" hidden="1" customHeight="1" x14ac:dyDescent="0.2">
      <c r="B40" s="16"/>
      <c r="AR40" s="16"/>
    </row>
    <row r="41" spans="2:44" ht="14.55" hidden="1" customHeight="1" x14ac:dyDescent="0.2">
      <c r="B41" s="16"/>
      <c r="AR41" s="16"/>
    </row>
    <row r="42" spans="2:44" ht="14.55" hidden="1" customHeight="1" x14ac:dyDescent="0.2">
      <c r="B42" s="16"/>
      <c r="AR42" s="16"/>
    </row>
    <row r="43" spans="2:44" ht="14.55" hidden="1" customHeight="1" x14ac:dyDescent="0.2">
      <c r="B43" s="16"/>
      <c r="AR43" s="16"/>
    </row>
    <row r="44" spans="2:44" ht="14.55" hidden="1" customHeight="1" x14ac:dyDescent="0.2">
      <c r="B44" s="16"/>
      <c r="AR44" s="16"/>
    </row>
    <row r="45" spans="2:44" ht="14.55" hidden="1" customHeight="1" x14ac:dyDescent="0.2">
      <c r="B45" s="16"/>
      <c r="AR45" s="16"/>
    </row>
    <row r="46" spans="2:44" ht="14.55" hidden="1" customHeight="1" x14ac:dyDescent="0.2">
      <c r="B46" s="16"/>
      <c r="AR46" s="16"/>
    </row>
    <row r="47" spans="2:44" ht="14.55" hidden="1" customHeight="1" x14ac:dyDescent="0.2">
      <c r="B47" s="16"/>
      <c r="AR47" s="16"/>
    </row>
    <row r="48" spans="2:44" ht="14.55" hidden="1" customHeight="1" x14ac:dyDescent="0.2">
      <c r="B48" s="16"/>
      <c r="D48" s="156"/>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6"/>
      <c r="AR48" s="16"/>
    </row>
    <row r="49" spans="2:44" s="1" customFormat="1" ht="14.55" hidden="1" customHeight="1" x14ac:dyDescent="0.2">
      <c r="B49" s="24"/>
      <c r="D49" s="530"/>
      <c r="E49" s="523"/>
      <c r="F49" s="523"/>
      <c r="G49" s="523"/>
      <c r="H49" s="523"/>
      <c r="I49" s="523"/>
      <c r="J49" s="523"/>
      <c r="K49" s="523"/>
      <c r="L49" s="523"/>
      <c r="M49" s="523"/>
      <c r="N49" s="523"/>
      <c r="O49" s="523"/>
      <c r="P49" s="523"/>
      <c r="Q49" s="523"/>
      <c r="R49" s="523"/>
      <c r="S49" s="523"/>
      <c r="T49" s="523"/>
      <c r="U49" s="523"/>
      <c r="V49" s="523"/>
      <c r="W49" s="523"/>
      <c r="X49" s="523"/>
      <c r="Y49" s="523"/>
      <c r="Z49" s="523"/>
      <c r="AA49" s="523"/>
      <c r="AB49" s="523"/>
      <c r="AC49" s="523"/>
      <c r="AD49" s="523"/>
      <c r="AE49" s="523"/>
      <c r="AF49" s="523"/>
      <c r="AG49" s="523"/>
      <c r="AH49" s="530"/>
      <c r="AI49" s="523"/>
      <c r="AJ49" s="523"/>
      <c r="AK49" s="523"/>
      <c r="AL49" s="523"/>
      <c r="AM49" s="523"/>
      <c r="AN49" s="523"/>
      <c r="AO49" s="523"/>
      <c r="AR49" s="24"/>
    </row>
    <row r="50" spans="2:44" hidden="1" x14ac:dyDescent="0.2">
      <c r="B50" s="16"/>
      <c r="D50" s="156"/>
      <c r="E50" s="156"/>
      <c r="F50" s="156"/>
      <c r="G50" s="156"/>
      <c r="H50" s="156"/>
      <c r="I50" s="156"/>
      <c r="J50" s="156"/>
      <c r="K50" s="156"/>
      <c r="L50" s="156"/>
      <c r="M50" s="156"/>
      <c r="N50" s="156"/>
      <c r="O50" s="156"/>
      <c r="P50" s="156"/>
      <c r="Q50" s="156"/>
      <c r="R50" s="156"/>
      <c r="S50" s="156"/>
      <c r="T50" s="156"/>
      <c r="U50" s="156"/>
      <c r="V50" s="156"/>
      <c r="W50" s="156"/>
      <c r="X50" s="156"/>
      <c r="Y50" s="156"/>
      <c r="Z50" s="156"/>
      <c r="AA50" s="156"/>
      <c r="AB50" s="156"/>
      <c r="AC50" s="156"/>
      <c r="AD50" s="156"/>
      <c r="AE50" s="156"/>
      <c r="AF50" s="156"/>
      <c r="AG50" s="156"/>
      <c r="AH50" s="156"/>
      <c r="AI50" s="156"/>
      <c r="AJ50" s="156"/>
      <c r="AK50" s="156"/>
      <c r="AL50" s="156"/>
      <c r="AM50" s="156"/>
      <c r="AN50" s="156"/>
      <c r="AO50" s="156"/>
      <c r="AR50" s="16"/>
    </row>
    <row r="51" spans="2:44" hidden="1" x14ac:dyDescent="0.2">
      <c r="B51" s="16"/>
      <c r="D51" s="156"/>
      <c r="E51" s="156"/>
      <c r="F51" s="156"/>
      <c r="G51" s="156"/>
      <c r="H51" s="156"/>
      <c r="I51" s="156"/>
      <c r="J51" s="156"/>
      <c r="K51" s="156"/>
      <c r="L51" s="156"/>
      <c r="M51" s="156"/>
      <c r="N51" s="156"/>
      <c r="O51" s="156"/>
      <c r="P51" s="156"/>
      <c r="Q51" s="156"/>
      <c r="R51" s="156"/>
      <c r="S51" s="156"/>
      <c r="T51" s="156"/>
      <c r="U51" s="156"/>
      <c r="V51" s="156"/>
      <c r="W51" s="156"/>
      <c r="X51" s="156"/>
      <c r="Y51" s="156"/>
      <c r="Z51" s="156"/>
      <c r="AA51" s="156"/>
      <c r="AB51" s="156"/>
      <c r="AC51" s="156"/>
      <c r="AD51" s="156"/>
      <c r="AE51" s="156"/>
      <c r="AF51" s="156"/>
      <c r="AG51" s="156"/>
      <c r="AH51" s="156"/>
      <c r="AI51" s="156"/>
      <c r="AJ51" s="156"/>
      <c r="AK51" s="156"/>
      <c r="AL51" s="156"/>
      <c r="AM51" s="156"/>
      <c r="AN51" s="156"/>
      <c r="AO51" s="156"/>
      <c r="AR51" s="16"/>
    </row>
    <row r="52" spans="2:44" hidden="1" x14ac:dyDescent="0.2">
      <c r="B52" s="1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6"/>
      <c r="AF52" s="156"/>
      <c r="AG52" s="156"/>
      <c r="AH52" s="156"/>
      <c r="AI52" s="156"/>
      <c r="AJ52" s="156"/>
      <c r="AK52" s="156"/>
      <c r="AL52" s="156"/>
      <c r="AM52" s="156"/>
      <c r="AN52" s="156"/>
      <c r="AO52" s="156"/>
      <c r="AR52" s="16"/>
    </row>
    <row r="53" spans="2:44" hidden="1" x14ac:dyDescent="0.2">
      <c r="B53" s="1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c r="AG53" s="156"/>
      <c r="AH53" s="156"/>
      <c r="AI53" s="156"/>
      <c r="AJ53" s="156"/>
      <c r="AK53" s="156"/>
      <c r="AL53" s="156"/>
      <c r="AM53" s="156"/>
      <c r="AN53" s="156"/>
      <c r="AO53" s="156"/>
      <c r="AR53" s="16"/>
    </row>
    <row r="54" spans="2:44" hidden="1" x14ac:dyDescent="0.2">
      <c r="B54" s="16"/>
      <c r="D54" s="156"/>
      <c r="E54" s="156"/>
      <c r="F54" s="156"/>
      <c r="G54" s="156"/>
      <c r="H54" s="156"/>
      <c r="I54" s="156"/>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156"/>
      <c r="AH54" s="156"/>
      <c r="AI54" s="156"/>
      <c r="AJ54" s="156"/>
      <c r="AK54" s="156"/>
      <c r="AL54" s="156"/>
      <c r="AM54" s="156"/>
      <c r="AN54" s="156"/>
      <c r="AO54" s="156"/>
      <c r="AR54" s="16"/>
    </row>
    <row r="55" spans="2:44" hidden="1" x14ac:dyDescent="0.2">
      <c r="B55" s="16"/>
      <c r="D55" s="156"/>
      <c r="E55" s="156"/>
      <c r="F55" s="156"/>
      <c r="G55" s="156"/>
      <c r="H55" s="156"/>
      <c r="I55" s="156"/>
      <c r="J55" s="156"/>
      <c r="K55" s="156"/>
      <c r="L55" s="156"/>
      <c r="M55" s="156"/>
      <c r="N55" s="156"/>
      <c r="O55" s="156"/>
      <c r="P55" s="156"/>
      <c r="Q55" s="156"/>
      <c r="R55" s="156"/>
      <c r="S55" s="156"/>
      <c r="T55" s="156"/>
      <c r="U55" s="156"/>
      <c r="V55" s="156"/>
      <c r="W55" s="156"/>
      <c r="X55" s="156"/>
      <c r="Y55" s="156"/>
      <c r="Z55" s="156"/>
      <c r="AA55" s="156"/>
      <c r="AB55" s="156"/>
      <c r="AC55" s="156"/>
      <c r="AD55" s="156"/>
      <c r="AE55" s="156"/>
      <c r="AF55" s="156"/>
      <c r="AG55" s="156"/>
      <c r="AH55" s="156"/>
      <c r="AI55" s="156"/>
      <c r="AJ55" s="156"/>
      <c r="AK55" s="156"/>
      <c r="AL55" s="156"/>
      <c r="AM55" s="156"/>
      <c r="AN55" s="156"/>
      <c r="AO55" s="156"/>
      <c r="AR55" s="16"/>
    </row>
    <row r="56" spans="2:44" hidden="1" x14ac:dyDescent="0.2">
      <c r="B56" s="16"/>
      <c r="D56" s="156"/>
      <c r="E56" s="156"/>
      <c r="F56" s="156"/>
      <c r="G56" s="156"/>
      <c r="H56" s="156"/>
      <c r="I56" s="156"/>
      <c r="J56" s="156"/>
      <c r="K56" s="156"/>
      <c r="L56" s="156"/>
      <c r="M56" s="156"/>
      <c r="N56" s="156"/>
      <c r="O56" s="156"/>
      <c r="P56" s="156"/>
      <c r="Q56" s="156"/>
      <c r="R56" s="156"/>
      <c r="S56" s="156"/>
      <c r="T56" s="156"/>
      <c r="U56" s="156"/>
      <c r="V56" s="156"/>
      <c r="W56" s="156"/>
      <c r="X56" s="156"/>
      <c r="Y56" s="156"/>
      <c r="Z56" s="156"/>
      <c r="AA56" s="156"/>
      <c r="AB56" s="156"/>
      <c r="AC56" s="156"/>
      <c r="AD56" s="156"/>
      <c r="AE56" s="156"/>
      <c r="AF56" s="156"/>
      <c r="AG56" s="156"/>
      <c r="AH56" s="156"/>
      <c r="AI56" s="156"/>
      <c r="AJ56" s="156"/>
      <c r="AK56" s="156"/>
      <c r="AL56" s="156"/>
      <c r="AM56" s="156"/>
      <c r="AN56" s="156"/>
      <c r="AO56" s="156"/>
      <c r="AR56" s="16"/>
    </row>
    <row r="57" spans="2:44" hidden="1" x14ac:dyDescent="0.2">
      <c r="B57" s="16"/>
      <c r="D57" s="156"/>
      <c r="E57" s="156"/>
      <c r="F57" s="156"/>
      <c r="G57" s="156"/>
      <c r="H57" s="156"/>
      <c r="I57" s="156"/>
      <c r="J57" s="156"/>
      <c r="K57" s="156"/>
      <c r="L57" s="156"/>
      <c r="M57" s="156"/>
      <c r="N57" s="156"/>
      <c r="O57" s="156"/>
      <c r="P57" s="156"/>
      <c r="Q57" s="156"/>
      <c r="R57" s="156"/>
      <c r="S57" s="156"/>
      <c r="T57" s="156"/>
      <c r="U57" s="156"/>
      <c r="V57" s="156"/>
      <c r="W57" s="156"/>
      <c r="X57" s="156"/>
      <c r="Y57" s="156"/>
      <c r="Z57" s="156"/>
      <c r="AA57" s="156"/>
      <c r="AB57" s="156"/>
      <c r="AC57" s="156"/>
      <c r="AD57" s="156"/>
      <c r="AE57" s="156"/>
      <c r="AF57" s="156"/>
      <c r="AG57" s="156"/>
      <c r="AH57" s="156"/>
      <c r="AI57" s="156"/>
      <c r="AJ57" s="156"/>
      <c r="AK57" s="156"/>
      <c r="AL57" s="156"/>
      <c r="AM57" s="156"/>
      <c r="AN57" s="156"/>
      <c r="AO57" s="156"/>
      <c r="AR57" s="16"/>
    </row>
    <row r="58" spans="2:44" hidden="1" x14ac:dyDescent="0.2">
      <c r="B58" s="16"/>
      <c r="D58" s="156"/>
      <c r="E58" s="156"/>
      <c r="F58" s="156"/>
      <c r="G58" s="156"/>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6"/>
      <c r="AI58" s="156"/>
      <c r="AJ58" s="156"/>
      <c r="AK58" s="156"/>
      <c r="AL58" s="156"/>
      <c r="AM58" s="156"/>
      <c r="AN58" s="156"/>
      <c r="AO58" s="156"/>
      <c r="AR58" s="16"/>
    </row>
    <row r="59" spans="2:44" hidden="1" x14ac:dyDescent="0.2">
      <c r="B59" s="1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R59" s="16"/>
    </row>
    <row r="60" spans="2:44" s="1" customFormat="1" ht="13.2" hidden="1" x14ac:dyDescent="0.2">
      <c r="B60" s="24"/>
      <c r="D60" s="522"/>
      <c r="E60" s="523"/>
      <c r="F60" s="523"/>
      <c r="G60" s="523"/>
      <c r="H60" s="523"/>
      <c r="I60" s="523"/>
      <c r="J60" s="523"/>
      <c r="K60" s="523"/>
      <c r="L60" s="523"/>
      <c r="M60" s="523"/>
      <c r="N60" s="523"/>
      <c r="O60" s="523"/>
      <c r="P60" s="523"/>
      <c r="Q60" s="523"/>
      <c r="R60" s="523"/>
      <c r="S60" s="523"/>
      <c r="T60" s="523"/>
      <c r="U60" s="523"/>
      <c r="V60" s="522"/>
      <c r="W60" s="523"/>
      <c r="X60" s="523"/>
      <c r="Y60" s="523"/>
      <c r="Z60" s="523"/>
      <c r="AA60" s="523"/>
      <c r="AB60" s="523"/>
      <c r="AC60" s="523"/>
      <c r="AD60" s="523"/>
      <c r="AE60" s="523"/>
      <c r="AF60" s="523"/>
      <c r="AG60" s="523"/>
      <c r="AH60" s="522"/>
      <c r="AI60" s="523"/>
      <c r="AJ60" s="523"/>
      <c r="AK60" s="523"/>
      <c r="AL60" s="523"/>
      <c r="AM60" s="522"/>
      <c r="AN60" s="523"/>
      <c r="AO60" s="523"/>
      <c r="AR60" s="24"/>
    </row>
    <row r="61" spans="2:44" hidden="1" x14ac:dyDescent="0.2">
      <c r="B61" s="16"/>
      <c r="D61" s="156"/>
      <c r="E61" s="156"/>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c r="AG61" s="156"/>
      <c r="AH61" s="156"/>
      <c r="AI61" s="156"/>
      <c r="AJ61" s="156"/>
      <c r="AK61" s="156"/>
      <c r="AL61" s="156"/>
      <c r="AM61" s="156"/>
      <c r="AN61" s="156"/>
      <c r="AO61" s="156"/>
      <c r="AR61" s="16"/>
    </row>
    <row r="62" spans="2:44" hidden="1" x14ac:dyDescent="0.2">
      <c r="B62" s="16"/>
      <c r="D62" s="156"/>
      <c r="E62" s="156"/>
      <c r="F62" s="156"/>
      <c r="G62" s="156"/>
      <c r="H62" s="156"/>
      <c r="I62" s="15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c r="AG62" s="156"/>
      <c r="AH62" s="156"/>
      <c r="AI62" s="156"/>
      <c r="AJ62" s="156"/>
      <c r="AK62" s="156"/>
      <c r="AL62" s="156"/>
      <c r="AM62" s="156"/>
      <c r="AN62" s="156"/>
      <c r="AO62" s="156"/>
      <c r="AR62" s="16"/>
    </row>
    <row r="63" spans="2:44" hidden="1" x14ac:dyDescent="0.2">
      <c r="B63" s="16"/>
      <c r="D63" s="156"/>
      <c r="E63" s="156"/>
      <c r="F63" s="156"/>
      <c r="G63" s="156"/>
      <c r="H63" s="156"/>
      <c r="I63" s="156"/>
      <c r="J63" s="156"/>
      <c r="K63" s="156"/>
      <c r="L63" s="156"/>
      <c r="M63" s="156"/>
      <c r="N63" s="156"/>
      <c r="O63" s="156"/>
      <c r="P63" s="156"/>
      <c r="Q63" s="156"/>
      <c r="R63" s="156"/>
      <c r="S63" s="156"/>
      <c r="T63" s="156"/>
      <c r="U63" s="156"/>
      <c r="V63" s="156"/>
      <c r="W63" s="156"/>
      <c r="X63" s="156"/>
      <c r="Y63" s="156"/>
      <c r="Z63" s="156"/>
      <c r="AA63" s="156"/>
      <c r="AB63" s="156"/>
      <c r="AC63" s="156"/>
      <c r="AD63" s="156"/>
      <c r="AE63" s="156"/>
      <c r="AF63" s="156"/>
      <c r="AG63" s="156"/>
      <c r="AH63" s="156"/>
      <c r="AI63" s="156"/>
      <c r="AJ63" s="156"/>
      <c r="AK63" s="156"/>
      <c r="AL63" s="156"/>
      <c r="AM63" s="156"/>
      <c r="AN63" s="156"/>
      <c r="AO63" s="156"/>
      <c r="AR63" s="16"/>
    </row>
    <row r="64" spans="2:44" s="1" customFormat="1" ht="13.2" hidden="1" x14ac:dyDescent="0.2">
      <c r="B64" s="24"/>
      <c r="D64" s="530"/>
      <c r="E64" s="523"/>
      <c r="F64" s="523"/>
      <c r="G64" s="523"/>
      <c r="H64" s="523"/>
      <c r="I64" s="523"/>
      <c r="J64" s="523"/>
      <c r="K64" s="523"/>
      <c r="L64" s="523"/>
      <c r="M64" s="523"/>
      <c r="N64" s="523"/>
      <c r="O64" s="523"/>
      <c r="P64" s="523"/>
      <c r="Q64" s="523"/>
      <c r="R64" s="523"/>
      <c r="S64" s="523"/>
      <c r="T64" s="523"/>
      <c r="U64" s="523"/>
      <c r="V64" s="523"/>
      <c r="W64" s="523"/>
      <c r="X64" s="523"/>
      <c r="Y64" s="523"/>
      <c r="Z64" s="523"/>
      <c r="AA64" s="523"/>
      <c r="AB64" s="523"/>
      <c r="AC64" s="523"/>
      <c r="AD64" s="523"/>
      <c r="AE64" s="523"/>
      <c r="AF64" s="523"/>
      <c r="AG64" s="523"/>
      <c r="AH64" s="530"/>
      <c r="AI64" s="523"/>
      <c r="AJ64" s="523"/>
      <c r="AK64" s="523"/>
      <c r="AL64" s="523"/>
      <c r="AM64" s="523"/>
      <c r="AN64" s="523"/>
      <c r="AO64" s="523"/>
      <c r="AR64" s="24"/>
    </row>
    <row r="65" spans="2:44" hidden="1" x14ac:dyDescent="0.2">
      <c r="B65" s="1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c r="AG65" s="156"/>
      <c r="AH65" s="156"/>
      <c r="AI65" s="156"/>
      <c r="AJ65" s="156"/>
      <c r="AK65" s="156"/>
      <c r="AL65" s="156"/>
      <c r="AM65" s="156"/>
      <c r="AN65" s="156"/>
      <c r="AO65" s="156"/>
      <c r="AR65" s="16"/>
    </row>
    <row r="66" spans="2:44" hidden="1" x14ac:dyDescent="0.2">
      <c r="B66" s="16"/>
      <c r="D66" s="156"/>
      <c r="E66" s="156"/>
      <c r="F66" s="156"/>
      <c r="G66" s="156"/>
      <c r="H66" s="156"/>
      <c r="I66" s="156"/>
      <c r="J66" s="156"/>
      <c r="K66" s="156"/>
      <c r="L66" s="156"/>
      <c r="M66" s="156"/>
      <c r="N66" s="156"/>
      <c r="O66" s="156"/>
      <c r="P66" s="156"/>
      <c r="Q66" s="156"/>
      <c r="R66" s="156"/>
      <c r="S66" s="156"/>
      <c r="T66" s="156"/>
      <c r="U66" s="156"/>
      <c r="V66" s="156"/>
      <c r="W66" s="156"/>
      <c r="X66" s="156"/>
      <c r="Y66" s="156"/>
      <c r="Z66" s="156"/>
      <c r="AA66" s="156"/>
      <c r="AB66" s="156"/>
      <c r="AC66" s="156"/>
      <c r="AD66" s="156"/>
      <c r="AE66" s="156"/>
      <c r="AF66" s="156"/>
      <c r="AG66" s="156"/>
      <c r="AH66" s="156"/>
      <c r="AI66" s="156"/>
      <c r="AJ66" s="156"/>
      <c r="AK66" s="156"/>
      <c r="AL66" s="156"/>
      <c r="AM66" s="156"/>
      <c r="AN66" s="156"/>
      <c r="AO66" s="156"/>
      <c r="AR66" s="16"/>
    </row>
    <row r="67" spans="2:44" hidden="1" x14ac:dyDescent="0.2">
      <c r="B67" s="16"/>
      <c r="D67" s="156"/>
      <c r="E67" s="156"/>
      <c r="F67" s="156"/>
      <c r="G67" s="156"/>
      <c r="H67" s="156"/>
      <c r="I67" s="156"/>
      <c r="J67" s="156"/>
      <c r="K67" s="156"/>
      <c r="L67" s="156"/>
      <c r="M67" s="156"/>
      <c r="N67" s="156"/>
      <c r="O67" s="156"/>
      <c r="P67" s="156"/>
      <c r="Q67" s="156"/>
      <c r="R67" s="156"/>
      <c r="S67" s="156"/>
      <c r="T67" s="156"/>
      <c r="U67" s="156"/>
      <c r="V67" s="156"/>
      <c r="W67" s="156"/>
      <c r="X67" s="156"/>
      <c r="Y67" s="156"/>
      <c r="Z67" s="156"/>
      <c r="AA67" s="156"/>
      <c r="AB67" s="156"/>
      <c r="AC67" s="156"/>
      <c r="AD67" s="156"/>
      <c r="AE67" s="156"/>
      <c r="AF67" s="156"/>
      <c r="AG67" s="156"/>
      <c r="AH67" s="156"/>
      <c r="AI67" s="156"/>
      <c r="AJ67" s="156"/>
      <c r="AK67" s="156"/>
      <c r="AL67" s="156"/>
      <c r="AM67" s="156"/>
      <c r="AN67" s="156"/>
      <c r="AO67" s="156"/>
      <c r="AR67" s="16"/>
    </row>
    <row r="68" spans="2:44" hidden="1" x14ac:dyDescent="0.2">
      <c r="B68" s="16"/>
      <c r="D68" s="156"/>
      <c r="E68" s="156"/>
      <c r="F68" s="156"/>
      <c r="G68" s="156"/>
      <c r="H68" s="156"/>
      <c r="I68" s="156"/>
      <c r="J68" s="156"/>
      <c r="K68" s="156"/>
      <c r="L68" s="156"/>
      <c r="M68" s="156"/>
      <c r="N68" s="156"/>
      <c r="O68" s="156"/>
      <c r="P68" s="156"/>
      <c r="Q68" s="156"/>
      <c r="R68" s="156"/>
      <c r="S68" s="156"/>
      <c r="T68" s="156"/>
      <c r="U68" s="156"/>
      <c r="V68" s="156"/>
      <c r="W68" s="156"/>
      <c r="X68" s="156"/>
      <c r="Y68" s="156"/>
      <c r="Z68" s="156"/>
      <c r="AA68" s="156"/>
      <c r="AB68" s="156"/>
      <c r="AC68" s="156"/>
      <c r="AD68" s="156"/>
      <c r="AE68" s="156"/>
      <c r="AF68" s="156"/>
      <c r="AG68" s="156"/>
      <c r="AH68" s="156"/>
      <c r="AI68" s="156"/>
      <c r="AJ68" s="156"/>
      <c r="AK68" s="156"/>
      <c r="AL68" s="156"/>
      <c r="AM68" s="156"/>
      <c r="AN68" s="156"/>
      <c r="AO68" s="156"/>
      <c r="AR68" s="16"/>
    </row>
    <row r="69" spans="2:44" hidden="1" x14ac:dyDescent="0.2">
      <c r="B69" s="16"/>
      <c r="D69" s="156"/>
      <c r="E69" s="156"/>
      <c r="F69" s="156"/>
      <c r="G69" s="156"/>
      <c r="H69" s="156"/>
      <c r="I69" s="156"/>
      <c r="J69" s="156"/>
      <c r="K69" s="156"/>
      <c r="L69" s="156"/>
      <c r="M69" s="156"/>
      <c r="N69" s="156"/>
      <c r="O69" s="156"/>
      <c r="P69" s="156"/>
      <c r="Q69" s="156"/>
      <c r="R69" s="156"/>
      <c r="S69" s="156"/>
      <c r="T69" s="156"/>
      <c r="U69" s="156"/>
      <c r="V69" s="156"/>
      <c r="W69" s="156"/>
      <c r="X69" s="156"/>
      <c r="Y69" s="156"/>
      <c r="Z69" s="156"/>
      <c r="AA69" s="156"/>
      <c r="AB69" s="156"/>
      <c r="AC69" s="156"/>
      <c r="AD69" s="156"/>
      <c r="AE69" s="156"/>
      <c r="AF69" s="156"/>
      <c r="AG69" s="156"/>
      <c r="AH69" s="156"/>
      <c r="AI69" s="156"/>
      <c r="AJ69" s="156"/>
      <c r="AK69" s="156"/>
      <c r="AL69" s="156"/>
      <c r="AM69" s="156"/>
      <c r="AN69" s="156"/>
      <c r="AO69" s="156"/>
      <c r="AR69" s="16"/>
    </row>
    <row r="70" spans="2:44" hidden="1" x14ac:dyDescent="0.2">
      <c r="B70" s="16"/>
      <c r="D70" s="156"/>
      <c r="E70" s="156"/>
      <c r="F70" s="156"/>
      <c r="G70" s="156"/>
      <c r="H70" s="156"/>
      <c r="I70" s="156"/>
      <c r="J70" s="156"/>
      <c r="K70" s="156"/>
      <c r="L70" s="156"/>
      <c r="M70" s="156"/>
      <c r="N70" s="156"/>
      <c r="O70" s="156"/>
      <c r="P70" s="156"/>
      <c r="Q70" s="156"/>
      <c r="R70" s="156"/>
      <c r="S70" s="156"/>
      <c r="T70" s="156"/>
      <c r="U70" s="156"/>
      <c r="V70" s="156"/>
      <c r="W70" s="156"/>
      <c r="X70" s="156"/>
      <c r="Y70" s="156"/>
      <c r="Z70" s="156"/>
      <c r="AA70" s="156"/>
      <c r="AB70" s="156"/>
      <c r="AC70" s="156"/>
      <c r="AD70" s="156"/>
      <c r="AE70" s="156"/>
      <c r="AF70" s="156"/>
      <c r="AG70" s="156"/>
      <c r="AH70" s="156"/>
      <c r="AI70" s="156"/>
      <c r="AJ70" s="156"/>
      <c r="AK70" s="156"/>
      <c r="AL70" s="156"/>
      <c r="AM70" s="156"/>
      <c r="AN70" s="156"/>
      <c r="AO70" s="156"/>
      <c r="AR70" s="16"/>
    </row>
    <row r="71" spans="2:44" hidden="1" x14ac:dyDescent="0.2">
      <c r="B71" s="16"/>
      <c r="D71" s="156"/>
      <c r="E71" s="156"/>
      <c r="F71" s="156"/>
      <c r="G71" s="156"/>
      <c r="H71" s="156"/>
      <c r="I71" s="156"/>
      <c r="J71" s="156"/>
      <c r="K71" s="156"/>
      <c r="L71" s="156"/>
      <c r="M71" s="156"/>
      <c r="N71" s="156"/>
      <c r="O71" s="156"/>
      <c r="P71" s="156"/>
      <c r="Q71" s="156"/>
      <c r="R71" s="156"/>
      <c r="S71" s="156"/>
      <c r="T71" s="156"/>
      <c r="U71" s="156"/>
      <c r="V71" s="156"/>
      <c r="W71" s="156"/>
      <c r="X71" s="156"/>
      <c r="Y71" s="156"/>
      <c r="Z71" s="156"/>
      <c r="AA71" s="156"/>
      <c r="AB71" s="156"/>
      <c r="AC71" s="156"/>
      <c r="AD71" s="156"/>
      <c r="AE71" s="156"/>
      <c r="AF71" s="156"/>
      <c r="AG71" s="156"/>
      <c r="AH71" s="156"/>
      <c r="AI71" s="156"/>
      <c r="AJ71" s="156"/>
      <c r="AK71" s="156"/>
      <c r="AL71" s="156"/>
      <c r="AM71" s="156"/>
      <c r="AN71" s="156"/>
      <c r="AO71" s="156"/>
      <c r="AR71" s="16"/>
    </row>
    <row r="72" spans="2:44" hidden="1" x14ac:dyDescent="0.2">
      <c r="B72" s="16"/>
      <c r="D72" s="156"/>
      <c r="E72" s="156"/>
      <c r="F72" s="156"/>
      <c r="G72" s="156"/>
      <c r="H72" s="156"/>
      <c r="I72" s="156"/>
      <c r="J72" s="156"/>
      <c r="K72" s="156"/>
      <c r="L72" s="156"/>
      <c r="M72" s="156"/>
      <c r="N72" s="156"/>
      <c r="O72" s="156"/>
      <c r="P72" s="156"/>
      <c r="Q72" s="156"/>
      <c r="R72" s="156"/>
      <c r="S72" s="156"/>
      <c r="T72" s="156"/>
      <c r="U72" s="156"/>
      <c r="V72" s="156"/>
      <c r="W72" s="156"/>
      <c r="X72" s="156"/>
      <c r="Y72" s="156"/>
      <c r="Z72" s="156"/>
      <c r="AA72" s="156"/>
      <c r="AB72" s="156"/>
      <c r="AC72" s="156"/>
      <c r="AD72" s="156"/>
      <c r="AE72" s="156"/>
      <c r="AF72" s="156"/>
      <c r="AG72" s="156"/>
      <c r="AH72" s="156"/>
      <c r="AI72" s="156"/>
      <c r="AJ72" s="156"/>
      <c r="AK72" s="156"/>
      <c r="AL72" s="156"/>
      <c r="AM72" s="156"/>
      <c r="AN72" s="156"/>
      <c r="AO72" s="156"/>
      <c r="AR72" s="16"/>
    </row>
    <row r="73" spans="2:44" hidden="1" x14ac:dyDescent="0.2">
      <c r="B73" s="1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c r="AK73" s="156"/>
      <c r="AL73" s="156"/>
      <c r="AM73" s="156"/>
      <c r="AN73" s="156"/>
      <c r="AO73" s="156"/>
      <c r="AR73" s="16"/>
    </row>
    <row r="74" spans="2:44" hidden="1" x14ac:dyDescent="0.2">
      <c r="B74" s="16"/>
      <c r="D74" s="156"/>
      <c r="E74" s="156"/>
      <c r="F74" s="156"/>
      <c r="G74" s="156"/>
      <c r="H74" s="156"/>
      <c r="I74" s="156"/>
      <c r="J74" s="156"/>
      <c r="K74" s="156"/>
      <c r="L74" s="156"/>
      <c r="M74" s="156"/>
      <c r="N74" s="156"/>
      <c r="O74" s="156"/>
      <c r="P74" s="156"/>
      <c r="Q74" s="156"/>
      <c r="R74" s="156"/>
      <c r="S74" s="156"/>
      <c r="T74" s="156"/>
      <c r="U74" s="156"/>
      <c r="V74" s="156"/>
      <c r="W74" s="156"/>
      <c r="X74" s="156"/>
      <c r="Y74" s="156"/>
      <c r="Z74" s="156"/>
      <c r="AA74" s="156"/>
      <c r="AB74" s="156"/>
      <c r="AC74" s="156"/>
      <c r="AD74" s="156"/>
      <c r="AE74" s="156"/>
      <c r="AF74" s="156"/>
      <c r="AG74" s="156"/>
      <c r="AH74" s="156"/>
      <c r="AI74" s="156"/>
      <c r="AJ74" s="156"/>
      <c r="AK74" s="156"/>
      <c r="AL74" s="156"/>
      <c r="AM74" s="156"/>
      <c r="AN74" s="156"/>
      <c r="AO74" s="156"/>
      <c r="AR74" s="16"/>
    </row>
    <row r="75" spans="2:44" s="1" customFormat="1" ht="13.2" hidden="1" x14ac:dyDescent="0.2">
      <c r="B75" s="24"/>
      <c r="D75" s="522"/>
      <c r="E75" s="523"/>
      <c r="F75" s="523"/>
      <c r="G75" s="523"/>
      <c r="H75" s="523"/>
      <c r="I75" s="523"/>
      <c r="J75" s="523"/>
      <c r="K75" s="523"/>
      <c r="L75" s="523"/>
      <c r="M75" s="523"/>
      <c r="N75" s="523"/>
      <c r="O75" s="523"/>
      <c r="P75" s="523"/>
      <c r="Q75" s="523"/>
      <c r="R75" s="523"/>
      <c r="S75" s="523"/>
      <c r="T75" s="523"/>
      <c r="U75" s="523"/>
      <c r="V75" s="522"/>
      <c r="W75" s="523"/>
      <c r="X75" s="523"/>
      <c r="Y75" s="523"/>
      <c r="Z75" s="523"/>
      <c r="AA75" s="523"/>
      <c r="AB75" s="523"/>
      <c r="AC75" s="523"/>
      <c r="AD75" s="523"/>
      <c r="AE75" s="523"/>
      <c r="AF75" s="523"/>
      <c r="AG75" s="523"/>
      <c r="AH75" s="522"/>
      <c r="AI75" s="523"/>
      <c r="AJ75" s="523"/>
      <c r="AK75" s="523"/>
      <c r="AL75" s="523"/>
      <c r="AM75" s="522"/>
      <c r="AN75" s="523"/>
      <c r="AO75" s="523"/>
      <c r="AR75" s="24"/>
    </row>
    <row r="76" spans="2:44" s="1" customFormat="1" hidden="1" x14ac:dyDescent="0.2">
      <c r="B76" s="24"/>
      <c r="D76" s="523"/>
      <c r="E76" s="523"/>
      <c r="F76" s="523"/>
      <c r="G76" s="523"/>
      <c r="H76" s="523"/>
      <c r="I76" s="523"/>
      <c r="J76" s="523"/>
      <c r="K76" s="523"/>
      <c r="L76" s="523"/>
      <c r="M76" s="523"/>
      <c r="N76" s="523"/>
      <c r="O76" s="523"/>
      <c r="P76" s="523"/>
      <c r="Q76" s="523"/>
      <c r="R76" s="523"/>
      <c r="S76" s="523"/>
      <c r="T76" s="523"/>
      <c r="U76" s="523"/>
      <c r="V76" s="523"/>
      <c r="W76" s="523"/>
      <c r="X76" s="523"/>
      <c r="Y76" s="523"/>
      <c r="Z76" s="523"/>
      <c r="AA76" s="523"/>
      <c r="AB76" s="523"/>
      <c r="AC76" s="523"/>
      <c r="AD76" s="523"/>
      <c r="AE76" s="523"/>
      <c r="AF76" s="523"/>
      <c r="AG76" s="523"/>
      <c r="AH76" s="523"/>
      <c r="AI76" s="523"/>
      <c r="AJ76" s="523"/>
      <c r="AK76" s="523"/>
      <c r="AL76" s="523"/>
      <c r="AM76" s="523"/>
      <c r="AN76" s="523"/>
      <c r="AO76" s="523"/>
      <c r="AR76" s="24"/>
    </row>
    <row r="77" spans="2:44" s="1" customFormat="1" ht="7.05" hidden="1" customHeight="1" x14ac:dyDescent="0.2">
      <c r="B77" s="33"/>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c r="AJ77" s="34"/>
      <c r="AK77" s="34"/>
      <c r="AL77" s="34"/>
      <c r="AM77" s="34"/>
      <c r="AN77" s="34"/>
      <c r="AO77" s="34"/>
      <c r="AP77" s="34"/>
      <c r="AQ77" s="34"/>
      <c r="AR77" s="24"/>
    </row>
    <row r="78" spans="2:44" hidden="1" x14ac:dyDescent="0.2"/>
    <row r="79" spans="2:44" hidden="1" x14ac:dyDescent="0.2"/>
    <row r="80" spans="2:44" hidden="1" x14ac:dyDescent="0.2"/>
    <row r="81" spans="1:91" s="1" customFormat="1" ht="7.05" hidden="1" customHeight="1" x14ac:dyDescent="0.2">
      <c r="B81" s="35"/>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647"/>
      <c r="AQ81" s="36"/>
      <c r="AR81" s="24"/>
    </row>
    <row r="82" spans="1:91" s="1" customFormat="1" ht="25.05" customHeight="1" x14ac:dyDescent="0.2">
      <c r="B82" s="24"/>
      <c r="C82" s="1166" t="s">
        <v>39</v>
      </c>
      <c r="D82" s="1166"/>
      <c r="E82" s="1166"/>
      <c r="F82" s="1166"/>
      <c r="G82" s="1166"/>
      <c r="H82" s="1166"/>
      <c r="I82" s="1166"/>
      <c r="J82" s="1166"/>
      <c r="K82" s="1166"/>
      <c r="L82" s="1166"/>
      <c r="M82" s="1166"/>
      <c r="N82" s="1166"/>
      <c r="O82" s="1166"/>
      <c r="P82" s="1166"/>
      <c r="Q82" s="1166"/>
      <c r="R82" s="1166"/>
      <c r="S82" s="1166"/>
      <c r="T82" s="1166"/>
      <c r="U82" s="1166"/>
      <c r="V82" s="1166"/>
      <c r="W82" s="1166"/>
      <c r="X82" s="1166"/>
      <c r="Y82" s="1166"/>
      <c r="Z82" s="1166"/>
      <c r="AA82" s="1166"/>
      <c r="AB82" s="1166"/>
      <c r="AC82" s="1166"/>
      <c r="AD82" s="1166"/>
      <c r="AE82" s="1166"/>
      <c r="AF82" s="1166"/>
      <c r="AG82" s="1166"/>
      <c r="AH82" s="1166"/>
      <c r="AI82" s="1166"/>
      <c r="AJ82" s="1166"/>
      <c r="AK82" s="1166"/>
      <c r="AL82" s="1166"/>
      <c r="AM82" s="1166"/>
      <c r="AN82" s="1166"/>
      <c r="AO82" s="1166"/>
      <c r="AP82" s="1167"/>
      <c r="AQ82" s="1125"/>
      <c r="AR82" s="1143"/>
      <c r="AS82" s="1134"/>
      <c r="AT82" s="1134"/>
      <c r="AU82" s="1134"/>
      <c r="AV82" s="1134"/>
      <c r="AW82" s="1134"/>
      <c r="AX82" s="1134"/>
      <c r="AY82" s="1134"/>
      <c r="AZ82" s="1134"/>
      <c r="BA82" s="1134"/>
      <c r="BB82" s="1134"/>
      <c r="BC82" s="1134"/>
      <c r="BD82" s="1134"/>
      <c r="BE82" s="1134"/>
    </row>
    <row r="83" spans="1:91" s="1" customFormat="1" ht="7.05" customHeight="1" x14ac:dyDescent="0.2">
      <c r="B83" s="24"/>
      <c r="C83" s="1124"/>
      <c r="D83" s="1124"/>
      <c r="E83" s="1124"/>
      <c r="F83" s="1124"/>
      <c r="G83" s="1124"/>
      <c r="H83" s="1124"/>
      <c r="I83" s="1124"/>
      <c r="J83" s="1124"/>
      <c r="K83" s="1124"/>
      <c r="L83" s="1124"/>
      <c r="M83" s="1124"/>
      <c r="N83" s="1124"/>
      <c r="O83" s="1124"/>
      <c r="P83" s="1124"/>
      <c r="Q83" s="1124"/>
      <c r="R83" s="1124"/>
      <c r="S83" s="1124"/>
      <c r="T83" s="1124"/>
      <c r="U83" s="1124"/>
      <c r="V83" s="1124"/>
      <c r="W83" s="1124"/>
      <c r="X83" s="1124"/>
      <c r="Y83" s="1124"/>
      <c r="Z83" s="1124"/>
      <c r="AA83" s="1124"/>
      <c r="AB83" s="1124"/>
      <c r="AC83" s="1124"/>
      <c r="AD83" s="1124"/>
      <c r="AE83" s="1124"/>
      <c r="AF83" s="1124"/>
      <c r="AG83" s="1124"/>
      <c r="AH83" s="1124"/>
      <c r="AI83" s="1124"/>
      <c r="AJ83" s="1124"/>
      <c r="AK83" s="1124"/>
      <c r="AL83" s="1124"/>
      <c r="AM83" s="1124"/>
      <c r="AN83" s="1124"/>
      <c r="AO83" s="1124"/>
      <c r="AP83" s="159"/>
      <c r="AQ83" s="1125"/>
      <c r="AR83" s="1143"/>
      <c r="AS83" s="1134"/>
      <c r="AT83" s="1134"/>
      <c r="AU83" s="1134"/>
      <c r="AV83" s="1134"/>
      <c r="AW83" s="1134"/>
      <c r="AX83" s="1134"/>
      <c r="AY83" s="1134"/>
      <c r="AZ83" s="1134"/>
      <c r="BA83" s="1134"/>
      <c r="BB83" s="1134"/>
      <c r="BC83" s="1134"/>
      <c r="BD83" s="1134"/>
      <c r="BE83" s="1134"/>
    </row>
    <row r="84" spans="1:91" s="3" customFormat="1" ht="19.95" customHeight="1" x14ac:dyDescent="0.2">
      <c r="B84" s="37"/>
      <c r="C84" s="1126" t="s">
        <v>11</v>
      </c>
      <c r="D84" s="576"/>
      <c r="E84" s="576"/>
      <c r="F84" s="576"/>
      <c r="G84" s="576"/>
      <c r="H84" s="576"/>
      <c r="I84" s="576"/>
      <c r="J84" s="576"/>
      <c r="K84" s="576"/>
      <c r="L84" s="576"/>
      <c r="M84" s="576"/>
      <c r="N84" s="576"/>
      <c r="O84" s="576"/>
      <c r="P84" s="576"/>
      <c r="Q84" s="576"/>
      <c r="R84" s="576"/>
      <c r="S84" s="576"/>
      <c r="T84" s="576"/>
      <c r="U84" s="576"/>
      <c r="V84" s="576"/>
      <c r="W84" s="576"/>
      <c r="X84" s="576"/>
      <c r="Y84" s="576"/>
      <c r="Z84" s="576"/>
      <c r="AA84" s="576"/>
      <c r="AB84" s="576"/>
      <c r="AC84" s="576"/>
      <c r="AD84" s="576"/>
      <c r="AE84" s="576"/>
      <c r="AF84" s="576"/>
      <c r="AG84" s="576"/>
      <c r="AH84" s="576"/>
      <c r="AI84" s="576"/>
      <c r="AJ84" s="576"/>
      <c r="AK84" s="576"/>
      <c r="AL84" s="576"/>
      <c r="AM84" s="576"/>
      <c r="AN84" s="576"/>
      <c r="AO84" s="576"/>
      <c r="AP84" s="1144"/>
      <c r="AQ84" s="1123"/>
      <c r="AR84" s="1145"/>
      <c r="AS84" s="1135"/>
      <c r="AT84" s="1135"/>
      <c r="AU84" s="1135"/>
      <c r="AV84" s="1135"/>
      <c r="AW84" s="1135"/>
      <c r="AX84" s="1135"/>
      <c r="AY84" s="1135"/>
      <c r="AZ84" s="1135"/>
      <c r="BA84" s="1135"/>
      <c r="BB84" s="1135"/>
      <c r="BC84" s="1135"/>
      <c r="BD84" s="1135"/>
      <c r="BE84" s="1135" t="s">
        <v>6814</v>
      </c>
    </row>
    <row r="85" spans="1:91" s="4" customFormat="1" ht="37.049999999999997" customHeight="1" x14ac:dyDescent="0.2">
      <c r="B85" s="38"/>
      <c r="C85" s="1146" t="s">
        <v>12</v>
      </c>
      <c r="D85" s="1147"/>
      <c r="E85" s="1147"/>
      <c r="F85" s="1147"/>
      <c r="G85" s="1147"/>
      <c r="H85" s="1147"/>
      <c r="I85" s="1147"/>
      <c r="J85" s="1147"/>
      <c r="K85" s="1147"/>
      <c r="L85" s="1221" t="str">
        <f>K6</f>
        <v xml:space="preserve">Modernizácia infraštruktúry pre zefektívnenie poskytovania akútnej zdravotnej starostlivosti v Nemocnici Zvolen a.s. </v>
      </c>
      <c r="M85" s="1222"/>
      <c r="N85" s="1222"/>
      <c r="O85" s="1222"/>
      <c r="P85" s="1222"/>
      <c r="Q85" s="1222"/>
      <c r="R85" s="1222"/>
      <c r="S85" s="1222"/>
      <c r="T85" s="1222"/>
      <c r="U85" s="1222"/>
      <c r="V85" s="1222"/>
      <c r="W85" s="1222"/>
      <c r="X85" s="1222"/>
      <c r="Y85" s="1222"/>
      <c r="Z85" s="1222"/>
      <c r="AA85" s="1222"/>
      <c r="AB85" s="1222"/>
      <c r="AC85" s="1222"/>
      <c r="AD85" s="1222"/>
      <c r="AE85" s="1222"/>
      <c r="AF85" s="1222"/>
      <c r="AG85" s="1222"/>
      <c r="AH85" s="1222"/>
      <c r="AI85" s="1222"/>
      <c r="AJ85" s="1222"/>
      <c r="AK85" s="1222"/>
      <c r="AL85" s="1222"/>
      <c r="AM85" s="1222"/>
      <c r="AN85" s="1222"/>
      <c r="AO85" s="1222"/>
      <c r="AP85" s="1148"/>
      <c r="AQ85" s="1149"/>
      <c r="AR85" s="1145"/>
      <c r="AS85" s="1136"/>
      <c r="AT85" s="1136"/>
      <c r="AU85" s="1136"/>
      <c r="AV85" s="1136"/>
      <c r="AW85" s="1136"/>
      <c r="AX85" s="1136"/>
      <c r="AY85" s="1136"/>
      <c r="AZ85" s="1136"/>
      <c r="BA85" s="1136"/>
      <c r="BB85" s="1136"/>
      <c r="BC85" s="1136"/>
      <c r="BD85" s="1136"/>
      <c r="BE85" s="1135" t="s">
        <v>6815</v>
      </c>
    </row>
    <row r="86" spans="1:91" s="1" customFormat="1" ht="7.05" customHeight="1" x14ac:dyDescent="0.2">
      <c r="B86" s="24"/>
      <c r="C86" s="1124"/>
      <c r="D86" s="1124"/>
      <c r="E86" s="1124"/>
      <c r="F86" s="1124"/>
      <c r="G86" s="1124"/>
      <c r="H86" s="1124"/>
      <c r="I86" s="1124"/>
      <c r="J86" s="1124"/>
      <c r="K86" s="1124"/>
      <c r="L86" s="1124"/>
      <c r="M86" s="1124"/>
      <c r="N86" s="1124"/>
      <c r="O86" s="1124"/>
      <c r="P86" s="1124"/>
      <c r="Q86" s="1124"/>
      <c r="R86" s="1124"/>
      <c r="S86" s="1124"/>
      <c r="T86" s="1124"/>
      <c r="U86" s="1124"/>
      <c r="V86" s="1124"/>
      <c r="W86" s="1124"/>
      <c r="X86" s="1124"/>
      <c r="Y86" s="1124"/>
      <c r="Z86" s="1124"/>
      <c r="AA86" s="1124"/>
      <c r="AB86" s="1124"/>
      <c r="AC86" s="1124"/>
      <c r="AD86" s="1124"/>
      <c r="AE86" s="1124"/>
      <c r="AF86" s="1124"/>
      <c r="AG86" s="1124"/>
      <c r="AH86" s="1124"/>
      <c r="AI86" s="1124"/>
      <c r="AJ86" s="1124"/>
      <c r="AK86" s="1124"/>
      <c r="AL86" s="1124"/>
      <c r="AM86" s="1124"/>
      <c r="AN86" s="1124"/>
      <c r="AO86" s="1124"/>
      <c r="AP86" s="159"/>
      <c r="AQ86" s="1125"/>
      <c r="AR86" s="1027"/>
      <c r="AS86" s="1134"/>
      <c r="AT86" s="1134"/>
      <c r="AU86" s="1134"/>
      <c r="AV86" s="1134"/>
      <c r="AW86" s="1134"/>
      <c r="AX86" s="1134"/>
      <c r="AY86" s="1134"/>
      <c r="AZ86" s="1134"/>
      <c r="BA86" s="1134"/>
      <c r="BB86" s="1134"/>
      <c r="BC86" s="1134"/>
      <c r="BD86" s="1134"/>
      <c r="BE86" s="1134"/>
    </row>
    <row r="87" spans="1:91" s="1" customFormat="1" ht="12" customHeight="1" x14ac:dyDescent="0.2">
      <c r="B87" s="24"/>
      <c r="C87" s="1126" t="s">
        <v>15</v>
      </c>
      <c r="D87" s="1124"/>
      <c r="E87" s="1124"/>
      <c r="F87" s="1124"/>
      <c r="G87" s="1124"/>
      <c r="H87" s="1124"/>
      <c r="I87" s="1124"/>
      <c r="J87" s="1124"/>
      <c r="K87" s="1124"/>
      <c r="L87" s="1163" t="s">
        <v>6173</v>
      </c>
      <c r="M87" s="1163"/>
      <c r="N87" s="1163"/>
      <c r="O87" s="1163"/>
      <c r="P87" s="1163"/>
      <c r="Q87" s="1163"/>
      <c r="R87" s="1163"/>
      <c r="S87" s="1163"/>
      <c r="T87" s="1163"/>
      <c r="U87" s="1163"/>
      <c r="V87" s="1163"/>
      <c r="W87" s="1163"/>
      <c r="X87" s="1163"/>
      <c r="Y87" s="1163"/>
      <c r="Z87" s="1163"/>
      <c r="AA87" s="1163"/>
      <c r="AB87" s="1163"/>
      <c r="AC87" s="1163"/>
      <c r="AD87" s="1163"/>
      <c r="AE87" s="1163"/>
      <c r="AF87" s="1124"/>
      <c r="AG87" s="1124"/>
      <c r="AH87" s="1124"/>
      <c r="AI87" s="1126" t="s">
        <v>17</v>
      </c>
      <c r="AJ87" s="1124"/>
      <c r="AK87" s="1124"/>
      <c r="AL87" s="1124"/>
      <c r="AM87" s="1223" t="str">
        <f>IF(AN8= "","",AN8)</f>
        <v/>
      </c>
      <c r="AN87" s="1223"/>
      <c r="AO87" s="1124"/>
      <c r="AP87" s="159"/>
      <c r="AQ87" s="1125"/>
      <c r="AR87" s="1027"/>
      <c r="AS87" s="1134"/>
      <c r="AT87" s="1134"/>
      <c r="AU87" s="1134"/>
      <c r="AV87" s="1134"/>
      <c r="AW87" s="1134"/>
      <c r="AX87" s="1134"/>
      <c r="AY87" s="1134"/>
      <c r="AZ87" s="1134"/>
      <c r="BA87" s="1134"/>
      <c r="BB87" s="1134"/>
      <c r="BC87" s="1134"/>
      <c r="BD87" s="1134"/>
      <c r="BE87" s="1137"/>
    </row>
    <row r="88" spans="1:91" s="1" customFormat="1" ht="7.05" customHeight="1" x14ac:dyDescent="0.2">
      <c r="B88" s="24"/>
      <c r="C88" s="1124"/>
      <c r="D88" s="1124"/>
      <c r="E88" s="1124"/>
      <c r="F88" s="1124"/>
      <c r="G88" s="1124"/>
      <c r="H88" s="1124"/>
      <c r="I88" s="1124"/>
      <c r="J88" s="1124"/>
      <c r="K88" s="1124"/>
      <c r="L88" s="1124"/>
      <c r="M88" s="1124"/>
      <c r="N88" s="1124"/>
      <c r="O88" s="1124"/>
      <c r="P88" s="1124"/>
      <c r="Q88" s="1124"/>
      <c r="R88" s="1124"/>
      <c r="S88" s="1124"/>
      <c r="T88" s="1124"/>
      <c r="U88" s="1124"/>
      <c r="V88" s="1124"/>
      <c r="W88" s="1124"/>
      <c r="X88" s="1124"/>
      <c r="Y88" s="1124"/>
      <c r="Z88" s="1124"/>
      <c r="AA88" s="1124"/>
      <c r="AB88" s="1124"/>
      <c r="AC88" s="1124"/>
      <c r="AD88" s="1124"/>
      <c r="AE88" s="1124"/>
      <c r="AF88" s="1124"/>
      <c r="AG88" s="1124"/>
      <c r="AH88" s="1124"/>
      <c r="AI88" s="1124"/>
      <c r="AJ88" s="1124"/>
      <c r="AK88" s="1124"/>
      <c r="AL88" s="1124"/>
      <c r="AM88" s="1124"/>
      <c r="AN88" s="1124"/>
      <c r="AO88" s="1124"/>
      <c r="AP88" s="159"/>
      <c r="AQ88" s="1125"/>
      <c r="AR88" s="1027"/>
      <c r="AS88" s="1134"/>
      <c r="AT88" s="1134"/>
      <c r="AU88" s="1134"/>
      <c r="AV88" s="1134"/>
      <c r="AW88" s="1134"/>
      <c r="AX88" s="1134"/>
      <c r="AY88" s="1134"/>
      <c r="AZ88" s="1134"/>
      <c r="BA88" s="1134"/>
      <c r="BB88" s="1134"/>
      <c r="BC88" s="1134"/>
      <c r="BD88" s="1134"/>
      <c r="BE88" s="1134"/>
    </row>
    <row r="89" spans="1:91" s="1" customFormat="1" ht="15.3" customHeight="1" x14ac:dyDescent="0.2">
      <c r="B89" s="24"/>
      <c r="C89" s="1126" t="s">
        <v>18</v>
      </c>
      <c r="D89" s="1124"/>
      <c r="E89" s="1124"/>
      <c r="F89" s="1124"/>
      <c r="G89" s="1124"/>
      <c r="H89" s="1124"/>
      <c r="I89" s="1124"/>
      <c r="J89" s="1124"/>
      <c r="K89" s="1124"/>
      <c r="L89" s="1163" t="s">
        <v>6174</v>
      </c>
      <c r="M89" s="1163"/>
      <c r="N89" s="1163"/>
      <c r="O89" s="1163"/>
      <c r="P89" s="1163"/>
      <c r="Q89" s="1163"/>
      <c r="R89" s="1163"/>
      <c r="S89" s="1163"/>
      <c r="T89" s="1163"/>
      <c r="U89" s="1163"/>
      <c r="V89" s="1163"/>
      <c r="W89" s="1163"/>
      <c r="X89" s="1163"/>
      <c r="Y89" s="1163"/>
      <c r="Z89" s="1163"/>
      <c r="AA89" s="1163"/>
      <c r="AB89" s="1163"/>
      <c r="AC89" s="1163"/>
      <c r="AD89" s="1163"/>
      <c r="AE89" s="1124"/>
      <c r="AF89" s="1124"/>
      <c r="AG89" s="1124"/>
      <c r="AH89" s="1124"/>
      <c r="AI89" s="1126" t="s">
        <v>22</v>
      </c>
      <c r="AJ89" s="1124"/>
      <c r="AK89" s="1124"/>
      <c r="AL89" s="1124"/>
      <c r="AM89" s="1218" t="str">
        <f>IF(E17="","",E17)</f>
        <v xml:space="preserve"> </v>
      </c>
      <c r="AN89" s="1219"/>
      <c r="AO89" s="1219"/>
      <c r="AP89" s="1220"/>
      <c r="AQ89" s="1125"/>
      <c r="AR89" s="1143"/>
      <c r="AS89" s="1201" t="s">
        <v>40</v>
      </c>
      <c r="AT89" s="1202"/>
      <c r="AU89" s="1138"/>
      <c r="AV89" s="1138"/>
      <c r="AW89" s="1138"/>
      <c r="AX89" s="1138"/>
      <c r="AY89" s="1138"/>
      <c r="AZ89" s="1138"/>
      <c r="BA89" s="1138"/>
      <c r="BB89" s="1138"/>
      <c r="BC89" s="1138"/>
      <c r="BD89" s="1139"/>
      <c r="BE89" s="1140" t="s">
        <v>6816</v>
      </c>
    </row>
    <row r="90" spans="1:91" s="1" customFormat="1" ht="25.2" customHeight="1" x14ac:dyDescent="0.25">
      <c r="B90" s="24"/>
      <c r="C90" s="1126" t="s">
        <v>21</v>
      </c>
      <c r="D90" s="1124"/>
      <c r="E90" s="1124"/>
      <c r="F90" s="1124"/>
      <c r="G90" s="1124"/>
      <c r="H90" s="1124"/>
      <c r="I90" s="1124"/>
      <c r="J90" s="1124"/>
      <c r="K90" s="1124"/>
      <c r="L90" s="1164" t="s">
        <v>5202</v>
      </c>
      <c r="M90" s="1164"/>
      <c r="N90" s="1164"/>
      <c r="O90" s="1164"/>
      <c r="P90" s="1164"/>
      <c r="Q90" s="1164"/>
      <c r="R90" s="1164"/>
      <c r="S90" s="1164"/>
      <c r="T90" s="1164"/>
      <c r="U90" s="1164"/>
      <c r="V90" s="1164"/>
      <c r="W90" s="1164"/>
      <c r="X90" s="1164"/>
      <c r="Y90" s="1164"/>
      <c r="Z90" s="1164"/>
      <c r="AA90" s="1164"/>
      <c r="AB90" s="1164"/>
      <c r="AC90" s="1164"/>
      <c r="AD90" s="1164"/>
      <c r="AE90" s="1164"/>
      <c r="AF90" s="1124"/>
      <c r="AG90" s="1124"/>
      <c r="AH90" s="1124"/>
      <c r="AI90" s="1126" t="s">
        <v>24</v>
      </c>
      <c r="AJ90" s="1124"/>
      <c r="AK90" s="1124"/>
      <c r="AL90" s="1124"/>
      <c r="AM90" s="1205"/>
      <c r="AN90" s="1206"/>
      <c r="AO90" s="1206"/>
      <c r="AP90" s="1207"/>
      <c r="AQ90" s="1125"/>
      <c r="AR90" s="1150"/>
      <c r="AS90" s="1203"/>
      <c r="AT90" s="1204"/>
      <c r="AU90" s="1141"/>
      <c r="AV90" s="1141"/>
      <c r="AW90" s="1141"/>
      <c r="AX90" s="1141"/>
      <c r="AY90" s="1141"/>
      <c r="AZ90" s="1141"/>
      <c r="BA90" s="1141"/>
      <c r="BB90" s="1141"/>
      <c r="BC90" s="1141"/>
      <c r="BD90" s="1142"/>
      <c r="BE90" s="1134"/>
    </row>
    <row r="91" spans="1:91" s="1" customFormat="1" ht="10.95" customHeight="1" thickBot="1" x14ac:dyDescent="0.25">
      <c r="B91" s="24"/>
      <c r="C91" s="1124"/>
      <c r="D91" s="1124"/>
      <c r="E91" s="1124"/>
      <c r="F91" s="1124"/>
      <c r="G91" s="1124"/>
      <c r="H91" s="1124"/>
      <c r="I91" s="1124"/>
      <c r="J91" s="1124"/>
      <c r="K91" s="1124"/>
      <c r="L91" s="1124"/>
      <c r="M91" s="1124"/>
      <c r="N91" s="1124"/>
      <c r="O91" s="1124"/>
      <c r="P91" s="1124"/>
      <c r="Q91" s="1124"/>
      <c r="R91" s="1124"/>
      <c r="S91" s="1124"/>
      <c r="T91" s="1124"/>
      <c r="U91" s="1124"/>
      <c r="V91" s="1124"/>
      <c r="W91" s="1124"/>
      <c r="X91" s="1124"/>
      <c r="Y91" s="1124"/>
      <c r="Z91" s="1124"/>
      <c r="AA91" s="1124"/>
      <c r="AB91" s="1124"/>
      <c r="AC91" s="1124"/>
      <c r="AD91" s="1124"/>
      <c r="AE91" s="1124"/>
      <c r="AF91" s="1124"/>
      <c r="AG91" s="1124"/>
      <c r="AH91" s="1124"/>
      <c r="AI91" s="1124"/>
      <c r="AJ91" s="1124"/>
      <c r="AK91" s="1124"/>
      <c r="AL91" s="1124"/>
      <c r="AM91" s="1124"/>
      <c r="AN91" s="1124"/>
      <c r="AO91" s="1124"/>
      <c r="AP91" s="159"/>
      <c r="AQ91" s="1125"/>
      <c r="AR91" s="1027"/>
      <c r="AS91" s="1203"/>
      <c r="AT91" s="1204"/>
      <c r="AU91" s="1141"/>
      <c r="AV91" s="1141"/>
      <c r="AW91" s="1141"/>
      <c r="AX91" s="1141"/>
      <c r="AY91" s="1141"/>
      <c r="AZ91" s="1141"/>
      <c r="BA91" s="1141"/>
      <c r="BB91" s="1141"/>
      <c r="BC91" s="1141"/>
      <c r="BD91" s="1142"/>
      <c r="BE91" s="1134"/>
    </row>
    <row r="92" spans="1:91" s="1" customFormat="1" ht="45.75" customHeight="1" thickBot="1" x14ac:dyDescent="0.25">
      <c r="B92" s="24"/>
      <c r="C92" s="1199" t="s">
        <v>41</v>
      </c>
      <c r="D92" s="1200"/>
      <c r="E92" s="1200"/>
      <c r="F92" s="1200"/>
      <c r="G92" s="1200"/>
      <c r="H92" s="44"/>
      <c r="I92" s="1224" t="s">
        <v>42</v>
      </c>
      <c r="J92" s="1200"/>
      <c r="K92" s="1200"/>
      <c r="L92" s="1200"/>
      <c r="M92" s="1200"/>
      <c r="N92" s="1200"/>
      <c r="O92" s="1200"/>
      <c r="P92" s="1200"/>
      <c r="Q92" s="1200"/>
      <c r="R92" s="1200"/>
      <c r="S92" s="1200"/>
      <c r="T92" s="1200"/>
      <c r="U92" s="1200"/>
      <c r="V92" s="1200"/>
      <c r="W92" s="1200"/>
      <c r="X92" s="1200"/>
      <c r="Y92" s="1200"/>
      <c r="Z92" s="1200"/>
      <c r="AA92" s="1200"/>
      <c r="AB92" s="1200"/>
      <c r="AC92" s="1200"/>
      <c r="AD92" s="1200"/>
      <c r="AE92" s="1200"/>
      <c r="AF92" s="1200"/>
      <c r="AG92" s="1209" t="s">
        <v>6140</v>
      </c>
      <c r="AH92" s="1200"/>
      <c r="AI92" s="1200"/>
      <c r="AJ92" s="1200"/>
      <c r="AK92" s="1200"/>
      <c r="AL92" s="1200"/>
      <c r="AM92" s="1200"/>
      <c r="AN92" s="1188" t="s">
        <v>6820</v>
      </c>
      <c r="AO92" s="1189"/>
      <c r="AP92" s="1190"/>
      <c r="AQ92" s="45" t="s">
        <v>43</v>
      </c>
      <c r="AR92" s="228" t="s">
        <v>5220</v>
      </c>
      <c r="AS92" s="46" t="s">
        <v>44</v>
      </c>
      <c r="AT92" s="47" t="s">
        <v>45</v>
      </c>
      <c r="AU92" s="47" t="s">
        <v>46</v>
      </c>
      <c r="AV92" s="47" t="s">
        <v>47</v>
      </c>
      <c r="AW92" s="47" t="s">
        <v>48</v>
      </c>
      <c r="AX92" s="47" t="s">
        <v>49</v>
      </c>
      <c r="AY92" s="47" t="s">
        <v>50</v>
      </c>
      <c r="AZ92" s="47" t="s">
        <v>51</v>
      </c>
      <c r="BA92" s="47" t="s">
        <v>52</v>
      </c>
      <c r="BB92" s="47" t="s">
        <v>53</v>
      </c>
      <c r="BC92" s="47" t="s">
        <v>54</v>
      </c>
      <c r="BD92" s="48" t="s">
        <v>55</v>
      </c>
      <c r="BE92" s="1133">
        <f>AM90-AN94</f>
        <v>-4081689.2099999995</v>
      </c>
      <c r="BG92" s="407"/>
    </row>
    <row r="93" spans="1:91" s="1" customFormat="1" ht="10.95" customHeight="1" x14ac:dyDescent="0.2">
      <c r="B93" s="24"/>
      <c r="AR93" s="24"/>
      <c r="AS93" s="49"/>
      <c r="AT93" s="40"/>
      <c r="AU93" s="40"/>
      <c r="AV93" s="40"/>
      <c r="AW93" s="40"/>
      <c r="AX93" s="40"/>
      <c r="AY93" s="40"/>
      <c r="AZ93" s="40"/>
      <c r="BA93" s="40"/>
      <c r="BB93" s="40"/>
      <c r="BC93" s="40"/>
      <c r="BD93" s="41"/>
      <c r="BE93" s="130"/>
      <c r="BG93" s="407"/>
    </row>
    <row r="94" spans="1:91" s="5" customFormat="1" ht="32.549999999999997" customHeight="1" x14ac:dyDescent="0.2">
      <c r="B94" s="50"/>
      <c r="C94" s="51" t="s">
        <v>56</v>
      </c>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1208">
        <f>ROUND(SUM(AG95:AG136),2)</f>
        <v>3569640.31</v>
      </c>
      <c r="AH94" s="1208"/>
      <c r="AI94" s="1208"/>
      <c r="AJ94" s="1208"/>
      <c r="AK94" s="1208"/>
      <c r="AL94" s="1208"/>
      <c r="AM94" s="1208"/>
      <c r="AN94" s="1194">
        <f>SUM(AN95:AP136)</f>
        <v>4081689.2099999995</v>
      </c>
      <c r="AO94" s="1194"/>
      <c r="AP94" s="1194"/>
      <c r="AQ94" s="54" t="s">
        <v>1</v>
      </c>
      <c r="AR94" s="50"/>
      <c r="AS94" s="55">
        <f>ROUND(SUM(AS95:AS136),2)</f>
        <v>0</v>
      </c>
      <c r="AT94" s="56">
        <f t="shared" ref="AT94:AT136" si="0">ROUND(SUM(AV94:AW94),2)</f>
        <v>711663.58</v>
      </c>
      <c r="AU94" s="57" t="e">
        <f>ROUND(SUM(AU95:AU136),5)</f>
        <v>#REF!</v>
      </c>
      <c r="AV94" s="56">
        <f>ROUND(AZ94*L29,2)</f>
        <v>42702.54</v>
      </c>
      <c r="AW94" s="56">
        <f>ROUND(BA94*L30,2)</f>
        <v>668961.04</v>
      </c>
      <c r="AX94" s="56">
        <f>ROUND(BB94*L29,2)</f>
        <v>0</v>
      </c>
      <c r="AY94" s="56">
        <f>ROUND(BC94*L30,2)</f>
        <v>0</v>
      </c>
      <c r="AZ94" s="56">
        <f>ROUND(SUM(AZ95:AZ136),2)</f>
        <v>213512.7</v>
      </c>
      <c r="BA94" s="56">
        <f>ROUND(SUM(BA95:BA136),2)</f>
        <v>3344805.19</v>
      </c>
      <c r="BB94" s="56">
        <f>ROUND(SUM(BB95:BB136),2)</f>
        <v>0</v>
      </c>
      <c r="BC94" s="56">
        <f>ROUND(SUM(BC95:BC136),2)</f>
        <v>0</v>
      </c>
      <c r="BD94" s="58">
        <f>ROUND(SUM(BD95:BD136),2)</f>
        <v>0</v>
      </c>
      <c r="BE94" s="517"/>
      <c r="BG94" s="573"/>
      <c r="BS94" s="59"/>
      <c r="BT94" s="59"/>
      <c r="BU94" s="60"/>
      <c r="BV94" s="59"/>
      <c r="BW94" s="59"/>
      <c r="BX94" s="59"/>
      <c r="CL94" s="59"/>
    </row>
    <row r="95" spans="1:91" s="6" customFormat="1" ht="17.55" customHeight="1" x14ac:dyDescent="0.2">
      <c r="A95" s="61" t="s">
        <v>59</v>
      </c>
      <c r="B95" s="435"/>
      <c r="C95" s="436"/>
      <c r="D95" s="1173" t="s">
        <v>60</v>
      </c>
      <c r="E95" s="1173"/>
      <c r="F95" s="1173"/>
      <c r="G95" s="1173"/>
      <c r="H95" s="1173"/>
      <c r="I95" s="431"/>
      <c r="J95" s="1187" t="s">
        <v>61</v>
      </c>
      <c r="K95" s="1187"/>
      <c r="L95" s="1187"/>
      <c r="M95" s="1187"/>
      <c r="N95" s="1187"/>
      <c r="O95" s="1187"/>
      <c r="P95" s="1187"/>
      <c r="Q95" s="1187"/>
      <c r="R95" s="1187"/>
      <c r="S95" s="1187"/>
      <c r="T95" s="1187"/>
      <c r="U95" s="1187"/>
      <c r="V95" s="1187"/>
      <c r="W95" s="1187"/>
      <c r="X95" s="1187"/>
      <c r="Y95" s="1187"/>
      <c r="Z95" s="1187"/>
      <c r="AA95" s="1187"/>
      <c r="AB95" s="1187"/>
      <c r="AC95" s="1187"/>
      <c r="AD95" s="1187"/>
      <c r="AE95" s="1187"/>
      <c r="AF95" s="1187"/>
      <c r="AG95" s="1195">
        <f>'S01-1 - SO 01 - Urgentný ...'!J30</f>
        <v>219243.92</v>
      </c>
      <c r="AH95" s="1196"/>
      <c r="AI95" s="1196"/>
      <c r="AJ95" s="1196"/>
      <c r="AK95" s="1196"/>
      <c r="AL95" s="1196"/>
      <c r="AM95" s="1196"/>
      <c r="AN95" s="1191">
        <f>'S01-1 - SO 01 - Urgentný ...'!AE30</f>
        <v>359047.83</v>
      </c>
      <c r="AO95" s="1192"/>
      <c r="AP95" s="1193"/>
      <c r="AQ95" s="63" t="s">
        <v>62</v>
      </c>
      <c r="AR95" s="430" t="s">
        <v>6790</v>
      </c>
      <c r="AS95" s="64">
        <v>0</v>
      </c>
      <c r="AT95" s="65">
        <f t="shared" si="0"/>
        <v>43848.78</v>
      </c>
      <c r="AU95" s="66">
        <f>'S01-1 - SO 01 - Urgentný ...'!P141</f>
        <v>2667.92597918</v>
      </c>
      <c r="AV95" s="65">
        <f>'S01-1 - SO 01 - Urgentný ...'!J33</f>
        <v>0</v>
      </c>
      <c r="AW95" s="65">
        <f>'S01-1 - SO 01 - Urgentný ...'!J34</f>
        <v>43848.78</v>
      </c>
      <c r="AX95" s="65">
        <f>'S01-1 - SO 01 - Urgentný ...'!J35</f>
        <v>0</v>
      </c>
      <c r="AY95" s="65">
        <f>'S01-1 - SO 01 - Urgentný ...'!J36</f>
        <v>0</v>
      </c>
      <c r="AZ95" s="65">
        <f>'S01-1 - SO 01 - Urgentný ...'!F33</f>
        <v>0</v>
      </c>
      <c r="BA95" s="65">
        <f>'S01-1 - SO 01 - Urgentný ...'!F34</f>
        <v>219243.92</v>
      </c>
      <c r="BB95" s="65">
        <f>'S01-1 - SO 01 - Urgentný ...'!F35</f>
        <v>0</v>
      </c>
      <c r="BC95" s="65">
        <f>'S01-1 - SO 01 - Urgentný ...'!F36</f>
        <v>0</v>
      </c>
      <c r="BD95" s="67">
        <f>'S01-1 - SO 01 - Urgentný ...'!F37</f>
        <v>0</v>
      </c>
      <c r="BE95" s="437"/>
      <c r="BG95" s="574"/>
      <c r="BT95" s="68"/>
      <c r="BV95" s="68"/>
      <c r="BW95" s="68"/>
      <c r="BX95" s="68"/>
      <c r="CL95" s="68"/>
      <c r="CM95" s="68"/>
    </row>
    <row r="96" spans="1:91" s="6" customFormat="1" ht="17.55" customHeight="1" x14ac:dyDescent="0.2">
      <c r="A96" s="61" t="s">
        <v>59</v>
      </c>
      <c r="B96" s="62"/>
      <c r="C96" s="434"/>
      <c r="D96" s="1174" t="s">
        <v>65</v>
      </c>
      <c r="E96" s="1174"/>
      <c r="F96" s="1174"/>
      <c r="G96" s="1174"/>
      <c r="H96" s="1174"/>
      <c r="I96" s="432"/>
      <c r="J96" s="1170" t="s">
        <v>66</v>
      </c>
      <c r="K96" s="1170"/>
      <c r="L96" s="1170"/>
      <c r="M96" s="1170"/>
      <c r="N96" s="1170"/>
      <c r="O96" s="1170"/>
      <c r="P96" s="1170"/>
      <c r="Q96" s="1170"/>
      <c r="R96" s="1170"/>
      <c r="S96" s="1170"/>
      <c r="T96" s="1170"/>
      <c r="U96" s="1170"/>
      <c r="V96" s="1170"/>
      <c r="W96" s="1170"/>
      <c r="X96" s="1170"/>
      <c r="Y96" s="1170"/>
      <c r="Z96" s="1170"/>
      <c r="AA96" s="1170"/>
      <c r="AB96" s="1170"/>
      <c r="AC96" s="1170"/>
      <c r="AD96" s="1170"/>
      <c r="AE96" s="1170"/>
      <c r="AF96" s="1170"/>
      <c r="AG96" s="1171">
        <f>'S01-2 - SO 01 - Urgentný ...'!J30</f>
        <v>53422.83</v>
      </c>
      <c r="AH96" s="1172"/>
      <c r="AI96" s="1172"/>
      <c r="AJ96" s="1172"/>
      <c r="AK96" s="1172"/>
      <c r="AL96" s="1172"/>
      <c r="AM96" s="1172"/>
      <c r="AN96" s="1178">
        <f>'S01-2 - SO 01 - Urgentný ...'!AE30</f>
        <v>70626.8</v>
      </c>
      <c r="AO96" s="1179"/>
      <c r="AP96" s="1180"/>
      <c r="AQ96" s="63" t="s">
        <v>62</v>
      </c>
      <c r="AR96" s="430" t="s">
        <v>6803</v>
      </c>
      <c r="AS96" s="64">
        <v>0</v>
      </c>
      <c r="AT96" s="65">
        <f t="shared" si="0"/>
        <v>10684.57</v>
      </c>
      <c r="AU96" s="66">
        <f>'S01-2 - SO 01 - Urgentný ...'!P130</f>
        <v>586.53116199999999</v>
      </c>
      <c r="AV96" s="65">
        <f>'S01-2 - SO 01 - Urgentný ...'!J33</f>
        <v>0</v>
      </c>
      <c r="AW96" s="65">
        <f>'S01-2 - SO 01 - Urgentný ...'!J34</f>
        <v>10684.57</v>
      </c>
      <c r="AX96" s="65">
        <f>'S01-2 - SO 01 - Urgentný ...'!J35</f>
        <v>0</v>
      </c>
      <c r="AY96" s="65">
        <f>'S01-2 - SO 01 - Urgentný ...'!J36</f>
        <v>0</v>
      </c>
      <c r="AZ96" s="65">
        <f>'S01-2 - SO 01 - Urgentný ...'!F33</f>
        <v>0</v>
      </c>
      <c r="BA96" s="65">
        <f>'S01-2 - SO 01 - Urgentný ...'!F34</f>
        <v>53422.83</v>
      </c>
      <c r="BB96" s="65">
        <f>'S01-2 - SO 01 - Urgentný ...'!F35</f>
        <v>0</v>
      </c>
      <c r="BC96" s="65">
        <f>'S01-2 - SO 01 - Urgentný ...'!F36</f>
        <v>0</v>
      </c>
      <c r="BD96" s="67">
        <f>'S01-2 - SO 01 - Urgentný ...'!F37</f>
        <v>0</v>
      </c>
      <c r="BE96" s="437"/>
      <c r="BG96" s="575"/>
      <c r="BT96" s="68"/>
      <c r="BV96" s="68"/>
      <c r="BW96" s="68"/>
      <c r="BX96" s="68"/>
      <c r="CL96" s="68"/>
      <c r="CM96" s="68"/>
    </row>
    <row r="97" spans="1:91" s="6" customFormat="1" ht="17.55" customHeight="1" x14ac:dyDescent="0.2">
      <c r="A97" s="61" t="s">
        <v>59</v>
      </c>
      <c r="B97" s="62"/>
      <c r="C97" s="434"/>
      <c r="D97" s="1174" t="s">
        <v>68</v>
      </c>
      <c r="E97" s="1174"/>
      <c r="F97" s="1174"/>
      <c r="G97" s="1174"/>
      <c r="H97" s="1174"/>
      <c r="I97" s="432"/>
      <c r="J97" s="1170" t="s">
        <v>5198</v>
      </c>
      <c r="K97" s="1170"/>
      <c r="L97" s="1170"/>
      <c r="M97" s="1170"/>
      <c r="N97" s="1170"/>
      <c r="O97" s="1170"/>
      <c r="P97" s="1170"/>
      <c r="Q97" s="1170"/>
      <c r="R97" s="1170"/>
      <c r="S97" s="1170"/>
      <c r="T97" s="1170"/>
      <c r="U97" s="1170"/>
      <c r="V97" s="1170"/>
      <c r="W97" s="1170"/>
      <c r="X97" s="1170"/>
      <c r="Y97" s="1170"/>
      <c r="Z97" s="1170"/>
      <c r="AA97" s="1170"/>
      <c r="AB97" s="1170"/>
      <c r="AC97" s="1170"/>
      <c r="AD97" s="1170"/>
      <c r="AE97" s="1170"/>
      <c r="AF97" s="1170"/>
      <c r="AG97" s="1171">
        <f>'S01-3 - SO 01 - Urgentný ...'!J30</f>
        <v>27701.040000000001</v>
      </c>
      <c r="AH97" s="1172"/>
      <c r="AI97" s="1172"/>
      <c r="AJ97" s="1172"/>
      <c r="AK97" s="1172"/>
      <c r="AL97" s="1172"/>
      <c r="AM97" s="1172"/>
      <c r="AN97" s="1171">
        <f>AG97</f>
        <v>27701.040000000001</v>
      </c>
      <c r="AO97" s="1172"/>
      <c r="AP97" s="1181"/>
      <c r="AQ97" s="63" t="s">
        <v>62</v>
      </c>
      <c r="AR97" s="430"/>
      <c r="AS97" s="64">
        <v>0</v>
      </c>
      <c r="AT97" s="65">
        <f t="shared" si="0"/>
        <v>5540.21</v>
      </c>
      <c r="AU97" s="66" t="e">
        <f>'S01-3 - SO 01 - Urgentný ...'!P126</f>
        <v>#REF!</v>
      </c>
      <c r="AV97" s="65">
        <f>'S01-3 - SO 01 - Urgentný ...'!J33</f>
        <v>0</v>
      </c>
      <c r="AW97" s="65">
        <f>'S01-3 - SO 01 - Urgentný ...'!J34</f>
        <v>5540.21</v>
      </c>
      <c r="AX97" s="65">
        <f>'S01-3 - SO 01 - Urgentný ...'!J35</f>
        <v>0</v>
      </c>
      <c r="AY97" s="65">
        <f>'S01-3 - SO 01 - Urgentný ...'!J36</f>
        <v>0</v>
      </c>
      <c r="AZ97" s="65">
        <f>'S01-3 - SO 01 - Urgentný ...'!F33</f>
        <v>0</v>
      </c>
      <c r="BA97" s="65">
        <f>'S01-3 - SO 01 - Urgentný ...'!F34</f>
        <v>27701.040000000001</v>
      </c>
      <c r="BB97" s="65">
        <f>'S01-3 - SO 01 - Urgentný ...'!F35</f>
        <v>0</v>
      </c>
      <c r="BC97" s="65">
        <f>'S01-3 - SO 01 - Urgentný ...'!F36</f>
        <v>0</v>
      </c>
      <c r="BD97" s="67">
        <f>'S01-3 - SO 01 - Urgentný ...'!F37</f>
        <v>0</v>
      </c>
      <c r="BE97" s="437"/>
      <c r="BG97" s="575"/>
      <c r="BT97" s="68"/>
      <c r="BV97" s="68"/>
      <c r="BW97" s="68"/>
      <c r="BX97" s="68"/>
      <c r="CL97" s="68"/>
      <c r="CM97" s="68"/>
    </row>
    <row r="98" spans="1:91" s="6" customFormat="1" ht="17.55" customHeight="1" x14ac:dyDescent="0.2">
      <c r="A98" s="61" t="s">
        <v>59</v>
      </c>
      <c r="B98" s="62"/>
      <c r="C98" s="434"/>
      <c r="D98" s="1174" t="s">
        <v>70</v>
      </c>
      <c r="E98" s="1174"/>
      <c r="F98" s="1174"/>
      <c r="G98" s="1174"/>
      <c r="H98" s="1174"/>
      <c r="I98" s="432"/>
      <c r="J98" s="1170" t="s">
        <v>71</v>
      </c>
      <c r="K98" s="1170"/>
      <c r="L98" s="1170"/>
      <c r="M98" s="1170"/>
      <c r="N98" s="1170"/>
      <c r="O98" s="1170"/>
      <c r="P98" s="1170"/>
      <c r="Q98" s="1170"/>
      <c r="R98" s="1170"/>
      <c r="S98" s="1170"/>
      <c r="T98" s="1170"/>
      <c r="U98" s="1170"/>
      <c r="V98" s="1170"/>
      <c r="W98" s="1170"/>
      <c r="X98" s="1170"/>
      <c r="Y98" s="1170"/>
      <c r="Z98" s="1170"/>
      <c r="AA98" s="1170"/>
      <c r="AB98" s="1170"/>
      <c r="AC98" s="1170"/>
      <c r="AD98" s="1170"/>
      <c r="AE98" s="1170"/>
      <c r="AF98" s="1170"/>
      <c r="AG98" s="1171">
        <f>'S01-4 - SO 01 - UK'!J30</f>
        <v>7888.36</v>
      </c>
      <c r="AH98" s="1172"/>
      <c r="AI98" s="1172"/>
      <c r="AJ98" s="1172"/>
      <c r="AK98" s="1172"/>
      <c r="AL98" s="1172"/>
      <c r="AM98" s="1172"/>
      <c r="AN98" s="1178">
        <f>'S01-4 - SO 01 - UK'!AE30</f>
        <v>43306.46</v>
      </c>
      <c r="AO98" s="1179"/>
      <c r="AP98" s="1180"/>
      <c r="AQ98" s="63" t="s">
        <v>62</v>
      </c>
      <c r="AR98" s="430" t="s">
        <v>6804</v>
      </c>
      <c r="AS98" s="64">
        <v>0</v>
      </c>
      <c r="AT98" s="65">
        <f t="shared" si="0"/>
        <v>1577.67</v>
      </c>
      <c r="AU98" s="66" t="e">
        <f>'S01-4 - SO 01 - UK'!P153</f>
        <v>#REF!</v>
      </c>
      <c r="AV98" s="65">
        <f>'S01-4 - SO 01 - UK'!J33</f>
        <v>0</v>
      </c>
      <c r="AW98" s="65">
        <f>'S01-4 - SO 01 - UK'!J34</f>
        <v>1577.67</v>
      </c>
      <c r="AX98" s="65">
        <f>'S01-4 - SO 01 - UK'!J35</f>
        <v>0</v>
      </c>
      <c r="AY98" s="65">
        <f>'S01-4 - SO 01 - UK'!J36</f>
        <v>0</v>
      </c>
      <c r="AZ98" s="65">
        <f>'S01-4 - SO 01 - UK'!F33</f>
        <v>0</v>
      </c>
      <c r="BA98" s="65">
        <f>'S01-4 - SO 01 - UK'!F34</f>
        <v>7888.36</v>
      </c>
      <c r="BB98" s="65">
        <f>'S01-4 - SO 01 - UK'!F35</f>
        <v>0</v>
      </c>
      <c r="BC98" s="65">
        <f>'S01-4 - SO 01 - UK'!F36</f>
        <v>0</v>
      </c>
      <c r="BD98" s="67">
        <f>'S01-4 - SO 01 - UK'!F37</f>
        <v>0</v>
      </c>
      <c r="BE98" s="437"/>
      <c r="BG98" s="575"/>
      <c r="BH98" s="437"/>
      <c r="BT98" s="68"/>
      <c r="BV98" s="68"/>
      <c r="BW98" s="68"/>
      <c r="BX98" s="68"/>
      <c r="CL98" s="68"/>
      <c r="CM98" s="68"/>
    </row>
    <row r="99" spans="1:91" s="6" customFormat="1" ht="17.55" customHeight="1" x14ac:dyDescent="0.2">
      <c r="A99" s="61" t="s">
        <v>59</v>
      </c>
      <c r="B99" s="62"/>
      <c r="C99" s="434"/>
      <c r="D99" s="1174" t="s">
        <v>73</v>
      </c>
      <c r="E99" s="1174"/>
      <c r="F99" s="1174"/>
      <c r="G99" s="1174"/>
      <c r="H99" s="1174"/>
      <c r="I99" s="432"/>
      <c r="J99" s="1170" t="s">
        <v>74</v>
      </c>
      <c r="K99" s="1170"/>
      <c r="L99" s="1170"/>
      <c r="M99" s="1170"/>
      <c r="N99" s="1170"/>
      <c r="O99" s="1170"/>
      <c r="P99" s="1170"/>
      <c r="Q99" s="1170"/>
      <c r="R99" s="1170"/>
      <c r="S99" s="1170"/>
      <c r="T99" s="1170"/>
      <c r="U99" s="1170"/>
      <c r="V99" s="1170"/>
      <c r="W99" s="1170"/>
      <c r="X99" s="1170"/>
      <c r="Y99" s="1170"/>
      <c r="Z99" s="1170"/>
      <c r="AA99" s="1170"/>
      <c r="AB99" s="1170"/>
      <c r="AC99" s="1170"/>
      <c r="AD99" s="1170"/>
      <c r="AE99" s="1170"/>
      <c r="AF99" s="1170"/>
      <c r="AG99" s="1171">
        <f>'S01-5 - SO 01 - Urgentný ...'!J30</f>
        <v>183936.62</v>
      </c>
      <c r="AH99" s="1172"/>
      <c r="AI99" s="1172"/>
      <c r="AJ99" s="1172"/>
      <c r="AK99" s="1172"/>
      <c r="AL99" s="1172"/>
      <c r="AM99" s="1172"/>
      <c r="AN99" s="1178">
        <f>'S01-5 - SO 01 - Urgentný ...'!AE30</f>
        <v>213990.81</v>
      </c>
      <c r="AO99" s="1179"/>
      <c r="AP99" s="1180"/>
      <c r="AQ99" s="63" t="s">
        <v>62</v>
      </c>
      <c r="AR99" s="430" t="s">
        <v>6805</v>
      </c>
      <c r="AS99" s="64">
        <v>0</v>
      </c>
      <c r="AT99" s="65">
        <f t="shared" si="0"/>
        <v>36787.32</v>
      </c>
      <c r="AU99" s="66">
        <f>'S01-5 - SO 01 - Urgentný ...'!P117</f>
        <v>0</v>
      </c>
      <c r="AV99" s="65">
        <f>'S01-5 - SO 01 - Urgentný ...'!J33</f>
        <v>36787.32</v>
      </c>
      <c r="AW99" s="65">
        <f>'S01-5 - SO 01 - Urgentný ...'!J34</f>
        <v>0</v>
      </c>
      <c r="AX99" s="65">
        <f>'S01-5 - SO 01 - Urgentný ...'!J35</f>
        <v>0</v>
      </c>
      <c r="AY99" s="65">
        <f>'S01-5 - SO 01 - Urgentný ...'!J36</f>
        <v>0</v>
      </c>
      <c r="AZ99" s="65">
        <f>'S01-5 - SO 01 - Urgentný ...'!F33</f>
        <v>183936.62</v>
      </c>
      <c r="BA99" s="65">
        <f>'S01-5 - SO 01 - Urgentný ...'!F34</f>
        <v>0</v>
      </c>
      <c r="BB99" s="65">
        <f>'S01-5 - SO 01 - Urgentný ...'!F35</f>
        <v>0</v>
      </c>
      <c r="BC99" s="65">
        <f>'S01-5 - SO 01 - Urgentný ...'!F36</f>
        <v>0</v>
      </c>
      <c r="BD99" s="67">
        <f>'S01-5 - SO 01 - Urgentný ...'!F37</f>
        <v>0</v>
      </c>
      <c r="BE99" s="437"/>
      <c r="BT99" s="68"/>
      <c r="BV99" s="68"/>
      <c r="BW99" s="68"/>
      <c r="BX99" s="68"/>
      <c r="CL99" s="68"/>
      <c r="CM99" s="68"/>
    </row>
    <row r="100" spans="1:91" s="6" customFormat="1" ht="17.55" customHeight="1" x14ac:dyDescent="0.2">
      <c r="A100" s="61" t="s">
        <v>59</v>
      </c>
      <c r="B100" s="62"/>
      <c r="C100" s="434"/>
      <c r="D100" s="1174" t="s">
        <v>77</v>
      </c>
      <c r="E100" s="1174"/>
      <c r="F100" s="1174"/>
      <c r="G100" s="1174"/>
      <c r="H100" s="1174"/>
      <c r="I100" s="432"/>
      <c r="J100" s="1170" t="s">
        <v>78</v>
      </c>
      <c r="K100" s="1170"/>
      <c r="L100" s="1170"/>
      <c r="M100" s="1170"/>
      <c r="N100" s="1170"/>
      <c r="O100" s="1170"/>
      <c r="P100" s="1170"/>
      <c r="Q100" s="1170"/>
      <c r="R100" s="1170"/>
      <c r="S100" s="1170"/>
      <c r="T100" s="1170"/>
      <c r="U100" s="1170"/>
      <c r="V100" s="1170"/>
      <c r="W100" s="1170"/>
      <c r="X100" s="1170"/>
      <c r="Y100" s="1170"/>
      <c r="Z100" s="1170"/>
      <c r="AA100" s="1170"/>
      <c r="AB100" s="1170"/>
      <c r="AC100" s="1170"/>
      <c r="AD100" s="1170"/>
      <c r="AE100" s="1170"/>
      <c r="AF100" s="1170"/>
      <c r="AG100" s="1171">
        <f>'S01-51 - SO 01 - Urgentný...'!J30</f>
        <v>29576.080000000002</v>
      </c>
      <c r="AH100" s="1172"/>
      <c r="AI100" s="1172"/>
      <c r="AJ100" s="1172"/>
      <c r="AK100" s="1172"/>
      <c r="AL100" s="1172"/>
      <c r="AM100" s="1172"/>
      <c r="AN100" s="1178">
        <f>'S01-51 - SO 01 - Urgentný...'!AE117</f>
        <v>38990.920000000013</v>
      </c>
      <c r="AO100" s="1179"/>
      <c r="AP100" s="1180"/>
      <c r="AQ100" s="63" t="s">
        <v>62</v>
      </c>
      <c r="AR100" s="430">
        <v>21.22</v>
      </c>
      <c r="AS100" s="64">
        <v>0</v>
      </c>
      <c r="AT100" s="65">
        <f t="shared" si="0"/>
        <v>5915.22</v>
      </c>
      <c r="AU100" s="66">
        <f>'S01-51 - SO 01 - Urgentný...'!P117</f>
        <v>0</v>
      </c>
      <c r="AV100" s="65">
        <f>'S01-51 - SO 01 - Urgentný...'!J33</f>
        <v>5915.22</v>
      </c>
      <c r="AW100" s="65">
        <f>'S01-51 - SO 01 - Urgentný...'!J34</f>
        <v>0</v>
      </c>
      <c r="AX100" s="65">
        <f>'S01-51 - SO 01 - Urgentný...'!J35</f>
        <v>0</v>
      </c>
      <c r="AY100" s="65">
        <f>'S01-51 - SO 01 - Urgentný...'!J36</f>
        <v>0</v>
      </c>
      <c r="AZ100" s="65">
        <f>'S01-51 - SO 01 - Urgentný...'!F33</f>
        <v>29576.080000000002</v>
      </c>
      <c r="BA100" s="65">
        <f>'S01-51 - SO 01 - Urgentný...'!F34</f>
        <v>0</v>
      </c>
      <c r="BB100" s="65">
        <f>'S01-51 - SO 01 - Urgentný...'!F35</f>
        <v>0</v>
      </c>
      <c r="BC100" s="65">
        <f>'S01-51 - SO 01 - Urgentný...'!F36</f>
        <v>0</v>
      </c>
      <c r="BD100" s="67">
        <f>'S01-51 - SO 01 - Urgentný...'!F37</f>
        <v>0</v>
      </c>
      <c r="BE100" s="437"/>
      <c r="BT100" s="68"/>
      <c r="BV100" s="68"/>
      <c r="BW100" s="68"/>
      <c r="BX100" s="68"/>
      <c r="CL100" s="68"/>
      <c r="CM100" s="68"/>
    </row>
    <row r="101" spans="1:91" s="6" customFormat="1" ht="17.55" customHeight="1" x14ac:dyDescent="0.2">
      <c r="A101" s="61" t="s">
        <v>59</v>
      </c>
      <c r="B101" s="62"/>
      <c r="C101" s="434"/>
      <c r="D101" s="1174" t="s">
        <v>80</v>
      </c>
      <c r="E101" s="1174"/>
      <c r="F101" s="1174"/>
      <c r="G101" s="1174"/>
      <c r="H101" s="1174"/>
      <c r="I101" s="432"/>
      <c r="J101" s="1170" t="s">
        <v>81</v>
      </c>
      <c r="K101" s="1170"/>
      <c r="L101" s="1170"/>
      <c r="M101" s="1170"/>
      <c r="N101" s="1170"/>
      <c r="O101" s="1170"/>
      <c r="P101" s="1170"/>
      <c r="Q101" s="1170"/>
      <c r="R101" s="1170"/>
      <c r="S101" s="1170"/>
      <c r="T101" s="1170"/>
      <c r="U101" s="1170"/>
      <c r="V101" s="1170"/>
      <c r="W101" s="1170"/>
      <c r="X101" s="1170"/>
      <c r="Y101" s="1170"/>
      <c r="Z101" s="1170"/>
      <c r="AA101" s="1170"/>
      <c r="AB101" s="1170"/>
      <c r="AC101" s="1170"/>
      <c r="AD101" s="1170"/>
      <c r="AE101" s="1170"/>
      <c r="AF101" s="1170"/>
      <c r="AG101" s="1171">
        <f>'S01-6 - SO 01 - Urgentný ...'!J30</f>
        <v>87023.54</v>
      </c>
      <c r="AH101" s="1172"/>
      <c r="AI101" s="1172"/>
      <c r="AJ101" s="1172"/>
      <c r="AK101" s="1172"/>
      <c r="AL101" s="1172"/>
      <c r="AM101" s="1172"/>
      <c r="AN101" s="1178">
        <f>'S01-6 - SO 01 - Urgentný ...'!AE30</f>
        <v>92166.18</v>
      </c>
      <c r="AO101" s="1179"/>
      <c r="AP101" s="1180"/>
      <c r="AQ101" s="63" t="s">
        <v>62</v>
      </c>
      <c r="AR101" s="430">
        <v>6</v>
      </c>
      <c r="AS101" s="64">
        <v>0</v>
      </c>
      <c r="AT101" s="65">
        <f t="shared" si="0"/>
        <v>17404.71</v>
      </c>
      <c r="AU101" s="66" t="e">
        <f>'S01-6 - SO 01 - Urgentný ...'!P163</f>
        <v>#REF!</v>
      </c>
      <c r="AV101" s="65">
        <f>'S01-6 - SO 01 - Urgentný ...'!J33</f>
        <v>0</v>
      </c>
      <c r="AW101" s="65">
        <f>'S01-6 - SO 01 - Urgentný ...'!J34</f>
        <v>17404.707999999999</v>
      </c>
      <c r="AX101" s="65">
        <f>'S01-6 - SO 01 - Urgentný ...'!J35</f>
        <v>0</v>
      </c>
      <c r="AY101" s="65">
        <f>'S01-6 - SO 01 - Urgentný ...'!J36</f>
        <v>0</v>
      </c>
      <c r="AZ101" s="65">
        <f>'S01-6 - SO 01 - Urgentný ...'!F33</f>
        <v>0</v>
      </c>
      <c r="BA101" s="65">
        <f>'S01-6 - SO 01 - Urgentný ...'!F34</f>
        <v>87023.54</v>
      </c>
      <c r="BB101" s="65">
        <f>'S01-6 - SO 01 - Urgentný ...'!F35</f>
        <v>0</v>
      </c>
      <c r="BC101" s="65">
        <f>'S01-6 - SO 01 - Urgentný ...'!F36</f>
        <v>0</v>
      </c>
      <c r="BD101" s="67">
        <f>'S01-6 - SO 01 - Urgentný ...'!F37</f>
        <v>0</v>
      </c>
      <c r="BE101" s="437"/>
      <c r="BT101" s="68"/>
      <c r="BV101" s="68"/>
      <c r="BW101" s="68"/>
      <c r="BX101" s="68"/>
      <c r="CL101" s="68"/>
      <c r="CM101" s="68"/>
    </row>
    <row r="102" spans="1:91" s="6" customFormat="1" ht="17.55" customHeight="1" x14ac:dyDescent="0.2">
      <c r="A102" s="61" t="s">
        <v>59</v>
      </c>
      <c r="B102" s="62"/>
      <c r="C102" s="434"/>
      <c r="D102" s="1174" t="s">
        <v>83</v>
      </c>
      <c r="E102" s="1174"/>
      <c r="F102" s="1174"/>
      <c r="G102" s="1174"/>
      <c r="H102" s="1174"/>
      <c r="I102" s="432"/>
      <c r="J102" s="1170" t="s">
        <v>84</v>
      </c>
      <c r="K102" s="1170"/>
      <c r="L102" s="1170"/>
      <c r="M102" s="1170"/>
      <c r="N102" s="1170"/>
      <c r="O102" s="1170"/>
      <c r="P102" s="1170"/>
      <c r="Q102" s="1170"/>
      <c r="R102" s="1170"/>
      <c r="S102" s="1170"/>
      <c r="T102" s="1170"/>
      <c r="U102" s="1170"/>
      <c r="V102" s="1170"/>
      <c r="W102" s="1170"/>
      <c r="X102" s="1170"/>
      <c r="Y102" s="1170"/>
      <c r="Z102" s="1170"/>
      <c r="AA102" s="1170"/>
      <c r="AB102" s="1170"/>
      <c r="AC102" s="1170"/>
      <c r="AD102" s="1170"/>
      <c r="AE102" s="1170"/>
      <c r="AF102" s="1170"/>
      <c r="AG102" s="1171">
        <f>'SO01-7.0 - SO 01-7 - Čist...'!J30</f>
        <v>2500</v>
      </c>
      <c r="AH102" s="1172"/>
      <c r="AI102" s="1172"/>
      <c r="AJ102" s="1172"/>
      <c r="AK102" s="1172"/>
      <c r="AL102" s="1172"/>
      <c r="AM102" s="1172"/>
      <c r="AN102" s="1171">
        <f>AG102</f>
        <v>2500</v>
      </c>
      <c r="AO102" s="1172"/>
      <c r="AP102" s="1181"/>
      <c r="AQ102" s="63" t="s">
        <v>62</v>
      </c>
      <c r="AR102" s="430"/>
      <c r="AS102" s="64">
        <v>0</v>
      </c>
      <c r="AT102" s="65">
        <f t="shared" si="0"/>
        <v>500</v>
      </c>
      <c r="AU102" s="66">
        <f>'SO01-7.0 - SO 01-7 - Čist...'!P117</f>
        <v>0</v>
      </c>
      <c r="AV102" s="65">
        <f>'SO01-7.0 - SO 01-7 - Čist...'!J33</f>
        <v>0</v>
      </c>
      <c r="AW102" s="65">
        <f>'SO01-7.0 - SO 01-7 - Čist...'!J34</f>
        <v>500</v>
      </c>
      <c r="AX102" s="65">
        <f>'SO01-7.0 - SO 01-7 - Čist...'!J35</f>
        <v>0</v>
      </c>
      <c r="AY102" s="65">
        <f>'SO01-7.0 - SO 01-7 - Čist...'!J36</f>
        <v>0</v>
      </c>
      <c r="AZ102" s="65">
        <f>'SO01-7.0 - SO 01-7 - Čist...'!F33</f>
        <v>0</v>
      </c>
      <c r="BA102" s="65">
        <f>'SO01-7.0 - SO 01-7 - Čist...'!F34</f>
        <v>2500</v>
      </c>
      <c r="BB102" s="65">
        <f>'SO01-7.0 - SO 01-7 - Čist...'!F35</f>
        <v>0</v>
      </c>
      <c r="BC102" s="65">
        <f>'SO01-7.0 - SO 01-7 - Čist...'!F36</f>
        <v>0</v>
      </c>
      <c r="BD102" s="67">
        <f>'SO01-7.0 - SO 01-7 - Čist...'!F37</f>
        <v>0</v>
      </c>
      <c r="BE102" s="437"/>
      <c r="BT102" s="68"/>
      <c r="BV102" s="68"/>
      <c r="BW102" s="68"/>
      <c r="BX102" s="68"/>
      <c r="CL102" s="68"/>
      <c r="CM102" s="68"/>
    </row>
    <row r="103" spans="1:91" s="6" customFormat="1" ht="17.55" customHeight="1" x14ac:dyDescent="0.2">
      <c r="A103" s="61" t="s">
        <v>59</v>
      </c>
      <c r="B103" s="62"/>
      <c r="C103" s="434"/>
      <c r="D103" s="1174" t="s">
        <v>86</v>
      </c>
      <c r="E103" s="1174"/>
      <c r="F103" s="1174"/>
      <c r="G103" s="1174"/>
      <c r="H103" s="1174"/>
      <c r="I103" s="432"/>
      <c r="J103" s="1170" t="s">
        <v>87</v>
      </c>
      <c r="K103" s="1170"/>
      <c r="L103" s="1170"/>
      <c r="M103" s="1170"/>
      <c r="N103" s="1170"/>
      <c r="O103" s="1170"/>
      <c r="P103" s="1170"/>
      <c r="Q103" s="1170"/>
      <c r="R103" s="1170"/>
      <c r="S103" s="1170"/>
      <c r="T103" s="1170"/>
      <c r="U103" s="1170"/>
      <c r="V103" s="1170"/>
      <c r="W103" s="1170"/>
      <c r="X103" s="1170"/>
      <c r="Y103" s="1170"/>
      <c r="Z103" s="1170"/>
      <c r="AA103" s="1170"/>
      <c r="AB103" s="1170"/>
      <c r="AC103" s="1170"/>
      <c r="AD103" s="1170"/>
      <c r="AE103" s="1170"/>
      <c r="AF103" s="1170"/>
      <c r="AG103" s="1171">
        <f>'S01-7.1 - SO 01-71 - Vsta...'!J30</f>
        <v>53474.21</v>
      </c>
      <c r="AH103" s="1172"/>
      <c r="AI103" s="1172"/>
      <c r="AJ103" s="1172"/>
      <c r="AK103" s="1172"/>
      <c r="AL103" s="1172"/>
      <c r="AM103" s="1172"/>
      <c r="AN103" s="1178">
        <f>'S01-7.1 - SO 01-71 - Vsta...'!AE30</f>
        <v>52548.6</v>
      </c>
      <c r="AO103" s="1179"/>
      <c r="AP103" s="1180"/>
      <c r="AQ103" s="63" t="s">
        <v>62</v>
      </c>
      <c r="AR103" s="430" t="s">
        <v>6371</v>
      </c>
      <c r="AS103" s="64">
        <v>0</v>
      </c>
      <c r="AT103" s="65">
        <f t="shared" si="0"/>
        <v>10694.84</v>
      </c>
      <c r="AU103" s="66">
        <f>'S01-7.1 - SO 01-71 - Vsta...'!P120</f>
        <v>0</v>
      </c>
      <c r="AV103" s="65">
        <f>'S01-7.1 - SO 01-71 - Vsta...'!J33</f>
        <v>0</v>
      </c>
      <c r="AW103" s="65">
        <f>'S01-7.1 - SO 01-71 - Vsta...'!J34</f>
        <v>10694.84</v>
      </c>
      <c r="AX103" s="65">
        <f>'S01-7.1 - SO 01-71 - Vsta...'!J35</f>
        <v>0</v>
      </c>
      <c r="AY103" s="65">
        <f>'S01-7.1 - SO 01-71 - Vsta...'!J36</f>
        <v>0</v>
      </c>
      <c r="AZ103" s="65">
        <f>'S01-7.1 - SO 01-71 - Vsta...'!F33</f>
        <v>0</v>
      </c>
      <c r="BA103" s="65">
        <f>'S01-7.1 - SO 01-71 - Vsta...'!F34</f>
        <v>53474.21</v>
      </c>
      <c r="BB103" s="65">
        <f>'S01-7.1 - SO 01-71 - Vsta...'!F35</f>
        <v>0</v>
      </c>
      <c r="BC103" s="65">
        <f>'S01-7.1 - SO 01-71 - Vsta...'!F36</f>
        <v>0</v>
      </c>
      <c r="BD103" s="67">
        <f>'S01-7.1 - SO 01-71 - Vsta...'!F37</f>
        <v>0</v>
      </c>
      <c r="BE103" s="437"/>
      <c r="BT103" s="68"/>
      <c r="BV103" s="68"/>
      <c r="BW103" s="68"/>
      <c r="BX103" s="68"/>
      <c r="CL103" s="68"/>
      <c r="CM103" s="68"/>
    </row>
    <row r="104" spans="1:91" s="6" customFormat="1" ht="17.55" customHeight="1" x14ac:dyDescent="0.2">
      <c r="A104" s="61" t="s">
        <v>59</v>
      </c>
      <c r="B104" s="62"/>
      <c r="C104" s="434"/>
      <c r="D104" s="1174" t="s">
        <v>89</v>
      </c>
      <c r="E104" s="1174"/>
      <c r="F104" s="1174"/>
      <c r="G104" s="1174"/>
      <c r="H104" s="1174"/>
      <c r="I104" s="432"/>
      <c r="J104" s="1170" t="s">
        <v>5199</v>
      </c>
      <c r="K104" s="1170"/>
      <c r="L104" s="1170"/>
      <c r="M104" s="1170"/>
      <c r="N104" s="1170"/>
      <c r="O104" s="1170"/>
      <c r="P104" s="1170"/>
      <c r="Q104" s="1170"/>
      <c r="R104" s="1170"/>
      <c r="S104" s="1170"/>
      <c r="T104" s="1170"/>
      <c r="U104" s="1170"/>
      <c r="V104" s="1170"/>
      <c r="W104" s="1170"/>
      <c r="X104" s="1170"/>
      <c r="Y104" s="1170"/>
      <c r="Z104" s="1170"/>
      <c r="AA104" s="1170"/>
      <c r="AB104" s="1170"/>
      <c r="AC104" s="1170"/>
      <c r="AD104" s="1170"/>
      <c r="AE104" s="1170"/>
      <c r="AF104" s="1170"/>
      <c r="AG104" s="1171">
        <f>'S01-7.2 - SO 01-72 - Zdra...'!J30</f>
        <v>50782.15</v>
      </c>
      <c r="AH104" s="1172"/>
      <c r="AI104" s="1172"/>
      <c r="AJ104" s="1172"/>
      <c r="AK104" s="1172"/>
      <c r="AL104" s="1172"/>
      <c r="AM104" s="1172"/>
      <c r="AN104" s="1171">
        <f t="shared" ref="AN104:AN107" si="1">AG104</f>
        <v>50782.15</v>
      </c>
      <c r="AO104" s="1172"/>
      <c r="AP104" s="1181"/>
      <c r="AQ104" s="63" t="s">
        <v>62</v>
      </c>
      <c r="AR104" s="430"/>
      <c r="AS104" s="64">
        <v>0</v>
      </c>
      <c r="AT104" s="65">
        <f t="shared" si="0"/>
        <v>10156.43</v>
      </c>
      <c r="AU104" s="66">
        <f>'S01-7.2 - SO 01-72 - Zdra...'!P117</f>
        <v>0</v>
      </c>
      <c r="AV104" s="65">
        <f>'S01-7.2 - SO 01-72 - Zdra...'!J33</f>
        <v>0</v>
      </c>
      <c r="AW104" s="65">
        <f>'S01-7.2 - SO 01-72 - Zdra...'!J34</f>
        <v>10156.43</v>
      </c>
      <c r="AX104" s="65">
        <f>'S01-7.2 - SO 01-72 - Zdra...'!J35</f>
        <v>0</v>
      </c>
      <c r="AY104" s="65">
        <f>'S01-7.2 - SO 01-72 - Zdra...'!J36</f>
        <v>0</v>
      </c>
      <c r="AZ104" s="65">
        <f>'S01-7.2 - SO 01-72 - Zdra...'!F33</f>
        <v>0</v>
      </c>
      <c r="BA104" s="65">
        <f>'S01-7.2 - SO 01-72 - Zdra...'!F34</f>
        <v>50782.15</v>
      </c>
      <c r="BB104" s="65">
        <f>'S01-7.2 - SO 01-72 - Zdra...'!F35</f>
        <v>0</v>
      </c>
      <c r="BC104" s="65">
        <f>'S01-7.2 - SO 01-72 - Zdra...'!F36</f>
        <v>0</v>
      </c>
      <c r="BD104" s="67">
        <f>'S01-7.2 - SO 01-72 - Zdra...'!F37</f>
        <v>0</v>
      </c>
      <c r="BT104" s="68"/>
      <c r="BV104" s="68"/>
      <c r="BW104" s="68"/>
      <c r="BX104" s="68"/>
      <c r="CL104" s="68"/>
      <c r="CM104" s="68"/>
    </row>
    <row r="105" spans="1:91" s="6" customFormat="1" ht="17.55" customHeight="1" x14ac:dyDescent="0.2">
      <c r="A105" s="61" t="s">
        <v>59</v>
      </c>
      <c r="B105" s="62"/>
      <c r="C105" s="434"/>
      <c r="D105" s="1174" t="s">
        <v>91</v>
      </c>
      <c r="E105" s="1174"/>
      <c r="F105" s="1174"/>
      <c r="G105" s="1174"/>
      <c r="H105" s="1174"/>
      <c r="I105" s="432"/>
      <c r="J105" s="1170" t="s">
        <v>92</v>
      </c>
      <c r="K105" s="1170"/>
      <c r="L105" s="1170"/>
      <c r="M105" s="1170"/>
      <c r="N105" s="1170"/>
      <c r="O105" s="1170"/>
      <c r="P105" s="1170"/>
      <c r="Q105" s="1170"/>
      <c r="R105" s="1170"/>
      <c r="S105" s="1170"/>
      <c r="T105" s="1170"/>
      <c r="U105" s="1170"/>
      <c r="V105" s="1170"/>
      <c r="W105" s="1170"/>
      <c r="X105" s="1170"/>
      <c r="Y105" s="1170"/>
      <c r="Z105" s="1170"/>
      <c r="AA105" s="1170"/>
      <c r="AB105" s="1170"/>
      <c r="AC105" s="1170"/>
      <c r="AD105" s="1170"/>
      <c r="AE105" s="1170"/>
      <c r="AF105" s="1170"/>
      <c r="AG105" s="1171">
        <f>'S01-7.3 - SO 01-73 - Vzdu...'!J30</f>
        <v>52437.87</v>
      </c>
      <c r="AH105" s="1172"/>
      <c r="AI105" s="1172"/>
      <c r="AJ105" s="1172"/>
      <c r="AK105" s="1172"/>
      <c r="AL105" s="1172"/>
      <c r="AM105" s="1172"/>
      <c r="AN105" s="1171">
        <f t="shared" si="1"/>
        <v>52437.87</v>
      </c>
      <c r="AO105" s="1172"/>
      <c r="AP105" s="1181"/>
      <c r="AQ105" s="63" t="s">
        <v>62</v>
      </c>
      <c r="AR105" s="430"/>
      <c r="AS105" s="64">
        <v>0</v>
      </c>
      <c r="AT105" s="65">
        <f t="shared" si="0"/>
        <v>10487.57</v>
      </c>
      <c r="AU105" s="66">
        <f>'S01-7.3 - SO 01-73 - Vzdu...'!P117</f>
        <v>0</v>
      </c>
      <c r="AV105" s="65">
        <f>'S01-7.3 - SO 01-73 - Vzdu...'!J33</f>
        <v>0</v>
      </c>
      <c r="AW105" s="65">
        <f>'S01-7.3 - SO 01-73 - Vzdu...'!J34</f>
        <v>10487.57</v>
      </c>
      <c r="AX105" s="65">
        <f>'S01-7.3 - SO 01-73 - Vzdu...'!J35</f>
        <v>0</v>
      </c>
      <c r="AY105" s="65">
        <f>'S01-7.3 - SO 01-73 - Vzdu...'!J36</f>
        <v>0</v>
      </c>
      <c r="AZ105" s="65">
        <f>'S01-7.3 - SO 01-73 - Vzdu...'!F33</f>
        <v>0</v>
      </c>
      <c r="BA105" s="65">
        <f>'S01-7.3 - SO 01-73 - Vzdu...'!F34</f>
        <v>52437.87</v>
      </c>
      <c r="BB105" s="65">
        <f>'S01-7.3 - SO 01-73 - Vzdu...'!F35</f>
        <v>0</v>
      </c>
      <c r="BC105" s="65">
        <f>'S01-7.3 - SO 01-73 - Vzdu...'!F36</f>
        <v>0</v>
      </c>
      <c r="BD105" s="67">
        <f>'S01-7.3 - SO 01-73 - Vzdu...'!F37</f>
        <v>0</v>
      </c>
      <c r="BE105" s="437"/>
      <c r="BT105" s="68"/>
      <c r="BV105" s="68"/>
      <c r="BW105" s="68"/>
      <c r="BX105" s="68"/>
      <c r="CL105" s="68"/>
      <c r="CM105" s="68"/>
    </row>
    <row r="106" spans="1:91" s="6" customFormat="1" ht="17.55" customHeight="1" x14ac:dyDescent="0.2">
      <c r="A106" s="61" t="s">
        <v>59</v>
      </c>
      <c r="B106" s="62"/>
      <c r="C106" s="434"/>
      <c r="D106" s="1174" t="s">
        <v>94</v>
      </c>
      <c r="E106" s="1174"/>
      <c r="F106" s="1174"/>
      <c r="G106" s="1174"/>
      <c r="H106" s="1174"/>
      <c r="I106" s="432"/>
      <c r="J106" s="1170" t="s">
        <v>95</v>
      </c>
      <c r="K106" s="1170"/>
      <c r="L106" s="1170"/>
      <c r="M106" s="1170"/>
      <c r="N106" s="1170"/>
      <c r="O106" s="1170"/>
      <c r="P106" s="1170"/>
      <c r="Q106" s="1170"/>
      <c r="R106" s="1170"/>
      <c r="S106" s="1170"/>
      <c r="T106" s="1170"/>
      <c r="U106" s="1170"/>
      <c r="V106" s="1170"/>
      <c r="W106" s="1170"/>
      <c r="X106" s="1170"/>
      <c r="Y106" s="1170"/>
      <c r="Z106" s="1170"/>
      <c r="AA106" s="1170"/>
      <c r="AB106" s="1170"/>
      <c r="AC106" s="1170"/>
      <c r="AD106" s="1170"/>
      <c r="AE106" s="1170"/>
      <c r="AF106" s="1170"/>
      <c r="AG106" s="1171">
        <f>'S01-7.4 - SO 01-74 - Trub...'!J30</f>
        <v>9498.2099999999991</v>
      </c>
      <c r="AH106" s="1172"/>
      <c r="AI106" s="1172"/>
      <c r="AJ106" s="1172"/>
      <c r="AK106" s="1172"/>
      <c r="AL106" s="1172"/>
      <c r="AM106" s="1172"/>
      <c r="AN106" s="1168">
        <f t="shared" si="1"/>
        <v>9498.2099999999991</v>
      </c>
      <c r="AO106" s="1169"/>
      <c r="AP106" s="1197"/>
      <c r="AQ106" s="63" t="s">
        <v>62</v>
      </c>
      <c r="AR106" s="430"/>
      <c r="AS106" s="64">
        <v>0</v>
      </c>
      <c r="AT106" s="65">
        <f t="shared" si="0"/>
        <v>1899.64</v>
      </c>
      <c r="AU106" s="66">
        <f>'S01-7.4 - SO 01-74 - Trub...'!P120</f>
        <v>0</v>
      </c>
      <c r="AV106" s="65">
        <f>'S01-7.4 - SO 01-74 - Trub...'!J33</f>
        <v>0</v>
      </c>
      <c r="AW106" s="65">
        <f>'S01-7.4 - SO 01-74 - Trub...'!J34</f>
        <v>1899.64</v>
      </c>
      <c r="AX106" s="65">
        <f>'S01-7.4 - SO 01-74 - Trub...'!J35</f>
        <v>0</v>
      </c>
      <c r="AY106" s="65">
        <f>'S01-7.4 - SO 01-74 - Trub...'!J36</f>
        <v>0</v>
      </c>
      <c r="AZ106" s="65">
        <f>'S01-7.4 - SO 01-74 - Trub...'!F33</f>
        <v>0</v>
      </c>
      <c r="BA106" s="65">
        <f>'S01-7.4 - SO 01-74 - Trub...'!F34</f>
        <v>9498.2099999999991</v>
      </c>
      <c r="BB106" s="65">
        <f>'S01-7.4 - SO 01-74 - Trub...'!F35</f>
        <v>0</v>
      </c>
      <c r="BC106" s="65">
        <f>'S01-7.4 - SO 01-74 - Trub...'!F36</f>
        <v>0</v>
      </c>
      <c r="BD106" s="67">
        <f>'S01-7.4 - SO 01-74 - Trub...'!F37</f>
        <v>0</v>
      </c>
      <c r="BE106" s="437"/>
      <c r="BT106" s="68"/>
      <c r="BV106" s="68"/>
      <c r="BW106" s="68"/>
      <c r="BX106" s="68"/>
      <c r="CL106" s="68"/>
      <c r="CM106" s="68"/>
    </row>
    <row r="107" spans="1:91" s="6" customFormat="1" ht="17.55" customHeight="1" x14ac:dyDescent="0.2">
      <c r="A107" s="61" t="s">
        <v>59</v>
      </c>
      <c r="B107" s="62"/>
      <c r="C107" s="434"/>
      <c r="D107" s="1174" t="s">
        <v>97</v>
      </c>
      <c r="E107" s="1174"/>
      <c r="F107" s="1174"/>
      <c r="G107" s="1174"/>
      <c r="H107" s="1174"/>
      <c r="I107" s="432"/>
      <c r="J107" s="1170" t="s">
        <v>98</v>
      </c>
      <c r="K107" s="1170"/>
      <c r="L107" s="1170"/>
      <c r="M107" s="1170"/>
      <c r="N107" s="1170"/>
      <c r="O107" s="1170"/>
      <c r="P107" s="1170"/>
      <c r="Q107" s="1170"/>
      <c r="R107" s="1170"/>
      <c r="S107" s="1170"/>
      <c r="T107" s="1170"/>
      <c r="U107" s="1170"/>
      <c r="V107" s="1170"/>
      <c r="W107" s="1170"/>
      <c r="X107" s="1170"/>
      <c r="Y107" s="1170"/>
      <c r="Z107" s="1170"/>
      <c r="AA107" s="1170"/>
      <c r="AB107" s="1170"/>
      <c r="AC107" s="1170"/>
      <c r="AD107" s="1170"/>
      <c r="AE107" s="1170"/>
      <c r="AF107" s="1170"/>
      <c r="AG107" s="1168">
        <f>'S01-7.5 - SO 01-75 - ELI'!J30</f>
        <v>14356.9</v>
      </c>
      <c r="AH107" s="1169"/>
      <c r="AI107" s="1169"/>
      <c r="AJ107" s="1169"/>
      <c r="AK107" s="1169"/>
      <c r="AL107" s="1169"/>
      <c r="AM107" s="1169"/>
      <c r="AN107" s="1171">
        <f t="shared" si="1"/>
        <v>14356.9</v>
      </c>
      <c r="AO107" s="1172"/>
      <c r="AP107" s="1181"/>
      <c r="AQ107" s="63" t="s">
        <v>62</v>
      </c>
      <c r="AR107" s="430"/>
      <c r="AS107" s="64">
        <v>0</v>
      </c>
      <c r="AT107" s="65">
        <f t="shared" si="0"/>
        <v>2871.38</v>
      </c>
      <c r="AU107" s="66">
        <f>'S01-7.5 - SO 01-75 - ELI'!P125</f>
        <v>0</v>
      </c>
      <c r="AV107" s="65">
        <f>'S01-7.5 - SO 01-75 - ELI'!J33</f>
        <v>0</v>
      </c>
      <c r="AW107" s="65">
        <f>'S01-7.5 - SO 01-75 - ELI'!J34</f>
        <v>2871.38</v>
      </c>
      <c r="AX107" s="65">
        <f>'S01-7.5 - SO 01-75 - ELI'!J35</f>
        <v>0</v>
      </c>
      <c r="AY107" s="65">
        <f>'S01-7.5 - SO 01-75 - ELI'!J36</f>
        <v>0</v>
      </c>
      <c r="AZ107" s="65">
        <f>'S01-7.5 - SO 01-75 - ELI'!F33</f>
        <v>0</v>
      </c>
      <c r="BA107" s="65">
        <f>'S01-7.5 - SO 01-75 - ELI'!F34</f>
        <v>14356.9</v>
      </c>
      <c r="BB107" s="65">
        <f>'S01-7.5 - SO 01-75 - ELI'!F35</f>
        <v>0</v>
      </c>
      <c r="BC107" s="65">
        <f>'S01-7.5 - SO 01-75 - ELI'!F36</f>
        <v>0</v>
      </c>
      <c r="BD107" s="67">
        <f>'S01-7.5 - SO 01-75 - ELI'!F37</f>
        <v>0</v>
      </c>
      <c r="BE107" s="437"/>
      <c r="BH107" s="437"/>
      <c r="BT107" s="68"/>
      <c r="BV107" s="68"/>
      <c r="BW107" s="68"/>
      <c r="BX107" s="68"/>
      <c r="CL107" s="68"/>
      <c r="CM107" s="68"/>
    </row>
    <row r="108" spans="1:91" s="6" customFormat="1" ht="17.55" customHeight="1" x14ac:dyDescent="0.2">
      <c r="A108" s="61" t="s">
        <v>59</v>
      </c>
      <c r="B108" s="62"/>
      <c r="C108" s="434"/>
      <c r="D108" s="1182" t="s">
        <v>100</v>
      </c>
      <c r="E108" s="1182"/>
      <c r="F108" s="1182"/>
      <c r="G108" s="1182"/>
      <c r="H108" s="1182"/>
      <c r="I108" s="433"/>
      <c r="J108" s="1198" t="s">
        <v>101</v>
      </c>
      <c r="K108" s="1198"/>
      <c r="L108" s="1198"/>
      <c r="M108" s="1198"/>
      <c r="N108" s="1198"/>
      <c r="O108" s="1198"/>
      <c r="P108" s="1198"/>
      <c r="Q108" s="1198"/>
      <c r="R108" s="1198"/>
      <c r="S108" s="1198"/>
      <c r="T108" s="1198"/>
      <c r="U108" s="1198"/>
      <c r="V108" s="1198"/>
      <c r="W108" s="1198"/>
      <c r="X108" s="1198"/>
      <c r="Y108" s="1198"/>
      <c r="Z108" s="1198"/>
      <c r="AA108" s="1198"/>
      <c r="AB108" s="1198"/>
      <c r="AC108" s="1198"/>
      <c r="AD108" s="1198"/>
      <c r="AE108" s="1198"/>
      <c r="AF108" s="1198"/>
      <c r="AG108" s="1183">
        <f>'S01-7.6 - SO 01-76 - MaR'!J30</f>
        <v>21926.83</v>
      </c>
      <c r="AH108" s="1184"/>
      <c r="AI108" s="1184"/>
      <c r="AJ108" s="1184"/>
      <c r="AK108" s="1184"/>
      <c r="AL108" s="1184"/>
      <c r="AM108" s="1184"/>
      <c r="AN108" s="1175">
        <f>AG108</f>
        <v>21926.83</v>
      </c>
      <c r="AO108" s="1176"/>
      <c r="AP108" s="1177"/>
      <c r="AQ108" s="63" t="s">
        <v>62</v>
      </c>
      <c r="AR108" s="430"/>
      <c r="AS108" s="64">
        <v>0</v>
      </c>
      <c r="AT108" s="65">
        <f t="shared" si="0"/>
        <v>4385.37</v>
      </c>
      <c r="AU108" s="66">
        <f>'S01-7.6 - SO 01-76 - MaR'!P125</f>
        <v>0</v>
      </c>
      <c r="AV108" s="65">
        <f>'S01-7.6 - SO 01-76 - MaR'!J33</f>
        <v>0</v>
      </c>
      <c r="AW108" s="65">
        <f>'S01-7.6 - SO 01-76 - MaR'!J34</f>
        <v>4385.37</v>
      </c>
      <c r="AX108" s="65">
        <f>'S01-7.6 - SO 01-76 - MaR'!J35</f>
        <v>0</v>
      </c>
      <c r="AY108" s="65">
        <f>'S01-7.6 - SO 01-76 - MaR'!J36</f>
        <v>0</v>
      </c>
      <c r="AZ108" s="65">
        <f>'S01-7.6 - SO 01-76 - MaR'!F33</f>
        <v>0</v>
      </c>
      <c r="BA108" s="65">
        <f>'S01-7.6 - SO 01-76 - MaR'!F34</f>
        <v>21926.83</v>
      </c>
      <c r="BB108" s="65">
        <f>'S01-7.6 - SO 01-76 - MaR'!F35</f>
        <v>0</v>
      </c>
      <c r="BC108" s="65">
        <f>'S01-7.6 - SO 01-76 - MaR'!F36</f>
        <v>0</v>
      </c>
      <c r="BD108" s="67">
        <f>'S01-7.6 - SO 01-76 - MaR'!F37</f>
        <v>0</v>
      </c>
      <c r="BH108" s="437"/>
      <c r="BT108" s="68"/>
      <c r="BV108" s="68"/>
      <c r="BW108" s="68"/>
      <c r="BX108" s="68"/>
      <c r="CL108" s="68"/>
      <c r="CM108" s="68"/>
    </row>
    <row r="109" spans="1:91" s="6" customFormat="1" ht="17.55" customHeight="1" x14ac:dyDescent="0.2">
      <c r="A109" s="61" t="s">
        <v>59</v>
      </c>
      <c r="B109" s="435"/>
      <c r="C109" s="436"/>
      <c r="D109" s="1173" t="s">
        <v>103</v>
      </c>
      <c r="E109" s="1173"/>
      <c r="F109" s="1173"/>
      <c r="G109" s="1173"/>
      <c r="H109" s="1173"/>
      <c r="I109" s="431"/>
      <c r="J109" s="1187" t="s">
        <v>104</v>
      </c>
      <c r="K109" s="1187"/>
      <c r="L109" s="1187"/>
      <c r="M109" s="1187"/>
      <c r="N109" s="1187"/>
      <c r="O109" s="1187"/>
      <c r="P109" s="1187"/>
      <c r="Q109" s="1187"/>
      <c r="R109" s="1187"/>
      <c r="S109" s="1187"/>
      <c r="T109" s="1187"/>
      <c r="U109" s="1187"/>
      <c r="V109" s="1187"/>
      <c r="W109" s="1187"/>
      <c r="X109" s="1187"/>
      <c r="Y109" s="1187"/>
      <c r="Z109" s="1187"/>
      <c r="AA109" s="1187"/>
      <c r="AB109" s="1187"/>
      <c r="AC109" s="1187"/>
      <c r="AD109" s="1187"/>
      <c r="AE109" s="1187"/>
      <c r="AF109" s="1187"/>
      <c r="AG109" s="1195">
        <f>'S02-1 - SO 02 - OAIM - ASR'!J30</f>
        <v>419853.09</v>
      </c>
      <c r="AH109" s="1196"/>
      <c r="AI109" s="1196"/>
      <c r="AJ109" s="1196"/>
      <c r="AK109" s="1196"/>
      <c r="AL109" s="1196"/>
      <c r="AM109" s="1196"/>
      <c r="AN109" s="1191">
        <f>'S02-1 - SO 02 - OAIM - ASR'!AE30</f>
        <v>540087.56000000006</v>
      </c>
      <c r="AO109" s="1192"/>
      <c r="AP109" s="1193"/>
      <c r="AQ109" s="63" t="s">
        <v>62</v>
      </c>
      <c r="AR109" s="430" t="s">
        <v>6806</v>
      </c>
      <c r="AS109" s="64">
        <v>0</v>
      </c>
      <c r="AT109" s="65">
        <f t="shared" si="0"/>
        <v>83970.62</v>
      </c>
      <c r="AU109" s="66">
        <f>'S02-1 - SO 02 - OAIM - ASR'!P142</f>
        <v>1124.69768881</v>
      </c>
      <c r="AV109" s="65">
        <f>'S02-1 - SO 02 - OAIM - ASR'!J33</f>
        <v>0</v>
      </c>
      <c r="AW109" s="65">
        <f>'S02-1 - SO 02 - OAIM - ASR'!J34</f>
        <v>83970.62</v>
      </c>
      <c r="AX109" s="65">
        <f>'S02-1 - SO 02 - OAIM - ASR'!J35</f>
        <v>0</v>
      </c>
      <c r="AY109" s="65">
        <f>'S02-1 - SO 02 - OAIM - ASR'!J36</f>
        <v>0</v>
      </c>
      <c r="AZ109" s="65">
        <f>'S02-1 - SO 02 - OAIM - ASR'!F33</f>
        <v>0</v>
      </c>
      <c r="BA109" s="65">
        <f>'S02-1 - SO 02 - OAIM - ASR'!F34</f>
        <v>419853.09</v>
      </c>
      <c r="BB109" s="65">
        <f>'S02-1 - SO 02 - OAIM - ASR'!F35</f>
        <v>0</v>
      </c>
      <c r="BC109" s="65">
        <f>'S02-1 - SO 02 - OAIM - ASR'!F36</f>
        <v>0</v>
      </c>
      <c r="BD109" s="67">
        <f>'S02-1 - SO 02 - OAIM - ASR'!F37</f>
        <v>0</v>
      </c>
      <c r="BE109" s="437"/>
      <c r="BH109" s="437"/>
      <c r="BT109" s="68"/>
      <c r="BV109" s="68"/>
      <c r="BW109" s="68"/>
      <c r="BX109" s="68"/>
      <c r="CL109" s="68"/>
      <c r="CM109" s="68"/>
    </row>
    <row r="110" spans="1:91" s="6" customFormat="1" ht="17.55" customHeight="1" x14ac:dyDescent="0.2">
      <c r="A110" s="61" t="s">
        <v>59</v>
      </c>
      <c r="B110" s="62"/>
      <c r="C110" s="434"/>
      <c r="D110" s="1174" t="s">
        <v>106</v>
      </c>
      <c r="E110" s="1174"/>
      <c r="F110" s="1174"/>
      <c r="G110" s="1174"/>
      <c r="H110" s="1174"/>
      <c r="I110" s="432"/>
      <c r="J110" s="1170" t="s">
        <v>107</v>
      </c>
      <c r="K110" s="1170"/>
      <c r="L110" s="1170"/>
      <c r="M110" s="1170"/>
      <c r="N110" s="1170"/>
      <c r="O110" s="1170"/>
      <c r="P110" s="1170"/>
      <c r="Q110" s="1170"/>
      <c r="R110" s="1170"/>
      <c r="S110" s="1170"/>
      <c r="T110" s="1170"/>
      <c r="U110" s="1170"/>
      <c r="V110" s="1170"/>
      <c r="W110" s="1170"/>
      <c r="X110" s="1170"/>
      <c r="Y110" s="1170"/>
      <c r="Z110" s="1170"/>
      <c r="AA110" s="1170"/>
      <c r="AB110" s="1170"/>
      <c r="AC110" s="1170"/>
      <c r="AD110" s="1170"/>
      <c r="AE110" s="1170"/>
      <c r="AF110" s="1170"/>
      <c r="AG110" s="1171">
        <f>'S02-2 - SO 02 - OAIM - ZTI'!J30</f>
        <v>18767.37</v>
      </c>
      <c r="AH110" s="1172"/>
      <c r="AI110" s="1172"/>
      <c r="AJ110" s="1172"/>
      <c r="AK110" s="1172"/>
      <c r="AL110" s="1172"/>
      <c r="AM110" s="1172"/>
      <c r="AN110" s="1178">
        <f>'S02-2 - SO 02 - OAIM - ZTI'!AE30</f>
        <v>40009.94</v>
      </c>
      <c r="AO110" s="1179"/>
      <c r="AP110" s="1180"/>
      <c r="AQ110" s="63" t="s">
        <v>62</v>
      </c>
      <c r="AR110" s="430" t="s">
        <v>6807</v>
      </c>
      <c r="AS110" s="64">
        <v>0</v>
      </c>
      <c r="AT110" s="65">
        <f t="shared" si="0"/>
        <v>3753.47</v>
      </c>
      <c r="AU110" s="66">
        <f>'S02-2 - SO 02 - OAIM - ZTI'!P129</f>
        <v>20.864712000000001</v>
      </c>
      <c r="AV110" s="65">
        <f>'S02-2 - SO 02 - OAIM - ZTI'!J33</f>
        <v>0</v>
      </c>
      <c r="AW110" s="65">
        <f>'S02-2 - SO 02 - OAIM - ZTI'!J34</f>
        <v>3753.47</v>
      </c>
      <c r="AX110" s="65">
        <f>'S02-2 - SO 02 - OAIM - ZTI'!J35</f>
        <v>0</v>
      </c>
      <c r="AY110" s="65">
        <f>'S02-2 - SO 02 - OAIM - ZTI'!J36</f>
        <v>0</v>
      </c>
      <c r="AZ110" s="65">
        <f>'S02-2 - SO 02 - OAIM - ZTI'!F33</f>
        <v>0</v>
      </c>
      <c r="BA110" s="65">
        <f>'S02-2 - SO 02 - OAIM - ZTI'!F34</f>
        <v>18767.37</v>
      </c>
      <c r="BB110" s="65">
        <f>'S02-2 - SO 02 - OAIM - ZTI'!F35</f>
        <v>0</v>
      </c>
      <c r="BC110" s="65">
        <f>'S02-2 - SO 02 - OAIM - ZTI'!F36</f>
        <v>0</v>
      </c>
      <c r="BD110" s="67">
        <f>'S02-2 - SO 02 - OAIM - ZTI'!F37</f>
        <v>0</v>
      </c>
      <c r="BE110" s="437"/>
      <c r="BH110" s="437"/>
      <c r="BT110" s="68"/>
      <c r="BV110" s="68"/>
      <c r="BW110" s="68"/>
      <c r="BX110" s="68"/>
      <c r="CL110" s="68"/>
      <c r="CM110" s="68"/>
    </row>
    <row r="111" spans="1:91" s="6" customFormat="1" ht="17.55" customHeight="1" x14ac:dyDescent="0.2">
      <c r="A111" s="61" t="s">
        <v>59</v>
      </c>
      <c r="B111" s="62"/>
      <c r="C111" s="434"/>
      <c r="D111" s="1174" t="s">
        <v>109</v>
      </c>
      <c r="E111" s="1174"/>
      <c r="F111" s="1174"/>
      <c r="G111" s="1174"/>
      <c r="H111" s="1174"/>
      <c r="I111" s="432"/>
      <c r="J111" s="1170" t="s">
        <v>110</v>
      </c>
      <c r="K111" s="1170"/>
      <c r="L111" s="1170"/>
      <c r="M111" s="1170"/>
      <c r="N111" s="1170"/>
      <c r="O111" s="1170"/>
      <c r="P111" s="1170"/>
      <c r="Q111" s="1170"/>
      <c r="R111" s="1170"/>
      <c r="S111" s="1170"/>
      <c r="T111" s="1170"/>
      <c r="U111" s="1170"/>
      <c r="V111" s="1170"/>
      <c r="W111" s="1170"/>
      <c r="X111" s="1170"/>
      <c r="Y111" s="1170"/>
      <c r="Z111" s="1170"/>
      <c r="AA111" s="1170"/>
      <c r="AB111" s="1170"/>
      <c r="AC111" s="1170"/>
      <c r="AD111" s="1170"/>
      <c r="AE111" s="1170"/>
      <c r="AF111" s="1170"/>
      <c r="AG111" s="1171">
        <f>'S02-3 - SO 02 - OAIM - MP'!J30</f>
        <v>11380.57</v>
      </c>
      <c r="AH111" s="1172"/>
      <c r="AI111" s="1172"/>
      <c r="AJ111" s="1172"/>
      <c r="AK111" s="1172"/>
      <c r="AL111" s="1172"/>
      <c r="AM111" s="1172"/>
      <c r="AN111" s="1171">
        <f>AG111</f>
        <v>11380.57</v>
      </c>
      <c r="AO111" s="1172"/>
      <c r="AP111" s="1181"/>
      <c r="AQ111" s="63" t="s">
        <v>62</v>
      </c>
      <c r="AR111" s="430"/>
      <c r="AS111" s="64">
        <v>0</v>
      </c>
      <c r="AT111" s="65">
        <f t="shared" si="0"/>
        <v>2276.11</v>
      </c>
      <c r="AU111" s="66" t="e">
        <f>'S02-3 - SO 02 - OAIM - MP'!P127</f>
        <v>#REF!</v>
      </c>
      <c r="AV111" s="65">
        <f>'S02-3 - SO 02 - OAIM - MP'!J33</f>
        <v>0</v>
      </c>
      <c r="AW111" s="65">
        <f>'S02-3 - SO 02 - OAIM - MP'!J34</f>
        <v>2276.11</v>
      </c>
      <c r="AX111" s="65">
        <f>'S02-3 - SO 02 - OAIM - MP'!J35</f>
        <v>0</v>
      </c>
      <c r="AY111" s="65">
        <f>'S02-3 - SO 02 - OAIM - MP'!J36</f>
        <v>0</v>
      </c>
      <c r="AZ111" s="65">
        <f>'S02-3 - SO 02 - OAIM - MP'!F33</f>
        <v>0</v>
      </c>
      <c r="BA111" s="65">
        <f>'S02-3 - SO 02 - OAIM - MP'!F34</f>
        <v>11380.57</v>
      </c>
      <c r="BB111" s="65">
        <f>'S02-3 - SO 02 - OAIM - MP'!F35</f>
        <v>0</v>
      </c>
      <c r="BC111" s="65">
        <f>'S02-3 - SO 02 - OAIM - MP'!F36</f>
        <v>0</v>
      </c>
      <c r="BD111" s="67">
        <f>'S02-3 - SO 02 - OAIM - MP'!F37</f>
        <v>0</v>
      </c>
      <c r="BE111" s="437"/>
      <c r="BT111" s="68"/>
      <c r="BV111" s="68"/>
      <c r="BW111" s="68"/>
      <c r="BX111" s="68"/>
      <c r="CL111" s="68"/>
      <c r="CM111" s="68"/>
    </row>
    <row r="112" spans="1:91" s="6" customFormat="1" ht="17.55" customHeight="1" x14ac:dyDescent="0.2">
      <c r="A112" s="61" t="s">
        <v>59</v>
      </c>
      <c r="B112" s="62"/>
      <c r="C112" s="434"/>
      <c r="D112" s="1174" t="s">
        <v>112</v>
      </c>
      <c r="E112" s="1174"/>
      <c r="F112" s="1174"/>
      <c r="G112" s="1174"/>
      <c r="H112" s="1174"/>
      <c r="I112" s="432"/>
      <c r="J112" s="1170" t="s">
        <v>113</v>
      </c>
      <c r="K112" s="1170"/>
      <c r="L112" s="1170"/>
      <c r="M112" s="1170"/>
      <c r="N112" s="1170"/>
      <c r="O112" s="1170"/>
      <c r="P112" s="1170"/>
      <c r="Q112" s="1170"/>
      <c r="R112" s="1170"/>
      <c r="S112" s="1170"/>
      <c r="T112" s="1170"/>
      <c r="U112" s="1170"/>
      <c r="V112" s="1170"/>
      <c r="W112" s="1170"/>
      <c r="X112" s="1170"/>
      <c r="Y112" s="1170"/>
      <c r="Z112" s="1170"/>
      <c r="AA112" s="1170"/>
      <c r="AB112" s="1170"/>
      <c r="AC112" s="1170"/>
      <c r="AD112" s="1170"/>
      <c r="AE112" s="1170"/>
      <c r="AF112" s="1170"/>
      <c r="AG112" s="1168">
        <f>'S02-4 - SO 02 - UK'!J30</f>
        <v>44679.08</v>
      </c>
      <c r="AH112" s="1169"/>
      <c r="AI112" s="1169"/>
      <c r="AJ112" s="1169"/>
      <c r="AK112" s="1169"/>
      <c r="AL112" s="1169"/>
      <c r="AM112" s="1169"/>
      <c r="AN112" s="1178">
        <f>'S02-4 - SO 02 - UK'!AE30</f>
        <v>43818.67</v>
      </c>
      <c r="AO112" s="1179"/>
      <c r="AP112" s="1180"/>
      <c r="AQ112" s="63" t="s">
        <v>62</v>
      </c>
      <c r="AR112" s="430" t="s">
        <v>6808</v>
      </c>
      <c r="AS112" s="64">
        <v>0</v>
      </c>
      <c r="AT112" s="65">
        <f t="shared" si="0"/>
        <v>8935.82</v>
      </c>
      <c r="AU112" s="66" t="e">
        <f>'S02-4 - SO 02 - UK'!P161</f>
        <v>#REF!</v>
      </c>
      <c r="AV112" s="65">
        <f>'S02-4 - SO 02 - UK'!J33</f>
        <v>0</v>
      </c>
      <c r="AW112" s="65">
        <f>'S02-4 - SO 02 - UK'!J34</f>
        <v>8935.82</v>
      </c>
      <c r="AX112" s="65">
        <f>'S02-4 - SO 02 - UK'!J35</f>
        <v>0</v>
      </c>
      <c r="AY112" s="65">
        <f>'S02-4 - SO 02 - UK'!J36</f>
        <v>0</v>
      </c>
      <c r="AZ112" s="65">
        <f>'S02-4 - SO 02 - UK'!F33</f>
        <v>0</v>
      </c>
      <c r="BA112" s="65">
        <f>'S02-4 - SO 02 - UK'!F34</f>
        <v>44679.08</v>
      </c>
      <c r="BB112" s="65">
        <f>'S02-4 - SO 02 - UK'!F35</f>
        <v>0</v>
      </c>
      <c r="BC112" s="65">
        <f>'S02-4 - SO 02 - UK'!F36</f>
        <v>0</v>
      </c>
      <c r="BD112" s="67">
        <f>'S02-4 - SO 02 - UK'!F37</f>
        <v>0</v>
      </c>
      <c r="BE112" s="437"/>
      <c r="BT112" s="68"/>
      <c r="BV112" s="68"/>
      <c r="BW112" s="68"/>
      <c r="BX112" s="68"/>
      <c r="CL112" s="68"/>
      <c r="CM112" s="68"/>
    </row>
    <row r="113" spans="1:91" s="6" customFormat="1" ht="17.55" customHeight="1" x14ac:dyDescent="0.2">
      <c r="A113" s="61" t="s">
        <v>59</v>
      </c>
      <c r="B113" s="62"/>
      <c r="C113" s="434"/>
      <c r="D113" s="1174" t="s">
        <v>115</v>
      </c>
      <c r="E113" s="1174"/>
      <c r="F113" s="1174"/>
      <c r="G113" s="1174"/>
      <c r="H113" s="1174"/>
      <c r="I113" s="432"/>
      <c r="J113" s="1170" t="s">
        <v>116</v>
      </c>
      <c r="K113" s="1170"/>
      <c r="L113" s="1170"/>
      <c r="M113" s="1170"/>
      <c r="N113" s="1170"/>
      <c r="O113" s="1170"/>
      <c r="P113" s="1170"/>
      <c r="Q113" s="1170"/>
      <c r="R113" s="1170"/>
      <c r="S113" s="1170"/>
      <c r="T113" s="1170"/>
      <c r="U113" s="1170"/>
      <c r="V113" s="1170"/>
      <c r="W113" s="1170"/>
      <c r="X113" s="1170"/>
      <c r="Y113" s="1170"/>
      <c r="Z113" s="1170"/>
      <c r="AA113" s="1170"/>
      <c r="AB113" s="1170"/>
      <c r="AC113" s="1170"/>
      <c r="AD113" s="1170"/>
      <c r="AE113" s="1170"/>
      <c r="AF113" s="1170"/>
      <c r="AG113" s="1171">
        <f>'S02-5 - SO 02 - OAIM - ELI'!J30</f>
        <v>95224.91</v>
      </c>
      <c r="AH113" s="1172"/>
      <c r="AI113" s="1172"/>
      <c r="AJ113" s="1172"/>
      <c r="AK113" s="1172"/>
      <c r="AL113" s="1172"/>
      <c r="AM113" s="1172"/>
      <c r="AN113" s="1178">
        <f>'S02-5 - SO 02 - OAIM - ELI'!AE30</f>
        <v>119211.39</v>
      </c>
      <c r="AO113" s="1179"/>
      <c r="AP113" s="1180"/>
      <c r="AQ113" s="63" t="s">
        <v>62</v>
      </c>
      <c r="AR113" s="430">
        <v>2.29</v>
      </c>
      <c r="AS113" s="64">
        <v>0</v>
      </c>
      <c r="AT113" s="65">
        <f t="shared" si="0"/>
        <v>19044.98</v>
      </c>
      <c r="AU113" s="66">
        <f>'S02-5 - SO 02 - OAIM - ELI'!P118</f>
        <v>0</v>
      </c>
      <c r="AV113" s="65">
        <f>'S02-5 - SO 02 - OAIM - ELI'!J33</f>
        <v>0</v>
      </c>
      <c r="AW113" s="65">
        <f>'S02-5 - SO 02 - OAIM - ELI'!J34</f>
        <v>19044.98</v>
      </c>
      <c r="AX113" s="65">
        <f>'S02-5 - SO 02 - OAIM - ELI'!J35</f>
        <v>0</v>
      </c>
      <c r="AY113" s="65">
        <f>'S02-5 - SO 02 - OAIM - ELI'!J36</f>
        <v>0</v>
      </c>
      <c r="AZ113" s="65">
        <f>'S02-5 - SO 02 - OAIM - ELI'!F33</f>
        <v>0</v>
      </c>
      <c r="BA113" s="65">
        <f>'S02-5 - SO 02 - OAIM - ELI'!F34</f>
        <v>95224.91</v>
      </c>
      <c r="BB113" s="65">
        <f>'S02-5 - SO 02 - OAIM - ELI'!F35</f>
        <v>0</v>
      </c>
      <c r="BC113" s="65">
        <f>'S02-5 - SO 02 - OAIM - ELI'!F36</f>
        <v>0</v>
      </c>
      <c r="BD113" s="67">
        <f>'S02-5 - SO 02 - OAIM - ELI'!F37</f>
        <v>0</v>
      </c>
      <c r="BT113" s="68"/>
      <c r="BV113" s="68"/>
      <c r="BW113" s="68"/>
      <c r="BX113" s="68"/>
      <c r="CL113" s="68"/>
      <c r="CM113" s="68"/>
    </row>
    <row r="114" spans="1:91" s="6" customFormat="1" ht="17.55" customHeight="1" x14ac:dyDescent="0.2">
      <c r="A114" s="61" t="s">
        <v>59</v>
      </c>
      <c r="B114" s="62"/>
      <c r="C114" s="434"/>
      <c r="D114" s="1174" t="s">
        <v>118</v>
      </c>
      <c r="E114" s="1174"/>
      <c r="F114" s="1174"/>
      <c r="G114" s="1174"/>
      <c r="H114" s="1174"/>
      <c r="I114" s="432"/>
      <c r="J114" s="1170" t="s">
        <v>119</v>
      </c>
      <c r="K114" s="1170"/>
      <c r="L114" s="1170"/>
      <c r="M114" s="1170"/>
      <c r="N114" s="1170"/>
      <c r="O114" s="1170"/>
      <c r="P114" s="1170"/>
      <c r="Q114" s="1170"/>
      <c r="R114" s="1170"/>
      <c r="S114" s="1170"/>
      <c r="T114" s="1170"/>
      <c r="U114" s="1170"/>
      <c r="V114" s="1170"/>
      <c r="W114" s="1170"/>
      <c r="X114" s="1170"/>
      <c r="Y114" s="1170"/>
      <c r="Z114" s="1170"/>
      <c r="AA114" s="1170"/>
      <c r="AB114" s="1170"/>
      <c r="AC114" s="1170"/>
      <c r="AD114" s="1170"/>
      <c r="AE114" s="1170"/>
      <c r="AF114" s="1170"/>
      <c r="AG114" s="1171">
        <f>'S02-51 - SO 02 - OAIM - EPS'!J30</f>
        <v>17909.61</v>
      </c>
      <c r="AH114" s="1172"/>
      <c r="AI114" s="1172"/>
      <c r="AJ114" s="1172"/>
      <c r="AK114" s="1172"/>
      <c r="AL114" s="1172"/>
      <c r="AM114" s="1172"/>
      <c r="AN114" s="1178">
        <f>'S02-51 - SO 02 - OAIM - EPS'!AE117</f>
        <v>6774.1199999999981</v>
      </c>
      <c r="AO114" s="1179"/>
      <c r="AP114" s="1180"/>
      <c r="AQ114" s="63" t="s">
        <v>62</v>
      </c>
      <c r="AR114" s="430">
        <v>21</v>
      </c>
      <c r="AS114" s="64">
        <v>0</v>
      </c>
      <c r="AT114" s="65">
        <f t="shared" si="0"/>
        <v>3581.92</v>
      </c>
      <c r="AU114" s="66">
        <f>'S02-51 - SO 02 - OAIM - EPS'!P117</f>
        <v>0</v>
      </c>
      <c r="AV114" s="65">
        <f>'S02-51 - SO 02 - OAIM - EPS'!J33</f>
        <v>0</v>
      </c>
      <c r="AW114" s="65">
        <f>'S02-51 - SO 02 - OAIM - EPS'!J34</f>
        <v>3581.92</v>
      </c>
      <c r="AX114" s="65">
        <f>'S02-51 - SO 02 - OAIM - EPS'!J35</f>
        <v>0</v>
      </c>
      <c r="AY114" s="65">
        <f>'S02-51 - SO 02 - OAIM - EPS'!J36</f>
        <v>0</v>
      </c>
      <c r="AZ114" s="65">
        <f>'S02-51 - SO 02 - OAIM - EPS'!F33</f>
        <v>0</v>
      </c>
      <c r="BA114" s="65">
        <f>'S02-51 - SO 02 - OAIM - EPS'!F34</f>
        <v>17909.61</v>
      </c>
      <c r="BB114" s="65">
        <f>'S02-51 - SO 02 - OAIM - EPS'!F35</f>
        <v>0</v>
      </c>
      <c r="BC114" s="65">
        <f>'S02-51 - SO 02 - OAIM - EPS'!F36</f>
        <v>0</v>
      </c>
      <c r="BD114" s="67">
        <f>'S02-51 - SO 02 - OAIM - EPS'!F37</f>
        <v>0</v>
      </c>
      <c r="BT114" s="68"/>
      <c r="BV114" s="68"/>
      <c r="BW114" s="68"/>
      <c r="BX114" s="68"/>
      <c r="CL114" s="68"/>
      <c r="CM114" s="68"/>
    </row>
    <row r="115" spans="1:91" s="6" customFormat="1" ht="17.55" customHeight="1" x14ac:dyDescent="0.2">
      <c r="A115" s="61" t="s">
        <v>59</v>
      </c>
      <c r="B115" s="62"/>
      <c r="C115" s="434"/>
      <c r="D115" s="1174" t="s">
        <v>121</v>
      </c>
      <c r="E115" s="1174"/>
      <c r="F115" s="1174"/>
      <c r="G115" s="1174"/>
      <c r="H115" s="1174"/>
      <c r="I115" s="432"/>
      <c r="J115" s="1170" t="s">
        <v>122</v>
      </c>
      <c r="K115" s="1170"/>
      <c r="L115" s="1170"/>
      <c r="M115" s="1170"/>
      <c r="N115" s="1170"/>
      <c r="O115" s="1170"/>
      <c r="P115" s="1170"/>
      <c r="Q115" s="1170"/>
      <c r="R115" s="1170"/>
      <c r="S115" s="1170"/>
      <c r="T115" s="1170"/>
      <c r="U115" s="1170"/>
      <c r="V115" s="1170"/>
      <c r="W115" s="1170"/>
      <c r="X115" s="1170"/>
      <c r="Y115" s="1170"/>
      <c r="Z115" s="1170"/>
      <c r="AA115" s="1170"/>
      <c r="AB115" s="1170"/>
      <c r="AC115" s="1170"/>
      <c r="AD115" s="1170"/>
      <c r="AE115" s="1170"/>
      <c r="AF115" s="1170"/>
      <c r="AG115" s="1171">
        <f>'S02-6.0 - SO 02-6 - Čisté...'!J30</f>
        <v>2500</v>
      </c>
      <c r="AH115" s="1172"/>
      <c r="AI115" s="1172"/>
      <c r="AJ115" s="1172"/>
      <c r="AK115" s="1172"/>
      <c r="AL115" s="1172"/>
      <c r="AM115" s="1172"/>
      <c r="AN115" s="1171">
        <f t="shared" ref="AN115:AN120" si="2">AG115</f>
        <v>2500</v>
      </c>
      <c r="AO115" s="1172"/>
      <c r="AP115" s="1181"/>
      <c r="AQ115" s="63" t="s">
        <v>62</v>
      </c>
      <c r="AR115" s="430"/>
      <c r="AS115" s="64">
        <v>0</v>
      </c>
      <c r="AT115" s="65">
        <f t="shared" si="0"/>
        <v>500</v>
      </c>
      <c r="AU115" s="66">
        <f>'S02-6.0 - SO 02-6 - Čisté...'!P117</f>
        <v>0</v>
      </c>
      <c r="AV115" s="65">
        <f>'S02-6.0 - SO 02-6 - Čisté...'!J33</f>
        <v>0</v>
      </c>
      <c r="AW115" s="65">
        <f>'S02-6.0 - SO 02-6 - Čisté...'!J34</f>
        <v>500</v>
      </c>
      <c r="AX115" s="65">
        <f>'S02-6.0 - SO 02-6 - Čisté...'!J35</f>
        <v>0</v>
      </c>
      <c r="AY115" s="65">
        <f>'S02-6.0 - SO 02-6 - Čisté...'!J36</f>
        <v>0</v>
      </c>
      <c r="AZ115" s="65">
        <f>'S02-6.0 - SO 02-6 - Čisté...'!F33</f>
        <v>0</v>
      </c>
      <c r="BA115" s="65">
        <f>'S02-6.0 - SO 02-6 - Čisté...'!F34</f>
        <v>2500</v>
      </c>
      <c r="BB115" s="65">
        <f>'S02-6.0 - SO 02-6 - Čisté...'!F35</f>
        <v>0</v>
      </c>
      <c r="BC115" s="65">
        <f>'S02-6.0 - SO 02-6 - Čisté...'!F36</f>
        <v>0</v>
      </c>
      <c r="BD115" s="67">
        <f>'S02-6.0 - SO 02-6 - Čisté...'!F37</f>
        <v>0</v>
      </c>
      <c r="BT115" s="68"/>
      <c r="BV115" s="68"/>
      <c r="BW115" s="68"/>
      <c r="BX115" s="68"/>
      <c r="CL115" s="68"/>
      <c r="CM115" s="68"/>
    </row>
    <row r="116" spans="1:91" s="6" customFormat="1" ht="17.55" customHeight="1" x14ac:dyDescent="0.2">
      <c r="A116" s="61" t="s">
        <v>59</v>
      </c>
      <c r="B116" s="62"/>
      <c r="C116" s="434"/>
      <c r="D116" s="1174" t="s">
        <v>124</v>
      </c>
      <c r="E116" s="1174"/>
      <c r="F116" s="1174"/>
      <c r="G116" s="1174"/>
      <c r="H116" s="1174"/>
      <c r="I116" s="432"/>
      <c r="J116" s="1170" t="s">
        <v>125</v>
      </c>
      <c r="K116" s="1170"/>
      <c r="L116" s="1170"/>
      <c r="M116" s="1170"/>
      <c r="N116" s="1170"/>
      <c r="O116" s="1170"/>
      <c r="P116" s="1170"/>
      <c r="Q116" s="1170"/>
      <c r="R116" s="1170"/>
      <c r="S116" s="1170"/>
      <c r="T116" s="1170"/>
      <c r="U116" s="1170"/>
      <c r="V116" s="1170"/>
      <c r="W116" s="1170"/>
      <c r="X116" s="1170"/>
      <c r="Y116" s="1170"/>
      <c r="Z116" s="1170"/>
      <c r="AA116" s="1170"/>
      <c r="AB116" s="1170"/>
      <c r="AC116" s="1170"/>
      <c r="AD116" s="1170"/>
      <c r="AE116" s="1170"/>
      <c r="AF116" s="1170"/>
      <c r="AG116" s="1171">
        <f>'S02-6.1 - SO 02-61 - Vsta...'!J30</f>
        <v>100043.81</v>
      </c>
      <c r="AH116" s="1172"/>
      <c r="AI116" s="1172"/>
      <c r="AJ116" s="1172"/>
      <c r="AK116" s="1172"/>
      <c r="AL116" s="1172"/>
      <c r="AM116" s="1172"/>
      <c r="AN116" s="1178">
        <f>'S02-6.1 - SO 02-61 - Vsta...'!AE120</f>
        <v>98601.469999999987</v>
      </c>
      <c r="AO116" s="1179"/>
      <c r="AP116" s="1180"/>
      <c r="AQ116" s="63" t="s">
        <v>62</v>
      </c>
      <c r="AR116" s="430" t="s">
        <v>6554</v>
      </c>
      <c r="AS116" s="64">
        <v>0</v>
      </c>
      <c r="AT116" s="65">
        <f t="shared" si="0"/>
        <v>20008.759999999998</v>
      </c>
      <c r="AU116" s="66">
        <f>'S02-6.1 - SO 02-61 - Vsta...'!P120</f>
        <v>0</v>
      </c>
      <c r="AV116" s="65">
        <f>'S02-6.1 - SO 02-61 - Vsta...'!J33</f>
        <v>0</v>
      </c>
      <c r="AW116" s="65">
        <f>'S02-6.1 - SO 02-61 - Vsta...'!J34</f>
        <v>20008.759999999998</v>
      </c>
      <c r="AX116" s="65">
        <f>'S02-6.1 - SO 02-61 - Vsta...'!J35</f>
        <v>0</v>
      </c>
      <c r="AY116" s="65">
        <f>'S02-6.1 - SO 02-61 - Vsta...'!J36</f>
        <v>0</v>
      </c>
      <c r="AZ116" s="65">
        <f>'S02-6.1 - SO 02-61 - Vsta...'!F33</f>
        <v>0</v>
      </c>
      <c r="BA116" s="65">
        <f>'S02-6.1 - SO 02-61 - Vsta...'!F34</f>
        <v>100043.81</v>
      </c>
      <c r="BB116" s="65">
        <f>'S02-6.1 - SO 02-61 - Vsta...'!F35</f>
        <v>0</v>
      </c>
      <c r="BC116" s="65">
        <f>'S02-6.1 - SO 02-61 - Vsta...'!F36</f>
        <v>0</v>
      </c>
      <c r="BD116" s="67">
        <f>'S02-6.1 - SO 02-61 - Vsta...'!F37</f>
        <v>0</v>
      </c>
      <c r="BE116" s="437"/>
      <c r="BT116" s="68"/>
      <c r="BV116" s="68"/>
      <c r="BW116" s="68"/>
      <c r="BX116" s="68"/>
      <c r="CL116" s="68"/>
      <c r="CM116" s="68"/>
    </row>
    <row r="117" spans="1:91" s="6" customFormat="1" ht="17.55" customHeight="1" x14ac:dyDescent="0.2">
      <c r="A117" s="61" t="s">
        <v>59</v>
      </c>
      <c r="B117" s="62"/>
      <c r="C117" s="434"/>
      <c r="D117" s="1174" t="s">
        <v>127</v>
      </c>
      <c r="E117" s="1174"/>
      <c r="F117" s="1174"/>
      <c r="G117" s="1174"/>
      <c r="H117" s="1174"/>
      <c r="I117" s="432"/>
      <c r="J117" s="1170" t="s">
        <v>128</v>
      </c>
      <c r="K117" s="1170"/>
      <c r="L117" s="1170"/>
      <c r="M117" s="1170"/>
      <c r="N117" s="1170"/>
      <c r="O117" s="1170"/>
      <c r="P117" s="1170"/>
      <c r="Q117" s="1170"/>
      <c r="R117" s="1170"/>
      <c r="S117" s="1170"/>
      <c r="T117" s="1170"/>
      <c r="U117" s="1170"/>
      <c r="V117" s="1170"/>
      <c r="W117" s="1170"/>
      <c r="X117" s="1170"/>
      <c r="Y117" s="1170"/>
      <c r="Z117" s="1170"/>
      <c r="AA117" s="1170"/>
      <c r="AB117" s="1170"/>
      <c r="AC117" s="1170"/>
      <c r="AD117" s="1170"/>
      <c r="AE117" s="1170"/>
      <c r="AF117" s="1170"/>
      <c r="AG117" s="1171">
        <f>'S02-6.2 - SO 02-62 - Zdra...'!J30</f>
        <v>62136.78</v>
      </c>
      <c r="AH117" s="1172"/>
      <c r="AI117" s="1172"/>
      <c r="AJ117" s="1172"/>
      <c r="AK117" s="1172"/>
      <c r="AL117" s="1172"/>
      <c r="AM117" s="1172"/>
      <c r="AN117" s="1171">
        <f>'S02-6.2 - SO 02-62 - Zdra...'!AE96</f>
        <v>62136.78</v>
      </c>
      <c r="AO117" s="1172"/>
      <c r="AP117" s="1181"/>
      <c r="AQ117" s="63" t="s">
        <v>62</v>
      </c>
      <c r="AR117" s="430"/>
      <c r="AS117" s="64">
        <v>0</v>
      </c>
      <c r="AT117" s="65">
        <f t="shared" si="0"/>
        <v>12427.36</v>
      </c>
      <c r="AU117" s="66">
        <f>'S02-6.2 - SO 02-62 - Zdra...'!P117</f>
        <v>0</v>
      </c>
      <c r="AV117" s="65">
        <f>'S02-6.2 - SO 02-62 - Zdra...'!J33</f>
        <v>0</v>
      </c>
      <c r="AW117" s="65">
        <f>'S02-6.2 - SO 02-62 - Zdra...'!J34</f>
        <v>12427.36</v>
      </c>
      <c r="AX117" s="65">
        <f>'S02-6.2 - SO 02-62 - Zdra...'!J35</f>
        <v>0</v>
      </c>
      <c r="AY117" s="65">
        <f>'S02-6.2 - SO 02-62 - Zdra...'!J36</f>
        <v>0</v>
      </c>
      <c r="AZ117" s="65">
        <f>'S02-6.2 - SO 02-62 - Zdra...'!F33</f>
        <v>0</v>
      </c>
      <c r="BA117" s="65">
        <f>'S02-6.2 - SO 02-62 - Zdra...'!F34</f>
        <v>62136.78</v>
      </c>
      <c r="BB117" s="65">
        <f>'S02-6.2 - SO 02-62 - Zdra...'!F35</f>
        <v>0</v>
      </c>
      <c r="BC117" s="65">
        <f>'S02-6.2 - SO 02-62 - Zdra...'!F36</f>
        <v>0</v>
      </c>
      <c r="BD117" s="67">
        <f>'S02-6.2 - SO 02-62 - Zdra...'!F37</f>
        <v>0</v>
      </c>
      <c r="BT117" s="68"/>
      <c r="BV117" s="68"/>
      <c r="BW117" s="68"/>
      <c r="BX117" s="68"/>
      <c r="CL117" s="68"/>
      <c r="CM117" s="68"/>
    </row>
    <row r="118" spans="1:91" s="6" customFormat="1" ht="17.55" customHeight="1" x14ac:dyDescent="0.2">
      <c r="A118" s="61" t="s">
        <v>59</v>
      </c>
      <c r="B118" s="62"/>
      <c r="C118" s="434"/>
      <c r="D118" s="1174" t="s">
        <v>130</v>
      </c>
      <c r="E118" s="1174"/>
      <c r="F118" s="1174"/>
      <c r="G118" s="1174"/>
      <c r="H118" s="1174"/>
      <c r="I118" s="432"/>
      <c r="J118" s="1170" t="s">
        <v>131</v>
      </c>
      <c r="K118" s="1170"/>
      <c r="L118" s="1170"/>
      <c r="M118" s="1170"/>
      <c r="N118" s="1170"/>
      <c r="O118" s="1170"/>
      <c r="P118" s="1170"/>
      <c r="Q118" s="1170"/>
      <c r="R118" s="1170"/>
      <c r="S118" s="1170"/>
      <c r="T118" s="1170"/>
      <c r="U118" s="1170"/>
      <c r="V118" s="1170"/>
      <c r="W118" s="1170"/>
      <c r="X118" s="1170"/>
      <c r="Y118" s="1170"/>
      <c r="Z118" s="1170"/>
      <c r="AA118" s="1170"/>
      <c r="AB118" s="1170"/>
      <c r="AC118" s="1170"/>
      <c r="AD118" s="1170"/>
      <c r="AE118" s="1170"/>
      <c r="AF118" s="1170"/>
      <c r="AG118" s="1171">
        <f>'S02-6.3 - SO 02-63 - VZT'!J30</f>
        <v>57157.11</v>
      </c>
      <c r="AH118" s="1172"/>
      <c r="AI118" s="1172"/>
      <c r="AJ118" s="1172"/>
      <c r="AK118" s="1172"/>
      <c r="AL118" s="1172"/>
      <c r="AM118" s="1172"/>
      <c r="AN118" s="1171">
        <f t="shared" si="2"/>
        <v>57157.11</v>
      </c>
      <c r="AO118" s="1172"/>
      <c r="AP118" s="1181"/>
      <c r="AQ118" s="63" t="s">
        <v>62</v>
      </c>
      <c r="AR118" s="430"/>
      <c r="AS118" s="64">
        <v>0</v>
      </c>
      <c r="AT118" s="65">
        <f t="shared" si="0"/>
        <v>11431.42</v>
      </c>
      <c r="AU118" s="66">
        <f>'S02-6.3 - SO 02-63 - VZT'!P119</f>
        <v>0</v>
      </c>
      <c r="AV118" s="65">
        <f>'S02-6.3 - SO 02-63 - VZT'!J33</f>
        <v>0</v>
      </c>
      <c r="AW118" s="65">
        <f>'S02-6.3 - SO 02-63 - VZT'!J34</f>
        <v>11431.42</v>
      </c>
      <c r="AX118" s="65">
        <f>'S02-6.3 - SO 02-63 - VZT'!J35</f>
        <v>0</v>
      </c>
      <c r="AY118" s="65">
        <f>'S02-6.3 - SO 02-63 - VZT'!J36</f>
        <v>0</v>
      </c>
      <c r="AZ118" s="65">
        <f>'S02-6.3 - SO 02-63 - VZT'!F33</f>
        <v>0</v>
      </c>
      <c r="BA118" s="65">
        <f>'S02-6.3 - SO 02-63 - VZT'!F34</f>
        <v>57157.11</v>
      </c>
      <c r="BB118" s="65">
        <f>'S02-6.3 - SO 02-63 - VZT'!F35</f>
        <v>0</v>
      </c>
      <c r="BC118" s="65">
        <f>'S02-6.3 - SO 02-63 - VZT'!F36</f>
        <v>0</v>
      </c>
      <c r="BD118" s="67">
        <f>'S02-6.3 - SO 02-63 - VZT'!F37</f>
        <v>0</v>
      </c>
      <c r="BT118" s="68"/>
      <c r="BV118" s="68"/>
      <c r="BW118" s="68"/>
      <c r="BX118" s="68"/>
      <c r="CL118" s="68"/>
      <c r="CM118" s="68"/>
    </row>
    <row r="119" spans="1:91" s="6" customFormat="1" ht="17.55" customHeight="1" x14ac:dyDescent="0.2">
      <c r="A119" s="61" t="s">
        <v>59</v>
      </c>
      <c r="B119" s="62"/>
      <c r="C119" s="434"/>
      <c r="D119" s="1174" t="s">
        <v>133</v>
      </c>
      <c r="E119" s="1174"/>
      <c r="F119" s="1174"/>
      <c r="G119" s="1174"/>
      <c r="H119" s="1174"/>
      <c r="I119" s="432"/>
      <c r="J119" s="1170" t="s">
        <v>134</v>
      </c>
      <c r="K119" s="1170"/>
      <c r="L119" s="1170"/>
      <c r="M119" s="1170"/>
      <c r="N119" s="1170"/>
      <c r="O119" s="1170"/>
      <c r="P119" s="1170"/>
      <c r="Q119" s="1170"/>
      <c r="R119" s="1170"/>
      <c r="S119" s="1170"/>
      <c r="T119" s="1170"/>
      <c r="U119" s="1170"/>
      <c r="V119" s="1170"/>
      <c r="W119" s="1170"/>
      <c r="X119" s="1170"/>
      <c r="Y119" s="1170"/>
      <c r="Z119" s="1170"/>
      <c r="AA119" s="1170"/>
      <c r="AB119" s="1170"/>
      <c r="AC119" s="1170"/>
      <c r="AD119" s="1170"/>
      <c r="AE119" s="1170"/>
      <c r="AF119" s="1170"/>
      <c r="AG119" s="1171">
        <f>'S02-6.4 - SO 02-64 - Trub...'!J30</f>
        <v>51248.41</v>
      </c>
      <c r="AH119" s="1172"/>
      <c r="AI119" s="1172"/>
      <c r="AJ119" s="1172"/>
      <c r="AK119" s="1172"/>
      <c r="AL119" s="1172"/>
      <c r="AM119" s="1172"/>
      <c r="AN119" s="1171">
        <f t="shared" si="2"/>
        <v>51248.41</v>
      </c>
      <c r="AO119" s="1172"/>
      <c r="AP119" s="1181"/>
      <c r="AQ119" s="63" t="s">
        <v>62</v>
      </c>
      <c r="AR119" s="430"/>
      <c r="AS119" s="64">
        <v>0</v>
      </c>
      <c r="AT119" s="65">
        <f t="shared" si="0"/>
        <v>10249.68</v>
      </c>
      <c r="AU119" s="66">
        <f>'S02-6.4 - SO 02-64 - Trub...'!P123</f>
        <v>0</v>
      </c>
      <c r="AV119" s="65">
        <f>'S02-6.4 - SO 02-64 - Trub...'!J33</f>
        <v>0</v>
      </c>
      <c r="AW119" s="65">
        <f>'S02-6.4 - SO 02-64 - Trub...'!J34</f>
        <v>10249.68</v>
      </c>
      <c r="AX119" s="65">
        <f>'S02-6.4 - SO 02-64 - Trub...'!J35</f>
        <v>0</v>
      </c>
      <c r="AY119" s="65">
        <f>'S02-6.4 - SO 02-64 - Trub...'!J36</f>
        <v>0</v>
      </c>
      <c r="AZ119" s="65">
        <f>'S02-6.4 - SO 02-64 - Trub...'!F33</f>
        <v>0</v>
      </c>
      <c r="BA119" s="65">
        <f>'S02-6.4 - SO 02-64 - Trub...'!F34</f>
        <v>51248.41</v>
      </c>
      <c r="BB119" s="65">
        <f>'S02-6.4 - SO 02-64 - Trub...'!F35</f>
        <v>0</v>
      </c>
      <c r="BC119" s="65">
        <f>'S02-6.4 - SO 02-64 - Trub...'!F36</f>
        <v>0</v>
      </c>
      <c r="BD119" s="67">
        <f>'S02-6.4 - SO 02-64 - Trub...'!F37</f>
        <v>0</v>
      </c>
      <c r="BE119" s="437"/>
      <c r="BT119" s="68"/>
      <c r="BV119" s="68"/>
      <c r="BW119" s="68"/>
      <c r="BX119" s="68"/>
      <c r="CL119" s="68"/>
      <c r="CM119" s="68"/>
    </row>
    <row r="120" spans="1:91" s="6" customFormat="1" ht="17.55" customHeight="1" x14ac:dyDescent="0.2">
      <c r="A120" s="61" t="s">
        <v>59</v>
      </c>
      <c r="B120" s="62"/>
      <c r="C120" s="434"/>
      <c r="D120" s="1174" t="s">
        <v>136</v>
      </c>
      <c r="E120" s="1174"/>
      <c r="F120" s="1174"/>
      <c r="G120" s="1174"/>
      <c r="H120" s="1174"/>
      <c r="I120" s="432"/>
      <c r="J120" s="1170" t="s">
        <v>137</v>
      </c>
      <c r="K120" s="1170"/>
      <c r="L120" s="1170"/>
      <c r="M120" s="1170"/>
      <c r="N120" s="1170"/>
      <c r="O120" s="1170"/>
      <c r="P120" s="1170"/>
      <c r="Q120" s="1170"/>
      <c r="R120" s="1170"/>
      <c r="S120" s="1170"/>
      <c r="T120" s="1170"/>
      <c r="U120" s="1170"/>
      <c r="V120" s="1170"/>
      <c r="W120" s="1170"/>
      <c r="X120" s="1170"/>
      <c r="Y120" s="1170"/>
      <c r="Z120" s="1170"/>
      <c r="AA120" s="1170"/>
      <c r="AB120" s="1170"/>
      <c r="AC120" s="1170"/>
      <c r="AD120" s="1170"/>
      <c r="AE120" s="1170"/>
      <c r="AF120" s="1170"/>
      <c r="AG120" s="1168">
        <f>'S02-6.5 - SO 02-65 - ELI ...'!J30</f>
        <v>27482</v>
      </c>
      <c r="AH120" s="1169"/>
      <c r="AI120" s="1169"/>
      <c r="AJ120" s="1169"/>
      <c r="AK120" s="1169"/>
      <c r="AL120" s="1169"/>
      <c r="AM120" s="1169"/>
      <c r="AN120" s="1171">
        <f t="shared" si="2"/>
        <v>27482</v>
      </c>
      <c r="AO120" s="1172"/>
      <c r="AP120" s="1181"/>
      <c r="AQ120" s="63" t="s">
        <v>62</v>
      </c>
      <c r="AR120" s="430"/>
      <c r="AS120" s="64">
        <v>0</v>
      </c>
      <c r="AT120" s="65">
        <f t="shared" si="0"/>
        <v>5496.4</v>
      </c>
      <c r="AU120" s="66">
        <f>'S02-6.5 - SO 02-65 - ELI ...'!P125</f>
        <v>0</v>
      </c>
      <c r="AV120" s="65">
        <f>'S02-6.5 - SO 02-65 - ELI ...'!J33</f>
        <v>0</v>
      </c>
      <c r="AW120" s="65">
        <f>'S02-6.5 - SO 02-65 - ELI ...'!J34</f>
        <v>5496.4</v>
      </c>
      <c r="AX120" s="65">
        <f>'S02-6.5 - SO 02-65 - ELI ...'!J35</f>
        <v>0</v>
      </c>
      <c r="AY120" s="65">
        <f>'S02-6.5 - SO 02-65 - ELI ...'!J36</f>
        <v>0</v>
      </c>
      <c r="AZ120" s="65">
        <f>'S02-6.5 - SO 02-65 - ELI ...'!F33</f>
        <v>0</v>
      </c>
      <c r="BA120" s="65">
        <f>'S02-6.5 - SO 02-65 - ELI ...'!F34</f>
        <v>27482</v>
      </c>
      <c r="BB120" s="65">
        <f>'S02-6.5 - SO 02-65 - ELI ...'!F35</f>
        <v>0</v>
      </c>
      <c r="BC120" s="65">
        <f>'S02-6.5 - SO 02-65 - ELI ...'!F36</f>
        <v>0</v>
      </c>
      <c r="BD120" s="67">
        <f>'S02-6.5 - SO 02-65 - ELI ...'!F37</f>
        <v>0</v>
      </c>
      <c r="BT120" s="68"/>
      <c r="BV120" s="68"/>
      <c r="BW120" s="68"/>
      <c r="BX120" s="68"/>
      <c r="CL120" s="68"/>
      <c r="CM120" s="68"/>
    </row>
    <row r="121" spans="1:91" s="6" customFormat="1" ht="17.55" customHeight="1" x14ac:dyDescent="0.2">
      <c r="A121" s="61" t="s">
        <v>59</v>
      </c>
      <c r="B121" s="62"/>
      <c r="C121" s="434"/>
      <c r="D121" s="1182" t="s">
        <v>139</v>
      </c>
      <c r="E121" s="1182"/>
      <c r="F121" s="1182"/>
      <c r="G121" s="1182"/>
      <c r="H121" s="1182"/>
      <c r="I121" s="433"/>
      <c r="J121" s="1198" t="s">
        <v>140</v>
      </c>
      <c r="K121" s="1198"/>
      <c r="L121" s="1198"/>
      <c r="M121" s="1198"/>
      <c r="N121" s="1198"/>
      <c r="O121" s="1198"/>
      <c r="P121" s="1198"/>
      <c r="Q121" s="1198"/>
      <c r="R121" s="1198"/>
      <c r="S121" s="1198"/>
      <c r="T121" s="1198"/>
      <c r="U121" s="1198"/>
      <c r="V121" s="1198"/>
      <c r="W121" s="1198"/>
      <c r="X121" s="1198"/>
      <c r="Y121" s="1198"/>
      <c r="Z121" s="1198"/>
      <c r="AA121" s="1198"/>
      <c r="AB121" s="1198"/>
      <c r="AC121" s="1198"/>
      <c r="AD121" s="1198"/>
      <c r="AE121" s="1198"/>
      <c r="AF121" s="1198"/>
      <c r="AG121" s="1183">
        <f>'S02-6.6 - SO 02-66 - MaR'!J30</f>
        <v>26380.06</v>
      </c>
      <c r="AH121" s="1184"/>
      <c r="AI121" s="1184"/>
      <c r="AJ121" s="1184"/>
      <c r="AK121" s="1184"/>
      <c r="AL121" s="1184"/>
      <c r="AM121" s="1184"/>
      <c r="AN121" s="1175">
        <f>AG121</f>
        <v>26380.06</v>
      </c>
      <c r="AO121" s="1176"/>
      <c r="AP121" s="1177"/>
      <c r="AQ121" s="63" t="s">
        <v>62</v>
      </c>
      <c r="AR121" s="430"/>
      <c r="AS121" s="64">
        <v>0</v>
      </c>
      <c r="AT121" s="65">
        <f t="shared" si="0"/>
        <v>5276.01</v>
      </c>
      <c r="AU121" s="66">
        <f>'S02-6.6 - SO 02-66 - MaR'!P125</f>
        <v>0</v>
      </c>
      <c r="AV121" s="65">
        <f>'S02-6.6 - SO 02-66 - MaR'!J33</f>
        <v>0</v>
      </c>
      <c r="AW121" s="65">
        <f>'S02-6.6 - SO 02-66 - MaR'!J34</f>
        <v>5276.01</v>
      </c>
      <c r="AX121" s="65">
        <f>'S02-6.6 - SO 02-66 - MaR'!J35</f>
        <v>0</v>
      </c>
      <c r="AY121" s="65">
        <f>'S02-6.6 - SO 02-66 - MaR'!J36</f>
        <v>0</v>
      </c>
      <c r="AZ121" s="65">
        <f>'S02-6.6 - SO 02-66 - MaR'!F33</f>
        <v>0</v>
      </c>
      <c r="BA121" s="65">
        <f>'S02-6.6 - SO 02-66 - MaR'!F34</f>
        <v>26380.06</v>
      </c>
      <c r="BB121" s="65">
        <f>'S02-6.6 - SO 02-66 - MaR'!F35</f>
        <v>0</v>
      </c>
      <c r="BC121" s="65">
        <f>'S02-6.6 - SO 02-66 - MaR'!F36</f>
        <v>0</v>
      </c>
      <c r="BD121" s="67">
        <f>'S02-6.6 - SO 02-66 - MaR'!F37</f>
        <v>0</v>
      </c>
      <c r="BT121" s="68"/>
      <c r="BV121" s="68"/>
      <c r="BW121" s="68"/>
      <c r="BX121" s="68"/>
      <c r="CL121" s="68"/>
      <c r="CM121" s="68"/>
    </row>
    <row r="122" spans="1:91" s="6" customFormat="1" ht="17.55" customHeight="1" x14ac:dyDescent="0.2">
      <c r="A122" s="61" t="s">
        <v>59</v>
      </c>
      <c r="B122" s="435"/>
      <c r="C122" s="436"/>
      <c r="D122" s="1173" t="s">
        <v>142</v>
      </c>
      <c r="E122" s="1173"/>
      <c r="F122" s="1173"/>
      <c r="G122" s="1173"/>
      <c r="H122" s="1173"/>
      <c r="I122" s="431"/>
      <c r="J122" s="1187" t="s">
        <v>143</v>
      </c>
      <c r="K122" s="1187"/>
      <c r="L122" s="1187"/>
      <c r="M122" s="1187"/>
      <c r="N122" s="1187"/>
      <c r="O122" s="1187"/>
      <c r="P122" s="1187"/>
      <c r="Q122" s="1187"/>
      <c r="R122" s="1187"/>
      <c r="S122" s="1187"/>
      <c r="T122" s="1187"/>
      <c r="U122" s="1187"/>
      <c r="V122" s="1187"/>
      <c r="W122" s="1187"/>
      <c r="X122" s="1187"/>
      <c r="Y122" s="1187"/>
      <c r="Z122" s="1187"/>
      <c r="AA122" s="1187"/>
      <c r="AB122" s="1187"/>
      <c r="AC122" s="1187"/>
      <c r="AD122" s="1187"/>
      <c r="AE122" s="1187"/>
      <c r="AF122" s="1187"/>
      <c r="AG122" s="1185">
        <f>'S03-1 - SO 03 - Operačky ...'!J30</f>
        <v>133643.85</v>
      </c>
      <c r="AH122" s="1186"/>
      <c r="AI122" s="1186"/>
      <c r="AJ122" s="1186"/>
      <c r="AK122" s="1186"/>
      <c r="AL122" s="1186"/>
      <c r="AM122" s="1186"/>
      <c r="AN122" s="1178">
        <f>'S03-1 - SO 03 - Operačky ...'!AE138</f>
        <v>188429.27000000002</v>
      </c>
      <c r="AO122" s="1179"/>
      <c r="AP122" s="1180"/>
      <c r="AQ122" s="63" t="s">
        <v>62</v>
      </c>
      <c r="AR122" s="430" t="s">
        <v>6809</v>
      </c>
      <c r="AS122" s="64">
        <v>0</v>
      </c>
      <c r="AT122" s="65">
        <f t="shared" si="0"/>
        <v>26728.77</v>
      </c>
      <c r="AU122" s="66">
        <f>'S03-1 - SO 03 - Operačky ...'!P138</f>
        <v>2504.3843564700001</v>
      </c>
      <c r="AV122" s="65">
        <f>'S03-1 - SO 03 - Operačky ...'!J33</f>
        <v>0</v>
      </c>
      <c r="AW122" s="65">
        <f>'S03-1 - SO 03 - Operačky ...'!J34</f>
        <v>26728.77</v>
      </c>
      <c r="AX122" s="65">
        <f>'S03-1 - SO 03 - Operačky ...'!J35</f>
        <v>0</v>
      </c>
      <c r="AY122" s="65">
        <f>'S03-1 - SO 03 - Operačky ...'!J36</f>
        <v>0</v>
      </c>
      <c r="AZ122" s="65">
        <f>'S03-1 - SO 03 - Operačky ...'!F33</f>
        <v>0</v>
      </c>
      <c r="BA122" s="65">
        <f>'S03-1 - SO 03 - Operačky ...'!F34</f>
        <v>133643.85</v>
      </c>
      <c r="BB122" s="65">
        <f>'S03-1 - SO 03 - Operačky ...'!F35</f>
        <v>0</v>
      </c>
      <c r="BC122" s="65">
        <f>'S03-1 - SO 03 - Operačky ...'!F36</f>
        <v>0</v>
      </c>
      <c r="BD122" s="67">
        <f>'S03-1 - SO 03 - Operačky ...'!F37</f>
        <v>0</v>
      </c>
      <c r="BE122" s="437"/>
      <c r="BT122" s="68"/>
      <c r="BV122" s="68"/>
      <c r="BW122" s="68"/>
      <c r="BX122" s="68"/>
      <c r="CL122" s="68"/>
      <c r="CM122" s="68"/>
    </row>
    <row r="123" spans="1:91" s="6" customFormat="1" ht="17.55" customHeight="1" x14ac:dyDescent="0.2">
      <c r="A123" s="61" t="s">
        <v>59</v>
      </c>
      <c r="B123" s="62"/>
      <c r="C123" s="434"/>
      <c r="D123" s="1174" t="s">
        <v>145</v>
      </c>
      <c r="E123" s="1174"/>
      <c r="F123" s="1174"/>
      <c r="G123" s="1174"/>
      <c r="H123" s="1174"/>
      <c r="I123" s="432"/>
      <c r="J123" s="1170" t="s">
        <v>146</v>
      </c>
      <c r="K123" s="1170"/>
      <c r="L123" s="1170"/>
      <c r="M123" s="1170"/>
      <c r="N123" s="1170"/>
      <c r="O123" s="1170"/>
      <c r="P123" s="1170"/>
      <c r="Q123" s="1170"/>
      <c r="R123" s="1170"/>
      <c r="S123" s="1170"/>
      <c r="T123" s="1170"/>
      <c r="U123" s="1170"/>
      <c r="V123" s="1170"/>
      <c r="W123" s="1170"/>
      <c r="X123" s="1170"/>
      <c r="Y123" s="1170"/>
      <c r="Z123" s="1170"/>
      <c r="AA123" s="1170"/>
      <c r="AB123" s="1170"/>
      <c r="AC123" s="1170"/>
      <c r="AD123" s="1170"/>
      <c r="AE123" s="1170"/>
      <c r="AF123" s="1170"/>
      <c r="AG123" s="1168">
        <f>'S03-2 - SO 03 - Nadstavba...'!J30</f>
        <v>291607.14</v>
      </c>
      <c r="AH123" s="1169"/>
      <c r="AI123" s="1169"/>
      <c r="AJ123" s="1169"/>
      <c r="AK123" s="1169"/>
      <c r="AL123" s="1169"/>
      <c r="AM123" s="1169"/>
      <c r="AN123" s="1178">
        <f>'S03-2 - SO 03 - Nadstavba...'!AE30</f>
        <v>315347.39</v>
      </c>
      <c r="AO123" s="1179"/>
      <c r="AP123" s="1180"/>
      <c r="AQ123" s="63" t="s">
        <v>62</v>
      </c>
      <c r="AR123" s="430" t="s">
        <v>6810</v>
      </c>
      <c r="AS123" s="64">
        <v>0</v>
      </c>
      <c r="AT123" s="65">
        <f t="shared" si="0"/>
        <v>58321.43</v>
      </c>
      <c r="AU123" s="66">
        <f>'S03-2 - SO 03 - Nadstavba...'!P131</f>
        <v>3.9444615000000001</v>
      </c>
      <c r="AV123" s="65">
        <f>'S03-2 - SO 03 - Nadstavba...'!J33</f>
        <v>0</v>
      </c>
      <c r="AW123" s="65">
        <f>'S03-2 - SO 03 - Nadstavba...'!J34</f>
        <v>58321.43</v>
      </c>
      <c r="AX123" s="65">
        <f>'S03-2 - SO 03 - Nadstavba...'!J35</f>
        <v>0</v>
      </c>
      <c r="AY123" s="65">
        <f>'S03-2 - SO 03 - Nadstavba...'!J36</f>
        <v>0</v>
      </c>
      <c r="AZ123" s="65">
        <f>'S03-2 - SO 03 - Nadstavba...'!F33</f>
        <v>0</v>
      </c>
      <c r="BA123" s="65">
        <f>'S03-2 - SO 03 - Nadstavba...'!F34</f>
        <v>291607.14</v>
      </c>
      <c r="BB123" s="65">
        <f>'S03-2 - SO 03 - Nadstavba...'!F35</f>
        <v>0</v>
      </c>
      <c r="BC123" s="65">
        <f>'S03-2 - SO 03 - Nadstavba...'!F36</f>
        <v>0</v>
      </c>
      <c r="BD123" s="67">
        <f>'S03-2 - SO 03 - Nadstavba...'!F37</f>
        <v>0</v>
      </c>
      <c r="BT123" s="68"/>
      <c r="BV123" s="68"/>
      <c r="BW123" s="68"/>
      <c r="BX123" s="68"/>
      <c r="CL123" s="68"/>
      <c r="CM123" s="68"/>
    </row>
    <row r="124" spans="1:91" s="6" customFormat="1" ht="17.55" customHeight="1" x14ac:dyDescent="0.2">
      <c r="A124" s="61" t="s">
        <v>59</v>
      </c>
      <c r="B124" s="62"/>
      <c r="C124" s="434"/>
      <c r="D124" s="1174" t="s">
        <v>148</v>
      </c>
      <c r="E124" s="1174"/>
      <c r="F124" s="1174"/>
      <c r="G124" s="1174"/>
      <c r="H124" s="1174"/>
      <c r="I124" s="432"/>
      <c r="J124" s="1170" t="s">
        <v>149</v>
      </c>
      <c r="K124" s="1170"/>
      <c r="L124" s="1170"/>
      <c r="M124" s="1170"/>
      <c r="N124" s="1170"/>
      <c r="O124" s="1170"/>
      <c r="P124" s="1170"/>
      <c r="Q124" s="1170"/>
      <c r="R124" s="1170"/>
      <c r="S124" s="1170"/>
      <c r="T124" s="1170"/>
      <c r="U124" s="1170"/>
      <c r="V124" s="1170"/>
      <c r="W124" s="1170"/>
      <c r="X124" s="1170"/>
      <c r="Y124" s="1170"/>
      <c r="Z124" s="1170"/>
      <c r="AA124" s="1170"/>
      <c r="AB124" s="1170"/>
      <c r="AC124" s="1170"/>
      <c r="AD124" s="1170"/>
      <c r="AE124" s="1170"/>
      <c r="AF124" s="1170"/>
      <c r="AG124" s="1168">
        <f>'S03-3 - SO 03 - Operačky ...'!J30</f>
        <v>21649.18</v>
      </c>
      <c r="AH124" s="1169"/>
      <c r="AI124" s="1169"/>
      <c r="AJ124" s="1169"/>
      <c r="AK124" s="1169"/>
      <c r="AL124" s="1169"/>
      <c r="AM124" s="1169"/>
      <c r="AN124" s="1178">
        <f>'S03-3 - SO 03 - Operačky ...'!AE30</f>
        <v>43891.27</v>
      </c>
      <c r="AO124" s="1179"/>
      <c r="AP124" s="1180"/>
      <c r="AQ124" s="63" t="s">
        <v>62</v>
      </c>
      <c r="AR124" s="430" t="s">
        <v>6811</v>
      </c>
      <c r="AS124" s="64">
        <v>0</v>
      </c>
      <c r="AT124" s="65">
        <f t="shared" si="0"/>
        <v>4329.84</v>
      </c>
      <c r="AU124" s="66">
        <f>'S03-3 - SO 03 - Operačky ...'!P130</f>
        <v>131.42379199999999</v>
      </c>
      <c r="AV124" s="65">
        <f>'S03-3 - SO 03 - Operačky ...'!J33</f>
        <v>0</v>
      </c>
      <c r="AW124" s="65">
        <f>'S03-3 - SO 03 - Operačky ...'!J34</f>
        <v>4329.84</v>
      </c>
      <c r="AX124" s="65">
        <f>'S03-3 - SO 03 - Operačky ...'!J35</f>
        <v>0</v>
      </c>
      <c r="AY124" s="65">
        <f>'S03-3 - SO 03 - Operačky ...'!J36</f>
        <v>0</v>
      </c>
      <c r="AZ124" s="65">
        <f>'S03-3 - SO 03 - Operačky ...'!F33</f>
        <v>0</v>
      </c>
      <c r="BA124" s="65">
        <f>'S03-3 - SO 03 - Operačky ...'!F34</f>
        <v>21649.18</v>
      </c>
      <c r="BB124" s="65">
        <f>'S03-3 - SO 03 - Operačky ...'!F35</f>
        <v>0</v>
      </c>
      <c r="BC124" s="65">
        <f>'S03-3 - SO 03 - Operačky ...'!F36</f>
        <v>0</v>
      </c>
      <c r="BD124" s="67">
        <f>'S03-3 - SO 03 - Operačky ...'!F37</f>
        <v>0</v>
      </c>
      <c r="BT124" s="68"/>
      <c r="BV124" s="68"/>
      <c r="BW124" s="68"/>
      <c r="BX124" s="68"/>
      <c r="CL124" s="68"/>
      <c r="CM124" s="68"/>
    </row>
    <row r="125" spans="1:91" s="6" customFormat="1" ht="17.55" customHeight="1" x14ac:dyDescent="0.2">
      <c r="A125" s="61" t="s">
        <v>59</v>
      </c>
      <c r="B125" s="62"/>
      <c r="C125" s="434"/>
      <c r="D125" s="1174" t="s">
        <v>151</v>
      </c>
      <c r="E125" s="1174"/>
      <c r="F125" s="1174"/>
      <c r="G125" s="1174"/>
      <c r="H125" s="1174"/>
      <c r="I125" s="432"/>
      <c r="J125" s="1170" t="s">
        <v>5200</v>
      </c>
      <c r="K125" s="1170"/>
      <c r="L125" s="1170"/>
      <c r="M125" s="1170"/>
      <c r="N125" s="1170"/>
      <c r="O125" s="1170"/>
      <c r="P125" s="1170"/>
      <c r="Q125" s="1170"/>
      <c r="R125" s="1170"/>
      <c r="S125" s="1170"/>
      <c r="T125" s="1170"/>
      <c r="U125" s="1170"/>
      <c r="V125" s="1170"/>
      <c r="W125" s="1170"/>
      <c r="X125" s="1170"/>
      <c r="Y125" s="1170"/>
      <c r="Z125" s="1170"/>
      <c r="AA125" s="1170"/>
      <c r="AB125" s="1170"/>
      <c r="AC125" s="1170"/>
      <c r="AD125" s="1170"/>
      <c r="AE125" s="1170"/>
      <c r="AF125" s="1170"/>
      <c r="AG125" s="1168">
        <f>'S03-4 - SO 03 - Operačky ...'!J30</f>
        <v>24395.96</v>
      </c>
      <c r="AH125" s="1169"/>
      <c r="AI125" s="1169"/>
      <c r="AJ125" s="1169"/>
      <c r="AK125" s="1169"/>
      <c r="AL125" s="1169"/>
      <c r="AM125" s="1169"/>
      <c r="AN125" s="1178">
        <f>'S03-4 - SO 03 - Operačky ...'!AE30</f>
        <v>25353.06</v>
      </c>
      <c r="AO125" s="1179"/>
      <c r="AP125" s="1180"/>
      <c r="AQ125" s="63" t="s">
        <v>62</v>
      </c>
      <c r="AR125" s="430">
        <v>28</v>
      </c>
      <c r="AS125" s="64">
        <v>0</v>
      </c>
      <c r="AT125" s="65">
        <f t="shared" si="0"/>
        <v>4879.1899999999996</v>
      </c>
      <c r="AU125" s="66" t="e">
        <f>'S03-4 - SO 03 - Operačky ...'!P125</f>
        <v>#REF!</v>
      </c>
      <c r="AV125" s="65">
        <f>'S03-4 - SO 03 - Operačky ...'!J33</f>
        <v>0</v>
      </c>
      <c r="AW125" s="65">
        <f>'S03-4 - SO 03 - Operačky ...'!J34</f>
        <v>4879.1899999999996</v>
      </c>
      <c r="AX125" s="65">
        <f>'S03-4 - SO 03 - Operačky ...'!J35</f>
        <v>0</v>
      </c>
      <c r="AY125" s="65">
        <f>'S03-4 - SO 03 - Operačky ...'!J36</f>
        <v>0</v>
      </c>
      <c r="AZ125" s="65">
        <f>'S03-4 - SO 03 - Operačky ...'!F33</f>
        <v>0</v>
      </c>
      <c r="BA125" s="65">
        <f>'S03-4 - SO 03 - Operačky ...'!F34</f>
        <v>24395.96</v>
      </c>
      <c r="BB125" s="65">
        <f>'S03-4 - SO 03 - Operačky ...'!F35</f>
        <v>0</v>
      </c>
      <c r="BC125" s="65">
        <f>'S03-4 - SO 03 - Operačky ...'!F36</f>
        <v>0</v>
      </c>
      <c r="BD125" s="67">
        <f>'S03-4 - SO 03 - Operačky ...'!F37</f>
        <v>0</v>
      </c>
      <c r="BT125" s="68"/>
      <c r="BV125" s="68"/>
      <c r="BW125" s="68"/>
      <c r="BX125" s="68"/>
      <c r="CL125" s="68"/>
      <c r="CM125" s="68"/>
    </row>
    <row r="126" spans="1:91" s="6" customFormat="1" ht="17.55" customHeight="1" x14ac:dyDescent="0.2">
      <c r="A126" s="61" t="s">
        <v>59</v>
      </c>
      <c r="B126" s="62"/>
      <c r="C126" s="434"/>
      <c r="D126" s="1174" t="s">
        <v>153</v>
      </c>
      <c r="E126" s="1174"/>
      <c r="F126" s="1174"/>
      <c r="G126" s="1174"/>
      <c r="H126" s="1174"/>
      <c r="I126" s="432"/>
      <c r="J126" s="1170" t="s">
        <v>154</v>
      </c>
      <c r="K126" s="1170"/>
      <c r="L126" s="1170"/>
      <c r="M126" s="1170"/>
      <c r="N126" s="1170"/>
      <c r="O126" s="1170"/>
      <c r="P126" s="1170"/>
      <c r="Q126" s="1170"/>
      <c r="R126" s="1170"/>
      <c r="S126" s="1170"/>
      <c r="T126" s="1170"/>
      <c r="U126" s="1170"/>
      <c r="V126" s="1170"/>
      <c r="W126" s="1170"/>
      <c r="X126" s="1170"/>
      <c r="Y126" s="1170"/>
      <c r="Z126" s="1170"/>
      <c r="AA126" s="1170"/>
      <c r="AB126" s="1170"/>
      <c r="AC126" s="1170"/>
      <c r="AD126" s="1170"/>
      <c r="AE126" s="1170"/>
      <c r="AF126" s="1170"/>
      <c r="AG126" s="1168">
        <f>'S03-5 - SO 03 - Operačky ...'!J30</f>
        <v>32199.97</v>
      </c>
      <c r="AH126" s="1169"/>
      <c r="AI126" s="1169"/>
      <c r="AJ126" s="1169"/>
      <c r="AK126" s="1169"/>
      <c r="AL126" s="1169"/>
      <c r="AM126" s="1169"/>
      <c r="AN126" s="1178">
        <f>'S03-5 - SO 03 - Operačky ...'!AE30</f>
        <v>43311.68</v>
      </c>
      <c r="AO126" s="1179"/>
      <c r="AP126" s="1180"/>
      <c r="AQ126" s="63" t="s">
        <v>62</v>
      </c>
      <c r="AR126" s="430" t="s">
        <v>6812</v>
      </c>
      <c r="AS126" s="64">
        <v>0</v>
      </c>
      <c r="AT126" s="65">
        <f t="shared" si="0"/>
        <v>6439.99</v>
      </c>
      <c r="AU126" s="66" t="e">
        <f>'S03-5 - SO 03 - Operačky ...'!P155</f>
        <v>#REF!</v>
      </c>
      <c r="AV126" s="65">
        <f>'S03-5 - SO 03 - Operačky ...'!J33</f>
        <v>0</v>
      </c>
      <c r="AW126" s="65">
        <f>'S03-5 - SO 03 - Operačky ...'!J34</f>
        <v>6439.99</v>
      </c>
      <c r="AX126" s="65">
        <f>'S03-5 - SO 03 - Operačky ...'!J35</f>
        <v>0</v>
      </c>
      <c r="AY126" s="65">
        <f>'S03-5 - SO 03 - Operačky ...'!J36</f>
        <v>0</v>
      </c>
      <c r="AZ126" s="65">
        <f>'S03-5 - SO 03 - Operačky ...'!F33</f>
        <v>0</v>
      </c>
      <c r="BA126" s="65">
        <f>'S03-5 - SO 03 - Operačky ...'!F34</f>
        <v>32199.97</v>
      </c>
      <c r="BB126" s="65">
        <f>'S03-5 - SO 03 - Operačky ...'!F35</f>
        <v>0</v>
      </c>
      <c r="BC126" s="65">
        <f>'S03-5 - SO 03 - Operačky ...'!F36</f>
        <v>0</v>
      </c>
      <c r="BD126" s="67">
        <f>'S03-5 - SO 03 - Operačky ...'!F37</f>
        <v>0</v>
      </c>
      <c r="BE126" s="437"/>
      <c r="BT126" s="68"/>
      <c r="BV126" s="68"/>
      <c r="BW126" s="68"/>
      <c r="BX126" s="68"/>
      <c r="CL126" s="68"/>
      <c r="CM126" s="68"/>
    </row>
    <row r="127" spans="1:91" s="6" customFormat="1" ht="17.55" customHeight="1" x14ac:dyDescent="0.2">
      <c r="A127" s="61" t="s">
        <v>59</v>
      </c>
      <c r="B127" s="62"/>
      <c r="C127" s="434"/>
      <c r="D127" s="1174" t="s">
        <v>156</v>
      </c>
      <c r="E127" s="1174"/>
      <c r="F127" s="1174"/>
      <c r="G127" s="1174"/>
      <c r="H127" s="1174"/>
      <c r="I127" s="432"/>
      <c r="J127" s="1170" t="s">
        <v>157</v>
      </c>
      <c r="K127" s="1170"/>
      <c r="L127" s="1170"/>
      <c r="M127" s="1170"/>
      <c r="N127" s="1170"/>
      <c r="O127" s="1170"/>
      <c r="P127" s="1170"/>
      <c r="Q127" s="1170"/>
      <c r="R127" s="1170"/>
      <c r="S127" s="1170"/>
      <c r="T127" s="1170"/>
      <c r="U127" s="1170"/>
      <c r="V127" s="1170"/>
      <c r="W127" s="1170"/>
      <c r="X127" s="1170"/>
      <c r="Y127" s="1170"/>
      <c r="Z127" s="1170"/>
      <c r="AA127" s="1170"/>
      <c r="AB127" s="1170"/>
      <c r="AC127" s="1170"/>
      <c r="AD127" s="1170"/>
      <c r="AE127" s="1170"/>
      <c r="AF127" s="1170"/>
      <c r="AG127" s="1168">
        <f>'S03-61 - SO 03 - Operačky...'!J30</f>
        <v>22713.040000000001</v>
      </c>
      <c r="AH127" s="1169"/>
      <c r="AI127" s="1169"/>
      <c r="AJ127" s="1169"/>
      <c r="AK127" s="1169"/>
      <c r="AL127" s="1169"/>
      <c r="AM127" s="1169"/>
      <c r="AN127" s="1178">
        <f>'S03-61 - SO 03 - Operačky...'!AE117</f>
        <v>15267.779999999999</v>
      </c>
      <c r="AO127" s="1179"/>
      <c r="AP127" s="1180"/>
      <c r="AQ127" s="63" t="s">
        <v>62</v>
      </c>
      <c r="AR127" s="430">
        <v>21.28</v>
      </c>
      <c r="AS127" s="64">
        <v>0</v>
      </c>
      <c r="AT127" s="65">
        <f t="shared" si="0"/>
        <v>4542.6099999999997</v>
      </c>
      <c r="AU127" s="66">
        <f>'S03-61 - SO 03 - Operačky...'!P117</f>
        <v>0</v>
      </c>
      <c r="AV127" s="65">
        <f>'S03-61 - SO 03 - Operačky...'!J33</f>
        <v>0</v>
      </c>
      <c r="AW127" s="65">
        <f>'S03-61 - SO 03 - Operačky...'!J34</f>
        <v>4542.6099999999997</v>
      </c>
      <c r="AX127" s="65">
        <f>'S03-61 - SO 03 - Operačky...'!J35</f>
        <v>0</v>
      </c>
      <c r="AY127" s="65">
        <f>'S03-61 - SO 03 - Operačky...'!J36</f>
        <v>0</v>
      </c>
      <c r="AZ127" s="65">
        <f>'S03-61 - SO 03 - Operačky...'!F33</f>
        <v>0</v>
      </c>
      <c r="BA127" s="65">
        <f>'S03-61 - SO 03 - Operačky...'!F34</f>
        <v>22713.040000000001</v>
      </c>
      <c r="BB127" s="65">
        <f>'S03-61 - SO 03 - Operačky...'!F35</f>
        <v>0</v>
      </c>
      <c r="BC127" s="65">
        <f>'S03-61 - SO 03 - Operačky...'!F36</f>
        <v>0</v>
      </c>
      <c r="BD127" s="67">
        <f>'S03-61 - SO 03 - Operačky...'!F37</f>
        <v>0</v>
      </c>
      <c r="BT127" s="68"/>
      <c r="BV127" s="68"/>
      <c r="BW127" s="68"/>
      <c r="BX127" s="68"/>
      <c r="CL127" s="68"/>
      <c r="CM127" s="68"/>
    </row>
    <row r="128" spans="1:91" s="6" customFormat="1" ht="17.55" customHeight="1" x14ac:dyDescent="0.2">
      <c r="A128" s="61" t="s">
        <v>59</v>
      </c>
      <c r="B128" s="62"/>
      <c r="C128" s="434"/>
      <c r="D128" s="1174" t="s">
        <v>159</v>
      </c>
      <c r="E128" s="1174"/>
      <c r="F128" s="1174"/>
      <c r="G128" s="1174"/>
      <c r="H128" s="1174"/>
      <c r="I128" s="432"/>
      <c r="J128" s="1170" t="s">
        <v>160</v>
      </c>
      <c r="K128" s="1170"/>
      <c r="L128" s="1170"/>
      <c r="M128" s="1170"/>
      <c r="N128" s="1170"/>
      <c r="O128" s="1170"/>
      <c r="P128" s="1170"/>
      <c r="Q128" s="1170"/>
      <c r="R128" s="1170"/>
      <c r="S128" s="1170"/>
      <c r="T128" s="1170"/>
      <c r="U128" s="1170"/>
      <c r="V128" s="1170"/>
      <c r="W128" s="1170"/>
      <c r="X128" s="1170"/>
      <c r="Y128" s="1170"/>
      <c r="Z128" s="1170"/>
      <c r="AA128" s="1170"/>
      <c r="AB128" s="1170"/>
      <c r="AC128" s="1170"/>
      <c r="AD128" s="1170"/>
      <c r="AE128" s="1170"/>
      <c r="AF128" s="1170"/>
      <c r="AG128" s="1168">
        <f>'S03-6 - SO 03 - Operačky ...'!J30</f>
        <v>148198.6</v>
      </c>
      <c r="AH128" s="1169"/>
      <c r="AI128" s="1169"/>
      <c r="AJ128" s="1169"/>
      <c r="AK128" s="1169"/>
      <c r="AL128" s="1169"/>
      <c r="AM128" s="1169"/>
      <c r="AN128" s="1178">
        <f>'S03-6 - SO 03 - Operačky ...'!AE30</f>
        <v>181104.1</v>
      </c>
      <c r="AO128" s="1179"/>
      <c r="AP128" s="1180"/>
      <c r="AQ128" s="63" t="s">
        <v>62</v>
      </c>
      <c r="AR128" s="430" t="s">
        <v>6813</v>
      </c>
      <c r="AS128" s="64">
        <v>0</v>
      </c>
      <c r="AT128" s="65">
        <f t="shared" si="0"/>
        <v>29639.72</v>
      </c>
      <c r="AU128" s="66">
        <f>'S03-6 - SO 03 - Operačky ...'!P118</f>
        <v>0</v>
      </c>
      <c r="AV128" s="65">
        <f>'S03-6 - SO 03 - Operačky ...'!J33</f>
        <v>0</v>
      </c>
      <c r="AW128" s="65">
        <f>'S03-6 - SO 03 - Operačky ...'!J34</f>
        <v>29639.72</v>
      </c>
      <c r="AX128" s="65">
        <f>'S03-6 - SO 03 - Operačky ...'!J35</f>
        <v>0</v>
      </c>
      <c r="AY128" s="65">
        <f>'S03-6 - SO 03 - Operačky ...'!J36</f>
        <v>0</v>
      </c>
      <c r="AZ128" s="65">
        <f>'S03-6 - SO 03 - Operačky ...'!F33</f>
        <v>0</v>
      </c>
      <c r="BA128" s="65">
        <f>'S03-6 - SO 03 - Operačky ...'!F34</f>
        <v>148198.6</v>
      </c>
      <c r="BB128" s="65">
        <f>'S03-6 - SO 03 - Operačky ...'!F35</f>
        <v>0</v>
      </c>
      <c r="BC128" s="65">
        <f>'S03-6 - SO 03 - Operačky ...'!F36</f>
        <v>0</v>
      </c>
      <c r="BD128" s="67">
        <f>'S03-6 - SO 03 - Operačky ...'!F37</f>
        <v>0</v>
      </c>
      <c r="BT128" s="68"/>
      <c r="BV128" s="68"/>
      <c r="BW128" s="68"/>
      <c r="BX128" s="68"/>
      <c r="CL128" s="68"/>
      <c r="CM128" s="68"/>
    </row>
    <row r="129" spans="1:91" s="6" customFormat="1" ht="17.55" customHeight="1" x14ac:dyDescent="0.2">
      <c r="A129" s="61" t="s">
        <v>59</v>
      </c>
      <c r="B129" s="62"/>
      <c r="C129" s="434"/>
      <c r="D129" s="1174" t="s">
        <v>162</v>
      </c>
      <c r="E129" s="1174"/>
      <c r="F129" s="1174"/>
      <c r="G129" s="1174"/>
      <c r="H129" s="1174"/>
      <c r="I129" s="432"/>
      <c r="J129" s="1170" t="s">
        <v>163</v>
      </c>
      <c r="K129" s="1170"/>
      <c r="L129" s="1170"/>
      <c r="M129" s="1170"/>
      <c r="N129" s="1170"/>
      <c r="O129" s="1170"/>
      <c r="P129" s="1170"/>
      <c r="Q129" s="1170"/>
      <c r="R129" s="1170"/>
      <c r="S129" s="1170"/>
      <c r="T129" s="1170"/>
      <c r="U129" s="1170"/>
      <c r="V129" s="1170"/>
      <c r="W129" s="1170"/>
      <c r="X129" s="1170"/>
      <c r="Y129" s="1170"/>
      <c r="Z129" s="1170"/>
      <c r="AA129" s="1170"/>
      <c r="AB129" s="1170"/>
      <c r="AC129" s="1170"/>
      <c r="AD129" s="1170"/>
      <c r="AE129" s="1170"/>
      <c r="AF129" s="1170"/>
      <c r="AG129" s="1168">
        <f>'S03-7 - SO 03 - Operačky ...'!J30</f>
        <v>1753.04</v>
      </c>
      <c r="AH129" s="1169"/>
      <c r="AI129" s="1169"/>
      <c r="AJ129" s="1169"/>
      <c r="AK129" s="1169"/>
      <c r="AL129" s="1169"/>
      <c r="AM129" s="1169"/>
      <c r="AN129" s="1178">
        <f>'S03-7 - SO 03 - Operačky ...'!AE30</f>
        <v>6772.03</v>
      </c>
      <c r="AO129" s="1179"/>
      <c r="AP129" s="1180"/>
      <c r="AQ129" s="63" t="s">
        <v>62</v>
      </c>
      <c r="AR129" s="430">
        <v>6.28</v>
      </c>
      <c r="AS129" s="64">
        <v>0</v>
      </c>
      <c r="AT129" s="65">
        <f t="shared" si="0"/>
        <v>350.61</v>
      </c>
      <c r="AU129" s="66" t="e">
        <f>'S03-7 - SO 03 - Operačky ...'!P124</f>
        <v>#REF!</v>
      </c>
      <c r="AV129" s="65">
        <f>'S03-7 - SO 03 - Operačky ...'!J33</f>
        <v>0</v>
      </c>
      <c r="AW129" s="65">
        <f>'S03-7 - SO 03 - Operačky ...'!J34</f>
        <v>350.608</v>
      </c>
      <c r="AX129" s="65">
        <f>'S03-7 - SO 03 - Operačky ...'!J35</f>
        <v>0</v>
      </c>
      <c r="AY129" s="65">
        <f>'S03-7 - SO 03 - Operačky ...'!J36</f>
        <v>0</v>
      </c>
      <c r="AZ129" s="65">
        <f>'S03-7 - SO 03 - Operačky ...'!F33</f>
        <v>0</v>
      </c>
      <c r="BA129" s="65">
        <f>'S03-7 - SO 03 - Operačky ...'!F34</f>
        <v>1753.04</v>
      </c>
      <c r="BB129" s="65">
        <f>'S03-7 - SO 03 - Operačky ...'!F35</f>
        <v>0</v>
      </c>
      <c r="BC129" s="65">
        <f>'S03-7 - SO 03 - Operačky ...'!F36</f>
        <v>0</v>
      </c>
      <c r="BD129" s="67">
        <f>'S03-7 - SO 03 - Operačky ...'!F37</f>
        <v>0</v>
      </c>
      <c r="BT129" s="68"/>
      <c r="BV129" s="68"/>
      <c r="BW129" s="68"/>
      <c r="BX129" s="68"/>
      <c r="CL129" s="68"/>
      <c r="CM129" s="68"/>
    </row>
    <row r="130" spans="1:91" s="6" customFormat="1" ht="17.55" customHeight="1" x14ac:dyDescent="0.2">
      <c r="A130" s="61" t="s">
        <v>59</v>
      </c>
      <c r="B130" s="62"/>
      <c r="C130" s="434"/>
      <c r="D130" s="1174" t="s">
        <v>165</v>
      </c>
      <c r="E130" s="1174"/>
      <c r="F130" s="1174"/>
      <c r="G130" s="1174"/>
      <c r="H130" s="1174"/>
      <c r="I130" s="432"/>
      <c r="J130" s="1170" t="s">
        <v>166</v>
      </c>
      <c r="K130" s="1170"/>
      <c r="L130" s="1170"/>
      <c r="M130" s="1170"/>
      <c r="N130" s="1170"/>
      <c r="O130" s="1170"/>
      <c r="P130" s="1170"/>
      <c r="Q130" s="1170"/>
      <c r="R130" s="1170"/>
      <c r="S130" s="1170"/>
      <c r="T130" s="1170"/>
      <c r="U130" s="1170"/>
      <c r="V130" s="1170"/>
      <c r="W130" s="1170"/>
      <c r="X130" s="1170"/>
      <c r="Y130" s="1170"/>
      <c r="Z130" s="1170"/>
      <c r="AA130" s="1170"/>
      <c r="AB130" s="1170"/>
      <c r="AC130" s="1170"/>
      <c r="AD130" s="1170"/>
      <c r="AE130" s="1170"/>
      <c r="AF130" s="1170"/>
      <c r="AG130" s="1168">
        <f>'S03-7.0 - SO 03-7 - Čisté...'!J30</f>
        <v>2500</v>
      </c>
      <c r="AH130" s="1169"/>
      <c r="AI130" s="1169"/>
      <c r="AJ130" s="1169"/>
      <c r="AK130" s="1169"/>
      <c r="AL130" s="1169"/>
      <c r="AM130" s="1169"/>
      <c r="AN130" s="1171">
        <f>AG130</f>
        <v>2500</v>
      </c>
      <c r="AO130" s="1172"/>
      <c r="AP130" s="1181"/>
      <c r="AQ130" s="63" t="s">
        <v>62</v>
      </c>
      <c r="AR130" s="430"/>
      <c r="AS130" s="64">
        <v>0</v>
      </c>
      <c r="AT130" s="65">
        <f t="shared" si="0"/>
        <v>500</v>
      </c>
      <c r="AU130" s="66">
        <f>'S03-7.0 - SO 03-7 - Čisté...'!P117</f>
        <v>0</v>
      </c>
      <c r="AV130" s="65">
        <f>'S03-7.0 - SO 03-7 - Čisté...'!J33</f>
        <v>0</v>
      </c>
      <c r="AW130" s="65">
        <f>'S03-7.0 - SO 03-7 - Čisté...'!J34</f>
        <v>500</v>
      </c>
      <c r="AX130" s="65">
        <f>'S03-7.0 - SO 03-7 - Čisté...'!J35</f>
        <v>0</v>
      </c>
      <c r="AY130" s="65">
        <f>'S03-7.0 - SO 03-7 - Čisté...'!J36</f>
        <v>0</v>
      </c>
      <c r="AZ130" s="65">
        <f>'S03-7.0 - SO 03-7 - Čisté...'!F33</f>
        <v>0</v>
      </c>
      <c r="BA130" s="65">
        <f>'S03-7.0 - SO 03-7 - Čisté...'!F34</f>
        <v>2500</v>
      </c>
      <c r="BB130" s="65">
        <f>'S03-7.0 - SO 03-7 - Čisté...'!F35</f>
        <v>0</v>
      </c>
      <c r="BC130" s="65">
        <f>'S03-7.0 - SO 03-7 - Čisté...'!F36</f>
        <v>0</v>
      </c>
      <c r="BD130" s="67">
        <f>'S03-7.0 - SO 03-7 - Čisté...'!F37</f>
        <v>0</v>
      </c>
      <c r="BT130" s="68"/>
      <c r="BV130" s="68"/>
      <c r="BW130" s="68"/>
      <c r="BX130" s="68"/>
      <c r="CL130" s="68"/>
      <c r="CM130" s="68"/>
    </row>
    <row r="131" spans="1:91" s="6" customFormat="1" ht="17.55" customHeight="1" x14ac:dyDescent="0.2">
      <c r="A131" s="61" t="s">
        <v>59</v>
      </c>
      <c r="B131" s="62"/>
      <c r="C131" s="434"/>
      <c r="D131" s="1174" t="s">
        <v>168</v>
      </c>
      <c r="E131" s="1174"/>
      <c r="F131" s="1174"/>
      <c r="G131" s="1174"/>
      <c r="H131" s="1174"/>
      <c r="I131" s="432"/>
      <c r="J131" s="1170" t="s">
        <v>169</v>
      </c>
      <c r="K131" s="1170"/>
      <c r="L131" s="1170"/>
      <c r="M131" s="1170"/>
      <c r="N131" s="1170"/>
      <c r="O131" s="1170"/>
      <c r="P131" s="1170"/>
      <c r="Q131" s="1170"/>
      <c r="R131" s="1170"/>
      <c r="S131" s="1170"/>
      <c r="T131" s="1170"/>
      <c r="U131" s="1170"/>
      <c r="V131" s="1170"/>
      <c r="W131" s="1170"/>
      <c r="X131" s="1170"/>
      <c r="Y131" s="1170"/>
      <c r="Z131" s="1170"/>
      <c r="AA131" s="1170"/>
      <c r="AB131" s="1170"/>
      <c r="AC131" s="1170"/>
      <c r="AD131" s="1170"/>
      <c r="AE131" s="1170"/>
      <c r="AF131" s="1170"/>
      <c r="AG131" s="1168">
        <f>'S03-8.1 - SO 03-81 - Vsta...'!J30</f>
        <v>326088.57</v>
      </c>
      <c r="AH131" s="1169"/>
      <c r="AI131" s="1169"/>
      <c r="AJ131" s="1169"/>
      <c r="AK131" s="1169"/>
      <c r="AL131" s="1169"/>
      <c r="AM131" s="1169"/>
      <c r="AN131" s="1178">
        <f>'S03-8.1 - SO 03-81 - Vsta...'!AE121</f>
        <v>316741.39999999991</v>
      </c>
      <c r="AO131" s="1179"/>
      <c r="AP131" s="1180"/>
      <c r="AQ131" s="63" t="s">
        <v>62</v>
      </c>
      <c r="AR131" s="430" t="s">
        <v>6371</v>
      </c>
      <c r="AS131" s="64">
        <v>0</v>
      </c>
      <c r="AT131" s="65">
        <f t="shared" si="0"/>
        <v>65217.71</v>
      </c>
      <c r="AU131" s="66">
        <f>'S03-8.1 - SO 03-81 - Vsta...'!P121</f>
        <v>0</v>
      </c>
      <c r="AV131" s="65">
        <f>'S03-8.1 - SO 03-81 - Vsta...'!J33</f>
        <v>0</v>
      </c>
      <c r="AW131" s="65">
        <f>'S03-8.1 - SO 03-81 - Vsta...'!J34</f>
        <v>65217.71</v>
      </c>
      <c r="AX131" s="65">
        <f>'S03-8.1 - SO 03-81 - Vsta...'!J35</f>
        <v>0</v>
      </c>
      <c r="AY131" s="65">
        <f>'S03-8.1 - SO 03-81 - Vsta...'!J36</f>
        <v>0</v>
      </c>
      <c r="AZ131" s="65">
        <f>'S03-8.1 - SO 03-81 - Vsta...'!F33</f>
        <v>0</v>
      </c>
      <c r="BA131" s="65">
        <f>'S03-8.1 - SO 03-81 - Vsta...'!F34</f>
        <v>326088.57</v>
      </c>
      <c r="BB131" s="65">
        <f>'S03-8.1 - SO 03-81 - Vsta...'!F35</f>
        <v>0</v>
      </c>
      <c r="BC131" s="65">
        <f>'S03-8.1 - SO 03-81 - Vsta...'!F36</f>
        <v>0</v>
      </c>
      <c r="BD131" s="67">
        <f>'S03-8.1 - SO 03-81 - Vsta...'!F37</f>
        <v>0</v>
      </c>
      <c r="BE131" s="437"/>
      <c r="BT131" s="68"/>
      <c r="BV131" s="68"/>
      <c r="BW131" s="68"/>
      <c r="BX131" s="68"/>
      <c r="CL131" s="68"/>
      <c r="CM131" s="68"/>
    </row>
    <row r="132" spans="1:91" s="6" customFormat="1" ht="17.55" customHeight="1" x14ac:dyDescent="0.2">
      <c r="A132" s="61" t="s">
        <v>59</v>
      </c>
      <c r="B132" s="62"/>
      <c r="C132" s="434"/>
      <c r="D132" s="1174" t="s">
        <v>171</v>
      </c>
      <c r="E132" s="1174"/>
      <c r="F132" s="1174"/>
      <c r="G132" s="1174"/>
      <c r="H132" s="1174"/>
      <c r="I132" s="432"/>
      <c r="J132" s="1170" t="s">
        <v>5201</v>
      </c>
      <c r="K132" s="1170"/>
      <c r="L132" s="1170"/>
      <c r="M132" s="1170"/>
      <c r="N132" s="1170"/>
      <c r="O132" s="1170"/>
      <c r="P132" s="1170"/>
      <c r="Q132" s="1170"/>
      <c r="R132" s="1170"/>
      <c r="S132" s="1170"/>
      <c r="T132" s="1170"/>
      <c r="U132" s="1170"/>
      <c r="V132" s="1170"/>
      <c r="W132" s="1170"/>
      <c r="X132" s="1170"/>
      <c r="Y132" s="1170"/>
      <c r="Z132" s="1170"/>
      <c r="AA132" s="1170"/>
      <c r="AB132" s="1170"/>
      <c r="AC132" s="1170"/>
      <c r="AD132" s="1170"/>
      <c r="AE132" s="1170"/>
      <c r="AF132" s="1170"/>
      <c r="AG132" s="1168">
        <f>'S03-8.2 - SO 03-82 - Zdra...'!J30</f>
        <v>20312.86</v>
      </c>
      <c r="AH132" s="1169"/>
      <c r="AI132" s="1169"/>
      <c r="AJ132" s="1169"/>
      <c r="AK132" s="1169"/>
      <c r="AL132" s="1169"/>
      <c r="AM132" s="1169"/>
      <c r="AN132" s="1171">
        <f t="shared" ref="AN132:AN135" si="3">AG132</f>
        <v>20312.86</v>
      </c>
      <c r="AO132" s="1172"/>
      <c r="AP132" s="1181"/>
      <c r="AQ132" s="63" t="s">
        <v>62</v>
      </c>
      <c r="AR132" s="430"/>
      <c r="AS132" s="64">
        <v>0</v>
      </c>
      <c r="AT132" s="65">
        <f t="shared" si="0"/>
        <v>4062.57</v>
      </c>
      <c r="AU132" s="66">
        <f>'S03-8.2 - SO 03-82 - Zdra...'!P117</f>
        <v>0</v>
      </c>
      <c r="AV132" s="65">
        <f>'S03-8.2 - SO 03-82 - Zdra...'!J33</f>
        <v>0</v>
      </c>
      <c r="AW132" s="65">
        <f>'S03-8.2 - SO 03-82 - Zdra...'!J34</f>
        <v>4062.57</v>
      </c>
      <c r="AX132" s="65">
        <f>'S03-8.2 - SO 03-82 - Zdra...'!J35</f>
        <v>0</v>
      </c>
      <c r="AY132" s="65">
        <f>'S03-8.2 - SO 03-82 - Zdra...'!J36</f>
        <v>0</v>
      </c>
      <c r="AZ132" s="65">
        <f>'S03-8.2 - SO 03-82 - Zdra...'!F33</f>
        <v>0</v>
      </c>
      <c r="BA132" s="65">
        <f>'S03-8.2 - SO 03-82 - Zdra...'!F34</f>
        <v>20312.86</v>
      </c>
      <c r="BB132" s="65">
        <f>'S03-8.2 - SO 03-82 - Zdra...'!F35</f>
        <v>0</v>
      </c>
      <c r="BC132" s="65">
        <f>'S03-8.2 - SO 03-82 - Zdra...'!F36</f>
        <v>0</v>
      </c>
      <c r="BD132" s="67">
        <f>'S03-8.2 - SO 03-82 - Zdra...'!F37</f>
        <v>0</v>
      </c>
      <c r="BT132" s="68"/>
      <c r="BV132" s="68"/>
      <c r="BW132" s="68"/>
      <c r="BX132" s="68"/>
      <c r="CL132" s="68"/>
      <c r="CM132" s="68"/>
    </row>
    <row r="133" spans="1:91" s="6" customFormat="1" ht="17.55" customHeight="1" x14ac:dyDescent="0.2">
      <c r="A133" s="61" t="s">
        <v>59</v>
      </c>
      <c r="B133" s="62"/>
      <c r="C133" s="434"/>
      <c r="D133" s="1174" t="s">
        <v>173</v>
      </c>
      <c r="E133" s="1174"/>
      <c r="F133" s="1174"/>
      <c r="G133" s="1174"/>
      <c r="H133" s="1174"/>
      <c r="I133" s="432"/>
      <c r="J133" s="1170" t="s">
        <v>174</v>
      </c>
      <c r="K133" s="1170"/>
      <c r="L133" s="1170"/>
      <c r="M133" s="1170"/>
      <c r="N133" s="1170"/>
      <c r="O133" s="1170"/>
      <c r="P133" s="1170"/>
      <c r="Q133" s="1170"/>
      <c r="R133" s="1170"/>
      <c r="S133" s="1170"/>
      <c r="T133" s="1170"/>
      <c r="U133" s="1170"/>
      <c r="V133" s="1170"/>
      <c r="W133" s="1170"/>
      <c r="X133" s="1170"/>
      <c r="Y133" s="1170"/>
      <c r="Z133" s="1170"/>
      <c r="AA133" s="1170"/>
      <c r="AB133" s="1170"/>
      <c r="AC133" s="1170"/>
      <c r="AD133" s="1170"/>
      <c r="AE133" s="1170"/>
      <c r="AF133" s="1170"/>
      <c r="AG133" s="1168">
        <f>'S03-8.3 - SO 03-83 - VZT'!J30</f>
        <v>225203.92</v>
      </c>
      <c r="AH133" s="1169"/>
      <c r="AI133" s="1169"/>
      <c r="AJ133" s="1169"/>
      <c r="AK133" s="1169"/>
      <c r="AL133" s="1169"/>
      <c r="AM133" s="1169"/>
      <c r="AN133" s="1178">
        <f>'S03-8.3 - SO 03-83 - VZT'!AE120</f>
        <v>224126.27999999997</v>
      </c>
      <c r="AO133" s="1179"/>
      <c r="AP133" s="1180"/>
      <c r="AQ133" s="63" t="s">
        <v>62</v>
      </c>
      <c r="AR133" s="430" t="s">
        <v>6371</v>
      </c>
      <c r="AS133" s="64">
        <v>0</v>
      </c>
      <c r="AT133" s="65">
        <f t="shared" si="0"/>
        <v>45040.78</v>
      </c>
      <c r="AU133" s="66">
        <f>'S03-8.3 - SO 03-83 - VZT'!P120</f>
        <v>0</v>
      </c>
      <c r="AV133" s="65">
        <f>'S03-8.3 - SO 03-83 - VZT'!J33</f>
        <v>0</v>
      </c>
      <c r="AW133" s="65">
        <f>'S03-8.3 - SO 03-83 - VZT'!J34</f>
        <v>45040.78</v>
      </c>
      <c r="AX133" s="65">
        <f>'S03-8.3 - SO 03-83 - VZT'!J35</f>
        <v>0</v>
      </c>
      <c r="AY133" s="65">
        <f>'S03-8.3 - SO 03-83 - VZT'!J36</f>
        <v>0</v>
      </c>
      <c r="AZ133" s="65">
        <f>'S03-8.3 - SO 03-83 - VZT'!F33</f>
        <v>0</v>
      </c>
      <c r="BA133" s="65">
        <f>'S03-8.3 - SO 03-83 - VZT'!F34</f>
        <v>225203.92</v>
      </c>
      <c r="BB133" s="65">
        <f>'S03-8.3 - SO 03-83 - VZT'!F35</f>
        <v>0</v>
      </c>
      <c r="BC133" s="65">
        <f>'S03-8.3 - SO 03-83 - VZT'!F36</f>
        <v>0</v>
      </c>
      <c r="BD133" s="67">
        <f>'S03-8.3 - SO 03-83 - VZT'!F37</f>
        <v>0</v>
      </c>
      <c r="BT133" s="68"/>
      <c r="BV133" s="68"/>
      <c r="BW133" s="68"/>
      <c r="BX133" s="68"/>
      <c r="CL133" s="68"/>
      <c r="CM133" s="68"/>
    </row>
    <row r="134" spans="1:91" s="6" customFormat="1" ht="17.55" customHeight="1" x14ac:dyDescent="0.2">
      <c r="A134" s="61" t="s">
        <v>59</v>
      </c>
      <c r="B134" s="62"/>
      <c r="C134" s="434"/>
      <c r="D134" s="1174" t="s">
        <v>176</v>
      </c>
      <c r="E134" s="1174"/>
      <c r="F134" s="1174"/>
      <c r="G134" s="1174"/>
      <c r="H134" s="1174"/>
      <c r="I134" s="432"/>
      <c r="J134" s="1170" t="s">
        <v>177</v>
      </c>
      <c r="K134" s="1170"/>
      <c r="L134" s="1170"/>
      <c r="M134" s="1170"/>
      <c r="N134" s="1170"/>
      <c r="O134" s="1170"/>
      <c r="P134" s="1170"/>
      <c r="Q134" s="1170"/>
      <c r="R134" s="1170"/>
      <c r="S134" s="1170"/>
      <c r="T134" s="1170"/>
      <c r="U134" s="1170"/>
      <c r="V134" s="1170"/>
      <c r="W134" s="1170"/>
      <c r="X134" s="1170"/>
      <c r="Y134" s="1170"/>
      <c r="Z134" s="1170"/>
      <c r="AA134" s="1170"/>
      <c r="AB134" s="1170"/>
      <c r="AC134" s="1170"/>
      <c r="AD134" s="1170"/>
      <c r="AE134" s="1170"/>
      <c r="AF134" s="1170"/>
      <c r="AG134" s="1168">
        <f>'S03-8.4 - SO 03-84 - Trub...'!J30</f>
        <v>352425</v>
      </c>
      <c r="AH134" s="1169"/>
      <c r="AI134" s="1169"/>
      <c r="AJ134" s="1169"/>
      <c r="AK134" s="1169"/>
      <c r="AL134" s="1169"/>
      <c r="AM134" s="1169"/>
      <c r="AN134" s="1178">
        <f>'S03-8.4 - SO 03-84 - Trub...'!AE30</f>
        <v>343445.59</v>
      </c>
      <c r="AO134" s="1179"/>
      <c r="AP134" s="1180"/>
      <c r="AQ134" s="63" t="s">
        <v>62</v>
      </c>
      <c r="AR134" s="430">
        <v>11</v>
      </c>
      <c r="AS134" s="64">
        <v>0</v>
      </c>
      <c r="AT134" s="65">
        <f t="shared" si="0"/>
        <v>68220.52</v>
      </c>
      <c r="AU134" s="66">
        <f>'S03-8.4 - SO 03-84 - Trub...'!P128</f>
        <v>0</v>
      </c>
      <c r="AV134" s="65">
        <f>'S03-8.4 - SO 03-84 - Trub...'!J33</f>
        <v>0</v>
      </c>
      <c r="AW134" s="65">
        <f>'S03-8.4 - SO 03-84 - Trub...'!J34</f>
        <v>68220.52</v>
      </c>
      <c r="AX134" s="65">
        <f>'S03-8.4 - SO 03-84 - Trub...'!J35</f>
        <v>0</v>
      </c>
      <c r="AY134" s="65">
        <f>'S03-8.4 - SO 03-84 - Trub...'!J36</f>
        <v>0</v>
      </c>
      <c r="AZ134" s="65">
        <f>'S03-8.4 - SO 03-84 - Trub...'!F33</f>
        <v>0</v>
      </c>
      <c r="BA134" s="65">
        <f>'S03-8.4 - SO 03-84 - Trub...'!F34</f>
        <v>341102.58</v>
      </c>
      <c r="BB134" s="65">
        <f>'S03-8.4 - SO 03-84 - Trub...'!F35</f>
        <v>0</v>
      </c>
      <c r="BC134" s="65">
        <f>'S03-8.4 - SO 03-84 - Trub...'!F36</f>
        <v>0</v>
      </c>
      <c r="BD134" s="67">
        <f>'S03-8.4 - SO 03-84 - Trub...'!F37</f>
        <v>0</v>
      </c>
      <c r="BE134" s="437"/>
      <c r="BT134" s="68"/>
      <c r="BV134" s="68"/>
      <c r="BW134" s="68"/>
      <c r="BX134" s="68"/>
      <c r="CL134" s="68"/>
      <c r="CM134" s="68"/>
    </row>
    <row r="135" spans="1:91" s="6" customFormat="1" ht="17.55" customHeight="1" x14ac:dyDescent="0.2">
      <c r="A135" s="61" t="s">
        <v>59</v>
      </c>
      <c r="B135" s="62"/>
      <c r="C135" s="434"/>
      <c r="D135" s="1174" t="s">
        <v>179</v>
      </c>
      <c r="E135" s="1174"/>
      <c r="F135" s="1174"/>
      <c r="G135" s="1174"/>
      <c r="H135" s="1174"/>
      <c r="I135" s="432"/>
      <c r="J135" s="1170" t="s">
        <v>180</v>
      </c>
      <c r="K135" s="1170"/>
      <c r="L135" s="1170"/>
      <c r="M135" s="1170"/>
      <c r="N135" s="1170"/>
      <c r="O135" s="1170"/>
      <c r="P135" s="1170"/>
      <c r="Q135" s="1170"/>
      <c r="R135" s="1170"/>
      <c r="S135" s="1170"/>
      <c r="T135" s="1170"/>
      <c r="U135" s="1170"/>
      <c r="V135" s="1170"/>
      <c r="W135" s="1170"/>
      <c r="X135" s="1170"/>
      <c r="Y135" s="1170"/>
      <c r="Z135" s="1170"/>
      <c r="AA135" s="1170"/>
      <c r="AB135" s="1170"/>
      <c r="AC135" s="1170"/>
      <c r="AD135" s="1170"/>
      <c r="AE135" s="1170"/>
      <c r="AF135" s="1170"/>
      <c r="AG135" s="1168">
        <f>'S03-8.5 - SO 03-85 - ELI'!J30</f>
        <v>124843.55</v>
      </c>
      <c r="AH135" s="1169"/>
      <c r="AI135" s="1169"/>
      <c r="AJ135" s="1169"/>
      <c r="AK135" s="1169"/>
      <c r="AL135" s="1169"/>
      <c r="AM135" s="1169"/>
      <c r="AN135" s="1171">
        <f t="shared" si="3"/>
        <v>124843.55</v>
      </c>
      <c r="AO135" s="1172"/>
      <c r="AP135" s="1181"/>
      <c r="AQ135" s="63" t="s">
        <v>62</v>
      </c>
      <c r="AR135" s="430"/>
      <c r="AS135" s="64">
        <v>0</v>
      </c>
      <c r="AT135" s="65">
        <f t="shared" si="0"/>
        <v>24968.71</v>
      </c>
      <c r="AU135" s="66">
        <f>'S03-8.5 - SO 03-85 - ELI'!P144</f>
        <v>0</v>
      </c>
      <c r="AV135" s="65">
        <f>'S03-8.5 - SO 03-85 - ELI'!J33</f>
        <v>0</v>
      </c>
      <c r="AW135" s="65">
        <f>'S03-8.5 - SO 03-85 - ELI'!J34</f>
        <v>24968.71</v>
      </c>
      <c r="AX135" s="65">
        <f>'S03-8.5 - SO 03-85 - ELI'!J35</f>
        <v>0</v>
      </c>
      <c r="AY135" s="65">
        <f>'S03-8.5 - SO 03-85 - ELI'!J36</f>
        <v>0</v>
      </c>
      <c r="AZ135" s="65">
        <f>'S03-8.5 - SO 03-85 - ELI'!F33</f>
        <v>0</v>
      </c>
      <c r="BA135" s="65">
        <f>'S03-8.5 - SO 03-85 - ELI'!F34</f>
        <v>124843.55</v>
      </c>
      <c r="BB135" s="65">
        <f>'S03-8.5 - SO 03-85 - ELI'!F35</f>
        <v>0</v>
      </c>
      <c r="BC135" s="65">
        <f>'S03-8.5 - SO 03-85 - ELI'!F36</f>
        <v>0</v>
      </c>
      <c r="BD135" s="67">
        <f>'S03-8.5 - SO 03-85 - ELI'!F37</f>
        <v>0</v>
      </c>
      <c r="BT135" s="68"/>
      <c r="BV135" s="68"/>
      <c r="BW135" s="68"/>
      <c r="BX135" s="68"/>
      <c r="CL135" s="68"/>
      <c r="CM135" s="68"/>
    </row>
    <row r="136" spans="1:91" s="6" customFormat="1" ht="17.55" customHeight="1" x14ac:dyDescent="0.2">
      <c r="A136" s="61" t="s">
        <v>59</v>
      </c>
      <c r="B136" s="438"/>
      <c r="C136" s="439"/>
      <c r="D136" s="1182" t="s">
        <v>182</v>
      </c>
      <c r="E136" s="1182"/>
      <c r="F136" s="1182"/>
      <c r="G136" s="1182"/>
      <c r="H136" s="1182"/>
      <c r="I136" s="433"/>
      <c r="J136" s="1198" t="s">
        <v>183</v>
      </c>
      <c r="K136" s="1198"/>
      <c r="L136" s="1198"/>
      <c r="M136" s="1198"/>
      <c r="N136" s="1198"/>
      <c r="O136" s="1198"/>
      <c r="P136" s="1198"/>
      <c r="Q136" s="1198"/>
      <c r="R136" s="1198"/>
      <c r="S136" s="1198"/>
      <c r="T136" s="1198"/>
      <c r="U136" s="1198"/>
      <c r="V136" s="1198"/>
      <c r="W136" s="1198"/>
      <c r="X136" s="1198"/>
      <c r="Y136" s="1198"/>
      <c r="Z136" s="1198"/>
      <c r="AA136" s="1198"/>
      <c r="AB136" s="1198"/>
      <c r="AC136" s="1198"/>
      <c r="AD136" s="1198"/>
      <c r="AE136" s="1198"/>
      <c r="AF136" s="1198"/>
      <c r="AG136" s="1175">
        <f>'S03-8.6 - SO 03-86 - MaR'!J30</f>
        <v>93574.27</v>
      </c>
      <c r="AH136" s="1176"/>
      <c r="AI136" s="1176"/>
      <c r="AJ136" s="1176"/>
      <c r="AK136" s="1176"/>
      <c r="AL136" s="1176"/>
      <c r="AM136" s="1176"/>
      <c r="AN136" s="1175">
        <f>AG136</f>
        <v>93574.27</v>
      </c>
      <c r="AO136" s="1176"/>
      <c r="AP136" s="1177"/>
      <c r="AQ136" s="63" t="s">
        <v>62</v>
      </c>
      <c r="AR136" s="430"/>
      <c r="AS136" s="69">
        <v>0</v>
      </c>
      <c r="AT136" s="70">
        <f t="shared" si="0"/>
        <v>18714.849999999999</v>
      </c>
      <c r="AU136" s="71">
        <f>'S03-8.6 - SO 03-86 - MaR'!P140</f>
        <v>0</v>
      </c>
      <c r="AV136" s="70">
        <f>'S03-8.6 - SO 03-86 - MaR'!J33</f>
        <v>0</v>
      </c>
      <c r="AW136" s="70">
        <f>'S03-8.6 - SO 03-86 - MaR'!J34</f>
        <v>18714.849999999999</v>
      </c>
      <c r="AX136" s="70">
        <f>'S03-8.6 - SO 03-86 - MaR'!J35</f>
        <v>0</v>
      </c>
      <c r="AY136" s="70">
        <f>'S03-8.6 - SO 03-86 - MaR'!J36</f>
        <v>0</v>
      </c>
      <c r="AZ136" s="70">
        <f>'S03-8.6 - SO 03-86 - MaR'!F33</f>
        <v>0</v>
      </c>
      <c r="BA136" s="70">
        <f>'S03-8.6 - SO 03-86 - MaR'!F34</f>
        <v>93574.27</v>
      </c>
      <c r="BB136" s="70">
        <f>'S03-8.6 - SO 03-86 - MaR'!F35</f>
        <v>0</v>
      </c>
      <c r="BC136" s="70">
        <f>'S03-8.6 - SO 03-86 - MaR'!F36</f>
        <v>0</v>
      </c>
      <c r="BD136" s="72">
        <f>'S03-8.6 - SO 03-86 - MaR'!F37</f>
        <v>0</v>
      </c>
      <c r="BT136" s="68"/>
      <c r="BV136" s="68"/>
      <c r="BW136" s="68"/>
      <c r="BX136" s="68"/>
      <c r="CL136" s="68"/>
      <c r="CM136" s="68"/>
    </row>
    <row r="137" spans="1:91" ht="20.55" customHeight="1" x14ac:dyDescent="0.25">
      <c r="B137" s="153"/>
      <c r="C137" s="153"/>
      <c r="D137" s="153"/>
      <c r="BE137" s="556"/>
      <c r="BG137" s="556"/>
    </row>
  </sheetData>
  <mergeCells count="212">
    <mergeCell ref="AN135:AP135"/>
    <mergeCell ref="AN136:AP136"/>
    <mergeCell ref="K5:AO5"/>
    <mergeCell ref="K6:AO6"/>
    <mergeCell ref="AR2:BE2"/>
    <mergeCell ref="E23:AN23"/>
    <mergeCell ref="AK26:AO26"/>
    <mergeCell ref="L28:P28"/>
    <mergeCell ref="W28:AE28"/>
    <mergeCell ref="AK28:AO28"/>
    <mergeCell ref="AK29:AO29"/>
    <mergeCell ref="L29:P29"/>
    <mergeCell ref="AK30:AO30"/>
    <mergeCell ref="L30:P30"/>
    <mergeCell ref="AK31:AO31"/>
    <mergeCell ref="L31:P31"/>
    <mergeCell ref="AK32:AO32"/>
    <mergeCell ref="L32:P32"/>
    <mergeCell ref="AK33:AO33"/>
    <mergeCell ref="L33:P33"/>
    <mergeCell ref="W29:AE29"/>
    <mergeCell ref="AN124:AP124"/>
    <mergeCell ref="AN123:AP123"/>
    <mergeCell ref="AN125:AP125"/>
    <mergeCell ref="W32:AE32"/>
    <mergeCell ref="W30:AE30"/>
    <mergeCell ref="W31:AE31"/>
    <mergeCell ref="W33:AE33"/>
    <mergeCell ref="X35:AB35"/>
    <mergeCell ref="AK35:AO35"/>
    <mergeCell ref="D125:H125"/>
    <mergeCell ref="D124:H124"/>
    <mergeCell ref="D126:H126"/>
    <mergeCell ref="AM89:AP89"/>
    <mergeCell ref="AG102:AM102"/>
    <mergeCell ref="AG103:AM103"/>
    <mergeCell ref="AG104:AM104"/>
    <mergeCell ref="L85:AO85"/>
    <mergeCell ref="AM87:AN87"/>
    <mergeCell ref="I92:AF92"/>
    <mergeCell ref="J95:AF95"/>
    <mergeCell ref="J96:AF96"/>
    <mergeCell ref="J97:AF97"/>
    <mergeCell ref="J98:AF98"/>
    <mergeCell ref="J99:AF99"/>
    <mergeCell ref="J100:AF100"/>
    <mergeCell ref="J101:AF101"/>
    <mergeCell ref="J102:AF102"/>
    <mergeCell ref="D127:H127"/>
    <mergeCell ref="D128:H128"/>
    <mergeCell ref="D129:H129"/>
    <mergeCell ref="D130:H130"/>
    <mergeCell ref="D131:H131"/>
    <mergeCell ref="D132:H132"/>
    <mergeCell ref="D133:H133"/>
    <mergeCell ref="D134:H134"/>
    <mergeCell ref="D135:H135"/>
    <mergeCell ref="D136:H136"/>
    <mergeCell ref="AG136:AM136"/>
    <mergeCell ref="AG135:AM135"/>
    <mergeCell ref="J122:AF122"/>
    <mergeCell ref="J121:AF121"/>
    <mergeCell ref="J123:AF123"/>
    <mergeCell ref="J124:AF124"/>
    <mergeCell ref="J125:AF125"/>
    <mergeCell ref="J126:AF126"/>
    <mergeCell ref="J127:AF127"/>
    <mergeCell ref="J128:AF128"/>
    <mergeCell ref="J129:AF129"/>
    <mergeCell ref="J130:AF130"/>
    <mergeCell ref="J131:AF131"/>
    <mergeCell ref="J132:AF132"/>
    <mergeCell ref="J133:AF133"/>
    <mergeCell ref="J134:AF134"/>
    <mergeCell ref="J135:AF135"/>
    <mergeCell ref="J136:AF136"/>
    <mergeCell ref="D123:H123"/>
    <mergeCell ref="AG123:AM123"/>
    <mergeCell ref="AG124:AM124"/>
    <mergeCell ref="AG125:AM125"/>
    <mergeCell ref="AG126:AM126"/>
    <mergeCell ref="AS89:AT91"/>
    <mergeCell ref="AM90:AP90"/>
    <mergeCell ref="AG95:AM95"/>
    <mergeCell ref="AG96:AM96"/>
    <mergeCell ref="AG97:AM97"/>
    <mergeCell ref="AG98:AM98"/>
    <mergeCell ref="AG99:AM99"/>
    <mergeCell ref="AG100:AM100"/>
    <mergeCell ref="AG101:AM101"/>
    <mergeCell ref="AG94:AM94"/>
    <mergeCell ref="AG92:AM92"/>
    <mergeCell ref="AN96:AP96"/>
    <mergeCell ref="AN97:AP97"/>
    <mergeCell ref="AN98:AP98"/>
    <mergeCell ref="AN99:AP99"/>
    <mergeCell ref="AN101:AP101"/>
    <mergeCell ref="C92:G92"/>
    <mergeCell ref="D100:H100"/>
    <mergeCell ref="D95:H95"/>
    <mergeCell ref="D96:H96"/>
    <mergeCell ref="D97:H97"/>
    <mergeCell ref="D98:H98"/>
    <mergeCell ref="D99:H99"/>
    <mergeCell ref="D101:H101"/>
    <mergeCell ref="D102:H102"/>
    <mergeCell ref="D108:H108"/>
    <mergeCell ref="AG105:AM105"/>
    <mergeCell ref="AG107:AM107"/>
    <mergeCell ref="AG106:AM106"/>
    <mergeCell ref="AG108:AM108"/>
    <mergeCell ref="AN108:AP108"/>
    <mergeCell ref="AN102:AP102"/>
    <mergeCell ref="AN103:AP103"/>
    <mergeCell ref="AN104:AP104"/>
    <mergeCell ref="AN105:AP105"/>
    <mergeCell ref="AN106:AP106"/>
    <mergeCell ref="AN107:AP107"/>
    <mergeCell ref="D103:H103"/>
    <mergeCell ref="D104:H104"/>
    <mergeCell ref="D105:H105"/>
    <mergeCell ref="D106:H106"/>
    <mergeCell ref="D107:H107"/>
    <mergeCell ref="J103:AF103"/>
    <mergeCell ref="J104:AF104"/>
    <mergeCell ref="J106:AF106"/>
    <mergeCell ref="J107:AF107"/>
    <mergeCell ref="J108:AF108"/>
    <mergeCell ref="AN114:AP114"/>
    <mergeCell ref="AN115:AP115"/>
    <mergeCell ref="AN116:AP116"/>
    <mergeCell ref="J109:AF109"/>
    <mergeCell ref="J110:AF110"/>
    <mergeCell ref="J111:AF111"/>
    <mergeCell ref="J112:AF112"/>
    <mergeCell ref="J105:AF105"/>
    <mergeCell ref="AN92:AP92"/>
    <mergeCell ref="AN100:AP100"/>
    <mergeCell ref="AN95:AP95"/>
    <mergeCell ref="AN94:AP94"/>
    <mergeCell ref="AG109:AM109"/>
    <mergeCell ref="AG110:AM110"/>
    <mergeCell ref="AG111:AM111"/>
    <mergeCell ref="AG112:AM112"/>
    <mergeCell ref="AN109:AP109"/>
    <mergeCell ref="AN110:AP110"/>
    <mergeCell ref="AN111:AP111"/>
    <mergeCell ref="AN112:AP112"/>
    <mergeCell ref="AN113:AP113"/>
    <mergeCell ref="J115:AF115"/>
    <mergeCell ref="J116:AF116"/>
    <mergeCell ref="J113:AF113"/>
    <mergeCell ref="AN117:AP117"/>
    <mergeCell ref="AN118:AP118"/>
    <mergeCell ref="AN119:AP119"/>
    <mergeCell ref="D118:H118"/>
    <mergeCell ref="D120:H120"/>
    <mergeCell ref="D121:H121"/>
    <mergeCell ref="D122:H122"/>
    <mergeCell ref="AG120:AM120"/>
    <mergeCell ref="AG121:AM121"/>
    <mergeCell ref="AG122:AM122"/>
    <mergeCell ref="J120:AF120"/>
    <mergeCell ref="AN120:AP120"/>
    <mergeCell ref="AG117:AM117"/>
    <mergeCell ref="AG118:AM118"/>
    <mergeCell ref="AG119:AM119"/>
    <mergeCell ref="J117:AF117"/>
    <mergeCell ref="J118:AF118"/>
    <mergeCell ref="J119:AF119"/>
    <mergeCell ref="AG132:AM132"/>
    <mergeCell ref="AG133:AM133"/>
    <mergeCell ref="AG134:AM134"/>
    <mergeCell ref="AN121:AP121"/>
    <mergeCell ref="AN122:AP122"/>
    <mergeCell ref="AN132:AP132"/>
    <mergeCell ref="AN133:AP133"/>
    <mergeCell ref="AN134:AP134"/>
    <mergeCell ref="AN126:AP126"/>
    <mergeCell ref="AN127:AP127"/>
    <mergeCell ref="AN128:AP128"/>
    <mergeCell ref="AN129:AP129"/>
    <mergeCell ref="AN130:AP130"/>
    <mergeCell ref="AN131:AP131"/>
    <mergeCell ref="AG127:AM127"/>
    <mergeCell ref="AG128:AM128"/>
    <mergeCell ref="AG129:AM129"/>
    <mergeCell ref="AG130:AM130"/>
    <mergeCell ref="K8:AE8"/>
    <mergeCell ref="K10:AE10"/>
    <mergeCell ref="K13:AD13"/>
    <mergeCell ref="L87:AE87"/>
    <mergeCell ref="L89:AD89"/>
    <mergeCell ref="L90:AE90"/>
    <mergeCell ref="D4:AP4"/>
    <mergeCell ref="C82:AP82"/>
    <mergeCell ref="AG131:AM131"/>
    <mergeCell ref="J114:AF114"/>
    <mergeCell ref="AG113:AM113"/>
    <mergeCell ref="AG114:AM114"/>
    <mergeCell ref="AG115:AM115"/>
    <mergeCell ref="AG116:AM116"/>
    <mergeCell ref="D109:H109"/>
    <mergeCell ref="D110:H110"/>
    <mergeCell ref="D111:H111"/>
    <mergeCell ref="D112:H112"/>
    <mergeCell ref="D113:H113"/>
    <mergeCell ref="D114:H114"/>
    <mergeCell ref="D115:H115"/>
    <mergeCell ref="D116:H116"/>
    <mergeCell ref="D117:H117"/>
    <mergeCell ref="D119:H119"/>
  </mergeCells>
  <hyperlinks>
    <hyperlink ref="A95" location="'S01-1 - SO 01 - Urgentný ...'!C2" display="/" xr:uid="{00000000-0004-0000-0000-000000000000}"/>
    <hyperlink ref="A96" location="'S01-2 - SO 01 - Urgentný ...'!C2" display="/" xr:uid="{00000000-0004-0000-0000-000001000000}"/>
    <hyperlink ref="A97" location="'S01-3 - SO 01 - Urgentný ...'!C2" display="/" xr:uid="{00000000-0004-0000-0000-000002000000}"/>
    <hyperlink ref="A98" location="'S01-4 - SO 01 - Urgentný ...'!C2" display="/" xr:uid="{00000000-0004-0000-0000-000003000000}"/>
    <hyperlink ref="A99" location="'S01-5 - SO 01 - Urgentný ...'!C2" display="/" xr:uid="{00000000-0004-0000-0000-000004000000}"/>
    <hyperlink ref="A100" location="'S01-51 - SO 01 - Urgentný...'!C2" display="/" xr:uid="{00000000-0004-0000-0000-000005000000}"/>
    <hyperlink ref="A101" location="'S01-6 - SO 01 - Urgentný ...'!C2" display="/" xr:uid="{00000000-0004-0000-0000-000006000000}"/>
    <hyperlink ref="A102" location="'SO01-7.0 - SO 01-7 - Čist...'!C2" display="/" xr:uid="{00000000-0004-0000-0000-000007000000}"/>
    <hyperlink ref="A103" location="'S01-7.1 - SO 01-71 - Vsta...'!C2" display="/" xr:uid="{00000000-0004-0000-0000-000008000000}"/>
    <hyperlink ref="A104" location="'S01-7.2 - SO 01-72 - Zdra...'!C2" display="/" xr:uid="{00000000-0004-0000-0000-000009000000}"/>
    <hyperlink ref="A105" location="'S01-7.3 - SO 01-73 - Vzdu...'!C2" display="/" xr:uid="{00000000-0004-0000-0000-00000A000000}"/>
    <hyperlink ref="A106" location="'S01-7.4 - SO 01-74 - Trub...'!C2" display="/" xr:uid="{00000000-0004-0000-0000-00000B000000}"/>
    <hyperlink ref="A107" location="'S01-7.5 - SO 01-75 - ELI'!C2" display="/" xr:uid="{00000000-0004-0000-0000-00000C000000}"/>
    <hyperlink ref="A108" location="'S01-7.6 - SO 01-76 - MaR'!C2" display="/" xr:uid="{00000000-0004-0000-0000-00000D000000}"/>
    <hyperlink ref="A109" location="'S02-1 - SO 02 - OAIM - ASR'!C2" display="/" xr:uid="{00000000-0004-0000-0000-00000E000000}"/>
    <hyperlink ref="A110" location="'S02-2 - SO 02 - OAIM - ZTI'!C2" display="/" xr:uid="{00000000-0004-0000-0000-00000F000000}"/>
    <hyperlink ref="A111" location="'S02-3 - SO 02 - OAIM - MP'!C2" display="/" xr:uid="{00000000-0004-0000-0000-000010000000}"/>
    <hyperlink ref="A112" location="'S02-4 - SO 02 - OAIM - UK'!C2" display="/" xr:uid="{00000000-0004-0000-0000-000011000000}"/>
    <hyperlink ref="A113" location="'S02-5 - SO 02 - OAIM - ELI'!C2" display="/" xr:uid="{00000000-0004-0000-0000-000012000000}"/>
    <hyperlink ref="A114" location="'S02-51 - SO 02 - OAIM - EPS'!C2" display="/" xr:uid="{00000000-0004-0000-0000-000013000000}"/>
    <hyperlink ref="A115" location="'S02-6.0 - SO 02-6 - Čisté...'!C2" display="/" xr:uid="{00000000-0004-0000-0000-000014000000}"/>
    <hyperlink ref="A116" location="'S02-6.1 - SO 02-61 - Vsta...'!C2" display="/" xr:uid="{00000000-0004-0000-0000-000015000000}"/>
    <hyperlink ref="A117" location="'S02-6.2 - SO 02-62 - Zdra...'!C2" display="/" xr:uid="{00000000-0004-0000-0000-000016000000}"/>
    <hyperlink ref="A118" location="'S02-6.3 - SO 02-63 - VZT'!C2" display="/" xr:uid="{00000000-0004-0000-0000-000017000000}"/>
    <hyperlink ref="A119" location="'S02-6.4 - SO 02-64 - Trub...'!C2" display="/" xr:uid="{00000000-0004-0000-0000-000018000000}"/>
    <hyperlink ref="A120" location="'S02-6.5 - SO 02-65 - ELI ...'!C2" display="/" xr:uid="{00000000-0004-0000-0000-000019000000}"/>
    <hyperlink ref="A121" location="'S02-6.6 - SO 02-66 - MaR'!C2" display="/" xr:uid="{00000000-0004-0000-0000-00001A000000}"/>
    <hyperlink ref="A122" location="'S03-1 - SO 03 - Operačky ...'!C2" display="/" xr:uid="{00000000-0004-0000-0000-00001B000000}"/>
    <hyperlink ref="A123" location="'S03-2 - SO 03 - Nadstavba...'!C2" display="/" xr:uid="{00000000-0004-0000-0000-00001C000000}"/>
    <hyperlink ref="A124" location="'S03-3 - SO 03 - Operačky ...'!C2" display="/" xr:uid="{00000000-0004-0000-0000-00001D000000}"/>
    <hyperlink ref="A125" location="'S03-4 - SO 03 - Operačky ...'!C2" display="/" xr:uid="{00000000-0004-0000-0000-00001E000000}"/>
    <hyperlink ref="A126" location="'S03-5 - SO 03 - Operačky ...'!C2" display="/" xr:uid="{00000000-0004-0000-0000-00001F000000}"/>
    <hyperlink ref="A127" location="'S03-61 - SO 03 - Operačky...'!C2" display="/" xr:uid="{00000000-0004-0000-0000-000020000000}"/>
    <hyperlink ref="A128" location="'S03-6 - SO 03 - Operačky ...'!C2" display="/" xr:uid="{00000000-0004-0000-0000-000021000000}"/>
    <hyperlink ref="A129" location="'S03-7 - SO 03 - Operačky ...'!C2" display="/" xr:uid="{00000000-0004-0000-0000-000022000000}"/>
    <hyperlink ref="A130" location="'S03-7.0 - SO 03-7 - Čisté...'!C2" display="/" xr:uid="{00000000-0004-0000-0000-000023000000}"/>
    <hyperlink ref="A131" location="'S03-8.1 - SO 03-81 - Vsta...'!C2" display="/" xr:uid="{00000000-0004-0000-0000-000024000000}"/>
    <hyperlink ref="A132" location="'S03-8.2 - SO 03-82 - Zdra...'!C2" display="/" xr:uid="{00000000-0004-0000-0000-000025000000}"/>
    <hyperlink ref="A133" location="'S03-8.3 - SO 03-83 - VZT'!C2" display="/" xr:uid="{00000000-0004-0000-0000-000026000000}"/>
    <hyperlink ref="A134" location="'S03-8.4 - SO 03-84 - Trub...'!C2" display="/" xr:uid="{00000000-0004-0000-0000-000027000000}"/>
    <hyperlink ref="A135" location="'S03-8.5 - SO 03-85 - ELI'!C2" display="/" xr:uid="{00000000-0004-0000-0000-000028000000}"/>
    <hyperlink ref="A136" location="'S03-8.6 - SO 03-86 - MaR'!C2" display="/" xr:uid="{00000000-0004-0000-0000-000029000000}"/>
  </hyperlinks>
  <pageMargins left="0.39370078740157483" right="0.39370078740157483" top="0.39370078740157483" bottom="0.39370078740157483" header="0" footer="0"/>
  <pageSetup paperSize="9" scale="67" fitToHeight="100" orientation="portrait" r:id="rId1"/>
  <headerFooter>
    <oddFooter>&amp;CStrana &amp;P z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00000"/>
    <pageSetUpPr fitToPage="1"/>
  </sheetPr>
  <dimension ref="A1:BM155"/>
  <sheetViews>
    <sheetView showGridLines="0" topLeftCell="F99" zoomScale="80" zoomScaleNormal="80" workbookViewId="0">
      <selection activeCell="AE121" activeCellId="2" sqref="AE146 AE140 AE121"/>
    </sheetView>
  </sheetViews>
  <sheetFormatPr defaultColWidth="8.7109375" defaultRowHeight="10.199999999999999" x14ac:dyDescent="0.2"/>
  <cols>
    <col min="1" max="1" width="8.28515625" customWidth="1"/>
    <col min="2" max="2" width="1.7109375" customWidth="1"/>
    <col min="3" max="4" width="4.28515625" customWidth="1"/>
    <col min="5" max="5" width="17.28515625" customWidth="1"/>
    <col min="6" max="6" width="50.7109375" customWidth="1"/>
    <col min="7" max="7" width="7" customWidth="1"/>
    <col min="8" max="8" width="11.42578125" customWidth="1"/>
    <col min="9" max="10" width="20.28515625" customWidth="1"/>
    <col min="11" max="11" width="20.28515625" hidden="1" customWidth="1"/>
    <col min="12" max="12" width="9.28515625" customWidth="1"/>
    <col min="13" max="13" width="10.7109375" hidden="1" customWidth="1"/>
    <col min="14" max="14" width="9.28515625" hidden="1"/>
    <col min="15" max="20" width="14.28515625" hidden="1" customWidth="1"/>
    <col min="21" max="21" width="16.28515625" hidden="1" customWidth="1"/>
    <col min="22" max="22" width="12.28515625" customWidth="1"/>
    <col min="23" max="23" width="1.7109375" style="656" customWidth="1"/>
    <col min="24" max="25" width="4.28515625" style="656" customWidth="1"/>
    <col min="26" max="26" width="17.28515625" style="656" customWidth="1"/>
    <col min="27" max="27" width="50.7109375" style="656" customWidth="1"/>
    <col min="28" max="28" width="7" style="656" customWidth="1"/>
    <col min="29" max="29" width="11.42578125" style="656" customWidth="1"/>
    <col min="30" max="31" width="20.28515625" style="656" customWidth="1"/>
    <col min="32" max="32" width="9.28515625" style="656"/>
    <col min="44" max="65" width="9.28515625" hidden="1"/>
  </cols>
  <sheetData>
    <row r="1" spans="1:46" x14ac:dyDescent="0.2">
      <c r="A1" s="73"/>
    </row>
    <row r="2" spans="1:46" ht="37.049999999999997" customHeight="1" x14ac:dyDescent="0.2">
      <c r="L2" s="1227" t="s">
        <v>5</v>
      </c>
      <c r="M2" s="1225"/>
      <c r="N2" s="1225"/>
      <c r="O2" s="1225"/>
      <c r="P2" s="1225"/>
      <c r="Q2" s="1225"/>
      <c r="R2" s="1225"/>
      <c r="S2" s="1225"/>
      <c r="T2" s="1225"/>
      <c r="U2" s="1225"/>
      <c r="V2" s="1225"/>
      <c r="AT2" s="13" t="s">
        <v>88</v>
      </c>
    </row>
    <row r="3" spans="1:46" ht="7.05" customHeight="1" x14ac:dyDescent="0.2">
      <c r="B3" s="14"/>
      <c r="C3" s="15"/>
      <c r="D3" s="15"/>
      <c r="E3" s="15"/>
      <c r="F3" s="15"/>
      <c r="G3" s="15"/>
      <c r="H3" s="15"/>
      <c r="I3" s="15"/>
      <c r="J3" s="15"/>
      <c r="K3" s="15"/>
      <c r="L3" s="16"/>
      <c r="W3" s="152"/>
      <c r="X3" s="153"/>
      <c r="Y3" s="153"/>
      <c r="Z3" s="153"/>
      <c r="AA3" s="153"/>
      <c r="AB3" s="153"/>
      <c r="AC3" s="153"/>
      <c r="AD3" s="153"/>
      <c r="AE3" s="154"/>
      <c r="AT3" s="13" t="s">
        <v>58</v>
      </c>
    </row>
    <row r="4" spans="1:46" ht="25.05" customHeight="1" x14ac:dyDescent="0.2">
      <c r="B4" s="16"/>
      <c r="C4" s="1165" t="s">
        <v>185</v>
      </c>
      <c r="D4" s="1165"/>
      <c r="E4" s="1165"/>
      <c r="F4" s="1165"/>
      <c r="G4" s="1165"/>
      <c r="H4" s="1165"/>
      <c r="I4" s="1165"/>
      <c r="J4" s="1165"/>
      <c r="L4" s="16"/>
      <c r="M4" s="74" t="s">
        <v>9</v>
      </c>
      <c r="W4" s="155"/>
      <c r="X4" s="1237" t="s">
        <v>185</v>
      </c>
      <c r="Y4" s="1237"/>
      <c r="Z4" s="1237"/>
      <c r="AA4" s="1237"/>
      <c r="AB4" s="1237"/>
      <c r="AC4" s="1237"/>
      <c r="AD4" s="1237"/>
      <c r="AE4" s="1238"/>
      <c r="AT4" s="13" t="s">
        <v>3</v>
      </c>
    </row>
    <row r="5" spans="1:46" ht="7.05" customHeight="1" x14ac:dyDescent="0.2">
      <c r="B5" s="16"/>
      <c r="L5" s="16"/>
      <c r="W5" s="155"/>
      <c r="X5" s="156"/>
      <c r="Y5" s="156"/>
      <c r="Z5" s="156"/>
      <c r="AA5" s="156"/>
      <c r="AB5" s="156"/>
      <c r="AC5" s="156"/>
      <c r="AD5" s="156"/>
      <c r="AE5" s="157"/>
    </row>
    <row r="6" spans="1:46" ht="12" customHeight="1" x14ac:dyDescent="0.2">
      <c r="B6" s="16"/>
      <c r="D6" s="528" t="s">
        <v>12</v>
      </c>
      <c r="F6" s="1254" t="s">
        <v>6176</v>
      </c>
      <c r="G6" s="1254"/>
      <c r="H6" s="1254"/>
      <c r="I6" s="1254"/>
      <c r="J6" s="1254"/>
      <c r="L6" s="16"/>
      <c r="W6" s="155"/>
      <c r="X6" s="156"/>
      <c r="Y6" s="657" t="s">
        <v>12</v>
      </c>
      <c r="Z6" s="156"/>
      <c r="AA6" s="1239" t="s">
        <v>6176</v>
      </c>
      <c r="AB6" s="1239"/>
      <c r="AC6" s="1239"/>
      <c r="AD6" s="1239"/>
      <c r="AE6" s="1240"/>
    </row>
    <row r="7" spans="1:46" ht="24.45" customHeight="1" x14ac:dyDescent="0.2">
      <c r="B7" s="16"/>
      <c r="D7" s="527"/>
      <c r="E7" s="531"/>
      <c r="F7" s="1254"/>
      <c r="G7" s="1254"/>
      <c r="H7" s="1254"/>
      <c r="I7" s="1254"/>
      <c r="J7" s="1254"/>
      <c r="L7" s="16"/>
      <c r="W7" s="155"/>
      <c r="X7" s="156"/>
      <c r="Y7" s="539"/>
      <c r="Z7" s="245"/>
      <c r="AA7" s="1239"/>
      <c r="AB7" s="1239"/>
      <c r="AC7" s="1239"/>
      <c r="AD7" s="1239"/>
      <c r="AE7" s="1240"/>
    </row>
    <row r="8" spans="1:46" s="1" customFormat="1" ht="12" customHeight="1" x14ac:dyDescent="0.2">
      <c r="B8" s="24"/>
      <c r="D8" s="528" t="s">
        <v>186</v>
      </c>
      <c r="F8" s="532" t="s">
        <v>2558</v>
      </c>
      <c r="L8" s="24"/>
      <c r="W8" s="158"/>
      <c r="X8" s="658"/>
      <c r="Y8" s="657" t="s">
        <v>186</v>
      </c>
      <c r="Z8" s="658"/>
      <c r="AA8" s="555" t="s">
        <v>2558</v>
      </c>
      <c r="AB8" s="658"/>
      <c r="AC8" s="658"/>
      <c r="AD8" s="658"/>
      <c r="AE8" s="159"/>
      <c r="AF8" s="660"/>
    </row>
    <row r="9" spans="1:46" s="1" customFormat="1" ht="37.049999999999997" customHeight="1" x14ac:dyDescent="0.2">
      <c r="B9" s="24"/>
      <c r="D9" s="521"/>
      <c r="E9" s="1251"/>
      <c r="F9" s="1252"/>
      <c r="G9" s="1252"/>
      <c r="H9" s="1252"/>
      <c r="L9" s="24"/>
      <c r="W9" s="158"/>
      <c r="X9" s="658"/>
      <c r="Y9" s="658"/>
      <c r="Z9" s="1245"/>
      <c r="AA9" s="1246"/>
      <c r="AB9" s="1246"/>
      <c r="AC9" s="1246"/>
      <c r="AD9" s="658"/>
      <c r="AE9" s="159"/>
      <c r="AF9" s="660"/>
    </row>
    <row r="10" spans="1:46" s="1" customFormat="1" x14ac:dyDescent="0.2">
      <c r="B10" s="24"/>
      <c r="D10" s="521"/>
      <c r="L10" s="24"/>
      <c r="W10" s="158"/>
      <c r="X10" s="658"/>
      <c r="Y10" s="658"/>
      <c r="Z10" s="658"/>
      <c r="AA10" s="658"/>
      <c r="AB10" s="658"/>
      <c r="AC10" s="658"/>
      <c r="AD10" s="658"/>
      <c r="AE10" s="159"/>
      <c r="AF10" s="660"/>
    </row>
    <row r="11" spans="1:46" s="1" customFormat="1" ht="12" customHeight="1" x14ac:dyDescent="0.2">
      <c r="B11" s="24"/>
      <c r="D11" s="528" t="s">
        <v>13</v>
      </c>
      <c r="F11" s="19" t="s">
        <v>1</v>
      </c>
      <c r="I11" s="528" t="s">
        <v>14</v>
      </c>
      <c r="J11" s="19" t="s">
        <v>1</v>
      </c>
      <c r="L11" s="24"/>
      <c r="W11" s="158"/>
      <c r="X11" s="658"/>
      <c r="Y11" s="657" t="s">
        <v>13</v>
      </c>
      <c r="Z11" s="658"/>
      <c r="AA11" s="655" t="s">
        <v>1</v>
      </c>
      <c r="AB11" s="658"/>
      <c r="AC11" s="658"/>
      <c r="AD11" s="657" t="s">
        <v>14</v>
      </c>
      <c r="AE11" s="161" t="s">
        <v>1</v>
      </c>
      <c r="AF11" s="660"/>
    </row>
    <row r="12" spans="1:46" s="1" customFormat="1" ht="12" customHeight="1" x14ac:dyDescent="0.2">
      <c r="B12" s="24"/>
      <c r="D12" s="528" t="s">
        <v>15</v>
      </c>
      <c r="F12" s="520" t="s">
        <v>6173</v>
      </c>
      <c r="I12" s="528" t="s">
        <v>17</v>
      </c>
      <c r="J12" s="39"/>
      <c r="L12" s="24"/>
      <c r="W12" s="158"/>
      <c r="X12" s="658"/>
      <c r="Y12" s="657" t="s">
        <v>15</v>
      </c>
      <c r="Z12" s="658"/>
      <c r="AA12" s="655" t="s">
        <v>6173</v>
      </c>
      <c r="AB12" s="658"/>
      <c r="AC12" s="658"/>
      <c r="AD12" s="657" t="s">
        <v>17</v>
      </c>
      <c r="AE12" s="162"/>
      <c r="AF12" s="660"/>
    </row>
    <row r="13" spans="1:46" s="1" customFormat="1" ht="10.95" customHeight="1" x14ac:dyDescent="0.2">
      <c r="B13" s="24"/>
      <c r="D13" s="521"/>
      <c r="F13" s="521"/>
      <c r="I13" s="521"/>
      <c r="L13" s="24"/>
      <c r="W13" s="158"/>
      <c r="X13" s="658"/>
      <c r="Y13" s="658"/>
      <c r="Z13" s="658"/>
      <c r="AA13" s="658"/>
      <c r="AB13" s="658"/>
      <c r="AC13" s="658"/>
      <c r="AD13" s="658"/>
      <c r="AE13" s="159"/>
      <c r="AF13" s="660"/>
    </row>
    <row r="14" spans="1:46" s="1" customFormat="1" ht="12" customHeight="1" x14ac:dyDescent="0.2">
      <c r="B14" s="24"/>
      <c r="D14" s="528" t="s">
        <v>18</v>
      </c>
      <c r="F14" s="529" t="s">
        <v>6175</v>
      </c>
      <c r="I14" s="528" t="s">
        <v>19</v>
      </c>
      <c r="J14" s="19" t="str">
        <f>IF('Rekapitulácia stavby'!AN10="","",'Rekapitulácia stavby'!AN10)</f>
        <v/>
      </c>
      <c r="L14" s="24"/>
      <c r="W14" s="158"/>
      <c r="X14" s="658"/>
      <c r="Y14" s="657" t="s">
        <v>18</v>
      </c>
      <c r="Z14" s="658"/>
      <c r="AA14" s="576" t="s">
        <v>6175</v>
      </c>
      <c r="AB14" s="658"/>
      <c r="AC14" s="658"/>
      <c r="AD14" s="657" t="s">
        <v>19</v>
      </c>
      <c r="AE14" s="161" t="str">
        <f>IF('Rekapitulácia stavby'!BI10="","",'Rekapitulácia stavby'!BI10)</f>
        <v/>
      </c>
      <c r="AF14" s="660"/>
    </row>
    <row r="15" spans="1:46" s="1" customFormat="1" ht="18" customHeight="1" x14ac:dyDescent="0.2">
      <c r="B15" s="24"/>
      <c r="D15" s="521"/>
      <c r="E15" s="19" t="str">
        <f>IF('Rekapitulácia stavby'!E11="","",'Rekapitulácia stavby'!E11)</f>
        <v/>
      </c>
      <c r="F15" s="521"/>
      <c r="I15" s="528" t="s">
        <v>20</v>
      </c>
      <c r="J15" s="19" t="str">
        <f>IF('Rekapitulácia stavby'!AN11="","",'Rekapitulácia stavby'!AN11)</f>
        <v/>
      </c>
      <c r="L15" s="24"/>
      <c r="W15" s="158"/>
      <c r="X15" s="658"/>
      <c r="Y15" s="658"/>
      <c r="Z15" s="655" t="str">
        <f>IF('Rekapitulácia stavby'!Z11="","",'Rekapitulácia stavby'!Z11)</f>
        <v/>
      </c>
      <c r="AA15" s="658"/>
      <c r="AB15" s="658"/>
      <c r="AC15" s="658"/>
      <c r="AD15" s="657" t="s">
        <v>20</v>
      </c>
      <c r="AE15" s="161" t="str">
        <f>IF('Rekapitulácia stavby'!BI11="","",'Rekapitulácia stavby'!BI11)</f>
        <v/>
      </c>
      <c r="AF15" s="660"/>
    </row>
    <row r="16" spans="1:46" s="1" customFormat="1" ht="7.05" customHeight="1" x14ac:dyDescent="0.2">
      <c r="B16" s="24"/>
      <c r="D16" s="521"/>
      <c r="F16" s="521"/>
      <c r="I16" s="521"/>
      <c r="L16" s="24"/>
      <c r="W16" s="158"/>
      <c r="X16" s="658"/>
      <c r="Y16" s="658"/>
      <c r="Z16" s="658"/>
      <c r="AA16" s="658"/>
      <c r="AB16" s="658"/>
      <c r="AC16" s="658"/>
      <c r="AD16" s="658"/>
      <c r="AE16" s="159"/>
      <c r="AF16" s="660"/>
    </row>
    <row r="17" spans="2:33" s="1" customFormat="1" ht="12" customHeight="1" x14ac:dyDescent="0.2">
      <c r="B17" s="24"/>
      <c r="D17" s="528" t="s">
        <v>21</v>
      </c>
      <c r="F17" s="529" t="s">
        <v>5202</v>
      </c>
      <c r="I17" s="528" t="s">
        <v>19</v>
      </c>
      <c r="J17" s="19"/>
      <c r="L17" s="24"/>
      <c r="W17" s="158"/>
      <c r="X17" s="658"/>
      <c r="Y17" s="657" t="s">
        <v>21</v>
      </c>
      <c r="Z17" s="658"/>
      <c r="AA17" s="576" t="s">
        <v>5202</v>
      </c>
      <c r="AB17" s="658"/>
      <c r="AC17" s="658"/>
      <c r="AD17" s="657" t="s">
        <v>19</v>
      </c>
      <c r="AE17" s="161"/>
    </row>
    <row r="18" spans="2:33" s="1" customFormat="1" ht="18" customHeight="1" x14ac:dyDescent="0.2">
      <c r="B18" s="24"/>
      <c r="D18" s="521"/>
      <c r="E18" s="1161"/>
      <c r="F18" s="1161"/>
      <c r="G18" s="1161"/>
      <c r="H18" s="1161"/>
      <c r="I18" s="528" t="s">
        <v>20</v>
      </c>
      <c r="J18" s="19" t="str">
        <f>'Rekapitulácia stavby'!AN14</f>
        <v/>
      </c>
      <c r="L18" s="24"/>
      <c r="W18" s="158"/>
      <c r="X18" s="658"/>
      <c r="Y18" s="658"/>
      <c r="Z18" s="1247"/>
      <c r="AA18" s="1247"/>
      <c r="AB18" s="1247"/>
      <c r="AC18" s="1247"/>
      <c r="AD18" s="657" t="s">
        <v>20</v>
      </c>
      <c r="AE18" s="161"/>
    </row>
    <row r="19" spans="2:33" s="1" customFormat="1" ht="7.05" customHeight="1" x14ac:dyDescent="0.2">
      <c r="B19" s="24"/>
      <c r="D19" s="521"/>
      <c r="I19" s="521"/>
      <c r="L19" s="24"/>
      <c r="W19" s="158"/>
      <c r="X19" s="658"/>
      <c r="Y19" s="658"/>
      <c r="Z19" s="658"/>
      <c r="AA19" s="658"/>
      <c r="AB19" s="658"/>
      <c r="AC19" s="658"/>
      <c r="AD19" s="658"/>
      <c r="AE19" s="159"/>
    </row>
    <row r="20" spans="2:33" s="1" customFormat="1" ht="12" customHeight="1" x14ac:dyDescent="0.2">
      <c r="B20" s="24"/>
      <c r="D20" s="528" t="s">
        <v>22</v>
      </c>
      <c r="I20" s="528" t="s">
        <v>19</v>
      </c>
      <c r="J20" s="19" t="str">
        <f>IF('Rekapitulácia stavby'!AN16="","",'Rekapitulácia stavby'!AN16)</f>
        <v/>
      </c>
      <c r="L20" s="24"/>
      <c r="W20" s="158"/>
      <c r="X20" s="658"/>
      <c r="Y20" s="657" t="s">
        <v>22</v>
      </c>
      <c r="Z20" s="658"/>
      <c r="AA20" s="658"/>
      <c r="AB20" s="658"/>
      <c r="AC20" s="658"/>
      <c r="AD20" s="657" t="s">
        <v>19</v>
      </c>
      <c r="AE20" s="161"/>
    </row>
    <row r="21" spans="2:33" s="1" customFormat="1" ht="18" customHeight="1" x14ac:dyDescent="0.2">
      <c r="B21" s="24"/>
      <c r="D21" s="521"/>
      <c r="E21" s="19" t="str">
        <f>IF('Rekapitulácia stavby'!E17="","",'Rekapitulácia stavby'!E17)</f>
        <v xml:space="preserve"> </v>
      </c>
      <c r="I21" s="528" t="s">
        <v>20</v>
      </c>
      <c r="J21" s="19" t="str">
        <f>IF('Rekapitulácia stavby'!AN17="","",'Rekapitulácia stavby'!AN17)</f>
        <v/>
      </c>
      <c r="L21" s="24"/>
      <c r="W21" s="158"/>
      <c r="X21" s="658"/>
      <c r="Y21" s="658"/>
      <c r="Z21" s="655" t="str">
        <f>IF('Rekapitulácia stavby'!Z17="","",'Rekapitulácia stavby'!Z17)</f>
        <v/>
      </c>
      <c r="AA21" s="658"/>
      <c r="AB21" s="658"/>
      <c r="AC21" s="658"/>
      <c r="AD21" s="657" t="s">
        <v>20</v>
      </c>
      <c r="AE21" s="161" t="str">
        <f>IF('Rekapitulácia stavby'!BI17="","",'Rekapitulácia stavby'!BI17)</f>
        <v/>
      </c>
    </row>
    <row r="22" spans="2:33" s="1" customFormat="1" ht="7.05" customHeight="1" x14ac:dyDescent="0.2">
      <c r="B22" s="24"/>
      <c r="D22" s="521"/>
      <c r="I22" s="521"/>
      <c r="L22" s="24"/>
      <c r="W22" s="158"/>
      <c r="X22" s="658"/>
      <c r="Y22" s="658"/>
      <c r="Z22" s="658"/>
      <c r="AA22" s="658"/>
      <c r="AB22" s="658"/>
      <c r="AC22" s="658"/>
      <c r="AD22" s="658"/>
      <c r="AE22" s="159"/>
    </row>
    <row r="23" spans="2:33" s="1" customFormat="1" ht="12" customHeight="1" x14ac:dyDescent="0.2">
      <c r="B23" s="24"/>
      <c r="D23" s="528" t="s">
        <v>24</v>
      </c>
      <c r="I23" s="528" t="s">
        <v>19</v>
      </c>
      <c r="J23" s="19" t="str">
        <f>IF('Rekapitulácia stavby'!AN19="","",'Rekapitulácia stavby'!AN19)</f>
        <v/>
      </c>
      <c r="L23" s="24"/>
      <c r="W23" s="158"/>
      <c r="X23" s="658"/>
      <c r="Y23" s="657" t="s">
        <v>24</v>
      </c>
      <c r="Z23" s="658"/>
      <c r="AA23" s="658"/>
      <c r="AB23" s="658"/>
      <c r="AC23" s="658"/>
      <c r="AD23" s="657" t="s">
        <v>19</v>
      </c>
      <c r="AE23" s="161" t="str">
        <f>IF('Rekapitulácia stavby'!BI19="","",'Rekapitulácia stavby'!BI19)</f>
        <v/>
      </c>
    </row>
    <row r="24" spans="2:33" s="1" customFormat="1" ht="18" customHeight="1" x14ac:dyDescent="0.2">
      <c r="B24" s="24"/>
      <c r="D24" s="521"/>
      <c r="E24" s="19" t="str">
        <f>IF('Rekapitulácia stavby'!E20="","",'Rekapitulácia stavby'!E20)</f>
        <v xml:space="preserve"> </v>
      </c>
      <c r="I24" s="528" t="s">
        <v>20</v>
      </c>
      <c r="J24" s="19" t="str">
        <f>IF('Rekapitulácia stavby'!AN20="","",'Rekapitulácia stavby'!AN20)</f>
        <v/>
      </c>
      <c r="L24" s="24"/>
      <c r="W24" s="158"/>
      <c r="X24" s="658"/>
      <c r="Y24" s="658"/>
      <c r="Z24" s="655" t="str">
        <f>IF('Rekapitulácia stavby'!Z20="","",'Rekapitulácia stavby'!Z20)</f>
        <v/>
      </c>
      <c r="AA24" s="658"/>
      <c r="AB24" s="658"/>
      <c r="AC24" s="658"/>
      <c r="AD24" s="657" t="s">
        <v>20</v>
      </c>
      <c r="AE24" s="161" t="str">
        <f>IF('Rekapitulácia stavby'!BI20="","",'Rekapitulácia stavby'!BI20)</f>
        <v/>
      </c>
    </row>
    <row r="25" spans="2:33" s="1" customFormat="1" ht="7.05" customHeight="1" x14ac:dyDescent="0.2">
      <c r="B25" s="24"/>
      <c r="D25" s="521"/>
      <c r="L25" s="24"/>
      <c r="W25" s="158"/>
      <c r="X25" s="658"/>
      <c r="Y25" s="658"/>
      <c r="Z25" s="658"/>
      <c r="AA25" s="658"/>
      <c r="AB25" s="658"/>
      <c r="AC25" s="658"/>
      <c r="AD25" s="658"/>
      <c r="AE25" s="159"/>
    </row>
    <row r="26" spans="2:33" s="1" customFormat="1" ht="12" customHeight="1" x14ac:dyDescent="0.2">
      <c r="B26" s="24"/>
      <c r="D26" s="528" t="s">
        <v>25</v>
      </c>
      <c r="L26" s="24"/>
      <c r="W26" s="158"/>
      <c r="X26" s="658"/>
      <c r="Y26" s="657" t="s">
        <v>25</v>
      </c>
      <c r="Z26" s="658"/>
      <c r="AA26" s="658"/>
      <c r="AB26" s="658"/>
      <c r="AC26" s="658"/>
      <c r="AD26" s="658"/>
      <c r="AE26" s="159"/>
    </row>
    <row r="27" spans="2:33" s="7" customFormat="1" ht="16.5" customHeight="1" x14ac:dyDescent="0.2">
      <c r="B27" s="75"/>
      <c r="E27" s="1228" t="s">
        <v>1</v>
      </c>
      <c r="F27" s="1228"/>
      <c r="G27" s="1228"/>
      <c r="H27" s="1228"/>
      <c r="L27" s="75"/>
      <c r="W27" s="163"/>
      <c r="X27" s="164"/>
      <c r="Y27" s="164"/>
      <c r="Z27" s="1248" t="s">
        <v>1</v>
      </c>
      <c r="AA27" s="1248"/>
      <c r="AB27" s="1248"/>
      <c r="AC27" s="1248"/>
      <c r="AD27" s="164"/>
      <c r="AE27" s="165"/>
    </row>
    <row r="28" spans="2:33" s="1" customFormat="1" ht="7.05" customHeight="1" x14ac:dyDescent="0.2">
      <c r="B28" s="24"/>
      <c r="L28" s="24"/>
      <c r="W28" s="158"/>
      <c r="X28" s="658"/>
      <c r="Y28" s="658"/>
      <c r="Z28" s="658"/>
      <c r="AA28" s="658"/>
      <c r="AB28" s="658"/>
      <c r="AC28" s="658"/>
      <c r="AD28" s="658"/>
      <c r="AE28" s="159"/>
    </row>
    <row r="29" spans="2:33" s="1" customFormat="1" ht="7.05" customHeight="1" x14ac:dyDescent="0.2">
      <c r="B29" s="24"/>
      <c r="D29" s="40"/>
      <c r="E29" s="40"/>
      <c r="F29" s="40"/>
      <c r="G29" s="40"/>
      <c r="H29" s="40"/>
      <c r="I29" s="40"/>
      <c r="J29" s="40"/>
      <c r="K29" s="40"/>
      <c r="L29" s="24"/>
      <c r="W29" s="158"/>
      <c r="X29" s="658"/>
      <c r="Y29" s="40"/>
      <c r="Z29" s="40"/>
      <c r="AA29" s="40"/>
      <c r="AB29" s="40"/>
      <c r="AC29" s="40"/>
      <c r="AD29" s="40"/>
      <c r="AE29" s="166"/>
    </row>
    <row r="30" spans="2:33" s="1" customFormat="1" ht="25.2" customHeight="1" x14ac:dyDescent="0.2">
      <c r="B30" s="24"/>
      <c r="D30" s="76" t="s">
        <v>26</v>
      </c>
      <c r="J30" s="53">
        <f>ROUND(J120, 2)</f>
        <v>53474.21</v>
      </c>
      <c r="L30" s="24"/>
      <c r="W30" s="158"/>
      <c r="X30" s="658"/>
      <c r="Y30" s="167" t="s">
        <v>26</v>
      </c>
      <c r="Z30" s="658"/>
      <c r="AA30" s="658"/>
      <c r="AB30" s="658"/>
      <c r="AC30" s="658"/>
      <c r="AD30" s="658"/>
      <c r="AE30" s="168">
        <f>ROUND(AE120, 2)</f>
        <v>52548.6</v>
      </c>
      <c r="AG30" s="130"/>
    </row>
    <row r="31" spans="2:33" s="1" customFormat="1" ht="7.05" customHeight="1" x14ac:dyDescent="0.2">
      <c r="B31" s="24"/>
      <c r="D31" s="40"/>
      <c r="E31" s="40"/>
      <c r="F31" s="40"/>
      <c r="G31" s="40"/>
      <c r="H31" s="40"/>
      <c r="I31" s="40"/>
      <c r="J31" s="40"/>
      <c r="K31" s="40"/>
      <c r="L31" s="24"/>
      <c r="W31" s="158"/>
      <c r="X31" s="658"/>
      <c r="Y31" s="40"/>
      <c r="Z31" s="40"/>
      <c r="AA31" s="40"/>
      <c r="AB31" s="40"/>
      <c r="AC31" s="40"/>
      <c r="AD31" s="40"/>
      <c r="AE31" s="166"/>
    </row>
    <row r="32" spans="2:33" s="1" customFormat="1" ht="14.55" customHeight="1" x14ac:dyDescent="0.2">
      <c r="B32" s="24"/>
      <c r="D32" s="521"/>
      <c r="E32" s="521"/>
      <c r="F32" s="534" t="s">
        <v>28</v>
      </c>
      <c r="G32" s="521"/>
      <c r="H32" s="521"/>
      <c r="I32" s="534" t="s">
        <v>27</v>
      </c>
      <c r="J32" s="534" t="s">
        <v>29</v>
      </c>
      <c r="L32" s="24"/>
      <c r="W32" s="158"/>
      <c r="X32" s="658"/>
      <c r="Y32" s="658"/>
      <c r="Z32" s="658"/>
      <c r="AA32" s="542" t="s">
        <v>28</v>
      </c>
      <c r="AB32" s="658"/>
      <c r="AC32" s="658"/>
      <c r="AD32" s="542" t="s">
        <v>27</v>
      </c>
      <c r="AE32" s="543" t="s">
        <v>29</v>
      </c>
    </row>
    <row r="33" spans="2:31" s="1" customFormat="1" ht="14.55" customHeight="1" x14ac:dyDescent="0.2">
      <c r="B33" s="24"/>
      <c r="D33" s="13" t="s">
        <v>30</v>
      </c>
      <c r="E33" s="528" t="s">
        <v>31</v>
      </c>
      <c r="F33" s="398">
        <f>ROUND((SUM(BE120:BE150)),  2)</f>
        <v>0</v>
      </c>
      <c r="G33" s="521"/>
      <c r="H33" s="521"/>
      <c r="I33" s="535">
        <v>0.2</v>
      </c>
      <c r="J33" s="398">
        <f>ROUND(((SUM(BE120:BE150))*I33),  2)</f>
        <v>0</v>
      </c>
      <c r="L33" s="24"/>
      <c r="W33" s="158"/>
      <c r="X33" s="658"/>
      <c r="Y33" s="544" t="s">
        <v>30</v>
      </c>
      <c r="Z33" s="657" t="s">
        <v>31</v>
      </c>
      <c r="AA33" s="545">
        <f>ROUND((SUM(BZ120:BZ150)),  2)</f>
        <v>0</v>
      </c>
      <c r="AB33" s="658"/>
      <c r="AC33" s="658"/>
      <c r="AD33" s="546">
        <v>0.2</v>
      </c>
      <c r="AE33" s="547">
        <f>ROUND(((SUM(BZ120:BZ150))*AD33),  2)</f>
        <v>0</v>
      </c>
    </row>
    <row r="34" spans="2:31" s="1" customFormat="1" ht="14.55" customHeight="1" x14ac:dyDescent="0.2">
      <c r="B34" s="24"/>
      <c r="D34" s="521"/>
      <c r="E34" s="528" t="s">
        <v>32</v>
      </c>
      <c r="F34" s="398">
        <f>ROUND((SUM(BF120:BF150)),  2)</f>
        <v>53474.21</v>
      </c>
      <c r="G34" s="521"/>
      <c r="H34" s="521"/>
      <c r="I34" s="535">
        <v>0.2</v>
      </c>
      <c r="J34" s="398">
        <f>ROUND(((SUM(BF120:BF150))*I34),  2)</f>
        <v>10694.84</v>
      </c>
      <c r="L34" s="24"/>
      <c r="W34" s="158"/>
      <c r="X34" s="658"/>
      <c r="Y34" s="658"/>
      <c r="Z34" s="657" t="s">
        <v>32</v>
      </c>
      <c r="AA34" s="545">
        <f>AE30</f>
        <v>52548.6</v>
      </c>
      <c r="AB34" s="658"/>
      <c r="AC34" s="658"/>
      <c r="AD34" s="546">
        <v>0.2</v>
      </c>
      <c r="AE34" s="547">
        <f>AA34*0.2</f>
        <v>10509.720000000001</v>
      </c>
    </row>
    <row r="35" spans="2:31" s="1" customFormat="1" ht="14.55" hidden="1" customHeight="1" x14ac:dyDescent="0.2">
      <c r="B35" s="24"/>
      <c r="E35" s="21" t="s">
        <v>33</v>
      </c>
      <c r="F35" s="78">
        <f>ROUND((SUM(BG120:BG150)),  2)</f>
        <v>0</v>
      </c>
      <c r="I35" s="79">
        <v>0.2</v>
      </c>
      <c r="J35" s="78">
        <f>0</f>
        <v>0</v>
      </c>
      <c r="L35" s="24"/>
      <c r="W35" s="158"/>
      <c r="X35" s="658"/>
      <c r="Y35" s="658"/>
      <c r="Z35" s="659" t="s">
        <v>33</v>
      </c>
      <c r="AA35" s="170">
        <f>ROUND((SUM(CB120:CB150)),  2)</f>
        <v>0</v>
      </c>
      <c r="AB35" s="658"/>
      <c r="AC35" s="658"/>
      <c r="AD35" s="171">
        <v>0.2</v>
      </c>
      <c r="AE35" s="172">
        <f>0</f>
        <v>0</v>
      </c>
    </row>
    <row r="36" spans="2:31" s="1" customFormat="1" ht="14.55" hidden="1" customHeight="1" x14ac:dyDescent="0.2">
      <c r="B36" s="24"/>
      <c r="E36" s="21" t="s">
        <v>34</v>
      </c>
      <c r="F36" s="78">
        <f>ROUND((SUM(BH120:BH150)),  2)</f>
        <v>0</v>
      </c>
      <c r="I36" s="79">
        <v>0.2</v>
      </c>
      <c r="J36" s="78">
        <f>0</f>
        <v>0</v>
      </c>
      <c r="L36" s="24"/>
      <c r="W36" s="158"/>
      <c r="X36" s="658"/>
      <c r="Y36" s="658"/>
      <c r="Z36" s="659" t="s">
        <v>34</v>
      </c>
      <c r="AA36" s="170">
        <f>ROUND((SUM(CC120:CC150)),  2)</f>
        <v>0</v>
      </c>
      <c r="AB36" s="658"/>
      <c r="AC36" s="658"/>
      <c r="AD36" s="171">
        <v>0.2</v>
      </c>
      <c r="AE36" s="172">
        <f>0</f>
        <v>0</v>
      </c>
    </row>
    <row r="37" spans="2:31" s="1" customFormat="1" ht="14.55" hidden="1" customHeight="1" x14ac:dyDescent="0.2">
      <c r="B37" s="24"/>
      <c r="E37" s="21" t="s">
        <v>35</v>
      </c>
      <c r="F37" s="78">
        <f>ROUND((SUM(BI120:BI150)),  2)</f>
        <v>0</v>
      </c>
      <c r="I37" s="79">
        <v>0</v>
      </c>
      <c r="J37" s="78">
        <f>0</f>
        <v>0</v>
      </c>
      <c r="L37" s="24"/>
      <c r="W37" s="158"/>
      <c r="X37" s="658"/>
      <c r="Y37" s="658"/>
      <c r="Z37" s="659" t="s">
        <v>35</v>
      </c>
      <c r="AA37" s="170">
        <f>ROUND((SUM(CD120:CD150)),  2)</f>
        <v>0</v>
      </c>
      <c r="AB37" s="658"/>
      <c r="AC37" s="658"/>
      <c r="AD37" s="171">
        <v>0</v>
      </c>
      <c r="AE37" s="172">
        <f>0</f>
        <v>0</v>
      </c>
    </row>
    <row r="38" spans="2:31" s="1" customFormat="1" ht="7.05" customHeight="1" x14ac:dyDescent="0.2">
      <c r="B38" s="24"/>
      <c r="L38" s="24"/>
      <c r="W38" s="158"/>
      <c r="X38" s="658"/>
      <c r="Y38" s="658"/>
      <c r="Z38" s="658"/>
      <c r="AA38" s="658"/>
      <c r="AB38" s="658"/>
      <c r="AC38" s="658"/>
      <c r="AD38" s="658"/>
      <c r="AE38" s="159"/>
    </row>
    <row r="39" spans="2:31" s="1" customFormat="1" ht="25.2" customHeight="1" x14ac:dyDescent="0.2">
      <c r="B39" s="24"/>
      <c r="C39" s="80"/>
      <c r="D39" s="81" t="s">
        <v>36</v>
      </c>
      <c r="E39" s="44"/>
      <c r="F39" s="44"/>
      <c r="G39" s="82" t="s">
        <v>37</v>
      </c>
      <c r="H39" s="83" t="s">
        <v>38</v>
      </c>
      <c r="I39" s="44"/>
      <c r="J39" s="84">
        <f>SUM(J30:J37)</f>
        <v>64169.05</v>
      </c>
      <c r="K39" s="85"/>
      <c r="L39" s="24"/>
      <c r="W39" s="158"/>
      <c r="X39" s="173"/>
      <c r="Y39" s="81" t="s">
        <v>36</v>
      </c>
      <c r="Z39" s="44"/>
      <c r="AA39" s="44"/>
      <c r="AB39" s="82" t="s">
        <v>37</v>
      </c>
      <c r="AC39" s="83" t="s">
        <v>38</v>
      </c>
      <c r="AD39" s="44"/>
      <c r="AE39" s="174">
        <f>SUM(AE30:AE37)</f>
        <v>63058.32</v>
      </c>
    </row>
    <row r="40" spans="2:31" s="1" customFormat="1" ht="14.55" customHeight="1" x14ac:dyDescent="0.2">
      <c r="B40" s="24"/>
      <c r="L40" s="24"/>
      <c r="W40" s="158"/>
      <c r="X40" s="658"/>
      <c r="Y40" s="658"/>
      <c r="Z40" s="658"/>
      <c r="AA40" s="658"/>
      <c r="AB40" s="658"/>
      <c r="AC40" s="658"/>
      <c r="AD40" s="658"/>
      <c r="AE40" s="159"/>
    </row>
    <row r="41" spans="2:31" ht="14.55" customHeight="1" x14ac:dyDescent="0.2">
      <c r="B41" s="16"/>
      <c r="L41" s="16"/>
      <c r="W41" s="155"/>
      <c r="X41" s="156"/>
      <c r="Y41" s="156"/>
      <c r="Z41" s="156"/>
      <c r="AA41" s="156"/>
      <c r="AB41" s="156"/>
      <c r="AC41" s="156"/>
      <c r="AD41" s="156"/>
      <c r="AE41" s="157"/>
    </row>
    <row r="42" spans="2:31" ht="14.55" customHeight="1" x14ac:dyDescent="0.2">
      <c r="B42" s="16"/>
      <c r="L42" s="16"/>
      <c r="W42" s="155"/>
      <c r="X42" s="156"/>
      <c r="Y42" s="156"/>
      <c r="Z42" s="156"/>
      <c r="AA42" s="156"/>
      <c r="AB42" s="156"/>
      <c r="AC42" s="156"/>
      <c r="AD42" s="156"/>
      <c r="AE42" s="157"/>
    </row>
    <row r="43" spans="2:31" ht="14.55" customHeight="1" x14ac:dyDescent="0.2">
      <c r="B43" s="16"/>
      <c r="L43" s="16"/>
      <c r="W43" s="155"/>
      <c r="X43" s="156"/>
      <c r="Y43" s="156"/>
      <c r="Z43" s="156"/>
      <c r="AA43" s="156"/>
      <c r="AB43" s="156"/>
      <c r="AC43" s="156"/>
      <c r="AD43" s="156"/>
      <c r="AE43" s="157"/>
    </row>
    <row r="44" spans="2:31" ht="14.55" customHeight="1" x14ac:dyDescent="0.2">
      <c r="B44" s="16"/>
      <c r="L44" s="16"/>
      <c r="W44" s="155"/>
      <c r="X44" s="156"/>
      <c r="Y44" s="156"/>
      <c r="Z44" s="156"/>
      <c r="AA44" s="156"/>
      <c r="AB44" s="156"/>
      <c r="AC44" s="156"/>
      <c r="AD44" s="156"/>
      <c r="AE44" s="157"/>
    </row>
    <row r="45" spans="2:31" ht="14.55" customHeight="1" x14ac:dyDescent="0.2">
      <c r="B45" s="16"/>
      <c r="L45" s="16"/>
      <c r="W45" s="155"/>
      <c r="X45" s="156"/>
      <c r="Y45" s="156"/>
      <c r="Z45" s="156"/>
      <c r="AA45" s="156"/>
      <c r="AB45" s="156"/>
      <c r="AC45" s="156"/>
      <c r="AD45" s="156"/>
      <c r="AE45" s="157"/>
    </row>
    <row r="46" spans="2:31" ht="14.55" customHeight="1" x14ac:dyDescent="0.2">
      <c r="B46" s="16"/>
      <c r="L46" s="16"/>
      <c r="W46" s="155"/>
      <c r="X46" s="156"/>
      <c r="Y46" s="156"/>
      <c r="Z46" s="156"/>
      <c r="AA46" s="156"/>
      <c r="AB46" s="156"/>
      <c r="AC46" s="156"/>
      <c r="AD46" s="156"/>
      <c r="AE46" s="157"/>
    </row>
    <row r="47" spans="2:31" ht="14.55" customHeight="1" x14ac:dyDescent="0.2">
      <c r="B47" s="16"/>
      <c r="L47" s="16"/>
      <c r="W47" s="155"/>
      <c r="X47" s="156"/>
      <c r="Y47" s="156"/>
      <c r="Z47" s="156"/>
      <c r="AA47" s="156"/>
      <c r="AB47" s="156"/>
      <c r="AC47" s="156"/>
      <c r="AD47" s="156"/>
      <c r="AE47" s="157"/>
    </row>
    <row r="48" spans="2:31" ht="14.55" customHeight="1" x14ac:dyDescent="0.2">
      <c r="B48" s="16"/>
      <c r="L48" s="16"/>
      <c r="W48" s="155"/>
      <c r="X48" s="156"/>
      <c r="Y48" s="156"/>
      <c r="Z48" s="156"/>
      <c r="AA48" s="156"/>
      <c r="AB48" s="156"/>
      <c r="AC48" s="156"/>
      <c r="AD48" s="156"/>
      <c r="AE48" s="157"/>
    </row>
    <row r="49" spans="2:31" ht="14.55" customHeight="1" x14ac:dyDescent="0.2">
      <c r="B49" s="16"/>
      <c r="D49" s="156"/>
      <c r="E49" s="156"/>
      <c r="F49" s="156"/>
      <c r="G49" s="156"/>
      <c r="H49" s="156"/>
      <c r="I49" s="156"/>
      <c r="J49" s="156"/>
      <c r="L49" s="16"/>
      <c r="W49" s="155"/>
      <c r="X49" s="156"/>
      <c r="Y49" s="156"/>
      <c r="Z49" s="156"/>
      <c r="AA49" s="156"/>
      <c r="AB49" s="156"/>
      <c r="AC49" s="156"/>
      <c r="AD49" s="156"/>
      <c r="AE49" s="157"/>
    </row>
    <row r="50" spans="2:31" s="1" customFormat="1" ht="14.55" customHeight="1" x14ac:dyDescent="0.2">
      <c r="B50" s="24"/>
      <c r="D50" s="530"/>
      <c r="E50" s="523"/>
      <c r="F50" s="523"/>
      <c r="G50" s="530"/>
      <c r="H50" s="523"/>
      <c r="I50" s="523"/>
      <c r="J50" s="523"/>
      <c r="K50" s="32"/>
      <c r="L50" s="24"/>
      <c r="W50" s="158"/>
      <c r="X50" s="658"/>
      <c r="Y50" s="530"/>
      <c r="Z50" s="658"/>
      <c r="AA50" s="658"/>
      <c r="AB50" s="530"/>
      <c r="AC50" s="658"/>
      <c r="AD50" s="658"/>
      <c r="AE50" s="159"/>
    </row>
    <row r="51" spans="2:31" x14ac:dyDescent="0.2">
      <c r="B51" s="16"/>
      <c r="D51" s="156"/>
      <c r="E51" s="156"/>
      <c r="F51" s="156"/>
      <c r="G51" s="156"/>
      <c r="H51" s="156"/>
      <c r="I51" s="156"/>
      <c r="J51" s="156"/>
      <c r="L51" s="16"/>
      <c r="W51" s="155"/>
      <c r="X51" s="156"/>
      <c r="Y51" s="156"/>
      <c r="Z51" s="156"/>
      <c r="AA51" s="156"/>
      <c r="AB51" s="156"/>
      <c r="AC51" s="156"/>
      <c r="AD51" s="156"/>
      <c r="AE51" s="157"/>
    </row>
    <row r="52" spans="2:31" x14ac:dyDescent="0.2">
      <c r="B52" s="16"/>
      <c r="D52" s="156"/>
      <c r="E52" s="156"/>
      <c r="F52" s="156"/>
      <c r="G52" s="156"/>
      <c r="H52" s="156"/>
      <c r="I52" s="156"/>
      <c r="J52" s="156"/>
      <c r="L52" s="16"/>
      <c r="W52" s="155"/>
      <c r="X52" s="156"/>
      <c r="Y52" s="156"/>
      <c r="Z52" s="156"/>
      <c r="AA52" s="156"/>
      <c r="AB52" s="156"/>
      <c r="AC52" s="156"/>
      <c r="AD52" s="156"/>
      <c r="AE52" s="157"/>
    </row>
    <row r="53" spans="2:31" x14ac:dyDescent="0.2">
      <c r="B53" s="16"/>
      <c r="D53" s="156"/>
      <c r="E53" s="156"/>
      <c r="F53" s="156"/>
      <c r="G53" s="156"/>
      <c r="H53" s="156"/>
      <c r="I53" s="156"/>
      <c r="J53" s="156"/>
      <c r="L53" s="16"/>
      <c r="W53" s="155"/>
      <c r="X53" s="156"/>
      <c r="Y53" s="156"/>
      <c r="Z53" s="156"/>
      <c r="AA53" s="156"/>
      <c r="AB53" s="156"/>
      <c r="AC53" s="156"/>
      <c r="AD53" s="156"/>
      <c r="AE53" s="157"/>
    </row>
    <row r="54" spans="2:31" x14ac:dyDescent="0.2">
      <c r="B54" s="16"/>
      <c r="D54" s="156"/>
      <c r="E54" s="156"/>
      <c r="F54" s="156"/>
      <c r="G54" s="156"/>
      <c r="H54" s="156"/>
      <c r="I54" s="156"/>
      <c r="J54" s="156"/>
      <c r="L54" s="16"/>
      <c r="W54" s="155"/>
      <c r="X54" s="156"/>
      <c r="Y54" s="156"/>
      <c r="Z54" s="156"/>
      <c r="AA54" s="156"/>
      <c r="AB54" s="156"/>
      <c r="AC54" s="156"/>
      <c r="AD54" s="156"/>
      <c r="AE54" s="157"/>
    </row>
    <row r="55" spans="2:31" x14ac:dyDescent="0.2">
      <c r="B55" s="16"/>
      <c r="D55" s="156"/>
      <c r="E55" s="156"/>
      <c r="F55" s="156"/>
      <c r="G55" s="156"/>
      <c r="H55" s="156"/>
      <c r="I55" s="156"/>
      <c r="J55" s="156"/>
      <c r="L55" s="16"/>
      <c r="W55" s="155"/>
      <c r="X55" s="156"/>
      <c r="Y55" s="156"/>
      <c r="Z55" s="156"/>
      <c r="AA55" s="156"/>
      <c r="AB55" s="156"/>
      <c r="AC55" s="156"/>
      <c r="AD55" s="156"/>
      <c r="AE55" s="157"/>
    </row>
    <row r="56" spans="2:31" x14ac:dyDescent="0.2">
      <c r="B56" s="16"/>
      <c r="D56" s="156"/>
      <c r="E56" s="156"/>
      <c r="F56" s="156"/>
      <c r="G56" s="156"/>
      <c r="H56" s="156"/>
      <c r="I56" s="156"/>
      <c r="J56" s="156"/>
      <c r="L56" s="16"/>
      <c r="W56" s="155"/>
      <c r="X56" s="156"/>
      <c r="Y56" s="156"/>
      <c r="Z56" s="156"/>
      <c r="AA56" s="156"/>
      <c r="AB56" s="156"/>
      <c r="AC56" s="156"/>
      <c r="AD56" s="156"/>
      <c r="AE56" s="157"/>
    </row>
    <row r="57" spans="2:31" x14ac:dyDescent="0.2">
      <c r="B57" s="16"/>
      <c r="D57" s="156"/>
      <c r="E57" s="156"/>
      <c r="F57" s="156"/>
      <c r="G57" s="156"/>
      <c r="H57" s="156"/>
      <c r="I57" s="156"/>
      <c r="J57" s="156"/>
      <c r="L57" s="16"/>
      <c r="W57" s="155"/>
      <c r="X57" s="156"/>
      <c r="Y57" s="156"/>
      <c r="Z57" s="156"/>
      <c r="AA57" s="156"/>
      <c r="AB57" s="156"/>
      <c r="AC57" s="156"/>
      <c r="AD57" s="156"/>
      <c r="AE57" s="157"/>
    </row>
    <row r="58" spans="2:31" x14ac:dyDescent="0.2">
      <c r="B58" s="16"/>
      <c r="D58" s="156"/>
      <c r="E58" s="156"/>
      <c r="F58" s="156"/>
      <c r="G58" s="156"/>
      <c r="H58" s="156"/>
      <c r="I58" s="156"/>
      <c r="J58" s="156"/>
      <c r="L58" s="16"/>
      <c r="W58" s="155"/>
      <c r="X58" s="156"/>
      <c r="Y58" s="156"/>
      <c r="Z58" s="156"/>
      <c r="AA58" s="156"/>
      <c r="AB58" s="156"/>
      <c r="AC58" s="156"/>
      <c r="AD58" s="156"/>
      <c r="AE58" s="157"/>
    </row>
    <row r="59" spans="2:31" x14ac:dyDescent="0.2">
      <c r="B59" s="16"/>
      <c r="D59" s="156"/>
      <c r="E59" s="156"/>
      <c r="F59" s="156"/>
      <c r="G59" s="156"/>
      <c r="H59" s="156"/>
      <c r="I59" s="156"/>
      <c r="J59" s="156"/>
      <c r="L59" s="16"/>
      <c r="W59" s="155"/>
      <c r="X59" s="156"/>
      <c r="Y59" s="156"/>
      <c r="Z59" s="156"/>
      <c r="AA59" s="156"/>
      <c r="AB59" s="156"/>
      <c r="AC59" s="156"/>
      <c r="AD59" s="156"/>
      <c r="AE59" s="157"/>
    </row>
    <row r="60" spans="2:31" x14ac:dyDescent="0.2">
      <c r="B60" s="16"/>
      <c r="D60" s="156"/>
      <c r="E60" s="156"/>
      <c r="F60" s="156"/>
      <c r="G60" s="156"/>
      <c r="H60" s="156"/>
      <c r="I60" s="156"/>
      <c r="J60" s="156"/>
      <c r="L60" s="16"/>
      <c r="W60" s="155"/>
      <c r="X60" s="156"/>
      <c r="Y60" s="156"/>
      <c r="Z60" s="156"/>
      <c r="AA60" s="156"/>
      <c r="AB60" s="156"/>
      <c r="AC60" s="156"/>
      <c r="AD60" s="156"/>
      <c r="AE60" s="157"/>
    </row>
    <row r="61" spans="2:31" s="1" customFormat="1" ht="13.2" x14ac:dyDescent="0.2">
      <c r="B61" s="24"/>
      <c r="D61" s="522"/>
      <c r="E61" s="523"/>
      <c r="F61" s="536"/>
      <c r="G61" s="522"/>
      <c r="H61" s="523"/>
      <c r="I61" s="523"/>
      <c r="J61" s="169"/>
      <c r="K61" s="26"/>
      <c r="L61" s="24"/>
      <c r="W61" s="158"/>
      <c r="X61" s="658"/>
      <c r="Y61" s="659"/>
      <c r="Z61" s="658"/>
      <c r="AA61" s="536"/>
      <c r="AB61" s="659"/>
      <c r="AC61" s="658"/>
      <c r="AD61" s="658"/>
      <c r="AE61" s="577"/>
    </row>
    <row r="62" spans="2:31" x14ac:dyDescent="0.2">
      <c r="B62" s="16"/>
      <c r="D62" s="156"/>
      <c r="E62" s="156"/>
      <c r="F62" s="156"/>
      <c r="G62" s="156"/>
      <c r="H62" s="156"/>
      <c r="I62" s="156"/>
      <c r="J62" s="156"/>
      <c r="L62" s="16"/>
      <c r="W62" s="155"/>
      <c r="X62" s="156"/>
      <c r="Y62" s="156"/>
      <c r="Z62" s="156"/>
      <c r="AA62" s="156"/>
      <c r="AB62" s="156"/>
      <c r="AC62" s="156"/>
      <c r="AD62" s="156"/>
      <c r="AE62" s="157"/>
    </row>
    <row r="63" spans="2:31" x14ac:dyDescent="0.2">
      <c r="B63" s="16"/>
      <c r="D63" s="156"/>
      <c r="E63" s="156"/>
      <c r="F63" s="156"/>
      <c r="G63" s="156"/>
      <c r="H63" s="156"/>
      <c r="I63" s="156"/>
      <c r="J63" s="156"/>
      <c r="L63" s="16"/>
      <c r="W63" s="155"/>
      <c r="X63" s="156"/>
      <c r="Y63" s="156"/>
      <c r="Z63" s="156"/>
      <c r="AA63" s="156"/>
      <c r="AB63" s="156"/>
      <c r="AC63" s="156"/>
      <c r="AD63" s="156"/>
      <c r="AE63" s="157"/>
    </row>
    <row r="64" spans="2:31" x14ac:dyDescent="0.2">
      <c r="B64" s="16"/>
      <c r="D64" s="156"/>
      <c r="E64" s="156"/>
      <c r="F64" s="156"/>
      <c r="G64" s="156"/>
      <c r="H64" s="156"/>
      <c r="I64" s="156"/>
      <c r="J64" s="156"/>
      <c r="L64" s="16"/>
      <c r="W64" s="155"/>
      <c r="X64" s="156"/>
      <c r="Y64" s="156"/>
      <c r="Z64" s="156"/>
      <c r="AA64" s="156"/>
      <c r="AB64" s="156"/>
      <c r="AC64" s="156"/>
      <c r="AD64" s="156"/>
      <c r="AE64" s="157"/>
    </row>
    <row r="65" spans="2:31" s="1" customFormat="1" ht="13.2" x14ac:dyDescent="0.2">
      <c r="B65" s="24"/>
      <c r="D65" s="530"/>
      <c r="E65" s="523"/>
      <c r="F65" s="523"/>
      <c r="G65" s="530"/>
      <c r="H65" s="523"/>
      <c r="I65" s="523"/>
      <c r="J65" s="523"/>
      <c r="K65" s="32"/>
      <c r="L65" s="24"/>
      <c r="W65" s="158"/>
      <c r="X65" s="658"/>
      <c r="Y65" s="530"/>
      <c r="Z65" s="658"/>
      <c r="AA65" s="658"/>
      <c r="AB65" s="530"/>
      <c r="AC65" s="658"/>
      <c r="AD65" s="658"/>
      <c r="AE65" s="159"/>
    </row>
    <row r="66" spans="2:31" x14ac:dyDescent="0.2">
      <c r="B66" s="16"/>
      <c r="D66" s="156"/>
      <c r="E66" s="156"/>
      <c r="F66" s="156"/>
      <c r="G66" s="156"/>
      <c r="H66" s="156"/>
      <c r="I66" s="156"/>
      <c r="J66" s="156"/>
      <c r="L66" s="16"/>
      <c r="W66" s="155"/>
      <c r="X66" s="156"/>
      <c r="Y66" s="156"/>
      <c r="Z66" s="156"/>
      <c r="AA66" s="156"/>
      <c r="AB66" s="156"/>
      <c r="AC66" s="156"/>
      <c r="AD66" s="156"/>
      <c r="AE66" s="157"/>
    </row>
    <row r="67" spans="2:31" x14ac:dyDescent="0.2">
      <c r="B67" s="16"/>
      <c r="D67" s="156"/>
      <c r="E67" s="156"/>
      <c r="F67" s="156"/>
      <c r="G67" s="156"/>
      <c r="H67" s="156"/>
      <c r="I67" s="156"/>
      <c r="J67" s="156"/>
      <c r="L67" s="16"/>
      <c r="W67" s="155"/>
      <c r="X67" s="156"/>
      <c r="Y67" s="156"/>
      <c r="Z67" s="156"/>
      <c r="AA67" s="156"/>
      <c r="AB67" s="156"/>
      <c r="AC67" s="156"/>
      <c r="AD67" s="156"/>
      <c r="AE67" s="157"/>
    </row>
    <row r="68" spans="2:31" x14ac:dyDescent="0.2">
      <c r="B68" s="16"/>
      <c r="D68" s="156"/>
      <c r="E68" s="156"/>
      <c r="F68" s="156"/>
      <c r="G68" s="156"/>
      <c r="H68" s="156"/>
      <c r="I68" s="156"/>
      <c r="J68" s="156"/>
      <c r="L68" s="16"/>
      <c r="W68" s="155"/>
      <c r="X68" s="156"/>
      <c r="Y68" s="156"/>
      <c r="Z68" s="156"/>
      <c r="AA68" s="156"/>
      <c r="AB68" s="156"/>
      <c r="AC68" s="156"/>
      <c r="AD68" s="156"/>
      <c r="AE68" s="157"/>
    </row>
    <row r="69" spans="2:31" x14ac:dyDescent="0.2">
      <c r="B69" s="16"/>
      <c r="D69" s="156"/>
      <c r="E69" s="156"/>
      <c r="F69" s="156"/>
      <c r="G69" s="156"/>
      <c r="H69" s="156"/>
      <c r="I69" s="156"/>
      <c r="J69" s="156"/>
      <c r="L69" s="16"/>
      <c r="W69" s="155"/>
      <c r="X69" s="156"/>
      <c r="Y69" s="156"/>
      <c r="Z69" s="156"/>
      <c r="AA69" s="156"/>
      <c r="AB69" s="156"/>
      <c r="AC69" s="156"/>
      <c r="AD69" s="156"/>
      <c r="AE69" s="157"/>
    </row>
    <row r="70" spans="2:31" x14ac:dyDescent="0.2">
      <c r="B70" s="16"/>
      <c r="D70" s="156"/>
      <c r="E70" s="156"/>
      <c r="F70" s="156"/>
      <c r="G70" s="156"/>
      <c r="H70" s="156"/>
      <c r="I70" s="156"/>
      <c r="J70" s="156"/>
      <c r="L70" s="16"/>
      <c r="W70" s="155"/>
      <c r="X70" s="156"/>
      <c r="Y70" s="156"/>
      <c r="Z70" s="156"/>
      <c r="AA70" s="156"/>
      <c r="AB70" s="156"/>
      <c r="AC70" s="156"/>
      <c r="AD70" s="156"/>
      <c r="AE70" s="157"/>
    </row>
    <row r="71" spans="2:31" x14ac:dyDescent="0.2">
      <c r="B71" s="16"/>
      <c r="D71" s="156"/>
      <c r="E71" s="156"/>
      <c r="F71" s="156"/>
      <c r="G71" s="156"/>
      <c r="H71" s="156"/>
      <c r="I71" s="156"/>
      <c r="J71" s="156"/>
      <c r="L71" s="16"/>
      <c r="W71" s="155"/>
      <c r="X71" s="156"/>
      <c r="Y71" s="156"/>
      <c r="Z71" s="156"/>
      <c r="AA71" s="156"/>
      <c r="AB71" s="156"/>
      <c r="AC71" s="156"/>
      <c r="AD71" s="156"/>
      <c r="AE71" s="157"/>
    </row>
    <row r="72" spans="2:31" x14ac:dyDescent="0.2">
      <c r="B72" s="16"/>
      <c r="D72" s="156"/>
      <c r="E72" s="156"/>
      <c r="F72" s="156"/>
      <c r="G72" s="156"/>
      <c r="H72" s="156"/>
      <c r="I72" s="156"/>
      <c r="J72" s="156"/>
      <c r="L72" s="16"/>
      <c r="W72" s="155"/>
      <c r="X72" s="156"/>
      <c r="Y72" s="156"/>
      <c r="Z72" s="156"/>
      <c r="AA72" s="156"/>
      <c r="AB72" s="156"/>
      <c r="AC72" s="156"/>
      <c r="AD72" s="156"/>
      <c r="AE72" s="157"/>
    </row>
    <row r="73" spans="2:31" x14ac:dyDescent="0.2">
      <c r="B73" s="16"/>
      <c r="D73" s="156"/>
      <c r="E73" s="156"/>
      <c r="F73" s="156"/>
      <c r="G73" s="156"/>
      <c r="H73" s="156"/>
      <c r="I73" s="156"/>
      <c r="J73" s="156"/>
      <c r="L73" s="16"/>
      <c r="W73" s="155"/>
      <c r="X73" s="156"/>
      <c r="Y73" s="156"/>
      <c r="Z73" s="156"/>
      <c r="AA73" s="156"/>
      <c r="AB73" s="156"/>
      <c r="AC73" s="156"/>
      <c r="AD73" s="156"/>
      <c r="AE73" s="157"/>
    </row>
    <row r="74" spans="2:31" x14ac:dyDescent="0.2">
      <c r="B74" s="16"/>
      <c r="D74" s="156"/>
      <c r="E74" s="156"/>
      <c r="F74" s="156"/>
      <c r="G74" s="156"/>
      <c r="H74" s="156"/>
      <c r="I74" s="156"/>
      <c r="J74" s="156"/>
      <c r="L74" s="16"/>
      <c r="W74" s="155"/>
      <c r="X74" s="156"/>
      <c r="Y74" s="156"/>
      <c r="Z74" s="156"/>
      <c r="AA74" s="156"/>
      <c r="AB74" s="156"/>
      <c r="AC74" s="156"/>
      <c r="AD74" s="156"/>
      <c r="AE74" s="157"/>
    </row>
    <row r="75" spans="2:31" x14ac:dyDescent="0.2">
      <c r="B75" s="16"/>
      <c r="D75" s="156"/>
      <c r="E75" s="156"/>
      <c r="F75" s="156"/>
      <c r="G75" s="156"/>
      <c r="H75" s="156"/>
      <c r="I75" s="156"/>
      <c r="J75" s="156"/>
      <c r="L75" s="16"/>
      <c r="W75" s="155"/>
      <c r="X75" s="156"/>
      <c r="Y75" s="156"/>
      <c r="Z75" s="156"/>
      <c r="AA75" s="156"/>
      <c r="AB75" s="156"/>
      <c r="AC75" s="156"/>
      <c r="AD75" s="156"/>
      <c r="AE75" s="157"/>
    </row>
    <row r="76" spans="2:31" s="1" customFormat="1" ht="13.2" x14ac:dyDescent="0.2">
      <c r="B76" s="24"/>
      <c r="D76" s="522"/>
      <c r="E76" s="523"/>
      <c r="F76" s="536"/>
      <c r="G76" s="522"/>
      <c r="H76" s="523"/>
      <c r="I76" s="523"/>
      <c r="J76" s="169"/>
      <c r="K76" s="26"/>
      <c r="L76" s="24"/>
      <c r="W76" s="158"/>
      <c r="X76" s="658"/>
      <c r="Y76" s="659"/>
      <c r="Z76" s="658"/>
      <c r="AA76" s="536"/>
      <c r="AB76" s="659"/>
      <c r="AC76" s="658"/>
      <c r="AD76" s="658"/>
      <c r="AE76" s="577"/>
    </row>
    <row r="77" spans="2:31" s="1" customFormat="1" ht="14.55" customHeight="1" x14ac:dyDescent="0.2">
      <c r="B77" s="33"/>
      <c r="C77" s="34"/>
      <c r="D77" s="34"/>
      <c r="E77" s="34"/>
      <c r="F77" s="34"/>
      <c r="G77" s="34"/>
      <c r="H77" s="34"/>
      <c r="I77" s="34"/>
      <c r="J77" s="34"/>
      <c r="K77" s="34"/>
      <c r="L77" s="24"/>
      <c r="W77" s="175"/>
      <c r="X77" s="176"/>
      <c r="Y77" s="176"/>
      <c r="Z77" s="176"/>
      <c r="AA77" s="176"/>
      <c r="AB77" s="176"/>
      <c r="AC77" s="176"/>
      <c r="AD77" s="176"/>
      <c r="AE77" s="177"/>
    </row>
    <row r="81" spans="2:47" s="1" customFormat="1" ht="7.05" customHeight="1" x14ac:dyDescent="0.2">
      <c r="B81" s="35"/>
      <c r="C81" s="36"/>
      <c r="D81" s="36"/>
      <c r="E81" s="36"/>
      <c r="F81" s="36"/>
      <c r="G81" s="36"/>
      <c r="H81" s="36"/>
      <c r="I81" s="36"/>
      <c r="J81" s="36"/>
      <c r="K81" s="36"/>
      <c r="L81" s="24"/>
      <c r="W81" s="178"/>
      <c r="X81" s="179"/>
      <c r="Y81" s="179"/>
      <c r="Z81" s="179"/>
      <c r="AA81" s="179"/>
      <c r="AB81" s="179"/>
      <c r="AC81" s="179"/>
      <c r="AD81" s="179"/>
      <c r="AE81" s="180"/>
      <c r="AF81" s="660"/>
    </row>
    <row r="82" spans="2:47" s="1" customFormat="1" ht="25.05" customHeight="1" x14ac:dyDescent="0.2">
      <c r="B82" s="24"/>
      <c r="C82" s="1165" t="s">
        <v>188</v>
      </c>
      <c r="D82" s="1165"/>
      <c r="E82" s="1165"/>
      <c r="F82" s="1165"/>
      <c r="G82" s="1165"/>
      <c r="H82" s="1165"/>
      <c r="I82" s="1165"/>
      <c r="J82" s="1165"/>
      <c r="L82" s="24"/>
      <c r="W82" s="158"/>
      <c r="X82" s="1237" t="s">
        <v>188</v>
      </c>
      <c r="Y82" s="1237"/>
      <c r="Z82" s="1237"/>
      <c r="AA82" s="1237"/>
      <c r="AB82" s="1237"/>
      <c r="AC82" s="1237"/>
      <c r="AD82" s="1237"/>
      <c r="AE82" s="1238"/>
      <c r="AF82" s="660"/>
    </row>
    <row r="83" spans="2:47" s="1" customFormat="1" ht="7.05" customHeight="1" x14ac:dyDescent="0.2">
      <c r="B83" s="24"/>
      <c r="L83" s="24"/>
      <c r="W83" s="158"/>
      <c r="X83" s="658"/>
      <c r="Y83" s="658"/>
      <c r="Z83" s="658"/>
      <c r="AA83" s="658"/>
      <c r="AB83" s="658"/>
      <c r="AC83" s="658"/>
      <c r="AD83" s="658"/>
      <c r="AE83" s="159"/>
      <c r="AF83" s="660"/>
    </row>
    <row r="84" spans="2:47" s="1" customFormat="1" ht="12" customHeight="1" x14ac:dyDescent="0.2">
      <c r="B84" s="24"/>
      <c r="C84" s="528" t="s">
        <v>12</v>
      </c>
      <c r="E84" s="1242" t="s">
        <v>6177</v>
      </c>
      <c r="F84" s="1242"/>
      <c r="G84" s="1242"/>
      <c r="H84" s="1242"/>
      <c r="I84" s="1242"/>
      <c r="J84" s="1242"/>
      <c r="L84" s="24"/>
      <c r="W84" s="158"/>
      <c r="X84" s="657" t="s">
        <v>12</v>
      </c>
      <c r="Y84" s="658"/>
      <c r="Z84" s="1163" t="s">
        <v>6177</v>
      </c>
      <c r="AA84" s="1163"/>
      <c r="AB84" s="1163"/>
      <c r="AC84" s="1163"/>
      <c r="AD84" s="1163"/>
      <c r="AE84" s="1241"/>
      <c r="AF84" s="660"/>
    </row>
    <row r="85" spans="2:47" s="1" customFormat="1" ht="23.55" customHeight="1" x14ac:dyDescent="0.2">
      <c r="B85" s="24"/>
      <c r="C85" s="521"/>
      <c r="E85" s="1243"/>
      <c r="F85" s="1244"/>
      <c r="G85" s="1244"/>
      <c r="H85" s="1244"/>
      <c r="L85" s="24"/>
      <c r="W85" s="158"/>
      <c r="X85" s="658"/>
      <c r="Y85" s="658"/>
      <c r="Z85" s="1249"/>
      <c r="AA85" s="1250"/>
      <c r="AB85" s="1250"/>
      <c r="AC85" s="1250"/>
      <c r="AD85" s="658"/>
      <c r="AE85" s="159"/>
      <c r="AF85" s="660"/>
    </row>
    <row r="86" spans="2:47" s="1" customFormat="1" ht="12" customHeight="1" x14ac:dyDescent="0.2">
      <c r="B86" s="24"/>
      <c r="C86" s="528" t="s">
        <v>186</v>
      </c>
      <c r="F86" s="532" t="s">
        <v>2558</v>
      </c>
      <c r="L86" s="24"/>
      <c r="W86" s="158"/>
      <c r="X86" s="657" t="s">
        <v>186</v>
      </c>
      <c r="Y86" s="658"/>
      <c r="Z86" s="658"/>
      <c r="AA86" s="555" t="s">
        <v>2558</v>
      </c>
      <c r="AB86" s="658"/>
      <c r="AC86" s="658"/>
      <c r="AD86" s="658"/>
      <c r="AE86" s="159"/>
      <c r="AF86" s="660"/>
    </row>
    <row r="87" spans="2:47" s="1" customFormat="1" ht="16.5" customHeight="1" x14ac:dyDescent="0.2">
      <c r="B87" s="24"/>
      <c r="C87" s="521"/>
      <c r="E87" s="1251"/>
      <c r="F87" s="1252"/>
      <c r="G87" s="1252"/>
      <c r="H87" s="1252"/>
      <c r="L87" s="24"/>
      <c r="W87" s="158"/>
      <c r="X87" s="658"/>
      <c r="Y87" s="658"/>
      <c r="Z87" s="1245"/>
      <c r="AA87" s="1246"/>
      <c r="AB87" s="1246"/>
      <c r="AC87" s="1246"/>
      <c r="AD87" s="658"/>
      <c r="AE87" s="159"/>
      <c r="AF87" s="660"/>
    </row>
    <row r="88" spans="2:47" s="1" customFormat="1" ht="7.05" customHeight="1" x14ac:dyDescent="0.2">
      <c r="B88" s="24"/>
      <c r="C88" s="521"/>
      <c r="L88" s="24"/>
      <c r="W88" s="158"/>
      <c r="X88" s="658"/>
      <c r="Y88" s="658"/>
      <c r="Z88" s="658"/>
      <c r="AA88" s="658"/>
      <c r="AB88" s="658"/>
      <c r="AC88" s="658"/>
      <c r="AD88" s="658"/>
      <c r="AE88" s="159"/>
      <c r="AF88" s="660"/>
    </row>
    <row r="89" spans="2:47" s="1" customFormat="1" ht="12" customHeight="1" x14ac:dyDescent="0.2">
      <c r="B89" s="24"/>
      <c r="C89" s="528" t="s">
        <v>15</v>
      </c>
      <c r="F89" s="19" t="str">
        <f>F12</f>
        <v>Kuzmányho nábrežie 28, 960 01 Zvolen</v>
      </c>
      <c r="I89" s="528" t="s">
        <v>17</v>
      </c>
      <c r="J89" s="39" t="str">
        <f>IF(J12="","",J12)</f>
        <v/>
      </c>
      <c r="L89" s="24"/>
      <c r="W89" s="158"/>
      <c r="X89" s="657" t="s">
        <v>15</v>
      </c>
      <c r="Y89" s="658"/>
      <c r="Z89" s="658"/>
      <c r="AA89" s="655" t="str">
        <f>AA12</f>
        <v>Kuzmányho nábrežie 28, 960 01 Zvolen</v>
      </c>
      <c r="AB89" s="658"/>
      <c r="AC89" s="658"/>
      <c r="AD89" s="657" t="s">
        <v>17</v>
      </c>
      <c r="AE89" s="162" t="str">
        <f>IF(AE12="","",AE12)</f>
        <v/>
      </c>
      <c r="AF89" s="660"/>
    </row>
    <row r="90" spans="2:47" s="1" customFormat="1" ht="7.05" customHeight="1" x14ac:dyDescent="0.2">
      <c r="B90" s="24"/>
      <c r="C90" s="521"/>
      <c r="I90" s="521"/>
      <c r="L90" s="24"/>
      <c r="W90" s="158"/>
      <c r="X90" s="658"/>
      <c r="Y90" s="658"/>
      <c r="Z90" s="658"/>
      <c r="AA90" s="658"/>
      <c r="AB90" s="658"/>
      <c r="AC90" s="658"/>
      <c r="AD90" s="658"/>
      <c r="AE90" s="159"/>
      <c r="AF90" s="660"/>
    </row>
    <row r="91" spans="2:47" s="1" customFormat="1" ht="15.3" customHeight="1" x14ac:dyDescent="0.2">
      <c r="B91" s="24"/>
      <c r="C91" s="528" t="s">
        <v>18</v>
      </c>
      <c r="F91" s="529" t="s">
        <v>6175</v>
      </c>
      <c r="I91" s="528" t="s">
        <v>22</v>
      </c>
      <c r="J91" s="22" t="str">
        <f>E21</f>
        <v xml:space="preserve"> </v>
      </c>
      <c r="L91" s="24"/>
      <c r="W91" s="158"/>
      <c r="X91" s="657" t="s">
        <v>18</v>
      </c>
      <c r="Y91" s="658"/>
      <c r="Z91" s="658"/>
      <c r="AA91" s="576" t="s">
        <v>6175</v>
      </c>
      <c r="AB91" s="658"/>
      <c r="AC91" s="658"/>
      <c r="AD91" s="657" t="s">
        <v>22</v>
      </c>
      <c r="AE91" s="181" t="str">
        <f>Z21</f>
        <v/>
      </c>
      <c r="AF91" s="660"/>
    </row>
    <row r="92" spans="2:47" s="1" customFormat="1" ht="15.3" customHeight="1" x14ac:dyDescent="0.2">
      <c r="B92" s="24"/>
      <c r="C92" s="528" t="s">
        <v>21</v>
      </c>
      <c r="F92" s="529" t="s">
        <v>5202</v>
      </c>
      <c r="I92" s="528" t="s">
        <v>24</v>
      </c>
      <c r="J92" s="22" t="str">
        <f>E24</f>
        <v xml:space="preserve"> </v>
      </c>
      <c r="L92" s="24"/>
      <c r="W92" s="158"/>
      <c r="X92" s="657" t="s">
        <v>21</v>
      </c>
      <c r="Y92" s="658"/>
      <c r="Z92" s="658"/>
      <c r="AA92" s="576" t="s">
        <v>5202</v>
      </c>
      <c r="AB92" s="658"/>
      <c r="AC92" s="658"/>
      <c r="AD92" s="657" t="s">
        <v>24</v>
      </c>
      <c r="AE92" s="181" t="str">
        <f>Z24</f>
        <v/>
      </c>
      <c r="AF92" s="660"/>
    </row>
    <row r="93" spans="2:47" s="1" customFormat="1" ht="10.199999999999999" customHeight="1" x14ac:dyDescent="0.2">
      <c r="B93" s="24"/>
      <c r="L93" s="24"/>
      <c r="W93" s="158"/>
      <c r="X93" s="658"/>
      <c r="Y93" s="658"/>
      <c r="Z93" s="658"/>
      <c r="AA93" s="658"/>
      <c r="AB93" s="658"/>
      <c r="AC93" s="658"/>
      <c r="AD93" s="658"/>
      <c r="AE93" s="159"/>
      <c r="AF93" s="660"/>
    </row>
    <row r="94" spans="2:47" s="1" customFormat="1" ht="29.25" customHeight="1" x14ac:dyDescent="0.2">
      <c r="B94" s="24"/>
      <c r="C94" s="86" t="s">
        <v>189</v>
      </c>
      <c r="D94" s="80"/>
      <c r="E94" s="80"/>
      <c r="F94" s="80"/>
      <c r="G94" s="80"/>
      <c r="H94" s="80"/>
      <c r="I94" s="80"/>
      <c r="J94" s="87" t="s">
        <v>190</v>
      </c>
      <c r="K94" s="80"/>
      <c r="L94" s="24"/>
      <c r="W94" s="158"/>
      <c r="X94" s="182" t="s">
        <v>189</v>
      </c>
      <c r="Y94" s="173"/>
      <c r="Z94" s="173"/>
      <c r="AA94" s="173"/>
      <c r="AB94" s="173"/>
      <c r="AC94" s="173"/>
      <c r="AD94" s="173"/>
      <c r="AE94" s="183" t="s">
        <v>190</v>
      </c>
      <c r="AF94" s="660"/>
    </row>
    <row r="95" spans="2:47" s="1" customFormat="1" ht="10.199999999999999" customHeight="1" x14ac:dyDescent="0.2">
      <c r="B95" s="24"/>
      <c r="L95" s="24"/>
      <c r="W95" s="158"/>
      <c r="X95" s="658"/>
      <c r="Y95" s="658"/>
      <c r="Z95" s="658"/>
      <c r="AA95" s="658"/>
      <c r="AB95" s="658"/>
      <c r="AC95" s="658"/>
      <c r="AD95" s="658"/>
      <c r="AE95" s="159"/>
      <c r="AF95" s="660"/>
    </row>
    <row r="96" spans="2:47" s="1" customFormat="1" ht="22.95" customHeight="1" x14ac:dyDescent="0.2">
      <c r="B96" s="24"/>
      <c r="C96" s="88" t="s">
        <v>191</v>
      </c>
      <c r="J96" s="53">
        <f>J120</f>
        <v>53474.209999999992</v>
      </c>
      <c r="L96" s="24"/>
      <c r="W96" s="158"/>
      <c r="X96" s="184" t="s">
        <v>191</v>
      </c>
      <c r="Y96" s="658"/>
      <c r="Z96" s="658"/>
      <c r="AA96" s="658"/>
      <c r="AB96" s="658"/>
      <c r="AC96" s="658"/>
      <c r="AD96" s="658"/>
      <c r="AE96" s="168">
        <f>AE120</f>
        <v>52548.600000000006</v>
      </c>
      <c r="AF96" s="660"/>
      <c r="AU96" s="13" t="s">
        <v>192</v>
      </c>
    </row>
    <row r="97" spans="2:31" s="8" customFormat="1" ht="25.05" customHeight="1" x14ac:dyDescent="0.2">
      <c r="B97" s="89"/>
      <c r="D97" s="90" t="s">
        <v>2559</v>
      </c>
      <c r="E97" s="91"/>
      <c r="F97" s="91"/>
      <c r="G97" s="91"/>
      <c r="H97" s="91"/>
      <c r="I97" s="91"/>
      <c r="J97" s="92">
        <f>J121</f>
        <v>47857.24</v>
      </c>
      <c r="L97" s="89"/>
      <c r="W97" s="185"/>
      <c r="X97" s="186"/>
      <c r="Y97" s="90" t="s">
        <v>2559</v>
      </c>
      <c r="Z97" s="91"/>
      <c r="AA97" s="91"/>
      <c r="AB97" s="91"/>
      <c r="AC97" s="91"/>
      <c r="AD97" s="91"/>
      <c r="AE97" s="187">
        <f>AE121</f>
        <v>46875.47</v>
      </c>
    </row>
    <row r="98" spans="2:31" s="8" customFormat="1" ht="25.05" customHeight="1" x14ac:dyDescent="0.2">
      <c r="B98" s="89"/>
      <c r="D98" s="90" t="s">
        <v>2560</v>
      </c>
      <c r="E98" s="91"/>
      <c r="F98" s="91"/>
      <c r="G98" s="91"/>
      <c r="H98" s="91"/>
      <c r="I98" s="91"/>
      <c r="J98" s="92">
        <f>J140</f>
        <v>2627.66</v>
      </c>
      <c r="L98" s="89"/>
      <c r="W98" s="185"/>
      <c r="X98" s="186"/>
      <c r="Y98" s="90" t="s">
        <v>2560</v>
      </c>
      <c r="Z98" s="91"/>
      <c r="AA98" s="91"/>
      <c r="AB98" s="91"/>
      <c r="AC98" s="91"/>
      <c r="AD98" s="91"/>
      <c r="AE98" s="187">
        <f>AE140</f>
        <v>2627.66</v>
      </c>
    </row>
    <row r="99" spans="2:31" s="8" customFormat="1" ht="25.05" customHeight="1" x14ac:dyDescent="0.2">
      <c r="B99" s="89"/>
      <c r="D99" s="90" t="s">
        <v>2561</v>
      </c>
      <c r="E99" s="91"/>
      <c r="F99" s="91"/>
      <c r="G99" s="91"/>
      <c r="H99" s="91"/>
      <c r="I99" s="91"/>
      <c r="J99" s="92">
        <f>J146</f>
        <v>2989.31</v>
      </c>
      <c r="L99" s="89"/>
      <c r="W99" s="185"/>
      <c r="X99" s="186"/>
      <c r="Y99" s="90" t="s">
        <v>2561</v>
      </c>
      <c r="Z99" s="91"/>
      <c r="AA99" s="91"/>
      <c r="AB99" s="91"/>
      <c r="AC99" s="91"/>
      <c r="AD99" s="91"/>
      <c r="AE99" s="187">
        <f>AE146</f>
        <v>3045.4700000000003</v>
      </c>
    </row>
    <row r="100" spans="2:31" s="9" customFormat="1" ht="19.95" customHeight="1" x14ac:dyDescent="0.2">
      <c r="B100" s="93"/>
      <c r="D100" s="94" t="s">
        <v>2562</v>
      </c>
      <c r="E100" s="95"/>
      <c r="F100" s="95"/>
      <c r="G100" s="95"/>
      <c r="H100" s="95"/>
      <c r="I100" s="95"/>
      <c r="J100" s="96">
        <f>J147</f>
        <v>2989.31</v>
      </c>
      <c r="L100" s="93"/>
      <c r="W100" s="188"/>
      <c r="X100" s="189"/>
      <c r="Y100" s="94" t="s">
        <v>2562</v>
      </c>
      <c r="Z100" s="95"/>
      <c r="AA100" s="95"/>
      <c r="AB100" s="95"/>
      <c r="AC100" s="95"/>
      <c r="AD100" s="95"/>
      <c r="AE100" s="190">
        <f>AE147</f>
        <v>3045.4700000000003</v>
      </c>
    </row>
    <row r="101" spans="2:31" s="1" customFormat="1" ht="21.75" customHeight="1" x14ac:dyDescent="0.2">
      <c r="B101" s="24"/>
      <c r="L101" s="24"/>
      <c r="W101" s="158"/>
      <c r="X101" s="658"/>
      <c r="Y101" s="658"/>
      <c r="Z101" s="658"/>
      <c r="AA101" s="658"/>
      <c r="AB101" s="658"/>
      <c r="AC101" s="658"/>
      <c r="AD101" s="658"/>
      <c r="AE101" s="159"/>
    </row>
    <row r="102" spans="2:31" s="1" customFormat="1" ht="7.05" customHeight="1" x14ac:dyDescent="0.2">
      <c r="B102" s="33"/>
      <c r="C102" s="34"/>
      <c r="D102" s="34"/>
      <c r="E102" s="34"/>
      <c r="F102" s="34"/>
      <c r="G102" s="34"/>
      <c r="H102" s="34"/>
      <c r="I102" s="34"/>
      <c r="J102" s="34"/>
      <c r="K102" s="34"/>
      <c r="L102" s="24"/>
      <c r="W102" s="175"/>
      <c r="X102" s="176"/>
      <c r="Y102" s="176"/>
      <c r="Z102" s="176"/>
      <c r="AA102" s="176"/>
      <c r="AB102" s="176"/>
      <c r="AC102" s="176"/>
      <c r="AD102" s="176"/>
      <c r="AE102" s="177"/>
    </row>
    <row r="106" spans="2:31" s="1" customFormat="1" ht="7.05" customHeight="1" x14ac:dyDescent="0.2">
      <c r="B106" s="35"/>
      <c r="C106" s="36"/>
      <c r="D106" s="36"/>
      <c r="E106" s="36"/>
      <c r="F106" s="36"/>
      <c r="G106" s="36"/>
      <c r="H106" s="36"/>
      <c r="I106" s="36"/>
      <c r="J106" s="36"/>
      <c r="K106" s="36"/>
      <c r="L106" s="24"/>
      <c r="W106" s="178"/>
      <c r="X106" s="179"/>
      <c r="Y106" s="179"/>
      <c r="Z106" s="179"/>
      <c r="AA106" s="179"/>
      <c r="AB106" s="179"/>
      <c r="AC106" s="179"/>
      <c r="AD106" s="179"/>
      <c r="AE106" s="180"/>
    </row>
    <row r="107" spans="2:31" s="1" customFormat="1" ht="25.05" customHeight="1" x14ac:dyDescent="0.2">
      <c r="B107" s="24"/>
      <c r="C107" s="1165" t="s">
        <v>214</v>
      </c>
      <c r="D107" s="1165"/>
      <c r="E107" s="1165"/>
      <c r="F107" s="1165"/>
      <c r="G107" s="1165"/>
      <c r="H107" s="1165"/>
      <c r="I107" s="1165"/>
      <c r="J107" s="1165"/>
      <c r="L107" s="24"/>
      <c r="W107" s="158"/>
      <c r="X107" s="1237" t="s">
        <v>214</v>
      </c>
      <c r="Y107" s="1237"/>
      <c r="Z107" s="1237"/>
      <c r="AA107" s="1237"/>
      <c r="AB107" s="1237"/>
      <c r="AC107" s="1237"/>
      <c r="AD107" s="1237"/>
      <c r="AE107" s="1238"/>
    </row>
    <row r="108" spans="2:31" s="1" customFormat="1" ht="7.05" customHeight="1" x14ac:dyDescent="0.2">
      <c r="B108" s="24"/>
      <c r="L108" s="24"/>
      <c r="W108" s="158"/>
      <c r="X108" s="658"/>
      <c r="Y108" s="658"/>
      <c r="Z108" s="658"/>
      <c r="AA108" s="658"/>
      <c r="AB108" s="658"/>
      <c r="AC108" s="658"/>
      <c r="AD108" s="658"/>
      <c r="AE108" s="159"/>
    </row>
    <row r="109" spans="2:31" s="1" customFormat="1" ht="12" customHeight="1" x14ac:dyDescent="0.2">
      <c r="B109" s="24"/>
      <c r="C109" s="528" t="s">
        <v>12</v>
      </c>
      <c r="E109" s="1242" t="s">
        <v>6177</v>
      </c>
      <c r="F109" s="1242"/>
      <c r="G109" s="1242"/>
      <c r="H109" s="1242"/>
      <c r="I109" s="1242"/>
      <c r="J109" s="1242"/>
      <c r="L109" s="24"/>
      <c r="W109" s="158"/>
      <c r="X109" s="657" t="s">
        <v>12</v>
      </c>
      <c r="Y109" s="658"/>
      <c r="Z109" s="1163" t="s">
        <v>6177</v>
      </c>
      <c r="AA109" s="1163"/>
      <c r="AB109" s="1163"/>
      <c r="AC109" s="1163"/>
      <c r="AD109" s="1163"/>
      <c r="AE109" s="1241"/>
    </row>
    <row r="110" spans="2:31" s="1" customFormat="1" ht="24" customHeight="1" x14ac:dyDescent="0.2">
      <c r="B110" s="24"/>
      <c r="C110" s="521"/>
      <c r="E110" s="1243"/>
      <c r="F110" s="1244"/>
      <c r="G110" s="1244"/>
      <c r="H110" s="1244"/>
      <c r="L110" s="24"/>
      <c r="W110" s="158"/>
      <c r="X110" s="658"/>
      <c r="Y110" s="658"/>
      <c r="Z110" s="1249"/>
      <c r="AA110" s="1250"/>
      <c r="AB110" s="1250"/>
      <c r="AC110" s="1250"/>
      <c r="AD110" s="658"/>
      <c r="AE110" s="159"/>
    </row>
    <row r="111" spans="2:31" s="1" customFormat="1" ht="12" customHeight="1" x14ac:dyDescent="0.2">
      <c r="B111" s="24"/>
      <c r="C111" s="528" t="s">
        <v>186</v>
      </c>
      <c r="F111" s="532" t="s">
        <v>2558</v>
      </c>
      <c r="L111" s="24"/>
      <c r="W111" s="158"/>
      <c r="X111" s="657" t="s">
        <v>186</v>
      </c>
      <c r="Y111" s="658"/>
      <c r="Z111" s="658"/>
      <c r="AA111" s="555" t="s">
        <v>2558</v>
      </c>
      <c r="AB111" s="658"/>
      <c r="AC111" s="658"/>
      <c r="AD111" s="658"/>
      <c r="AE111" s="159"/>
    </row>
    <row r="112" spans="2:31" s="1" customFormat="1" ht="16.5" customHeight="1" x14ac:dyDescent="0.2">
      <c r="B112" s="24"/>
      <c r="C112" s="521"/>
      <c r="E112" s="1251"/>
      <c r="F112" s="1252"/>
      <c r="G112" s="1252"/>
      <c r="H112" s="1252"/>
      <c r="L112" s="24"/>
      <c r="W112" s="158"/>
      <c r="X112" s="658"/>
      <c r="Y112" s="658"/>
      <c r="Z112" s="1245"/>
      <c r="AA112" s="1246"/>
      <c r="AB112" s="1246"/>
      <c r="AC112" s="1246"/>
      <c r="AD112" s="658"/>
      <c r="AE112" s="159"/>
    </row>
    <row r="113" spans="2:65" s="1" customFormat="1" ht="7.05" customHeight="1" x14ac:dyDescent="0.2">
      <c r="B113" s="24"/>
      <c r="C113" s="521"/>
      <c r="L113" s="24"/>
      <c r="W113" s="158"/>
      <c r="X113" s="658"/>
      <c r="Y113" s="658"/>
      <c r="Z113" s="658"/>
      <c r="AA113" s="658"/>
      <c r="AB113" s="658"/>
      <c r="AC113" s="658"/>
      <c r="AD113" s="658"/>
      <c r="AE113" s="159"/>
      <c r="AF113" s="660"/>
    </row>
    <row r="114" spans="2:65" s="1" customFormat="1" ht="12" customHeight="1" x14ac:dyDescent="0.2">
      <c r="B114" s="24"/>
      <c r="C114" s="528" t="s">
        <v>15</v>
      </c>
      <c r="F114" s="19" t="str">
        <f>F12</f>
        <v>Kuzmányho nábrežie 28, 960 01 Zvolen</v>
      </c>
      <c r="I114" s="528" t="s">
        <v>17</v>
      </c>
      <c r="J114" s="39" t="str">
        <f>IF(J12="","",J12)</f>
        <v/>
      </c>
      <c r="L114" s="24"/>
      <c r="W114" s="158"/>
      <c r="X114" s="657" t="s">
        <v>15</v>
      </c>
      <c r="Y114" s="658"/>
      <c r="Z114" s="658"/>
      <c r="AA114" s="655" t="str">
        <f>AA12</f>
        <v>Kuzmányho nábrežie 28, 960 01 Zvolen</v>
      </c>
      <c r="AB114" s="658"/>
      <c r="AC114" s="658"/>
      <c r="AD114" s="657" t="s">
        <v>17</v>
      </c>
      <c r="AE114" s="162" t="str">
        <f>IF(AE12="","",AE12)</f>
        <v/>
      </c>
      <c r="AF114" s="660"/>
    </row>
    <row r="115" spans="2:65" s="1" customFormat="1" ht="7.05" customHeight="1" x14ac:dyDescent="0.2">
      <c r="B115" s="24"/>
      <c r="C115" s="521"/>
      <c r="I115" s="521"/>
      <c r="L115" s="24"/>
      <c r="W115" s="158"/>
      <c r="X115" s="658"/>
      <c r="Y115" s="658"/>
      <c r="Z115" s="658"/>
      <c r="AA115" s="658"/>
      <c r="AB115" s="658"/>
      <c r="AC115" s="658"/>
      <c r="AD115" s="658"/>
      <c r="AE115" s="159"/>
      <c r="AF115" s="660"/>
    </row>
    <row r="116" spans="2:65" s="1" customFormat="1" ht="15.3" customHeight="1" x14ac:dyDescent="0.2">
      <c r="B116" s="24"/>
      <c r="C116" s="528" t="s">
        <v>18</v>
      </c>
      <c r="F116" s="529" t="s">
        <v>6175</v>
      </c>
      <c r="I116" s="528" t="s">
        <v>22</v>
      </c>
      <c r="J116" s="22" t="str">
        <f>E21</f>
        <v xml:space="preserve"> </v>
      </c>
      <c r="L116" s="24"/>
      <c r="W116" s="158"/>
      <c r="X116" s="657" t="s">
        <v>18</v>
      </c>
      <c r="Y116" s="658"/>
      <c r="Z116" s="658"/>
      <c r="AA116" s="576" t="s">
        <v>6175</v>
      </c>
      <c r="AB116" s="658"/>
      <c r="AC116" s="658"/>
      <c r="AD116" s="657" t="s">
        <v>22</v>
      </c>
      <c r="AE116" s="181" t="str">
        <f>Z21</f>
        <v/>
      </c>
      <c r="AF116" s="660"/>
    </row>
    <row r="117" spans="2:65" s="1" customFormat="1" ht="15.3" customHeight="1" x14ac:dyDescent="0.2">
      <c r="B117" s="24"/>
      <c r="C117" s="528" t="s">
        <v>21</v>
      </c>
      <c r="F117" s="529" t="s">
        <v>5202</v>
      </c>
      <c r="I117" s="528" t="s">
        <v>24</v>
      </c>
      <c r="J117" s="22" t="str">
        <f>E24</f>
        <v xml:space="preserve"> </v>
      </c>
      <c r="L117" s="24"/>
      <c r="W117" s="158"/>
      <c r="X117" s="657" t="s">
        <v>21</v>
      </c>
      <c r="Y117" s="658"/>
      <c r="Z117" s="658"/>
      <c r="AA117" s="576" t="s">
        <v>5202</v>
      </c>
      <c r="AB117" s="658"/>
      <c r="AC117" s="658"/>
      <c r="AD117" s="657" t="s">
        <v>24</v>
      </c>
      <c r="AE117" s="181" t="str">
        <f>Z24</f>
        <v/>
      </c>
      <c r="AF117" s="660"/>
    </row>
    <row r="118" spans="2:65" s="1" customFormat="1" ht="10.199999999999999" customHeight="1" x14ac:dyDescent="0.2">
      <c r="B118" s="24"/>
      <c r="L118" s="24"/>
      <c r="W118" s="158"/>
      <c r="X118" s="658"/>
      <c r="Y118" s="658"/>
      <c r="Z118" s="658"/>
      <c r="AA118" s="658"/>
      <c r="AB118" s="658"/>
      <c r="AC118" s="658"/>
      <c r="AD118" s="658"/>
      <c r="AE118" s="159"/>
      <c r="AF118" s="660"/>
    </row>
    <row r="119" spans="2:65" s="10" customFormat="1" ht="29.25" customHeight="1" x14ac:dyDescent="0.2">
      <c r="B119" s="97"/>
      <c r="C119" s="98" t="s">
        <v>215</v>
      </c>
      <c r="D119" s="99" t="s">
        <v>43</v>
      </c>
      <c r="E119" s="99" t="s">
        <v>41</v>
      </c>
      <c r="F119" s="99" t="s">
        <v>42</v>
      </c>
      <c r="G119" s="99" t="s">
        <v>216</v>
      </c>
      <c r="H119" s="99" t="s">
        <v>217</v>
      </c>
      <c r="I119" s="99" t="s">
        <v>218</v>
      </c>
      <c r="J119" s="100" t="s">
        <v>190</v>
      </c>
      <c r="K119" s="101" t="s">
        <v>219</v>
      </c>
      <c r="L119" s="97"/>
      <c r="M119" s="46" t="s">
        <v>1</v>
      </c>
      <c r="N119" s="47" t="s">
        <v>30</v>
      </c>
      <c r="O119" s="47" t="s">
        <v>220</v>
      </c>
      <c r="P119" s="47" t="s">
        <v>221</v>
      </c>
      <c r="Q119" s="47" t="s">
        <v>222</v>
      </c>
      <c r="R119" s="47" t="s">
        <v>223</v>
      </c>
      <c r="S119" s="47" t="s">
        <v>224</v>
      </c>
      <c r="T119" s="48" t="s">
        <v>225</v>
      </c>
      <c r="W119" s="191"/>
      <c r="X119" s="98" t="s">
        <v>215</v>
      </c>
      <c r="Y119" s="99" t="s">
        <v>43</v>
      </c>
      <c r="Z119" s="99" t="s">
        <v>41</v>
      </c>
      <c r="AA119" s="99" t="s">
        <v>42</v>
      </c>
      <c r="AB119" s="99" t="s">
        <v>216</v>
      </c>
      <c r="AC119" s="99" t="s">
        <v>217</v>
      </c>
      <c r="AD119" s="99" t="s">
        <v>218</v>
      </c>
      <c r="AE119" s="192" t="s">
        <v>190</v>
      </c>
      <c r="AF119" s="228" t="s">
        <v>5220</v>
      </c>
      <c r="AH119" s="395"/>
    </row>
    <row r="120" spans="2:65" s="1" customFormat="1" ht="22.95" customHeight="1" x14ac:dyDescent="0.3">
      <c r="B120" s="24"/>
      <c r="C120" s="51" t="s">
        <v>191</v>
      </c>
      <c r="J120" s="102">
        <f>BK120</f>
        <v>53474.209999999992</v>
      </c>
      <c r="L120" s="24"/>
      <c r="M120" s="49"/>
      <c r="N120" s="40"/>
      <c r="O120" s="40"/>
      <c r="P120" s="103">
        <f>P121+P140+P146</f>
        <v>0</v>
      </c>
      <c r="Q120" s="40"/>
      <c r="R120" s="103">
        <f>R121+R140+R146</f>
        <v>0</v>
      </c>
      <c r="S120" s="40"/>
      <c r="T120" s="104">
        <f>T121+T140+T146</f>
        <v>0</v>
      </c>
      <c r="W120" s="158"/>
      <c r="X120" s="193" t="s">
        <v>191</v>
      </c>
      <c r="Y120" s="658"/>
      <c r="Z120" s="658"/>
      <c r="AA120" s="658"/>
      <c r="AB120" s="658"/>
      <c r="AC120" s="658"/>
      <c r="AD120" s="658"/>
      <c r="AE120" s="194">
        <f>AE121+AE140+AE146</f>
        <v>52548.600000000006</v>
      </c>
      <c r="AF120" s="224"/>
      <c r="AT120" s="13" t="s">
        <v>57</v>
      </c>
      <c r="AU120" s="13" t="s">
        <v>192</v>
      </c>
      <c r="BK120" s="105">
        <f>BK121+BK140+BK146</f>
        <v>53474.209999999992</v>
      </c>
    </row>
    <row r="121" spans="2:65" s="11" customFormat="1" ht="25.95" customHeight="1" x14ac:dyDescent="0.25">
      <c r="B121" s="106"/>
      <c r="D121" s="107" t="s">
        <v>57</v>
      </c>
      <c r="E121" s="108" t="s">
        <v>2563</v>
      </c>
      <c r="F121" s="108" t="s">
        <v>2564</v>
      </c>
      <c r="J121" s="109">
        <f>BK121</f>
        <v>47857.24</v>
      </c>
      <c r="L121" s="106"/>
      <c r="M121" s="110"/>
      <c r="N121" s="111"/>
      <c r="O121" s="111"/>
      <c r="P121" s="112">
        <f>SUM(P122:P139)</f>
        <v>0</v>
      </c>
      <c r="Q121" s="111"/>
      <c r="R121" s="112">
        <f>SUM(R122:R139)</f>
        <v>0</v>
      </c>
      <c r="S121" s="111"/>
      <c r="T121" s="113">
        <f>SUM(T122:T139)</f>
        <v>0</v>
      </c>
      <c r="W121" s="195"/>
      <c r="X121" s="111"/>
      <c r="Y121" s="196" t="s">
        <v>57</v>
      </c>
      <c r="Z121" s="197" t="s">
        <v>2563</v>
      </c>
      <c r="AA121" s="197" t="s">
        <v>2564</v>
      </c>
      <c r="AB121" s="111"/>
      <c r="AC121" s="111"/>
      <c r="AD121" s="111"/>
      <c r="AE121" s="198">
        <f>SUM(AE122:AE139)</f>
        <v>46875.47</v>
      </c>
      <c r="AF121" s="114"/>
      <c r="AR121" s="107" t="s">
        <v>63</v>
      </c>
      <c r="AT121" s="114" t="s">
        <v>57</v>
      </c>
      <c r="AU121" s="114" t="s">
        <v>58</v>
      </c>
      <c r="AY121" s="107" t="s">
        <v>228</v>
      </c>
      <c r="BK121" s="115">
        <f>SUM(BK122:BK139)</f>
        <v>47857.24</v>
      </c>
    </row>
    <row r="122" spans="2:65" s="1" customFormat="1" ht="35.549999999999997" customHeight="1" x14ac:dyDescent="0.2">
      <c r="B122" s="118"/>
      <c r="C122" s="119" t="s">
        <v>63</v>
      </c>
      <c r="D122" s="119" t="s">
        <v>231</v>
      </c>
      <c r="E122" s="120" t="s">
        <v>63</v>
      </c>
      <c r="F122" s="121" t="s">
        <v>2565</v>
      </c>
      <c r="G122" s="122" t="s">
        <v>284</v>
      </c>
      <c r="H122" s="123">
        <v>37</v>
      </c>
      <c r="I122" s="124">
        <v>2.74</v>
      </c>
      <c r="J122" s="124">
        <f t="shared" ref="J122:J139" si="0">ROUND(I122*H122,2)</f>
        <v>101.38</v>
      </c>
      <c r="K122" s="121" t="s">
        <v>1</v>
      </c>
      <c r="L122" s="24"/>
      <c r="M122" s="125" t="s">
        <v>1</v>
      </c>
      <c r="N122" s="126" t="s">
        <v>32</v>
      </c>
      <c r="O122" s="127">
        <v>0</v>
      </c>
      <c r="P122" s="127">
        <f t="shared" ref="P122:P139" si="1">O122*H122</f>
        <v>0</v>
      </c>
      <c r="Q122" s="127">
        <v>0</v>
      </c>
      <c r="R122" s="127">
        <f t="shared" ref="R122:R139" si="2">Q122*H122</f>
        <v>0</v>
      </c>
      <c r="S122" s="127">
        <v>0</v>
      </c>
      <c r="T122" s="128">
        <f t="shared" ref="T122:T139" si="3">S122*H122</f>
        <v>0</v>
      </c>
      <c r="W122" s="199"/>
      <c r="X122" s="119" t="s">
        <v>63</v>
      </c>
      <c r="Y122" s="119" t="s">
        <v>231</v>
      </c>
      <c r="Z122" s="120" t="s">
        <v>63</v>
      </c>
      <c r="AA122" s="121" t="s">
        <v>2565</v>
      </c>
      <c r="AB122" s="122" t="s">
        <v>284</v>
      </c>
      <c r="AC122" s="123">
        <v>37</v>
      </c>
      <c r="AD122" s="124">
        <v>2.74</v>
      </c>
      <c r="AE122" s="200">
        <f t="shared" ref="AE122:AE139" si="4">ROUND(AD122*AC122,2)</f>
        <v>101.38</v>
      </c>
      <c r="AF122" s="227"/>
      <c r="AR122" s="129" t="s">
        <v>235</v>
      </c>
      <c r="AT122" s="129" t="s">
        <v>231</v>
      </c>
      <c r="AU122" s="129" t="s">
        <v>63</v>
      </c>
      <c r="AY122" s="13" t="s">
        <v>228</v>
      </c>
      <c r="BE122" s="130">
        <f t="shared" ref="BE122:BE139" si="5">IF(N122="základná",J122,0)</f>
        <v>0</v>
      </c>
      <c r="BF122" s="130">
        <f t="shared" ref="BF122:BF139" si="6">IF(N122="znížená",J122,0)</f>
        <v>101.38</v>
      </c>
      <c r="BG122" s="130">
        <f t="shared" ref="BG122:BG139" si="7">IF(N122="zákl. prenesená",J122,0)</f>
        <v>0</v>
      </c>
      <c r="BH122" s="130">
        <f t="shared" ref="BH122:BH139" si="8">IF(N122="zníž. prenesená",J122,0)</f>
        <v>0</v>
      </c>
      <c r="BI122" s="130">
        <f t="shared" ref="BI122:BI139" si="9">IF(N122="nulová",J122,0)</f>
        <v>0</v>
      </c>
      <c r="BJ122" s="13" t="s">
        <v>76</v>
      </c>
      <c r="BK122" s="130">
        <f t="shared" ref="BK122:BK139" si="10">ROUND(I122*H122,2)</f>
        <v>101.38</v>
      </c>
      <c r="BL122" s="13" t="s">
        <v>235</v>
      </c>
      <c r="BM122" s="129" t="s">
        <v>76</v>
      </c>
    </row>
    <row r="123" spans="2:65" s="1" customFormat="1" ht="60" customHeight="1" x14ac:dyDescent="0.2">
      <c r="B123" s="118"/>
      <c r="C123" s="205" t="s">
        <v>76</v>
      </c>
      <c r="D123" s="119" t="s">
        <v>231</v>
      </c>
      <c r="E123" s="120" t="s">
        <v>76</v>
      </c>
      <c r="F123" s="121" t="s">
        <v>2566</v>
      </c>
      <c r="G123" s="122" t="s">
        <v>284</v>
      </c>
      <c r="H123" s="206">
        <v>19</v>
      </c>
      <c r="I123" s="124">
        <v>128.78</v>
      </c>
      <c r="J123" s="124">
        <f t="shared" si="0"/>
        <v>2446.8200000000002</v>
      </c>
      <c r="K123" s="121" t="s">
        <v>1</v>
      </c>
      <c r="L123" s="24"/>
      <c r="M123" s="125" t="s">
        <v>1</v>
      </c>
      <c r="N123" s="126" t="s">
        <v>32</v>
      </c>
      <c r="O123" s="127">
        <v>0</v>
      </c>
      <c r="P123" s="127">
        <f t="shared" si="1"/>
        <v>0</v>
      </c>
      <c r="Q123" s="127">
        <v>0</v>
      </c>
      <c r="R123" s="127">
        <f t="shared" si="2"/>
        <v>0</v>
      </c>
      <c r="S123" s="127">
        <v>0</v>
      </c>
      <c r="T123" s="128">
        <f t="shared" si="3"/>
        <v>0</v>
      </c>
      <c r="W123" s="199"/>
      <c r="X123" s="205" t="s">
        <v>76</v>
      </c>
      <c r="Y123" s="119" t="s">
        <v>231</v>
      </c>
      <c r="Z123" s="120" t="s">
        <v>76</v>
      </c>
      <c r="AA123" s="121" t="s">
        <v>2566</v>
      </c>
      <c r="AB123" s="122" t="s">
        <v>284</v>
      </c>
      <c r="AC123" s="206">
        <f>19-1</f>
        <v>18</v>
      </c>
      <c r="AD123" s="124">
        <v>128.78</v>
      </c>
      <c r="AE123" s="200">
        <f t="shared" si="4"/>
        <v>2318.04</v>
      </c>
      <c r="AF123" s="227" t="s">
        <v>6371</v>
      </c>
      <c r="AR123" s="129" t="s">
        <v>235</v>
      </c>
      <c r="AT123" s="129" t="s">
        <v>231</v>
      </c>
      <c r="AU123" s="129" t="s">
        <v>63</v>
      </c>
      <c r="AY123" s="13" t="s">
        <v>228</v>
      </c>
      <c r="BE123" s="130">
        <f t="shared" si="5"/>
        <v>0</v>
      </c>
      <c r="BF123" s="130">
        <f t="shared" si="6"/>
        <v>2446.8200000000002</v>
      </c>
      <c r="BG123" s="130">
        <f t="shared" si="7"/>
        <v>0</v>
      </c>
      <c r="BH123" s="130">
        <f t="shared" si="8"/>
        <v>0</v>
      </c>
      <c r="BI123" s="130">
        <f t="shared" si="9"/>
        <v>0</v>
      </c>
      <c r="BJ123" s="13" t="s">
        <v>76</v>
      </c>
      <c r="BK123" s="130">
        <f t="shared" si="10"/>
        <v>2446.8200000000002</v>
      </c>
      <c r="BL123" s="13" t="s">
        <v>235</v>
      </c>
      <c r="BM123" s="129" t="s">
        <v>235</v>
      </c>
    </row>
    <row r="124" spans="2:65" s="1" customFormat="1" ht="60" customHeight="1" x14ac:dyDescent="0.2">
      <c r="B124" s="118"/>
      <c r="C124" s="205" t="s">
        <v>229</v>
      </c>
      <c r="D124" s="119" t="s">
        <v>231</v>
      </c>
      <c r="E124" s="120" t="s">
        <v>229</v>
      </c>
      <c r="F124" s="121" t="s">
        <v>2567</v>
      </c>
      <c r="G124" s="122" t="s">
        <v>284</v>
      </c>
      <c r="H124" s="206">
        <v>14.4</v>
      </c>
      <c r="I124" s="124">
        <v>142.47999999999999</v>
      </c>
      <c r="J124" s="124">
        <f t="shared" si="0"/>
        <v>2051.71</v>
      </c>
      <c r="K124" s="121" t="s">
        <v>1</v>
      </c>
      <c r="L124" s="24"/>
      <c r="M124" s="125" t="s">
        <v>1</v>
      </c>
      <c r="N124" s="126" t="s">
        <v>32</v>
      </c>
      <c r="O124" s="127">
        <v>0</v>
      </c>
      <c r="P124" s="127">
        <f t="shared" si="1"/>
        <v>0</v>
      </c>
      <c r="Q124" s="127">
        <v>0</v>
      </c>
      <c r="R124" s="127">
        <f t="shared" si="2"/>
        <v>0</v>
      </c>
      <c r="S124" s="127">
        <v>0</v>
      </c>
      <c r="T124" s="128">
        <f t="shared" si="3"/>
        <v>0</v>
      </c>
      <c r="W124" s="199"/>
      <c r="X124" s="205" t="s">
        <v>229</v>
      </c>
      <c r="Y124" s="119" t="s">
        <v>231</v>
      </c>
      <c r="Z124" s="120" t="s">
        <v>229</v>
      </c>
      <c r="AA124" s="121" t="s">
        <v>2567</v>
      </c>
      <c r="AB124" s="122" t="s">
        <v>284</v>
      </c>
      <c r="AC124" s="206">
        <f>14.4-0.4</f>
        <v>14</v>
      </c>
      <c r="AD124" s="124">
        <v>142.47999999999999</v>
      </c>
      <c r="AE124" s="200">
        <f t="shared" si="4"/>
        <v>1994.72</v>
      </c>
      <c r="AF124" s="227" t="s">
        <v>6371</v>
      </c>
      <c r="AR124" s="129" t="s">
        <v>235</v>
      </c>
      <c r="AT124" s="129" t="s">
        <v>231</v>
      </c>
      <c r="AU124" s="129" t="s">
        <v>63</v>
      </c>
      <c r="AY124" s="13" t="s">
        <v>228</v>
      </c>
      <c r="BE124" s="130">
        <f t="shared" si="5"/>
        <v>0</v>
      </c>
      <c r="BF124" s="130">
        <f t="shared" si="6"/>
        <v>2051.71</v>
      </c>
      <c r="BG124" s="130">
        <f t="shared" si="7"/>
        <v>0</v>
      </c>
      <c r="BH124" s="130">
        <f t="shared" si="8"/>
        <v>0</v>
      </c>
      <c r="BI124" s="130">
        <f t="shared" si="9"/>
        <v>0</v>
      </c>
      <c r="BJ124" s="13" t="s">
        <v>76</v>
      </c>
      <c r="BK124" s="130">
        <f t="shared" si="10"/>
        <v>2051.71</v>
      </c>
      <c r="BL124" s="13" t="s">
        <v>235</v>
      </c>
      <c r="BM124" s="129" t="s">
        <v>240</v>
      </c>
    </row>
    <row r="125" spans="2:65" s="1" customFormat="1" ht="66.45" customHeight="1" x14ac:dyDescent="0.2">
      <c r="B125" s="118"/>
      <c r="C125" s="205" t="s">
        <v>235</v>
      </c>
      <c r="D125" s="119" t="s">
        <v>231</v>
      </c>
      <c r="E125" s="120" t="s">
        <v>235</v>
      </c>
      <c r="F125" s="121" t="s">
        <v>2568</v>
      </c>
      <c r="G125" s="122" t="s">
        <v>284</v>
      </c>
      <c r="H125" s="206">
        <v>105</v>
      </c>
      <c r="I125" s="124">
        <v>130.15</v>
      </c>
      <c r="J125" s="124">
        <f t="shared" si="0"/>
        <v>13665.75</v>
      </c>
      <c r="K125" s="121" t="s">
        <v>1</v>
      </c>
      <c r="L125" s="24"/>
      <c r="M125" s="125" t="s">
        <v>1</v>
      </c>
      <c r="N125" s="126" t="s">
        <v>32</v>
      </c>
      <c r="O125" s="127">
        <v>0</v>
      </c>
      <c r="P125" s="127">
        <f t="shared" si="1"/>
        <v>0</v>
      </c>
      <c r="Q125" s="127">
        <v>0</v>
      </c>
      <c r="R125" s="127">
        <f t="shared" si="2"/>
        <v>0</v>
      </c>
      <c r="S125" s="127">
        <v>0</v>
      </c>
      <c r="T125" s="128">
        <f t="shared" si="3"/>
        <v>0</v>
      </c>
      <c r="W125" s="199"/>
      <c r="X125" s="205" t="s">
        <v>235</v>
      </c>
      <c r="Y125" s="119" t="s">
        <v>231</v>
      </c>
      <c r="Z125" s="120" t="s">
        <v>235</v>
      </c>
      <c r="AA125" s="121" t="s">
        <v>2568</v>
      </c>
      <c r="AB125" s="122" t="s">
        <v>284</v>
      </c>
      <c r="AC125" s="206">
        <f>105-7</f>
        <v>98</v>
      </c>
      <c r="AD125" s="124">
        <v>130.15</v>
      </c>
      <c r="AE125" s="200">
        <f t="shared" si="4"/>
        <v>12754.7</v>
      </c>
      <c r="AF125" s="227" t="s">
        <v>6371</v>
      </c>
      <c r="AR125" s="129" t="s">
        <v>235</v>
      </c>
      <c r="AT125" s="129" t="s">
        <v>231</v>
      </c>
      <c r="AU125" s="129" t="s">
        <v>63</v>
      </c>
      <c r="AY125" s="13" t="s">
        <v>228</v>
      </c>
      <c r="BE125" s="130">
        <f t="shared" si="5"/>
        <v>0</v>
      </c>
      <c r="BF125" s="130">
        <f t="shared" si="6"/>
        <v>13665.75</v>
      </c>
      <c r="BG125" s="130">
        <f t="shared" si="7"/>
        <v>0</v>
      </c>
      <c r="BH125" s="130">
        <f t="shared" si="8"/>
        <v>0</v>
      </c>
      <c r="BI125" s="130">
        <f t="shared" si="9"/>
        <v>0</v>
      </c>
      <c r="BJ125" s="13" t="s">
        <v>76</v>
      </c>
      <c r="BK125" s="130">
        <f t="shared" si="10"/>
        <v>13665.75</v>
      </c>
      <c r="BL125" s="13" t="s">
        <v>235</v>
      </c>
      <c r="BM125" s="129" t="s">
        <v>244</v>
      </c>
    </row>
    <row r="126" spans="2:65" s="1" customFormat="1" ht="48" customHeight="1" x14ac:dyDescent="0.2">
      <c r="B126" s="118"/>
      <c r="C126" s="119" t="s">
        <v>245</v>
      </c>
      <c r="D126" s="119" t="s">
        <v>231</v>
      </c>
      <c r="E126" s="120" t="s">
        <v>245</v>
      </c>
      <c r="F126" s="121" t="s">
        <v>2569</v>
      </c>
      <c r="G126" s="122" t="s">
        <v>284</v>
      </c>
      <c r="H126" s="123">
        <v>7</v>
      </c>
      <c r="I126" s="124">
        <v>116.45</v>
      </c>
      <c r="J126" s="124">
        <f t="shared" si="0"/>
        <v>815.15</v>
      </c>
      <c r="K126" s="121" t="s">
        <v>1</v>
      </c>
      <c r="L126" s="24"/>
      <c r="M126" s="125" t="s">
        <v>1</v>
      </c>
      <c r="N126" s="126" t="s">
        <v>32</v>
      </c>
      <c r="O126" s="127">
        <v>0</v>
      </c>
      <c r="P126" s="127">
        <f t="shared" si="1"/>
        <v>0</v>
      </c>
      <c r="Q126" s="127">
        <v>0</v>
      </c>
      <c r="R126" s="127">
        <f t="shared" si="2"/>
        <v>0</v>
      </c>
      <c r="S126" s="127">
        <v>0</v>
      </c>
      <c r="T126" s="128">
        <f t="shared" si="3"/>
        <v>0</v>
      </c>
      <c r="W126" s="199"/>
      <c r="X126" s="119" t="s">
        <v>245</v>
      </c>
      <c r="Y126" s="119" t="s">
        <v>231</v>
      </c>
      <c r="Z126" s="120" t="s">
        <v>245</v>
      </c>
      <c r="AA126" s="121" t="s">
        <v>2569</v>
      </c>
      <c r="AB126" s="122" t="s">
        <v>284</v>
      </c>
      <c r="AC126" s="123">
        <v>7</v>
      </c>
      <c r="AD126" s="124">
        <v>116.45</v>
      </c>
      <c r="AE126" s="200">
        <f t="shared" si="4"/>
        <v>815.15</v>
      </c>
      <c r="AF126" s="227"/>
      <c r="AR126" s="129" t="s">
        <v>235</v>
      </c>
      <c r="AT126" s="129" t="s">
        <v>231</v>
      </c>
      <c r="AU126" s="129" t="s">
        <v>63</v>
      </c>
      <c r="AY126" s="13" t="s">
        <v>228</v>
      </c>
      <c r="BE126" s="130">
        <f t="shared" si="5"/>
        <v>0</v>
      </c>
      <c r="BF126" s="130">
        <f t="shared" si="6"/>
        <v>815.15</v>
      </c>
      <c r="BG126" s="130">
        <f t="shared" si="7"/>
        <v>0</v>
      </c>
      <c r="BH126" s="130">
        <f t="shared" si="8"/>
        <v>0</v>
      </c>
      <c r="BI126" s="130">
        <f t="shared" si="9"/>
        <v>0</v>
      </c>
      <c r="BJ126" s="13" t="s">
        <v>76</v>
      </c>
      <c r="BK126" s="130">
        <f t="shared" si="10"/>
        <v>815.15</v>
      </c>
      <c r="BL126" s="13" t="s">
        <v>235</v>
      </c>
      <c r="BM126" s="129" t="s">
        <v>248</v>
      </c>
    </row>
    <row r="127" spans="2:65" s="1" customFormat="1" ht="42.45" customHeight="1" x14ac:dyDescent="0.2">
      <c r="B127" s="118"/>
      <c r="C127" s="119" t="s">
        <v>240</v>
      </c>
      <c r="D127" s="119" t="s">
        <v>231</v>
      </c>
      <c r="E127" s="120" t="s">
        <v>240</v>
      </c>
      <c r="F127" s="121" t="s">
        <v>2570</v>
      </c>
      <c r="G127" s="122" t="s">
        <v>284</v>
      </c>
      <c r="H127" s="123">
        <v>37</v>
      </c>
      <c r="I127" s="124">
        <v>8.82</v>
      </c>
      <c r="J127" s="124">
        <f t="shared" si="0"/>
        <v>326.33999999999997</v>
      </c>
      <c r="K127" s="121" t="s">
        <v>1</v>
      </c>
      <c r="L127" s="24"/>
      <c r="M127" s="125" t="s">
        <v>1</v>
      </c>
      <c r="N127" s="126" t="s">
        <v>32</v>
      </c>
      <c r="O127" s="127">
        <v>0</v>
      </c>
      <c r="P127" s="127">
        <f t="shared" si="1"/>
        <v>0</v>
      </c>
      <c r="Q127" s="127">
        <v>0</v>
      </c>
      <c r="R127" s="127">
        <f t="shared" si="2"/>
        <v>0</v>
      </c>
      <c r="S127" s="127">
        <v>0</v>
      </c>
      <c r="T127" s="128">
        <f t="shared" si="3"/>
        <v>0</v>
      </c>
      <c r="W127" s="199"/>
      <c r="X127" s="119" t="s">
        <v>240</v>
      </c>
      <c r="Y127" s="119" t="s">
        <v>231</v>
      </c>
      <c r="Z127" s="120" t="s">
        <v>240</v>
      </c>
      <c r="AA127" s="121" t="s">
        <v>2570</v>
      </c>
      <c r="AB127" s="122" t="s">
        <v>284</v>
      </c>
      <c r="AC127" s="123">
        <v>37</v>
      </c>
      <c r="AD127" s="124">
        <v>8.82</v>
      </c>
      <c r="AE127" s="200">
        <f t="shared" si="4"/>
        <v>326.33999999999997</v>
      </c>
      <c r="AF127" s="227"/>
      <c r="AR127" s="129" t="s">
        <v>235</v>
      </c>
      <c r="AT127" s="129" t="s">
        <v>231</v>
      </c>
      <c r="AU127" s="129" t="s">
        <v>63</v>
      </c>
      <c r="AY127" s="13" t="s">
        <v>228</v>
      </c>
      <c r="BE127" s="130">
        <f t="shared" si="5"/>
        <v>0</v>
      </c>
      <c r="BF127" s="130">
        <f t="shared" si="6"/>
        <v>326.33999999999997</v>
      </c>
      <c r="BG127" s="130">
        <f t="shared" si="7"/>
        <v>0</v>
      </c>
      <c r="BH127" s="130">
        <f t="shared" si="8"/>
        <v>0</v>
      </c>
      <c r="BI127" s="130">
        <f t="shared" si="9"/>
        <v>0</v>
      </c>
      <c r="BJ127" s="13" t="s">
        <v>76</v>
      </c>
      <c r="BK127" s="130">
        <f t="shared" si="10"/>
        <v>326.33999999999997</v>
      </c>
      <c r="BL127" s="13" t="s">
        <v>235</v>
      </c>
      <c r="BM127" s="129" t="s">
        <v>251</v>
      </c>
    </row>
    <row r="128" spans="2:65" s="1" customFormat="1" ht="51.45" customHeight="1" x14ac:dyDescent="0.2">
      <c r="B128" s="118"/>
      <c r="C128" s="205" t="s">
        <v>252</v>
      </c>
      <c r="D128" s="119" t="s">
        <v>231</v>
      </c>
      <c r="E128" s="120" t="s">
        <v>252</v>
      </c>
      <c r="F128" s="121" t="s">
        <v>2571</v>
      </c>
      <c r="G128" s="122" t="s">
        <v>284</v>
      </c>
      <c r="H128" s="206">
        <v>33.5</v>
      </c>
      <c r="I128" s="124">
        <v>46.44</v>
      </c>
      <c r="J128" s="124">
        <f t="shared" si="0"/>
        <v>1555.74</v>
      </c>
      <c r="K128" s="121" t="s">
        <v>1</v>
      </c>
      <c r="L128" s="24"/>
      <c r="M128" s="125" t="s">
        <v>1</v>
      </c>
      <c r="N128" s="126" t="s">
        <v>32</v>
      </c>
      <c r="O128" s="127">
        <v>0</v>
      </c>
      <c r="P128" s="127">
        <f t="shared" si="1"/>
        <v>0</v>
      </c>
      <c r="Q128" s="127">
        <v>0</v>
      </c>
      <c r="R128" s="127">
        <f t="shared" si="2"/>
        <v>0</v>
      </c>
      <c r="S128" s="127">
        <v>0</v>
      </c>
      <c r="T128" s="128">
        <f t="shared" si="3"/>
        <v>0</v>
      </c>
      <c r="W128" s="199"/>
      <c r="X128" s="205" t="s">
        <v>252</v>
      </c>
      <c r="Y128" s="119" t="s">
        <v>231</v>
      </c>
      <c r="Z128" s="120" t="s">
        <v>252</v>
      </c>
      <c r="AA128" s="121" t="s">
        <v>2571</v>
      </c>
      <c r="AB128" s="122" t="s">
        <v>284</v>
      </c>
      <c r="AC128" s="206">
        <f>33.5+0.5</f>
        <v>34</v>
      </c>
      <c r="AD128" s="124">
        <v>46.44</v>
      </c>
      <c r="AE128" s="200">
        <f t="shared" si="4"/>
        <v>1578.96</v>
      </c>
      <c r="AF128" s="227" t="s">
        <v>6371</v>
      </c>
      <c r="AR128" s="129" t="s">
        <v>235</v>
      </c>
      <c r="AT128" s="129" t="s">
        <v>231</v>
      </c>
      <c r="AU128" s="129" t="s">
        <v>63</v>
      </c>
      <c r="AY128" s="13" t="s">
        <v>228</v>
      </c>
      <c r="BE128" s="130">
        <f t="shared" si="5"/>
        <v>0</v>
      </c>
      <c r="BF128" s="130">
        <f t="shared" si="6"/>
        <v>1555.74</v>
      </c>
      <c r="BG128" s="130">
        <f t="shared" si="7"/>
        <v>0</v>
      </c>
      <c r="BH128" s="130">
        <f t="shared" si="8"/>
        <v>0</v>
      </c>
      <c r="BI128" s="130">
        <f t="shared" si="9"/>
        <v>0</v>
      </c>
      <c r="BJ128" s="13" t="s">
        <v>76</v>
      </c>
      <c r="BK128" s="130">
        <f t="shared" si="10"/>
        <v>1555.74</v>
      </c>
      <c r="BL128" s="13" t="s">
        <v>235</v>
      </c>
      <c r="BM128" s="129" t="s">
        <v>255</v>
      </c>
    </row>
    <row r="129" spans="2:65" s="1" customFormat="1" ht="16.5" customHeight="1" x14ac:dyDescent="0.2">
      <c r="B129" s="118"/>
      <c r="C129" s="119" t="s">
        <v>244</v>
      </c>
      <c r="D129" s="119" t="s">
        <v>231</v>
      </c>
      <c r="E129" s="120" t="s">
        <v>244</v>
      </c>
      <c r="F129" s="121" t="s">
        <v>2572</v>
      </c>
      <c r="G129" s="122" t="s">
        <v>292</v>
      </c>
      <c r="H129" s="123">
        <v>34</v>
      </c>
      <c r="I129" s="124">
        <v>6.62</v>
      </c>
      <c r="J129" s="124">
        <f t="shared" si="0"/>
        <v>225.08</v>
      </c>
      <c r="K129" s="121" t="s">
        <v>1</v>
      </c>
      <c r="L129" s="24"/>
      <c r="M129" s="125" t="s">
        <v>1</v>
      </c>
      <c r="N129" s="126" t="s">
        <v>32</v>
      </c>
      <c r="O129" s="127">
        <v>0</v>
      </c>
      <c r="P129" s="127">
        <f t="shared" si="1"/>
        <v>0</v>
      </c>
      <c r="Q129" s="127">
        <v>0</v>
      </c>
      <c r="R129" s="127">
        <f t="shared" si="2"/>
        <v>0</v>
      </c>
      <c r="S129" s="127">
        <v>0</v>
      </c>
      <c r="T129" s="128">
        <f t="shared" si="3"/>
        <v>0</v>
      </c>
      <c r="W129" s="199"/>
      <c r="X129" s="119" t="s">
        <v>244</v>
      </c>
      <c r="Y129" s="119" t="s">
        <v>231</v>
      </c>
      <c r="Z129" s="120" t="s">
        <v>244</v>
      </c>
      <c r="AA129" s="121" t="s">
        <v>2572</v>
      </c>
      <c r="AB129" s="122" t="s">
        <v>292</v>
      </c>
      <c r="AC129" s="123">
        <v>34</v>
      </c>
      <c r="AD129" s="124">
        <v>6.62</v>
      </c>
      <c r="AE129" s="200">
        <f t="shared" si="4"/>
        <v>225.08</v>
      </c>
      <c r="AF129" s="227"/>
      <c r="AR129" s="129" t="s">
        <v>235</v>
      </c>
      <c r="AT129" s="129" t="s">
        <v>231</v>
      </c>
      <c r="AU129" s="129" t="s">
        <v>63</v>
      </c>
      <c r="AY129" s="13" t="s">
        <v>228</v>
      </c>
      <c r="BE129" s="130">
        <f t="shared" si="5"/>
        <v>0</v>
      </c>
      <c r="BF129" s="130">
        <f t="shared" si="6"/>
        <v>225.08</v>
      </c>
      <c r="BG129" s="130">
        <f t="shared" si="7"/>
        <v>0</v>
      </c>
      <c r="BH129" s="130">
        <f t="shared" si="8"/>
        <v>0</v>
      </c>
      <c r="BI129" s="130">
        <f t="shared" si="9"/>
        <v>0</v>
      </c>
      <c r="BJ129" s="13" t="s">
        <v>76</v>
      </c>
      <c r="BK129" s="130">
        <f t="shared" si="10"/>
        <v>225.08</v>
      </c>
      <c r="BL129" s="13" t="s">
        <v>235</v>
      </c>
      <c r="BM129" s="129" t="s">
        <v>258</v>
      </c>
    </row>
    <row r="130" spans="2:65" s="1" customFormat="1" ht="36" customHeight="1" x14ac:dyDescent="0.2">
      <c r="B130" s="118"/>
      <c r="C130" s="119" t="s">
        <v>259</v>
      </c>
      <c r="D130" s="119" t="s">
        <v>231</v>
      </c>
      <c r="E130" s="120" t="s">
        <v>259</v>
      </c>
      <c r="F130" s="121" t="s">
        <v>2573</v>
      </c>
      <c r="G130" s="122" t="s">
        <v>284</v>
      </c>
      <c r="H130" s="123">
        <v>8</v>
      </c>
      <c r="I130" s="124">
        <v>34.479999999999997</v>
      </c>
      <c r="J130" s="124">
        <f t="shared" si="0"/>
        <v>275.83999999999997</v>
      </c>
      <c r="K130" s="121" t="s">
        <v>1</v>
      </c>
      <c r="L130" s="24"/>
      <c r="M130" s="125" t="s">
        <v>1</v>
      </c>
      <c r="N130" s="126" t="s">
        <v>32</v>
      </c>
      <c r="O130" s="127">
        <v>0</v>
      </c>
      <c r="P130" s="127">
        <f t="shared" si="1"/>
        <v>0</v>
      </c>
      <c r="Q130" s="127">
        <v>0</v>
      </c>
      <c r="R130" s="127">
        <f t="shared" si="2"/>
        <v>0</v>
      </c>
      <c r="S130" s="127">
        <v>0</v>
      </c>
      <c r="T130" s="128">
        <f t="shared" si="3"/>
        <v>0</v>
      </c>
      <c r="W130" s="199"/>
      <c r="X130" s="119" t="s">
        <v>259</v>
      </c>
      <c r="Y130" s="119" t="s">
        <v>231</v>
      </c>
      <c r="Z130" s="120" t="s">
        <v>259</v>
      </c>
      <c r="AA130" s="121" t="s">
        <v>2573</v>
      </c>
      <c r="AB130" s="122" t="s">
        <v>284</v>
      </c>
      <c r="AC130" s="123">
        <v>8</v>
      </c>
      <c r="AD130" s="124">
        <v>34.479999999999997</v>
      </c>
      <c r="AE130" s="200">
        <f t="shared" si="4"/>
        <v>275.83999999999997</v>
      </c>
      <c r="AF130" s="227"/>
      <c r="AR130" s="129" t="s">
        <v>235</v>
      </c>
      <c r="AT130" s="129" t="s">
        <v>231</v>
      </c>
      <c r="AU130" s="129" t="s">
        <v>63</v>
      </c>
      <c r="AY130" s="13" t="s">
        <v>228</v>
      </c>
      <c r="BE130" s="130">
        <f t="shared" si="5"/>
        <v>0</v>
      </c>
      <c r="BF130" s="130">
        <f t="shared" si="6"/>
        <v>275.83999999999997</v>
      </c>
      <c r="BG130" s="130">
        <f t="shared" si="7"/>
        <v>0</v>
      </c>
      <c r="BH130" s="130">
        <f t="shared" si="8"/>
        <v>0</v>
      </c>
      <c r="BI130" s="130">
        <f t="shared" si="9"/>
        <v>0</v>
      </c>
      <c r="BJ130" s="13" t="s">
        <v>76</v>
      </c>
      <c r="BK130" s="130">
        <f t="shared" si="10"/>
        <v>275.83999999999997</v>
      </c>
      <c r="BL130" s="13" t="s">
        <v>235</v>
      </c>
      <c r="BM130" s="129" t="s">
        <v>262</v>
      </c>
    </row>
    <row r="131" spans="2:65" s="1" customFormat="1" ht="16.5" customHeight="1" x14ac:dyDescent="0.2">
      <c r="B131" s="118"/>
      <c r="C131" s="205" t="s">
        <v>248</v>
      </c>
      <c r="D131" s="119" t="s">
        <v>231</v>
      </c>
      <c r="E131" s="120" t="s">
        <v>248</v>
      </c>
      <c r="F131" s="121" t="s">
        <v>2574</v>
      </c>
      <c r="G131" s="122" t="s">
        <v>292</v>
      </c>
      <c r="H131" s="206">
        <v>18.2</v>
      </c>
      <c r="I131" s="124">
        <v>5.81</v>
      </c>
      <c r="J131" s="124">
        <f t="shared" si="0"/>
        <v>105.74</v>
      </c>
      <c r="K131" s="121" t="s">
        <v>1</v>
      </c>
      <c r="L131" s="24"/>
      <c r="M131" s="125" t="s">
        <v>1</v>
      </c>
      <c r="N131" s="126" t="s">
        <v>32</v>
      </c>
      <c r="O131" s="127">
        <v>0</v>
      </c>
      <c r="P131" s="127">
        <f t="shared" si="1"/>
        <v>0</v>
      </c>
      <c r="Q131" s="127">
        <v>0</v>
      </c>
      <c r="R131" s="127">
        <f t="shared" si="2"/>
        <v>0</v>
      </c>
      <c r="S131" s="127">
        <v>0</v>
      </c>
      <c r="T131" s="128">
        <f t="shared" si="3"/>
        <v>0</v>
      </c>
      <c r="W131" s="199"/>
      <c r="X131" s="205" t="s">
        <v>248</v>
      </c>
      <c r="Y131" s="119" t="s">
        <v>231</v>
      </c>
      <c r="Z131" s="120" t="s">
        <v>248</v>
      </c>
      <c r="AA131" s="121" t="s">
        <v>2574</v>
      </c>
      <c r="AB131" s="122" t="s">
        <v>292</v>
      </c>
      <c r="AC131" s="206">
        <f>18.2+0.8</f>
        <v>19</v>
      </c>
      <c r="AD131" s="124">
        <v>5.81</v>
      </c>
      <c r="AE131" s="200">
        <f t="shared" si="4"/>
        <v>110.39</v>
      </c>
      <c r="AF131" s="227" t="s">
        <v>6371</v>
      </c>
      <c r="AR131" s="129" t="s">
        <v>235</v>
      </c>
      <c r="AT131" s="129" t="s">
        <v>231</v>
      </c>
      <c r="AU131" s="129" t="s">
        <v>63</v>
      </c>
      <c r="AY131" s="13" t="s">
        <v>228</v>
      </c>
      <c r="BE131" s="130">
        <f t="shared" si="5"/>
        <v>0</v>
      </c>
      <c r="BF131" s="130">
        <f t="shared" si="6"/>
        <v>105.74</v>
      </c>
      <c r="BG131" s="130">
        <f t="shared" si="7"/>
        <v>0</v>
      </c>
      <c r="BH131" s="130">
        <f t="shared" si="8"/>
        <v>0</v>
      </c>
      <c r="BI131" s="130">
        <f t="shared" si="9"/>
        <v>0</v>
      </c>
      <c r="BJ131" s="13" t="s">
        <v>76</v>
      </c>
      <c r="BK131" s="130">
        <f t="shared" si="10"/>
        <v>105.74</v>
      </c>
      <c r="BL131" s="13" t="s">
        <v>235</v>
      </c>
      <c r="BM131" s="129" t="s">
        <v>7</v>
      </c>
    </row>
    <row r="132" spans="2:65" s="1" customFormat="1" ht="24" customHeight="1" x14ac:dyDescent="0.2">
      <c r="B132" s="118"/>
      <c r="C132" s="119" t="s">
        <v>265</v>
      </c>
      <c r="D132" s="119" t="s">
        <v>231</v>
      </c>
      <c r="E132" s="120" t="s">
        <v>265</v>
      </c>
      <c r="F132" s="121" t="s">
        <v>2575</v>
      </c>
      <c r="G132" s="122" t="s">
        <v>1194</v>
      </c>
      <c r="H132" s="123">
        <v>8</v>
      </c>
      <c r="I132" s="124">
        <v>1.1599999999999999</v>
      </c>
      <c r="J132" s="124">
        <f t="shared" si="0"/>
        <v>9.2799999999999994</v>
      </c>
      <c r="K132" s="121" t="s">
        <v>1</v>
      </c>
      <c r="L132" s="24"/>
      <c r="M132" s="125" t="s">
        <v>1</v>
      </c>
      <c r="N132" s="126" t="s">
        <v>32</v>
      </c>
      <c r="O132" s="127">
        <v>0</v>
      </c>
      <c r="P132" s="127">
        <f t="shared" si="1"/>
        <v>0</v>
      </c>
      <c r="Q132" s="127">
        <v>0</v>
      </c>
      <c r="R132" s="127">
        <f t="shared" si="2"/>
        <v>0</v>
      </c>
      <c r="S132" s="127">
        <v>0</v>
      </c>
      <c r="T132" s="128">
        <f t="shared" si="3"/>
        <v>0</v>
      </c>
      <c r="W132" s="199"/>
      <c r="X132" s="119" t="s">
        <v>265</v>
      </c>
      <c r="Y132" s="119" t="s">
        <v>231</v>
      </c>
      <c r="Z132" s="120" t="s">
        <v>265</v>
      </c>
      <c r="AA132" s="121" t="s">
        <v>2575</v>
      </c>
      <c r="AB132" s="122" t="s">
        <v>1194</v>
      </c>
      <c r="AC132" s="123">
        <v>8</v>
      </c>
      <c r="AD132" s="124">
        <v>1.1599999999999999</v>
      </c>
      <c r="AE132" s="200">
        <f t="shared" si="4"/>
        <v>9.2799999999999994</v>
      </c>
      <c r="AF132" s="227"/>
      <c r="AR132" s="129" t="s">
        <v>235</v>
      </c>
      <c r="AT132" s="129" t="s">
        <v>231</v>
      </c>
      <c r="AU132" s="129" t="s">
        <v>63</v>
      </c>
      <c r="AY132" s="13" t="s">
        <v>228</v>
      </c>
      <c r="BE132" s="130">
        <f t="shared" si="5"/>
        <v>0</v>
      </c>
      <c r="BF132" s="130">
        <f t="shared" si="6"/>
        <v>9.2799999999999994</v>
      </c>
      <c r="BG132" s="130">
        <f t="shared" si="7"/>
        <v>0</v>
      </c>
      <c r="BH132" s="130">
        <f t="shared" si="8"/>
        <v>0</v>
      </c>
      <c r="BI132" s="130">
        <f t="shared" si="9"/>
        <v>0</v>
      </c>
      <c r="BJ132" s="13" t="s">
        <v>76</v>
      </c>
      <c r="BK132" s="130">
        <f t="shared" si="10"/>
        <v>9.2799999999999994</v>
      </c>
      <c r="BL132" s="13" t="s">
        <v>235</v>
      </c>
      <c r="BM132" s="129" t="s">
        <v>268</v>
      </c>
    </row>
    <row r="133" spans="2:65" s="1" customFormat="1" ht="24" customHeight="1" x14ac:dyDescent="0.2">
      <c r="B133" s="118"/>
      <c r="C133" s="119" t="s">
        <v>251</v>
      </c>
      <c r="D133" s="119" t="s">
        <v>231</v>
      </c>
      <c r="E133" s="120" t="s">
        <v>251</v>
      </c>
      <c r="F133" s="121" t="s">
        <v>2576</v>
      </c>
      <c r="G133" s="122" t="s">
        <v>1194</v>
      </c>
      <c r="H133" s="123">
        <v>8</v>
      </c>
      <c r="I133" s="124">
        <v>1.1599999999999999</v>
      </c>
      <c r="J133" s="124">
        <f t="shared" si="0"/>
        <v>9.2799999999999994</v>
      </c>
      <c r="K133" s="121" t="s">
        <v>1</v>
      </c>
      <c r="L133" s="24"/>
      <c r="M133" s="125" t="s">
        <v>1</v>
      </c>
      <c r="N133" s="126" t="s">
        <v>32</v>
      </c>
      <c r="O133" s="127">
        <v>0</v>
      </c>
      <c r="P133" s="127">
        <f t="shared" si="1"/>
        <v>0</v>
      </c>
      <c r="Q133" s="127">
        <v>0</v>
      </c>
      <c r="R133" s="127">
        <f t="shared" si="2"/>
        <v>0</v>
      </c>
      <c r="S133" s="127">
        <v>0</v>
      </c>
      <c r="T133" s="128">
        <f t="shared" si="3"/>
        <v>0</v>
      </c>
      <c r="W133" s="199"/>
      <c r="X133" s="119" t="s">
        <v>251</v>
      </c>
      <c r="Y133" s="119" t="s">
        <v>231</v>
      </c>
      <c r="Z133" s="120" t="s">
        <v>251</v>
      </c>
      <c r="AA133" s="121" t="s">
        <v>2576</v>
      </c>
      <c r="AB133" s="122" t="s">
        <v>1194</v>
      </c>
      <c r="AC133" s="123">
        <v>8</v>
      </c>
      <c r="AD133" s="124">
        <v>1.1599999999999999</v>
      </c>
      <c r="AE133" s="200">
        <f t="shared" si="4"/>
        <v>9.2799999999999994</v>
      </c>
      <c r="AF133" s="227"/>
      <c r="AR133" s="129" t="s">
        <v>235</v>
      </c>
      <c r="AT133" s="129" t="s">
        <v>231</v>
      </c>
      <c r="AU133" s="129" t="s">
        <v>63</v>
      </c>
      <c r="AY133" s="13" t="s">
        <v>228</v>
      </c>
      <c r="BE133" s="130">
        <f t="shared" si="5"/>
        <v>0</v>
      </c>
      <c r="BF133" s="130">
        <f t="shared" si="6"/>
        <v>9.2799999999999994</v>
      </c>
      <c r="BG133" s="130">
        <f t="shared" si="7"/>
        <v>0</v>
      </c>
      <c r="BH133" s="130">
        <f t="shared" si="8"/>
        <v>0</v>
      </c>
      <c r="BI133" s="130">
        <f t="shared" si="9"/>
        <v>0</v>
      </c>
      <c r="BJ133" s="13" t="s">
        <v>76</v>
      </c>
      <c r="BK133" s="130">
        <f t="shared" si="10"/>
        <v>9.2799999999999994</v>
      </c>
      <c r="BL133" s="13" t="s">
        <v>235</v>
      </c>
      <c r="BM133" s="129" t="s">
        <v>272</v>
      </c>
    </row>
    <row r="134" spans="2:65" s="1" customFormat="1" ht="29.55" customHeight="1" x14ac:dyDescent="0.2">
      <c r="B134" s="118"/>
      <c r="C134" s="205" t="s">
        <v>273</v>
      </c>
      <c r="D134" s="119" t="s">
        <v>231</v>
      </c>
      <c r="E134" s="120" t="s">
        <v>273</v>
      </c>
      <c r="F134" s="121" t="s">
        <v>2577</v>
      </c>
      <c r="G134" s="122" t="s">
        <v>292</v>
      </c>
      <c r="H134" s="206">
        <v>52.2</v>
      </c>
      <c r="I134" s="124">
        <v>0.57999999999999996</v>
      </c>
      <c r="J134" s="124">
        <f t="shared" si="0"/>
        <v>30.28</v>
      </c>
      <c r="K134" s="121" t="s">
        <v>1</v>
      </c>
      <c r="L134" s="24"/>
      <c r="M134" s="125" t="s">
        <v>1</v>
      </c>
      <c r="N134" s="126" t="s">
        <v>32</v>
      </c>
      <c r="O134" s="127">
        <v>0</v>
      </c>
      <c r="P134" s="127">
        <f t="shared" si="1"/>
        <v>0</v>
      </c>
      <c r="Q134" s="127">
        <v>0</v>
      </c>
      <c r="R134" s="127">
        <f t="shared" si="2"/>
        <v>0</v>
      </c>
      <c r="S134" s="127">
        <v>0</v>
      </c>
      <c r="T134" s="128">
        <f t="shared" si="3"/>
        <v>0</v>
      </c>
      <c r="W134" s="199"/>
      <c r="X134" s="205" t="s">
        <v>273</v>
      </c>
      <c r="Y134" s="119" t="s">
        <v>231</v>
      </c>
      <c r="Z134" s="120" t="s">
        <v>273</v>
      </c>
      <c r="AA134" s="121" t="s">
        <v>2577</v>
      </c>
      <c r="AB134" s="122" t="s">
        <v>292</v>
      </c>
      <c r="AC134" s="206">
        <f>52.2+0.8</f>
        <v>53</v>
      </c>
      <c r="AD134" s="124">
        <v>0.57999999999999996</v>
      </c>
      <c r="AE134" s="200">
        <f t="shared" si="4"/>
        <v>30.74</v>
      </c>
      <c r="AF134" s="227" t="s">
        <v>6371</v>
      </c>
      <c r="AR134" s="129" t="s">
        <v>235</v>
      </c>
      <c r="AT134" s="129" t="s">
        <v>231</v>
      </c>
      <c r="AU134" s="129" t="s">
        <v>63</v>
      </c>
      <c r="AY134" s="13" t="s">
        <v>228</v>
      </c>
      <c r="BE134" s="130">
        <f t="shared" si="5"/>
        <v>0</v>
      </c>
      <c r="BF134" s="130">
        <f t="shared" si="6"/>
        <v>30.28</v>
      </c>
      <c r="BG134" s="130">
        <f t="shared" si="7"/>
        <v>0</v>
      </c>
      <c r="BH134" s="130">
        <f t="shared" si="8"/>
        <v>0</v>
      </c>
      <c r="BI134" s="130">
        <f t="shared" si="9"/>
        <v>0</v>
      </c>
      <c r="BJ134" s="13" t="s">
        <v>76</v>
      </c>
      <c r="BK134" s="130">
        <f t="shared" si="10"/>
        <v>30.28</v>
      </c>
      <c r="BL134" s="13" t="s">
        <v>235</v>
      </c>
      <c r="BM134" s="129" t="s">
        <v>276</v>
      </c>
    </row>
    <row r="135" spans="2:65" s="1" customFormat="1" ht="75.45" customHeight="1" x14ac:dyDescent="0.2">
      <c r="B135" s="118"/>
      <c r="C135" s="205" t="s">
        <v>255</v>
      </c>
      <c r="D135" s="119" t="s">
        <v>231</v>
      </c>
      <c r="E135" s="120" t="s">
        <v>255</v>
      </c>
      <c r="F135" s="121" t="s">
        <v>2578</v>
      </c>
      <c r="G135" s="122" t="s">
        <v>284</v>
      </c>
      <c r="H135" s="206">
        <v>39</v>
      </c>
      <c r="I135" s="124">
        <v>43.84</v>
      </c>
      <c r="J135" s="124">
        <f t="shared" si="0"/>
        <v>1709.76</v>
      </c>
      <c r="K135" s="121" t="s">
        <v>1</v>
      </c>
      <c r="L135" s="24"/>
      <c r="M135" s="125" t="s">
        <v>1</v>
      </c>
      <c r="N135" s="126" t="s">
        <v>32</v>
      </c>
      <c r="O135" s="127">
        <v>0</v>
      </c>
      <c r="P135" s="127">
        <f t="shared" si="1"/>
        <v>0</v>
      </c>
      <c r="Q135" s="127">
        <v>0</v>
      </c>
      <c r="R135" s="127">
        <f t="shared" si="2"/>
        <v>0</v>
      </c>
      <c r="S135" s="127">
        <v>0</v>
      </c>
      <c r="T135" s="128">
        <f t="shared" si="3"/>
        <v>0</v>
      </c>
      <c r="W135" s="199"/>
      <c r="X135" s="205" t="s">
        <v>255</v>
      </c>
      <c r="Y135" s="119" t="s">
        <v>231</v>
      </c>
      <c r="Z135" s="120" t="s">
        <v>255</v>
      </c>
      <c r="AA135" s="121" t="s">
        <v>2578</v>
      </c>
      <c r="AB135" s="122" t="s">
        <v>284</v>
      </c>
      <c r="AC135" s="206">
        <f>39+2</f>
        <v>41</v>
      </c>
      <c r="AD135" s="124">
        <v>43.84</v>
      </c>
      <c r="AE135" s="200">
        <f t="shared" si="4"/>
        <v>1797.44</v>
      </c>
      <c r="AF135" s="227" t="s">
        <v>6371</v>
      </c>
      <c r="AR135" s="129" t="s">
        <v>235</v>
      </c>
      <c r="AT135" s="129" t="s">
        <v>231</v>
      </c>
      <c r="AU135" s="129" t="s">
        <v>63</v>
      </c>
      <c r="AY135" s="13" t="s">
        <v>228</v>
      </c>
      <c r="BE135" s="130">
        <f t="shared" si="5"/>
        <v>0</v>
      </c>
      <c r="BF135" s="130">
        <f t="shared" si="6"/>
        <v>1709.76</v>
      </c>
      <c r="BG135" s="130">
        <f t="shared" si="7"/>
        <v>0</v>
      </c>
      <c r="BH135" s="130">
        <f t="shared" si="8"/>
        <v>0</v>
      </c>
      <c r="BI135" s="130">
        <f t="shared" si="9"/>
        <v>0</v>
      </c>
      <c r="BJ135" s="13" t="s">
        <v>76</v>
      </c>
      <c r="BK135" s="130">
        <f t="shared" si="10"/>
        <v>1709.76</v>
      </c>
      <c r="BL135" s="13" t="s">
        <v>235</v>
      </c>
      <c r="BM135" s="129" t="s">
        <v>280</v>
      </c>
    </row>
    <row r="136" spans="2:65" s="1" customFormat="1" ht="36" customHeight="1" x14ac:dyDescent="0.2">
      <c r="B136" s="118"/>
      <c r="C136" s="205" t="s">
        <v>281</v>
      </c>
      <c r="D136" s="119" t="s">
        <v>231</v>
      </c>
      <c r="E136" s="120" t="s">
        <v>281</v>
      </c>
      <c r="F136" s="121" t="s">
        <v>2579</v>
      </c>
      <c r="G136" s="122" t="s">
        <v>292</v>
      </c>
      <c r="H136" s="206">
        <v>52.1</v>
      </c>
      <c r="I136" s="124">
        <v>9.59</v>
      </c>
      <c r="J136" s="124">
        <f t="shared" si="0"/>
        <v>499.64</v>
      </c>
      <c r="K136" s="121" t="s">
        <v>1</v>
      </c>
      <c r="L136" s="24"/>
      <c r="M136" s="125" t="s">
        <v>1</v>
      </c>
      <c r="N136" s="126" t="s">
        <v>32</v>
      </c>
      <c r="O136" s="127">
        <v>0</v>
      </c>
      <c r="P136" s="127">
        <f t="shared" si="1"/>
        <v>0</v>
      </c>
      <c r="Q136" s="127">
        <v>0</v>
      </c>
      <c r="R136" s="127">
        <f t="shared" si="2"/>
        <v>0</v>
      </c>
      <c r="S136" s="127">
        <v>0</v>
      </c>
      <c r="T136" s="128">
        <f t="shared" si="3"/>
        <v>0</v>
      </c>
      <c r="W136" s="199"/>
      <c r="X136" s="205" t="s">
        <v>281</v>
      </c>
      <c r="Y136" s="119" t="s">
        <v>231</v>
      </c>
      <c r="Z136" s="120" t="s">
        <v>281</v>
      </c>
      <c r="AA136" s="121" t="s">
        <v>2579</v>
      </c>
      <c r="AB136" s="122" t="s">
        <v>292</v>
      </c>
      <c r="AC136" s="206">
        <f>52.1-0.1</f>
        <v>52</v>
      </c>
      <c r="AD136" s="124">
        <v>9.59</v>
      </c>
      <c r="AE136" s="200">
        <f t="shared" si="4"/>
        <v>498.68</v>
      </c>
      <c r="AF136" s="227" t="s">
        <v>6371</v>
      </c>
      <c r="AR136" s="129" t="s">
        <v>235</v>
      </c>
      <c r="AT136" s="129" t="s">
        <v>231</v>
      </c>
      <c r="AU136" s="129" t="s">
        <v>63</v>
      </c>
      <c r="AY136" s="13" t="s">
        <v>228</v>
      </c>
      <c r="BE136" s="130">
        <f t="shared" si="5"/>
        <v>0</v>
      </c>
      <c r="BF136" s="130">
        <f t="shared" si="6"/>
        <v>499.64</v>
      </c>
      <c r="BG136" s="130">
        <f t="shared" si="7"/>
        <v>0</v>
      </c>
      <c r="BH136" s="130">
        <f t="shared" si="8"/>
        <v>0</v>
      </c>
      <c r="BI136" s="130">
        <f t="shared" si="9"/>
        <v>0</v>
      </c>
      <c r="BJ136" s="13" t="s">
        <v>76</v>
      </c>
      <c r="BK136" s="130">
        <f t="shared" si="10"/>
        <v>499.64</v>
      </c>
      <c r="BL136" s="13" t="s">
        <v>235</v>
      </c>
      <c r="BM136" s="129" t="s">
        <v>285</v>
      </c>
    </row>
    <row r="137" spans="2:65" s="1" customFormat="1" ht="60" customHeight="1" x14ac:dyDescent="0.2">
      <c r="B137" s="118"/>
      <c r="C137" s="119" t="s">
        <v>258</v>
      </c>
      <c r="D137" s="119" t="s">
        <v>231</v>
      </c>
      <c r="E137" s="120" t="s">
        <v>258</v>
      </c>
      <c r="F137" s="121" t="s">
        <v>2580</v>
      </c>
      <c r="G137" s="122" t="s">
        <v>1194</v>
      </c>
      <c r="H137" s="123">
        <v>1</v>
      </c>
      <c r="I137" s="124">
        <v>1159</v>
      </c>
      <c r="J137" s="124">
        <f t="shared" si="0"/>
        <v>1159</v>
      </c>
      <c r="K137" s="121" t="s">
        <v>1</v>
      </c>
      <c r="L137" s="24"/>
      <c r="M137" s="125" t="s">
        <v>1</v>
      </c>
      <c r="N137" s="126" t="s">
        <v>32</v>
      </c>
      <c r="O137" s="127">
        <v>0</v>
      </c>
      <c r="P137" s="127">
        <f t="shared" si="1"/>
        <v>0</v>
      </c>
      <c r="Q137" s="127">
        <v>0</v>
      </c>
      <c r="R137" s="127">
        <f t="shared" si="2"/>
        <v>0</v>
      </c>
      <c r="S137" s="127">
        <v>0</v>
      </c>
      <c r="T137" s="128">
        <f t="shared" si="3"/>
        <v>0</v>
      </c>
      <c r="W137" s="199"/>
      <c r="X137" s="119" t="s">
        <v>258</v>
      </c>
      <c r="Y137" s="119" t="s">
        <v>231</v>
      </c>
      <c r="Z137" s="120" t="s">
        <v>258</v>
      </c>
      <c r="AA137" s="121" t="s">
        <v>2580</v>
      </c>
      <c r="AB137" s="122" t="s">
        <v>1194</v>
      </c>
      <c r="AC137" s="123">
        <v>1</v>
      </c>
      <c r="AD137" s="124">
        <v>1159</v>
      </c>
      <c r="AE137" s="200">
        <f t="shared" si="4"/>
        <v>1159</v>
      </c>
      <c r="AF137" s="227"/>
      <c r="AR137" s="129" t="s">
        <v>235</v>
      </c>
      <c r="AT137" s="129" t="s">
        <v>231</v>
      </c>
      <c r="AU137" s="129" t="s">
        <v>63</v>
      </c>
      <c r="AY137" s="13" t="s">
        <v>228</v>
      </c>
      <c r="BE137" s="130">
        <f t="shared" si="5"/>
        <v>0</v>
      </c>
      <c r="BF137" s="130">
        <f t="shared" si="6"/>
        <v>1159</v>
      </c>
      <c r="BG137" s="130">
        <f t="shared" si="7"/>
        <v>0</v>
      </c>
      <c r="BH137" s="130">
        <f t="shared" si="8"/>
        <v>0</v>
      </c>
      <c r="BI137" s="130">
        <f t="shared" si="9"/>
        <v>0</v>
      </c>
      <c r="BJ137" s="13" t="s">
        <v>76</v>
      </c>
      <c r="BK137" s="130">
        <f t="shared" si="10"/>
        <v>1159</v>
      </c>
      <c r="BL137" s="13" t="s">
        <v>235</v>
      </c>
      <c r="BM137" s="129" t="s">
        <v>288</v>
      </c>
    </row>
    <row r="138" spans="2:65" s="1" customFormat="1" ht="72" customHeight="1" x14ac:dyDescent="0.2">
      <c r="B138" s="118"/>
      <c r="C138" s="119" t="s">
        <v>289</v>
      </c>
      <c r="D138" s="119" t="s">
        <v>231</v>
      </c>
      <c r="E138" s="120" t="s">
        <v>289</v>
      </c>
      <c r="F138" s="121" t="s">
        <v>2581</v>
      </c>
      <c r="G138" s="122" t="s">
        <v>1194</v>
      </c>
      <c r="H138" s="123">
        <v>3</v>
      </c>
      <c r="I138" s="124">
        <v>5627.88</v>
      </c>
      <c r="J138" s="124">
        <f t="shared" si="0"/>
        <v>16883.64</v>
      </c>
      <c r="K138" s="121" t="s">
        <v>1</v>
      </c>
      <c r="L138" s="24"/>
      <c r="M138" s="125" t="s">
        <v>1</v>
      </c>
      <c r="N138" s="126" t="s">
        <v>32</v>
      </c>
      <c r="O138" s="127">
        <v>0</v>
      </c>
      <c r="P138" s="127">
        <f t="shared" si="1"/>
        <v>0</v>
      </c>
      <c r="Q138" s="127">
        <v>0</v>
      </c>
      <c r="R138" s="127">
        <f t="shared" si="2"/>
        <v>0</v>
      </c>
      <c r="S138" s="127">
        <v>0</v>
      </c>
      <c r="T138" s="128">
        <f t="shared" si="3"/>
        <v>0</v>
      </c>
      <c r="W138" s="199"/>
      <c r="X138" s="119" t="s">
        <v>289</v>
      </c>
      <c r="Y138" s="119" t="s">
        <v>231</v>
      </c>
      <c r="Z138" s="120" t="s">
        <v>289</v>
      </c>
      <c r="AA138" s="121" t="s">
        <v>2581</v>
      </c>
      <c r="AB138" s="122" t="s">
        <v>1194</v>
      </c>
      <c r="AC138" s="123">
        <v>3</v>
      </c>
      <c r="AD138" s="124">
        <v>5627.88</v>
      </c>
      <c r="AE138" s="200">
        <f t="shared" si="4"/>
        <v>16883.64</v>
      </c>
      <c r="AF138" s="227"/>
      <c r="AR138" s="129" t="s">
        <v>235</v>
      </c>
      <c r="AT138" s="129" t="s">
        <v>231</v>
      </c>
      <c r="AU138" s="129" t="s">
        <v>63</v>
      </c>
      <c r="AY138" s="13" t="s">
        <v>228</v>
      </c>
      <c r="BE138" s="130">
        <f t="shared" si="5"/>
        <v>0</v>
      </c>
      <c r="BF138" s="130">
        <f t="shared" si="6"/>
        <v>16883.64</v>
      </c>
      <c r="BG138" s="130">
        <f t="shared" si="7"/>
        <v>0</v>
      </c>
      <c r="BH138" s="130">
        <f t="shared" si="8"/>
        <v>0</v>
      </c>
      <c r="BI138" s="130">
        <f t="shared" si="9"/>
        <v>0</v>
      </c>
      <c r="BJ138" s="13" t="s">
        <v>76</v>
      </c>
      <c r="BK138" s="130">
        <f t="shared" si="10"/>
        <v>16883.64</v>
      </c>
      <c r="BL138" s="13" t="s">
        <v>235</v>
      </c>
      <c r="BM138" s="129" t="s">
        <v>293</v>
      </c>
    </row>
    <row r="139" spans="2:65" s="1" customFormat="1" ht="72" customHeight="1" x14ac:dyDescent="0.2">
      <c r="B139" s="118"/>
      <c r="C139" s="119" t="s">
        <v>262</v>
      </c>
      <c r="D139" s="119" t="s">
        <v>231</v>
      </c>
      <c r="E139" s="120" t="s">
        <v>262</v>
      </c>
      <c r="F139" s="121" t="s">
        <v>2582</v>
      </c>
      <c r="G139" s="122" t="s">
        <v>1194</v>
      </c>
      <c r="H139" s="123">
        <v>1</v>
      </c>
      <c r="I139" s="124">
        <v>5986.81</v>
      </c>
      <c r="J139" s="124">
        <f t="shared" si="0"/>
        <v>5986.81</v>
      </c>
      <c r="K139" s="121" t="s">
        <v>1</v>
      </c>
      <c r="L139" s="24"/>
      <c r="M139" s="125" t="s">
        <v>1</v>
      </c>
      <c r="N139" s="126" t="s">
        <v>32</v>
      </c>
      <c r="O139" s="127">
        <v>0</v>
      </c>
      <c r="P139" s="127">
        <f t="shared" si="1"/>
        <v>0</v>
      </c>
      <c r="Q139" s="127">
        <v>0</v>
      </c>
      <c r="R139" s="127">
        <f t="shared" si="2"/>
        <v>0</v>
      </c>
      <c r="S139" s="127">
        <v>0</v>
      </c>
      <c r="T139" s="128">
        <f t="shared" si="3"/>
        <v>0</v>
      </c>
      <c r="W139" s="199"/>
      <c r="X139" s="119" t="s">
        <v>262</v>
      </c>
      <c r="Y139" s="119" t="s">
        <v>231</v>
      </c>
      <c r="Z139" s="120" t="s">
        <v>262</v>
      </c>
      <c r="AA139" s="121" t="s">
        <v>2582</v>
      </c>
      <c r="AB139" s="122" t="s">
        <v>1194</v>
      </c>
      <c r="AC139" s="123">
        <v>1</v>
      </c>
      <c r="AD139" s="124">
        <v>5986.81</v>
      </c>
      <c r="AE139" s="200">
        <f t="shared" si="4"/>
        <v>5986.81</v>
      </c>
      <c r="AF139" s="227"/>
      <c r="AR139" s="129" t="s">
        <v>235</v>
      </c>
      <c r="AT139" s="129" t="s">
        <v>231</v>
      </c>
      <c r="AU139" s="129" t="s">
        <v>63</v>
      </c>
      <c r="AY139" s="13" t="s">
        <v>228</v>
      </c>
      <c r="BE139" s="130">
        <f t="shared" si="5"/>
        <v>0</v>
      </c>
      <c r="BF139" s="130">
        <f t="shared" si="6"/>
        <v>5986.81</v>
      </c>
      <c r="BG139" s="130">
        <f t="shared" si="7"/>
        <v>0</v>
      </c>
      <c r="BH139" s="130">
        <f t="shared" si="8"/>
        <v>0</v>
      </c>
      <c r="BI139" s="130">
        <f t="shared" si="9"/>
        <v>0</v>
      </c>
      <c r="BJ139" s="13" t="s">
        <v>76</v>
      </c>
      <c r="BK139" s="130">
        <f t="shared" si="10"/>
        <v>5986.81</v>
      </c>
      <c r="BL139" s="13" t="s">
        <v>235</v>
      </c>
      <c r="BM139" s="129" t="s">
        <v>296</v>
      </c>
    </row>
    <row r="140" spans="2:65" s="11" customFormat="1" ht="25.95" customHeight="1" x14ac:dyDescent="0.25">
      <c r="B140" s="106"/>
      <c r="D140" s="107" t="s">
        <v>57</v>
      </c>
      <c r="E140" s="108" t="s">
        <v>1201</v>
      </c>
      <c r="F140" s="108" t="s">
        <v>2583</v>
      </c>
      <c r="J140" s="109">
        <f>BK140</f>
        <v>2627.66</v>
      </c>
      <c r="L140" s="106"/>
      <c r="M140" s="110"/>
      <c r="N140" s="111"/>
      <c r="O140" s="111"/>
      <c r="P140" s="112">
        <f>SUM(P141:P145)</f>
        <v>0</v>
      </c>
      <c r="Q140" s="111"/>
      <c r="R140" s="112">
        <f>SUM(R141:R145)</f>
        <v>0</v>
      </c>
      <c r="S140" s="111"/>
      <c r="T140" s="113">
        <f>SUM(T141:T145)</f>
        <v>0</v>
      </c>
      <c r="W140" s="195"/>
      <c r="X140" s="111"/>
      <c r="Y140" s="196" t="s">
        <v>57</v>
      </c>
      <c r="Z140" s="197" t="s">
        <v>1201</v>
      </c>
      <c r="AA140" s="197" t="s">
        <v>2583</v>
      </c>
      <c r="AB140" s="111"/>
      <c r="AC140" s="111"/>
      <c r="AD140" s="111"/>
      <c r="AE140" s="198">
        <f>SUM(AE141:AE145)</f>
        <v>2627.66</v>
      </c>
      <c r="AF140" s="668"/>
      <c r="AR140" s="107" t="s">
        <v>63</v>
      </c>
      <c r="AT140" s="114" t="s">
        <v>57</v>
      </c>
      <c r="AU140" s="114" t="s">
        <v>58</v>
      </c>
      <c r="AY140" s="107" t="s">
        <v>228</v>
      </c>
      <c r="BK140" s="115">
        <f>SUM(BK141:BK145)</f>
        <v>2627.66</v>
      </c>
    </row>
    <row r="141" spans="2:65" s="1" customFormat="1" ht="26.55" customHeight="1" x14ac:dyDescent="0.2">
      <c r="B141" s="118"/>
      <c r="C141" s="119" t="s">
        <v>297</v>
      </c>
      <c r="D141" s="119" t="s">
        <v>231</v>
      </c>
      <c r="E141" s="120" t="s">
        <v>297</v>
      </c>
      <c r="F141" s="121" t="s">
        <v>2584</v>
      </c>
      <c r="G141" s="122" t="s">
        <v>1194</v>
      </c>
      <c r="H141" s="123">
        <v>3</v>
      </c>
      <c r="I141" s="124">
        <v>221.94</v>
      </c>
      <c r="J141" s="124">
        <f>ROUND(I141*H141,2)</f>
        <v>665.82</v>
      </c>
      <c r="K141" s="121" t="s">
        <v>1</v>
      </c>
      <c r="L141" s="24"/>
      <c r="M141" s="125" t="s">
        <v>1</v>
      </c>
      <c r="N141" s="126" t="s">
        <v>32</v>
      </c>
      <c r="O141" s="127">
        <v>0</v>
      </c>
      <c r="P141" s="127">
        <f>O141*H141</f>
        <v>0</v>
      </c>
      <c r="Q141" s="127">
        <v>0</v>
      </c>
      <c r="R141" s="127">
        <f>Q141*H141</f>
        <v>0</v>
      </c>
      <c r="S141" s="127">
        <v>0</v>
      </c>
      <c r="T141" s="128">
        <f>S141*H141</f>
        <v>0</v>
      </c>
      <c r="W141" s="199"/>
      <c r="X141" s="119" t="s">
        <v>297</v>
      </c>
      <c r="Y141" s="119" t="s">
        <v>231</v>
      </c>
      <c r="Z141" s="120" t="s">
        <v>297</v>
      </c>
      <c r="AA141" s="121" t="s">
        <v>2584</v>
      </c>
      <c r="AB141" s="122" t="s">
        <v>1194</v>
      </c>
      <c r="AC141" s="123">
        <v>3</v>
      </c>
      <c r="AD141" s="124">
        <v>221.94</v>
      </c>
      <c r="AE141" s="200">
        <f>ROUND(AD141*AC141,2)</f>
        <v>665.82</v>
      </c>
      <c r="AF141" s="227"/>
      <c r="AR141" s="129" t="s">
        <v>235</v>
      </c>
      <c r="AT141" s="129" t="s">
        <v>231</v>
      </c>
      <c r="AU141" s="129" t="s">
        <v>63</v>
      </c>
      <c r="AY141" s="13" t="s">
        <v>228</v>
      </c>
      <c r="BE141" s="130">
        <f>IF(N141="základná",J141,0)</f>
        <v>0</v>
      </c>
      <c r="BF141" s="130">
        <f>IF(N141="znížená",J141,0)</f>
        <v>665.82</v>
      </c>
      <c r="BG141" s="130">
        <f>IF(N141="zákl. prenesená",J141,0)</f>
        <v>0</v>
      </c>
      <c r="BH141" s="130">
        <f>IF(N141="zníž. prenesená",J141,0)</f>
        <v>0</v>
      </c>
      <c r="BI141" s="130">
        <f>IF(N141="nulová",J141,0)</f>
        <v>0</v>
      </c>
      <c r="BJ141" s="13" t="s">
        <v>76</v>
      </c>
      <c r="BK141" s="130">
        <f>ROUND(I141*H141,2)</f>
        <v>665.82</v>
      </c>
      <c r="BL141" s="13" t="s">
        <v>235</v>
      </c>
      <c r="BM141" s="129" t="s">
        <v>300</v>
      </c>
    </row>
    <row r="142" spans="2:65" s="1" customFormat="1" ht="34.950000000000003" customHeight="1" x14ac:dyDescent="0.2">
      <c r="B142" s="118"/>
      <c r="C142" s="119" t="s">
        <v>7</v>
      </c>
      <c r="D142" s="119" t="s">
        <v>231</v>
      </c>
      <c r="E142" s="120" t="s">
        <v>7</v>
      </c>
      <c r="F142" s="121" t="s">
        <v>2585</v>
      </c>
      <c r="G142" s="122" t="s">
        <v>1194</v>
      </c>
      <c r="H142" s="123">
        <v>3</v>
      </c>
      <c r="I142" s="124">
        <v>301.39999999999998</v>
      </c>
      <c r="J142" s="124">
        <f>ROUND(I142*H142,2)</f>
        <v>904.2</v>
      </c>
      <c r="K142" s="121" t="s">
        <v>1</v>
      </c>
      <c r="L142" s="24"/>
      <c r="M142" s="125" t="s">
        <v>1</v>
      </c>
      <c r="N142" s="126" t="s">
        <v>32</v>
      </c>
      <c r="O142" s="127">
        <v>0</v>
      </c>
      <c r="P142" s="127">
        <f>O142*H142</f>
        <v>0</v>
      </c>
      <c r="Q142" s="127">
        <v>0</v>
      </c>
      <c r="R142" s="127">
        <f>Q142*H142</f>
        <v>0</v>
      </c>
      <c r="S142" s="127">
        <v>0</v>
      </c>
      <c r="T142" s="128">
        <f>S142*H142</f>
        <v>0</v>
      </c>
      <c r="W142" s="199"/>
      <c r="X142" s="119" t="s">
        <v>7</v>
      </c>
      <c r="Y142" s="119" t="s">
        <v>231</v>
      </c>
      <c r="Z142" s="120" t="s">
        <v>7</v>
      </c>
      <c r="AA142" s="121" t="s">
        <v>2585</v>
      </c>
      <c r="AB142" s="122" t="s">
        <v>1194</v>
      </c>
      <c r="AC142" s="123">
        <v>3</v>
      </c>
      <c r="AD142" s="124">
        <v>301.39999999999998</v>
      </c>
      <c r="AE142" s="200">
        <f>ROUND(AD142*AC142,2)</f>
        <v>904.2</v>
      </c>
      <c r="AF142" s="227"/>
      <c r="AR142" s="129" t="s">
        <v>235</v>
      </c>
      <c r="AT142" s="129" t="s">
        <v>231</v>
      </c>
      <c r="AU142" s="129" t="s">
        <v>63</v>
      </c>
      <c r="AY142" s="13" t="s">
        <v>228</v>
      </c>
      <c r="BE142" s="130">
        <f>IF(N142="základná",J142,0)</f>
        <v>0</v>
      </c>
      <c r="BF142" s="130">
        <f>IF(N142="znížená",J142,0)</f>
        <v>904.2</v>
      </c>
      <c r="BG142" s="130">
        <f>IF(N142="zákl. prenesená",J142,0)</f>
        <v>0</v>
      </c>
      <c r="BH142" s="130">
        <f>IF(N142="zníž. prenesená",J142,0)</f>
        <v>0</v>
      </c>
      <c r="BI142" s="130">
        <f>IF(N142="nulová",J142,0)</f>
        <v>0</v>
      </c>
      <c r="BJ142" s="13" t="s">
        <v>76</v>
      </c>
      <c r="BK142" s="130">
        <f>ROUND(I142*H142,2)</f>
        <v>904.2</v>
      </c>
      <c r="BL142" s="13" t="s">
        <v>235</v>
      </c>
      <c r="BM142" s="129" t="s">
        <v>303</v>
      </c>
    </row>
    <row r="143" spans="2:65" s="1" customFormat="1" ht="30.45" customHeight="1" x14ac:dyDescent="0.2">
      <c r="B143" s="118"/>
      <c r="C143" s="119" t="s">
        <v>305</v>
      </c>
      <c r="D143" s="119" t="s">
        <v>231</v>
      </c>
      <c r="E143" s="120" t="s">
        <v>305</v>
      </c>
      <c r="F143" s="121" t="s">
        <v>2586</v>
      </c>
      <c r="G143" s="122" t="s">
        <v>1194</v>
      </c>
      <c r="H143" s="123">
        <v>1</v>
      </c>
      <c r="I143" s="124">
        <v>201.39</v>
      </c>
      <c r="J143" s="124">
        <f>ROUND(I143*H143,2)</f>
        <v>201.39</v>
      </c>
      <c r="K143" s="121" t="s">
        <v>1</v>
      </c>
      <c r="L143" s="24"/>
      <c r="M143" s="125" t="s">
        <v>1</v>
      </c>
      <c r="N143" s="126" t="s">
        <v>32</v>
      </c>
      <c r="O143" s="127">
        <v>0</v>
      </c>
      <c r="P143" s="127">
        <f>O143*H143</f>
        <v>0</v>
      </c>
      <c r="Q143" s="127">
        <v>0</v>
      </c>
      <c r="R143" s="127">
        <f>Q143*H143</f>
        <v>0</v>
      </c>
      <c r="S143" s="127">
        <v>0</v>
      </c>
      <c r="T143" s="128">
        <f>S143*H143</f>
        <v>0</v>
      </c>
      <c r="W143" s="199"/>
      <c r="X143" s="119" t="s">
        <v>305</v>
      </c>
      <c r="Y143" s="119" t="s">
        <v>231</v>
      </c>
      <c r="Z143" s="120" t="s">
        <v>305</v>
      </c>
      <c r="AA143" s="121" t="s">
        <v>2586</v>
      </c>
      <c r="AB143" s="122" t="s">
        <v>1194</v>
      </c>
      <c r="AC143" s="123">
        <v>1</v>
      </c>
      <c r="AD143" s="124">
        <v>201.39</v>
      </c>
      <c r="AE143" s="200">
        <f>ROUND(AD143*AC143,2)</f>
        <v>201.39</v>
      </c>
      <c r="AF143" s="227"/>
      <c r="AR143" s="129" t="s">
        <v>235</v>
      </c>
      <c r="AT143" s="129" t="s">
        <v>231</v>
      </c>
      <c r="AU143" s="129" t="s">
        <v>63</v>
      </c>
      <c r="AY143" s="13" t="s">
        <v>228</v>
      </c>
      <c r="BE143" s="130">
        <f>IF(N143="základná",J143,0)</f>
        <v>0</v>
      </c>
      <c r="BF143" s="130">
        <f>IF(N143="znížená",J143,0)</f>
        <v>201.39</v>
      </c>
      <c r="BG143" s="130">
        <f>IF(N143="zákl. prenesená",J143,0)</f>
        <v>0</v>
      </c>
      <c r="BH143" s="130">
        <f>IF(N143="zníž. prenesená",J143,0)</f>
        <v>0</v>
      </c>
      <c r="BI143" s="130">
        <f>IF(N143="nulová",J143,0)</f>
        <v>0</v>
      </c>
      <c r="BJ143" s="13" t="s">
        <v>76</v>
      </c>
      <c r="BK143" s="130">
        <f>ROUND(I143*H143,2)</f>
        <v>201.39</v>
      </c>
      <c r="BL143" s="13" t="s">
        <v>235</v>
      </c>
      <c r="BM143" s="129" t="s">
        <v>308</v>
      </c>
    </row>
    <row r="144" spans="2:65" s="1" customFormat="1" ht="38.549999999999997" customHeight="1" x14ac:dyDescent="0.2">
      <c r="B144" s="118"/>
      <c r="C144" s="119" t="s">
        <v>268</v>
      </c>
      <c r="D144" s="119" t="s">
        <v>231</v>
      </c>
      <c r="E144" s="120" t="s">
        <v>268</v>
      </c>
      <c r="F144" s="121" t="s">
        <v>2587</v>
      </c>
      <c r="G144" s="122" t="s">
        <v>1194</v>
      </c>
      <c r="H144" s="123">
        <v>1</v>
      </c>
      <c r="I144" s="124">
        <v>280.85000000000002</v>
      </c>
      <c r="J144" s="124">
        <f>ROUND(I144*H144,2)</f>
        <v>280.85000000000002</v>
      </c>
      <c r="K144" s="121" t="s">
        <v>1</v>
      </c>
      <c r="L144" s="24"/>
      <c r="M144" s="125" t="s">
        <v>1</v>
      </c>
      <c r="N144" s="126" t="s">
        <v>32</v>
      </c>
      <c r="O144" s="127">
        <v>0</v>
      </c>
      <c r="P144" s="127">
        <f>O144*H144</f>
        <v>0</v>
      </c>
      <c r="Q144" s="127">
        <v>0</v>
      </c>
      <c r="R144" s="127">
        <f>Q144*H144</f>
        <v>0</v>
      </c>
      <c r="S144" s="127">
        <v>0</v>
      </c>
      <c r="T144" s="128">
        <f>S144*H144</f>
        <v>0</v>
      </c>
      <c r="W144" s="199"/>
      <c r="X144" s="119" t="s">
        <v>268</v>
      </c>
      <c r="Y144" s="119" t="s">
        <v>231</v>
      </c>
      <c r="Z144" s="120" t="s">
        <v>268</v>
      </c>
      <c r="AA144" s="121" t="s">
        <v>2587</v>
      </c>
      <c r="AB144" s="122" t="s">
        <v>1194</v>
      </c>
      <c r="AC144" s="123">
        <v>1</v>
      </c>
      <c r="AD144" s="124">
        <v>280.85000000000002</v>
      </c>
      <c r="AE144" s="200">
        <f>ROUND(AD144*AC144,2)</f>
        <v>280.85000000000002</v>
      </c>
      <c r="AF144" s="227"/>
      <c r="AR144" s="129" t="s">
        <v>235</v>
      </c>
      <c r="AT144" s="129" t="s">
        <v>231</v>
      </c>
      <c r="AU144" s="129" t="s">
        <v>63</v>
      </c>
      <c r="AY144" s="13" t="s">
        <v>228</v>
      </c>
      <c r="BE144" s="130">
        <f>IF(N144="základná",J144,0)</f>
        <v>0</v>
      </c>
      <c r="BF144" s="130">
        <f>IF(N144="znížená",J144,0)</f>
        <v>280.85000000000002</v>
      </c>
      <c r="BG144" s="130">
        <f>IF(N144="zákl. prenesená",J144,0)</f>
        <v>0</v>
      </c>
      <c r="BH144" s="130">
        <f>IF(N144="zníž. prenesená",J144,0)</f>
        <v>0</v>
      </c>
      <c r="BI144" s="130">
        <f>IF(N144="nulová",J144,0)</f>
        <v>0</v>
      </c>
      <c r="BJ144" s="13" t="s">
        <v>76</v>
      </c>
      <c r="BK144" s="130">
        <f>ROUND(I144*H144,2)</f>
        <v>280.85000000000002</v>
      </c>
      <c r="BL144" s="13" t="s">
        <v>235</v>
      </c>
      <c r="BM144" s="129" t="s">
        <v>312</v>
      </c>
    </row>
    <row r="145" spans="2:65" s="1" customFormat="1" ht="39" customHeight="1" x14ac:dyDescent="0.2">
      <c r="B145" s="118"/>
      <c r="C145" s="119" t="s">
        <v>313</v>
      </c>
      <c r="D145" s="119" t="s">
        <v>231</v>
      </c>
      <c r="E145" s="120" t="s">
        <v>313</v>
      </c>
      <c r="F145" s="121" t="s">
        <v>2588</v>
      </c>
      <c r="G145" s="122" t="s">
        <v>1194</v>
      </c>
      <c r="H145" s="123">
        <v>2</v>
      </c>
      <c r="I145" s="124">
        <v>287.7</v>
      </c>
      <c r="J145" s="124">
        <f>ROUND(I145*H145,2)</f>
        <v>575.4</v>
      </c>
      <c r="K145" s="121" t="s">
        <v>1</v>
      </c>
      <c r="L145" s="24"/>
      <c r="M145" s="125" t="s">
        <v>1</v>
      </c>
      <c r="N145" s="126" t="s">
        <v>32</v>
      </c>
      <c r="O145" s="127">
        <v>0</v>
      </c>
      <c r="P145" s="127">
        <f>O145*H145</f>
        <v>0</v>
      </c>
      <c r="Q145" s="127">
        <v>0</v>
      </c>
      <c r="R145" s="127">
        <f>Q145*H145</f>
        <v>0</v>
      </c>
      <c r="S145" s="127">
        <v>0</v>
      </c>
      <c r="T145" s="128">
        <f>S145*H145</f>
        <v>0</v>
      </c>
      <c r="W145" s="199"/>
      <c r="X145" s="119" t="s">
        <v>313</v>
      </c>
      <c r="Y145" s="119" t="s">
        <v>231</v>
      </c>
      <c r="Z145" s="120" t="s">
        <v>313</v>
      </c>
      <c r="AA145" s="121" t="s">
        <v>2588</v>
      </c>
      <c r="AB145" s="122" t="s">
        <v>1194</v>
      </c>
      <c r="AC145" s="123">
        <v>2</v>
      </c>
      <c r="AD145" s="124">
        <v>287.7</v>
      </c>
      <c r="AE145" s="200">
        <f>ROUND(AD145*AC145,2)</f>
        <v>575.4</v>
      </c>
      <c r="AF145" s="227"/>
      <c r="AR145" s="129" t="s">
        <v>235</v>
      </c>
      <c r="AT145" s="129" t="s">
        <v>231</v>
      </c>
      <c r="AU145" s="129" t="s">
        <v>63</v>
      </c>
      <c r="AY145" s="13" t="s">
        <v>228</v>
      </c>
      <c r="BE145" s="130">
        <f>IF(N145="základná",J145,0)</f>
        <v>0</v>
      </c>
      <c r="BF145" s="130">
        <f>IF(N145="znížená",J145,0)</f>
        <v>575.4</v>
      </c>
      <c r="BG145" s="130">
        <f>IF(N145="zákl. prenesená",J145,0)</f>
        <v>0</v>
      </c>
      <c r="BH145" s="130">
        <f>IF(N145="zníž. prenesená",J145,0)</f>
        <v>0</v>
      </c>
      <c r="BI145" s="130">
        <f>IF(N145="nulová",J145,0)</f>
        <v>0</v>
      </c>
      <c r="BJ145" s="13" t="s">
        <v>76</v>
      </c>
      <c r="BK145" s="130">
        <f>ROUND(I145*H145,2)</f>
        <v>575.4</v>
      </c>
      <c r="BL145" s="13" t="s">
        <v>235</v>
      </c>
      <c r="BM145" s="129" t="s">
        <v>316</v>
      </c>
    </row>
    <row r="146" spans="2:65" s="11" customFormat="1" ht="25.95" customHeight="1" x14ac:dyDescent="0.25">
      <c r="B146" s="106"/>
      <c r="D146" s="107" t="s">
        <v>57</v>
      </c>
      <c r="E146" s="108" t="s">
        <v>1211</v>
      </c>
      <c r="F146" s="108" t="s">
        <v>2589</v>
      </c>
      <c r="J146" s="109">
        <f>BK146</f>
        <v>2989.31</v>
      </c>
      <c r="L146" s="106"/>
      <c r="M146" s="110"/>
      <c r="N146" s="111"/>
      <c r="O146" s="111"/>
      <c r="P146" s="112">
        <f>P147</f>
        <v>0</v>
      </c>
      <c r="Q146" s="111"/>
      <c r="R146" s="112">
        <f>R147</f>
        <v>0</v>
      </c>
      <c r="S146" s="111"/>
      <c r="T146" s="113">
        <f>T147</f>
        <v>0</v>
      </c>
      <c r="W146" s="195"/>
      <c r="X146" s="111"/>
      <c r="Y146" s="196" t="s">
        <v>57</v>
      </c>
      <c r="Z146" s="197" t="s">
        <v>1211</v>
      </c>
      <c r="AA146" s="197" t="s">
        <v>2589</v>
      </c>
      <c r="AB146" s="111"/>
      <c r="AC146" s="111"/>
      <c r="AD146" s="111"/>
      <c r="AE146" s="198">
        <f>AE147</f>
        <v>3045.4700000000003</v>
      </c>
      <c r="AF146" s="668"/>
      <c r="AR146" s="107" t="s">
        <v>63</v>
      </c>
      <c r="AT146" s="114" t="s">
        <v>57</v>
      </c>
      <c r="AU146" s="114" t="s">
        <v>58</v>
      </c>
      <c r="AY146" s="107" t="s">
        <v>228</v>
      </c>
      <c r="BK146" s="115">
        <f>BK147</f>
        <v>2989.31</v>
      </c>
    </row>
    <row r="147" spans="2:65" s="11" customFormat="1" ht="22.95" customHeight="1" x14ac:dyDescent="0.25">
      <c r="B147" s="106"/>
      <c r="D147" s="107" t="s">
        <v>57</v>
      </c>
      <c r="E147" s="116" t="s">
        <v>1215</v>
      </c>
      <c r="F147" s="116" t="s">
        <v>2590</v>
      </c>
      <c r="J147" s="117">
        <f>BK147</f>
        <v>2989.31</v>
      </c>
      <c r="L147" s="106"/>
      <c r="M147" s="110"/>
      <c r="N147" s="111"/>
      <c r="O147" s="111"/>
      <c r="P147" s="112">
        <f>SUM(P148:P150)</f>
        <v>0</v>
      </c>
      <c r="Q147" s="111"/>
      <c r="R147" s="112">
        <f>SUM(R148:R150)</f>
        <v>0</v>
      </c>
      <c r="S147" s="111"/>
      <c r="T147" s="113">
        <f>SUM(T148:T150)</f>
        <v>0</v>
      </c>
      <c r="W147" s="195"/>
      <c r="X147" s="111"/>
      <c r="Y147" s="196" t="s">
        <v>57</v>
      </c>
      <c r="Z147" s="201" t="s">
        <v>1215</v>
      </c>
      <c r="AA147" s="201" t="s">
        <v>2590</v>
      </c>
      <c r="AB147" s="111"/>
      <c r="AC147" s="111"/>
      <c r="AD147" s="111"/>
      <c r="AE147" s="202">
        <f>SUM(AE148:AE153)</f>
        <v>3045.4700000000003</v>
      </c>
      <c r="AF147" s="668"/>
      <c r="AR147" s="107" t="s">
        <v>63</v>
      </c>
      <c r="AT147" s="114" t="s">
        <v>57</v>
      </c>
      <c r="AU147" s="114" t="s">
        <v>63</v>
      </c>
      <c r="AY147" s="107" t="s">
        <v>228</v>
      </c>
      <c r="BK147" s="115">
        <f>SUM(BK148:BK150)</f>
        <v>2989.31</v>
      </c>
    </row>
    <row r="148" spans="2:65" s="1" customFormat="1" ht="16.5" customHeight="1" x14ac:dyDescent="0.2">
      <c r="B148" s="118"/>
      <c r="C148" s="119" t="s">
        <v>272</v>
      </c>
      <c r="D148" s="119" t="s">
        <v>231</v>
      </c>
      <c r="E148" s="120" t="s">
        <v>272</v>
      </c>
      <c r="F148" s="121" t="s">
        <v>2591</v>
      </c>
      <c r="G148" s="122" t="s">
        <v>1194</v>
      </c>
      <c r="H148" s="123">
        <v>3</v>
      </c>
      <c r="I148" s="124">
        <v>379.48</v>
      </c>
      <c r="J148" s="124">
        <f>ROUND(I148*H148,2)</f>
        <v>1138.44</v>
      </c>
      <c r="K148" s="121" t="s">
        <v>1</v>
      </c>
      <c r="L148" s="24"/>
      <c r="M148" s="125" t="s">
        <v>1</v>
      </c>
      <c r="N148" s="126" t="s">
        <v>32</v>
      </c>
      <c r="O148" s="127">
        <v>0</v>
      </c>
      <c r="P148" s="127">
        <f>O148*H148</f>
        <v>0</v>
      </c>
      <c r="Q148" s="127">
        <v>0</v>
      </c>
      <c r="R148" s="127">
        <f>Q148*H148</f>
        <v>0</v>
      </c>
      <c r="S148" s="127">
        <v>0</v>
      </c>
      <c r="T148" s="128">
        <f>S148*H148</f>
        <v>0</v>
      </c>
      <c r="W148" s="199"/>
      <c r="X148" s="119" t="s">
        <v>272</v>
      </c>
      <c r="Y148" s="119" t="s">
        <v>231</v>
      </c>
      <c r="Z148" s="120" t="s">
        <v>272</v>
      </c>
      <c r="AA148" s="121" t="s">
        <v>2591</v>
      </c>
      <c r="AB148" s="122" t="s">
        <v>1194</v>
      </c>
      <c r="AC148" s="123">
        <v>3</v>
      </c>
      <c r="AD148" s="124">
        <v>379.48</v>
      </c>
      <c r="AE148" s="200">
        <f>ROUND(AD148*AC148,2)</f>
        <v>1138.44</v>
      </c>
      <c r="AF148" s="227"/>
      <c r="AR148" s="129" t="s">
        <v>235</v>
      </c>
      <c r="AT148" s="129" t="s">
        <v>231</v>
      </c>
      <c r="AU148" s="129" t="s">
        <v>76</v>
      </c>
      <c r="AY148" s="13" t="s">
        <v>228</v>
      </c>
      <c r="BE148" s="130">
        <f>IF(N148="základná",J148,0)</f>
        <v>0</v>
      </c>
      <c r="BF148" s="130">
        <f>IF(N148="znížená",J148,0)</f>
        <v>1138.44</v>
      </c>
      <c r="BG148" s="130">
        <f>IF(N148="zákl. prenesená",J148,0)</f>
        <v>0</v>
      </c>
      <c r="BH148" s="130">
        <f>IF(N148="zníž. prenesená",J148,0)</f>
        <v>0</v>
      </c>
      <c r="BI148" s="130">
        <f>IF(N148="nulová",J148,0)</f>
        <v>0</v>
      </c>
      <c r="BJ148" s="13" t="s">
        <v>76</v>
      </c>
      <c r="BK148" s="130">
        <f>ROUND(I148*H148,2)</f>
        <v>1138.44</v>
      </c>
      <c r="BL148" s="13" t="s">
        <v>235</v>
      </c>
      <c r="BM148" s="129" t="s">
        <v>319</v>
      </c>
    </row>
    <row r="149" spans="2:65" s="1" customFormat="1" ht="16.5" customHeight="1" x14ac:dyDescent="0.2">
      <c r="B149" s="118"/>
      <c r="C149" s="205" t="s">
        <v>320</v>
      </c>
      <c r="D149" s="119" t="s">
        <v>231</v>
      </c>
      <c r="E149" s="120" t="s">
        <v>320</v>
      </c>
      <c r="F149" s="121" t="s">
        <v>2592</v>
      </c>
      <c r="G149" s="122" t="s">
        <v>1194</v>
      </c>
      <c r="H149" s="206">
        <v>5</v>
      </c>
      <c r="I149" s="124">
        <v>305.51</v>
      </c>
      <c r="J149" s="124">
        <f>ROUND(I149*H149,2)</f>
        <v>1527.55</v>
      </c>
      <c r="K149" s="121" t="s">
        <v>1</v>
      </c>
      <c r="L149" s="24"/>
      <c r="M149" s="125" t="s">
        <v>1</v>
      </c>
      <c r="N149" s="126" t="s">
        <v>32</v>
      </c>
      <c r="O149" s="127">
        <v>0</v>
      </c>
      <c r="P149" s="127">
        <f>O149*H149</f>
        <v>0</v>
      </c>
      <c r="Q149" s="127">
        <v>0</v>
      </c>
      <c r="R149" s="127">
        <f>Q149*H149</f>
        <v>0</v>
      </c>
      <c r="S149" s="127">
        <v>0</v>
      </c>
      <c r="T149" s="128">
        <f>S149*H149</f>
        <v>0</v>
      </c>
      <c r="W149" s="199"/>
      <c r="X149" s="205" t="s">
        <v>320</v>
      </c>
      <c r="Y149" s="119" t="s">
        <v>231</v>
      </c>
      <c r="Z149" s="120" t="s">
        <v>320</v>
      </c>
      <c r="AA149" s="121" t="s">
        <v>2592</v>
      </c>
      <c r="AB149" s="122" t="s">
        <v>1194</v>
      </c>
      <c r="AC149" s="206">
        <f>5-1</f>
        <v>4</v>
      </c>
      <c r="AD149" s="124">
        <v>305.51</v>
      </c>
      <c r="AE149" s="200">
        <f>ROUND(AD149*AC149,2)</f>
        <v>1222.04</v>
      </c>
      <c r="AF149" s="227" t="s">
        <v>6371</v>
      </c>
      <c r="AR149" s="129" t="s">
        <v>235</v>
      </c>
      <c r="AT149" s="129" t="s">
        <v>231</v>
      </c>
      <c r="AU149" s="129" t="s">
        <v>76</v>
      </c>
      <c r="AY149" s="13" t="s">
        <v>228</v>
      </c>
      <c r="BE149" s="130">
        <f>IF(N149="základná",J149,0)</f>
        <v>0</v>
      </c>
      <c r="BF149" s="130">
        <f>IF(N149="znížená",J149,0)</f>
        <v>1527.55</v>
      </c>
      <c r="BG149" s="130">
        <f>IF(N149="zákl. prenesená",J149,0)</f>
        <v>0</v>
      </c>
      <c r="BH149" s="130">
        <f>IF(N149="zníž. prenesená",J149,0)</f>
        <v>0</v>
      </c>
      <c r="BI149" s="130">
        <f>IF(N149="nulová",J149,0)</f>
        <v>0</v>
      </c>
      <c r="BJ149" s="13" t="s">
        <v>76</v>
      </c>
      <c r="BK149" s="130">
        <f>ROUND(I149*H149,2)</f>
        <v>1527.55</v>
      </c>
      <c r="BL149" s="13" t="s">
        <v>235</v>
      </c>
      <c r="BM149" s="129" t="s">
        <v>323</v>
      </c>
    </row>
    <row r="150" spans="2:65" s="1" customFormat="1" ht="16.5" customHeight="1" x14ac:dyDescent="0.2">
      <c r="B150" s="118"/>
      <c r="C150" s="205" t="s">
        <v>276</v>
      </c>
      <c r="D150" s="119" t="s">
        <v>231</v>
      </c>
      <c r="E150" s="120" t="s">
        <v>276</v>
      </c>
      <c r="F150" s="121" t="s">
        <v>2593</v>
      </c>
      <c r="G150" s="122" t="s">
        <v>1194</v>
      </c>
      <c r="H150" s="206">
        <v>2</v>
      </c>
      <c r="I150" s="124">
        <v>161.66</v>
      </c>
      <c r="J150" s="124">
        <f>ROUND(I150*H150,2)</f>
        <v>323.32</v>
      </c>
      <c r="K150" s="121" t="s">
        <v>1</v>
      </c>
      <c r="L150" s="24"/>
      <c r="M150" s="140" t="s">
        <v>1</v>
      </c>
      <c r="N150" s="141" t="s">
        <v>32</v>
      </c>
      <c r="O150" s="142">
        <v>0</v>
      </c>
      <c r="P150" s="142">
        <f>O150*H150</f>
        <v>0</v>
      </c>
      <c r="Q150" s="142">
        <v>0</v>
      </c>
      <c r="R150" s="142">
        <f>Q150*H150</f>
        <v>0</v>
      </c>
      <c r="S150" s="142">
        <v>0</v>
      </c>
      <c r="T150" s="143">
        <f>S150*H150</f>
        <v>0</v>
      </c>
      <c r="W150" s="199"/>
      <c r="X150" s="205" t="s">
        <v>276</v>
      </c>
      <c r="Y150" s="119" t="s">
        <v>231</v>
      </c>
      <c r="Z150" s="120" t="s">
        <v>276</v>
      </c>
      <c r="AA150" s="121" t="s">
        <v>2593</v>
      </c>
      <c r="AB150" s="122" t="s">
        <v>1194</v>
      </c>
      <c r="AC150" s="206">
        <f>2-2</f>
        <v>0</v>
      </c>
      <c r="AD150" s="124">
        <v>161.66</v>
      </c>
      <c r="AE150" s="200">
        <f>ROUND(AD150*AC150,2)</f>
        <v>0</v>
      </c>
      <c r="AF150" s="227" t="s">
        <v>6371</v>
      </c>
      <c r="AR150" s="129" t="s">
        <v>235</v>
      </c>
      <c r="AT150" s="129" t="s">
        <v>231</v>
      </c>
      <c r="AU150" s="129" t="s">
        <v>76</v>
      </c>
      <c r="AY150" s="13" t="s">
        <v>228</v>
      </c>
      <c r="BE150" s="130">
        <f>IF(N150="základná",J150,0)</f>
        <v>0</v>
      </c>
      <c r="BF150" s="130">
        <f>IF(N150="znížená",J150,0)</f>
        <v>323.32</v>
      </c>
      <c r="BG150" s="130">
        <f>IF(N150="zákl. prenesená",J150,0)</f>
        <v>0</v>
      </c>
      <c r="BH150" s="130">
        <f>IF(N150="zníž. prenesená",J150,0)</f>
        <v>0</v>
      </c>
      <c r="BI150" s="130">
        <f>IF(N150="nulová",J150,0)</f>
        <v>0</v>
      </c>
      <c r="BJ150" s="13" t="s">
        <v>76</v>
      </c>
      <c r="BK150" s="130">
        <f>ROUND(I150*H150,2)</f>
        <v>323.32</v>
      </c>
      <c r="BL150" s="13" t="s">
        <v>235</v>
      </c>
      <c r="BM150" s="129" t="s">
        <v>326</v>
      </c>
    </row>
    <row r="151" spans="2:65" s="660" customFormat="1" ht="28.95" customHeight="1" x14ac:dyDescent="0.2">
      <c r="B151" s="118"/>
      <c r="C151" s="1234" t="s">
        <v>5205</v>
      </c>
      <c r="D151" s="1235"/>
      <c r="E151" s="1235"/>
      <c r="F151" s="1235"/>
      <c r="G151" s="1235"/>
      <c r="H151" s="1235"/>
      <c r="I151" s="1235"/>
      <c r="J151" s="1236"/>
      <c r="K151" s="222"/>
      <c r="L151" s="24"/>
      <c r="M151" s="662"/>
      <c r="N151" s="126"/>
      <c r="O151" s="127"/>
      <c r="P151" s="127"/>
      <c r="Q151" s="127"/>
      <c r="R151" s="127"/>
      <c r="S151" s="127"/>
      <c r="T151" s="127"/>
      <c r="W151" s="199"/>
      <c r="X151" s="207" t="s">
        <v>327</v>
      </c>
      <c r="Y151" s="207" t="s">
        <v>231</v>
      </c>
      <c r="Z151" s="208" t="s">
        <v>6372</v>
      </c>
      <c r="AA151" s="209" t="s">
        <v>6373</v>
      </c>
      <c r="AB151" s="210" t="s">
        <v>1194</v>
      </c>
      <c r="AC151" s="211">
        <v>1</v>
      </c>
      <c r="AD151" s="212">
        <v>379.48</v>
      </c>
      <c r="AE151" s="214">
        <f>ROUND(AD151*AC151,2)</f>
        <v>379.48</v>
      </c>
      <c r="AF151" s="227" t="s">
        <v>6371</v>
      </c>
      <c r="AR151" s="129"/>
      <c r="AT151" s="129"/>
      <c r="AU151" s="129"/>
      <c r="AY151" s="13"/>
      <c r="BE151" s="130"/>
      <c r="BF151" s="130"/>
      <c r="BG151" s="130"/>
      <c r="BH151" s="130"/>
      <c r="BI151" s="130"/>
      <c r="BJ151" s="13"/>
      <c r="BK151" s="130"/>
      <c r="BL151" s="13"/>
      <c r="BM151" s="129"/>
    </row>
    <row r="152" spans="2:65" s="660" customFormat="1" ht="96" x14ac:dyDescent="0.2">
      <c r="B152" s="118"/>
      <c r="C152" s="254"/>
      <c r="D152" s="254"/>
      <c r="E152" s="255"/>
      <c r="F152" s="222"/>
      <c r="G152" s="256"/>
      <c r="H152" s="257"/>
      <c r="I152" s="258"/>
      <c r="J152" s="258"/>
      <c r="K152" s="222"/>
      <c r="L152" s="24"/>
      <c r="M152" s="662"/>
      <c r="N152" s="126"/>
      <c r="O152" s="127"/>
      <c r="P152" s="127"/>
      <c r="Q152" s="127"/>
      <c r="R152" s="127"/>
      <c r="S152" s="127"/>
      <c r="T152" s="127"/>
      <c r="W152" s="199"/>
      <c r="X152" s="284"/>
      <c r="Y152" s="284"/>
      <c r="Z152" s="663"/>
      <c r="AA152" s="667" t="s">
        <v>6374</v>
      </c>
      <c r="AB152" s="666"/>
      <c r="AC152" s="666"/>
      <c r="AD152" s="666"/>
      <c r="AE152" s="664"/>
      <c r="AF152" s="227"/>
      <c r="AR152" s="129"/>
      <c r="AT152" s="129"/>
      <c r="AU152" s="129"/>
      <c r="AY152" s="13"/>
      <c r="BE152" s="130"/>
      <c r="BF152" s="130"/>
      <c r="BG152" s="130"/>
      <c r="BH152" s="130"/>
      <c r="BI152" s="130"/>
      <c r="BJ152" s="13"/>
      <c r="BK152" s="130"/>
      <c r="BL152" s="13"/>
      <c r="BM152" s="129"/>
    </row>
    <row r="153" spans="2:65" s="660" customFormat="1" ht="28.95" customHeight="1" x14ac:dyDescent="0.2">
      <c r="B153" s="118"/>
      <c r="C153" s="1234" t="s">
        <v>5205</v>
      </c>
      <c r="D153" s="1235"/>
      <c r="E153" s="1235"/>
      <c r="F153" s="1235"/>
      <c r="G153" s="1235"/>
      <c r="H153" s="1235"/>
      <c r="I153" s="1235"/>
      <c r="J153" s="1236"/>
      <c r="K153" s="222"/>
      <c r="L153" s="24"/>
      <c r="M153" s="662"/>
      <c r="N153" s="126"/>
      <c r="O153" s="127"/>
      <c r="P153" s="127"/>
      <c r="Q153" s="127"/>
      <c r="R153" s="127"/>
      <c r="S153" s="127"/>
      <c r="T153" s="127"/>
      <c r="W153" s="199"/>
      <c r="X153" s="207">
        <v>28</v>
      </c>
      <c r="Y153" s="207" t="s">
        <v>231</v>
      </c>
      <c r="Z153" s="208" t="s">
        <v>6375</v>
      </c>
      <c r="AA153" s="209" t="s">
        <v>6376</v>
      </c>
      <c r="AB153" s="210" t="s">
        <v>1194</v>
      </c>
      <c r="AC153" s="211">
        <v>1</v>
      </c>
      <c r="AD153" s="212">
        <v>305.51</v>
      </c>
      <c r="AE153" s="214">
        <f>ROUND(AD153*AC153,2)</f>
        <v>305.51</v>
      </c>
      <c r="AF153" s="227" t="s">
        <v>6371</v>
      </c>
      <c r="AR153" s="129"/>
      <c r="AT153" s="129"/>
      <c r="AU153" s="129"/>
      <c r="AY153" s="13"/>
      <c r="BE153" s="130"/>
      <c r="BF153" s="130"/>
      <c r="BG153" s="130"/>
      <c r="BH153" s="130"/>
      <c r="BI153" s="130"/>
      <c r="BJ153" s="13"/>
      <c r="BK153" s="130"/>
      <c r="BL153" s="13"/>
      <c r="BM153" s="129"/>
    </row>
    <row r="154" spans="2:65" s="660" customFormat="1" ht="115.2" customHeight="1" x14ac:dyDescent="0.2">
      <c r="B154" s="118"/>
      <c r="C154" s="254"/>
      <c r="D154" s="254"/>
      <c r="E154" s="255"/>
      <c r="F154" s="222"/>
      <c r="G154" s="256"/>
      <c r="H154" s="257"/>
      <c r="I154" s="258"/>
      <c r="J154" s="258"/>
      <c r="K154" s="222"/>
      <c r="L154" s="24"/>
      <c r="M154" s="662"/>
      <c r="N154" s="126"/>
      <c r="O154" s="127"/>
      <c r="P154" s="127"/>
      <c r="Q154" s="127"/>
      <c r="R154" s="127"/>
      <c r="S154" s="127"/>
      <c r="T154" s="127"/>
      <c r="W154" s="199"/>
      <c r="X154" s="284"/>
      <c r="Y154" s="284"/>
      <c r="Z154" s="663"/>
      <c r="AA154" s="665" t="s">
        <v>6377</v>
      </c>
      <c r="AB154" s="666"/>
      <c r="AC154" s="666"/>
      <c r="AD154" s="666"/>
      <c r="AE154" s="664"/>
      <c r="AF154" s="227"/>
      <c r="AR154" s="129"/>
      <c r="AT154" s="129"/>
      <c r="AU154" s="129"/>
      <c r="AY154" s="13"/>
      <c r="BE154" s="130"/>
      <c r="BF154" s="130"/>
      <c r="BG154" s="130"/>
      <c r="BH154" s="130"/>
      <c r="BI154" s="130"/>
      <c r="BJ154" s="13"/>
      <c r="BK154" s="130"/>
      <c r="BL154" s="13"/>
      <c r="BM154" s="129"/>
    </row>
    <row r="155" spans="2:65" s="1" customFormat="1" ht="7.05" customHeight="1" x14ac:dyDescent="0.2">
      <c r="B155" s="33"/>
      <c r="C155" s="34"/>
      <c r="D155" s="34"/>
      <c r="E155" s="34"/>
      <c r="F155" s="34"/>
      <c r="G155" s="34"/>
      <c r="H155" s="34"/>
      <c r="I155" s="34"/>
      <c r="J155" s="34"/>
      <c r="K155" s="34"/>
      <c r="L155" s="24"/>
      <c r="W155" s="175"/>
      <c r="X155" s="176"/>
      <c r="Y155" s="176"/>
      <c r="Z155" s="176"/>
      <c r="AA155" s="176"/>
      <c r="AB155" s="176"/>
      <c r="AC155" s="176"/>
      <c r="AD155" s="176"/>
      <c r="AE155" s="177"/>
      <c r="AF155" s="224"/>
    </row>
  </sheetData>
  <autoFilter ref="C119:K150" xr:uid="{00000000-0009-0000-0000-000009000000}"/>
  <mergeCells count="29">
    <mergeCell ref="E87:H87"/>
    <mergeCell ref="E110:H110"/>
    <mergeCell ref="E112:H112"/>
    <mergeCell ref="L2:V2"/>
    <mergeCell ref="E9:H9"/>
    <mergeCell ref="E18:H18"/>
    <mergeCell ref="E27:H27"/>
    <mergeCell ref="E85:H85"/>
    <mergeCell ref="C4:J4"/>
    <mergeCell ref="F6:J7"/>
    <mergeCell ref="C82:J82"/>
    <mergeCell ref="E84:J84"/>
    <mergeCell ref="C107:J107"/>
    <mergeCell ref="E109:J109"/>
    <mergeCell ref="X4:AE4"/>
    <mergeCell ref="AA6:AE7"/>
    <mergeCell ref="Z9:AC9"/>
    <mergeCell ref="Z18:AC18"/>
    <mergeCell ref="Z27:AC27"/>
    <mergeCell ref="X82:AE82"/>
    <mergeCell ref="Z84:AE84"/>
    <mergeCell ref="Z85:AC85"/>
    <mergeCell ref="Z87:AC87"/>
    <mergeCell ref="X107:AE107"/>
    <mergeCell ref="C151:J151"/>
    <mergeCell ref="C153:J153"/>
    <mergeCell ref="Z109:AE109"/>
    <mergeCell ref="Z110:AC110"/>
    <mergeCell ref="Z112:AC112"/>
  </mergeCells>
  <phoneticPr fontId="0" type="noConversion"/>
  <pageMargins left="0.39374999999999999" right="0.39374999999999999" top="0.39374999999999999" bottom="0.39374999999999999" header="0" footer="0"/>
  <pageSetup paperSize="9" scale="89" fitToHeight="100" orientation="portrait" blackAndWhite="1" r:id="rId1"/>
  <headerFooter>
    <oddFooter>&amp;CStrana &amp;P z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BM121"/>
  <sheetViews>
    <sheetView showGridLines="0" topLeftCell="A104" workbookViewId="0">
      <selection activeCell="F91" sqref="F91:F92"/>
    </sheetView>
  </sheetViews>
  <sheetFormatPr defaultColWidth="8.7109375" defaultRowHeight="10.199999999999999" x14ac:dyDescent="0.2"/>
  <cols>
    <col min="1" max="1" width="8.28515625" customWidth="1"/>
    <col min="2" max="2" width="1.7109375" customWidth="1"/>
    <col min="3" max="4" width="4.28515625" customWidth="1"/>
    <col min="5" max="5" width="17.28515625" customWidth="1"/>
    <col min="6" max="6" width="50.7109375" customWidth="1"/>
    <col min="7" max="7" width="7" customWidth="1"/>
    <col min="8" max="8" width="11.42578125" customWidth="1"/>
    <col min="9" max="10" width="20.28515625" customWidth="1"/>
    <col min="11" max="11" width="20.28515625" hidden="1" customWidth="1"/>
    <col min="12" max="12" width="9.28515625" customWidth="1"/>
    <col min="13" max="13" width="10.7109375" hidden="1" customWidth="1"/>
    <col min="14" max="14" width="9.28515625" hidden="1"/>
    <col min="15" max="20" width="14.28515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1" spans="1:46" x14ac:dyDescent="0.2">
      <c r="A1" s="73"/>
    </row>
    <row r="2" spans="1:46" ht="37.049999999999997" customHeight="1" x14ac:dyDescent="0.2">
      <c r="L2" s="1227" t="s">
        <v>5</v>
      </c>
      <c r="M2" s="1225"/>
      <c r="N2" s="1225"/>
      <c r="O2" s="1225"/>
      <c r="P2" s="1225"/>
      <c r="Q2" s="1225"/>
      <c r="R2" s="1225"/>
      <c r="S2" s="1225"/>
      <c r="T2" s="1225"/>
      <c r="U2" s="1225"/>
      <c r="V2" s="1225"/>
      <c r="AT2" s="13" t="s">
        <v>90</v>
      </c>
    </row>
    <row r="3" spans="1:46" ht="7.05" customHeight="1" x14ac:dyDescent="0.2">
      <c r="B3" s="14"/>
      <c r="C3" s="15"/>
      <c r="D3" s="15"/>
      <c r="E3" s="15"/>
      <c r="F3" s="15"/>
      <c r="G3" s="15"/>
      <c r="H3" s="15"/>
      <c r="I3" s="15"/>
      <c r="J3" s="15"/>
      <c r="K3" s="15"/>
      <c r="L3" s="16"/>
      <c r="AT3" s="13" t="s">
        <v>58</v>
      </c>
    </row>
    <row r="4" spans="1:46" ht="25.05" customHeight="1" x14ac:dyDescent="0.2">
      <c r="B4" s="16"/>
      <c r="D4" s="1165" t="s">
        <v>185</v>
      </c>
      <c r="E4" s="1165"/>
      <c r="F4" s="1165"/>
      <c r="G4" s="1165"/>
      <c r="H4" s="1165"/>
      <c r="I4" s="1165"/>
      <c r="J4" s="1165"/>
      <c r="L4" s="16"/>
      <c r="M4" s="74" t="s">
        <v>9</v>
      </c>
      <c r="AT4" s="13" t="s">
        <v>3</v>
      </c>
    </row>
    <row r="5" spans="1:46" ht="7.05" customHeight="1" x14ac:dyDescent="0.2">
      <c r="B5" s="16"/>
      <c r="L5" s="16"/>
    </row>
    <row r="6" spans="1:46" ht="12" customHeight="1" x14ac:dyDescent="0.2">
      <c r="B6" s="16"/>
      <c r="D6" s="548" t="s">
        <v>12</v>
      </c>
      <c r="F6" s="1254" t="s">
        <v>6176</v>
      </c>
      <c r="G6" s="1254"/>
      <c r="H6" s="1254"/>
      <c r="I6" s="1254"/>
      <c r="J6" s="1254"/>
      <c r="L6" s="16"/>
    </row>
    <row r="7" spans="1:46" ht="25.2" customHeight="1" x14ac:dyDescent="0.2">
      <c r="B7" s="16"/>
      <c r="D7" s="527"/>
      <c r="E7" s="531"/>
      <c r="F7" s="1254"/>
      <c r="G7" s="1254"/>
      <c r="H7" s="1254"/>
      <c r="I7" s="1254"/>
      <c r="J7" s="1254"/>
      <c r="L7" s="16"/>
    </row>
    <row r="8" spans="1:46" s="1" customFormat="1" ht="12" customHeight="1" x14ac:dyDescent="0.2">
      <c r="B8" s="24"/>
      <c r="D8" s="549" t="s">
        <v>186</v>
      </c>
      <c r="F8" s="532" t="s">
        <v>2594</v>
      </c>
      <c r="L8" s="24"/>
    </row>
    <row r="9" spans="1:46" s="1" customFormat="1" ht="37.049999999999997" customHeight="1" x14ac:dyDescent="0.2">
      <c r="B9" s="24"/>
      <c r="D9" s="521"/>
      <c r="E9" s="1251"/>
      <c r="F9" s="1252"/>
      <c r="G9" s="1252"/>
      <c r="H9" s="1252"/>
      <c r="L9" s="24"/>
    </row>
    <row r="10" spans="1:46" s="1" customFormat="1" x14ac:dyDescent="0.2">
      <c r="B10" s="24"/>
      <c r="D10" s="521"/>
      <c r="L10" s="24"/>
    </row>
    <row r="11" spans="1:46" s="1" customFormat="1" ht="12" customHeight="1" x14ac:dyDescent="0.2">
      <c r="B11" s="24"/>
      <c r="D11" s="528" t="s">
        <v>13</v>
      </c>
      <c r="F11" s="19" t="s">
        <v>1</v>
      </c>
      <c r="I11" s="528" t="s">
        <v>14</v>
      </c>
      <c r="J11" s="19" t="s">
        <v>1</v>
      </c>
      <c r="L11" s="24"/>
    </row>
    <row r="12" spans="1:46" s="1" customFormat="1" ht="12" customHeight="1" x14ac:dyDescent="0.2">
      <c r="B12" s="24"/>
      <c r="D12" s="528" t="s">
        <v>15</v>
      </c>
      <c r="F12" s="520" t="s">
        <v>6173</v>
      </c>
      <c r="I12" s="528" t="s">
        <v>17</v>
      </c>
      <c r="J12" s="39"/>
      <c r="L12" s="24"/>
    </row>
    <row r="13" spans="1:46" s="1" customFormat="1" ht="10.95" customHeight="1" x14ac:dyDescent="0.2">
      <c r="B13" s="24"/>
      <c r="D13" s="521"/>
      <c r="F13" s="521"/>
      <c r="I13" s="521"/>
      <c r="L13" s="24"/>
    </row>
    <row r="14" spans="1:46" s="1" customFormat="1" ht="12" customHeight="1" x14ac:dyDescent="0.2">
      <c r="B14" s="24"/>
      <c r="D14" s="528" t="s">
        <v>18</v>
      </c>
      <c r="F14" s="529" t="s">
        <v>6175</v>
      </c>
      <c r="I14" s="528" t="s">
        <v>19</v>
      </c>
      <c r="J14" s="19" t="str">
        <f>IF('Rekapitulácia stavby'!AN10="","",'Rekapitulácia stavby'!AN10)</f>
        <v/>
      </c>
      <c r="L14" s="24"/>
    </row>
    <row r="15" spans="1:46" s="1" customFormat="1" ht="18" customHeight="1" x14ac:dyDescent="0.2">
      <c r="B15" s="24"/>
      <c r="D15" s="521"/>
      <c r="E15" s="19" t="str">
        <f>IF('Rekapitulácia stavby'!E11="","",'Rekapitulácia stavby'!E11)</f>
        <v/>
      </c>
      <c r="F15" s="521"/>
      <c r="I15" s="528" t="s">
        <v>20</v>
      </c>
      <c r="J15" s="19" t="str">
        <f>IF('Rekapitulácia stavby'!AN11="","",'Rekapitulácia stavby'!AN11)</f>
        <v/>
      </c>
      <c r="L15" s="24"/>
    </row>
    <row r="16" spans="1:46" s="1" customFormat="1" ht="7.05" customHeight="1" x14ac:dyDescent="0.2">
      <c r="B16" s="24"/>
      <c r="D16" s="521"/>
      <c r="F16" s="521"/>
      <c r="I16" s="521"/>
      <c r="L16" s="24"/>
    </row>
    <row r="17" spans="2:12" s="1" customFormat="1" ht="12" customHeight="1" x14ac:dyDescent="0.2">
      <c r="B17" s="24"/>
      <c r="D17" s="528" t="s">
        <v>21</v>
      </c>
      <c r="F17" s="529" t="s">
        <v>5202</v>
      </c>
      <c r="I17" s="528" t="s">
        <v>19</v>
      </c>
      <c r="J17" s="19"/>
      <c r="L17" s="24"/>
    </row>
    <row r="18" spans="2:12" s="1" customFormat="1" ht="18" customHeight="1" x14ac:dyDescent="0.2">
      <c r="B18" s="24"/>
      <c r="D18" s="521"/>
      <c r="E18" s="1161"/>
      <c r="F18" s="1161"/>
      <c r="G18" s="1161"/>
      <c r="H18" s="1161"/>
      <c r="I18" s="528" t="s">
        <v>20</v>
      </c>
      <c r="J18" s="19" t="str">
        <f>'Rekapitulácia stavby'!AN14</f>
        <v/>
      </c>
      <c r="L18" s="24"/>
    </row>
    <row r="19" spans="2:12" s="1" customFormat="1" ht="7.05" customHeight="1" x14ac:dyDescent="0.2">
      <c r="B19" s="24"/>
      <c r="D19" s="521"/>
      <c r="I19" s="521"/>
      <c r="L19" s="24"/>
    </row>
    <row r="20" spans="2:12" s="1" customFormat="1" ht="12" customHeight="1" x14ac:dyDescent="0.2">
      <c r="B20" s="24"/>
      <c r="D20" s="528" t="s">
        <v>22</v>
      </c>
      <c r="I20" s="528" t="s">
        <v>19</v>
      </c>
      <c r="J20" s="19" t="str">
        <f>IF('Rekapitulácia stavby'!AN16="","",'Rekapitulácia stavby'!AN16)</f>
        <v/>
      </c>
      <c r="L20" s="24"/>
    </row>
    <row r="21" spans="2:12" s="1" customFormat="1" ht="18" customHeight="1" x14ac:dyDescent="0.2">
      <c r="B21" s="24"/>
      <c r="D21" s="521"/>
      <c r="E21" s="19" t="str">
        <f>IF('Rekapitulácia stavby'!E17="","",'Rekapitulácia stavby'!E17)</f>
        <v xml:space="preserve"> </v>
      </c>
      <c r="I21" s="528" t="s">
        <v>20</v>
      </c>
      <c r="J21" s="19" t="str">
        <f>IF('Rekapitulácia stavby'!AN17="","",'Rekapitulácia stavby'!AN17)</f>
        <v/>
      </c>
      <c r="L21" s="24"/>
    </row>
    <row r="22" spans="2:12" s="1" customFormat="1" ht="7.05" customHeight="1" x14ac:dyDescent="0.2">
      <c r="B22" s="24"/>
      <c r="D22" s="521"/>
      <c r="I22" s="521"/>
      <c r="L22" s="24"/>
    </row>
    <row r="23" spans="2:12" s="1" customFormat="1" ht="12" customHeight="1" x14ac:dyDescent="0.2">
      <c r="B23" s="24"/>
      <c r="D23" s="528" t="s">
        <v>24</v>
      </c>
      <c r="I23" s="528" t="s">
        <v>19</v>
      </c>
      <c r="J23" s="19" t="str">
        <f>IF('Rekapitulácia stavby'!AN19="","",'Rekapitulácia stavby'!AN19)</f>
        <v/>
      </c>
      <c r="L23" s="24"/>
    </row>
    <row r="24" spans="2:12" s="1" customFormat="1" ht="18" customHeight="1" x14ac:dyDescent="0.2">
      <c r="B24" s="24"/>
      <c r="D24" s="521"/>
      <c r="E24" s="19" t="str">
        <f>IF('Rekapitulácia stavby'!E20="","",'Rekapitulácia stavby'!E20)</f>
        <v xml:space="preserve"> </v>
      </c>
      <c r="I24" s="528" t="s">
        <v>20</v>
      </c>
      <c r="J24" s="19" t="str">
        <f>IF('Rekapitulácia stavby'!AN20="","",'Rekapitulácia stavby'!AN20)</f>
        <v/>
      </c>
      <c r="L24" s="24"/>
    </row>
    <row r="25" spans="2:12" s="1" customFormat="1" ht="7.05" customHeight="1" x14ac:dyDescent="0.2">
      <c r="B25" s="24"/>
      <c r="D25" s="521"/>
      <c r="L25" s="24"/>
    </row>
    <row r="26" spans="2:12" s="1" customFormat="1" ht="12" customHeight="1" x14ac:dyDescent="0.2">
      <c r="B26" s="24"/>
      <c r="D26" s="528" t="s">
        <v>25</v>
      </c>
      <c r="L26" s="24"/>
    </row>
    <row r="27" spans="2:12" s="7" customFormat="1" ht="16.5" customHeight="1" x14ac:dyDescent="0.2">
      <c r="B27" s="75"/>
      <c r="E27" s="1228" t="s">
        <v>1</v>
      </c>
      <c r="F27" s="1228"/>
      <c r="G27" s="1228"/>
      <c r="H27" s="1228"/>
      <c r="L27" s="75"/>
    </row>
    <row r="28" spans="2:12" s="1" customFormat="1" ht="7.05" customHeight="1" x14ac:dyDescent="0.2">
      <c r="B28" s="24"/>
      <c r="L28" s="24"/>
    </row>
    <row r="29" spans="2:12" s="1" customFormat="1" ht="7.05" customHeight="1" x14ac:dyDescent="0.2">
      <c r="B29" s="24"/>
      <c r="D29" s="40"/>
      <c r="E29" s="40"/>
      <c r="F29" s="40"/>
      <c r="G29" s="40"/>
      <c r="H29" s="40"/>
      <c r="I29" s="40"/>
      <c r="J29" s="40"/>
      <c r="K29" s="40"/>
      <c r="L29" s="24"/>
    </row>
    <row r="30" spans="2:12" s="1" customFormat="1" ht="25.2" customHeight="1" x14ac:dyDescent="0.2">
      <c r="B30" s="24"/>
      <c r="D30" s="76" t="s">
        <v>26</v>
      </c>
      <c r="J30" s="53">
        <f>ROUND(J117, 2)</f>
        <v>50782.15</v>
      </c>
      <c r="L30" s="24"/>
    </row>
    <row r="31" spans="2:12" s="1" customFormat="1" ht="7.05" customHeight="1" x14ac:dyDescent="0.2">
      <c r="B31" s="24"/>
      <c r="D31" s="40"/>
      <c r="E31" s="40"/>
      <c r="F31" s="40"/>
      <c r="G31" s="40"/>
      <c r="H31" s="40"/>
      <c r="I31" s="40"/>
      <c r="J31" s="40"/>
      <c r="K31" s="40"/>
      <c r="L31" s="24"/>
    </row>
    <row r="32" spans="2:12" s="1" customFormat="1" ht="14.55" customHeight="1" x14ac:dyDescent="0.2">
      <c r="B32" s="24"/>
      <c r="D32" s="521"/>
      <c r="E32" s="521"/>
      <c r="F32" s="534" t="s">
        <v>28</v>
      </c>
      <c r="G32" s="521"/>
      <c r="H32" s="521"/>
      <c r="I32" s="534" t="s">
        <v>27</v>
      </c>
      <c r="J32" s="534" t="s">
        <v>29</v>
      </c>
      <c r="L32" s="24"/>
    </row>
    <row r="33" spans="2:12" s="1" customFormat="1" ht="14.55" customHeight="1" x14ac:dyDescent="0.2">
      <c r="B33" s="24"/>
      <c r="D33" s="13" t="s">
        <v>30</v>
      </c>
      <c r="E33" s="528" t="s">
        <v>31</v>
      </c>
      <c r="F33" s="398">
        <f>ROUND((SUM(BE117:BE120)),  2)</f>
        <v>0</v>
      </c>
      <c r="G33" s="521"/>
      <c r="H33" s="521"/>
      <c r="I33" s="535">
        <v>0.2</v>
      </c>
      <c r="J33" s="398">
        <f>ROUND(((SUM(BE117:BE120))*I33),  2)</f>
        <v>0</v>
      </c>
      <c r="L33" s="24"/>
    </row>
    <row r="34" spans="2:12" s="1" customFormat="1" ht="14.55" customHeight="1" x14ac:dyDescent="0.2">
      <c r="B34" s="24"/>
      <c r="D34" s="521"/>
      <c r="E34" s="528" t="s">
        <v>32</v>
      </c>
      <c r="F34" s="398">
        <f>ROUND((SUM(BF117:BF120)),  2)</f>
        <v>50782.15</v>
      </c>
      <c r="G34" s="521"/>
      <c r="H34" s="521"/>
      <c r="I34" s="535">
        <v>0.2</v>
      </c>
      <c r="J34" s="398">
        <f>ROUND(((SUM(BF117:BF120))*I34),  2)</f>
        <v>10156.43</v>
      </c>
      <c r="L34" s="24"/>
    </row>
    <row r="35" spans="2:12" s="1" customFormat="1" ht="14.55" hidden="1" customHeight="1" x14ac:dyDescent="0.2">
      <c r="B35" s="24"/>
      <c r="E35" s="21" t="s">
        <v>33</v>
      </c>
      <c r="F35" s="78">
        <f>ROUND((SUM(BG117:BG120)),  2)</f>
        <v>0</v>
      </c>
      <c r="I35" s="79">
        <v>0.2</v>
      </c>
      <c r="J35" s="78">
        <f>0</f>
        <v>0</v>
      </c>
      <c r="L35" s="24"/>
    </row>
    <row r="36" spans="2:12" s="1" customFormat="1" ht="14.55" hidden="1" customHeight="1" x14ac:dyDescent="0.2">
      <c r="B36" s="24"/>
      <c r="E36" s="21" t="s">
        <v>34</v>
      </c>
      <c r="F36" s="78">
        <f>ROUND((SUM(BH117:BH120)),  2)</f>
        <v>0</v>
      </c>
      <c r="I36" s="79">
        <v>0.2</v>
      </c>
      <c r="J36" s="78">
        <f>0</f>
        <v>0</v>
      </c>
      <c r="L36" s="24"/>
    </row>
    <row r="37" spans="2:12" s="1" customFormat="1" ht="14.55" hidden="1" customHeight="1" x14ac:dyDescent="0.2">
      <c r="B37" s="24"/>
      <c r="E37" s="21" t="s">
        <v>35</v>
      </c>
      <c r="F37" s="78">
        <f>ROUND((SUM(BI117:BI120)),  2)</f>
        <v>0</v>
      </c>
      <c r="I37" s="79">
        <v>0</v>
      </c>
      <c r="J37" s="78">
        <f>0</f>
        <v>0</v>
      </c>
      <c r="L37" s="24"/>
    </row>
    <row r="38" spans="2:12" s="1" customFormat="1" ht="7.05" customHeight="1" x14ac:dyDescent="0.2">
      <c r="B38" s="24"/>
      <c r="L38" s="24"/>
    </row>
    <row r="39" spans="2:12" s="1" customFormat="1" ht="25.2" customHeight="1" x14ac:dyDescent="0.2">
      <c r="B39" s="24"/>
      <c r="C39" s="80"/>
      <c r="D39" s="81" t="s">
        <v>36</v>
      </c>
      <c r="E39" s="44"/>
      <c r="F39" s="44"/>
      <c r="G39" s="82" t="s">
        <v>37</v>
      </c>
      <c r="H39" s="83" t="s">
        <v>38</v>
      </c>
      <c r="I39" s="44"/>
      <c r="J39" s="84">
        <f>SUM(J30:J37)</f>
        <v>60938.58</v>
      </c>
      <c r="K39" s="85"/>
      <c r="L39" s="24"/>
    </row>
    <row r="40" spans="2:12" s="1" customFormat="1" ht="14.55" customHeight="1" x14ac:dyDescent="0.2">
      <c r="B40" s="24"/>
      <c r="L40" s="24"/>
    </row>
    <row r="41" spans="2:12" ht="14.55" customHeight="1" x14ac:dyDescent="0.2">
      <c r="B41" s="16"/>
      <c r="L41" s="16"/>
    </row>
    <row r="42" spans="2:12" ht="14.55" customHeight="1" x14ac:dyDescent="0.2">
      <c r="B42" s="16"/>
      <c r="L42" s="16"/>
    </row>
    <row r="43" spans="2:12" ht="14.55" customHeight="1" x14ac:dyDescent="0.2">
      <c r="B43" s="16"/>
      <c r="L43" s="16"/>
    </row>
    <row r="44" spans="2:12" ht="14.55" customHeight="1" x14ac:dyDescent="0.2">
      <c r="B44" s="16"/>
      <c r="L44" s="16"/>
    </row>
    <row r="45" spans="2:12" ht="14.55" customHeight="1" x14ac:dyDescent="0.2">
      <c r="B45" s="16"/>
      <c r="L45" s="16"/>
    </row>
    <row r="46" spans="2:12" ht="14.55" customHeight="1" x14ac:dyDescent="0.2">
      <c r="B46" s="16"/>
      <c r="L46" s="16"/>
    </row>
    <row r="47" spans="2:12" ht="14.55" customHeight="1" x14ac:dyDescent="0.2">
      <c r="B47" s="16"/>
      <c r="L47" s="16"/>
    </row>
    <row r="48" spans="2:12" ht="14.55" customHeight="1" x14ac:dyDescent="0.2">
      <c r="B48" s="16"/>
      <c r="L48" s="16"/>
    </row>
    <row r="49" spans="2:12" ht="14.55" customHeight="1" x14ac:dyDescent="0.2">
      <c r="B49" s="16"/>
      <c r="D49" s="156"/>
      <c r="E49" s="156"/>
      <c r="F49" s="156"/>
      <c r="G49" s="156"/>
      <c r="H49" s="156"/>
      <c r="I49" s="156"/>
      <c r="J49" s="156"/>
      <c r="L49" s="16"/>
    </row>
    <row r="50" spans="2:12" s="1" customFormat="1" ht="14.55" customHeight="1" x14ac:dyDescent="0.2">
      <c r="B50" s="24"/>
      <c r="D50" s="530"/>
      <c r="E50" s="523"/>
      <c r="F50" s="523"/>
      <c r="G50" s="530"/>
      <c r="H50" s="523"/>
      <c r="I50" s="523"/>
      <c r="J50" s="523"/>
      <c r="K50" s="32"/>
      <c r="L50" s="24"/>
    </row>
    <row r="51" spans="2:12" x14ac:dyDescent="0.2">
      <c r="B51" s="16"/>
      <c r="D51" s="156"/>
      <c r="E51" s="156"/>
      <c r="F51" s="156"/>
      <c r="G51" s="156"/>
      <c r="H51" s="156"/>
      <c r="I51" s="156"/>
      <c r="J51" s="156"/>
      <c r="L51" s="16"/>
    </row>
    <row r="52" spans="2:12" x14ac:dyDescent="0.2">
      <c r="B52" s="16"/>
      <c r="D52" s="156"/>
      <c r="E52" s="156"/>
      <c r="F52" s="156"/>
      <c r="G52" s="156"/>
      <c r="H52" s="156"/>
      <c r="I52" s="156"/>
      <c r="J52" s="156"/>
      <c r="L52" s="16"/>
    </row>
    <row r="53" spans="2:12" x14ac:dyDescent="0.2">
      <c r="B53" s="16"/>
      <c r="D53" s="156"/>
      <c r="E53" s="156"/>
      <c r="F53" s="156"/>
      <c r="G53" s="156"/>
      <c r="H53" s="156"/>
      <c r="I53" s="156"/>
      <c r="J53" s="156"/>
      <c r="L53" s="16"/>
    </row>
    <row r="54" spans="2:12" x14ac:dyDescent="0.2">
      <c r="B54" s="16"/>
      <c r="D54" s="156"/>
      <c r="E54" s="156"/>
      <c r="F54" s="156"/>
      <c r="G54" s="156"/>
      <c r="H54" s="156"/>
      <c r="I54" s="156"/>
      <c r="J54" s="156"/>
      <c r="L54" s="16"/>
    </row>
    <row r="55" spans="2:12" x14ac:dyDescent="0.2">
      <c r="B55" s="16"/>
      <c r="D55" s="156"/>
      <c r="E55" s="156"/>
      <c r="F55" s="156"/>
      <c r="G55" s="156"/>
      <c r="H55" s="156"/>
      <c r="I55" s="156"/>
      <c r="J55" s="156"/>
      <c r="L55" s="16"/>
    </row>
    <row r="56" spans="2:12" x14ac:dyDescent="0.2">
      <c r="B56" s="16"/>
      <c r="D56" s="156"/>
      <c r="E56" s="156"/>
      <c r="F56" s="156"/>
      <c r="G56" s="156"/>
      <c r="H56" s="156"/>
      <c r="I56" s="156"/>
      <c r="J56" s="156"/>
      <c r="L56" s="16"/>
    </row>
    <row r="57" spans="2:12" x14ac:dyDescent="0.2">
      <c r="B57" s="16"/>
      <c r="D57" s="156"/>
      <c r="E57" s="156"/>
      <c r="F57" s="156"/>
      <c r="G57" s="156"/>
      <c r="H57" s="156"/>
      <c r="I57" s="156"/>
      <c r="J57" s="156"/>
      <c r="L57" s="16"/>
    </row>
    <row r="58" spans="2:12" x14ac:dyDescent="0.2">
      <c r="B58" s="16"/>
      <c r="D58" s="156"/>
      <c r="E58" s="156"/>
      <c r="F58" s="156"/>
      <c r="G58" s="156"/>
      <c r="H58" s="156"/>
      <c r="I58" s="156"/>
      <c r="J58" s="156"/>
      <c r="L58" s="16"/>
    </row>
    <row r="59" spans="2:12" x14ac:dyDescent="0.2">
      <c r="B59" s="16"/>
      <c r="D59" s="156"/>
      <c r="E59" s="156"/>
      <c r="F59" s="156"/>
      <c r="G59" s="156"/>
      <c r="H59" s="156"/>
      <c r="I59" s="156"/>
      <c r="J59" s="156"/>
      <c r="L59" s="16"/>
    </row>
    <row r="60" spans="2:12" x14ac:dyDescent="0.2">
      <c r="B60" s="16"/>
      <c r="D60" s="156"/>
      <c r="E60" s="156"/>
      <c r="F60" s="156"/>
      <c r="G60" s="156"/>
      <c r="H60" s="156"/>
      <c r="I60" s="156"/>
      <c r="J60" s="156"/>
      <c r="L60" s="16"/>
    </row>
    <row r="61" spans="2:12" s="1" customFormat="1" ht="13.2" x14ac:dyDescent="0.2">
      <c r="B61" s="24"/>
      <c r="D61" s="522"/>
      <c r="E61" s="523"/>
      <c r="F61" s="536"/>
      <c r="G61" s="522"/>
      <c r="H61" s="523"/>
      <c r="I61" s="523"/>
      <c r="J61" s="169"/>
      <c r="K61" s="26"/>
      <c r="L61" s="24"/>
    </row>
    <row r="62" spans="2:12" x14ac:dyDescent="0.2">
      <c r="B62" s="16"/>
      <c r="D62" s="156"/>
      <c r="E62" s="156"/>
      <c r="F62" s="156"/>
      <c r="G62" s="156"/>
      <c r="H62" s="156"/>
      <c r="I62" s="156"/>
      <c r="J62" s="156"/>
      <c r="L62" s="16"/>
    </row>
    <row r="63" spans="2:12" x14ac:dyDescent="0.2">
      <c r="B63" s="16"/>
      <c r="D63" s="156"/>
      <c r="E63" s="156"/>
      <c r="F63" s="156"/>
      <c r="G63" s="156"/>
      <c r="H63" s="156"/>
      <c r="I63" s="156"/>
      <c r="J63" s="156"/>
      <c r="L63" s="16"/>
    </row>
    <row r="64" spans="2:12" x14ac:dyDescent="0.2">
      <c r="B64" s="16"/>
      <c r="D64" s="156"/>
      <c r="E64" s="156"/>
      <c r="F64" s="156"/>
      <c r="G64" s="156"/>
      <c r="H64" s="156"/>
      <c r="I64" s="156"/>
      <c r="J64" s="156"/>
      <c r="L64" s="16"/>
    </row>
    <row r="65" spans="2:12" s="1" customFormat="1" ht="13.2" x14ac:dyDescent="0.2">
      <c r="B65" s="24"/>
      <c r="D65" s="530"/>
      <c r="E65" s="523"/>
      <c r="F65" s="523"/>
      <c r="G65" s="530"/>
      <c r="H65" s="523"/>
      <c r="I65" s="523"/>
      <c r="J65" s="523"/>
      <c r="K65" s="32"/>
      <c r="L65" s="24"/>
    </row>
    <row r="66" spans="2:12" x14ac:dyDescent="0.2">
      <c r="B66" s="16"/>
      <c r="D66" s="156"/>
      <c r="E66" s="156"/>
      <c r="F66" s="156"/>
      <c r="G66" s="156"/>
      <c r="H66" s="156"/>
      <c r="I66" s="156"/>
      <c r="J66" s="156"/>
      <c r="L66" s="16"/>
    </row>
    <row r="67" spans="2:12" x14ac:dyDescent="0.2">
      <c r="B67" s="16"/>
      <c r="D67" s="156"/>
      <c r="E67" s="156"/>
      <c r="F67" s="156"/>
      <c r="G67" s="156"/>
      <c r="H67" s="156"/>
      <c r="I67" s="156"/>
      <c r="J67" s="156"/>
      <c r="L67" s="16"/>
    </row>
    <row r="68" spans="2:12" x14ac:dyDescent="0.2">
      <c r="B68" s="16"/>
      <c r="D68" s="156"/>
      <c r="E68" s="156"/>
      <c r="F68" s="156"/>
      <c r="G68" s="156"/>
      <c r="H68" s="156"/>
      <c r="I68" s="156"/>
      <c r="J68" s="156"/>
      <c r="L68" s="16"/>
    </row>
    <row r="69" spans="2:12" x14ac:dyDescent="0.2">
      <c r="B69" s="16"/>
      <c r="D69" s="156"/>
      <c r="E69" s="156"/>
      <c r="F69" s="156"/>
      <c r="G69" s="156"/>
      <c r="H69" s="156"/>
      <c r="I69" s="156"/>
      <c r="J69" s="156"/>
      <c r="L69" s="16"/>
    </row>
    <row r="70" spans="2:12" x14ac:dyDescent="0.2">
      <c r="B70" s="16"/>
      <c r="D70" s="156"/>
      <c r="E70" s="156"/>
      <c r="F70" s="156"/>
      <c r="G70" s="156"/>
      <c r="H70" s="156"/>
      <c r="I70" s="156"/>
      <c r="J70" s="156"/>
      <c r="L70" s="16"/>
    </row>
    <row r="71" spans="2:12" x14ac:dyDescent="0.2">
      <c r="B71" s="16"/>
      <c r="D71" s="156"/>
      <c r="E71" s="156"/>
      <c r="F71" s="156"/>
      <c r="G71" s="156"/>
      <c r="H71" s="156"/>
      <c r="I71" s="156"/>
      <c r="J71" s="156"/>
      <c r="L71" s="16"/>
    </row>
    <row r="72" spans="2:12" x14ac:dyDescent="0.2">
      <c r="B72" s="16"/>
      <c r="D72" s="156"/>
      <c r="E72" s="156"/>
      <c r="F72" s="156"/>
      <c r="G72" s="156"/>
      <c r="H72" s="156"/>
      <c r="I72" s="156"/>
      <c r="J72" s="156"/>
      <c r="L72" s="16"/>
    </row>
    <row r="73" spans="2:12" x14ac:dyDescent="0.2">
      <c r="B73" s="16"/>
      <c r="D73" s="156"/>
      <c r="E73" s="156"/>
      <c r="F73" s="156"/>
      <c r="G73" s="156"/>
      <c r="H73" s="156"/>
      <c r="I73" s="156"/>
      <c r="J73" s="156"/>
      <c r="L73" s="16"/>
    </row>
    <row r="74" spans="2:12" x14ac:dyDescent="0.2">
      <c r="B74" s="16"/>
      <c r="D74" s="156"/>
      <c r="E74" s="156"/>
      <c r="F74" s="156"/>
      <c r="G74" s="156"/>
      <c r="H74" s="156"/>
      <c r="I74" s="156"/>
      <c r="J74" s="156"/>
      <c r="L74" s="16"/>
    </row>
    <row r="75" spans="2:12" x14ac:dyDescent="0.2">
      <c r="B75" s="16"/>
      <c r="D75" s="156"/>
      <c r="E75" s="156"/>
      <c r="F75" s="156"/>
      <c r="G75" s="156"/>
      <c r="H75" s="156"/>
      <c r="I75" s="156"/>
      <c r="J75" s="156"/>
      <c r="L75" s="16"/>
    </row>
    <row r="76" spans="2:12" s="1" customFormat="1" ht="13.2" x14ac:dyDescent="0.2">
      <c r="B76" s="24"/>
      <c r="D76" s="522"/>
      <c r="E76" s="523"/>
      <c r="F76" s="536"/>
      <c r="G76" s="522"/>
      <c r="H76" s="523"/>
      <c r="I76" s="523"/>
      <c r="J76" s="169"/>
      <c r="K76" s="26"/>
      <c r="L76" s="24"/>
    </row>
    <row r="77" spans="2:12" s="1" customFormat="1" ht="14.55" customHeight="1" x14ac:dyDescent="0.2">
      <c r="B77" s="33"/>
      <c r="C77" s="34"/>
      <c r="D77" s="34"/>
      <c r="E77" s="34"/>
      <c r="F77" s="34"/>
      <c r="G77" s="34"/>
      <c r="H77" s="34"/>
      <c r="I77" s="34"/>
      <c r="J77" s="34"/>
      <c r="K77" s="34"/>
      <c r="L77" s="24"/>
    </row>
    <row r="81" spans="2:47" s="1" customFormat="1" ht="7.05" customHeight="1" x14ac:dyDescent="0.2">
      <c r="B81" s="35"/>
      <c r="C81" s="36"/>
      <c r="D81" s="36"/>
      <c r="E81" s="36"/>
      <c r="F81" s="36"/>
      <c r="G81" s="36"/>
      <c r="H81" s="36"/>
      <c r="I81" s="36"/>
      <c r="J81" s="36"/>
      <c r="K81" s="36"/>
      <c r="L81" s="24"/>
    </row>
    <row r="82" spans="2:47" s="1" customFormat="1" ht="25.05" customHeight="1" x14ac:dyDescent="0.2">
      <c r="B82" s="24"/>
      <c r="C82" s="1165" t="s">
        <v>188</v>
      </c>
      <c r="D82" s="1165"/>
      <c r="E82" s="1165"/>
      <c r="F82" s="1165"/>
      <c r="G82" s="1165"/>
      <c r="H82" s="1165"/>
      <c r="I82" s="1165"/>
      <c r="J82" s="1165"/>
      <c r="L82" s="24"/>
    </row>
    <row r="83" spans="2:47" s="1" customFormat="1" ht="7.05" customHeight="1" x14ac:dyDescent="0.2">
      <c r="B83" s="24"/>
      <c r="L83" s="24"/>
    </row>
    <row r="84" spans="2:47" s="1" customFormat="1" ht="12" customHeight="1" x14ac:dyDescent="0.2">
      <c r="B84" s="24"/>
      <c r="C84" s="528" t="s">
        <v>12</v>
      </c>
      <c r="E84" s="1242" t="s">
        <v>6177</v>
      </c>
      <c r="F84" s="1242"/>
      <c r="G84" s="1242"/>
      <c r="H84" s="1242"/>
      <c r="I84" s="1242"/>
      <c r="J84" s="1242"/>
      <c r="L84" s="24"/>
    </row>
    <row r="85" spans="2:47" s="1" customFormat="1" ht="24.45" customHeight="1" x14ac:dyDescent="0.2">
      <c r="B85" s="24"/>
      <c r="C85" s="521"/>
      <c r="E85" s="1243"/>
      <c r="F85" s="1244"/>
      <c r="G85" s="1244"/>
      <c r="H85" s="1244"/>
      <c r="L85" s="24"/>
    </row>
    <row r="86" spans="2:47" s="1" customFormat="1" ht="12" customHeight="1" x14ac:dyDescent="0.2">
      <c r="B86" s="24"/>
      <c r="C86" s="528" t="s">
        <v>186</v>
      </c>
      <c r="F86" s="532" t="s">
        <v>2594</v>
      </c>
      <c r="L86" s="24"/>
    </row>
    <row r="87" spans="2:47" s="1" customFormat="1" ht="16.5" customHeight="1" x14ac:dyDescent="0.2">
      <c r="B87" s="24"/>
      <c r="C87" s="521"/>
      <c r="E87" s="1251"/>
      <c r="F87" s="1252"/>
      <c r="G87" s="1252"/>
      <c r="H87" s="1252"/>
      <c r="L87" s="24"/>
    </row>
    <row r="88" spans="2:47" s="1" customFormat="1" ht="7.05" customHeight="1" x14ac:dyDescent="0.2">
      <c r="B88" s="24"/>
      <c r="C88" s="521"/>
      <c r="L88" s="24"/>
    </row>
    <row r="89" spans="2:47" s="1" customFormat="1" ht="12" customHeight="1" x14ac:dyDescent="0.2">
      <c r="B89" s="24"/>
      <c r="C89" s="528" t="s">
        <v>15</v>
      </c>
      <c r="F89" s="19" t="str">
        <f>F12</f>
        <v>Kuzmányho nábrežie 28, 960 01 Zvolen</v>
      </c>
      <c r="I89" s="528" t="s">
        <v>17</v>
      </c>
      <c r="J89" s="39" t="str">
        <f>IF(J12="","",J12)</f>
        <v/>
      </c>
      <c r="L89" s="24"/>
    </row>
    <row r="90" spans="2:47" s="1" customFormat="1" ht="7.05" customHeight="1" x14ac:dyDescent="0.2">
      <c r="B90" s="24"/>
      <c r="C90" s="521"/>
      <c r="I90" s="521"/>
      <c r="L90" s="24"/>
    </row>
    <row r="91" spans="2:47" s="1" customFormat="1" ht="15.3" customHeight="1" x14ac:dyDescent="0.2">
      <c r="B91" s="24"/>
      <c r="C91" s="528" t="s">
        <v>18</v>
      </c>
      <c r="F91" s="529" t="s">
        <v>6175</v>
      </c>
      <c r="I91" s="528" t="s">
        <v>22</v>
      </c>
      <c r="J91" s="22" t="str">
        <f>E21</f>
        <v xml:space="preserve"> </v>
      </c>
      <c r="L91" s="24"/>
    </row>
    <row r="92" spans="2:47" s="1" customFormat="1" ht="15.3" customHeight="1" x14ac:dyDescent="0.2">
      <c r="B92" s="24"/>
      <c r="C92" s="528" t="s">
        <v>21</v>
      </c>
      <c r="F92" s="529" t="s">
        <v>5202</v>
      </c>
      <c r="I92" s="528" t="s">
        <v>24</v>
      </c>
      <c r="J92" s="22" t="str">
        <f>E24</f>
        <v xml:space="preserve"> </v>
      </c>
      <c r="L92" s="24"/>
    </row>
    <row r="93" spans="2:47" s="1" customFormat="1" ht="10.199999999999999" customHeight="1" x14ac:dyDescent="0.2">
      <c r="B93" s="24"/>
      <c r="L93" s="24"/>
    </row>
    <row r="94" spans="2:47" s="1" customFormat="1" ht="29.25" customHeight="1" x14ac:dyDescent="0.2">
      <c r="B94" s="24"/>
      <c r="C94" s="86" t="s">
        <v>189</v>
      </c>
      <c r="D94" s="80"/>
      <c r="E94" s="80"/>
      <c r="F94" s="80"/>
      <c r="G94" s="80"/>
      <c r="H94" s="80"/>
      <c r="I94" s="80"/>
      <c r="J94" s="87" t="s">
        <v>190</v>
      </c>
      <c r="K94" s="80"/>
      <c r="L94" s="24"/>
    </row>
    <row r="95" spans="2:47" s="1" customFormat="1" ht="10.199999999999999" customHeight="1" x14ac:dyDescent="0.2">
      <c r="B95" s="24"/>
      <c r="L95" s="24"/>
    </row>
    <row r="96" spans="2:47" s="1" customFormat="1" ht="22.95" customHeight="1" x14ac:dyDescent="0.2">
      <c r="B96" s="24"/>
      <c r="C96" s="88" t="s">
        <v>191</v>
      </c>
      <c r="J96" s="53">
        <f>J117</f>
        <v>50782.15</v>
      </c>
      <c r="L96" s="24"/>
      <c r="AU96" s="13" t="s">
        <v>192</v>
      </c>
    </row>
    <row r="97" spans="2:12" s="8" customFormat="1" ht="25.05" customHeight="1" x14ac:dyDescent="0.2">
      <c r="B97" s="89"/>
      <c r="D97" s="90" t="s">
        <v>2595</v>
      </c>
      <c r="E97" s="91"/>
      <c r="F97" s="91"/>
      <c r="G97" s="91"/>
      <c r="H97" s="91"/>
      <c r="I97" s="91"/>
      <c r="J97" s="92">
        <f>J118</f>
        <v>50782.15</v>
      </c>
      <c r="L97" s="89"/>
    </row>
    <row r="98" spans="2:12" s="1" customFormat="1" ht="21.75" customHeight="1" x14ac:dyDescent="0.2">
      <c r="B98" s="24"/>
      <c r="L98" s="24"/>
    </row>
    <row r="99" spans="2:12" s="1" customFormat="1" ht="7.05" customHeight="1" x14ac:dyDescent="0.2">
      <c r="B99" s="33"/>
      <c r="C99" s="34"/>
      <c r="D99" s="34"/>
      <c r="E99" s="34"/>
      <c r="F99" s="34"/>
      <c r="G99" s="34"/>
      <c r="H99" s="34"/>
      <c r="I99" s="34"/>
      <c r="J99" s="34"/>
      <c r="K99" s="34"/>
      <c r="L99" s="24"/>
    </row>
    <row r="103" spans="2:12" s="1" customFormat="1" ht="7.05" customHeight="1" x14ac:dyDescent="0.2">
      <c r="B103" s="35"/>
      <c r="C103" s="36"/>
      <c r="D103" s="36"/>
      <c r="E103" s="36"/>
      <c r="F103" s="36"/>
      <c r="G103" s="36"/>
      <c r="H103" s="36"/>
      <c r="I103" s="36"/>
      <c r="J103" s="36"/>
      <c r="K103" s="36"/>
      <c r="L103" s="24"/>
    </row>
    <row r="104" spans="2:12" s="1" customFormat="1" ht="25.05" customHeight="1" x14ac:dyDescent="0.2">
      <c r="B104" s="24"/>
      <c r="C104" s="1165" t="s">
        <v>214</v>
      </c>
      <c r="D104" s="1165"/>
      <c r="E104" s="1165"/>
      <c r="F104" s="1165"/>
      <c r="G104" s="1165"/>
      <c r="H104" s="1165"/>
      <c r="I104" s="1165"/>
      <c r="J104" s="1165"/>
      <c r="L104" s="24"/>
    </row>
    <row r="105" spans="2:12" s="1" customFormat="1" ht="7.05" customHeight="1" x14ac:dyDescent="0.2">
      <c r="B105" s="24"/>
      <c r="L105" s="24"/>
    </row>
    <row r="106" spans="2:12" s="1" customFormat="1" ht="12" customHeight="1" x14ac:dyDescent="0.2">
      <c r="B106" s="24"/>
      <c r="C106" s="528" t="s">
        <v>12</v>
      </c>
      <c r="E106" s="1242" t="s">
        <v>6177</v>
      </c>
      <c r="F106" s="1242"/>
      <c r="G106" s="1242"/>
      <c r="H106" s="1242"/>
      <c r="I106" s="1242"/>
      <c r="J106" s="1242"/>
      <c r="L106" s="24"/>
    </row>
    <row r="107" spans="2:12" s="1" customFormat="1" ht="21.45" customHeight="1" x14ac:dyDescent="0.2">
      <c r="B107" s="24"/>
      <c r="C107" s="521"/>
      <c r="E107" s="1243"/>
      <c r="F107" s="1244"/>
      <c r="G107" s="1244"/>
      <c r="H107" s="1244"/>
      <c r="L107" s="24"/>
    </row>
    <row r="108" spans="2:12" s="1" customFormat="1" ht="12" customHeight="1" x14ac:dyDescent="0.2">
      <c r="B108" s="24"/>
      <c r="C108" s="528" t="s">
        <v>186</v>
      </c>
      <c r="F108" s="532" t="s">
        <v>2594</v>
      </c>
      <c r="L108" s="24"/>
    </row>
    <row r="109" spans="2:12" s="1" customFormat="1" ht="16.5" customHeight="1" x14ac:dyDescent="0.2">
      <c r="B109" s="24"/>
      <c r="C109" s="521"/>
      <c r="E109" s="1251"/>
      <c r="F109" s="1252"/>
      <c r="G109" s="1252"/>
      <c r="H109" s="1252"/>
      <c r="L109" s="24"/>
    </row>
    <row r="110" spans="2:12" s="1" customFormat="1" ht="7.05" customHeight="1" x14ac:dyDescent="0.2">
      <c r="B110" s="24"/>
      <c r="C110" s="521"/>
      <c r="L110" s="24"/>
    </row>
    <row r="111" spans="2:12" s="1" customFormat="1" ht="12" customHeight="1" x14ac:dyDescent="0.2">
      <c r="B111" s="24"/>
      <c r="C111" s="528" t="s">
        <v>15</v>
      </c>
      <c r="F111" s="19" t="str">
        <f>F12</f>
        <v>Kuzmányho nábrežie 28, 960 01 Zvolen</v>
      </c>
      <c r="I111" s="21"/>
      <c r="J111" s="39" t="str">
        <f>IF(J12="","",J12)</f>
        <v/>
      </c>
      <c r="L111" s="24"/>
    </row>
    <row r="112" spans="2:12" s="1" customFormat="1" ht="7.05" customHeight="1" x14ac:dyDescent="0.2">
      <c r="B112" s="24"/>
      <c r="C112" s="521"/>
      <c r="L112" s="24"/>
    </row>
    <row r="113" spans="2:65" s="1" customFormat="1" ht="15.3" customHeight="1" x14ac:dyDescent="0.2">
      <c r="B113" s="24"/>
      <c r="C113" s="528" t="s">
        <v>18</v>
      </c>
      <c r="F113" s="529" t="s">
        <v>6175</v>
      </c>
      <c r="I113" s="21"/>
      <c r="J113" s="22" t="str">
        <f>E21</f>
        <v xml:space="preserve"> </v>
      </c>
      <c r="L113" s="24"/>
    </row>
    <row r="114" spans="2:65" s="1" customFormat="1" ht="15.3" customHeight="1" x14ac:dyDescent="0.2">
      <c r="B114" s="24"/>
      <c r="C114" s="528" t="s">
        <v>21</v>
      </c>
      <c r="F114" s="529" t="s">
        <v>5202</v>
      </c>
      <c r="I114" s="21"/>
      <c r="J114" s="22" t="str">
        <f>E24</f>
        <v xml:space="preserve"> </v>
      </c>
      <c r="L114" s="24"/>
    </row>
    <row r="115" spans="2:65" s="1" customFormat="1" ht="10.199999999999999" customHeight="1" x14ac:dyDescent="0.2">
      <c r="B115" s="24"/>
      <c r="L115" s="24"/>
    </row>
    <row r="116" spans="2:65" s="10" customFormat="1" ht="29.25" customHeight="1" x14ac:dyDescent="0.2">
      <c r="B116" s="97"/>
      <c r="C116" s="98" t="s">
        <v>215</v>
      </c>
      <c r="D116" s="99" t="s">
        <v>43</v>
      </c>
      <c r="E116" s="99" t="s">
        <v>41</v>
      </c>
      <c r="F116" s="99" t="s">
        <v>42</v>
      </c>
      <c r="G116" s="99" t="s">
        <v>216</v>
      </c>
      <c r="H116" s="99" t="s">
        <v>217</v>
      </c>
      <c r="I116" s="99" t="s">
        <v>218</v>
      </c>
      <c r="J116" s="100" t="s">
        <v>190</v>
      </c>
      <c r="K116" s="101" t="s">
        <v>219</v>
      </c>
      <c r="L116" s="97"/>
      <c r="M116" s="46" t="s">
        <v>1</v>
      </c>
      <c r="N116" s="47" t="s">
        <v>30</v>
      </c>
      <c r="O116" s="47" t="s">
        <v>220</v>
      </c>
      <c r="P116" s="47" t="s">
        <v>221</v>
      </c>
      <c r="Q116" s="47" t="s">
        <v>222</v>
      </c>
      <c r="R116" s="47" t="s">
        <v>223</v>
      </c>
      <c r="S116" s="47" t="s">
        <v>224</v>
      </c>
      <c r="T116" s="48" t="s">
        <v>225</v>
      </c>
    </row>
    <row r="117" spans="2:65" s="1" customFormat="1" ht="22.95" customHeight="1" x14ac:dyDescent="0.3">
      <c r="B117" s="24"/>
      <c r="C117" s="51" t="s">
        <v>191</v>
      </c>
      <c r="J117" s="102">
        <f>BK117</f>
        <v>50782.15</v>
      </c>
      <c r="L117" s="24"/>
      <c r="M117" s="49"/>
      <c r="N117" s="40"/>
      <c r="O117" s="40"/>
      <c r="P117" s="103">
        <f>P118</f>
        <v>0</v>
      </c>
      <c r="Q117" s="40"/>
      <c r="R117" s="103">
        <f>R118</f>
        <v>0</v>
      </c>
      <c r="S117" s="40"/>
      <c r="T117" s="104">
        <f>T118</f>
        <v>0</v>
      </c>
      <c r="AT117" s="13" t="s">
        <v>57</v>
      </c>
      <c r="AU117" s="13" t="s">
        <v>192</v>
      </c>
      <c r="BK117" s="105">
        <f>BK118</f>
        <v>50782.15</v>
      </c>
    </row>
    <row r="118" spans="2:65" s="11" customFormat="1" ht="25.95" customHeight="1" x14ac:dyDescent="0.25">
      <c r="B118" s="106"/>
      <c r="D118" s="107" t="s">
        <v>57</v>
      </c>
      <c r="E118" s="108" t="s">
        <v>2596</v>
      </c>
      <c r="F118" s="108" t="s">
        <v>2597</v>
      </c>
      <c r="J118" s="109">
        <f>BK118</f>
        <v>50782.15</v>
      </c>
      <c r="L118" s="106"/>
      <c r="M118" s="110"/>
      <c r="N118" s="111"/>
      <c r="O118" s="111"/>
      <c r="P118" s="112">
        <f>SUM(P119:P120)</f>
        <v>0</v>
      </c>
      <c r="Q118" s="111"/>
      <c r="R118" s="112">
        <f>SUM(R119:R120)</f>
        <v>0</v>
      </c>
      <c r="S118" s="111"/>
      <c r="T118" s="113">
        <f>SUM(T119:T120)</f>
        <v>0</v>
      </c>
      <c r="AR118" s="107" t="s">
        <v>63</v>
      </c>
      <c r="AT118" s="114" t="s">
        <v>57</v>
      </c>
      <c r="AU118" s="114" t="s">
        <v>58</v>
      </c>
      <c r="AY118" s="107" t="s">
        <v>228</v>
      </c>
      <c r="BK118" s="115">
        <f>SUM(BK119:BK120)</f>
        <v>50782.15</v>
      </c>
    </row>
    <row r="119" spans="2:65" s="1" customFormat="1" ht="22.95" customHeight="1" x14ac:dyDescent="0.2">
      <c r="B119" s="118"/>
      <c r="C119" s="119" t="s">
        <v>63</v>
      </c>
      <c r="D119" s="119" t="s">
        <v>231</v>
      </c>
      <c r="E119" s="120" t="s">
        <v>2598</v>
      </c>
      <c r="F119" s="121" t="s">
        <v>2599</v>
      </c>
      <c r="G119" s="122" t="s">
        <v>1194</v>
      </c>
      <c r="H119" s="123">
        <v>5</v>
      </c>
      <c r="I119" s="124">
        <v>10156.43</v>
      </c>
      <c r="J119" s="124">
        <f>ROUND(I119*H119,2)</f>
        <v>50782.15</v>
      </c>
      <c r="K119" s="121" t="s">
        <v>1</v>
      </c>
      <c r="L119" s="24"/>
      <c r="M119" s="125" t="s">
        <v>1</v>
      </c>
      <c r="N119" s="126" t="s">
        <v>32</v>
      </c>
      <c r="O119" s="127">
        <v>0</v>
      </c>
      <c r="P119" s="127">
        <f>O119*H119</f>
        <v>0</v>
      </c>
      <c r="Q119" s="127">
        <v>0</v>
      </c>
      <c r="R119" s="127">
        <f>Q119*H119</f>
        <v>0</v>
      </c>
      <c r="S119" s="127">
        <v>0</v>
      </c>
      <c r="T119" s="128">
        <f>S119*H119</f>
        <v>0</v>
      </c>
      <c r="AR119" s="129" t="s">
        <v>235</v>
      </c>
      <c r="AT119" s="129" t="s">
        <v>231</v>
      </c>
      <c r="AU119" s="129" t="s">
        <v>63</v>
      </c>
      <c r="AY119" s="13" t="s">
        <v>228</v>
      </c>
      <c r="BE119" s="130">
        <f>IF(N119="základná",J119,0)</f>
        <v>0</v>
      </c>
      <c r="BF119" s="130">
        <f>IF(N119="znížená",J119,0)</f>
        <v>50782.15</v>
      </c>
      <c r="BG119" s="130">
        <f>IF(N119="zákl. prenesená",J119,0)</f>
        <v>0</v>
      </c>
      <c r="BH119" s="130">
        <f>IF(N119="zníž. prenesená",J119,0)</f>
        <v>0</v>
      </c>
      <c r="BI119" s="130">
        <f>IF(N119="nulová",J119,0)</f>
        <v>0</v>
      </c>
      <c r="BJ119" s="13" t="s">
        <v>76</v>
      </c>
      <c r="BK119" s="130">
        <f>ROUND(I119*H119,2)</f>
        <v>50782.15</v>
      </c>
      <c r="BL119" s="13" t="s">
        <v>235</v>
      </c>
      <c r="BM119" s="129" t="s">
        <v>76</v>
      </c>
    </row>
    <row r="120" spans="2:65" s="1" customFormat="1" ht="28.8" x14ac:dyDescent="0.2">
      <c r="B120" s="24"/>
      <c r="D120" s="144" t="s">
        <v>1259</v>
      </c>
      <c r="F120" s="145" t="s">
        <v>2600</v>
      </c>
      <c r="L120" s="24"/>
      <c r="M120" s="147"/>
      <c r="N120" s="148"/>
      <c r="O120" s="148"/>
      <c r="P120" s="148"/>
      <c r="Q120" s="148"/>
      <c r="R120" s="148"/>
      <c r="S120" s="148"/>
      <c r="T120" s="149"/>
      <c r="AT120" s="13" t="s">
        <v>1259</v>
      </c>
      <c r="AU120" s="13" t="s">
        <v>63</v>
      </c>
    </row>
    <row r="121" spans="2:65" s="1" customFormat="1" ht="7.05" customHeight="1" x14ac:dyDescent="0.2">
      <c r="B121" s="33"/>
      <c r="C121" s="34"/>
      <c r="D121" s="34"/>
      <c r="E121" s="34"/>
      <c r="F121" s="34"/>
      <c r="G121" s="34"/>
      <c r="H121" s="34"/>
      <c r="I121" s="34"/>
      <c r="J121" s="34"/>
      <c r="K121" s="34"/>
      <c r="L121" s="24"/>
    </row>
  </sheetData>
  <autoFilter ref="C116:K120" xr:uid="{00000000-0009-0000-0000-00000A000000}"/>
  <mergeCells count="14">
    <mergeCell ref="E87:H87"/>
    <mergeCell ref="E107:H107"/>
    <mergeCell ref="E109:H109"/>
    <mergeCell ref="L2:V2"/>
    <mergeCell ref="E9:H9"/>
    <mergeCell ref="E18:H18"/>
    <mergeCell ref="E27:H27"/>
    <mergeCell ref="E85:H85"/>
    <mergeCell ref="D4:J4"/>
    <mergeCell ref="F6:J7"/>
    <mergeCell ref="C82:J82"/>
    <mergeCell ref="E84:J84"/>
    <mergeCell ref="C104:J104"/>
    <mergeCell ref="E106:J106"/>
  </mergeCells>
  <pageMargins left="0.39374999999999999" right="0.39374999999999999" top="0.39374999999999999" bottom="0.39374999999999999" header="0" footer="0"/>
  <pageSetup paperSize="9" scale="89" fitToHeight="100" orientation="portrait" blackAndWhite="1" r:id="rId1"/>
  <headerFooter>
    <oddFooter>&amp;CStrana &amp;P z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BM158"/>
  <sheetViews>
    <sheetView showGridLines="0" topLeftCell="A10" workbookViewId="0">
      <selection activeCell="J119" sqref="J119:J158"/>
    </sheetView>
  </sheetViews>
  <sheetFormatPr defaultColWidth="8.7109375" defaultRowHeight="10.199999999999999" x14ac:dyDescent="0.2"/>
  <cols>
    <col min="1" max="1" width="8.28515625" customWidth="1"/>
    <col min="2" max="2" width="1.7109375" customWidth="1"/>
    <col min="3" max="4" width="4.28515625" customWidth="1"/>
    <col min="5" max="5" width="17.28515625" customWidth="1"/>
    <col min="6" max="6" width="50.7109375" customWidth="1"/>
    <col min="7" max="7" width="7" customWidth="1"/>
    <col min="8" max="8" width="11.42578125" customWidth="1"/>
    <col min="9" max="10" width="20.28515625" customWidth="1"/>
    <col min="11" max="11" width="20.28515625" hidden="1" customWidth="1"/>
    <col min="12" max="12" width="9.28515625" customWidth="1"/>
    <col min="13" max="13" width="10.7109375" hidden="1" customWidth="1"/>
    <col min="14" max="14" width="9.28515625" hidden="1"/>
    <col min="15" max="20" width="14.28515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1" spans="1:46" x14ac:dyDescent="0.2">
      <c r="A1" s="73"/>
    </row>
    <row r="2" spans="1:46" ht="37.049999999999997" customHeight="1" x14ac:dyDescent="0.2">
      <c r="L2" s="1227" t="s">
        <v>5</v>
      </c>
      <c r="M2" s="1225"/>
      <c r="N2" s="1225"/>
      <c r="O2" s="1225"/>
      <c r="P2" s="1225"/>
      <c r="Q2" s="1225"/>
      <c r="R2" s="1225"/>
      <c r="S2" s="1225"/>
      <c r="T2" s="1225"/>
      <c r="U2" s="1225"/>
      <c r="V2" s="1225"/>
      <c r="AT2" s="13" t="s">
        <v>93</v>
      </c>
    </row>
    <row r="3" spans="1:46" ht="7.05" customHeight="1" x14ac:dyDescent="0.2">
      <c r="B3" s="14"/>
      <c r="C3" s="15"/>
      <c r="D3" s="15"/>
      <c r="E3" s="15"/>
      <c r="F3" s="15"/>
      <c r="G3" s="15"/>
      <c r="H3" s="15"/>
      <c r="I3" s="15"/>
      <c r="J3" s="15"/>
      <c r="K3" s="15"/>
      <c r="L3" s="16"/>
      <c r="AT3" s="13" t="s">
        <v>58</v>
      </c>
    </row>
    <row r="4" spans="1:46" ht="25.05" customHeight="1" x14ac:dyDescent="0.2">
      <c r="B4" s="16"/>
      <c r="D4" s="1165" t="s">
        <v>185</v>
      </c>
      <c r="E4" s="1165"/>
      <c r="F4" s="1165"/>
      <c r="G4" s="1165"/>
      <c r="H4" s="1165"/>
      <c r="I4" s="1165"/>
      <c r="J4" s="1165"/>
      <c r="L4" s="16"/>
      <c r="M4" s="74" t="s">
        <v>9</v>
      </c>
      <c r="AT4" s="13" t="s">
        <v>3</v>
      </c>
    </row>
    <row r="5" spans="1:46" ht="7.05" customHeight="1" x14ac:dyDescent="0.2">
      <c r="B5" s="16"/>
      <c r="L5" s="16"/>
    </row>
    <row r="6" spans="1:46" ht="12" customHeight="1" x14ac:dyDescent="0.2">
      <c r="B6" s="16"/>
      <c r="D6" s="548" t="s">
        <v>12</v>
      </c>
      <c r="F6" s="1254" t="s">
        <v>6176</v>
      </c>
      <c r="G6" s="1254"/>
      <c r="H6" s="1254"/>
      <c r="I6" s="1254"/>
      <c r="J6" s="1254"/>
      <c r="L6" s="16"/>
    </row>
    <row r="7" spans="1:46" ht="22.95" customHeight="1" x14ac:dyDescent="0.2">
      <c r="B7" s="16"/>
      <c r="D7" s="527"/>
      <c r="E7" s="531"/>
      <c r="F7" s="1254"/>
      <c r="G7" s="1254"/>
      <c r="H7" s="1254"/>
      <c r="I7" s="1254"/>
      <c r="J7" s="1254"/>
      <c r="L7" s="16"/>
    </row>
    <row r="8" spans="1:46" s="1" customFormat="1" ht="12" customHeight="1" x14ac:dyDescent="0.2">
      <c r="B8" s="24"/>
      <c r="D8" s="549" t="s">
        <v>186</v>
      </c>
      <c r="F8" s="532" t="s">
        <v>2601</v>
      </c>
      <c r="L8" s="24"/>
    </row>
    <row r="9" spans="1:46" s="1" customFormat="1" ht="37.049999999999997" customHeight="1" x14ac:dyDescent="0.2">
      <c r="B9" s="24"/>
      <c r="D9" s="521"/>
      <c r="E9" s="1251"/>
      <c r="F9" s="1252"/>
      <c r="G9" s="1252"/>
      <c r="H9" s="1252"/>
      <c r="L9" s="24"/>
    </row>
    <row r="10" spans="1:46" s="1" customFormat="1" x14ac:dyDescent="0.2">
      <c r="B10" s="24"/>
      <c r="D10" s="521"/>
      <c r="L10" s="24"/>
    </row>
    <row r="11" spans="1:46" s="1" customFormat="1" ht="12" customHeight="1" x14ac:dyDescent="0.2">
      <c r="B11" s="24"/>
      <c r="D11" s="528" t="s">
        <v>13</v>
      </c>
      <c r="F11" s="19" t="s">
        <v>1</v>
      </c>
      <c r="I11" s="528" t="s">
        <v>14</v>
      </c>
      <c r="J11" s="19" t="s">
        <v>1</v>
      </c>
      <c r="L11" s="24"/>
    </row>
    <row r="12" spans="1:46" s="1" customFormat="1" ht="12" customHeight="1" x14ac:dyDescent="0.2">
      <c r="B12" s="24"/>
      <c r="D12" s="528" t="s">
        <v>15</v>
      </c>
      <c r="F12" s="520" t="s">
        <v>6173</v>
      </c>
      <c r="I12" s="528" t="s">
        <v>17</v>
      </c>
      <c r="J12" s="39"/>
      <c r="L12" s="24"/>
    </row>
    <row r="13" spans="1:46" s="1" customFormat="1" ht="10.95" customHeight="1" x14ac:dyDescent="0.2">
      <c r="B13" s="24"/>
      <c r="D13" s="521"/>
      <c r="F13" s="521"/>
      <c r="I13" s="521"/>
      <c r="L13" s="24"/>
    </row>
    <row r="14" spans="1:46" s="1" customFormat="1" ht="12" customHeight="1" x14ac:dyDescent="0.2">
      <c r="B14" s="24"/>
      <c r="D14" s="528" t="s">
        <v>18</v>
      </c>
      <c r="F14" s="529" t="s">
        <v>6175</v>
      </c>
      <c r="I14" s="528" t="s">
        <v>19</v>
      </c>
      <c r="J14" s="19" t="str">
        <f>IF('Rekapitulácia stavby'!AN10="","",'Rekapitulácia stavby'!AN10)</f>
        <v/>
      </c>
      <c r="L14" s="24"/>
    </row>
    <row r="15" spans="1:46" s="1" customFormat="1" ht="18" customHeight="1" x14ac:dyDescent="0.2">
      <c r="B15" s="24"/>
      <c r="D15" s="521"/>
      <c r="E15" s="19" t="str">
        <f>IF('Rekapitulácia stavby'!E11="","",'Rekapitulácia stavby'!E11)</f>
        <v/>
      </c>
      <c r="F15" s="521"/>
      <c r="I15" s="528" t="s">
        <v>20</v>
      </c>
      <c r="J15" s="19" t="str">
        <f>IF('Rekapitulácia stavby'!AN11="","",'Rekapitulácia stavby'!AN11)</f>
        <v/>
      </c>
      <c r="L15" s="24"/>
    </row>
    <row r="16" spans="1:46" s="1" customFormat="1" ht="7.05" customHeight="1" x14ac:dyDescent="0.2">
      <c r="B16" s="24"/>
      <c r="D16" s="521"/>
      <c r="F16" s="521"/>
      <c r="I16" s="521"/>
      <c r="L16" s="24"/>
    </row>
    <row r="17" spans="2:12" s="1" customFormat="1" ht="12" customHeight="1" x14ac:dyDescent="0.2">
      <c r="B17" s="24"/>
      <c r="D17" s="528" t="s">
        <v>21</v>
      </c>
      <c r="F17" s="529" t="s">
        <v>5202</v>
      </c>
      <c r="I17" s="528" t="s">
        <v>19</v>
      </c>
      <c r="J17" s="19"/>
      <c r="L17" s="24"/>
    </row>
    <row r="18" spans="2:12" s="1" customFormat="1" ht="18" customHeight="1" x14ac:dyDescent="0.2">
      <c r="B18" s="24"/>
      <c r="D18" s="521"/>
      <c r="E18" s="1161"/>
      <c r="F18" s="1161"/>
      <c r="G18" s="1161"/>
      <c r="H18" s="1161"/>
      <c r="I18" s="528" t="s">
        <v>20</v>
      </c>
      <c r="J18" s="19" t="str">
        <f>'Rekapitulácia stavby'!AN14</f>
        <v/>
      </c>
      <c r="L18" s="24"/>
    </row>
    <row r="19" spans="2:12" s="1" customFormat="1" ht="7.05" customHeight="1" x14ac:dyDescent="0.2">
      <c r="B19" s="24"/>
      <c r="D19" s="521"/>
      <c r="I19" s="521"/>
      <c r="L19" s="24"/>
    </row>
    <row r="20" spans="2:12" s="1" customFormat="1" ht="12" customHeight="1" x14ac:dyDescent="0.2">
      <c r="B20" s="24"/>
      <c r="D20" s="528" t="s">
        <v>22</v>
      </c>
      <c r="I20" s="528" t="s">
        <v>19</v>
      </c>
      <c r="J20" s="19" t="str">
        <f>IF('Rekapitulácia stavby'!AN16="","",'Rekapitulácia stavby'!AN16)</f>
        <v/>
      </c>
      <c r="L20" s="24"/>
    </row>
    <row r="21" spans="2:12" s="1" customFormat="1" ht="18" customHeight="1" x14ac:dyDescent="0.2">
      <c r="B21" s="24"/>
      <c r="D21" s="521"/>
      <c r="E21" s="19" t="str">
        <f>IF('Rekapitulácia stavby'!E17="","",'Rekapitulácia stavby'!E17)</f>
        <v xml:space="preserve"> </v>
      </c>
      <c r="I21" s="528" t="s">
        <v>20</v>
      </c>
      <c r="J21" s="19" t="str">
        <f>IF('Rekapitulácia stavby'!AN17="","",'Rekapitulácia stavby'!AN17)</f>
        <v/>
      </c>
      <c r="L21" s="24"/>
    </row>
    <row r="22" spans="2:12" s="1" customFormat="1" ht="7.05" customHeight="1" x14ac:dyDescent="0.2">
      <c r="B22" s="24"/>
      <c r="D22" s="521"/>
      <c r="I22" s="521"/>
      <c r="L22" s="24"/>
    </row>
    <row r="23" spans="2:12" s="1" customFormat="1" ht="12" customHeight="1" x14ac:dyDescent="0.2">
      <c r="B23" s="24"/>
      <c r="D23" s="528" t="s">
        <v>24</v>
      </c>
      <c r="I23" s="528" t="s">
        <v>19</v>
      </c>
      <c r="J23" s="19" t="str">
        <f>IF('Rekapitulácia stavby'!AN19="","",'Rekapitulácia stavby'!AN19)</f>
        <v/>
      </c>
      <c r="L23" s="24"/>
    </row>
    <row r="24" spans="2:12" s="1" customFormat="1" ht="18" customHeight="1" x14ac:dyDescent="0.2">
      <c r="B24" s="24"/>
      <c r="D24" s="521"/>
      <c r="E24" s="19" t="str">
        <f>IF('Rekapitulácia stavby'!E20="","",'Rekapitulácia stavby'!E20)</f>
        <v xml:space="preserve"> </v>
      </c>
      <c r="I24" s="528" t="s">
        <v>20</v>
      </c>
      <c r="J24" s="19" t="str">
        <f>IF('Rekapitulácia stavby'!AN20="","",'Rekapitulácia stavby'!AN20)</f>
        <v/>
      </c>
      <c r="L24" s="24"/>
    </row>
    <row r="25" spans="2:12" s="1" customFormat="1" ht="7.05" customHeight="1" x14ac:dyDescent="0.2">
      <c r="B25" s="24"/>
      <c r="D25" s="521"/>
      <c r="L25" s="24"/>
    </row>
    <row r="26" spans="2:12" s="1" customFormat="1" ht="12" customHeight="1" x14ac:dyDescent="0.2">
      <c r="B26" s="24"/>
      <c r="D26" s="528" t="s">
        <v>25</v>
      </c>
      <c r="L26" s="24"/>
    </row>
    <row r="27" spans="2:12" s="7" customFormat="1" ht="16.5" customHeight="1" x14ac:dyDescent="0.2">
      <c r="B27" s="75"/>
      <c r="E27" s="1228" t="s">
        <v>1</v>
      </c>
      <c r="F27" s="1228"/>
      <c r="G27" s="1228"/>
      <c r="H27" s="1228"/>
      <c r="L27" s="75"/>
    </row>
    <row r="28" spans="2:12" s="1" customFormat="1" ht="7.05" customHeight="1" x14ac:dyDescent="0.2">
      <c r="B28" s="24"/>
      <c r="L28" s="24"/>
    </row>
    <row r="29" spans="2:12" s="1" customFormat="1" ht="7.05" customHeight="1" x14ac:dyDescent="0.2">
      <c r="B29" s="24"/>
      <c r="D29" s="40"/>
      <c r="E29" s="40"/>
      <c r="F29" s="40"/>
      <c r="G29" s="40"/>
      <c r="H29" s="40"/>
      <c r="I29" s="40"/>
      <c r="J29" s="40"/>
      <c r="K29" s="40"/>
      <c r="L29" s="24"/>
    </row>
    <row r="30" spans="2:12" s="1" customFormat="1" ht="25.2" customHeight="1" x14ac:dyDescent="0.2">
      <c r="B30" s="24"/>
      <c r="D30" s="76" t="s">
        <v>26</v>
      </c>
      <c r="J30" s="53">
        <f>ROUND(J117, 2)</f>
        <v>52437.87</v>
      </c>
      <c r="L30" s="24"/>
    </row>
    <row r="31" spans="2:12" s="1" customFormat="1" ht="7.05" customHeight="1" x14ac:dyDescent="0.2">
      <c r="B31" s="24"/>
      <c r="D31" s="40"/>
      <c r="E31" s="40"/>
      <c r="F31" s="40"/>
      <c r="G31" s="40"/>
      <c r="H31" s="40"/>
      <c r="I31" s="40"/>
      <c r="J31" s="40"/>
      <c r="K31" s="40"/>
      <c r="L31" s="24"/>
    </row>
    <row r="32" spans="2:12" s="1" customFormat="1" ht="14.55" customHeight="1" x14ac:dyDescent="0.2">
      <c r="B32" s="24"/>
      <c r="D32" s="521"/>
      <c r="E32" s="521"/>
      <c r="F32" s="534" t="s">
        <v>28</v>
      </c>
      <c r="G32" s="521"/>
      <c r="H32" s="521"/>
      <c r="I32" s="534" t="s">
        <v>27</v>
      </c>
      <c r="J32" s="534" t="s">
        <v>29</v>
      </c>
      <c r="L32" s="24"/>
    </row>
    <row r="33" spans="2:12" s="1" customFormat="1" ht="14.55" customHeight="1" x14ac:dyDescent="0.2">
      <c r="B33" s="24"/>
      <c r="D33" s="13" t="s">
        <v>30</v>
      </c>
      <c r="E33" s="528" t="s">
        <v>31</v>
      </c>
      <c r="F33" s="398">
        <f>ROUND((SUM(BE117:BE157)),  2)</f>
        <v>0</v>
      </c>
      <c r="G33" s="521"/>
      <c r="H33" s="521"/>
      <c r="I33" s="535">
        <v>0.2</v>
      </c>
      <c r="J33" s="398">
        <f>ROUND(((SUM(BE117:BE157))*I33),  2)</f>
        <v>0</v>
      </c>
      <c r="L33" s="24"/>
    </row>
    <row r="34" spans="2:12" s="1" customFormat="1" ht="14.55" customHeight="1" x14ac:dyDescent="0.2">
      <c r="B34" s="24"/>
      <c r="D34" s="521"/>
      <c r="E34" s="528" t="s">
        <v>32</v>
      </c>
      <c r="F34" s="398">
        <f>ROUND((SUM(BF117:BF157)),  2)</f>
        <v>52437.87</v>
      </c>
      <c r="G34" s="521"/>
      <c r="H34" s="521"/>
      <c r="I34" s="535">
        <v>0.2</v>
      </c>
      <c r="J34" s="398">
        <f>ROUND(((SUM(BF117:BF157))*I34),  2)</f>
        <v>10487.57</v>
      </c>
      <c r="L34" s="24"/>
    </row>
    <row r="35" spans="2:12" s="1" customFormat="1" ht="14.55" hidden="1" customHeight="1" x14ac:dyDescent="0.2">
      <c r="B35" s="24"/>
      <c r="E35" s="21" t="s">
        <v>33</v>
      </c>
      <c r="F35" s="78">
        <f>ROUND((SUM(BG117:BG157)),  2)</f>
        <v>0</v>
      </c>
      <c r="I35" s="79">
        <v>0.2</v>
      </c>
      <c r="J35" s="78">
        <f>0</f>
        <v>0</v>
      </c>
      <c r="L35" s="24"/>
    </row>
    <row r="36" spans="2:12" s="1" customFormat="1" ht="14.55" hidden="1" customHeight="1" x14ac:dyDescent="0.2">
      <c r="B36" s="24"/>
      <c r="E36" s="21" t="s">
        <v>34</v>
      </c>
      <c r="F36" s="78">
        <f>ROUND((SUM(BH117:BH157)),  2)</f>
        <v>0</v>
      </c>
      <c r="I36" s="79">
        <v>0.2</v>
      </c>
      <c r="J36" s="78">
        <f>0</f>
        <v>0</v>
      </c>
      <c r="L36" s="24"/>
    </row>
    <row r="37" spans="2:12" s="1" customFormat="1" ht="14.55" hidden="1" customHeight="1" x14ac:dyDescent="0.2">
      <c r="B37" s="24"/>
      <c r="E37" s="21" t="s">
        <v>35</v>
      </c>
      <c r="F37" s="78">
        <f>ROUND((SUM(BI117:BI157)),  2)</f>
        <v>0</v>
      </c>
      <c r="I37" s="79">
        <v>0</v>
      </c>
      <c r="J37" s="78">
        <f>0</f>
        <v>0</v>
      </c>
      <c r="L37" s="24"/>
    </row>
    <row r="38" spans="2:12" s="1" customFormat="1" ht="7.05" customHeight="1" x14ac:dyDescent="0.2">
      <c r="B38" s="24"/>
      <c r="L38" s="24"/>
    </row>
    <row r="39" spans="2:12" s="1" customFormat="1" ht="25.2" customHeight="1" x14ac:dyDescent="0.2">
      <c r="B39" s="24"/>
      <c r="C39" s="80"/>
      <c r="D39" s="81" t="s">
        <v>36</v>
      </c>
      <c r="E39" s="44"/>
      <c r="F39" s="44"/>
      <c r="G39" s="82" t="s">
        <v>37</v>
      </c>
      <c r="H39" s="83" t="s">
        <v>38</v>
      </c>
      <c r="I39" s="44"/>
      <c r="J39" s="84">
        <f>SUM(J30:J37)</f>
        <v>62925.440000000002</v>
      </c>
      <c r="K39" s="85"/>
      <c r="L39" s="24"/>
    </row>
    <row r="40" spans="2:12" s="1" customFormat="1" ht="14.55" customHeight="1" x14ac:dyDescent="0.2">
      <c r="B40" s="24"/>
      <c r="L40" s="24"/>
    </row>
    <row r="41" spans="2:12" ht="14.55" customHeight="1" x14ac:dyDescent="0.2">
      <c r="B41" s="16"/>
      <c r="L41" s="16"/>
    </row>
    <row r="42" spans="2:12" ht="14.55" customHeight="1" x14ac:dyDescent="0.2">
      <c r="B42" s="16"/>
      <c r="L42" s="16"/>
    </row>
    <row r="43" spans="2:12" ht="14.55" customHeight="1" x14ac:dyDescent="0.2">
      <c r="B43" s="16"/>
      <c r="L43" s="16"/>
    </row>
    <row r="44" spans="2:12" ht="14.55" customHeight="1" x14ac:dyDescent="0.2">
      <c r="B44" s="16"/>
      <c r="L44" s="16"/>
    </row>
    <row r="45" spans="2:12" ht="14.55" customHeight="1" x14ac:dyDescent="0.2">
      <c r="B45" s="16"/>
      <c r="L45" s="16"/>
    </row>
    <row r="46" spans="2:12" ht="14.55" customHeight="1" x14ac:dyDescent="0.2">
      <c r="B46" s="16"/>
      <c r="L46" s="16"/>
    </row>
    <row r="47" spans="2:12" ht="14.55" customHeight="1" x14ac:dyDescent="0.2">
      <c r="B47" s="16"/>
      <c r="L47" s="16"/>
    </row>
    <row r="48" spans="2:12" ht="14.55" customHeight="1" x14ac:dyDescent="0.2">
      <c r="B48" s="16"/>
      <c r="L48" s="16"/>
    </row>
    <row r="49" spans="2:12" ht="14.55" customHeight="1" x14ac:dyDescent="0.2">
      <c r="B49" s="16"/>
      <c r="D49" s="156"/>
      <c r="E49" s="156"/>
      <c r="F49" s="156"/>
      <c r="G49" s="156"/>
      <c r="H49" s="156"/>
      <c r="I49" s="156"/>
      <c r="J49" s="156"/>
      <c r="L49" s="16"/>
    </row>
    <row r="50" spans="2:12" s="1" customFormat="1" ht="14.55" customHeight="1" x14ac:dyDescent="0.2">
      <c r="B50" s="24"/>
      <c r="D50" s="530"/>
      <c r="E50" s="523"/>
      <c r="F50" s="523"/>
      <c r="G50" s="530"/>
      <c r="H50" s="523"/>
      <c r="I50" s="523"/>
      <c r="J50" s="523"/>
      <c r="K50" s="32"/>
      <c r="L50" s="24"/>
    </row>
    <row r="51" spans="2:12" x14ac:dyDescent="0.2">
      <c r="B51" s="16"/>
      <c r="D51" s="156"/>
      <c r="E51" s="156"/>
      <c r="F51" s="156"/>
      <c r="G51" s="156"/>
      <c r="H51" s="156"/>
      <c r="I51" s="156"/>
      <c r="J51" s="156"/>
      <c r="L51" s="16"/>
    </row>
    <row r="52" spans="2:12" x14ac:dyDescent="0.2">
      <c r="B52" s="16"/>
      <c r="D52" s="156"/>
      <c r="E52" s="156"/>
      <c r="F52" s="156"/>
      <c r="G52" s="156"/>
      <c r="H52" s="156"/>
      <c r="I52" s="156"/>
      <c r="J52" s="156"/>
      <c r="L52" s="16"/>
    </row>
    <row r="53" spans="2:12" x14ac:dyDescent="0.2">
      <c r="B53" s="16"/>
      <c r="D53" s="156"/>
      <c r="E53" s="156"/>
      <c r="F53" s="156"/>
      <c r="G53" s="156"/>
      <c r="H53" s="156"/>
      <c r="I53" s="156"/>
      <c r="J53" s="156"/>
      <c r="L53" s="16"/>
    </row>
    <row r="54" spans="2:12" x14ac:dyDescent="0.2">
      <c r="B54" s="16"/>
      <c r="D54" s="156"/>
      <c r="E54" s="156"/>
      <c r="F54" s="156"/>
      <c r="G54" s="156"/>
      <c r="H54" s="156"/>
      <c r="I54" s="156"/>
      <c r="J54" s="156"/>
      <c r="L54" s="16"/>
    </row>
    <row r="55" spans="2:12" x14ac:dyDescent="0.2">
      <c r="B55" s="16"/>
      <c r="D55" s="156"/>
      <c r="E55" s="156"/>
      <c r="F55" s="156"/>
      <c r="G55" s="156"/>
      <c r="H55" s="156"/>
      <c r="I55" s="156"/>
      <c r="J55" s="156"/>
      <c r="L55" s="16"/>
    </row>
    <row r="56" spans="2:12" x14ac:dyDescent="0.2">
      <c r="B56" s="16"/>
      <c r="D56" s="156"/>
      <c r="E56" s="156"/>
      <c r="F56" s="156"/>
      <c r="G56" s="156"/>
      <c r="H56" s="156"/>
      <c r="I56" s="156"/>
      <c r="J56" s="156"/>
      <c r="L56" s="16"/>
    </row>
    <row r="57" spans="2:12" x14ac:dyDescent="0.2">
      <c r="B57" s="16"/>
      <c r="D57" s="156"/>
      <c r="E57" s="156"/>
      <c r="F57" s="156"/>
      <c r="G57" s="156"/>
      <c r="H57" s="156"/>
      <c r="I57" s="156"/>
      <c r="J57" s="156"/>
      <c r="L57" s="16"/>
    </row>
    <row r="58" spans="2:12" x14ac:dyDescent="0.2">
      <c r="B58" s="16"/>
      <c r="D58" s="156"/>
      <c r="E58" s="156"/>
      <c r="F58" s="156"/>
      <c r="G58" s="156"/>
      <c r="H58" s="156"/>
      <c r="I58" s="156"/>
      <c r="J58" s="156"/>
      <c r="L58" s="16"/>
    </row>
    <row r="59" spans="2:12" x14ac:dyDescent="0.2">
      <c r="B59" s="16"/>
      <c r="D59" s="156"/>
      <c r="E59" s="156"/>
      <c r="F59" s="156"/>
      <c r="G59" s="156"/>
      <c r="H59" s="156"/>
      <c r="I59" s="156"/>
      <c r="J59" s="156"/>
      <c r="L59" s="16"/>
    </row>
    <row r="60" spans="2:12" x14ac:dyDescent="0.2">
      <c r="B60" s="16"/>
      <c r="D60" s="156"/>
      <c r="E60" s="156"/>
      <c r="F60" s="156"/>
      <c r="G60" s="156"/>
      <c r="H60" s="156"/>
      <c r="I60" s="156"/>
      <c r="J60" s="156"/>
      <c r="L60" s="16"/>
    </row>
    <row r="61" spans="2:12" s="1" customFormat="1" ht="13.2" x14ac:dyDescent="0.2">
      <c r="B61" s="24"/>
      <c r="D61" s="522"/>
      <c r="E61" s="523"/>
      <c r="F61" s="536"/>
      <c r="G61" s="522"/>
      <c r="H61" s="523"/>
      <c r="I61" s="523"/>
      <c r="J61" s="169"/>
      <c r="K61" s="26"/>
      <c r="L61" s="24"/>
    </row>
    <row r="62" spans="2:12" x14ac:dyDescent="0.2">
      <c r="B62" s="16"/>
      <c r="D62" s="156"/>
      <c r="E62" s="156"/>
      <c r="F62" s="156"/>
      <c r="G62" s="156"/>
      <c r="H62" s="156"/>
      <c r="I62" s="156"/>
      <c r="J62" s="156"/>
      <c r="L62" s="16"/>
    </row>
    <row r="63" spans="2:12" x14ac:dyDescent="0.2">
      <c r="B63" s="16"/>
      <c r="D63" s="156"/>
      <c r="E63" s="156"/>
      <c r="F63" s="156"/>
      <c r="G63" s="156"/>
      <c r="H63" s="156"/>
      <c r="I63" s="156"/>
      <c r="J63" s="156"/>
      <c r="L63" s="16"/>
    </row>
    <row r="64" spans="2:12" x14ac:dyDescent="0.2">
      <c r="B64" s="16"/>
      <c r="D64" s="156"/>
      <c r="E64" s="156"/>
      <c r="F64" s="156"/>
      <c r="G64" s="156"/>
      <c r="H64" s="156"/>
      <c r="I64" s="156"/>
      <c r="J64" s="156"/>
      <c r="L64" s="16"/>
    </row>
    <row r="65" spans="2:12" s="1" customFormat="1" ht="13.2" x14ac:dyDescent="0.2">
      <c r="B65" s="24"/>
      <c r="D65" s="530"/>
      <c r="E65" s="523"/>
      <c r="F65" s="523"/>
      <c r="G65" s="530"/>
      <c r="H65" s="523"/>
      <c r="I65" s="523"/>
      <c r="J65" s="523"/>
      <c r="K65" s="32"/>
      <c r="L65" s="24"/>
    </row>
    <row r="66" spans="2:12" x14ac:dyDescent="0.2">
      <c r="B66" s="16"/>
      <c r="D66" s="156"/>
      <c r="E66" s="156"/>
      <c r="F66" s="156"/>
      <c r="G66" s="156"/>
      <c r="H66" s="156"/>
      <c r="I66" s="156"/>
      <c r="J66" s="156"/>
      <c r="L66" s="16"/>
    </row>
    <row r="67" spans="2:12" x14ac:dyDescent="0.2">
      <c r="B67" s="16"/>
      <c r="D67" s="156"/>
      <c r="E67" s="156"/>
      <c r="F67" s="156"/>
      <c r="G67" s="156"/>
      <c r="H67" s="156"/>
      <c r="I67" s="156"/>
      <c r="J67" s="156"/>
      <c r="L67" s="16"/>
    </row>
    <row r="68" spans="2:12" x14ac:dyDescent="0.2">
      <c r="B68" s="16"/>
      <c r="D68" s="156"/>
      <c r="E68" s="156"/>
      <c r="F68" s="156"/>
      <c r="G68" s="156"/>
      <c r="H68" s="156"/>
      <c r="I68" s="156"/>
      <c r="J68" s="156"/>
      <c r="L68" s="16"/>
    </row>
    <row r="69" spans="2:12" x14ac:dyDescent="0.2">
      <c r="B69" s="16"/>
      <c r="D69" s="156"/>
      <c r="E69" s="156"/>
      <c r="F69" s="156"/>
      <c r="G69" s="156"/>
      <c r="H69" s="156"/>
      <c r="I69" s="156"/>
      <c r="J69" s="156"/>
      <c r="L69" s="16"/>
    </row>
    <row r="70" spans="2:12" x14ac:dyDescent="0.2">
      <c r="B70" s="16"/>
      <c r="D70" s="156"/>
      <c r="E70" s="156"/>
      <c r="F70" s="156"/>
      <c r="G70" s="156"/>
      <c r="H70" s="156"/>
      <c r="I70" s="156"/>
      <c r="J70" s="156"/>
      <c r="L70" s="16"/>
    </row>
    <row r="71" spans="2:12" x14ac:dyDescent="0.2">
      <c r="B71" s="16"/>
      <c r="D71" s="156"/>
      <c r="E71" s="156"/>
      <c r="F71" s="156"/>
      <c r="G71" s="156"/>
      <c r="H71" s="156"/>
      <c r="I71" s="156"/>
      <c r="J71" s="156"/>
      <c r="L71" s="16"/>
    </row>
    <row r="72" spans="2:12" x14ac:dyDescent="0.2">
      <c r="B72" s="16"/>
      <c r="D72" s="156"/>
      <c r="E72" s="156"/>
      <c r="F72" s="156"/>
      <c r="G72" s="156"/>
      <c r="H72" s="156"/>
      <c r="I72" s="156"/>
      <c r="J72" s="156"/>
      <c r="L72" s="16"/>
    </row>
    <row r="73" spans="2:12" x14ac:dyDescent="0.2">
      <c r="B73" s="16"/>
      <c r="D73" s="156"/>
      <c r="E73" s="156"/>
      <c r="F73" s="156"/>
      <c r="G73" s="156"/>
      <c r="H73" s="156"/>
      <c r="I73" s="156"/>
      <c r="J73" s="156"/>
      <c r="L73" s="16"/>
    </row>
    <row r="74" spans="2:12" x14ac:dyDescent="0.2">
      <c r="B74" s="16"/>
      <c r="D74" s="156"/>
      <c r="E74" s="156"/>
      <c r="F74" s="156"/>
      <c r="G74" s="156"/>
      <c r="H74" s="156"/>
      <c r="I74" s="156"/>
      <c r="J74" s="156"/>
      <c r="L74" s="16"/>
    </row>
    <row r="75" spans="2:12" x14ac:dyDescent="0.2">
      <c r="B75" s="16"/>
      <c r="D75" s="156"/>
      <c r="E75" s="156"/>
      <c r="F75" s="156"/>
      <c r="G75" s="156"/>
      <c r="H75" s="156"/>
      <c r="I75" s="156"/>
      <c r="J75" s="156"/>
      <c r="L75" s="16"/>
    </row>
    <row r="76" spans="2:12" s="1" customFormat="1" ht="13.2" x14ac:dyDescent="0.2">
      <c r="B76" s="24"/>
      <c r="D76" s="522"/>
      <c r="E76" s="523"/>
      <c r="F76" s="536"/>
      <c r="G76" s="522"/>
      <c r="H76" s="523"/>
      <c r="I76" s="523"/>
      <c r="J76" s="169"/>
      <c r="K76" s="26"/>
      <c r="L76" s="24"/>
    </row>
    <row r="77" spans="2:12" s="1" customFormat="1" ht="14.55" customHeight="1" x14ac:dyDescent="0.2">
      <c r="B77" s="33"/>
      <c r="C77" s="34"/>
      <c r="D77" s="34"/>
      <c r="E77" s="34"/>
      <c r="F77" s="34"/>
      <c r="G77" s="34"/>
      <c r="H77" s="34"/>
      <c r="I77" s="34"/>
      <c r="J77" s="34"/>
      <c r="K77" s="34"/>
      <c r="L77" s="24"/>
    </row>
    <row r="81" spans="2:47" s="1" customFormat="1" ht="7.05" customHeight="1" x14ac:dyDescent="0.2">
      <c r="B81" s="35"/>
      <c r="C81" s="36"/>
      <c r="D81" s="36"/>
      <c r="E81" s="36"/>
      <c r="F81" s="36"/>
      <c r="G81" s="36"/>
      <c r="H81" s="36"/>
      <c r="I81" s="36"/>
      <c r="J81" s="36"/>
      <c r="K81" s="36"/>
      <c r="L81" s="24"/>
    </row>
    <row r="82" spans="2:47" s="1" customFormat="1" ht="25.05" customHeight="1" x14ac:dyDescent="0.2">
      <c r="B82" s="24"/>
      <c r="C82" s="1165" t="s">
        <v>188</v>
      </c>
      <c r="D82" s="1165"/>
      <c r="E82" s="1165"/>
      <c r="F82" s="1165"/>
      <c r="G82" s="1165"/>
      <c r="H82" s="1165"/>
      <c r="I82" s="1165"/>
      <c r="J82" s="1165"/>
      <c r="L82" s="24"/>
    </row>
    <row r="83" spans="2:47" s="1" customFormat="1" ht="7.05" customHeight="1" x14ac:dyDescent="0.2">
      <c r="B83" s="24"/>
      <c r="L83" s="24"/>
    </row>
    <row r="84" spans="2:47" s="1" customFormat="1" ht="12" customHeight="1" x14ac:dyDescent="0.2">
      <c r="B84" s="24"/>
      <c r="C84" s="528" t="s">
        <v>12</v>
      </c>
      <c r="E84" s="1242" t="s">
        <v>6177</v>
      </c>
      <c r="F84" s="1242"/>
      <c r="G84" s="1242"/>
      <c r="H84" s="1242"/>
      <c r="I84" s="1242"/>
      <c r="J84" s="1242"/>
      <c r="L84" s="24"/>
    </row>
    <row r="85" spans="2:47" s="1" customFormat="1" ht="26.55" customHeight="1" x14ac:dyDescent="0.2">
      <c r="B85" s="24"/>
      <c r="C85" s="521"/>
      <c r="E85" s="1243"/>
      <c r="F85" s="1244"/>
      <c r="G85" s="1244"/>
      <c r="H85" s="1244"/>
      <c r="L85" s="24"/>
    </row>
    <row r="86" spans="2:47" s="1" customFormat="1" ht="12" customHeight="1" x14ac:dyDescent="0.2">
      <c r="B86" s="24"/>
      <c r="C86" s="528" t="s">
        <v>186</v>
      </c>
      <c r="F86" s="532" t="s">
        <v>2601</v>
      </c>
      <c r="L86" s="24"/>
    </row>
    <row r="87" spans="2:47" s="1" customFormat="1" ht="16.5" customHeight="1" x14ac:dyDescent="0.2">
      <c r="B87" s="24"/>
      <c r="C87" s="521"/>
      <c r="E87" s="1251"/>
      <c r="F87" s="1252"/>
      <c r="G87" s="1252"/>
      <c r="H87" s="1252"/>
      <c r="L87" s="24"/>
    </row>
    <row r="88" spans="2:47" s="1" customFormat="1" ht="7.05" customHeight="1" x14ac:dyDescent="0.2">
      <c r="B88" s="24"/>
      <c r="C88" s="521"/>
      <c r="L88" s="24"/>
    </row>
    <row r="89" spans="2:47" s="1" customFormat="1" ht="12" customHeight="1" x14ac:dyDescent="0.2">
      <c r="B89" s="24"/>
      <c r="C89" s="528" t="s">
        <v>15</v>
      </c>
      <c r="F89" s="19" t="str">
        <f>F12</f>
        <v>Kuzmányho nábrežie 28, 960 01 Zvolen</v>
      </c>
      <c r="I89" s="528" t="s">
        <v>17</v>
      </c>
      <c r="J89" s="39" t="str">
        <f>IF(J12="","",J12)</f>
        <v/>
      </c>
      <c r="L89" s="24"/>
    </row>
    <row r="90" spans="2:47" s="1" customFormat="1" ht="7.05" customHeight="1" x14ac:dyDescent="0.2">
      <c r="B90" s="24"/>
      <c r="C90" s="521"/>
      <c r="I90" s="521"/>
      <c r="L90" s="24"/>
    </row>
    <row r="91" spans="2:47" s="1" customFormat="1" ht="15.3" customHeight="1" x14ac:dyDescent="0.2">
      <c r="B91" s="24"/>
      <c r="C91" s="528" t="s">
        <v>18</v>
      </c>
      <c r="F91" s="529" t="s">
        <v>6175</v>
      </c>
      <c r="I91" s="528" t="s">
        <v>22</v>
      </c>
      <c r="J91" s="22" t="str">
        <f>E21</f>
        <v xml:space="preserve"> </v>
      </c>
      <c r="L91" s="24"/>
    </row>
    <row r="92" spans="2:47" s="1" customFormat="1" ht="15.3" customHeight="1" x14ac:dyDescent="0.2">
      <c r="B92" s="24"/>
      <c r="C92" s="528" t="s">
        <v>21</v>
      </c>
      <c r="F92" s="529" t="s">
        <v>5202</v>
      </c>
      <c r="I92" s="528" t="s">
        <v>24</v>
      </c>
      <c r="J92" s="22" t="str">
        <f>E24</f>
        <v xml:space="preserve"> </v>
      </c>
      <c r="L92" s="24"/>
    </row>
    <row r="93" spans="2:47" s="1" customFormat="1" ht="10.199999999999999" customHeight="1" x14ac:dyDescent="0.2">
      <c r="B93" s="24"/>
      <c r="L93" s="24"/>
    </row>
    <row r="94" spans="2:47" s="1" customFormat="1" ht="29.25" customHeight="1" x14ac:dyDescent="0.2">
      <c r="B94" s="24"/>
      <c r="C94" s="86" t="s">
        <v>189</v>
      </c>
      <c r="D94" s="80"/>
      <c r="E94" s="80"/>
      <c r="F94" s="80"/>
      <c r="G94" s="80"/>
      <c r="H94" s="80"/>
      <c r="I94" s="80"/>
      <c r="J94" s="87" t="s">
        <v>190</v>
      </c>
      <c r="K94" s="80"/>
      <c r="L94" s="24"/>
    </row>
    <row r="95" spans="2:47" s="1" customFormat="1" ht="10.199999999999999" customHeight="1" x14ac:dyDescent="0.2">
      <c r="B95" s="24"/>
      <c r="L95" s="24"/>
    </row>
    <row r="96" spans="2:47" s="1" customFormat="1" ht="22.95" customHeight="1" x14ac:dyDescent="0.2">
      <c r="B96" s="24"/>
      <c r="C96" s="88" t="s">
        <v>191</v>
      </c>
      <c r="J96" s="53">
        <f>J117</f>
        <v>52437.869999999995</v>
      </c>
      <c r="L96" s="24"/>
      <c r="AU96" s="13" t="s">
        <v>192</v>
      </c>
    </row>
    <row r="97" spans="2:12" s="8" customFormat="1" ht="25.05" customHeight="1" x14ac:dyDescent="0.2">
      <c r="B97" s="89"/>
      <c r="D97" s="90" t="s">
        <v>2602</v>
      </c>
      <c r="E97" s="91"/>
      <c r="F97" s="91"/>
      <c r="G97" s="91"/>
      <c r="H97" s="91"/>
      <c r="I97" s="91"/>
      <c r="J97" s="92">
        <f>J118</f>
        <v>52437.869999999995</v>
      </c>
      <c r="L97" s="89"/>
    </row>
    <row r="98" spans="2:12" s="1" customFormat="1" ht="21.75" customHeight="1" x14ac:dyDescent="0.2">
      <c r="B98" s="24"/>
      <c r="L98" s="24"/>
    </row>
    <row r="99" spans="2:12" s="1" customFormat="1" ht="7.05" customHeight="1" x14ac:dyDescent="0.2">
      <c r="B99" s="33"/>
      <c r="C99" s="34"/>
      <c r="D99" s="34"/>
      <c r="E99" s="34"/>
      <c r="F99" s="34"/>
      <c r="G99" s="34"/>
      <c r="H99" s="34"/>
      <c r="I99" s="34"/>
      <c r="J99" s="34"/>
      <c r="K99" s="34"/>
      <c r="L99" s="24"/>
    </row>
    <row r="103" spans="2:12" s="1" customFormat="1" ht="7.05" customHeight="1" x14ac:dyDescent="0.2">
      <c r="B103" s="35"/>
      <c r="C103" s="36"/>
      <c r="D103" s="36"/>
      <c r="E103" s="36"/>
      <c r="F103" s="36"/>
      <c r="G103" s="36"/>
      <c r="H103" s="36"/>
      <c r="I103" s="36"/>
      <c r="J103" s="36"/>
      <c r="K103" s="36"/>
      <c r="L103" s="24"/>
    </row>
    <row r="104" spans="2:12" s="1" customFormat="1" ht="25.05" customHeight="1" x14ac:dyDescent="0.2">
      <c r="B104" s="24"/>
      <c r="C104" s="1165" t="s">
        <v>214</v>
      </c>
      <c r="D104" s="1165"/>
      <c r="E104" s="1165"/>
      <c r="F104" s="1165"/>
      <c r="G104" s="1165"/>
      <c r="H104" s="1165"/>
      <c r="I104" s="1165"/>
      <c r="J104" s="1165"/>
      <c r="L104" s="24"/>
    </row>
    <row r="105" spans="2:12" s="1" customFormat="1" ht="7.05" customHeight="1" x14ac:dyDescent="0.2">
      <c r="B105" s="24"/>
      <c r="L105" s="24"/>
    </row>
    <row r="106" spans="2:12" s="1" customFormat="1" ht="12" customHeight="1" x14ac:dyDescent="0.2">
      <c r="B106" s="24"/>
      <c r="C106" s="528" t="s">
        <v>12</v>
      </c>
      <c r="E106" s="1242" t="s">
        <v>6177</v>
      </c>
      <c r="F106" s="1242"/>
      <c r="G106" s="1242"/>
      <c r="H106" s="1242"/>
      <c r="I106" s="1242"/>
      <c r="J106" s="1242"/>
      <c r="L106" s="24"/>
    </row>
    <row r="107" spans="2:12" s="1" customFormat="1" ht="29.55" customHeight="1" x14ac:dyDescent="0.2">
      <c r="B107" s="24"/>
      <c r="C107" s="521"/>
      <c r="E107" s="1243"/>
      <c r="F107" s="1244"/>
      <c r="G107" s="1244"/>
      <c r="H107" s="1244"/>
      <c r="L107" s="24"/>
    </row>
    <row r="108" spans="2:12" s="1" customFormat="1" ht="12" customHeight="1" x14ac:dyDescent="0.2">
      <c r="B108" s="24"/>
      <c r="C108" s="528" t="s">
        <v>186</v>
      </c>
      <c r="F108" s="532" t="s">
        <v>2601</v>
      </c>
      <c r="L108" s="24"/>
    </row>
    <row r="109" spans="2:12" s="1" customFormat="1" ht="16.5" customHeight="1" x14ac:dyDescent="0.2">
      <c r="B109" s="24"/>
      <c r="C109" s="521"/>
      <c r="E109" s="1251"/>
      <c r="F109" s="1252"/>
      <c r="G109" s="1252"/>
      <c r="H109" s="1252"/>
      <c r="L109" s="24"/>
    </row>
    <row r="110" spans="2:12" s="1" customFormat="1" ht="7.05" customHeight="1" x14ac:dyDescent="0.2">
      <c r="B110" s="24"/>
      <c r="C110" s="521"/>
      <c r="L110" s="24"/>
    </row>
    <row r="111" spans="2:12" s="1" customFormat="1" ht="12" customHeight="1" x14ac:dyDescent="0.2">
      <c r="B111" s="24"/>
      <c r="C111" s="528" t="s">
        <v>15</v>
      </c>
      <c r="F111" s="19" t="str">
        <f>F12</f>
        <v>Kuzmányho nábrežie 28, 960 01 Zvolen</v>
      </c>
      <c r="I111" s="528" t="s">
        <v>17</v>
      </c>
      <c r="J111" s="39" t="str">
        <f>IF(J12="","",J12)</f>
        <v/>
      </c>
      <c r="L111" s="24"/>
    </row>
    <row r="112" spans="2:12" s="1" customFormat="1" ht="7.05" customHeight="1" x14ac:dyDescent="0.2">
      <c r="B112" s="24"/>
      <c r="C112" s="521"/>
      <c r="I112" s="521"/>
      <c r="L112" s="24"/>
    </row>
    <row r="113" spans="2:65" s="1" customFormat="1" ht="15.3" customHeight="1" x14ac:dyDescent="0.2">
      <c r="B113" s="24"/>
      <c r="C113" s="528" t="s">
        <v>18</v>
      </c>
      <c r="F113" s="529" t="s">
        <v>6175</v>
      </c>
      <c r="I113" s="528" t="s">
        <v>22</v>
      </c>
      <c r="J113" s="22" t="str">
        <f>E21</f>
        <v xml:space="preserve"> </v>
      </c>
      <c r="L113" s="24"/>
    </row>
    <row r="114" spans="2:65" s="1" customFormat="1" ht="15.3" customHeight="1" x14ac:dyDescent="0.2">
      <c r="B114" s="24"/>
      <c r="C114" s="528" t="s">
        <v>21</v>
      </c>
      <c r="F114" s="529" t="s">
        <v>5202</v>
      </c>
      <c r="I114" s="528" t="s">
        <v>24</v>
      </c>
      <c r="J114" s="22" t="str">
        <f>E24</f>
        <v xml:space="preserve"> </v>
      </c>
      <c r="L114" s="24"/>
    </row>
    <row r="115" spans="2:65" s="1" customFormat="1" ht="10.199999999999999" customHeight="1" x14ac:dyDescent="0.2">
      <c r="B115" s="24"/>
      <c r="L115" s="24"/>
    </row>
    <row r="116" spans="2:65" s="10" customFormat="1" ht="29.25" customHeight="1" x14ac:dyDescent="0.2">
      <c r="B116" s="97"/>
      <c r="C116" s="98" t="s">
        <v>215</v>
      </c>
      <c r="D116" s="99" t="s">
        <v>43</v>
      </c>
      <c r="E116" s="99" t="s">
        <v>41</v>
      </c>
      <c r="F116" s="99" t="s">
        <v>42</v>
      </c>
      <c r="G116" s="99" t="s">
        <v>216</v>
      </c>
      <c r="H116" s="99" t="s">
        <v>217</v>
      </c>
      <c r="I116" s="99" t="s">
        <v>218</v>
      </c>
      <c r="J116" s="100" t="s">
        <v>190</v>
      </c>
      <c r="K116" s="101" t="s">
        <v>219</v>
      </c>
      <c r="L116" s="97"/>
      <c r="M116" s="46" t="s">
        <v>1</v>
      </c>
      <c r="N116" s="47" t="s">
        <v>30</v>
      </c>
      <c r="O116" s="47" t="s">
        <v>220</v>
      </c>
      <c r="P116" s="47" t="s">
        <v>221</v>
      </c>
      <c r="Q116" s="47" t="s">
        <v>222</v>
      </c>
      <c r="R116" s="47" t="s">
        <v>223</v>
      </c>
      <c r="S116" s="47" t="s">
        <v>224</v>
      </c>
      <c r="T116" s="48" t="s">
        <v>225</v>
      </c>
    </row>
    <row r="117" spans="2:65" s="1" customFormat="1" ht="22.95" customHeight="1" x14ac:dyDescent="0.3">
      <c r="B117" s="24"/>
      <c r="C117" s="51" t="s">
        <v>191</v>
      </c>
      <c r="J117" s="102">
        <f>BK117</f>
        <v>52437.869999999995</v>
      </c>
      <c r="L117" s="24"/>
      <c r="M117" s="49"/>
      <c r="N117" s="40"/>
      <c r="O117" s="40"/>
      <c r="P117" s="103">
        <f>P118</f>
        <v>0</v>
      </c>
      <c r="Q117" s="40"/>
      <c r="R117" s="103">
        <f>R118</f>
        <v>0</v>
      </c>
      <c r="S117" s="40"/>
      <c r="T117" s="104">
        <f>T118</f>
        <v>0</v>
      </c>
      <c r="AT117" s="13" t="s">
        <v>57</v>
      </c>
      <c r="AU117" s="13" t="s">
        <v>192</v>
      </c>
      <c r="BK117" s="105">
        <f>BK118</f>
        <v>52437.869999999995</v>
      </c>
    </row>
    <row r="118" spans="2:65" s="11" customFormat="1" ht="25.95" customHeight="1" x14ac:dyDescent="0.25">
      <c r="B118" s="106"/>
      <c r="D118" s="107" t="s">
        <v>57</v>
      </c>
      <c r="E118" s="108" t="s">
        <v>2603</v>
      </c>
      <c r="F118" s="108" t="s">
        <v>2604</v>
      </c>
      <c r="J118" s="109">
        <f>BK118</f>
        <v>52437.869999999995</v>
      </c>
      <c r="L118" s="106"/>
      <c r="M118" s="110"/>
      <c r="N118" s="111"/>
      <c r="O118" s="111"/>
      <c r="P118" s="112">
        <f>SUM(P119:P157)</f>
        <v>0</v>
      </c>
      <c r="Q118" s="111"/>
      <c r="R118" s="112">
        <f>SUM(R119:R157)</f>
        <v>0</v>
      </c>
      <c r="S118" s="111"/>
      <c r="T118" s="113">
        <f>SUM(T119:T157)</f>
        <v>0</v>
      </c>
      <c r="AR118" s="107" t="s">
        <v>63</v>
      </c>
      <c r="AT118" s="114" t="s">
        <v>57</v>
      </c>
      <c r="AU118" s="114" t="s">
        <v>58</v>
      </c>
      <c r="AY118" s="107" t="s">
        <v>228</v>
      </c>
      <c r="BK118" s="115">
        <f>SUM(BK119:BK157)</f>
        <v>52437.869999999995</v>
      </c>
    </row>
    <row r="119" spans="2:65" s="1" customFormat="1" ht="24" customHeight="1" x14ac:dyDescent="0.2">
      <c r="B119" s="118"/>
      <c r="C119" s="119" t="s">
        <v>63</v>
      </c>
      <c r="D119" s="119" t="s">
        <v>231</v>
      </c>
      <c r="E119" s="120" t="s">
        <v>2605</v>
      </c>
      <c r="F119" s="121" t="s">
        <v>2606</v>
      </c>
      <c r="G119" s="122" t="s">
        <v>1194</v>
      </c>
      <c r="H119" s="123">
        <v>1</v>
      </c>
      <c r="I119" s="124">
        <v>2902.5</v>
      </c>
      <c r="J119" s="124">
        <f>ROUND(I119*H119,2)</f>
        <v>2902.5</v>
      </c>
      <c r="K119" s="121" t="s">
        <v>1</v>
      </c>
      <c r="L119" s="24"/>
      <c r="M119" s="125" t="s">
        <v>1</v>
      </c>
      <c r="N119" s="126" t="s">
        <v>32</v>
      </c>
      <c r="O119" s="127">
        <v>0</v>
      </c>
      <c r="P119" s="127">
        <f>O119*H119</f>
        <v>0</v>
      </c>
      <c r="Q119" s="127">
        <v>0</v>
      </c>
      <c r="R119" s="127">
        <f>Q119*H119</f>
        <v>0</v>
      </c>
      <c r="S119" s="127">
        <v>0</v>
      </c>
      <c r="T119" s="128">
        <f>S119*H119</f>
        <v>0</v>
      </c>
      <c r="AR119" s="129" t="s">
        <v>235</v>
      </c>
      <c r="AT119" s="129" t="s">
        <v>231</v>
      </c>
      <c r="AU119" s="129" t="s">
        <v>63</v>
      </c>
      <c r="AY119" s="13" t="s">
        <v>228</v>
      </c>
      <c r="BE119" s="130">
        <f>IF(N119="základná",J119,0)</f>
        <v>0</v>
      </c>
      <c r="BF119" s="130">
        <f>IF(N119="znížená",J119,0)</f>
        <v>2902.5</v>
      </c>
      <c r="BG119" s="130">
        <f>IF(N119="zákl. prenesená",J119,0)</f>
        <v>0</v>
      </c>
      <c r="BH119" s="130">
        <f>IF(N119="zníž. prenesená",J119,0)</f>
        <v>0</v>
      </c>
      <c r="BI119" s="130">
        <f>IF(N119="nulová",J119,0)</f>
        <v>0</v>
      </c>
      <c r="BJ119" s="13" t="s">
        <v>76</v>
      </c>
      <c r="BK119" s="130">
        <f>ROUND(I119*H119,2)</f>
        <v>2902.5</v>
      </c>
      <c r="BL119" s="13" t="s">
        <v>235</v>
      </c>
      <c r="BM119" s="129" t="s">
        <v>76</v>
      </c>
    </row>
    <row r="120" spans="2:65" s="1" customFormat="1" ht="16.5" customHeight="1" x14ac:dyDescent="0.2">
      <c r="B120" s="118"/>
      <c r="C120" s="119" t="s">
        <v>76</v>
      </c>
      <c r="D120" s="119" t="s">
        <v>231</v>
      </c>
      <c r="E120" s="120" t="s">
        <v>2607</v>
      </c>
      <c r="F120" s="121" t="s">
        <v>2590</v>
      </c>
      <c r="G120" s="122" t="s">
        <v>1194</v>
      </c>
      <c r="H120" s="123">
        <v>1</v>
      </c>
      <c r="I120" s="124">
        <v>21315.96</v>
      </c>
      <c r="J120" s="124">
        <f>ROUND(I120*H120,2)</f>
        <v>21315.96</v>
      </c>
      <c r="K120" s="121" t="s">
        <v>1</v>
      </c>
      <c r="L120" s="24"/>
      <c r="M120" s="125" t="s">
        <v>1</v>
      </c>
      <c r="N120" s="126" t="s">
        <v>32</v>
      </c>
      <c r="O120" s="127">
        <v>0</v>
      </c>
      <c r="P120" s="127">
        <f>O120*H120</f>
        <v>0</v>
      </c>
      <c r="Q120" s="127">
        <v>0</v>
      </c>
      <c r="R120" s="127">
        <f>Q120*H120</f>
        <v>0</v>
      </c>
      <c r="S120" s="127">
        <v>0</v>
      </c>
      <c r="T120" s="128">
        <f>S120*H120</f>
        <v>0</v>
      </c>
      <c r="AR120" s="129" t="s">
        <v>235</v>
      </c>
      <c r="AT120" s="129" t="s">
        <v>231</v>
      </c>
      <c r="AU120" s="129" t="s">
        <v>63</v>
      </c>
      <c r="AY120" s="13" t="s">
        <v>228</v>
      </c>
      <c r="BE120" s="130">
        <f>IF(N120="základná",J120,0)</f>
        <v>0</v>
      </c>
      <c r="BF120" s="130">
        <f>IF(N120="znížená",J120,0)</f>
        <v>21315.96</v>
      </c>
      <c r="BG120" s="130">
        <f>IF(N120="zákl. prenesená",J120,0)</f>
        <v>0</v>
      </c>
      <c r="BH120" s="130">
        <f>IF(N120="zníž. prenesená",J120,0)</f>
        <v>0</v>
      </c>
      <c r="BI120" s="130">
        <f>IF(N120="nulová",J120,0)</f>
        <v>0</v>
      </c>
      <c r="BJ120" s="13" t="s">
        <v>76</v>
      </c>
      <c r="BK120" s="130">
        <f>ROUND(I120*H120,2)</f>
        <v>21315.96</v>
      </c>
      <c r="BL120" s="13" t="s">
        <v>235</v>
      </c>
      <c r="BM120" s="129" t="s">
        <v>235</v>
      </c>
    </row>
    <row r="121" spans="2:65" s="1" customFormat="1" ht="409.6" x14ac:dyDescent="0.2">
      <c r="B121" s="24"/>
      <c r="D121" s="144" t="s">
        <v>1259</v>
      </c>
      <c r="F121" s="150" t="s">
        <v>2608</v>
      </c>
      <c r="L121" s="24"/>
      <c r="M121" s="146"/>
      <c r="N121" s="42"/>
      <c r="O121" s="42"/>
      <c r="P121" s="42"/>
      <c r="Q121" s="42"/>
      <c r="R121" s="42"/>
      <c r="S121" s="42"/>
      <c r="T121" s="43"/>
      <c r="AT121" s="13" t="s">
        <v>1259</v>
      </c>
      <c r="AU121" s="13" t="s">
        <v>63</v>
      </c>
    </row>
    <row r="122" spans="2:65" s="1" customFormat="1" ht="16.5" customHeight="1" x14ac:dyDescent="0.2">
      <c r="B122" s="118"/>
      <c r="C122" s="119" t="s">
        <v>229</v>
      </c>
      <c r="D122" s="119" t="s">
        <v>231</v>
      </c>
      <c r="E122" s="120" t="s">
        <v>2609</v>
      </c>
      <c r="F122" s="121" t="s">
        <v>2610</v>
      </c>
      <c r="G122" s="122" t="s">
        <v>1194</v>
      </c>
      <c r="H122" s="123">
        <v>1</v>
      </c>
      <c r="I122" s="124">
        <v>769.74</v>
      </c>
      <c r="J122" s="124">
        <f>ROUND(I122*H122,2)</f>
        <v>769.74</v>
      </c>
      <c r="K122" s="121" t="s">
        <v>1</v>
      </c>
      <c r="L122" s="24"/>
      <c r="M122" s="125" t="s">
        <v>1</v>
      </c>
      <c r="N122" s="126" t="s">
        <v>32</v>
      </c>
      <c r="O122" s="127">
        <v>0</v>
      </c>
      <c r="P122" s="127">
        <f>O122*H122</f>
        <v>0</v>
      </c>
      <c r="Q122" s="127">
        <v>0</v>
      </c>
      <c r="R122" s="127">
        <f>Q122*H122</f>
        <v>0</v>
      </c>
      <c r="S122" s="127">
        <v>0</v>
      </c>
      <c r="T122" s="128">
        <f>S122*H122</f>
        <v>0</v>
      </c>
      <c r="AR122" s="129" t="s">
        <v>235</v>
      </c>
      <c r="AT122" s="129" t="s">
        <v>231</v>
      </c>
      <c r="AU122" s="129" t="s">
        <v>63</v>
      </c>
      <c r="AY122" s="13" t="s">
        <v>228</v>
      </c>
      <c r="BE122" s="130">
        <f>IF(N122="základná",J122,0)</f>
        <v>0</v>
      </c>
      <c r="BF122" s="130">
        <f>IF(N122="znížená",J122,0)</f>
        <v>769.74</v>
      </c>
      <c r="BG122" s="130">
        <f>IF(N122="zákl. prenesená",J122,0)</f>
        <v>0</v>
      </c>
      <c r="BH122" s="130">
        <f>IF(N122="zníž. prenesená",J122,0)</f>
        <v>0</v>
      </c>
      <c r="BI122" s="130">
        <f>IF(N122="nulová",J122,0)</f>
        <v>0</v>
      </c>
      <c r="BJ122" s="13" t="s">
        <v>76</v>
      </c>
      <c r="BK122" s="130">
        <f>ROUND(I122*H122,2)</f>
        <v>769.74</v>
      </c>
      <c r="BL122" s="13" t="s">
        <v>235</v>
      </c>
      <c r="BM122" s="129" t="s">
        <v>240</v>
      </c>
    </row>
    <row r="123" spans="2:65" s="1" customFormat="1" ht="48" x14ac:dyDescent="0.2">
      <c r="B123" s="24"/>
      <c r="D123" s="144" t="s">
        <v>1259</v>
      </c>
      <c r="F123" s="145" t="s">
        <v>2611</v>
      </c>
      <c r="L123" s="24"/>
      <c r="M123" s="146"/>
      <c r="N123" s="42"/>
      <c r="O123" s="42"/>
      <c r="P123" s="42"/>
      <c r="Q123" s="42"/>
      <c r="R123" s="42"/>
      <c r="S123" s="42"/>
      <c r="T123" s="43"/>
      <c r="AT123" s="13" t="s">
        <v>1259</v>
      </c>
      <c r="AU123" s="13" t="s">
        <v>63</v>
      </c>
    </row>
    <row r="124" spans="2:65" s="1" customFormat="1" ht="72" customHeight="1" x14ac:dyDescent="0.2">
      <c r="B124" s="118"/>
      <c r="C124" s="119" t="s">
        <v>235</v>
      </c>
      <c r="D124" s="119" t="s">
        <v>231</v>
      </c>
      <c r="E124" s="120" t="s">
        <v>2612</v>
      </c>
      <c r="F124" s="121" t="s">
        <v>2613</v>
      </c>
      <c r="G124" s="122" t="s">
        <v>1194</v>
      </c>
      <c r="H124" s="123">
        <v>1</v>
      </c>
      <c r="I124" s="124">
        <v>111.53</v>
      </c>
      <c r="J124" s="124">
        <f>ROUND(I124*H124,2)</f>
        <v>111.53</v>
      </c>
      <c r="K124" s="121" t="s">
        <v>1</v>
      </c>
      <c r="L124" s="24"/>
      <c r="M124" s="125" t="s">
        <v>1</v>
      </c>
      <c r="N124" s="126" t="s">
        <v>32</v>
      </c>
      <c r="O124" s="127">
        <v>0</v>
      </c>
      <c r="P124" s="127">
        <f>O124*H124</f>
        <v>0</v>
      </c>
      <c r="Q124" s="127">
        <v>0</v>
      </c>
      <c r="R124" s="127">
        <f>Q124*H124</f>
        <v>0</v>
      </c>
      <c r="S124" s="127">
        <v>0</v>
      </c>
      <c r="T124" s="128">
        <f>S124*H124</f>
        <v>0</v>
      </c>
      <c r="AR124" s="129" t="s">
        <v>235</v>
      </c>
      <c r="AT124" s="129" t="s">
        <v>231</v>
      </c>
      <c r="AU124" s="129" t="s">
        <v>63</v>
      </c>
      <c r="AY124" s="13" t="s">
        <v>228</v>
      </c>
      <c r="BE124" s="130">
        <f>IF(N124="základná",J124,0)</f>
        <v>0</v>
      </c>
      <c r="BF124" s="130">
        <f>IF(N124="znížená",J124,0)</f>
        <v>111.53</v>
      </c>
      <c r="BG124" s="130">
        <f>IF(N124="zákl. prenesená",J124,0)</f>
        <v>0</v>
      </c>
      <c r="BH124" s="130">
        <f>IF(N124="zníž. prenesená",J124,0)</f>
        <v>0</v>
      </c>
      <c r="BI124" s="130">
        <f>IF(N124="nulová",J124,0)</f>
        <v>0</v>
      </c>
      <c r="BJ124" s="13" t="s">
        <v>76</v>
      </c>
      <c r="BK124" s="130">
        <f>ROUND(I124*H124,2)</f>
        <v>111.53</v>
      </c>
      <c r="BL124" s="13" t="s">
        <v>235</v>
      </c>
      <c r="BM124" s="129" t="s">
        <v>244</v>
      </c>
    </row>
    <row r="125" spans="2:65" s="1" customFormat="1" ht="67.2" x14ac:dyDescent="0.2">
      <c r="B125" s="24"/>
      <c r="D125" s="144" t="s">
        <v>1259</v>
      </c>
      <c r="F125" s="145" t="s">
        <v>2614</v>
      </c>
      <c r="L125" s="24"/>
      <c r="M125" s="146"/>
      <c r="N125" s="42"/>
      <c r="O125" s="42"/>
      <c r="P125" s="42"/>
      <c r="Q125" s="42"/>
      <c r="R125" s="42"/>
      <c r="S125" s="42"/>
      <c r="T125" s="43"/>
      <c r="AT125" s="13" t="s">
        <v>1259</v>
      </c>
      <c r="AU125" s="13" t="s">
        <v>63</v>
      </c>
    </row>
    <row r="126" spans="2:65" s="1" customFormat="1" ht="60" customHeight="1" x14ac:dyDescent="0.2">
      <c r="B126" s="118"/>
      <c r="C126" s="119" t="s">
        <v>245</v>
      </c>
      <c r="D126" s="119" t="s">
        <v>231</v>
      </c>
      <c r="E126" s="120" t="s">
        <v>2615</v>
      </c>
      <c r="F126" s="121" t="s">
        <v>2616</v>
      </c>
      <c r="G126" s="122" t="s">
        <v>1194</v>
      </c>
      <c r="H126" s="123">
        <v>7</v>
      </c>
      <c r="I126" s="124">
        <v>248.91</v>
      </c>
      <c r="J126" s="124">
        <f>ROUND(I126*H126,2)</f>
        <v>1742.37</v>
      </c>
      <c r="K126" s="121" t="s">
        <v>1</v>
      </c>
      <c r="L126" s="24"/>
      <c r="M126" s="125" t="s">
        <v>1</v>
      </c>
      <c r="N126" s="126" t="s">
        <v>32</v>
      </c>
      <c r="O126" s="127">
        <v>0</v>
      </c>
      <c r="P126" s="127">
        <f>O126*H126</f>
        <v>0</v>
      </c>
      <c r="Q126" s="127">
        <v>0</v>
      </c>
      <c r="R126" s="127">
        <f>Q126*H126</f>
        <v>0</v>
      </c>
      <c r="S126" s="127">
        <v>0</v>
      </c>
      <c r="T126" s="128">
        <f>S126*H126</f>
        <v>0</v>
      </c>
      <c r="AR126" s="129" t="s">
        <v>235</v>
      </c>
      <c r="AT126" s="129" t="s">
        <v>231</v>
      </c>
      <c r="AU126" s="129" t="s">
        <v>63</v>
      </c>
      <c r="AY126" s="13" t="s">
        <v>228</v>
      </c>
      <c r="BE126" s="130">
        <f>IF(N126="základná",J126,0)</f>
        <v>0</v>
      </c>
      <c r="BF126" s="130">
        <f>IF(N126="znížená",J126,0)</f>
        <v>1742.37</v>
      </c>
      <c r="BG126" s="130">
        <f>IF(N126="zákl. prenesená",J126,0)</f>
        <v>0</v>
      </c>
      <c r="BH126" s="130">
        <f>IF(N126="zníž. prenesená",J126,0)</f>
        <v>0</v>
      </c>
      <c r="BI126" s="130">
        <f>IF(N126="nulová",J126,0)</f>
        <v>0</v>
      </c>
      <c r="BJ126" s="13" t="s">
        <v>76</v>
      </c>
      <c r="BK126" s="130">
        <f>ROUND(I126*H126,2)</f>
        <v>1742.37</v>
      </c>
      <c r="BL126" s="13" t="s">
        <v>235</v>
      </c>
      <c r="BM126" s="129" t="s">
        <v>248</v>
      </c>
    </row>
    <row r="127" spans="2:65" s="1" customFormat="1" ht="230.4" x14ac:dyDescent="0.2">
      <c r="B127" s="24"/>
      <c r="D127" s="144" t="s">
        <v>1259</v>
      </c>
      <c r="F127" s="145" t="s">
        <v>2617</v>
      </c>
      <c r="L127" s="24"/>
      <c r="M127" s="146"/>
      <c r="N127" s="42"/>
      <c r="O127" s="42"/>
      <c r="P127" s="42"/>
      <c r="Q127" s="42"/>
      <c r="R127" s="42"/>
      <c r="S127" s="42"/>
      <c r="T127" s="43"/>
      <c r="AT127" s="13" t="s">
        <v>1259</v>
      </c>
      <c r="AU127" s="13" t="s">
        <v>63</v>
      </c>
    </row>
    <row r="128" spans="2:65" s="1" customFormat="1" ht="72" customHeight="1" x14ac:dyDescent="0.2">
      <c r="B128" s="118"/>
      <c r="C128" s="119" t="s">
        <v>240</v>
      </c>
      <c r="D128" s="119" t="s">
        <v>231</v>
      </c>
      <c r="E128" s="120" t="s">
        <v>2618</v>
      </c>
      <c r="F128" s="121" t="s">
        <v>2619</v>
      </c>
      <c r="G128" s="122" t="s">
        <v>1194</v>
      </c>
      <c r="H128" s="123">
        <v>4</v>
      </c>
      <c r="I128" s="124">
        <v>27.7</v>
      </c>
      <c r="J128" s="124">
        <f>ROUND(I128*H128,2)</f>
        <v>110.8</v>
      </c>
      <c r="K128" s="121" t="s">
        <v>1</v>
      </c>
      <c r="L128" s="24"/>
      <c r="M128" s="125" t="s">
        <v>1</v>
      </c>
      <c r="N128" s="126" t="s">
        <v>32</v>
      </c>
      <c r="O128" s="127">
        <v>0</v>
      </c>
      <c r="P128" s="127">
        <f>O128*H128</f>
        <v>0</v>
      </c>
      <c r="Q128" s="127">
        <v>0</v>
      </c>
      <c r="R128" s="127">
        <f>Q128*H128</f>
        <v>0</v>
      </c>
      <c r="S128" s="127">
        <v>0</v>
      </c>
      <c r="T128" s="128">
        <f>S128*H128</f>
        <v>0</v>
      </c>
      <c r="AR128" s="129" t="s">
        <v>235</v>
      </c>
      <c r="AT128" s="129" t="s">
        <v>231</v>
      </c>
      <c r="AU128" s="129" t="s">
        <v>63</v>
      </c>
      <c r="AY128" s="13" t="s">
        <v>228</v>
      </c>
      <c r="BE128" s="130">
        <f>IF(N128="základná",J128,0)</f>
        <v>0</v>
      </c>
      <c r="BF128" s="130">
        <f>IF(N128="znížená",J128,0)</f>
        <v>110.8</v>
      </c>
      <c r="BG128" s="130">
        <f>IF(N128="zákl. prenesená",J128,0)</f>
        <v>0</v>
      </c>
      <c r="BH128" s="130">
        <f>IF(N128="zníž. prenesená",J128,0)</f>
        <v>0</v>
      </c>
      <c r="BI128" s="130">
        <f>IF(N128="nulová",J128,0)</f>
        <v>0</v>
      </c>
      <c r="BJ128" s="13" t="s">
        <v>76</v>
      </c>
      <c r="BK128" s="130">
        <f>ROUND(I128*H128,2)</f>
        <v>110.8</v>
      </c>
      <c r="BL128" s="13" t="s">
        <v>235</v>
      </c>
      <c r="BM128" s="129" t="s">
        <v>251</v>
      </c>
    </row>
    <row r="129" spans="2:65" s="1" customFormat="1" ht="76.8" x14ac:dyDescent="0.2">
      <c r="B129" s="24"/>
      <c r="D129" s="144" t="s">
        <v>1259</v>
      </c>
      <c r="F129" s="145" t="s">
        <v>2620</v>
      </c>
      <c r="L129" s="24"/>
      <c r="M129" s="146"/>
      <c r="N129" s="42"/>
      <c r="O129" s="42"/>
      <c r="P129" s="42"/>
      <c r="Q129" s="42"/>
      <c r="R129" s="42"/>
      <c r="S129" s="42"/>
      <c r="T129" s="43"/>
      <c r="AT129" s="13" t="s">
        <v>1259</v>
      </c>
      <c r="AU129" s="13" t="s">
        <v>63</v>
      </c>
    </row>
    <row r="130" spans="2:65" s="1" customFormat="1" ht="72" customHeight="1" x14ac:dyDescent="0.2">
      <c r="B130" s="118"/>
      <c r="C130" s="119" t="s">
        <v>252</v>
      </c>
      <c r="D130" s="119" t="s">
        <v>231</v>
      </c>
      <c r="E130" s="120" t="s">
        <v>2621</v>
      </c>
      <c r="F130" s="121" t="s">
        <v>2622</v>
      </c>
      <c r="G130" s="122" t="s">
        <v>1194</v>
      </c>
      <c r="H130" s="123">
        <v>10</v>
      </c>
      <c r="I130" s="124">
        <v>30.98</v>
      </c>
      <c r="J130" s="124">
        <f>ROUND(I130*H130,2)</f>
        <v>309.8</v>
      </c>
      <c r="K130" s="121" t="s">
        <v>1</v>
      </c>
      <c r="L130" s="24"/>
      <c r="M130" s="125" t="s">
        <v>1</v>
      </c>
      <c r="N130" s="126" t="s">
        <v>32</v>
      </c>
      <c r="O130" s="127">
        <v>0</v>
      </c>
      <c r="P130" s="127">
        <f>O130*H130</f>
        <v>0</v>
      </c>
      <c r="Q130" s="127">
        <v>0</v>
      </c>
      <c r="R130" s="127">
        <f>Q130*H130</f>
        <v>0</v>
      </c>
      <c r="S130" s="127">
        <v>0</v>
      </c>
      <c r="T130" s="128">
        <f>S130*H130</f>
        <v>0</v>
      </c>
      <c r="AR130" s="129" t="s">
        <v>235</v>
      </c>
      <c r="AT130" s="129" t="s">
        <v>231</v>
      </c>
      <c r="AU130" s="129" t="s">
        <v>63</v>
      </c>
      <c r="AY130" s="13" t="s">
        <v>228</v>
      </c>
      <c r="BE130" s="130">
        <f>IF(N130="základná",J130,0)</f>
        <v>0</v>
      </c>
      <c r="BF130" s="130">
        <f>IF(N130="znížená",J130,0)</f>
        <v>309.8</v>
      </c>
      <c r="BG130" s="130">
        <f>IF(N130="zákl. prenesená",J130,0)</f>
        <v>0</v>
      </c>
      <c r="BH130" s="130">
        <f>IF(N130="zníž. prenesená",J130,0)</f>
        <v>0</v>
      </c>
      <c r="BI130" s="130">
        <f>IF(N130="nulová",J130,0)</f>
        <v>0</v>
      </c>
      <c r="BJ130" s="13" t="s">
        <v>76</v>
      </c>
      <c r="BK130" s="130">
        <f>ROUND(I130*H130,2)</f>
        <v>309.8</v>
      </c>
      <c r="BL130" s="13" t="s">
        <v>235</v>
      </c>
      <c r="BM130" s="129" t="s">
        <v>255</v>
      </c>
    </row>
    <row r="131" spans="2:65" s="1" customFormat="1" ht="124.8" x14ac:dyDescent="0.2">
      <c r="B131" s="24"/>
      <c r="D131" s="144" t="s">
        <v>1259</v>
      </c>
      <c r="F131" s="145" t="s">
        <v>2623</v>
      </c>
      <c r="L131" s="24"/>
      <c r="M131" s="146"/>
      <c r="N131" s="42"/>
      <c r="O131" s="42"/>
      <c r="P131" s="42"/>
      <c r="Q131" s="42"/>
      <c r="R131" s="42"/>
      <c r="S131" s="42"/>
      <c r="T131" s="43"/>
      <c r="AT131" s="13" t="s">
        <v>1259</v>
      </c>
      <c r="AU131" s="13" t="s">
        <v>63</v>
      </c>
    </row>
    <row r="132" spans="2:65" s="1" customFormat="1" ht="36" customHeight="1" x14ac:dyDescent="0.2">
      <c r="B132" s="118"/>
      <c r="C132" s="119" t="s">
        <v>244</v>
      </c>
      <c r="D132" s="119" t="s">
        <v>231</v>
      </c>
      <c r="E132" s="120" t="s">
        <v>2624</v>
      </c>
      <c r="F132" s="121" t="s">
        <v>2625</v>
      </c>
      <c r="G132" s="122" t="s">
        <v>1194</v>
      </c>
      <c r="H132" s="123">
        <v>2</v>
      </c>
      <c r="I132" s="124">
        <v>40.51</v>
      </c>
      <c r="J132" s="124">
        <f>ROUND(I132*H132,2)</f>
        <v>81.02</v>
      </c>
      <c r="K132" s="121" t="s">
        <v>1</v>
      </c>
      <c r="L132" s="24"/>
      <c r="M132" s="125" t="s">
        <v>1</v>
      </c>
      <c r="N132" s="126" t="s">
        <v>32</v>
      </c>
      <c r="O132" s="127">
        <v>0</v>
      </c>
      <c r="P132" s="127">
        <f>O132*H132</f>
        <v>0</v>
      </c>
      <c r="Q132" s="127">
        <v>0</v>
      </c>
      <c r="R132" s="127">
        <f>Q132*H132</f>
        <v>0</v>
      </c>
      <c r="S132" s="127">
        <v>0</v>
      </c>
      <c r="T132" s="128">
        <f>S132*H132</f>
        <v>0</v>
      </c>
      <c r="AR132" s="129" t="s">
        <v>235</v>
      </c>
      <c r="AT132" s="129" t="s">
        <v>231</v>
      </c>
      <c r="AU132" s="129" t="s">
        <v>63</v>
      </c>
      <c r="AY132" s="13" t="s">
        <v>228</v>
      </c>
      <c r="BE132" s="130">
        <f>IF(N132="základná",J132,0)</f>
        <v>0</v>
      </c>
      <c r="BF132" s="130">
        <f>IF(N132="znížená",J132,0)</f>
        <v>81.02</v>
      </c>
      <c r="BG132" s="130">
        <f>IF(N132="zákl. prenesená",J132,0)</f>
        <v>0</v>
      </c>
      <c r="BH132" s="130">
        <f>IF(N132="zníž. prenesená",J132,0)</f>
        <v>0</v>
      </c>
      <c r="BI132" s="130">
        <f>IF(N132="nulová",J132,0)</f>
        <v>0</v>
      </c>
      <c r="BJ132" s="13" t="s">
        <v>76</v>
      </c>
      <c r="BK132" s="130">
        <f>ROUND(I132*H132,2)</f>
        <v>81.02</v>
      </c>
      <c r="BL132" s="13" t="s">
        <v>235</v>
      </c>
      <c r="BM132" s="129" t="s">
        <v>258</v>
      </c>
    </row>
    <row r="133" spans="2:65" s="1" customFormat="1" ht="96" x14ac:dyDescent="0.2">
      <c r="B133" s="24"/>
      <c r="D133" s="144" t="s">
        <v>1259</v>
      </c>
      <c r="F133" s="145" t="s">
        <v>2626</v>
      </c>
      <c r="L133" s="24"/>
      <c r="M133" s="146"/>
      <c r="N133" s="42"/>
      <c r="O133" s="42"/>
      <c r="P133" s="42"/>
      <c r="Q133" s="42"/>
      <c r="R133" s="42"/>
      <c r="S133" s="42"/>
      <c r="T133" s="43"/>
      <c r="AT133" s="13" t="s">
        <v>1259</v>
      </c>
      <c r="AU133" s="13" t="s">
        <v>63</v>
      </c>
    </row>
    <row r="134" spans="2:65" s="1" customFormat="1" ht="60" customHeight="1" x14ac:dyDescent="0.2">
      <c r="B134" s="118"/>
      <c r="C134" s="119" t="s">
        <v>259</v>
      </c>
      <c r="D134" s="119" t="s">
        <v>231</v>
      </c>
      <c r="E134" s="120" t="s">
        <v>2627</v>
      </c>
      <c r="F134" s="121" t="s">
        <v>2628</v>
      </c>
      <c r="G134" s="122" t="s">
        <v>1194</v>
      </c>
      <c r="H134" s="123">
        <v>1</v>
      </c>
      <c r="I134" s="124">
        <v>388.32</v>
      </c>
      <c r="J134" s="124">
        <f>ROUND(I134*H134,2)</f>
        <v>388.32</v>
      </c>
      <c r="K134" s="121" t="s">
        <v>1</v>
      </c>
      <c r="L134" s="24"/>
      <c r="M134" s="125" t="s">
        <v>1</v>
      </c>
      <c r="N134" s="126" t="s">
        <v>32</v>
      </c>
      <c r="O134" s="127">
        <v>0</v>
      </c>
      <c r="P134" s="127">
        <f>O134*H134</f>
        <v>0</v>
      </c>
      <c r="Q134" s="127">
        <v>0</v>
      </c>
      <c r="R134" s="127">
        <f>Q134*H134</f>
        <v>0</v>
      </c>
      <c r="S134" s="127">
        <v>0</v>
      </c>
      <c r="T134" s="128">
        <f>S134*H134</f>
        <v>0</v>
      </c>
      <c r="AR134" s="129" t="s">
        <v>235</v>
      </c>
      <c r="AT134" s="129" t="s">
        <v>231</v>
      </c>
      <c r="AU134" s="129" t="s">
        <v>63</v>
      </c>
      <c r="AY134" s="13" t="s">
        <v>228</v>
      </c>
      <c r="BE134" s="130">
        <f>IF(N134="základná",J134,0)</f>
        <v>0</v>
      </c>
      <c r="BF134" s="130">
        <f>IF(N134="znížená",J134,0)</f>
        <v>388.32</v>
      </c>
      <c r="BG134" s="130">
        <f>IF(N134="zákl. prenesená",J134,0)</f>
        <v>0</v>
      </c>
      <c r="BH134" s="130">
        <f>IF(N134="zníž. prenesená",J134,0)</f>
        <v>0</v>
      </c>
      <c r="BI134" s="130">
        <f>IF(N134="nulová",J134,0)</f>
        <v>0</v>
      </c>
      <c r="BJ134" s="13" t="s">
        <v>76</v>
      </c>
      <c r="BK134" s="130">
        <f>ROUND(I134*H134,2)</f>
        <v>388.32</v>
      </c>
      <c r="BL134" s="13" t="s">
        <v>235</v>
      </c>
      <c r="BM134" s="129" t="s">
        <v>2629</v>
      </c>
    </row>
    <row r="135" spans="2:65" s="1" customFormat="1" ht="105.6" x14ac:dyDescent="0.2">
      <c r="B135" s="24"/>
      <c r="D135" s="144" t="s">
        <v>1259</v>
      </c>
      <c r="F135" s="145" t="s">
        <v>2630</v>
      </c>
      <c r="L135" s="24"/>
      <c r="M135" s="146"/>
      <c r="N135" s="42"/>
      <c r="O135" s="42"/>
      <c r="P135" s="42"/>
      <c r="Q135" s="42"/>
      <c r="R135" s="42"/>
      <c r="S135" s="42"/>
      <c r="T135" s="43"/>
      <c r="AT135" s="13" t="s">
        <v>1259</v>
      </c>
      <c r="AU135" s="13" t="s">
        <v>63</v>
      </c>
    </row>
    <row r="136" spans="2:65" s="1" customFormat="1" ht="60" customHeight="1" x14ac:dyDescent="0.2">
      <c r="B136" s="118"/>
      <c r="C136" s="119" t="s">
        <v>248</v>
      </c>
      <c r="D136" s="119" t="s">
        <v>231</v>
      </c>
      <c r="E136" s="120" t="s">
        <v>2631</v>
      </c>
      <c r="F136" s="121" t="s">
        <v>2628</v>
      </c>
      <c r="G136" s="122" t="s">
        <v>1194</v>
      </c>
      <c r="H136" s="123">
        <v>1</v>
      </c>
      <c r="I136" s="124">
        <v>334.94</v>
      </c>
      <c r="J136" s="124">
        <f>ROUND(I136*H136,2)</f>
        <v>334.94</v>
      </c>
      <c r="K136" s="121" t="s">
        <v>1</v>
      </c>
      <c r="L136" s="24"/>
      <c r="M136" s="125" t="s">
        <v>1</v>
      </c>
      <c r="N136" s="126" t="s">
        <v>32</v>
      </c>
      <c r="O136" s="127">
        <v>0</v>
      </c>
      <c r="P136" s="127">
        <f>O136*H136</f>
        <v>0</v>
      </c>
      <c r="Q136" s="127">
        <v>0</v>
      </c>
      <c r="R136" s="127">
        <f>Q136*H136</f>
        <v>0</v>
      </c>
      <c r="S136" s="127">
        <v>0</v>
      </c>
      <c r="T136" s="128">
        <f>S136*H136</f>
        <v>0</v>
      </c>
      <c r="AR136" s="129" t="s">
        <v>235</v>
      </c>
      <c r="AT136" s="129" t="s">
        <v>231</v>
      </c>
      <c r="AU136" s="129" t="s">
        <v>63</v>
      </c>
      <c r="AY136" s="13" t="s">
        <v>228</v>
      </c>
      <c r="BE136" s="130">
        <f>IF(N136="základná",J136,0)</f>
        <v>0</v>
      </c>
      <c r="BF136" s="130">
        <f>IF(N136="znížená",J136,0)</f>
        <v>334.94</v>
      </c>
      <c r="BG136" s="130">
        <f>IF(N136="zákl. prenesená",J136,0)</f>
        <v>0</v>
      </c>
      <c r="BH136" s="130">
        <f>IF(N136="zníž. prenesená",J136,0)</f>
        <v>0</v>
      </c>
      <c r="BI136" s="130">
        <f>IF(N136="nulová",J136,0)</f>
        <v>0</v>
      </c>
      <c r="BJ136" s="13" t="s">
        <v>76</v>
      </c>
      <c r="BK136" s="130">
        <f>ROUND(I136*H136,2)</f>
        <v>334.94</v>
      </c>
      <c r="BL136" s="13" t="s">
        <v>235</v>
      </c>
      <c r="BM136" s="129" t="s">
        <v>262</v>
      </c>
    </row>
    <row r="137" spans="2:65" s="1" customFormat="1" ht="105.6" x14ac:dyDescent="0.2">
      <c r="B137" s="24"/>
      <c r="D137" s="144" t="s">
        <v>1259</v>
      </c>
      <c r="F137" s="145" t="s">
        <v>2632</v>
      </c>
      <c r="L137" s="24"/>
      <c r="M137" s="146"/>
      <c r="N137" s="42"/>
      <c r="O137" s="42"/>
      <c r="P137" s="42"/>
      <c r="Q137" s="42"/>
      <c r="R137" s="42"/>
      <c r="S137" s="42"/>
      <c r="T137" s="43"/>
      <c r="AT137" s="13" t="s">
        <v>1259</v>
      </c>
      <c r="AU137" s="13" t="s">
        <v>63</v>
      </c>
    </row>
    <row r="138" spans="2:65" s="1" customFormat="1" ht="60" customHeight="1" x14ac:dyDescent="0.2">
      <c r="B138" s="118"/>
      <c r="C138" s="119" t="s">
        <v>265</v>
      </c>
      <c r="D138" s="119" t="s">
        <v>231</v>
      </c>
      <c r="E138" s="120" t="s">
        <v>2633</v>
      </c>
      <c r="F138" s="121" t="s">
        <v>2628</v>
      </c>
      <c r="G138" s="122" t="s">
        <v>1194</v>
      </c>
      <c r="H138" s="123">
        <v>1</v>
      </c>
      <c r="I138" s="124">
        <v>318.60000000000002</v>
      </c>
      <c r="J138" s="124">
        <f>ROUND(I138*H138,2)</f>
        <v>318.60000000000002</v>
      </c>
      <c r="K138" s="121" t="s">
        <v>1</v>
      </c>
      <c r="L138" s="24"/>
      <c r="M138" s="125" t="s">
        <v>1</v>
      </c>
      <c r="N138" s="126" t="s">
        <v>32</v>
      </c>
      <c r="O138" s="127">
        <v>0</v>
      </c>
      <c r="P138" s="127">
        <f>O138*H138</f>
        <v>0</v>
      </c>
      <c r="Q138" s="127">
        <v>0</v>
      </c>
      <c r="R138" s="127">
        <f>Q138*H138</f>
        <v>0</v>
      </c>
      <c r="S138" s="127">
        <v>0</v>
      </c>
      <c r="T138" s="128">
        <f>S138*H138</f>
        <v>0</v>
      </c>
      <c r="AR138" s="129" t="s">
        <v>235</v>
      </c>
      <c r="AT138" s="129" t="s">
        <v>231</v>
      </c>
      <c r="AU138" s="129" t="s">
        <v>63</v>
      </c>
      <c r="AY138" s="13" t="s">
        <v>228</v>
      </c>
      <c r="BE138" s="130">
        <f>IF(N138="základná",J138,0)</f>
        <v>0</v>
      </c>
      <c r="BF138" s="130">
        <f>IF(N138="znížená",J138,0)</f>
        <v>318.60000000000002</v>
      </c>
      <c r="BG138" s="130">
        <f>IF(N138="zákl. prenesená",J138,0)</f>
        <v>0</v>
      </c>
      <c r="BH138" s="130">
        <f>IF(N138="zníž. prenesená",J138,0)</f>
        <v>0</v>
      </c>
      <c r="BI138" s="130">
        <f>IF(N138="nulová",J138,0)</f>
        <v>0</v>
      </c>
      <c r="BJ138" s="13" t="s">
        <v>76</v>
      </c>
      <c r="BK138" s="130">
        <f>ROUND(I138*H138,2)</f>
        <v>318.60000000000002</v>
      </c>
      <c r="BL138" s="13" t="s">
        <v>235</v>
      </c>
      <c r="BM138" s="129" t="s">
        <v>7</v>
      </c>
    </row>
    <row r="139" spans="2:65" s="1" customFormat="1" ht="105.6" x14ac:dyDescent="0.2">
      <c r="B139" s="24"/>
      <c r="D139" s="144" t="s">
        <v>1259</v>
      </c>
      <c r="F139" s="145" t="s">
        <v>2634</v>
      </c>
      <c r="L139" s="24"/>
      <c r="M139" s="146"/>
      <c r="N139" s="42"/>
      <c r="O139" s="42"/>
      <c r="P139" s="42"/>
      <c r="Q139" s="42"/>
      <c r="R139" s="42"/>
      <c r="S139" s="42"/>
      <c r="T139" s="43"/>
      <c r="AT139" s="13" t="s">
        <v>1259</v>
      </c>
      <c r="AU139" s="13" t="s">
        <v>63</v>
      </c>
    </row>
    <row r="140" spans="2:65" s="1" customFormat="1" ht="72" customHeight="1" x14ac:dyDescent="0.2">
      <c r="B140" s="118"/>
      <c r="C140" s="119" t="s">
        <v>251</v>
      </c>
      <c r="D140" s="119" t="s">
        <v>231</v>
      </c>
      <c r="E140" s="120" t="s">
        <v>2635</v>
      </c>
      <c r="F140" s="121" t="s">
        <v>2636</v>
      </c>
      <c r="G140" s="122" t="s">
        <v>1194</v>
      </c>
      <c r="H140" s="123">
        <v>1</v>
      </c>
      <c r="I140" s="124">
        <v>66.61</v>
      </c>
      <c r="J140" s="124">
        <f>ROUND(I140*H140,2)</f>
        <v>66.61</v>
      </c>
      <c r="K140" s="121" t="s">
        <v>1</v>
      </c>
      <c r="L140" s="24"/>
      <c r="M140" s="125" t="s">
        <v>1</v>
      </c>
      <c r="N140" s="126" t="s">
        <v>32</v>
      </c>
      <c r="O140" s="127">
        <v>0</v>
      </c>
      <c r="P140" s="127">
        <f>O140*H140</f>
        <v>0</v>
      </c>
      <c r="Q140" s="127">
        <v>0</v>
      </c>
      <c r="R140" s="127">
        <f>Q140*H140</f>
        <v>0</v>
      </c>
      <c r="S140" s="127">
        <v>0</v>
      </c>
      <c r="T140" s="128">
        <f>S140*H140</f>
        <v>0</v>
      </c>
      <c r="AR140" s="129" t="s">
        <v>235</v>
      </c>
      <c r="AT140" s="129" t="s">
        <v>231</v>
      </c>
      <c r="AU140" s="129" t="s">
        <v>63</v>
      </c>
      <c r="AY140" s="13" t="s">
        <v>228</v>
      </c>
      <c r="BE140" s="130">
        <f>IF(N140="základná",J140,0)</f>
        <v>0</v>
      </c>
      <c r="BF140" s="130">
        <f>IF(N140="znížená",J140,0)</f>
        <v>66.61</v>
      </c>
      <c r="BG140" s="130">
        <f>IF(N140="zákl. prenesená",J140,0)</f>
        <v>0</v>
      </c>
      <c r="BH140" s="130">
        <f>IF(N140="zníž. prenesená",J140,0)</f>
        <v>0</v>
      </c>
      <c r="BI140" s="130">
        <f>IF(N140="nulová",J140,0)</f>
        <v>0</v>
      </c>
      <c r="BJ140" s="13" t="s">
        <v>76</v>
      </c>
      <c r="BK140" s="130">
        <f>ROUND(I140*H140,2)</f>
        <v>66.61</v>
      </c>
      <c r="BL140" s="13" t="s">
        <v>235</v>
      </c>
      <c r="BM140" s="129" t="s">
        <v>268</v>
      </c>
    </row>
    <row r="141" spans="2:65" s="1" customFormat="1" ht="115.2" x14ac:dyDescent="0.2">
      <c r="B141" s="24"/>
      <c r="D141" s="144" t="s">
        <v>1259</v>
      </c>
      <c r="F141" s="145" t="s">
        <v>2637</v>
      </c>
      <c r="L141" s="24"/>
      <c r="M141" s="146"/>
      <c r="N141" s="42"/>
      <c r="O141" s="42"/>
      <c r="P141" s="42"/>
      <c r="Q141" s="42"/>
      <c r="R141" s="42"/>
      <c r="S141" s="42"/>
      <c r="T141" s="43"/>
      <c r="AT141" s="13" t="s">
        <v>1259</v>
      </c>
      <c r="AU141" s="13" t="s">
        <v>63</v>
      </c>
    </row>
    <row r="142" spans="2:65" s="1" customFormat="1" ht="60" customHeight="1" x14ac:dyDescent="0.2">
      <c r="B142" s="118"/>
      <c r="C142" s="119" t="s">
        <v>273</v>
      </c>
      <c r="D142" s="119" t="s">
        <v>231</v>
      </c>
      <c r="E142" s="120" t="s">
        <v>2638</v>
      </c>
      <c r="F142" s="121" t="s">
        <v>2639</v>
      </c>
      <c r="G142" s="122" t="s">
        <v>1194</v>
      </c>
      <c r="H142" s="123">
        <v>1</v>
      </c>
      <c r="I142" s="124">
        <v>114.43</v>
      </c>
      <c r="J142" s="124">
        <f>ROUND(I142*H142,2)</f>
        <v>114.43</v>
      </c>
      <c r="K142" s="121" t="s">
        <v>1</v>
      </c>
      <c r="L142" s="24"/>
      <c r="M142" s="125" t="s">
        <v>1</v>
      </c>
      <c r="N142" s="126" t="s">
        <v>32</v>
      </c>
      <c r="O142" s="127">
        <v>0</v>
      </c>
      <c r="P142" s="127">
        <f>O142*H142</f>
        <v>0</v>
      </c>
      <c r="Q142" s="127">
        <v>0</v>
      </c>
      <c r="R142" s="127">
        <f>Q142*H142</f>
        <v>0</v>
      </c>
      <c r="S142" s="127">
        <v>0</v>
      </c>
      <c r="T142" s="128">
        <f>S142*H142</f>
        <v>0</v>
      </c>
      <c r="AR142" s="129" t="s">
        <v>235</v>
      </c>
      <c r="AT142" s="129" t="s">
        <v>231</v>
      </c>
      <c r="AU142" s="129" t="s">
        <v>63</v>
      </c>
      <c r="AY142" s="13" t="s">
        <v>228</v>
      </c>
      <c r="BE142" s="130">
        <f>IF(N142="základná",J142,0)</f>
        <v>0</v>
      </c>
      <c r="BF142" s="130">
        <f>IF(N142="znížená",J142,0)</f>
        <v>114.43</v>
      </c>
      <c r="BG142" s="130">
        <f>IF(N142="zákl. prenesená",J142,0)</f>
        <v>0</v>
      </c>
      <c r="BH142" s="130">
        <f>IF(N142="zníž. prenesená",J142,0)</f>
        <v>0</v>
      </c>
      <c r="BI142" s="130">
        <f>IF(N142="nulová",J142,0)</f>
        <v>0</v>
      </c>
      <c r="BJ142" s="13" t="s">
        <v>76</v>
      </c>
      <c r="BK142" s="130">
        <f>ROUND(I142*H142,2)</f>
        <v>114.43</v>
      </c>
      <c r="BL142" s="13" t="s">
        <v>235</v>
      </c>
      <c r="BM142" s="129" t="s">
        <v>272</v>
      </c>
    </row>
    <row r="143" spans="2:65" s="1" customFormat="1" ht="60" customHeight="1" x14ac:dyDescent="0.2">
      <c r="B143" s="118"/>
      <c r="C143" s="119" t="s">
        <v>255</v>
      </c>
      <c r="D143" s="119" t="s">
        <v>231</v>
      </c>
      <c r="E143" s="120" t="s">
        <v>2640</v>
      </c>
      <c r="F143" s="121" t="s">
        <v>2641</v>
      </c>
      <c r="G143" s="122" t="s">
        <v>292</v>
      </c>
      <c r="H143" s="123">
        <v>15</v>
      </c>
      <c r="I143" s="124">
        <v>26.53</v>
      </c>
      <c r="J143" s="124">
        <f>ROUND(I143*H143,2)</f>
        <v>397.95</v>
      </c>
      <c r="K143" s="121" t="s">
        <v>1</v>
      </c>
      <c r="L143" s="24"/>
      <c r="M143" s="125" t="s">
        <v>1</v>
      </c>
      <c r="N143" s="126" t="s">
        <v>32</v>
      </c>
      <c r="O143" s="127">
        <v>0</v>
      </c>
      <c r="P143" s="127">
        <f>O143*H143</f>
        <v>0</v>
      </c>
      <c r="Q143" s="127">
        <v>0</v>
      </c>
      <c r="R143" s="127">
        <f>Q143*H143</f>
        <v>0</v>
      </c>
      <c r="S143" s="127">
        <v>0</v>
      </c>
      <c r="T143" s="128">
        <f>S143*H143</f>
        <v>0</v>
      </c>
      <c r="AR143" s="129" t="s">
        <v>235</v>
      </c>
      <c r="AT143" s="129" t="s">
        <v>231</v>
      </c>
      <c r="AU143" s="129" t="s">
        <v>63</v>
      </c>
      <c r="AY143" s="13" t="s">
        <v>228</v>
      </c>
      <c r="BE143" s="130">
        <f>IF(N143="základná",J143,0)</f>
        <v>0</v>
      </c>
      <c r="BF143" s="130">
        <f>IF(N143="znížená",J143,0)</f>
        <v>397.95</v>
      </c>
      <c r="BG143" s="130">
        <f>IF(N143="zákl. prenesená",J143,0)</f>
        <v>0</v>
      </c>
      <c r="BH143" s="130">
        <f>IF(N143="zníž. prenesená",J143,0)</f>
        <v>0</v>
      </c>
      <c r="BI143" s="130">
        <f>IF(N143="nulová",J143,0)</f>
        <v>0</v>
      </c>
      <c r="BJ143" s="13" t="s">
        <v>76</v>
      </c>
      <c r="BK143" s="130">
        <f>ROUND(I143*H143,2)</f>
        <v>397.95</v>
      </c>
      <c r="BL143" s="13" t="s">
        <v>235</v>
      </c>
      <c r="BM143" s="129" t="s">
        <v>276</v>
      </c>
    </row>
    <row r="144" spans="2:65" s="1" customFormat="1" ht="153.6" x14ac:dyDescent="0.2">
      <c r="B144" s="24"/>
      <c r="D144" s="144" t="s">
        <v>1259</v>
      </c>
      <c r="F144" s="145" t="s">
        <v>2642</v>
      </c>
      <c r="L144" s="24"/>
      <c r="M144" s="146"/>
      <c r="N144" s="42"/>
      <c r="O144" s="42"/>
      <c r="P144" s="42"/>
      <c r="Q144" s="42"/>
      <c r="R144" s="42"/>
      <c r="S144" s="42"/>
      <c r="T144" s="43"/>
      <c r="AT144" s="13" t="s">
        <v>1259</v>
      </c>
      <c r="AU144" s="13" t="s">
        <v>63</v>
      </c>
    </row>
    <row r="145" spans="2:65" s="1" customFormat="1" ht="60" customHeight="1" x14ac:dyDescent="0.2">
      <c r="B145" s="118"/>
      <c r="C145" s="119" t="s">
        <v>281</v>
      </c>
      <c r="D145" s="119" t="s">
        <v>231</v>
      </c>
      <c r="E145" s="120" t="s">
        <v>2643</v>
      </c>
      <c r="F145" s="121" t="s">
        <v>2644</v>
      </c>
      <c r="G145" s="122" t="s">
        <v>284</v>
      </c>
      <c r="H145" s="123">
        <v>189</v>
      </c>
      <c r="I145" s="124">
        <v>27.9</v>
      </c>
      <c r="J145" s="124">
        <f>ROUND(I145*H145,2)</f>
        <v>5273.1</v>
      </c>
      <c r="K145" s="121" t="s">
        <v>1</v>
      </c>
      <c r="L145" s="24"/>
      <c r="M145" s="125" t="s">
        <v>1</v>
      </c>
      <c r="N145" s="126" t="s">
        <v>32</v>
      </c>
      <c r="O145" s="127">
        <v>0</v>
      </c>
      <c r="P145" s="127">
        <f>O145*H145</f>
        <v>0</v>
      </c>
      <c r="Q145" s="127">
        <v>0</v>
      </c>
      <c r="R145" s="127">
        <f>Q145*H145</f>
        <v>0</v>
      </c>
      <c r="S145" s="127">
        <v>0</v>
      </c>
      <c r="T145" s="128">
        <f>S145*H145</f>
        <v>0</v>
      </c>
      <c r="AR145" s="129" t="s">
        <v>235</v>
      </c>
      <c r="AT145" s="129" t="s">
        <v>231</v>
      </c>
      <c r="AU145" s="129" t="s">
        <v>63</v>
      </c>
      <c r="AY145" s="13" t="s">
        <v>228</v>
      </c>
      <c r="BE145" s="130">
        <f>IF(N145="základná",J145,0)</f>
        <v>0</v>
      </c>
      <c r="BF145" s="130">
        <f>IF(N145="znížená",J145,0)</f>
        <v>5273.1</v>
      </c>
      <c r="BG145" s="130">
        <f>IF(N145="zákl. prenesená",J145,0)</f>
        <v>0</v>
      </c>
      <c r="BH145" s="130">
        <f>IF(N145="zníž. prenesená",J145,0)</f>
        <v>0</v>
      </c>
      <c r="BI145" s="130">
        <f>IF(N145="nulová",J145,0)</f>
        <v>0</v>
      </c>
      <c r="BJ145" s="13" t="s">
        <v>76</v>
      </c>
      <c r="BK145" s="130">
        <f>ROUND(I145*H145,2)</f>
        <v>5273.1</v>
      </c>
      <c r="BL145" s="13" t="s">
        <v>235</v>
      </c>
      <c r="BM145" s="129" t="s">
        <v>280</v>
      </c>
    </row>
    <row r="146" spans="2:65" s="1" customFormat="1" ht="124.8" x14ac:dyDescent="0.2">
      <c r="B146" s="24"/>
      <c r="D146" s="144" t="s">
        <v>1259</v>
      </c>
      <c r="F146" s="145" t="s">
        <v>2645</v>
      </c>
      <c r="L146" s="24"/>
      <c r="M146" s="146"/>
      <c r="N146" s="42"/>
      <c r="O146" s="42"/>
      <c r="P146" s="42"/>
      <c r="Q146" s="42"/>
      <c r="R146" s="42"/>
      <c r="S146" s="42"/>
      <c r="T146" s="43"/>
      <c r="AT146" s="13" t="s">
        <v>1259</v>
      </c>
      <c r="AU146" s="13" t="s">
        <v>63</v>
      </c>
    </row>
    <row r="147" spans="2:65" s="1" customFormat="1" ht="60" customHeight="1" x14ac:dyDescent="0.2">
      <c r="B147" s="118"/>
      <c r="C147" s="119" t="s">
        <v>258</v>
      </c>
      <c r="D147" s="119" t="s">
        <v>231</v>
      </c>
      <c r="E147" s="120" t="s">
        <v>2646</v>
      </c>
      <c r="F147" s="121" t="s">
        <v>2647</v>
      </c>
      <c r="G147" s="122" t="s">
        <v>284</v>
      </c>
      <c r="H147" s="123">
        <v>35</v>
      </c>
      <c r="I147" s="124">
        <v>250.56</v>
      </c>
      <c r="J147" s="124">
        <f>ROUND(I147*H147,2)</f>
        <v>8769.6</v>
      </c>
      <c r="K147" s="121" t="s">
        <v>1</v>
      </c>
      <c r="L147" s="24"/>
      <c r="M147" s="125" t="s">
        <v>1</v>
      </c>
      <c r="N147" s="126" t="s">
        <v>32</v>
      </c>
      <c r="O147" s="127">
        <v>0</v>
      </c>
      <c r="P147" s="127">
        <f>O147*H147</f>
        <v>0</v>
      </c>
      <c r="Q147" s="127">
        <v>0</v>
      </c>
      <c r="R147" s="127">
        <f>Q147*H147</f>
        <v>0</v>
      </c>
      <c r="S147" s="127">
        <v>0</v>
      </c>
      <c r="T147" s="128">
        <f>S147*H147</f>
        <v>0</v>
      </c>
      <c r="AR147" s="129" t="s">
        <v>235</v>
      </c>
      <c r="AT147" s="129" t="s">
        <v>231</v>
      </c>
      <c r="AU147" s="129" t="s">
        <v>63</v>
      </c>
      <c r="AY147" s="13" t="s">
        <v>228</v>
      </c>
      <c r="BE147" s="130">
        <f>IF(N147="základná",J147,0)</f>
        <v>0</v>
      </c>
      <c r="BF147" s="130">
        <f>IF(N147="znížená",J147,0)</f>
        <v>8769.6</v>
      </c>
      <c r="BG147" s="130">
        <f>IF(N147="zákl. prenesená",J147,0)</f>
        <v>0</v>
      </c>
      <c r="BH147" s="130">
        <f>IF(N147="zníž. prenesená",J147,0)</f>
        <v>0</v>
      </c>
      <c r="BI147" s="130">
        <f>IF(N147="nulová",J147,0)</f>
        <v>0</v>
      </c>
      <c r="BJ147" s="13" t="s">
        <v>76</v>
      </c>
      <c r="BK147" s="130">
        <f>ROUND(I147*H147,2)</f>
        <v>8769.6</v>
      </c>
      <c r="BL147" s="13" t="s">
        <v>235</v>
      </c>
      <c r="BM147" s="129" t="s">
        <v>285</v>
      </c>
    </row>
    <row r="148" spans="2:65" s="1" customFormat="1" ht="67.2" x14ac:dyDescent="0.2">
      <c r="B148" s="24"/>
      <c r="D148" s="144" t="s">
        <v>1259</v>
      </c>
      <c r="F148" s="145" t="s">
        <v>2648</v>
      </c>
      <c r="L148" s="24"/>
      <c r="M148" s="146"/>
      <c r="N148" s="42"/>
      <c r="O148" s="42"/>
      <c r="P148" s="42"/>
      <c r="Q148" s="42"/>
      <c r="R148" s="42"/>
      <c r="S148" s="42"/>
      <c r="T148" s="43"/>
      <c r="AT148" s="13" t="s">
        <v>1259</v>
      </c>
      <c r="AU148" s="13" t="s">
        <v>63</v>
      </c>
    </row>
    <row r="149" spans="2:65" s="1" customFormat="1" ht="60" customHeight="1" x14ac:dyDescent="0.2">
      <c r="B149" s="118"/>
      <c r="C149" s="119" t="s">
        <v>289</v>
      </c>
      <c r="D149" s="119" t="s">
        <v>231</v>
      </c>
      <c r="E149" s="120" t="s">
        <v>2649</v>
      </c>
      <c r="F149" s="121" t="s">
        <v>2650</v>
      </c>
      <c r="G149" s="122" t="s">
        <v>284</v>
      </c>
      <c r="H149" s="123">
        <v>40</v>
      </c>
      <c r="I149" s="124">
        <v>23.97</v>
      </c>
      <c r="J149" s="124">
        <f>ROUND(I149*H149,2)</f>
        <v>958.8</v>
      </c>
      <c r="K149" s="121" t="s">
        <v>1</v>
      </c>
      <c r="L149" s="24"/>
      <c r="M149" s="125" t="s">
        <v>1</v>
      </c>
      <c r="N149" s="126" t="s">
        <v>32</v>
      </c>
      <c r="O149" s="127">
        <v>0</v>
      </c>
      <c r="P149" s="127">
        <f>O149*H149</f>
        <v>0</v>
      </c>
      <c r="Q149" s="127">
        <v>0</v>
      </c>
      <c r="R149" s="127">
        <f>Q149*H149</f>
        <v>0</v>
      </c>
      <c r="S149" s="127">
        <v>0</v>
      </c>
      <c r="T149" s="128">
        <f>S149*H149</f>
        <v>0</v>
      </c>
      <c r="AR149" s="129" t="s">
        <v>235</v>
      </c>
      <c r="AT149" s="129" t="s">
        <v>231</v>
      </c>
      <c r="AU149" s="129" t="s">
        <v>63</v>
      </c>
      <c r="AY149" s="13" t="s">
        <v>228</v>
      </c>
      <c r="BE149" s="130">
        <f>IF(N149="základná",J149,0)</f>
        <v>0</v>
      </c>
      <c r="BF149" s="130">
        <f>IF(N149="znížená",J149,0)</f>
        <v>958.8</v>
      </c>
      <c r="BG149" s="130">
        <f>IF(N149="zákl. prenesená",J149,0)</f>
        <v>0</v>
      </c>
      <c r="BH149" s="130">
        <f>IF(N149="zníž. prenesená",J149,0)</f>
        <v>0</v>
      </c>
      <c r="BI149" s="130">
        <f>IF(N149="nulová",J149,0)</f>
        <v>0</v>
      </c>
      <c r="BJ149" s="13" t="s">
        <v>76</v>
      </c>
      <c r="BK149" s="130">
        <f>ROUND(I149*H149,2)</f>
        <v>958.8</v>
      </c>
      <c r="BL149" s="13" t="s">
        <v>235</v>
      </c>
      <c r="BM149" s="129" t="s">
        <v>288</v>
      </c>
    </row>
    <row r="150" spans="2:65" s="1" customFormat="1" ht="67.2" x14ac:dyDescent="0.2">
      <c r="B150" s="24"/>
      <c r="D150" s="144" t="s">
        <v>1259</v>
      </c>
      <c r="F150" s="145" t="s">
        <v>2651</v>
      </c>
      <c r="L150" s="24"/>
      <c r="M150" s="146"/>
      <c r="N150" s="42"/>
      <c r="O150" s="42"/>
      <c r="P150" s="42"/>
      <c r="Q150" s="42"/>
      <c r="R150" s="42"/>
      <c r="S150" s="42"/>
      <c r="T150" s="43"/>
      <c r="AT150" s="13" t="s">
        <v>1259</v>
      </c>
      <c r="AU150" s="13" t="s">
        <v>63</v>
      </c>
    </row>
    <row r="151" spans="2:65" s="1" customFormat="1" ht="60" customHeight="1" x14ac:dyDescent="0.2">
      <c r="B151" s="118"/>
      <c r="C151" s="119" t="s">
        <v>262</v>
      </c>
      <c r="D151" s="119" t="s">
        <v>231</v>
      </c>
      <c r="E151" s="120" t="s">
        <v>2652</v>
      </c>
      <c r="F151" s="121" t="s">
        <v>2653</v>
      </c>
      <c r="G151" s="122" t="s">
        <v>284</v>
      </c>
      <c r="H151" s="123">
        <v>20</v>
      </c>
      <c r="I151" s="124">
        <v>49.61</v>
      </c>
      <c r="J151" s="124">
        <f>ROUND(I151*H151,2)</f>
        <v>992.2</v>
      </c>
      <c r="K151" s="121" t="s">
        <v>1</v>
      </c>
      <c r="L151" s="24"/>
      <c r="M151" s="125" t="s">
        <v>1</v>
      </c>
      <c r="N151" s="126" t="s">
        <v>32</v>
      </c>
      <c r="O151" s="127">
        <v>0</v>
      </c>
      <c r="P151" s="127">
        <f>O151*H151</f>
        <v>0</v>
      </c>
      <c r="Q151" s="127">
        <v>0</v>
      </c>
      <c r="R151" s="127">
        <f>Q151*H151</f>
        <v>0</v>
      </c>
      <c r="S151" s="127">
        <v>0</v>
      </c>
      <c r="T151" s="128">
        <f>S151*H151</f>
        <v>0</v>
      </c>
      <c r="AR151" s="129" t="s">
        <v>235</v>
      </c>
      <c r="AT151" s="129" t="s">
        <v>231</v>
      </c>
      <c r="AU151" s="129" t="s">
        <v>63</v>
      </c>
      <c r="AY151" s="13" t="s">
        <v>228</v>
      </c>
      <c r="BE151" s="130">
        <f>IF(N151="základná",J151,0)</f>
        <v>0</v>
      </c>
      <c r="BF151" s="130">
        <f>IF(N151="znížená",J151,0)</f>
        <v>992.2</v>
      </c>
      <c r="BG151" s="130">
        <f>IF(N151="zákl. prenesená",J151,0)</f>
        <v>0</v>
      </c>
      <c r="BH151" s="130">
        <f>IF(N151="zníž. prenesená",J151,0)</f>
        <v>0</v>
      </c>
      <c r="BI151" s="130">
        <f>IF(N151="nulová",J151,0)</f>
        <v>0</v>
      </c>
      <c r="BJ151" s="13" t="s">
        <v>76</v>
      </c>
      <c r="BK151" s="130">
        <f>ROUND(I151*H151,2)</f>
        <v>992.2</v>
      </c>
      <c r="BL151" s="13" t="s">
        <v>235</v>
      </c>
      <c r="BM151" s="129" t="s">
        <v>293</v>
      </c>
    </row>
    <row r="152" spans="2:65" s="1" customFormat="1" ht="16.5" customHeight="1" x14ac:dyDescent="0.2">
      <c r="B152" s="118"/>
      <c r="C152" s="119" t="s">
        <v>297</v>
      </c>
      <c r="D152" s="119" t="s">
        <v>231</v>
      </c>
      <c r="E152" s="120" t="s">
        <v>2654</v>
      </c>
      <c r="F152" s="121" t="s">
        <v>2655</v>
      </c>
      <c r="G152" s="122" t="s">
        <v>1035</v>
      </c>
      <c r="H152" s="123">
        <v>55</v>
      </c>
      <c r="I152" s="124">
        <v>4.97</v>
      </c>
      <c r="J152" s="124">
        <f>ROUND(I152*H152,2)</f>
        <v>273.35000000000002</v>
      </c>
      <c r="K152" s="121" t="s">
        <v>1</v>
      </c>
      <c r="L152" s="24"/>
      <c r="M152" s="125" t="s">
        <v>1</v>
      </c>
      <c r="N152" s="126" t="s">
        <v>32</v>
      </c>
      <c r="O152" s="127">
        <v>0</v>
      </c>
      <c r="P152" s="127">
        <f>O152*H152</f>
        <v>0</v>
      </c>
      <c r="Q152" s="127">
        <v>0</v>
      </c>
      <c r="R152" s="127">
        <f>Q152*H152</f>
        <v>0</v>
      </c>
      <c r="S152" s="127">
        <v>0</v>
      </c>
      <c r="T152" s="128">
        <f>S152*H152</f>
        <v>0</v>
      </c>
      <c r="AR152" s="129" t="s">
        <v>235</v>
      </c>
      <c r="AT152" s="129" t="s">
        <v>231</v>
      </c>
      <c r="AU152" s="129" t="s">
        <v>63</v>
      </c>
      <c r="AY152" s="13" t="s">
        <v>228</v>
      </c>
      <c r="BE152" s="130">
        <f>IF(N152="základná",J152,0)</f>
        <v>0</v>
      </c>
      <c r="BF152" s="130">
        <f>IF(N152="znížená",J152,0)</f>
        <v>273.35000000000002</v>
      </c>
      <c r="BG152" s="130">
        <f>IF(N152="zákl. prenesená",J152,0)</f>
        <v>0</v>
      </c>
      <c r="BH152" s="130">
        <f>IF(N152="zníž. prenesená",J152,0)</f>
        <v>0</v>
      </c>
      <c r="BI152" s="130">
        <f>IF(N152="nulová",J152,0)</f>
        <v>0</v>
      </c>
      <c r="BJ152" s="13" t="s">
        <v>76</v>
      </c>
      <c r="BK152" s="130">
        <f>ROUND(I152*H152,2)</f>
        <v>273.35000000000002</v>
      </c>
      <c r="BL152" s="13" t="s">
        <v>235</v>
      </c>
      <c r="BM152" s="129" t="s">
        <v>296</v>
      </c>
    </row>
    <row r="153" spans="2:65" s="1" customFormat="1" ht="16.5" customHeight="1" x14ac:dyDescent="0.2">
      <c r="B153" s="118"/>
      <c r="C153" s="119" t="s">
        <v>7</v>
      </c>
      <c r="D153" s="119" t="s">
        <v>231</v>
      </c>
      <c r="E153" s="120" t="s">
        <v>2656</v>
      </c>
      <c r="F153" s="121" t="s">
        <v>2657</v>
      </c>
      <c r="G153" s="122" t="s">
        <v>1035</v>
      </c>
      <c r="H153" s="123">
        <v>28</v>
      </c>
      <c r="I153" s="124">
        <v>7.82</v>
      </c>
      <c r="J153" s="124">
        <f>ROUND(I153*H153,2)</f>
        <v>218.96</v>
      </c>
      <c r="K153" s="121" t="s">
        <v>1</v>
      </c>
      <c r="L153" s="24"/>
      <c r="M153" s="125" t="s">
        <v>1</v>
      </c>
      <c r="N153" s="126" t="s">
        <v>32</v>
      </c>
      <c r="O153" s="127">
        <v>0</v>
      </c>
      <c r="P153" s="127">
        <f>O153*H153</f>
        <v>0</v>
      </c>
      <c r="Q153" s="127">
        <v>0</v>
      </c>
      <c r="R153" s="127">
        <f>Q153*H153</f>
        <v>0</v>
      </c>
      <c r="S153" s="127">
        <v>0</v>
      </c>
      <c r="T153" s="128">
        <f>S153*H153</f>
        <v>0</v>
      </c>
      <c r="AR153" s="129" t="s">
        <v>235</v>
      </c>
      <c r="AT153" s="129" t="s">
        <v>231</v>
      </c>
      <c r="AU153" s="129" t="s">
        <v>63</v>
      </c>
      <c r="AY153" s="13" t="s">
        <v>228</v>
      </c>
      <c r="BE153" s="130">
        <f>IF(N153="základná",J153,0)</f>
        <v>0</v>
      </c>
      <c r="BF153" s="130">
        <f>IF(N153="znížená",J153,0)</f>
        <v>218.96</v>
      </c>
      <c r="BG153" s="130">
        <f>IF(N153="zákl. prenesená",J153,0)</f>
        <v>0</v>
      </c>
      <c r="BH153" s="130">
        <f>IF(N153="zníž. prenesená",J153,0)</f>
        <v>0</v>
      </c>
      <c r="BI153" s="130">
        <f>IF(N153="nulová",J153,0)</f>
        <v>0</v>
      </c>
      <c r="BJ153" s="13" t="s">
        <v>76</v>
      </c>
      <c r="BK153" s="130">
        <f>ROUND(I153*H153,2)</f>
        <v>218.96</v>
      </c>
      <c r="BL153" s="13" t="s">
        <v>235</v>
      </c>
      <c r="BM153" s="129" t="s">
        <v>300</v>
      </c>
    </row>
    <row r="154" spans="2:65" s="1" customFormat="1" ht="72" customHeight="1" x14ac:dyDescent="0.2">
      <c r="B154" s="118"/>
      <c r="C154" s="119" t="s">
        <v>305</v>
      </c>
      <c r="D154" s="119" t="s">
        <v>231</v>
      </c>
      <c r="E154" s="120" t="s">
        <v>2658</v>
      </c>
      <c r="F154" s="121" t="s">
        <v>2659</v>
      </c>
      <c r="G154" s="122" t="s">
        <v>1194</v>
      </c>
      <c r="H154" s="123">
        <v>4</v>
      </c>
      <c r="I154" s="124">
        <v>1462.61</v>
      </c>
      <c r="J154" s="124">
        <f>ROUND(I154*H154,2)</f>
        <v>5850.44</v>
      </c>
      <c r="K154" s="121" t="s">
        <v>1</v>
      </c>
      <c r="L154" s="24"/>
      <c r="M154" s="125" t="s">
        <v>1</v>
      </c>
      <c r="N154" s="126" t="s">
        <v>32</v>
      </c>
      <c r="O154" s="127">
        <v>0</v>
      </c>
      <c r="P154" s="127">
        <f>O154*H154</f>
        <v>0</v>
      </c>
      <c r="Q154" s="127">
        <v>0</v>
      </c>
      <c r="R154" s="127">
        <f>Q154*H154</f>
        <v>0</v>
      </c>
      <c r="S154" s="127">
        <v>0</v>
      </c>
      <c r="T154" s="128">
        <f>S154*H154</f>
        <v>0</v>
      </c>
      <c r="AR154" s="129" t="s">
        <v>235</v>
      </c>
      <c r="AT154" s="129" t="s">
        <v>231</v>
      </c>
      <c r="AU154" s="129" t="s">
        <v>63</v>
      </c>
      <c r="AY154" s="13" t="s">
        <v>228</v>
      </c>
      <c r="BE154" s="130">
        <f>IF(N154="základná",J154,0)</f>
        <v>0</v>
      </c>
      <c r="BF154" s="130">
        <f>IF(N154="znížená",J154,0)</f>
        <v>5850.44</v>
      </c>
      <c r="BG154" s="130">
        <f>IF(N154="zákl. prenesená",J154,0)</f>
        <v>0</v>
      </c>
      <c r="BH154" s="130">
        <f>IF(N154="zníž. prenesená",J154,0)</f>
        <v>0</v>
      </c>
      <c r="BI154" s="130">
        <f>IF(N154="nulová",J154,0)</f>
        <v>0</v>
      </c>
      <c r="BJ154" s="13" t="s">
        <v>76</v>
      </c>
      <c r="BK154" s="130">
        <f>ROUND(I154*H154,2)</f>
        <v>5850.44</v>
      </c>
      <c r="BL154" s="13" t="s">
        <v>235</v>
      </c>
      <c r="BM154" s="129" t="s">
        <v>303</v>
      </c>
    </row>
    <row r="155" spans="2:65" s="1" customFormat="1" ht="86.4" x14ac:dyDescent="0.2">
      <c r="B155" s="24"/>
      <c r="D155" s="144" t="s">
        <v>1259</v>
      </c>
      <c r="F155" s="145" t="s">
        <v>2660</v>
      </c>
      <c r="L155" s="24"/>
      <c r="M155" s="146"/>
      <c r="N155" s="42"/>
      <c r="O155" s="42"/>
      <c r="P155" s="42"/>
      <c r="Q155" s="42"/>
      <c r="R155" s="42"/>
      <c r="S155" s="42"/>
      <c r="T155" s="43"/>
      <c r="AT155" s="13" t="s">
        <v>1259</v>
      </c>
      <c r="AU155" s="13" t="s">
        <v>63</v>
      </c>
    </row>
    <row r="156" spans="2:65" s="1" customFormat="1" ht="16.5" customHeight="1" x14ac:dyDescent="0.2">
      <c r="B156" s="118"/>
      <c r="C156" s="119" t="s">
        <v>268</v>
      </c>
      <c r="D156" s="119" t="s">
        <v>231</v>
      </c>
      <c r="E156" s="120" t="s">
        <v>2661</v>
      </c>
      <c r="F156" s="121" t="s">
        <v>2662</v>
      </c>
      <c r="G156" s="122" t="s">
        <v>570</v>
      </c>
      <c r="H156" s="123">
        <v>1</v>
      </c>
      <c r="I156" s="124">
        <v>710.53</v>
      </c>
      <c r="J156" s="124">
        <f>ROUND(I156*H156,2)</f>
        <v>710.53</v>
      </c>
      <c r="K156" s="121" t="s">
        <v>1</v>
      </c>
      <c r="L156" s="24"/>
      <c r="M156" s="125" t="s">
        <v>1</v>
      </c>
      <c r="N156" s="126" t="s">
        <v>32</v>
      </c>
      <c r="O156" s="127">
        <v>0</v>
      </c>
      <c r="P156" s="127">
        <f>O156*H156</f>
        <v>0</v>
      </c>
      <c r="Q156" s="127">
        <v>0</v>
      </c>
      <c r="R156" s="127">
        <f>Q156*H156</f>
        <v>0</v>
      </c>
      <c r="S156" s="127">
        <v>0</v>
      </c>
      <c r="T156" s="128">
        <f>S156*H156</f>
        <v>0</v>
      </c>
      <c r="AR156" s="129" t="s">
        <v>235</v>
      </c>
      <c r="AT156" s="129" t="s">
        <v>231</v>
      </c>
      <c r="AU156" s="129" t="s">
        <v>63</v>
      </c>
      <c r="AY156" s="13" t="s">
        <v>228</v>
      </c>
      <c r="BE156" s="130">
        <f>IF(N156="základná",J156,0)</f>
        <v>0</v>
      </c>
      <c r="BF156" s="130">
        <f>IF(N156="znížená",J156,0)</f>
        <v>710.53</v>
      </c>
      <c r="BG156" s="130">
        <f>IF(N156="zákl. prenesená",J156,0)</f>
        <v>0</v>
      </c>
      <c r="BH156" s="130">
        <f>IF(N156="zníž. prenesená",J156,0)</f>
        <v>0</v>
      </c>
      <c r="BI156" s="130">
        <f>IF(N156="nulová",J156,0)</f>
        <v>0</v>
      </c>
      <c r="BJ156" s="13" t="s">
        <v>76</v>
      </c>
      <c r="BK156" s="130">
        <f>ROUND(I156*H156,2)</f>
        <v>710.53</v>
      </c>
      <c r="BL156" s="13" t="s">
        <v>235</v>
      </c>
      <c r="BM156" s="129" t="s">
        <v>308</v>
      </c>
    </row>
    <row r="157" spans="2:65" s="1" customFormat="1" ht="16.5" customHeight="1" x14ac:dyDescent="0.2">
      <c r="B157" s="118"/>
      <c r="C157" s="119" t="s">
        <v>313</v>
      </c>
      <c r="D157" s="119" t="s">
        <v>231</v>
      </c>
      <c r="E157" s="120" t="s">
        <v>2663</v>
      </c>
      <c r="F157" s="121" t="s">
        <v>2664</v>
      </c>
      <c r="G157" s="122" t="s">
        <v>1194</v>
      </c>
      <c r="H157" s="123">
        <v>1</v>
      </c>
      <c r="I157" s="124">
        <v>426.32</v>
      </c>
      <c r="J157" s="124">
        <f>ROUND(I157*H157,2)</f>
        <v>426.32</v>
      </c>
      <c r="K157" s="121" t="s">
        <v>1</v>
      </c>
      <c r="L157" s="24"/>
      <c r="M157" s="140" t="s">
        <v>1</v>
      </c>
      <c r="N157" s="141" t="s">
        <v>32</v>
      </c>
      <c r="O157" s="142">
        <v>0</v>
      </c>
      <c r="P157" s="142">
        <f>O157*H157</f>
        <v>0</v>
      </c>
      <c r="Q157" s="142">
        <v>0</v>
      </c>
      <c r="R157" s="142">
        <f>Q157*H157</f>
        <v>0</v>
      </c>
      <c r="S157" s="142">
        <v>0</v>
      </c>
      <c r="T157" s="143">
        <f>S157*H157</f>
        <v>0</v>
      </c>
      <c r="AR157" s="129" t="s">
        <v>235</v>
      </c>
      <c r="AT157" s="129" t="s">
        <v>231</v>
      </c>
      <c r="AU157" s="129" t="s">
        <v>63</v>
      </c>
      <c r="AY157" s="13" t="s">
        <v>228</v>
      </c>
      <c r="BE157" s="130">
        <f>IF(N157="základná",J157,0)</f>
        <v>0</v>
      </c>
      <c r="BF157" s="130">
        <f>IF(N157="znížená",J157,0)</f>
        <v>426.32</v>
      </c>
      <c r="BG157" s="130">
        <f>IF(N157="zákl. prenesená",J157,0)</f>
        <v>0</v>
      </c>
      <c r="BH157" s="130">
        <f>IF(N157="zníž. prenesená",J157,0)</f>
        <v>0</v>
      </c>
      <c r="BI157" s="130">
        <f>IF(N157="nulová",J157,0)</f>
        <v>0</v>
      </c>
      <c r="BJ157" s="13" t="s">
        <v>76</v>
      </c>
      <c r="BK157" s="130">
        <f>ROUND(I157*H157,2)</f>
        <v>426.32</v>
      </c>
      <c r="BL157" s="13" t="s">
        <v>235</v>
      </c>
      <c r="BM157" s="129" t="s">
        <v>312</v>
      </c>
    </row>
    <row r="158" spans="2:65" s="1" customFormat="1" ht="7.05" customHeight="1" x14ac:dyDescent="0.2">
      <c r="B158" s="33"/>
      <c r="C158" s="34"/>
      <c r="D158" s="34"/>
      <c r="E158" s="34"/>
      <c r="F158" s="34"/>
      <c r="G158" s="34"/>
      <c r="H158" s="34"/>
      <c r="I158" s="34"/>
      <c r="J158" s="34"/>
      <c r="K158" s="34"/>
      <c r="L158" s="24"/>
    </row>
  </sheetData>
  <autoFilter ref="C116:K157" xr:uid="{00000000-0009-0000-0000-00000B000000}"/>
  <mergeCells count="14">
    <mergeCell ref="E87:H87"/>
    <mergeCell ref="E107:H107"/>
    <mergeCell ref="E109:H109"/>
    <mergeCell ref="L2:V2"/>
    <mergeCell ref="E9:H9"/>
    <mergeCell ref="E18:H18"/>
    <mergeCell ref="E27:H27"/>
    <mergeCell ref="E85:H85"/>
    <mergeCell ref="D4:J4"/>
    <mergeCell ref="F6:J7"/>
    <mergeCell ref="C82:J82"/>
    <mergeCell ref="E84:J84"/>
    <mergeCell ref="C104:J104"/>
    <mergeCell ref="E106:J106"/>
  </mergeCells>
  <pageMargins left="0.39374999999999999" right="0.39374999999999999" top="0.39374999999999999" bottom="0.39374999999999999" header="0" footer="0"/>
  <pageSetup paperSize="9" scale="89" fitToHeight="100" orientation="portrait" blackAndWhite="1" r:id="rId1"/>
  <headerFooter>
    <oddFooter>&amp;CStrana &amp;P z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BM162"/>
  <sheetViews>
    <sheetView showGridLines="0" topLeftCell="F148" zoomScale="80" zoomScaleNormal="80" workbookViewId="0">
      <selection activeCell="AE142" sqref="AE142:AE161"/>
    </sheetView>
  </sheetViews>
  <sheetFormatPr defaultColWidth="8.7109375" defaultRowHeight="10.199999999999999" x14ac:dyDescent="0.2"/>
  <cols>
    <col min="1" max="1" width="8.28515625" customWidth="1"/>
    <col min="2" max="2" width="1.7109375" customWidth="1"/>
    <col min="3" max="4" width="4.28515625" customWidth="1"/>
    <col min="5" max="5" width="17.28515625" customWidth="1"/>
    <col min="6" max="6" width="50.7109375" customWidth="1"/>
    <col min="7" max="7" width="7" customWidth="1"/>
    <col min="8" max="8" width="11.42578125" customWidth="1"/>
    <col min="9" max="10" width="20.28515625" customWidth="1"/>
    <col min="11" max="11" width="20.28515625" hidden="1" customWidth="1"/>
    <col min="12" max="12" width="9.28515625" customWidth="1"/>
    <col min="13" max="13" width="10.7109375" hidden="1" customWidth="1"/>
    <col min="14" max="14" width="9.28515625" hidden="1"/>
    <col min="15" max="20" width="14.28515625" hidden="1" customWidth="1"/>
    <col min="21" max="21" width="16.28515625" hidden="1" customWidth="1"/>
    <col min="22" max="22" width="12.28515625" customWidth="1"/>
    <col min="23" max="23" width="1.7109375" style="474" customWidth="1"/>
    <col min="24" max="25" width="4.28515625" style="474" customWidth="1"/>
    <col min="26" max="26" width="17.28515625" style="474" customWidth="1"/>
    <col min="27" max="27" width="50.7109375" style="474" customWidth="1"/>
    <col min="28" max="28" width="7" style="474" customWidth="1"/>
    <col min="29" max="29" width="11.42578125" style="474" customWidth="1"/>
    <col min="30" max="31" width="20.28515625" style="474" customWidth="1"/>
    <col min="44" max="65" width="9.28515625" hidden="1"/>
  </cols>
  <sheetData>
    <row r="1" spans="1:46" x14ac:dyDescent="0.2">
      <c r="A1" s="73"/>
    </row>
    <row r="2" spans="1:46" ht="37.049999999999997" customHeight="1" x14ac:dyDescent="0.2">
      <c r="L2" s="1227" t="s">
        <v>5</v>
      </c>
      <c r="M2" s="1225"/>
      <c r="N2" s="1225"/>
      <c r="O2" s="1225"/>
      <c r="P2" s="1225"/>
      <c r="Q2" s="1225"/>
      <c r="R2" s="1225"/>
      <c r="S2" s="1225"/>
      <c r="T2" s="1225"/>
      <c r="U2" s="1225"/>
      <c r="V2" s="1225"/>
      <c r="AT2" s="13" t="s">
        <v>96</v>
      </c>
    </row>
    <row r="3" spans="1:46" ht="7.05" customHeight="1" x14ac:dyDescent="0.2">
      <c r="B3" s="14"/>
      <c r="C3" s="15"/>
      <c r="D3" s="15"/>
      <c r="E3" s="15"/>
      <c r="F3" s="15"/>
      <c r="G3" s="15"/>
      <c r="H3" s="15"/>
      <c r="I3" s="15"/>
      <c r="J3" s="15"/>
      <c r="K3" s="15"/>
      <c r="L3" s="16"/>
      <c r="W3" s="152"/>
      <c r="X3" s="153"/>
      <c r="Y3" s="153"/>
      <c r="Z3" s="153"/>
      <c r="AA3" s="153"/>
      <c r="AB3" s="153"/>
      <c r="AC3" s="153"/>
      <c r="AD3" s="153"/>
      <c r="AE3" s="154"/>
      <c r="AT3" s="13" t="s">
        <v>58</v>
      </c>
    </row>
    <row r="4" spans="1:46" ht="25.05" customHeight="1" x14ac:dyDescent="0.2">
      <c r="B4" s="16"/>
      <c r="C4" s="1165" t="s">
        <v>185</v>
      </c>
      <c r="D4" s="1165"/>
      <c r="E4" s="1165"/>
      <c r="F4" s="1165"/>
      <c r="G4" s="1165"/>
      <c r="H4" s="1165"/>
      <c r="I4" s="1165"/>
      <c r="J4" s="1165"/>
      <c r="L4" s="16"/>
      <c r="M4" s="74" t="s">
        <v>9</v>
      </c>
      <c r="W4" s="155"/>
      <c r="X4" s="156"/>
      <c r="Y4" s="1237" t="s">
        <v>185</v>
      </c>
      <c r="Z4" s="1237"/>
      <c r="AA4" s="1237"/>
      <c r="AB4" s="1237"/>
      <c r="AC4" s="1237"/>
      <c r="AD4" s="1237"/>
      <c r="AE4" s="1238"/>
      <c r="AT4" s="13" t="s">
        <v>3</v>
      </c>
    </row>
    <row r="5" spans="1:46" ht="7.05" customHeight="1" x14ac:dyDescent="0.2">
      <c r="B5" s="16"/>
      <c r="C5" s="1165"/>
      <c r="D5" s="1165"/>
      <c r="E5" s="1165"/>
      <c r="F5" s="1165"/>
      <c r="G5" s="1165"/>
      <c r="H5" s="1165"/>
      <c r="I5" s="1165"/>
      <c r="J5" s="1165"/>
      <c r="L5" s="16"/>
      <c r="W5" s="155"/>
      <c r="X5" s="156"/>
      <c r="Y5" s="156"/>
      <c r="Z5" s="156"/>
      <c r="AA5" s="156"/>
      <c r="AB5" s="156"/>
      <c r="AC5" s="156"/>
      <c r="AD5" s="156"/>
      <c r="AE5" s="157"/>
    </row>
    <row r="6" spans="1:46" ht="12" customHeight="1" x14ac:dyDescent="0.2">
      <c r="B6" s="16"/>
      <c r="D6" s="548" t="s">
        <v>12</v>
      </c>
      <c r="F6" s="1254" t="s">
        <v>6176</v>
      </c>
      <c r="G6" s="1254"/>
      <c r="H6" s="1254"/>
      <c r="I6" s="1254"/>
      <c r="J6" s="1254"/>
      <c r="L6" s="16"/>
      <c r="W6" s="155"/>
      <c r="X6" s="156"/>
      <c r="Y6" s="1120" t="s">
        <v>12</v>
      </c>
      <c r="Z6" s="156"/>
      <c r="AA6" s="1239" t="s">
        <v>6176</v>
      </c>
      <c r="AB6" s="1239"/>
      <c r="AC6" s="1239"/>
      <c r="AD6" s="1239"/>
      <c r="AE6" s="1240"/>
    </row>
    <row r="7" spans="1:46" ht="25.5" customHeight="1" x14ac:dyDescent="0.2">
      <c r="B7" s="16"/>
      <c r="D7" s="527"/>
      <c r="E7" s="531"/>
      <c r="F7" s="1254"/>
      <c r="G7" s="1254"/>
      <c r="H7" s="1254"/>
      <c r="I7" s="1254"/>
      <c r="J7" s="1254"/>
      <c r="L7" s="16"/>
      <c r="W7" s="155"/>
      <c r="X7" s="156"/>
      <c r="Y7" s="539"/>
      <c r="Z7" s="245"/>
      <c r="AA7" s="1239"/>
      <c r="AB7" s="1239"/>
      <c r="AC7" s="1239"/>
      <c r="AD7" s="1239"/>
      <c r="AE7" s="1240"/>
    </row>
    <row r="8" spans="1:46" s="1" customFormat="1" ht="12" customHeight="1" x14ac:dyDescent="0.2">
      <c r="B8" s="24"/>
      <c r="D8" s="549" t="s">
        <v>186</v>
      </c>
      <c r="F8" s="532" t="s">
        <v>2665</v>
      </c>
      <c r="L8" s="24"/>
      <c r="W8" s="158"/>
      <c r="X8" s="475"/>
      <c r="Y8" s="1120" t="s">
        <v>186</v>
      </c>
      <c r="Z8" s="1121"/>
      <c r="AA8" s="555" t="s">
        <v>2665</v>
      </c>
      <c r="AB8" s="1121"/>
      <c r="AC8" s="1121"/>
      <c r="AD8" s="1121"/>
      <c r="AE8" s="159"/>
    </row>
    <row r="9" spans="1:46" s="1" customFormat="1" ht="37.049999999999997" customHeight="1" x14ac:dyDescent="0.2">
      <c r="B9" s="24"/>
      <c r="D9" s="521"/>
      <c r="E9" s="1251"/>
      <c r="F9" s="1252"/>
      <c r="G9" s="1252"/>
      <c r="H9" s="1252"/>
      <c r="L9" s="24"/>
      <c r="W9" s="158"/>
      <c r="X9" s="475"/>
      <c r="Y9" s="523"/>
      <c r="Z9" s="1245"/>
      <c r="AA9" s="1246"/>
      <c r="AB9" s="1246"/>
      <c r="AC9" s="1246"/>
      <c r="AD9" s="475"/>
      <c r="AE9" s="159"/>
    </row>
    <row r="10" spans="1:46" s="1" customFormat="1" x14ac:dyDescent="0.2">
      <c r="B10" s="24"/>
      <c r="D10" s="521"/>
      <c r="L10" s="24"/>
      <c r="W10" s="158"/>
      <c r="X10" s="475"/>
      <c r="Y10" s="523"/>
      <c r="Z10" s="475"/>
      <c r="AA10" s="475"/>
      <c r="AB10" s="475"/>
      <c r="AC10" s="475"/>
      <c r="AD10" s="475"/>
      <c r="AE10" s="159"/>
    </row>
    <row r="11" spans="1:46" s="1" customFormat="1" ht="12" customHeight="1" x14ac:dyDescent="0.2">
      <c r="B11" s="24"/>
      <c r="D11" s="528" t="s">
        <v>13</v>
      </c>
      <c r="F11" s="19" t="s">
        <v>1</v>
      </c>
      <c r="I11" s="528" t="s">
        <v>14</v>
      </c>
      <c r="J11" s="19" t="s">
        <v>1</v>
      </c>
      <c r="L11" s="24"/>
      <c r="W11" s="158"/>
      <c r="X11" s="475"/>
      <c r="Y11" s="538" t="s">
        <v>13</v>
      </c>
      <c r="Z11" s="475"/>
      <c r="AA11" s="478" t="s">
        <v>1</v>
      </c>
      <c r="AB11" s="475"/>
      <c r="AC11" s="475"/>
      <c r="AD11" s="538" t="s">
        <v>14</v>
      </c>
      <c r="AE11" s="161" t="s">
        <v>1</v>
      </c>
    </row>
    <row r="12" spans="1:46" s="1" customFormat="1" ht="12" customHeight="1" x14ac:dyDescent="0.2">
      <c r="B12" s="24"/>
      <c r="D12" s="528" t="s">
        <v>15</v>
      </c>
      <c r="F12" s="520" t="s">
        <v>6173</v>
      </c>
      <c r="I12" s="528" t="s">
        <v>17</v>
      </c>
      <c r="J12" s="39"/>
      <c r="L12" s="24"/>
      <c r="W12" s="158"/>
      <c r="X12" s="475"/>
      <c r="Y12" s="538" t="s">
        <v>15</v>
      </c>
      <c r="Z12" s="475"/>
      <c r="AA12" s="520" t="s">
        <v>6173</v>
      </c>
      <c r="AB12" s="475"/>
      <c r="AC12" s="475"/>
      <c r="AD12" s="538" t="s">
        <v>17</v>
      </c>
      <c r="AE12" s="162"/>
    </row>
    <row r="13" spans="1:46" s="1" customFormat="1" ht="10.95" customHeight="1" x14ac:dyDescent="0.2">
      <c r="B13" s="24"/>
      <c r="D13" s="521"/>
      <c r="F13" s="521"/>
      <c r="I13" s="521"/>
      <c r="L13" s="24"/>
      <c r="W13" s="158"/>
      <c r="X13" s="475"/>
      <c r="Y13" s="523"/>
      <c r="Z13" s="475"/>
      <c r="AA13" s="521"/>
      <c r="AB13" s="475"/>
      <c r="AC13" s="475"/>
      <c r="AD13" s="523"/>
      <c r="AE13" s="159"/>
    </row>
    <row r="14" spans="1:46" s="1" customFormat="1" ht="12" customHeight="1" x14ac:dyDescent="0.2">
      <c r="B14" s="24"/>
      <c r="D14" s="528" t="s">
        <v>18</v>
      </c>
      <c r="F14" s="529" t="s">
        <v>6175</v>
      </c>
      <c r="I14" s="528" t="s">
        <v>19</v>
      </c>
      <c r="J14" s="19" t="str">
        <f>IF('Rekapitulácia stavby'!AN10="","",'Rekapitulácia stavby'!AN10)</f>
        <v/>
      </c>
      <c r="L14" s="24"/>
      <c r="W14" s="158"/>
      <c r="X14" s="475"/>
      <c r="Y14" s="538" t="s">
        <v>18</v>
      </c>
      <c r="Z14" s="475"/>
      <c r="AA14" s="529" t="s">
        <v>6175</v>
      </c>
      <c r="AB14" s="475"/>
      <c r="AC14" s="475"/>
      <c r="AD14" s="538" t="s">
        <v>19</v>
      </c>
      <c r="AE14" s="161" t="str">
        <f>IF('Rekapitulácia stavby'!BI10="","",'Rekapitulácia stavby'!BI10)</f>
        <v/>
      </c>
    </row>
    <row r="15" spans="1:46" s="1" customFormat="1" ht="18" customHeight="1" x14ac:dyDescent="0.2">
      <c r="B15" s="24"/>
      <c r="D15" s="521"/>
      <c r="E15" s="19" t="str">
        <f>IF('Rekapitulácia stavby'!E11="","",'Rekapitulácia stavby'!E11)</f>
        <v/>
      </c>
      <c r="F15" s="521"/>
      <c r="I15" s="528" t="s">
        <v>20</v>
      </c>
      <c r="J15" s="19" t="str">
        <f>IF('Rekapitulácia stavby'!AN11="","",'Rekapitulácia stavby'!AN11)</f>
        <v/>
      </c>
      <c r="L15" s="24"/>
      <c r="W15" s="158"/>
      <c r="X15" s="475"/>
      <c r="Y15" s="523"/>
      <c r="Z15" s="478" t="str">
        <f>E15</f>
        <v/>
      </c>
      <c r="AA15" s="521"/>
      <c r="AB15" s="475"/>
      <c r="AC15" s="475"/>
      <c r="AD15" s="538" t="s">
        <v>20</v>
      </c>
      <c r="AE15" s="161" t="str">
        <f>IF('Rekapitulácia stavby'!BI11="","",'Rekapitulácia stavby'!BI11)</f>
        <v/>
      </c>
    </row>
    <row r="16" spans="1:46" s="1" customFormat="1" ht="7.05" customHeight="1" x14ac:dyDescent="0.2">
      <c r="B16" s="24"/>
      <c r="D16" s="521"/>
      <c r="F16" s="521"/>
      <c r="I16" s="521"/>
      <c r="L16" s="24"/>
      <c r="W16" s="158"/>
      <c r="X16" s="475"/>
      <c r="Y16" s="523"/>
      <c r="Z16" s="475"/>
      <c r="AA16" s="521"/>
      <c r="AB16" s="475"/>
      <c r="AC16" s="475"/>
      <c r="AD16" s="523"/>
      <c r="AE16" s="159"/>
    </row>
    <row r="17" spans="2:31" s="1" customFormat="1" ht="12" customHeight="1" x14ac:dyDescent="0.2">
      <c r="B17" s="24"/>
      <c r="D17" s="528" t="s">
        <v>21</v>
      </c>
      <c r="F17" s="529" t="s">
        <v>5202</v>
      </c>
      <c r="I17" s="528" t="s">
        <v>19</v>
      </c>
      <c r="J17" s="19"/>
      <c r="L17" s="24"/>
      <c r="W17" s="158"/>
      <c r="X17" s="475"/>
      <c r="Y17" s="538" t="s">
        <v>21</v>
      </c>
      <c r="Z17" s="475"/>
      <c r="AA17" s="529" t="s">
        <v>5202</v>
      </c>
      <c r="AB17" s="475"/>
      <c r="AC17" s="475"/>
      <c r="AD17" s="538" t="s">
        <v>19</v>
      </c>
      <c r="AE17" s="161"/>
    </row>
    <row r="18" spans="2:31" s="1" customFormat="1" ht="18" customHeight="1" x14ac:dyDescent="0.2">
      <c r="B18" s="24"/>
      <c r="D18" s="521"/>
      <c r="E18" s="1161"/>
      <c r="F18" s="1161"/>
      <c r="G18" s="1161"/>
      <c r="H18" s="1161"/>
      <c r="I18" s="528" t="s">
        <v>20</v>
      </c>
      <c r="J18" s="19" t="str">
        <f>'Rekapitulácia stavby'!AN14</f>
        <v/>
      </c>
      <c r="L18" s="24"/>
      <c r="W18" s="158"/>
      <c r="X18" s="475"/>
      <c r="Y18" s="523"/>
      <c r="Z18" s="1247"/>
      <c r="AA18" s="1247"/>
      <c r="AB18" s="1247"/>
      <c r="AC18" s="1247"/>
      <c r="AD18" s="538" t="s">
        <v>20</v>
      </c>
      <c r="AE18" s="161"/>
    </row>
    <row r="19" spans="2:31" s="1" customFormat="1" ht="7.05" customHeight="1" x14ac:dyDescent="0.2">
      <c r="B19" s="24"/>
      <c r="D19" s="521"/>
      <c r="I19" s="521"/>
      <c r="L19" s="24"/>
      <c r="W19" s="158"/>
      <c r="X19" s="475"/>
      <c r="Y19" s="523"/>
      <c r="Z19" s="475"/>
      <c r="AA19" s="475"/>
      <c r="AB19" s="475"/>
      <c r="AC19" s="475"/>
      <c r="AD19" s="523"/>
      <c r="AE19" s="159"/>
    </row>
    <row r="20" spans="2:31" s="1" customFormat="1" ht="12" customHeight="1" x14ac:dyDescent="0.2">
      <c r="B20" s="24"/>
      <c r="D20" s="528" t="s">
        <v>22</v>
      </c>
      <c r="I20" s="528" t="s">
        <v>19</v>
      </c>
      <c r="J20" s="19" t="str">
        <f>IF('Rekapitulácia stavby'!AN16="","",'Rekapitulácia stavby'!AN16)</f>
        <v/>
      </c>
      <c r="L20" s="24"/>
      <c r="W20" s="158"/>
      <c r="X20" s="475"/>
      <c r="Y20" s="538" t="s">
        <v>22</v>
      </c>
      <c r="Z20" s="475"/>
      <c r="AA20" s="475"/>
      <c r="AB20" s="475"/>
      <c r="AC20" s="475"/>
      <c r="AD20" s="538" t="s">
        <v>19</v>
      </c>
      <c r="AE20" s="161" t="str">
        <f>IF('Rekapitulácia stavby'!BI16="","",'Rekapitulácia stavby'!BI16)</f>
        <v/>
      </c>
    </row>
    <row r="21" spans="2:31" s="1" customFormat="1" ht="18" customHeight="1" x14ac:dyDescent="0.2">
      <c r="B21" s="24"/>
      <c r="D21" s="521"/>
      <c r="E21" s="19" t="str">
        <f>IF('Rekapitulácia stavby'!E17="","",'Rekapitulácia stavby'!E17)</f>
        <v xml:space="preserve"> </v>
      </c>
      <c r="I21" s="528" t="s">
        <v>20</v>
      </c>
      <c r="J21" s="19" t="str">
        <f>IF('Rekapitulácia stavby'!AN17="","",'Rekapitulácia stavby'!AN17)</f>
        <v/>
      </c>
      <c r="L21" s="24"/>
      <c r="W21" s="158"/>
      <c r="X21" s="475"/>
      <c r="Y21" s="523"/>
      <c r="Z21" s="478" t="str">
        <f>IF('Rekapitulácia stavby'!Z17="","",'Rekapitulácia stavby'!Z17)</f>
        <v/>
      </c>
      <c r="AA21" s="475"/>
      <c r="AB21" s="475"/>
      <c r="AC21" s="475"/>
      <c r="AD21" s="538" t="s">
        <v>20</v>
      </c>
      <c r="AE21" s="161" t="str">
        <f>IF('Rekapitulácia stavby'!BI17="","",'Rekapitulácia stavby'!BI17)</f>
        <v/>
      </c>
    </row>
    <row r="22" spans="2:31" s="1" customFormat="1" ht="7.05" customHeight="1" x14ac:dyDescent="0.2">
      <c r="B22" s="24"/>
      <c r="D22" s="521"/>
      <c r="I22" s="521"/>
      <c r="L22" s="24"/>
      <c r="W22" s="158"/>
      <c r="X22" s="475"/>
      <c r="Y22" s="523"/>
      <c r="Z22" s="475"/>
      <c r="AA22" s="475"/>
      <c r="AB22" s="475"/>
      <c r="AC22" s="475"/>
      <c r="AD22" s="523"/>
      <c r="AE22" s="159"/>
    </row>
    <row r="23" spans="2:31" s="1" customFormat="1" ht="12" customHeight="1" x14ac:dyDescent="0.2">
      <c r="B23" s="24"/>
      <c r="D23" s="528" t="s">
        <v>24</v>
      </c>
      <c r="I23" s="528" t="s">
        <v>19</v>
      </c>
      <c r="J23" s="19" t="str">
        <f>IF('Rekapitulácia stavby'!AN19="","",'Rekapitulácia stavby'!AN19)</f>
        <v/>
      </c>
      <c r="L23" s="24"/>
      <c r="W23" s="158"/>
      <c r="X23" s="475"/>
      <c r="Y23" s="538" t="s">
        <v>24</v>
      </c>
      <c r="Z23" s="475"/>
      <c r="AA23" s="475"/>
      <c r="AB23" s="475"/>
      <c r="AC23" s="475"/>
      <c r="AD23" s="538" t="s">
        <v>19</v>
      </c>
      <c r="AE23" s="161" t="str">
        <f>IF('Rekapitulácia stavby'!BI19="","",'Rekapitulácia stavby'!BI19)</f>
        <v/>
      </c>
    </row>
    <row r="24" spans="2:31" s="1" customFormat="1" ht="18" customHeight="1" x14ac:dyDescent="0.2">
      <c r="B24" s="24"/>
      <c r="D24" s="521"/>
      <c r="E24" s="19" t="str">
        <f>IF('Rekapitulácia stavby'!E20="","",'Rekapitulácia stavby'!E20)</f>
        <v xml:space="preserve"> </v>
      </c>
      <c r="I24" s="528" t="s">
        <v>20</v>
      </c>
      <c r="J24" s="19" t="str">
        <f>IF('Rekapitulácia stavby'!AN20="","",'Rekapitulácia stavby'!AN20)</f>
        <v/>
      </c>
      <c r="L24" s="24"/>
      <c r="W24" s="158"/>
      <c r="X24" s="475"/>
      <c r="Y24" s="523"/>
      <c r="Z24" s="478" t="str">
        <f>IF('Rekapitulácia stavby'!Z20="","",'Rekapitulácia stavby'!Z20)</f>
        <v/>
      </c>
      <c r="AA24" s="475"/>
      <c r="AB24" s="475"/>
      <c r="AC24" s="475"/>
      <c r="AD24" s="476" t="s">
        <v>20</v>
      </c>
      <c r="AE24" s="161" t="str">
        <f>IF('Rekapitulácia stavby'!BI20="","",'Rekapitulácia stavby'!BI20)</f>
        <v/>
      </c>
    </row>
    <row r="25" spans="2:31" s="1" customFormat="1" ht="7.05" customHeight="1" x14ac:dyDescent="0.2">
      <c r="B25" s="24"/>
      <c r="D25" s="521"/>
      <c r="L25" s="24"/>
      <c r="W25" s="158"/>
      <c r="X25" s="475"/>
      <c r="Y25" s="523"/>
      <c r="Z25" s="475"/>
      <c r="AA25" s="475"/>
      <c r="AB25" s="475"/>
      <c r="AC25" s="475"/>
      <c r="AD25" s="475"/>
      <c r="AE25" s="159"/>
    </row>
    <row r="26" spans="2:31" s="1" customFormat="1" ht="12" customHeight="1" x14ac:dyDescent="0.2">
      <c r="B26" s="24"/>
      <c r="D26" s="528" t="s">
        <v>25</v>
      </c>
      <c r="L26" s="24"/>
      <c r="W26" s="158"/>
      <c r="X26" s="475"/>
      <c r="Y26" s="538" t="s">
        <v>25</v>
      </c>
      <c r="Z26" s="475"/>
      <c r="AA26" s="475"/>
      <c r="AB26" s="475"/>
      <c r="AC26" s="475"/>
      <c r="AD26" s="475"/>
      <c r="AE26" s="159"/>
    </row>
    <row r="27" spans="2:31" s="7" customFormat="1" ht="16.5" customHeight="1" x14ac:dyDescent="0.2">
      <c r="B27" s="75"/>
      <c r="E27" s="1228" t="s">
        <v>1</v>
      </c>
      <c r="F27" s="1228"/>
      <c r="G27" s="1228"/>
      <c r="H27" s="1228"/>
      <c r="L27" s="75"/>
      <c r="W27" s="163"/>
      <c r="X27" s="164"/>
      <c r="Y27" s="164"/>
      <c r="Z27" s="1248" t="s">
        <v>1</v>
      </c>
      <c r="AA27" s="1248"/>
      <c r="AB27" s="1248"/>
      <c r="AC27" s="1248"/>
      <c r="AD27" s="164"/>
      <c r="AE27" s="165"/>
    </row>
    <row r="28" spans="2:31" s="1" customFormat="1" ht="7.05" customHeight="1" x14ac:dyDescent="0.2">
      <c r="B28" s="24"/>
      <c r="L28" s="24"/>
      <c r="W28" s="158"/>
      <c r="X28" s="475"/>
      <c r="Y28" s="475"/>
      <c r="Z28" s="475"/>
      <c r="AA28" s="475"/>
      <c r="AB28" s="475"/>
      <c r="AC28" s="475"/>
      <c r="AD28" s="475"/>
      <c r="AE28" s="159"/>
    </row>
    <row r="29" spans="2:31" s="1" customFormat="1" ht="7.05" customHeight="1" x14ac:dyDescent="0.2">
      <c r="B29" s="24"/>
      <c r="D29" s="40"/>
      <c r="E29" s="40"/>
      <c r="F29" s="40"/>
      <c r="G29" s="40"/>
      <c r="H29" s="40"/>
      <c r="I29" s="40"/>
      <c r="J29" s="40"/>
      <c r="K29" s="40"/>
      <c r="L29" s="24"/>
      <c r="W29" s="158"/>
      <c r="X29" s="475"/>
      <c r="Y29" s="40"/>
      <c r="Z29" s="40"/>
      <c r="AA29" s="40"/>
      <c r="AB29" s="40"/>
      <c r="AC29" s="40"/>
      <c r="AD29" s="40"/>
      <c r="AE29" s="166"/>
    </row>
    <row r="30" spans="2:31" s="1" customFormat="1" ht="25.2" customHeight="1" x14ac:dyDescent="0.2">
      <c r="B30" s="24"/>
      <c r="D30" s="76" t="s">
        <v>26</v>
      </c>
      <c r="J30" s="53">
        <f>ROUND(J120, 2)</f>
        <v>9498.2099999999991</v>
      </c>
      <c r="L30" s="24"/>
      <c r="W30" s="158"/>
      <c r="X30" s="475"/>
      <c r="Y30" s="167" t="s">
        <v>26</v>
      </c>
      <c r="Z30" s="475"/>
      <c r="AA30" s="475"/>
      <c r="AB30" s="475"/>
      <c r="AC30" s="475"/>
      <c r="AD30" s="475"/>
      <c r="AE30" s="168">
        <f>ROUND(AE120, 2)</f>
        <v>9498.2099999999991</v>
      </c>
    </row>
    <row r="31" spans="2:31" s="1" customFormat="1" ht="7.05" customHeight="1" x14ac:dyDescent="0.2">
      <c r="B31" s="24"/>
      <c r="D31" s="40"/>
      <c r="E31" s="40"/>
      <c r="F31" s="40"/>
      <c r="G31" s="40"/>
      <c r="H31" s="40"/>
      <c r="I31" s="40"/>
      <c r="J31" s="40"/>
      <c r="K31" s="40"/>
      <c r="L31" s="24"/>
      <c r="W31" s="158"/>
      <c r="X31" s="475"/>
      <c r="Y31" s="40"/>
      <c r="Z31" s="40"/>
      <c r="AA31" s="40"/>
      <c r="AB31" s="40"/>
      <c r="AC31" s="40"/>
      <c r="AD31" s="40"/>
      <c r="AE31" s="166"/>
    </row>
    <row r="32" spans="2:31" s="1" customFormat="1" ht="14.55" customHeight="1" x14ac:dyDescent="0.2">
      <c r="B32" s="24"/>
      <c r="D32" s="521"/>
      <c r="E32" s="521"/>
      <c r="F32" s="534" t="s">
        <v>28</v>
      </c>
      <c r="G32" s="521"/>
      <c r="H32" s="521"/>
      <c r="I32" s="534" t="s">
        <v>27</v>
      </c>
      <c r="J32" s="534" t="s">
        <v>29</v>
      </c>
      <c r="L32" s="24"/>
      <c r="W32" s="158"/>
      <c r="X32" s="475"/>
      <c r="Y32" s="523"/>
      <c r="Z32" s="523"/>
      <c r="AA32" s="542" t="s">
        <v>28</v>
      </c>
      <c r="AB32" s="523"/>
      <c r="AC32" s="523"/>
      <c r="AD32" s="542" t="s">
        <v>27</v>
      </c>
      <c r="AE32" s="543" t="s">
        <v>29</v>
      </c>
    </row>
    <row r="33" spans="2:31" s="1" customFormat="1" ht="14.55" customHeight="1" x14ac:dyDescent="0.2">
      <c r="B33" s="24"/>
      <c r="D33" s="13" t="s">
        <v>30</v>
      </c>
      <c r="E33" s="528" t="s">
        <v>31</v>
      </c>
      <c r="F33" s="398">
        <f>ROUND((SUM(BE120:BE161)),  2)</f>
        <v>0</v>
      </c>
      <c r="G33" s="521"/>
      <c r="H33" s="521"/>
      <c r="I33" s="535">
        <v>0.2</v>
      </c>
      <c r="J33" s="398">
        <f>ROUND(((SUM(BE120:BE161))*I33),  2)</f>
        <v>0</v>
      </c>
      <c r="L33" s="24"/>
      <c r="W33" s="158"/>
      <c r="X33" s="475"/>
      <c r="Y33" s="544" t="s">
        <v>30</v>
      </c>
      <c r="Z33" s="538" t="s">
        <v>31</v>
      </c>
      <c r="AA33" s="545">
        <f>ROUND((SUM(BZ120:BZ161)),  2)</f>
        <v>0</v>
      </c>
      <c r="AB33" s="523"/>
      <c r="AC33" s="523"/>
      <c r="AD33" s="546">
        <v>0.2</v>
      </c>
      <c r="AE33" s="547">
        <f>ROUND(((SUM(BZ120:BZ161))*AD33),  2)</f>
        <v>0</v>
      </c>
    </row>
    <row r="34" spans="2:31" s="1" customFormat="1" ht="14.55" customHeight="1" x14ac:dyDescent="0.2">
      <c r="B34" s="24"/>
      <c r="D34" s="521"/>
      <c r="E34" s="528" t="s">
        <v>32</v>
      </c>
      <c r="F34" s="398">
        <f>ROUND((SUM(BF120:BF161)),  2)</f>
        <v>9498.2099999999991</v>
      </c>
      <c r="G34" s="521"/>
      <c r="H34" s="521"/>
      <c r="I34" s="535">
        <v>0.2</v>
      </c>
      <c r="J34" s="398">
        <f>ROUND(((SUM(BF120:BF161))*I34),  2)</f>
        <v>1899.64</v>
      </c>
      <c r="L34" s="24"/>
      <c r="W34" s="158"/>
      <c r="X34" s="475"/>
      <c r="Y34" s="523"/>
      <c r="Z34" s="538" t="s">
        <v>32</v>
      </c>
      <c r="AA34" s="545">
        <f>AE30</f>
        <v>9498.2099999999991</v>
      </c>
      <c r="AB34" s="523"/>
      <c r="AC34" s="523"/>
      <c r="AD34" s="546">
        <v>0.2</v>
      </c>
      <c r="AE34" s="547">
        <f>AA34*0.2</f>
        <v>1899.6419999999998</v>
      </c>
    </row>
    <row r="35" spans="2:31" s="1" customFormat="1" ht="14.55" hidden="1" customHeight="1" x14ac:dyDescent="0.2">
      <c r="B35" s="24"/>
      <c r="E35" s="21" t="s">
        <v>33</v>
      </c>
      <c r="F35" s="78">
        <f>ROUND((SUM(BG120:BG161)),  2)</f>
        <v>0</v>
      </c>
      <c r="I35" s="79">
        <v>0.2</v>
      </c>
      <c r="J35" s="78">
        <f>0</f>
        <v>0</v>
      </c>
      <c r="L35" s="24"/>
      <c r="W35" s="158"/>
      <c r="X35" s="475"/>
      <c r="Y35" s="475"/>
      <c r="Z35" s="476" t="s">
        <v>33</v>
      </c>
      <c r="AA35" s="170">
        <f>ROUND((SUM(CB120:CB161)),  2)</f>
        <v>0</v>
      </c>
      <c r="AB35" s="475"/>
      <c r="AC35" s="475"/>
      <c r="AD35" s="171">
        <v>0.2</v>
      </c>
      <c r="AE35" s="172">
        <f>0</f>
        <v>0</v>
      </c>
    </row>
    <row r="36" spans="2:31" s="1" customFormat="1" ht="14.55" hidden="1" customHeight="1" x14ac:dyDescent="0.2">
      <c r="B36" s="24"/>
      <c r="E36" s="21" t="s">
        <v>34</v>
      </c>
      <c r="F36" s="78">
        <f>ROUND((SUM(BH120:BH161)),  2)</f>
        <v>0</v>
      </c>
      <c r="I36" s="79">
        <v>0.2</v>
      </c>
      <c r="J36" s="78">
        <f>0</f>
        <v>0</v>
      </c>
      <c r="L36" s="24"/>
      <c r="W36" s="158"/>
      <c r="X36" s="475"/>
      <c r="Y36" s="475"/>
      <c r="Z36" s="476" t="s">
        <v>34</v>
      </c>
      <c r="AA36" s="170">
        <f>ROUND((SUM(CC120:CC161)),  2)</f>
        <v>0</v>
      </c>
      <c r="AB36" s="475"/>
      <c r="AC36" s="475"/>
      <c r="AD36" s="171">
        <v>0.2</v>
      </c>
      <c r="AE36" s="172">
        <f>0</f>
        <v>0</v>
      </c>
    </row>
    <row r="37" spans="2:31" s="1" customFormat="1" ht="14.55" hidden="1" customHeight="1" x14ac:dyDescent="0.2">
      <c r="B37" s="24"/>
      <c r="E37" s="21" t="s">
        <v>35</v>
      </c>
      <c r="F37" s="78">
        <f>ROUND((SUM(BI120:BI161)),  2)</f>
        <v>0</v>
      </c>
      <c r="I37" s="79">
        <v>0</v>
      </c>
      <c r="J37" s="78">
        <f>0</f>
        <v>0</v>
      </c>
      <c r="L37" s="24"/>
      <c r="W37" s="158"/>
      <c r="X37" s="475"/>
      <c r="Y37" s="475"/>
      <c r="Z37" s="476" t="s">
        <v>35</v>
      </c>
      <c r="AA37" s="170">
        <f>ROUND((SUM(CD120:CD161)),  2)</f>
        <v>0</v>
      </c>
      <c r="AB37" s="475"/>
      <c r="AC37" s="475"/>
      <c r="AD37" s="171">
        <v>0</v>
      </c>
      <c r="AE37" s="172">
        <f>0</f>
        <v>0</v>
      </c>
    </row>
    <row r="38" spans="2:31" s="1" customFormat="1" ht="7.05" customHeight="1" x14ac:dyDescent="0.2">
      <c r="B38" s="24"/>
      <c r="L38" s="24"/>
      <c r="W38" s="158"/>
      <c r="X38" s="475"/>
      <c r="Y38" s="475"/>
      <c r="Z38" s="475"/>
      <c r="AA38" s="475"/>
      <c r="AB38" s="475"/>
      <c r="AC38" s="475"/>
      <c r="AD38" s="475"/>
      <c r="AE38" s="159"/>
    </row>
    <row r="39" spans="2:31" s="1" customFormat="1" ht="25.2" customHeight="1" x14ac:dyDescent="0.2">
      <c r="B39" s="24"/>
      <c r="C39" s="80"/>
      <c r="D39" s="81" t="s">
        <v>36</v>
      </c>
      <c r="E39" s="44"/>
      <c r="F39" s="44"/>
      <c r="G39" s="82" t="s">
        <v>37</v>
      </c>
      <c r="H39" s="83" t="s">
        <v>38</v>
      </c>
      <c r="I39" s="44"/>
      <c r="J39" s="84">
        <f>SUM(J30:J37)</f>
        <v>11397.849999999999</v>
      </c>
      <c r="K39" s="85"/>
      <c r="L39" s="24"/>
      <c r="W39" s="158"/>
      <c r="X39" s="173"/>
      <c r="Y39" s="81" t="s">
        <v>36</v>
      </c>
      <c r="Z39" s="44"/>
      <c r="AA39" s="44"/>
      <c r="AB39" s="82" t="s">
        <v>37</v>
      </c>
      <c r="AC39" s="83" t="s">
        <v>38</v>
      </c>
      <c r="AD39" s="44"/>
      <c r="AE39" s="174">
        <f>SUM(AE30:AE37)</f>
        <v>11397.851999999999</v>
      </c>
    </row>
    <row r="40" spans="2:31" s="1" customFormat="1" ht="14.55" customHeight="1" x14ac:dyDescent="0.2">
      <c r="B40" s="24"/>
      <c r="L40" s="24"/>
      <c r="W40" s="158"/>
      <c r="X40" s="475"/>
      <c r="Y40" s="475"/>
      <c r="Z40" s="475"/>
      <c r="AA40" s="475"/>
      <c r="AB40" s="475"/>
      <c r="AC40" s="475"/>
      <c r="AD40" s="475"/>
      <c r="AE40" s="159"/>
    </row>
    <row r="41" spans="2:31" ht="14.55" customHeight="1" x14ac:dyDescent="0.2">
      <c r="B41" s="16"/>
      <c r="L41" s="16"/>
      <c r="W41" s="155"/>
      <c r="X41" s="156"/>
      <c r="Y41" s="156"/>
      <c r="Z41" s="156"/>
      <c r="AA41" s="156"/>
      <c r="AB41" s="156"/>
      <c r="AC41" s="156"/>
      <c r="AD41" s="156"/>
      <c r="AE41" s="157"/>
    </row>
    <row r="42" spans="2:31" ht="14.55" customHeight="1" x14ac:dyDescent="0.2">
      <c r="B42" s="16"/>
      <c r="L42" s="16"/>
      <c r="W42" s="155"/>
      <c r="X42" s="156"/>
      <c r="Y42" s="156"/>
      <c r="Z42" s="156"/>
      <c r="AA42" s="156"/>
      <c r="AB42" s="156"/>
      <c r="AC42" s="156"/>
      <c r="AD42" s="156"/>
      <c r="AE42" s="157"/>
    </row>
    <row r="43" spans="2:31" ht="14.55" customHeight="1" x14ac:dyDescent="0.2">
      <c r="B43" s="16"/>
      <c r="L43" s="16"/>
      <c r="W43" s="155"/>
      <c r="X43" s="156"/>
      <c r="Y43" s="156"/>
      <c r="Z43" s="156"/>
      <c r="AA43" s="156"/>
      <c r="AB43" s="156"/>
      <c r="AC43" s="156"/>
      <c r="AD43" s="156"/>
      <c r="AE43" s="157"/>
    </row>
    <row r="44" spans="2:31" ht="14.55" customHeight="1" x14ac:dyDescent="0.2">
      <c r="B44" s="16"/>
      <c r="L44" s="16"/>
      <c r="W44" s="155"/>
      <c r="X44" s="156"/>
      <c r="Y44" s="156"/>
      <c r="Z44" s="156"/>
      <c r="AA44" s="156"/>
      <c r="AB44" s="156"/>
      <c r="AC44" s="156"/>
      <c r="AD44" s="156"/>
      <c r="AE44" s="157"/>
    </row>
    <row r="45" spans="2:31" ht="14.55" customHeight="1" x14ac:dyDescent="0.2">
      <c r="B45" s="16"/>
      <c r="L45" s="16"/>
      <c r="W45" s="155"/>
      <c r="X45" s="156"/>
      <c r="Y45" s="156"/>
      <c r="Z45" s="156"/>
      <c r="AA45" s="156"/>
      <c r="AB45" s="156"/>
      <c r="AC45" s="156"/>
      <c r="AD45" s="156"/>
      <c r="AE45" s="157"/>
    </row>
    <row r="46" spans="2:31" ht="14.55" customHeight="1" x14ac:dyDescent="0.2">
      <c r="B46" s="16"/>
      <c r="L46" s="16"/>
      <c r="W46" s="155"/>
      <c r="X46" s="156"/>
      <c r="Y46" s="156"/>
      <c r="Z46" s="156"/>
      <c r="AA46" s="156"/>
      <c r="AB46" s="156"/>
      <c r="AC46" s="156"/>
      <c r="AD46" s="156"/>
      <c r="AE46" s="157"/>
    </row>
    <row r="47" spans="2:31" ht="14.55" customHeight="1" x14ac:dyDescent="0.2">
      <c r="B47" s="16"/>
      <c r="L47" s="16"/>
      <c r="W47" s="155"/>
      <c r="X47" s="156"/>
      <c r="Y47" s="156"/>
      <c r="Z47" s="156"/>
      <c r="AA47" s="156"/>
      <c r="AB47" s="156"/>
      <c r="AC47" s="156"/>
      <c r="AD47" s="156"/>
      <c r="AE47" s="157"/>
    </row>
    <row r="48" spans="2:31" ht="14.55" customHeight="1" x14ac:dyDescent="0.2">
      <c r="B48" s="16"/>
      <c r="L48" s="16"/>
      <c r="W48" s="155"/>
      <c r="X48" s="156"/>
      <c r="Y48" s="156"/>
      <c r="Z48" s="156"/>
      <c r="AA48" s="156"/>
      <c r="AB48" s="156"/>
      <c r="AC48" s="156"/>
      <c r="AD48" s="156"/>
      <c r="AE48" s="157"/>
    </row>
    <row r="49" spans="2:31" ht="14.55" customHeight="1" x14ac:dyDescent="0.2">
      <c r="B49" s="16"/>
      <c r="D49" s="156"/>
      <c r="E49" s="156"/>
      <c r="F49" s="156"/>
      <c r="G49" s="156"/>
      <c r="H49" s="156"/>
      <c r="I49" s="156"/>
      <c r="J49" s="156"/>
      <c r="L49" s="16"/>
      <c r="W49" s="155"/>
      <c r="X49" s="156"/>
      <c r="Y49" s="156"/>
      <c r="Z49" s="156"/>
      <c r="AA49" s="156"/>
      <c r="AB49" s="156"/>
      <c r="AC49" s="156"/>
      <c r="AD49" s="156"/>
      <c r="AE49" s="157"/>
    </row>
    <row r="50" spans="2:31" s="1" customFormat="1" ht="14.55" customHeight="1" x14ac:dyDescent="0.2">
      <c r="B50" s="24"/>
      <c r="D50" s="530"/>
      <c r="E50" s="523"/>
      <c r="F50" s="523"/>
      <c r="G50" s="530"/>
      <c r="H50" s="523"/>
      <c r="I50" s="523"/>
      <c r="J50" s="523"/>
      <c r="K50" s="32"/>
      <c r="L50" s="24"/>
      <c r="W50" s="158"/>
      <c r="X50" s="475"/>
      <c r="Y50" s="530"/>
      <c r="Z50" s="523"/>
      <c r="AA50" s="523"/>
      <c r="AB50" s="530"/>
      <c r="AC50" s="523"/>
      <c r="AD50" s="523"/>
      <c r="AE50" s="159"/>
    </row>
    <row r="51" spans="2:31" x14ac:dyDescent="0.2">
      <c r="B51" s="16"/>
      <c r="D51" s="156"/>
      <c r="E51" s="156"/>
      <c r="F51" s="156"/>
      <c r="G51" s="156"/>
      <c r="H51" s="156"/>
      <c r="I51" s="156"/>
      <c r="J51" s="156"/>
      <c r="L51" s="16"/>
      <c r="W51" s="155"/>
      <c r="X51" s="156"/>
      <c r="Y51" s="156"/>
      <c r="Z51" s="156"/>
      <c r="AA51" s="156"/>
      <c r="AB51" s="156"/>
      <c r="AC51" s="156"/>
      <c r="AD51" s="156"/>
      <c r="AE51" s="157"/>
    </row>
    <row r="52" spans="2:31" x14ac:dyDescent="0.2">
      <c r="B52" s="16"/>
      <c r="D52" s="156"/>
      <c r="E52" s="156"/>
      <c r="F52" s="156"/>
      <c r="G52" s="156"/>
      <c r="H52" s="156"/>
      <c r="I52" s="156"/>
      <c r="J52" s="156"/>
      <c r="L52" s="16"/>
      <c r="W52" s="155"/>
      <c r="X52" s="156"/>
      <c r="Y52" s="156"/>
      <c r="Z52" s="156"/>
      <c r="AA52" s="156"/>
      <c r="AB52" s="156"/>
      <c r="AC52" s="156"/>
      <c r="AD52" s="156"/>
      <c r="AE52" s="157"/>
    </row>
    <row r="53" spans="2:31" x14ac:dyDescent="0.2">
      <c r="B53" s="16"/>
      <c r="D53" s="156"/>
      <c r="E53" s="156"/>
      <c r="F53" s="156"/>
      <c r="G53" s="156"/>
      <c r="H53" s="156"/>
      <c r="I53" s="156"/>
      <c r="J53" s="156"/>
      <c r="L53" s="16"/>
      <c r="W53" s="155"/>
      <c r="X53" s="156"/>
      <c r="Y53" s="156"/>
      <c r="Z53" s="156"/>
      <c r="AA53" s="156"/>
      <c r="AB53" s="156"/>
      <c r="AC53" s="156"/>
      <c r="AD53" s="156"/>
      <c r="AE53" s="157"/>
    </row>
    <row r="54" spans="2:31" x14ac:dyDescent="0.2">
      <c r="B54" s="16"/>
      <c r="D54" s="156"/>
      <c r="E54" s="156"/>
      <c r="F54" s="156"/>
      <c r="G54" s="156"/>
      <c r="H54" s="156"/>
      <c r="I54" s="156"/>
      <c r="J54" s="156"/>
      <c r="L54" s="16"/>
      <c r="W54" s="155"/>
      <c r="X54" s="156"/>
      <c r="Y54" s="156"/>
      <c r="Z54" s="156"/>
      <c r="AA54" s="156"/>
      <c r="AB54" s="156"/>
      <c r="AC54" s="156"/>
      <c r="AD54" s="156"/>
      <c r="AE54" s="157"/>
    </row>
    <row r="55" spans="2:31" x14ac:dyDescent="0.2">
      <c r="B55" s="16"/>
      <c r="D55" s="156"/>
      <c r="E55" s="156"/>
      <c r="F55" s="156"/>
      <c r="G55" s="156"/>
      <c r="H55" s="156"/>
      <c r="I55" s="156"/>
      <c r="J55" s="156"/>
      <c r="L55" s="16"/>
      <c r="W55" s="155"/>
      <c r="X55" s="156"/>
      <c r="Y55" s="156"/>
      <c r="Z55" s="156"/>
      <c r="AA55" s="156"/>
      <c r="AB55" s="156"/>
      <c r="AC55" s="156"/>
      <c r="AD55" s="156"/>
      <c r="AE55" s="157"/>
    </row>
    <row r="56" spans="2:31" x14ac:dyDescent="0.2">
      <c r="B56" s="16"/>
      <c r="D56" s="156"/>
      <c r="E56" s="156"/>
      <c r="F56" s="156"/>
      <c r="G56" s="156"/>
      <c r="H56" s="156"/>
      <c r="I56" s="156"/>
      <c r="J56" s="156"/>
      <c r="L56" s="16"/>
      <c r="W56" s="155"/>
      <c r="X56" s="156"/>
      <c r="Y56" s="156"/>
      <c r="Z56" s="156"/>
      <c r="AA56" s="156"/>
      <c r="AB56" s="156"/>
      <c r="AC56" s="156"/>
      <c r="AD56" s="156"/>
      <c r="AE56" s="157"/>
    </row>
    <row r="57" spans="2:31" x14ac:dyDescent="0.2">
      <c r="B57" s="16"/>
      <c r="D57" s="156"/>
      <c r="E57" s="156"/>
      <c r="F57" s="156"/>
      <c r="G57" s="156"/>
      <c r="H57" s="156"/>
      <c r="I57" s="156"/>
      <c r="J57" s="156"/>
      <c r="L57" s="16"/>
      <c r="W57" s="155"/>
      <c r="X57" s="156"/>
      <c r="Y57" s="156"/>
      <c r="Z57" s="156"/>
      <c r="AA57" s="156"/>
      <c r="AB57" s="156"/>
      <c r="AC57" s="156"/>
      <c r="AD57" s="156"/>
      <c r="AE57" s="157"/>
    </row>
    <row r="58" spans="2:31" x14ac:dyDescent="0.2">
      <c r="B58" s="16"/>
      <c r="D58" s="156"/>
      <c r="E58" s="156"/>
      <c r="F58" s="156"/>
      <c r="G58" s="156"/>
      <c r="H58" s="156"/>
      <c r="I58" s="156"/>
      <c r="J58" s="156"/>
      <c r="L58" s="16"/>
      <c r="W58" s="155"/>
      <c r="X58" s="156"/>
      <c r="Y58" s="156"/>
      <c r="Z58" s="156"/>
      <c r="AA58" s="156"/>
      <c r="AB58" s="156"/>
      <c r="AC58" s="156"/>
      <c r="AD58" s="156"/>
      <c r="AE58" s="157"/>
    </row>
    <row r="59" spans="2:31" x14ac:dyDescent="0.2">
      <c r="B59" s="16"/>
      <c r="D59" s="156"/>
      <c r="E59" s="156"/>
      <c r="F59" s="156"/>
      <c r="G59" s="156"/>
      <c r="H59" s="156"/>
      <c r="I59" s="156"/>
      <c r="J59" s="156"/>
      <c r="L59" s="16"/>
      <c r="W59" s="155"/>
      <c r="X59" s="156"/>
      <c r="Y59" s="156"/>
      <c r="Z59" s="156"/>
      <c r="AA59" s="156"/>
      <c r="AB59" s="156"/>
      <c r="AC59" s="156"/>
      <c r="AD59" s="156"/>
      <c r="AE59" s="157"/>
    </row>
    <row r="60" spans="2:31" x14ac:dyDescent="0.2">
      <c r="B60" s="16"/>
      <c r="D60" s="156"/>
      <c r="E60" s="156"/>
      <c r="F60" s="156"/>
      <c r="G60" s="156"/>
      <c r="H60" s="156"/>
      <c r="I60" s="156"/>
      <c r="J60" s="156"/>
      <c r="L60" s="16"/>
      <c r="W60" s="155"/>
      <c r="X60" s="156"/>
      <c r="Y60" s="156"/>
      <c r="Z60" s="156"/>
      <c r="AA60" s="156"/>
      <c r="AB60" s="156"/>
      <c r="AC60" s="156"/>
      <c r="AD60" s="156"/>
      <c r="AE60" s="157"/>
    </row>
    <row r="61" spans="2:31" s="1" customFormat="1" ht="13.2" x14ac:dyDescent="0.2">
      <c r="B61" s="24"/>
      <c r="D61" s="522"/>
      <c r="E61" s="523"/>
      <c r="F61" s="536"/>
      <c r="G61" s="522"/>
      <c r="H61" s="523"/>
      <c r="I61" s="523"/>
      <c r="J61" s="169"/>
      <c r="K61" s="26"/>
      <c r="L61" s="24"/>
      <c r="W61" s="158"/>
      <c r="X61" s="475"/>
      <c r="Y61" s="522"/>
      <c r="Z61" s="523"/>
      <c r="AA61" s="536"/>
      <c r="AB61" s="522"/>
      <c r="AC61" s="523"/>
      <c r="AD61" s="523"/>
      <c r="AE61" s="577"/>
    </row>
    <row r="62" spans="2:31" x14ac:dyDescent="0.2">
      <c r="B62" s="16"/>
      <c r="D62" s="156"/>
      <c r="E62" s="156"/>
      <c r="F62" s="156"/>
      <c r="G62" s="156"/>
      <c r="H62" s="156"/>
      <c r="I62" s="156"/>
      <c r="J62" s="156"/>
      <c r="L62" s="16"/>
      <c r="W62" s="155"/>
      <c r="X62" s="156"/>
      <c r="Y62" s="156"/>
      <c r="Z62" s="156"/>
      <c r="AA62" s="156"/>
      <c r="AB62" s="156"/>
      <c r="AC62" s="156"/>
      <c r="AD62" s="156"/>
      <c r="AE62" s="157"/>
    </row>
    <row r="63" spans="2:31" x14ac:dyDescent="0.2">
      <c r="B63" s="16"/>
      <c r="D63" s="156"/>
      <c r="E63" s="156"/>
      <c r="F63" s="156"/>
      <c r="G63" s="156"/>
      <c r="H63" s="156"/>
      <c r="I63" s="156"/>
      <c r="J63" s="156"/>
      <c r="L63" s="16"/>
      <c r="W63" s="155"/>
      <c r="X63" s="156"/>
      <c r="Y63" s="156"/>
      <c r="Z63" s="156"/>
      <c r="AA63" s="156"/>
      <c r="AB63" s="156"/>
      <c r="AC63" s="156"/>
      <c r="AD63" s="156"/>
      <c r="AE63" s="157"/>
    </row>
    <row r="64" spans="2:31" x14ac:dyDescent="0.2">
      <c r="B64" s="16"/>
      <c r="D64" s="156"/>
      <c r="E64" s="156"/>
      <c r="F64" s="156"/>
      <c r="G64" s="156"/>
      <c r="H64" s="156"/>
      <c r="I64" s="156"/>
      <c r="J64" s="156"/>
      <c r="L64" s="16"/>
      <c r="W64" s="155"/>
      <c r="X64" s="156"/>
      <c r="Y64" s="156"/>
      <c r="Z64" s="156"/>
      <c r="AA64" s="156"/>
      <c r="AB64" s="156"/>
      <c r="AC64" s="156"/>
      <c r="AD64" s="156"/>
      <c r="AE64" s="157"/>
    </row>
    <row r="65" spans="2:31" s="1" customFormat="1" ht="13.2" x14ac:dyDescent="0.2">
      <c r="B65" s="24"/>
      <c r="D65" s="530"/>
      <c r="E65" s="523"/>
      <c r="F65" s="523"/>
      <c r="G65" s="530"/>
      <c r="H65" s="523"/>
      <c r="I65" s="523"/>
      <c r="J65" s="523"/>
      <c r="K65" s="32"/>
      <c r="L65" s="24"/>
      <c r="W65" s="158"/>
      <c r="X65" s="475"/>
      <c r="Y65" s="530"/>
      <c r="Z65" s="523"/>
      <c r="AA65" s="523"/>
      <c r="AB65" s="530"/>
      <c r="AC65" s="523"/>
      <c r="AD65" s="523"/>
      <c r="AE65" s="159"/>
    </row>
    <row r="66" spans="2:31" x14ac:dyDescent="0.2">
      <c r="B66" s="16"/>
      <c r="D66" s="156"/>
      <c r="E66" s="156"/>
      <c r="F66" s="156"/>
      <c r="G66" s="156"/>
      <c r="H66" s="156"/>
      <c r="I66" s="156"/>
      <c r="J66" s="156"/>
      <c r="L66" s="16"/>
      <c r="W66" s="155"/>
      <c r="X66" s="156"/>
      <c r="Y66" s="156"/>
      <c r="Z66" s="156"/>
      <c r="AA66" s="156"/>
      <c r="AB66" s="156"/>
      <c r="AC66" s="156"/>
      <c r="AD66" s="156"/>
      <c r="AE66" s="157"/>
    </row>
    <row r="67" spans="2:31" x14ac:dyDescent="0.2">
      <c r="B67" s="16"/>
      <c r="D67" s="156"/>
      <c r="E67" s="156"/>
      <c r="F67" s="156"/>
      <c r="G67" s="156"/>
      <c r="H67" s="156"/>
      <c r="I67" s="156"/>
      <c r="J67" s="156"/>
      <c r="L67" s="16"/>
      <c r="W67" s="155"/>
      <c r="X67" s="156"/>
      <c r="Y67" s="156"/>
      <c r="Z67" s="156"/>
      <c r="AA67" s="156"/>
      <c r="AB67" s="156"/>
      <c r="AC67" s="156"/>
      <c r="AD67" s="156"/>
      <c r="AE67" s="157"/>
    </row>
    <row r="68" spans="2:31" x14ac:dyDescent="0.2">
      <c r="B68" s="16"/>
      <c r="D68" s="156"/>
      <c r="E68" s="156"/>
      <c r="F68" s="156"/>
      <c r="G68" s="156"/>
      <c r="H68" s="156"/>
      <c r="I68" s="156"/>
      <c r="J68" s="156"/>
      <c r="L68" s="16"/>
      <c r="W68" s="155"/>
      <c r="X68" s="156"/>
      <c r="Y68" s="156"/>
      <c r="Z68" s="156"/>
      <c r="AA68" s="156"/>
      <c r="AB68" s="156"/>
      <c r="AC68" s="156"/>
      <c r="AD68" s="156"/>
      <c r="AE68" s="157"/>
    </row>
    <row r="69" spans="2:31" x14ac:dyDescent="0.2">
      <c r="B69" s="16"/>
      <c r="D69" s="156"/>
      <c r="E69" s="156"/>
      <c r="F69" s="156"/>
      <c r="G69" s="156"/>
      <c r="H69" s="156"/>
      <c r="I69" s="156"/>
      <c r="J69" s="156"/>
      <c r="L69" s="16"/>
      <c r="W69" s="155"/>
      <c r="X69" s="156"/>
      <c r="Y69" s="156"/>
      <c r="Z69" s="156"/>
      <c r="AA69" s="156"/>
      <c r="AB69" s="156"/>
      <c r="AC69" s="156"/>
      <c r="AD69" s="156"/>
      <c r="AE69" s="157"/>
    </row>
    <row r="70" spans="2:31" x14ac:dyDescent="0.2">
      <c r="B70" s="16"/>
      <c r="D70" s="156"/>
      <c r="E70" s="156"/>
      <c r="F70" s="156"/>
      <c r="G70" s="156"/>
      <c r="H70" s="156"/>
      <c r="I70" s="156"/>
      <c r="J70" s="156"/>
      <c r="L70" s="16"/>
      <c r="W70" s="155"/>
      <c r="X70" s="156"/>
      <c r="Y70" s="156"/>
      <c r="Z70" s="156"/>
      <c r="AA70" s="156"/>
      <c r="AB70" s="156"/>
      <c r="AC70" s="156"/>
      <c r="AD70" s="156"/>
      <c r="AE70" s="157"/>
    </row>
    <row r="71" spans="2:31" x14ac:dyDescent="0.2">
      <c r="B71" s="16"/>
      <c r="D71" s="156"/>
      <c r="E71" s="156"/>
      <c r="F71" s="156"/>
      <c r="G71" s="156"/>
      <c r="H71" s="156"/>
      <c r="I71" s="156"/>
      <c r="J71" s="156"/>
      <c r="L71" s="16"/>
      <c r="W71" s="155"/>
      <c r="X71" s="156"/>
      <c r="Y71" s="156"/>
      <c r="Z71" s="156"/>
      <c r="AA71" s="156"/>
      <c r="AB71" s="156"/>
      <c r="AC71" s="156"/>
      <c r="AD71" s="156"/>
      <c r="AE71" s="157"/>
    </row>
    <row r="72" spans="2:31" x14ac:dyDescent="0.2">
      <c r="B72" s="16"/>
      <c r="D72" s="156"/>
      <c r="E72" s="156"/>
      <c r="F72" s="156"/>
      <c r="G72" s="156"/>
      <c r="H72" s="156"/>
      <c r="I72" s="156"/>
      <c r="J72" s="156"/>
      <c r="L72" s="16"/>
      <c r="W72" s="155"/>
      <c r="X72" s="156"/>
      <c r="Y72" s="156"/>
      <c r="Z72" s="156"/>
      <c r="AA72" s="156"/>
      <c r="AB72" s="156"/>
      <c r="AC72" s="156"/>
      <c r="AD72" s="156"/>
      <c r="AE72" s="157"/>
    </row>
    <row r="73" spans="2:31" x14ac:dyDescent="0.2">
      <c r="B73" s="16"/>
      <c r="D73" s="156"/>
      <c r="E73" s="156"/>
      <c r="F73" s="156"/>
      <c r="G73" s="156"/>
      <c r="H73" s="156"/>
      <c r="I73" s="156"/>
      <c r="J73" s="156"/>
      <c r="L73" s="16"/>
      <c r="W73" s="155"/>
      <c r="X73" s="156"/>
      <c r="Y73" s="156"/>
      <c r="Z73" s="156"/>
      <c r="AA73" s="156"/>
      <c r="AB73" s="156"/>
      <c r="AC73" s="156"/>
      <c r="AD73" s="156"/>
      <c r="AE73" s="157"/>
    </row>
    <row r="74" spans="2:31" x14ac:dyDescent="0.2">
      <c r="B74" s="16"/>
      <c r="D74" s="156"/>
      <c r="E74" s="156"/>
      <c r="F74" s="156"/>
      <c r="G74" s="156"/>
      <c r="H74" s="156"/>
      <c r="I74" s="156"/>
      <c r="J74" s="156"/>
      <c r="L74" s="16"/>
      <c r="W74" s="155"/>
      <c r="X74" s="156"/>
      <c r="Y74" s="156"/>
      <c r="Z74" s="156"/>
      <c r="AA74" s="156"/>
      <c r="AB74" s="156"/>
      <c r="AC74" s="156"/>
      <c r="AD74" s="156"/>
      <c r="AE74" s="157"/>
    </row>
    <row r="75" spans="2:31" x14ac:dyDescent="0.2">
      <c r="B75" s="16"/>
      <c r="D75" s="156"/>
      <c r="E75" s="156"/>
      <c r="F75" s="156"/>
      <c r="G75" s="156"/>
      <c r="H75" s="156"/>
      <c r="I75" s="156"/>
      <c r="J75" s="156"/>
      <c r="L75" s="16"/>
      <c r="W75" s="155"/>
      <c r="X75" s="156"/>
      <c r="Y75" s="156"/>
      <c r="Z75" s="156"/>
      <c r="AA75" s="156"/>
      <c r="AB75" s="156"/>
      <c r="AC75" s="156"/>
      <c r="AD75" s="156"/>
      <c r="AE75" s="157"/>
    </row>
    <row r="76" spans="2:31" s="1" customFormat="1" ht="13.2" x14ac:dyDescent="0.2">
      <c r="B76" s="24"/>
      <c r="D76" s="522"/>
      <c r="E76" s="523"/>
      <c r="F76" s="536"/>
      <c r="G76" s="522"/>
      <c r="H76" s="523"/>
      <c r="I76" s="523"/>
      <c r="J76" s="169"/>
      <c r="K76" s="26"/>
      <c r="L76" s="24"/>
      <c r="W76" s="158"/>
      <c r="X76" s="475"/>
      <c r="Y76" s="522"/>
      <c r="Z76" s="523"/>
      <c r="AA76" s="536"/>
      <c r="AB76" s="522"/>
      <c r="AC76" s="523"/>
      <c r="AD76" s="523"/>
      <c r="AE76" s="577"/>
    </row>
    <row r="77" spans="2:31" s="1" customFormat="1" ht="14.55" customHeight="1" x14ac:dyDescent="0.2">
      <c r="B77" s="33"/>
      <c r="C77" s="34"/>
      <c r="D77" s="34"/>
      <c r="E77" s="34"/>
      <c r="F77" s="34"/>
      <c r="G77" s="34"/>
      <c r="H77" s="34"/>
      <c r="I77" s="34"/>
      <c r="J77" s="34"/>
      <c r="K77" s="34"/>
      <c r="L77" s="24"/>
      <c r="W77" s="175"/>
      <c r="X77" s="176"/>
      <c r="Y77" s="176"/>
      <c r="Z77" s="176"/>
      <c r="AA77" s="176"/>
      <c r="AB77" s="176"/>
      <c r="AC77" s="176"/>
      <c r="AD77" s="176"/>
      <c r="AE77" s="177"/>
    </row>
    <row r="81" spans="2:47" s="1" customFormat="1" ht="7.05" customHeight="1" x14ac:dyDescent="0.2">
      <c r="B81" s="35"/>
      <c r="C81" s="36"/>
      <c r="D81" s="36"/>
      <c r="E81" s="36"/>
      <c r="F81" s="36"/>
      <c r="G81" s="36"/>
      <c r="H81" s="36"/>
      <c r="I81" s="36"/>
      <c r="J81" s="36"/>
      <c r="K81" s="36"/>
      <c r="L81" s="24"/>
      <c r="W81" s="178"/>
      <c r="X81" s="179"/>
      <c r="Y81" s="179"/>
      <c r="Z81" s="179"/>
      <c r="AA81" s="179"/>
      <c r="AB81" s="179"/>
      <c r="AC81" s="179"/>
      <c r="AD81" s="179"/>
      <c r="AE81" s="180"/>
    </row>
    <row r="82" spans="2:47" s="1" customFormat="1" ht="25.05" customHeight="1" x14ac:dyDescent="0.2">
      <c r="B82" s="24"/>
      <c r="C82" s="1165" t="s">
        <v>188</v>
      </c>
      <c r="D82" s="1165"/>
      <c r="E82" s="1165"/>
      <c r="F82" s="1165"/>
      <c r="G82" s="1165"/>
      <c r="H82" s="1165"/>
      <c r="I82" s="1165"/>
      <c r="J82" s="1165"/>
      <c r="L82" s="24"/>
      <c r="W82" s="158"/>
      <c r="X82" s="1237" t="s">
        <v>188</v>
      </c>
      <c r="Y82" s="1237"/>
      <c r="Z82" s="1237"/>
      <c r="AA82" s="1237"/>
      <c r="AB82" s="1237"/>
      <c r="AC82" s="1237"/>
      <c r="AD82" s="1237"/>
      <c r="AE82" s="1238"/>
    </row>
    <row r="83" spans="2:47" s="1" customFormat="1" ht="7.05" customHeight="1" x14ac:dyDescent="0.2">
      <c r="B83" s="24"/>
      <c r="L83" s="24"/>
      <c r="W83" s="158"/>
      <c r="X83" s="557"/>
      <c r="Y83" s="557"/>
      <c r="Z83" s="557"/>
      <c r="AA83" s="557"/>
      <c r="AB83" s="557"/>
      <c r="AC83" s="557"/>
      <c r="AD83" s="557"/>
      <c r="AE83" s="159"/>
    </row>
    <row r="84" spans="2:47" s="1" customFormat="1" ht="12" customHeight="1" x14ac:dyDescent="0.2">
      <c r="B84" s="24"/>
      <c r="C84" s="528" t="s">
        <v>12</v>
      </c>
      <c r="E84" s="1242" t="s">
        <v>6177</v>
      </c>
      <c r="F84" s="1242"/>
      <c r="G84" s="1242"/>
      <c r="H84" s="1242"/>
      <c r="I84" s="1242"/>
      <c r="J84" s="1242"/>
      <c r="L84" s="24"/>
      <c r="W84" s="158"/>
      <c r="X84" s="538" t="s">
        <v>12</v>
      </c>
      <c r="Y84" s="557"/>
      <c r="Z84" s="1163" t="s">
        <v>6177</v>
      </c>
      <c r="AA84" s="1163"/>
      <c r="AB84" s="1163"/>
      <c r="AC84" s="1163"/>
      <c r="AD84" s="1163"/>
      <c r="AE84" s="1241"/>
    </row>
    <row r="85" spans="2:47" s="1" customFormat="1" ht="24.45" customHeight="1" x14ac:dyDescent="0.2">
      <c r="B85" s="24"/>
      <c r="C85" s="521"/>
      <c r="E85" s="1243"/>
      <c r="F85" s="1244"/>
      <c r="G85" s="1244"/>
      <c r="H85" s="1244"/>
      <c r="L85" s="24"/>
      <c r="W85" s="158"/>
      <c r="X85" s="557"/>
      <c r="Y85" s="557"/>
      <c r="Z85" s="1249"/>
      <c r="AA85" s="1250"/>
      <c r="AB85" s="1250"/>
      <c r="AC85" s="1250"/>
      <c r="AD85" s="557"/>
      <c r="AE85" s="159"/>
    </row>
    <row r="86" spans="2:47" s="1" customFormat="1" ht="12" customHeight="1" x14ac:dyDescent="0.2">
      <c r="B86" s="24"/>
      <c r="C86" s="528" t="s">
        <v>186</v>
      </c>
      <c r="F86" s="532" t="s">
        <v>2665</v>
      </c>
      <c r="L86" s="24"/>
      <c r="W86" s="158"/>
      <c r="X86" s="538" t="s">
        <v>186</v>
      </c>
      <c r="Y86" s="557"/>
      <c r="Z86" s="557"/>
      <c r="AA86" s="555" t="s">
        <v>2665</v>
      </c>
      <c r="AB86" s="557"/>
      <c r="AC86" s="557"/>
      <c r="AD86" s="557"/>
      <c r="AE86" s="159"/>
    </row>
    <row r="87" spans="2:47" s="1" customFormat="1" ht="16.5" customHeight="1" x14ac:dyDescent="0.2">
      <c r="B87" s="24"/>
      <c r="C87" s="521"/>
      <c r="E87" s="1251"/>
      <c r="F87" s="1252"/>
      <c r="G87" s="1252"/>
      <c r="H87" s="1252"/>
      <c r="L87" s="24"/>
      <c r="W87" s="158"/>
      <c r="X87" s="557"/>
      <c r="Y87" s="557"/>
      <c r="Z87" s="1245"/>
      <c r="AA87" s="1246"/>
      <c r="AB87" s="1246"/>
      <c r="AC87" s="1246"/>
      <c r="AD87" s="557"/>
      <c r="AE87" s="159"/>
    </row>
    <row r="88" spans="2:47" s="1" customFormat="1" ht="7.05" customHeight="1" x14ac:dyDescent="0.2">
      <c r="B88" s="24"/>
      <c r="C88" s="521"/>
      <c r="L88" s="24"/>
      <c r="W88" s="158"/>
      <c r="X88" s="557"/>
      <c r="Y88" s="557"/>
      <c r="Z88" s="557"/>
      <c r="AA88" s="557"/>
      <c r="AB88" s="557"/>
      <c r="AC88" s="557"/>
      <c r="AD88" s="557"/>
      <c r="AE88" s="159"/>
    </row>
    <row r="89" spans="2:47" s="1" customFormat="1" ht="12" customHeight="1" x14ac:dyDescent="0.2">
      <c r="B89" s="24"/>
      <c r="C89" s="528" t="s">
        <v>15</v>
      </c>
      <c r="F89" s="19" t="str">
        <f>F12</f>
        <v>Kuzmányho nábrežie 28, 960 01 Zvolen</v>
      </c>
      <c r="I89" s="528" t="s">
        <v>17</v>
      </c>
      <c r="J89" s="39" t="str">
        <f>IF(J12="","",J12)</f>
        <v/>
      </c>
      <c r="L89" s="24"/>
      <c r="W89" s="158"/>
      <c r="X89" s="538" t="s">
        <v>15</v>
      </c>
      <c r="Y89" s="557"/>
      <c r="Z89" s="557"/>
      <c r="AA89" s="558" t="str">
        <f>AA12</f>
        <v>Kuzmányho nábrežie 28, 960 01 Zvolen</v>
      </c>
      <c r="AB89" s="557"/>
      <c r="AC89" s="557"/>
      <c r="AD89" s="559"/>
      <c r="AE89" s="162" t="str">
        <f>IF(AE12="","",AE12)</f>
        <v/>
      </c>
    </row>
    <row r="90" spans="2:47" s="1" customFormat="1" ht="7.05" customHeight="1" x14ac:dyDescent="0.2">
      <c r="B90" s="24"/>
      <c r="C90" s="521"/>
      <c r="I90" s="521"/>
      <c r="L90" s="24"/>
      <c r="W90" s="158"/>
      <c r="X90" s="557"/>
      <c r="Y90" s="557"/>
      <c r="Z90" s="557"/>
      <c r="AA90" s="557"/>
      <c r="AB90" s="557"/>
      <c r="AC90" s="557"/>
      <c r="AD90" s="557"/>
      <c r="AE90" s="159"/>
    </row>
    <row r="91" spans="2:47" s="1" customFormat="1" ht="15.3" customHeight="1" x14ac:dyDescent="0.2">
      <c r="B91" s="24"/>
      <c r="C91" s="528" t="s">
        <v>18</v>
      </c>
      <c r="F91" s="529" t="s">
        <v>6175</v>
      </c>
      <c r="I91" s="528" t="s">
        <v>22</v>
      </c>
      <c r="J91" s="22" t="str">
        <f>E21</f>
        <v xml:space="preserve"> </v>
      </c>
      <c r="L91" s="24"/>
      <c r="W91" s="158"/>
      <c r="X91" s="538" t="s">
        <v>18</v>
      </c>
      <c r="Y91" s="557"/>
      <c r="Z91" s="557"/>
      <c r="AA91" s="576" t="s">
        <v>6175</v>
      </c>
      <c r="AB91" s="557"/>
      <c r="AC91" s="557"/>
      <c r="AD91" s="559"/>
      <c r="AE91" s="181" t="str">
        <f>Z21</f>
        <v/>
      </c>
    </row>
    <row r="92" spans="2:47" s="1" customFormat="1" ht="15.3" customHeight="1" x14ac:dyDescent="0.2">
      <c r="B92" s="24"/>
      <c r="C92" s="528" t="s">
        <v>21</v>
      </c>
      <c r="F92" s="529" t="s">
        <v>5202</v>
      </c>
      <c r="I92" s="528" t="s">
        <v>24</v>
      </c>
      <c r="J92" s="22" t="str">
        <f>E24</f>
        <v xml:space="preserve"> </v>
      </c>
      <c r="L92" s="24"/>
      <c r="W92" s="158"/>
      <c r="X92" s="538" t="s">
        <v>21</v>
      </c>
      <c r="Y92" s="557"/>
      <c r="Z92" s="557"/>
      <c r="AA92" s="576" t="s">
        <v>5202</v>
      </c>
      <c r="AB92" s="557"/>
      <c r="AC92" s="557"/>
      <c r="AD92" s="559"/>
      <c r="AE92" s="181" t="str">
        <f>Z24</f>
        <v/>
      </c>
    </row>
    <row r="93" spans="2:47" s="1" customFormat="1" ht="10.199999999999999" customHeight="1" x14ac:dyDescent="0.2">
      <c r="B93" s="24"/>
      <c r="L93" s="24"/>
      <c r="W93" s="158"/>
      <c r="X93" s="557"/>
      <c r="Y93" s="557"/>
      <c r="Z93" s="557"/>
      <c r="AA93" s="557"/>
      <c r="AB93" s="557"/>
      <c r="AC93" s="557"/>
      <c r="AD93" s="557"/>
      <c r="AE93" s="159"/>
    </row>
    <row r="94" spans="2:47" s="1" customFormat="1" ht="29.25" customHeight="1" x14ac:dyDescent="0.2">
      <c r="B94" s="24"/>
      <c r="C94" s="86" t="s">
        <v>189</v>
      </c>
      <c r="D94" s="80"/>
      <c r="E94" s="80"/>
      <c r="F94" s="80"/>
      <c r="G94" s="80"/>
      <c r="H94" s="80"/>
      <c r="I94" s="80"/>
      <c r="J94" s="87" t="s">
        <v>190</v>
      </c>
      <c r="K94" s="80"/>
      <c r="L94" s="24"/>
      <c r="W94" s="158"/>
      <c r="X94" s="182" t="s">
        <v>189</v>
      </c>
      <c r="Y94" s="173"/>
      <c r="Z94" s="173"/>
      <c r="AA94" s="173"/>
      <c r="AB94" s="173"/>
      <c r="AC94" s="173"/>
      <c r="AD94" s="173"/>
      <c r="AE94" s="183" t="s">
        <v>190</v>
      </c>
    </row>
    <row r="95" spans="2:47" s="1" customFormat="1" ht="10.199999999999999" customHeight="1" x14ac:dyDescent="0.2">
      <c r="B95" s="24"/>
      <c r="L95" s="24"/>
      <c r="W95" s="158"/>
      <c r="X95" s="557"/>
      <c r="Y95" s="557"/>
      <c r="Z95" s="557"/>
      <c r="AA95" s="557"/>
      <c r="AB95" s="557"/>
      <c r="AC95" s="557"/>
      <c r="AD95" s="557"/>
      <c r="AE95" s="159"/>
    </row>
    <row r="96" spans="2:47" s="1" customFormat="1" ht="22.95" customHeight="1" x14ac:dyDescent="0.2">
      <c r="B96" s="24"/>
      <c r="C96" s="88" t="s">
        <v>191</v>
      </c>
      <c r="J96" s="53">
        <f>J120</f>
        <v>9498.2099999999991</v>
      </c>
      <c r="L96" s="24"/>
      <c r="W96" s="158"/>
      <c r="X96" s="184" t="s">
        <v>191</v>
      </c>
      <c r="Y96" s="557"/>
      <c r="Z96" s="557"/>
      <c r="AA96" s="557"/>
      <c r="AB96" s="557"/>
      <c r="AC96" s="557"/>
      <c r="AD96" s="557"/>
      <c r="AE96" s="168">
        <f>AE120</f>
        <v>9498.2099999999991</v>
      </c>
      <c r="AU96" s="13" t="s">
        <v>192</v>
      </c>
    </row>
    <row r="97" spans="2:31" s="8" customFormat="1" ht="25.05" customHeight="1" x14ac:dyDescent="0.2">
      <c r="B97" s="89"/>
      <c r="D97" s="90" t="s">
        <v>2666</v>
      </c>
      <c r="E97" s="91"/>
      <c r="F97" s="91"/>
      <c r="G97" s="91"/>
      <c r="H97" s="91"/>
      <c r="I97" s="91"/>
      <c r="J97" s="92">
        <f>J121</f>
        <v>9498.2099999999991</v>
      </c>
      <c r="L97" s="89"/>
      <c r="W97" s="185"/>
      <c r="X97" s="186"/>
      <c r="Y97" s="90" t="s">
        <v>2666</v>
      </c>
      <c r="Z97" s="91"/>
      <c r="AA97" s="91"/>
      <c r="AB97" s="91"/>
      <c r="AC97" s="91"/>
      <c r="AD97" s="91"/>
      <c r="AE97" s="187">
        <f>AE121</f>
        <v>9498.2099999999991</v>
      </c>
    </row>
    <row r="98" spans="2:31" s="9" customFormat="1" ht="19.95" customHeight="1" x14ac:dyDescent="0.2">
      <c r="B98" s="93"/>
      <c r="D98" s="94" t="s">
        <v>2667</v>
      </c>
      <c r="E98" s="95"/>
      <c r="F98" s="95"/>
      <c r="G98" s="95"/>
      <c r="H98" s="95"/>
      <c r="I98" s="95"/>
      <c r="J98" s="96">
        <f>J122</f>
        <v>0</v>
      </c>
      <c r="L98" s="93"/>
      <c r="W98" s="188"/>
      <c r="X98" s="189"/>
      <c r="Y98" s="94" t="s">
        <v>2667</v>
      </c>
      <c r="Z98" s="95"/>
      <c r="AA98" s="95"/>
      <c r="AB98" s="95"/>
      <c r="AC98" s="95"/>
      <c r="AD98" s="95"/>
      <c r="AE98" s="190">
        <f>AE122</f>
        <v>0</v>
      </c>
    </row>
    <row r="99" spans="2:31" s="9" customFormat="1" ht="19.95" customHeight="1" x14ac:dyDescent="0.2">
      <c r="B99" s="93"/>
      <c r="D99" s="94" t="s">
        <v>2668</v>
      </c>
      <c r="E99" s="95"/>
      <c r="F99" s="95"/>
      <c r="G99" s="95"/>
      <c r="H99" s="95"/>
      <c r="I99" s="95"/>
      <c r="J99" s="96">
        <f>J123</f>
        <v>4333.83</v>
      </c>
      <c r="L99" s="93"/>
      <c r="W99" s="188"/>
      <c r="X99" s="189"/>
      <c r="Y99" s="94" t="s">
        <v>2668</v>
      </c>
      <c r="Z99" s="95"/>
      <c r="AA99" s="95"/>
      <c r="AB99" s="95"/>
      <c r="AC99" s="95"/>
      <c r="AD99" s="95"/>
      <c r="AE99" s="190">
        <f>AE123</f>
        <v>4333.83</v>
      </c>
    </row>
    <row r="100" spans="2:31" s="9" customFormat="1" ht="19.95" customHeight="1" x14ac:dyDescent="0.2">
      <c r="B100" s="93"/>
      <c r="D100" s="94" t="s">
        <v>2669</v>
      </c>
      <c r="E100" s="95"/>
      <c r="F100" s="95"/>
      <c r="G100" s="95"/>
      <c r="H100" s="95"/>
      <c r="I100" s="95"/>
      <c r="J100" s="96">
        <f>J141</f>
        <v>5164.38</v>
      </c>
      <c r="L100" s="93"/>
      <c r="W100" s="188"/>
      <c r="X100" s="189"/>
      <c r="Y100" s="94" t="s">
        <v>2669</v>
      </c>
      <c r="Z100" s="95"/>
      <c r="AA100" s="95"/>
      <c r="AB100" s="95"/>
      <c r="AC100" s="95"/>
      <c r="AD100" s="95"/>
      <c r="AE100" s="190">
        <f>AE141</f>
        <v>5164.38</v>
      </c>
    </row>
    <row r="101" spans="2:31" s="1" customFormat="1" ht="21.75" customHeight="1" x14ac:dyDescent="0.2">
      <c r="B101" s="24"/>
      <c r="L101" s="24"/>
      <c r="W101" s="158"/>
      <c r="X101" s="557"/>
      <c r="Y101" s="557"/>
      <c r="Z101" s="557"/>
      <c r="AA101" s="557"/>
      <c r="AB101" s="557"/>
      <c r="AC101" s="557"/>
      <c r="AD101" s="557"/>
      <c r="AE101" s="159"/>
    </row>
    <row r="102" spans="2:31" s="1" customFormat="1" ht="7.05" customHeight="1" x14ac:dyDescent="0.2">
      <c r="B102" s="33"/>
      <c r="C102" s="34"/>
      <c r="D102" s="34"/>
      <c r="E102" s="34"/>
      <c r="F102" s="34"/>
      <c r="G102" s="34"/>
      <c r="H102" s="34"/>
      <c r="I102" s="34"/>
      <c r="J102" s="34"/>
      <c r="K102" s="34"/>
      <c r="L102" s="24"/>
      <c r="W102" s="175"/>
      <c r="X102" s="176"/>
      <c r="Y102" s="176"/>
      <c r="Z102" s="176"/>
      <c r="AA102" s="176"/>
      <c r="AB102" s="176"/>
      <c r="AC102" s="176"/>
      <c r="AD102" s="176"/>
      <c r="AE102" s="177"/>
    </row>
    <row r="106" spans="2:31" s="1" customFormat="1" ht="7.05" customHeight="1" x14ac:dyDescent="0.2">
      <c r="B106" s="35"/>
      <c r="C106" s="36"/>
      <c r="D106" s="36"/>
      <c r="E106" s="36"/>
      <c r="F106" s="36"/>
      <c r="G106" s="36"/>
      <c r="H106" s="36"/>
      <c r="I106" s="36"/>
      <c r="J106" s="36"/>
      <c r="K106" s="36"/>
      <c r="L106" s="24"/>
      <c r="W106" s="178"/>
      <c r="X106" s="179"/>
      <c r="Y106" s="179"/>
      <c r="Z106" s="179"/>
      <c r="AA106" s="179"/>
      <c r="AB106" s="179"/>
      <c r="AC106" s="179"/>
      <c r="AD106" s="179"/>
      <c r="AE106" s="180"/>
    </row>
    <row r="107" spans="2:31" s="1" customFormat="1" ht="25.05" customHeight="1" x14ac:dyDescent="0.2">
      <c r="B107" s="24"/>
      <c r="C107" s="1165" t="s">
        <v>214</v>
      </c>
      <c r="D107" s="1165"/>
      <c r="E107" s="1165"/>
      <c r="F107" s="1165"/>
      <c r="G107" s="1165"/>
      <c r="H107" s="1165"/>
      <c r="I107" s="1165"/>
      <c r="J107" s="1165"/>
      <c r="L107" s="24"/>
      <c r="W107" s="158"/>
      <c r="X107" s="1237" t="s">
        <v>214</v>
      </c>
      <c r="Y107" s="1237"/>
      <c r="Z107" s="1237"/>
      <c r="AA107" s="1237"/>
      <c r="AB107" s="1237"/>
      <c r="AC107" s="1237"/>
      <c r="AD107" s="1237"/>
      <c r="AE107" s="1238"/>
    </row>
    <row r="108" spans="2:31" s="1" customFormat="1" ht="7.05" customHeight="1" x14ac:dyDescent="0.2">
      <c r="B108" s="24"/>
      <c r="L108" s="24"/>
      <c r="W108" s="158"/>
      <c r="X108" s="557"/>
      <c r="Y108" s="557"/>
      <c r="Z108" s="557"/>
      <c r="AA108" s="557"/>
      <c r="AB108" s="557"/>
      <c r="AC108" s="557"/>
      <c r="AD108" s="557"/>
      <c r="AE108" s="159"/>
    </row>
    <row r="109" spans="2:31" s="1" customFormat="1" ht="12" customHeight="1" x14ac:dyDescent="0.2">
      <c r="B109" s="24"/>
      <c r="C109" s="528" t="s">
        <v>12</v>
      </c>
      <c r="E109" s="1242" t="s">
        <v>6177</v>
      </c>
      <c r="F109" s="1242"/>
      <c r="G109" s="1242"/>
      <c r="H109" s="1242"/>
      <c r="I109" s="1242"/>
      <c r="J109" s="1242"/>
      <c r="L109" s="24"/>
      <c r="W109" s="158"/>
      <c r="X109" s="538" t="s">
        <v>12</v>
      </c>
      <c r="Y109" s="557"/>
      <c r="Z109" s="1163" t="s">
        <v>6177</v>
      </c>
      <c r="AA109" s="1163"/>
      <c r="AB109" s="1163"/>
      <c r="AC109" s="1163"/>
      <c r="AD109" s="1163"/>
      <c r="AE109" s="1241"/>
    </row>
    <row r="110" spans="2:31" s="1" customFormat="1" ht="21.45" customHeight="1" x14ac:dyDescent="0.2">
      <c r="B110" s="24"/>
      <c r="C110" s="521"/>
      <c r="E110" s="1243"/>
      <c r="F110" s="1244"/>
      <c r="G110" s="1244"/>
      <c r="H110" s="1244"/>
      <c r="L110" s="24"/>
      <c r="W110" s="158"/>
      <c r="X110" s="557"/>
      <c r="Y110" s="557"/>
      <c r="Z110" s="1249"/>
      <c r="AA110" s="1250"/>
      <c r="AB110" s="1250"/>
      <c r="AC110" s="1250"/>
      <c r="AD110" s="557"/>
      <c r="AE110" s="159"/>
    </row>
    <row r="111" spans="2:31" s="1" customFormat="1" ht="12" customHeight="1" x14ac:dyDescent="0.2">
      <c r="B111" s="24"/>
      <c r="C111" s="528" t="s">
        <v>186</v>
      </c>
      <c r="F111" s="532" t="s">
        <v>2665</v>
      </c>
      <c r="L111" s="24"/>
      <c r="W111" s="158"/>
      <c r="X111" s="538" t="s">
        <v>186</v>
      </c>
      <c r="Y111" s="557"/>
      <c r="Z111" s="557"/>
      <c r="AA111" s="555" t="s">
        <v>2665</v>
      </c>
      <c r="AB111" s="557"/>
      <c r="AC111" s="557"/>
      <c r="AD111" s="557"/>
      <c r="AE111" s="159"/>
    </row>
    <row r="112" spans="2:31" s="1" customFormat="1" ht="16.5" customHeight="1" x14ac:dyDescent="0.2">
      <c r="B112" s="24"/>
      <c r="C112" s="521"/>
      <c r="E112" s="1251"/>
      <c r="F112" s="1252"/>
      <c r="G112" s="1252"/>
      <c r="H112" s="1252"/>
      <c r="L112" s="24"/>
      <c r="W112" s="158"/>
      <c r="X112" s="557"/>
      <c r="Y112" s="557"/>
      <c r="Z112" s="1245"/>
      <c r="AA112" s="1246"/>
      <c r="AB112" s="1246"/>
      <c r="AC112" s="1246"/>
      <c r="AD112" s="557"/>
      <c r="AE112" s="159"/>
    </row>
    <row r="113" spans="2:65" s="1" customFormat="1" ht="7.05" customHeight="1" x14ac:dyDescent="0.2">
      <c r="B113" s="24"/>
      <c r="C113" s="521"/>
      <c r="L113" s="24"/>
      <c r="W113" s="158"/>
      <c r="X113" s="557"/>
      <c r="Y113" s="557"/>
      <c r="Z113" s="557"/>
      <c r="AA113" s="557"/>
      <c r="AB113" s="557"/>
      <c r="AC113" s="557"/>
      <c r="AD113" s="557"/>
      <c r="AE113" s="159"/>
    </row>
    <row r="114" spans="2:65" s="1" customFormat="1" ht="12" customHeight="1" x14ac:dyDescent="0.2">
      <c r="B114" s="24"/>
      <c r="C114" s="528" t="s">
        <v>15</v>
      </c>
      <c r="F114" s="19" t="str">
        <f>F12</f>
        <v>Kuzmányho nábrežie 28, 960 01 Zvolen</v>
      </c>
      <c r="I114" s="528" t="s">
        <v>17</v>
      </c>
      <c r="J114" s="39" t="str">
        <f>IF(J12="","",J12)</f>
        <v/>
      </c>
      <c r="L114" s="24"/>
      <c r="W114" s="158"/>
      <c r="X114" s="538" t="s">
        <v>15</v>
      </c>
      <c r="Y114" s="557"/>
      <c r="Z114" s="557"/>
      <c r="AA114" s="558" t="str">
        <f>AA12</f>
        <v>Kuzmányho nábrežie 28, 960 01 Zvolen</v>
      </c>
      <c r="AB114" s="557"/>
      <c r="AC114" s="557"/>
      <c r="AD114" s="538" t="s">
        <v>17</v>
      </c>
      <c r="AE114" s="162" t="str">
        <f>IF(AE12="","",AE12)</f>
        <v/>
      </c>
    </row>
    <row r="115" spans="2:65" s="1" customFormat="1" ht="7.05" customHeight="1" x14ac:dyDescent="0.2">
      <c r="B115" s="24"/>
      <c r="C115" s="521"/>
      <c r="I115" s="521"/>
      <c r="L115" s="24"/>
      <c r="W115" s="158"/>
      <c r="X115" s="557"/>
      <c r="Y115" s="557"/>
      <c r="Z115" s="557"/>
      <c r="AA115" s="557"/>
      <c r="AB115" s="557"/>
      <c r="AC115" s="557"/>
      <c r="AD115" s="557"/>
      <c r="AE115" s="159"/>
    </row>
    <row r="116" spans="2:65" s="1" customFormat="1" ht="15.3" customHeight="1" x14ac:dyDescent="0.2">
      <c r="B116" s="24"/>
      <c r="C116" s="528" t="s">
        <v>18</v>
      </c>
      <c r="F116" s="529" t="s">
        <v>6175</v>
      </c>
      <c r="I116" s="528" t="s">
        <v>22</v>
      </c>
      <c r="J116" s="22" t="str">
        <f>E21</f>
        <v xml:space="preserve"> </v>
      </c>
      <c r="L116" s="24"/>
      <c r="W116" s="158"/>
      <c r="X116" s="538" t="s">
        <v>18</v>
      </c>
      <c r="Y116" s="557"/>
      <c r="Z116" s="557"/>
      <c r="AA116" s="576" t="s">
        <v>6175</v>
      </c>
      <c r="AB116" s="557"/>
      <c r="AC116" s="557"/>
      <c r="AD116" s="538" t="s">
        <v>22</v>
      </c>
      <c r="AE116" s="181" t="str">
        <f>Z21</f>
        <v/>
      </c>
    </row>
    <row r="117" spans="2:65" s="1" customFormat="1" ht="15.3" customHeight="1" x14ac:dyDescent="0.2">
      <c r="B117" s="24"/>
      <c r="C117" s="528" t="s">
        <v>21</v>
      </c>
      <c r="F117" s="529" t="s">
        <v>5202</v>
      </c>
      <c r="I117" s="528" t="s">
        <v>24</v>
      </c>
      <c r="J117" s="22" t="str">
        <f>E24</f>
        <v xml:space="preserve"> </v>
      </c>
      <c r="L117" s="24"/>
      <c r="W117" s="158"/>
      <c r="X117" s="538" t="s">
        <v>21</v>
      </c>
      <c r="Y117" s="557"/>
      <c r="Z117" s="557"/>
      <c r="AA117" s="576" t="s">
        <v>5202</v>
      </c>
      <c r="AB117" s="557"/>
      <c r="AC117" s="557"/>
      <c r="AD117" s="538" t="s">
        <v>24</v>
      </c>
      <c r="AE117" s="181" t="str">
        <f>Z24</f>
        <v/>
      </c>
    </row>
    <row r="118" spans="2:65" s="1" customFormat="1" ht="10.199999999999999" customHeight="1" x14ac:dyDescent="0.2">
      <c r="B118" s="24"/>
      <c r="L118" s="24"/>
      <c r="W118" s="158"/>
      <c r="X118" s="557"/>
      <c r="Y118" s="557"/>
      <c r="Z118" s="557"/>
      <c r="AA118" s="557"/>
      <c r="AB118" s="557"/>
      <c r="AC118" s="557"/>
      <c r="AD118" s="557"/>
      <c r="AE118" s="159"/>
    </row>
    <row r="119" spans="2:65" s="10" customFormat="1" ht="29.25" customHeight="1" x14ac:dyDescent="0.2">
      <c r="B119" s="97"/>
      <c r="C119" s="98" t="s">
        <v>215</v>
      </c>
      <c r="D119" s="99" t="s">
        <v>43</v>
      </c>
      <c r="E119" s="99" t="s">
        <v>41</v>
      </c>
      <c r="F119" s="99" t="s">
        <v>42</v>
      </c>
      <c r="G119" s="99" t="s">
        <v>216</v>
      </c>
      <c r="H119" s="99" t="s">
        <v>217</v>
      </c>
      <c r="I119" s="99" t="s">
        <v>218</v>
      </c>
      <c r="J119" s="100" t="s">
        <v>190</v>
      </c>
      <c r="K119" s="101" t="s">
        <v>219</v>
      </c>
      <c r="L119" s="97"/>
      <c r="M119" s="46" t="s">
        <v>1</v>
      </c>
      <c r="N119" s="47" t="s">
        <v>30</v>
      </c>
      <c r="O119" s="47" t="s">
        <v>220</v>
      </c>
      <c r="P119" s="47" t="s">
        <v>221</v>
      </c>
      <c r="Q119" s="47" t="s">
        <v>222</v>
      </c>
      <c r="R119" s="47" t="s">
        <v>223</v>
      </c>
      <c r="S119" s="47" t="s">
        <v>224</v>
      </c>
      <c r="T119" s="48" t="s">
        <v>225</v>
      </c>
      <c r="W119" s="191"/>
      <c r="X119" s="98" t="s">
        <v>215</v>
      </c>
      <c r="Y119" s="99" t="s">
        <v>43</v>
      </c>
      <c r="Z119" s="99" t="s">
        <v>41</v>
      </c>
      <c r="AA119" s="99" t="s">
        <v>42</v>
      </c>
      <c r="AB119" s="99" t="s">
        <v>216</v>
      </c>
      <c r="AC119" s="99" t="s">
        <v>217</v>
      </c>
      <c r="AD119" s="99" t="s">
        <v>218</v>
      </c>
      <c r="AE119" s="192" t="s">
        <v>190</v>
      </c>
    </row>
    <row r="120" spans="2:65" s="1" customFormat="1" ht="22.95" customHeight="1" x14ac:dyDescent="0.3">
      <c r="B120" s="24"/>
      <c r="C120" s="51" t="s">
        <v>191</v>
      </c>
      <c r="J120" s="102">
        <f>BK120</f>
        <v>9498.2099999999991</v>
      </c>
      <c r="L120" s="24"/>
      <c r="M120" s="49"/>
      <c r="N120" s="40"/>
      <c r="O120" s="40"/>
      <c r="P120" s="103">
        <f>P121</f>
        <v>0</v>
      </c>
      <c r="Q120" s="40"/>
      <c r="R120" s="103">
        <f>R121</f>
        <v>0</v>
      </c>
      <c r="S120" s="40"/>
      <c r="T120" s="104">
        <f>T121</f>
        <v>0</v>
      </c>
      <c r="W120" s="158"/>
      <c r="X120" s="193" t="s">
        <v>191</v>
      </c>
      <c r="Y120" s="557"/>
      <c r="Z120" s="557"/>
      <c r="AA120" s="557"/>
      <c r="AB120" s="557"/>
      <c r="AC120" s="557"/>
      <c r="AD120" s="557"/>
      <c r="AE120" s="194">
        <f>AE121</f>
        <v>9498.2099999999991</v>
      </c>
      <c r="AT120" s="13" t="s">
        <v>57</v>
      </c>
      <c r="AU120" s="13" t="s">
        <v>192</v>
      </c>
      <c r="BK120" s="105">
        <f>BK121</f>
        <v>9498.2099999999991</v>
      </c>
    </row>
    <row r="121" spans="2:65" s="11" customFormat="1" ht="25.95" customHeight="1" x14ac:dyDescent="0.25">
      <c r="B121" s="106"/>
      <c r="D121" s="107" t="s">
        <v>57</v>
      </c>
      <c r="E121" s="108" t="s">
        <v>2670</v>
      </c>
      <c r="F121" s="108" t="s">
        <v>2671</v>
      </c>
      <c r="J121" s="109">
        <f>BK121</f>
        <v>9498.2099999999991</v>
      </c>
      <c r="L121" s="106"/>
      <c r="M121" s="110"/>
      <c r="N121" s="111"/>
      <c r="O121" s="111"/>
      <c r="P121" s="112">
        <f>P122+P123+P141</f>
        <v>0</v>
      </c>
      <c r="Q121" s="111"/>
      <c r="R121" s="112">
        <f>R122+R123+R141</f>
        <v>0</v>
      </c>
      <c r="S121" s="111"/>
      <c r="T121" s="113">
        <f>T122+T123+T141</f>
        <v>0</v>
      </c>
      <c r="W121" s="195"/>
      <c r="X121" s="111"/>
      <c r="Y121" s="196" t="s">
        <v>57</v>
      </c>
      <c r="Z121" s="197" t="s">
        <v>2670</v>
      </c>
      <c r="AA121" s="197" t="s">
        <v>2671</v>
      </c>
      <c r="AB121" s="111"/>
      <c r="AC121" s="111"/>
      <c r="AD121" s="111"/>
      <c r="AE121" s="198">
        <f>AE123+AE141</f>
        <v>9498.2099999999991</v>
      </c>
      <c r="AR121" s="107" t="s">
        <v>63</v>
      </c>
      <c r="AT121" s="114" t="s">
        <v>57</v>
      </c>
      <c r="AU121" s="114" t="s">
        <v>58</v>
      </c>
      <c r="AY121" s="107" t="s">
        <v>228</v>
      </c>
      <c r="BK121" s="115">
        <f>BK122+BK123+BK141</f>
        <v>9498.2099999999991</v>
      </c>
    </row>
    <row r="122" spans="2:65" s="11" customFormat="1" ht="22.95" customHeight="1" x14ac:dyDescent="0.25">
      <c r="B122" s="106"/>
      <c r="D122" s="107" t="s">
        <v>57</v>
      </c>
      <c r="E122" s="116" t="s">
        <v>1201</v>
      </c>
      <c r="F122" s="116" t="s">
        <v>2672</v>
      </c>
      <c r="J122" s="117">
        <f>BK122</f>
        <v>0</v>
      </c>
      <c r="L122" s="106"/>
      <c r="M122" s="110"/>
      <c r="N122" s="111"/>
      <c r="O122" s="111"/>
      <c r="P122" s="112">
        <v>0</v>
      </c>
      <c r="Q122" s="111"/>
      <c r="R122" s="112">
        <v>0</v>
      </c>
      <c r="S122" s="111"/>
      <c r="T122" s="113">
        <v>0</v>
      </c>
      <c r="W122" s="195"/>
      <c r="X122" s="111"/>
      <c r="Y122" s="196" t="s">
        <v>57</v>
      </c>
      <c r="Z122" s="201" t="s">
        <v>1201</v>
      </c>
      <c r="AA122" s="201" t="s">
        <v>2672</v>
      </c>
      <c r="AB122" s="111"/>
      <c r="AC122" s="111"/>
      <c r="AD122" s="111"/>
      <c r="AE122" s="202">
        <f>CF122</f>
        <v>0</v>
      </c>
      <c r="AR122" s="107" t="s">
        <v>63</v>
      </c>
      <c r="AT122" s="114" t="s">
        <v>57</v>
      </c>
      <c r="AU122" s="114" t="s">
        <v>63</v>
      </c>
      <c r="AY122" s="107" t="s">
        <v>228</v>
      </c>
      <c r="BK122" s="115">
        <v>0</v>
      </c>
    </row>
    <row r="123" spans="2:65" s="11" customFormat="1" ht="22.95" customHeight="1" x14ac:dyDescent="0.25">
      <c r="B123" s="106"/>
      <c r="D123" s="107" t="s">
        <v>57</v>
      </c>
      <c r="E123" s="116" t="s">
        <v>1211</v>
      </c>
      <c r="F123" s="116" t="s">
        <v>2673</v>
      </c>
      <c r="J123" s="117">
        <f>BK123</f>
        <v>4333.83</v>
      </c>
      <c r="L123" s="106"/>
      <c r="M123" s="110"/>
      <c r="N123" s="111"/>
      <c r="O123" s="111"/>
      <c r="P123" s="112">
        <f>SUM(P124:P140)</f>
        <v>0</v>
      </c>
      <c r="Q123" s="111"/>
      <c r="R123" s="112">
        <f>SUM(R124:R140)</f>
        <v>0</v>
      </c>
      <c r="S123" s="111"/>
      <c r="T123" s="113">
        <f>SUM(T124:T140)</f>
        <v>0</v>
      </c>
      <c r="W123" s="195"/>
      <c r="X123" s="111"/>
      <c r="Y123" s="196" t="s">
        <v>57</v>
      </c>
      <c r="Z123" s="201" t="s">
        <v>1211</v>
      </c>
      <c r="AA123" s="201" t="s">
        <v>2673</v>
      </c>
      <c r="AB123" s="111"/>
      <c r="AC123" s="111"/>
      <c r="AD123" s="111"/>
      <c r="AE123" s="202">
        <f>SUM(AE124:AE140)</f>
        <v>4333.83</v>
      </c>
      <c r="AR123" s="107" t="s">
        <v>63</v>
      </c>
      <c r="AT123" s="114" t="s">
        <v>57</v>
      </c>
      <c r="AU123" s="114" t="s">
        <v>63</v>
      </c>
      <c r="AY123" s="107" t="s">
        <v>228</v>
      </c>
      <c r="BK123" s="115">
        <f>SUM(BK124:BK140)</f>
        <v>4333.83</v>
      </c>
    </row>
    <row r="124" spans="2:65" s="1" customFormat="1" ht="16.5" customHeight="1" x14ac:dyDescent="0.2">
      <c r="B124" s="118"/>
      <c r="C124" s="119" t="s">
        <v>63</v>
      </c>
      <c r="D124" s="119" t="s">
        <v>231</v>
      </c>
      <c r="E124" s="120" t="s">
        <v>2674</v>
      </c>
      <c r="F124" s="121" t="s">
        <v>2675</v>
      </c>
      <c r="G124" s="122" t="s">
        <v>1194</v>
      </c>
      <c r="H124" s="123">
        <v>3</v>
      </c>
      <c r="I124" s="124">
        <v>53.56</v>
      </c>
      <c r="J124" s="124">
        <f t="shared" ref="J124:J131" si="0">ROUND(I124*H124,2)</f>
        <v>160.68</v>
      </c>
      <c r="K124" s="121" t="s">
        <v>1</v>
      </c>
      <c r="L124" s="24"/>
      <c r="M124" s="125" t="s">
        <v>1</v>
      </c>
      <c r="N124" s="126" t="s">
        <v>32</v>
      </c>
      <c r="O124" s="127">
        <v>0</v>
      </c>
      <c r="P124" s="127">
        <f t="shared" ref="P124:P131" si="1">O124*H124</f>
        <v>0</v>
      </c>
      <c r="Q124" s="127">
        <v>0</v>
      </c>
      <c r="R124" s="127">
        <f t="shared" ref="R124:R131" si="2">Q124*H124</f>
        <v>0</v>
      </c>
      <c r="S124" s="127">
        <v>0</v>
      </c>
      <c r="T124" s="128">
        <f t="shared" ref="T124:T131" si="3">S124*H124</f>
        <v>0</v>
      </c>
      <c r="W124" s="199"/>
      <c r="X124" s="119" t="s">
        <v>63</v>
      </c>
      <c r="Y124" s="119" t="s">
        <v>231</v>
      </c>
      <c r="Z124" s="120" t="s">
        <v>2674</v>
      </c>
      <c r="AA124" s="121" t="s">
        <v>2675</v>
      </c>
      <c r="AB124" s="122" t="s">
        <v>1194</v>
      </c>
      <c r="AC124" s="123">
        <v>3</v>
      </c>
      <c r="AD124" s="124">
        <v>53.56</v>
      </c>
      <c r="AE124" s="200">
        <f t="shared" ref="AE124:AE131" si="4">ROUND(AD124*AC124,2)</f>
        <v>160.68</v>
      </c>
      <c r="AR124" s="129" t="s">
        <v>235</v>
      </c>
      <c r="AT124" s="129" t="s">
        <v>231</v>
      </c>
      <c r="AU124" s="129" t="s">
        <v>76</v>
      </c>
      <c r="AY124" s="13" t="s">
        <v>228</v>
      </c>
      <c r="BE124" s="130">
        <f t="shared" ref="BE124:BE131" si="5">IF(N124="základná",J124,0)</f>
        <v>0</v>
      </c>
      <c r="BF124" s="130">
        <f t="shared" ref="BF124:BF131" si="6">IF(N124="znížená",J124,0)</f>
        <v>160.68</v>
      </c>
      <c r="BG124" s="130">
        <f t="shared" ref="BG124:BG131" si="7">IF(N124="zákl. prenesená",J124,0)</f>
        <v>0</v>
      </c>
      <c r="BH124" s="130">
        <f t="shared" ref="BH124:BH131" si="8">IF(N124="zníž. prenesená",J124,0)</f>
        <v>0</v>
      </c>
      <c r="BI124" s="130">
        <f t="shared" ref="BI124:BI131" si="9">IF(N124="nulová",J124,0)</f>
        <v>0</v>
      </c>
      <c r="BJ124" s="13" t="s">
        <v>76</v>
      </c>
      <c r="BK124" s="130">
        <f t="shared" ref="BK124:BK131" si="10">ROUND(I124*H124,2)</f>
        <v>160.68</v>
      </c>
      <c r="BL124" s="13" t="s">
        <v>235</v>
      </c>
      <c r="BM124" s="129" t="s">
        <v>76</v>
      </c>
    </row>
    <row r="125" spans="2:65" s="1" customFormat="1" ht="16.5" customHeight="1" x14ac:dyDescent="0.2">
      <c r="B125" s="118"/>
      <c r="C125" s="119" t="s">
        <v>76</v>
      </c>
      <c r="D125" s="119" t="s">
        <v>231</v>
      </c>
      <c r="E125" s="120" t="s">
        <v>2676</v>
      </c>
      <c r="F125" s="121" t="s">
        <v>2677</v>
      </c>
      <c r="G125" s="122" t="s">
        <v>1194</v>
      </c>
      <c r="H125" s="123">
        <v>1</v>
      </c>
      <c r="I125" s="124">
        <v>72.56</v>
      </c>
      <c r="J125" s="124">
        <f t="shared" si="0"/>
        <v>72.56</v>
      </c>
      <c r="K125" s="121" t="s">
        <v>1</v>
      </c>
      <c r="L125" s="24"/>
      <c r="M125" s="125" t="s">
        <v>1</v>
      </c>
      <c r="N125" s="126" t="s">
        <v>32</v>
      </c>
      <c r="O125" s="127">
        <v>0</v>
      </c>
      <c r="P125" s="127">
        <f t="shared" si="1"/>
        <v>0</v>
      </c>
      <c r="Q125" s="127">
        <v>0</v>
      </c>
      <c r="R125" s="127">
        <f t="shared" si="2"/>
        <v>0</v>
      </c>
      <c r="S125" s="127">
        <v>0</v>
      </c>
      <c r="T125" s="128">
        <f t="shared" si="3"/>
        <v>0</v>
      </c>
      <c r="W125" s="199"/>
      <c r="X125" s="119" t="s">
        <v>76</v>
      </c>
      <c r="Y125" s="119" t="s">
        <v>231</v>
      </c>
      <c r="Z125" s="120" t="s">
        <v>2676</v>
      </c>
      <c r="AA125" s="121" t="s">
        <v>2677</v>
      </c>
      <c r="AB125" s="122" t="s">
        <v>1194</v>
      </c>
      <c r="AC125" s="123">
        <v>1</v>
      </c>
      <c r="AD125" s="124">
        <v>72.56</v>
      </c>
      <c r="AE125" s="200">
        <f t="shared" si="4"/>
        <v>72.56</v>
      </c>
      <c r="AR125" s="129" t="s">
        <v>235</v>
      </c>
      <c r="AT125" s="129" t="s">
        <v>231</v>
      </c>
      <c r="AU125" s="129" t="s">
        <v>76</v>
      </c>
      <c r="AY125" s="13" t="s">
        <v>228</v>
      </c>
      <c r="BE125" s="130">
        <f t="shared" si="5"/>
        <v>0</v>
      </c>
      <c r="BF125" s="130">
        <f t="shared" si="6"/>
        <v>72.56</v>
      </c>
      <c r="BG125" s="130">
        <f t="shared" si="7"/>
        <v>0</v>
      </c>
      <c r="BH125" s="130">
        <f t="shared" si="8"/>
        <v>0</v>
      </c>
      <c r="BI125" s="130">
        <f t="shared" si="9"/>
        <v>0</v>
      </c>
      <c r="BJ125" s="13" t="s">
        <v>76</v>
      </c>
      <c r="BK125" s="130">
        <f t="shared" si="10"/>
        <v>72.56</v>
      </c>
      <c r="BL125" s="13" t="s">
        <v>235</v>
      </c>
      <c r="BM125" s="129" t="s">
        <v>235</v>
      </c>
    </row>
    <row r="126" spans="2:65" s="1" customFormat="1" ht="60" customHeight="1" x14ac:dyDescent="0.2">
      <c r="B126" s="118"/>
      <c r="C126" s="119" t="s">
        <v>229</v>
      </c>
      <c r="D126" s="119" t="s">
        <v>231</v>
      </c>
      <c r="E126" s="120" t="s">
        <v>2678</v>
      </c>
      <c r="F126" s="121" t="s">
        <v>2679</v>
      </c>
      <c r="G126" s="122" t="s">
        <v>1194</v>
      </c>
      <c r="H126" s="123">
        <v>1</v>
      </c>
      <c r="I126" s="124">
        <v>1127.33</v>
      </c>
      <c r="J126" s="124">
        <f t="shared" si="0"/>
        <v>1127.33</v>
      </c>
      <c r="K126" s="121" t="s">
        <v>1</v>
      </c>
      <c r="L126" s="24"/>
      <c r="M126" s="125" t="s">
        <v>1</v>
      </c>
      <c r="N126" s="126" t="s">
        <v>32</v>
      </c>
      <c r="O126" s="127">
        <v>0</v>
      </c>
      <c r="P126" s="127">
        <f t="shared" si="1"/>
        <v>0</v>
      </c>
      <c r="Q126" s="127">
        <v>0</v>
      </c>
      <c r="R126" s="127">
        <f t="shared" si="2"/>
        <v>0</v>
      </c>
      <c r="S126" s="127">
        <v>0</v>
      </c>
      <c r="T126" s="128">
        <f t="shared" si="3"/>
        <v>0</v>
      </c>
      <c r="W126" s="199"/>
      <c r="X126" s="119" t="s">
        <v>229</v>
      </c>
      <c r="Y126" s="119" t="s">
        <v>231</v>
      </c>
      <c r="Z126" s="120" t="s">
        <v>2678</v>
      </c>
      <c r="AA126" s="121" t="s">
        <v>2679</v>
      </c>
      <c r="AB126" s="122" t="s">
        <v>1194</v>
      </c>
      <c r="AC126" s="123">
        <v>1</v>
      </c>
      <c r="AD126" s="124">
        <v>1127.33</v>
      </c>
      <c r="AE126" s="200">
        <f t="shared" si="4"/>
        <v>1127.33</v>
      </c>
      <c r="AR126" s="129" t="s">
        <v>235</v>
      </c>
      <c r="AT126" s="129" t="s">
        <v>231</v>
      </c>
      <c r="AU126" s="129" t="s">
        <v>76</v>
      </c>
      <c r="AY126" s="13" t="s">
        <v>228</v>
      </c>
      <c r="BE126" s="130">
        <f t="shared" si="5"/>
        <v>0</v>
      </c>
      <c r="BF126" s="130">
        <f t="shared" si="6"/>
        <v>1127.33</v>
      </c>
      <c r="BG126" s="130">
        <f t="shared" si="7"/>
        <v>0</v>
      </c>
      <c r="BH126" s="130">
        <f t="shared" si="8"/>
        <v>0</v>
      </c>
      <c r="BI126" s="130">
        <f t="shared" si="9"/>
        <v>0</v>
      </c>
      <c r="BJ126" s="13" t="s">
        <v>76</v>
      </c>
      <c r="BK126" s="130">
        <f t="shared" si="10"/>
        <v>1127.33</v>
      </c>
      <c r="BL126" s="13" t="s">
        <v>235</v>
      </c>
      <c r="BM126" s="129" t="s">
        <v>240</v>
      </c>
    </row>
    <row r="127" spans="2:65" s="1" customFormat="1" ht="24" customHeight="1" x14ac:dyDescent="0.2">
      <c r="B127" s="118"/>
      <c r="C127" s="119" t="s">
        <v>235</v>
      </c>
      <c r="D127" s="119" t="s">
        <v>231</v>
      </c>
      <c r="E127" s="120" t="s">
        <v>2680</v>
      </c>
      <c r="F127" s="121" t="s">
        <v>2681</v>
      </c>
      <c r="G127" s="122" t="s">
        <v>1194</v>
      </c>
      <c r="H127" s="123">
        <v>2</v>
      </c>
      <c r="I127" s="124">
        <v>9.06</v>
      </c>
      <c r="J127" s="124">
        <f t="shared" si="0"/>
        <v>18.12</v>
      </c>
      <c r="K127" s="121" t="s">
        <v>1</v>
      </c>
      <c r="L127" s="24"/>
      <c r="M127" s="125" t="s">
        <v>1</v>
      </c>
      <c r="N127" s="126" t="s">
        <v>32</v>
      </c>
      <c r="O127" s="127">
        <v>0</v>
      </c>
      <c r="P127" s="127">
        <f t="shared" si="1"/>
        <v>0</v>
      </c>
      <c r="Q127" s="127">
        <v>0</v>
      </c>
      <c r="R127" s="127">
        <f t="shared" si="2"/>
        <v>0</v>
      </c>
      <c r="S127" s="127">
        <v>0</v>
      </c>
      <c r="T127" s="128">
        <f t="shared" si="3"/>
        <v>0</v>
      </c>
      <c r="W127" s="199"/>
      <c r="X127" s="119" t="s">
        <v>235</v>
      </c>
      <c r="Y127" s="119" t="s">
        <v>231</v>
      </c>
      <c r="Z127" s="120" t="s">
        <v>2680</v>
      </c>
      <c r="AA127" s="121" t="s">
        <v>2681</v>
      </c>
      <c r="AB127" s="122" t="s">
        <v>1194</v>
      </c>
      <c r="AC127" s="123">
        <v>2</v>
      </c>
      <c r="AD127" s="124">
        <v>9.06</v>
      </c>
      <c r="AE127" s="200">
        <f t="shared" si="4"/>
        <v>18.12</v>
      </c>
      <c r="AR127" s="129" t="s">
        <v>235</v>
      </c>
      <c r="AT127" s="129" t="s">
        <v>231</v>
      </c>
      <c r="AU127" s="129" t="s">
        <v>76</v>
      </c>
      <c r="AY127" s="13" t="s">
        <v>228</v>
      </c>
      <c r="BE127" s="130">
        <f t="shared" si="5"/>
        <v>0</v>
      </c>
      <c r="BF127" s="130">
        <f t="shared" si="6"/>
        <v>18.12</v>
      </c>
      <c r="BG127" s="130">
        <f t="shared" si="7"/>
        <v>0</v>
      </c>
      <c r="BH127" s="130">
        <f t="shared" si="8"/>
        <v>0</v>
      </c>
      <c r="BI127" s="130">
        <f t="shared" si="9"/>
        <v>0</v>
      </c>
      <c r="BJ127" s="13" t="s">
        <v>76</v>
      </c>
      <c r="BK127" s="130">
        <f t="shared" si="10"/>
        <v>18.12</v>
      </c>
      <c r="BL127" s="13" t="s">
        <v>235</v>
      </c>
      <c r="BM127" s="129" t="s">
        <v>244</v>
      </c>
    </row>
    <row r="128" spans="2:65" s="1" customFormat="1" ht="24" customHeight="1" x14ac:dyDescent="0.2">
      <c r="B128" s="118"/>
      <c r="C128" s="119" t="s">
        <v>245</v>
      </c>
      <c r="D128" s="119" t="s">
        <v>231</v>
      </c>
      <c r="E128" s="120" t="s">
        <v>2682</v>
      </c>
      <c r="F128" s="121" t="s">
        <v>2683</v>
      </c>
      <c r="G128" s="122" t="s">
        <v>1194</v>
      </c>
      <c r="H128" s="123">
        <v>2</v>
      </c>
      <c r="I128" s="124">
        <v>75.7</v>
      </c>
      <c r="J128" s="124">
        <f t="shared" si="0"/>
        <v>151.4</v>
      </c>
      <c r="K128" s="121" t="s">
        <v>1</v>
      </c>
      <c r="L128" s="24"/>
      <c r="M128" s="125" t="s">
        <v>1</v>
      </c>
      <c r="N128" s="126" t="s">
        <v>32</v>
      </c>
      <c r="O128" s="127">
        <v>0</v>
      </c>
      <c r="P128" s="127">
        <f t="shared" si="1"/>
        <v>0</v>
      </c>
      <c r="Q128" s="127">
        <v>0</v>
      </c>
      <c r="R128" s="127">
        <f t="shared" si="2"/>
        <v>0</v>
      </c>
      <c r="S128" s="127">
        <v>0</v>
      </c>
      <c r="T128" s="128">
        <f t="shared" si="3"/>
        <v>0</v>
      </c>
      <c r="W128" s="199"/>
      <c r="X128" s="119" t="s">
        <v>245</v>
      </c>
      <c r="Y128" s="119" t="s">
        <v>231</v>
      </c>
      <c r="Z128" s="120" t="s">
        <v>2682</v>
      </c>
      <c r="AA128" s="121" t="s">
        <v>2683</v>
      </c>
      <c r="AB128" s="122" t="s">
        <v>1194</v>
      </c>
      <c r="AC128" s="123">
        <v>2</v>
      </c>
      <c r="AD128" s="124">
        <v>75.7</v>
      </c>
      <c r="AE128" s="200">
        <f t="shared" si="4"/>
        <v>151.4</v>
      </c>
      <c r="AR128" s="129" t="s">
        <v>235</v>
      </c>
      <c r="AT128" s="129" t="s">
        <v>231</v>
      </c>
      <c r="AU128" s="129" t="s">
        <v>76</v>
      </c>
      <c r="AY128" s="13" t="s">
        <v>228</v>
      </c>
      <c r="BE128" s="130">
        <f t="shared" si="5"/>
        <v>0</v>
      </c>
      <c r="BF128" s="130">
        <f t="shared" si="6"/>
        <v>151.4</v>
      </c>
      <c r="BG128" s="130">
        <f t="shared" si="7"/>
        <v>0</v>
      </c>
      <c r="BH128" s="130">
        <f t="shared" si="8"/>
        <v>0</v>
      </c>
      <c r="BI128" s="130">
        <f t="shared" si="9"/>
        <v>0</v>
      </c>
      <c r="BJ128" s="13" t="s">
        <v>76</v>
      </c>
      <c r="BK128" s="130">
        <f t="shared" si="10"/>
        <v>151.4</v>
      </c>
      <c r="BL128" s="13" t="s">
        <v>235</v>
      </c>
      <c r="BM128" s="129" t="s">
        <v>248</v>
      </c>
    </row>
    <row r="129" spans="2:65" s="1" customFormat="1" ht="60" customHeight="1" x14ac:dyDescent="0.2">
      <c r="B129" s="118"/>
      <c r="C129" s="119" t="s">
        <v>240</v>
      </c>
      <c r="D129" s="119" t="s">
        <v>231</v>
      </c>
      <c r="E129" s="120" t="s">
        <v>2684</v>
      </c>
      <c r="F129" s="121" t="s">
        <v>2685</v>
      </c>
      <c r="G129" s="122" t="s">
        <v>1194</v>
      </c>
      <c r="H129" s="123">
        <v>1</v>
      </c>
      <c r="I129" s="124">
        <v>157.9</v>
      </c>
      <c r="J129" s="124">
        <f t="shared" si="0"/>
        <v>157.9</v>
      </c>
      <c r="K129" s="121" t="s">
        <v>1</v>
      </c>
      <c r="L129" s="24"/>
      <c r="M129" s="125" t="s">
        <v>1</v>
      </c>
      <c r="N129" s="126" t="s">
        <v>32</v>
      </c>
      <c r="O129" s="127">
        <v>0</v>
      </c>
      <c r="P129" s="127">
        <f t="shared" si="1"/>
        <v>0</v>
      </c>
      <c r="Q129" s="127">
        <v>0</v>
      </c>
      <c r="R129" s="127">
        <f t="shared" si="2"/>
        <v>0</v>
      </c>
      <c r="S129" s="127">
        <v>0</v>
      </c>
      <c r="T129" s="128">
        <f t="shared" si="3"/>
        <v>0</v>
      </c>
      <c r="W129" s="199"/>
      <c r="X129" s="119" t="s">
        <v>240</v>
      </c>
      <c r="Y129" s="119" t="s">
        <v>231</v>
      </c>
      <c r="Z129" s="120" t="s">
        <v>2684</v>
      </c>
      <c r="AA129" s="121" t="s">
        <v>2685</v>
      </c>
      <c r="AB129" s="122" t="s">
        <v>1194</v>
      </c>
      <c r="AC129" s="123">
        <v>1</v>
      </c>
      <c r="AD129" s="124">
        <v>157.9</v>
      </c>
      <c r="AE129" s="200">
        <f t="shared" si="4"/>
        <v>157.9</v>
      </c>
      <c r="AR129" s="129" t="s">
        <v>235</v>
      </c>
      <c r="AT129" s="129" t="s">
        <v>231</v>
      </c>
      <c r="AU129" s="129" t="s">
        <v>76</v>
      </c>
      <c r="AY129" s="13" t="s">
        <v>228</v>
      </c>
      <c r="BE129" s="130">
        <f t="shared" si="5"/>
        <v>0</v>
      </c>
      <c r="BF129" s="130">
        <f t="shared" si="6"/>
        <v>157.9</v>
      </c>
      <c r="BG129" s="130">
        <f t="shared" si="7"/>
        <v>0</v>
      </c>
      <c r="BH129" s="130">
        <f t="shared" si="8"/>
        <v>0</v>
      </c>
      <c r="BI129" s="130">
        <f t="shared" si="9"/>
        <v>0</v>
      </c>
      <c r="BJ129" s="13" t="s">
        <v>76</v>
      </c>
      <c r="BK129" s="130">
        <f t="shared" si="10"/>
        <v>157.9</v>
      </c>
      <c r="BL129" s="13" t="s">
        <v>235</v>
      </c>
      <c r="BM129" s="129" t="s">
        <v>251</v>
      </c>
    </row>
    <row r="130" spans="2:65" s="1" customFormat="1" ht="16.5" customHeight="1" x14ac:dyDescent="0.2">
      <c r="B130" s="118"/>
      <c r="C130" s="119" t="s">
        <v>252</v>
      </c>
      <c r="D130" s="119" t="s">
        <v>231</v>
      </c>
      <c r="E130" s="120" t="s">
        <v>2686</v>
      </c>
      <c r="F130" s="121" t="s">
        <v>2687</v>
      </c>
      <c r="G130" s="122" t="s">
        <v>1194</v>
      </c>
      <c r="H130" s="123">
        <v>4</v>
      </c>
      <c r="I130" s="124">
        <v>47.6</v>
      </c>
      <c r="J130" s="124">
        <f t="shared" si="0"/>
        <v>190.4</v>
      </c>
      <c r="K130" s="121" t="s">
        <v>1</v>
      </c>
      <c r="L130" s="24"/>
      <c r="M130" s="125" t="s">
        <v>1</v>
      </c>
      <c r="N130" s="126" t="s">
        <v>32</v>
      </c>
      <c r="O130" s="127">
        <v>0</v>
      </c>
      <c r="P130" s="127">
        <f t="shared" si="1"/>
        <v>0</v>
      </c>
      <c r="Q130" s="127">
        <v>0</v>
      </c>
      <c r="R130" s="127">
        <f t="shared" si="2"/>
        <v>0</v>
      </c>
      <c r="S130" s="127">
        <v>0</v>
      </c>
      <c r="T130" s="128">
        <f t="shared" si="3"/>
        <v>0</v>
      </c>
      <c r="W130" s="199"/>
      <c r="X130" s="119" t="s">
        <v>252</v>
      </c>
      <c r="Y130" s="119" t="s">
        <v>231</v>
      </c>
      <c r="Z130" s="120" t="s">
        <v>2686</v>
      </c>
      <c r="AA130" s="121" t="s">
        <v>2687</v>
      </c>
      <c r="AB130" s="122" t="s">
        <v>1194</v>
      </c>
      <c r="AC130" s="123">
        <v>4</v>
      </c>
      <c r="AD130" s="124">
        <v>47.6</v>
      </c>
      <c r="AE130" s="200">
        <f t="shared" si="4"/>
        <v>190.4</v>
      </c>
      <c r="AR130" s="129" t="s">
        <v>235</v>
      </c>
      <c r="AT130" s="129" t="s">
        <v>231</v>
      </c>
      <c r="AU130" s="129" t="s">
        <v>76</v>
      </c>
      <c r="AY130" s="13" t="s">
        <v>228</v>
      </c>
      <c r="BE130" s="130">
        <f t="shared" si="5"/>
        <v>0</v>
      </c>
      <c r="BF130" s="130">
        <f t="shared" si="6"/>
        <v>190.4</v>
      </c>
      <c r="BG130" s="130">
        <f t="shared" si="7"/>
        <v>0</v>
      </c>
      <c r="BH130" s="130">
        <f t="shared" si="8"/>
        <v>0</v>
      </c>
      <c r="BI130" s="130">
        <f t="shared" si="9"/>
        <v>0</v>
      </c>
      <c r="BJ130" s="13" t="s">
        <v>76</v>
      </c>
      <c r="BK130" s="130">
        <f t="shared" si="10"/>
        <v>190.4</v>
      </c>
      <c r="BL130" s="13" t="s">
        <v>235</v>
      </c>
      <c r="BM130" s="129" t="s">
        <v>255</v>
      </c>
    </row>
    <row r="131" spans="2:65" s="1" customFormat="1" ht="36" customHeight="1" x14ac:dyDescent="0.2">
      <c r="B131" s="118"/>
      <c r="C131" s="119" t="s">
        <v>244</v>
      </c>
      <c r="D131" s="119" t="s">
        <v>231</v>
      </c>
      <c r="E131" s="120" t="s">
        <v>2688</v>
      </c>
      <c r="F131" s="121" t="s">
        <v>2689</v>
      </c>
      <c r="G131" s="122" t="s">
        <v>292</v>
      </c>
      <c r="H131" s="123">
        <v>37</v>
      </c>
      <c r="I131" s="124">
        <v>31.94</v>
      </c>
      <c r="J131" s="124">
        <f t="shared" si="0"/>
        <v>1181.78</v>
      </c>
      <c r="K131" s="121" t="s">
        <v>1</v>
      </c>
      <c r="L131" s="24"/>
      <c r="M131" s="125" t="s">
        <v>1</v>
      </c>
      <c r="N131" s="126" t="s">
        <v>32</v>
      </c>
      <c r="O131" s="127">
        <v>0</v>
      </c>
      <c r="P131" s="127">
        <f t="shared" si="1"/>
        <v>0</v>
      </c>
      <c r="Q131" s="127">
        <v>0</v>
      </c>
      <c r="R131" s="127">
        <f t="shared" si="2"/>
        <v>0</v>
      </c>
      <c r="S131" s="127">
        <v>0</v>
      </c>
      <c r="T131" s="128">
        <f t="shared" si="3"/>
        <v>0</v>
      </c>
      <c r="W131" s="199"/>
      <c r="X131" s="119" t="s">
        <v>244</v>
      </c>
      <c r="Y131" s="119" t="s">
        <v>231</v>
      </c>
      <c r="Z131" s="120" t="s">
        <v>2688</v>
      </c>
      <c r="AA131" s="121" t="s">
        <v>2689</v>
      </c>
      <c r="AB131" s="122" t="s">
        <v>292</v>
      </c>
      <c r="AC131" s="123">
        <v>37</v>
      </c>
      <c r="AD131" s="124">
        <v>31.94</v>
      </c>
      <c r="AE131" s="200">
        <f t="shared" si="4"/>
        <v>1181.78</v>
      </c>
      <c r="AR131" s="129" t="s">
        <v>235</v>
      </c>
      <c r="AT131" s="129" t="s">
        <v>231</v>
      </c>
      <c r="AU131" s="129" t="s">
        <v>76</v>
      </c>
      <c r="AY131" s="13" t="s">
        <v>228</v>
      </c>
      <c r="BE131" s="130">
        <f t="shared" si="5"/>
        <v>0</v>
      </c>
      <c r="BF131" s="130">
        <f t="shared" si="6"/>
        <v>1181.78</v>
      </c>
      <c r="BG131" s="130">
        <f t="shared" si="7"/>
        <v>0</v>
      </c>
      <c r="BH131" s="130">
        <f t="shared" si="8"/>
        <v>0</v>
      </c>
      <c r="BI131" s="130">
        <f t="shared" si="9"/>
        <v>0</v>
      </c>
      <c r="BJ131" s="13" t="s">
        <v>76</v>
      </c>
      <c r="BK131" s="130">
        <f t="shared" si="10"/>
        <v>1181.78</v>
      </c>
      <c r="BL131" s="13" t="s">
        <v>235</v>
      </c>
      <c r="BM131" s="129" t="s">
        <v>258</v>
      </c>
    </row>
    <row r="132" spans="2:65" s="1" customFormat="1" ht="19.2" x14ac:dyDescent="0.2">
      <c r="B132" s="24"/>
      <c r="D132" s="144" t="s">
        <v>1259</v>
      </c>
      <c r="F132" s="145" t="s">
        <v>2690</v>
      </c>
      <c r="L132" s="24"/>
      <c r="M132" s="146"/>
      <c r="N132" s="42"/>
      <c r="O132" s="42"/>
      <c r="P132" s="42"/>
      <c r="Q132" s="42"/>
      <c r="R132" s="42"/>
      <c r="S132" s="42"/>
      <c r="T132" s="43"/>
      <c r="W132" s="158"/>
      <c r="X132" s="557"/>
      <c r="Y132" s="203" t="s">
        <v>1259</v>
      </c>
      <c r="Z132" s="557"/>
      <c r="AA132" s="204" t="s">
        <v>2690</v>
      </c>
      <c r="AB132" s="557"/>
      <c r="AC132" s="557"/>
      <c r="AD132" s="557"/>
      <c r="AE132" s="159"/>
      <c r="AT132" s="13" t="s">
        <v>1259</v>
      </c>
      <c r="AU132" s="13" t="s">
        <v>76</v>
      </c>
    </row>
    <row r="133" spans="2:65" s="1" customFormat="1" ht="24" customHeight="1" x14ac:dyDescent="0.2">
      <c r="B133" s="118"/>
      <c r="C133" s="119" t="s">
        <v>259</v>
      </c>
      <c r="D133" s="119" t="s">
        <v>231</v>
      </c>
      <c r="E133" s="120" t="s">
        <v>2691</v>
      </c>
      <c r="F133" s="121" t="s">
        <v>2692</v>
      </c>
      <c r="G133" s="122" t="s">
        <v>292</v>
      </c>
      <c r="H133" s="123">
        <v>37</v>
      </c>
      <c r="I133" s="124">
        <v>15.6</v>
      </c>
      <c r="J133" s="124">
        <f>ROUND(I133*H133,2)</f>
        <v>577.20000000000005</v>
      </c>
      <c r="K133" s="121" t="s">
        <v>1</v>
      </c>
      <c r="L133" s="24"/>
      <c r="M133" s="125" t="s">
        <v>1</v>
      </c>
      <c r="N133" s="126" t="s">
        <v>32</v>
      </c>
      <c r="O133" s="127">
        <v>0</v>
      </c>
      <c r="P133" s="127">
        <f>O133*H133</f>
        <v>0</v>
      </c>
      <c r="Q133" s="127">
        <v>0</v>
      </c>
      <c r="R133" s="127">
        <f>Q133*H133</f>
        <v>0</v>
      </c>
      <c r="S133" s="127">
        <v>0</v>
      </c>
      <c r="T133" s="128">
        <f>S133*H133</f>
        <v>0</v>
      </c>
      <c r="W133" s="199"/>
      <c r="X133" s="119" t="s">
        <v>259</v>
      </c>
      <c r="Y133" s="119" t="s">
        <v>231</v>
      </c>
      <c r="Z133" s="120" t="s">
        <v>2691</v>
      </c>
      <c r="AA133" s="121" t="s">
        <v>2692</v>
      </c>
      <c r="AB133" s="122" t="s">
        <v>292</v>
      </c>
      <c r="AC133" s="123">
        <v>37</v>
      </c>
      <c r="AD133" s="124">
        <v>15.6</v>
      </c>
      <c r="AE133" s="200">
        <f>ROUND(AD133*AC133,2)</f>
        <v>577.20000000000005</v>
      </c>
      <c r="AR133" s="129" t="s">
        <v>235</v>
      </c>
      <c r="AT133" s="129" t="s">
        <v>231</v>
      </c>
      <c r="AU133" s="129" t="s">
        <v>76</v>
      </c>
      <c r="AY133" s="13" t="s">
        <v>228</v>
      </c>
      <c r="BE133" s="130">
        <f>IF(N133="základná",J133,0)</f>
        <v>0</v>
      </c>
      <c r="BF133" s="130">
        <f>IF(N133="znížená",J133,0)</f>
        <v>577.20000000000005</v>
      </c>
      <c r="BG133" s="130">
        <f>IF(N133="zákl. prenesená",J133,0)</f>
        <v>0</v>
      </c>
      <c r="BH133" s="130">
        <f>IF(N133="zníž. prenesená",J133,0)</f>
        <v>0</v>
      </c>
      <c r="BI133" s="130">
        <f>IF(N133="nulová",J133,0)</f>
        <v>0</v>
      </c>
      <c r="BJ133" s="13" t="s">
        <v>76</v>
      </c>
      <c r="BK133" s="130">
        <f>ROUND(I133*H133,2)</f>
        <v>577.20000000000005</v>
      </c>
      <c r="BL133" s="13" t="s">
        <v>235</v>
      </c>
      <c r="BM133" s="129" t="s">
        <v>262</v>
      </c>
    </row>
    <row r="134" spans="2:65" s="1" customFormat="1" ht="19.2" x14ac:dyDescent="0.2">
      <c r="B134" s="24"/>
      <c r="D134" s="144" t="s">
        <v>1259</v>
      </c>
      <c r="F134" s="145" t="s">
        <v>2693</v>
      </c>
      <c r="L134" s="24"/>
      <c r="M134" s="146"/>
      <c r="N134" s="42"/>
      <c r="O134" s="42"/>
      <c r="P134" s="42"/>
      <c r="Q134" s="42"/>
      <c r="R134" s="42"/>
      <c r="S134" s="42"/>
      <c r="T134" s="43"/>
      <c r="W134" s="158"/>
      <c r="X134" s="557"/>
      <c r="Y134" s="203" t="s">
        <v>1259</v>
      </c>
      <c r="Z134" s="557"/>
      <c r="AA134" s="204" t="s">
        <v>2693</v>
      </c>
      <c r="AB134" s="557"/>
      <c r="AC134" s="557"/>
      <c r="AD134" s="557"/>
      <c r="AE134" s="159"/>
      <c r="AT134" s="13" t="s">
        <v>1259</v>
      </c>
      <c r="AU134" s="13" t="s">
        <v>76</v>
      </c>
    </row>
    <row r="135" spans="2:65" s="1" customFormat="1" ht="24" customHeight="1" x14ac:dyDescent="0.2">
      <c r="B135" s="118"/>
      <c r="C135" s="119" t="s">
        <v>248</v>
      </c>
      <c r="D135" s="119" t="s">
        <v>231</v>
      </c>
      <c r="E135" s="120" t="s">
        <v>2694</v>
      </c>
      <c r="F135" s="121" t="s">
        <v>2695</v>
      </c>
      <c r="G135" s="122" t="s">
        <v>284</v>
      </c>
      <c r="H135" s="123">
        <v>6</v>
      </c>
      <c r="I135" s="124">
        <v>57.45</v>
      </c>
      <c r="J135" s="124">
        <f t="shared" ref="J135:J140" si="11">ROUND(I135*H135,2)</f>
        <v>344.7</v>
      </c>
      <c r="K135" s="121" t="s">
        <v>1</v>
      </c>
      <c r="L135" s="24"/>
      <c r="M135" s="125" t="s">
        <v>1</v>
      </c>
      <c r="N135" s="126" t="s">
        <v>32</v>
      </c>
      <c r="O135" s="127">
        <v>0</v>
      </c>
      <c r="P135" s="127">
        <f t="shared" ref="P135:P140" si="12">O135*H135</f>
        <v>0</v>
      </c>
      <c r="Q135" s="127">
        <v>0</v>
      </c>
      <c r="R135" s="127">
        <f t="shared" ref="R135:R140" si="13">Q135*H135</f>
        <v>0</v>
      </c>
      <c r="S135" s="127">
        <v>0</v>
      </c>
      <c r="T135" s="128">
        <f t="shared" ref="T135:T140" si="14">S135*H135</f>
        <v>0</v>
      </c>
      <c r="W135" s="199"/>
      <c r="X135" s="119" t="s">
        <v>248</v>
      </c>
      <c r="Y135" s="119" t="s">
        <v>231</v>
      </c>
      <c r="Z135" s="120" t="s">
        <v>2694</v>
      </c>
      <c r="AA135" s="121" t="s">
        <v>2695</v>
      </c>
      <c r="AB135" s="122" t="s">
        <v>284</v>
      </c>
      <c r="AC135" s="123">
        <v>6</v>
      </c>
      <c r="AD135" s="124">
        <v>57.45</v>
      </c>
      <c r="AE135" s="200">
        <f t="shared" ref="AE135:AE140" si="15">ROUND(AD135*AC135,2)</f>
        <v>344.7</v>
      </c>
      <c r="AR135" s="129" t="s">
        <v>235</v>
      </c>
      <c r="AT135" s="129" t="s">
        <v>231</v>
      </c>
      <c r="AU135" s="129" t="s">
        <v>76</v>
      </c>
      <c r="AY135" s="13" t="s">
        <v>228</v>
      </c>
      <c r="BE135" s="130">
        <f t="shared" ref="BE135:BE140" si="16">IF(N135="základná",J135,0)</f>
        <v>0</v>
      </c>
      <c r="BF135" s="130">
        <f t="shared" ref="BF135:BF140" si="17">IF(N135="znížená",J135,0)</f>
        <v>344.7</v>
      </c>
      <c r="BG135" s="130">
        <f t="shared" ref="BG135:BG140" si="18">IF(N135="zákl. prenesená",J135,0)</f>
        <v>0</v>
      </c>
      <c r="BH135" s="130">
        <f t="shared" ref="BH135:BH140" si="19">IF(N135="zníž. prenesená",J135,0)</f>
        <v>0</v>
      </c>
      <c r="BI135" s="130">
        <f t="shared" ref="BI135:BI140" si="20">IF(N135="nulová",J135,0)</f>
        <v>0</v>
      </c>
      <c r="BJ135" s="13" t="s">
        <v>76</v>
      </c>
      <c r="BK135" s="130">
        <f t="shared" ref="BK135:BK140" si="21">ROUND(I135*H135,2)</f>
        <v>344.7</v>
      </c>
      <c r="BL135" s="13" t="s">
        <v>235</v>
      </c>
      <c r="BM135" s="129" t="s">
        <v>7</v>
      </c>
    </row>
    <row r="136" spans="2:65" s="1" customFormat="1" ht="16.5" customHeight="1" x14ac:dyDescent="0.2">
      <c r="B136" s="118"/>
      <c r="C136" s="119" t="s">
        <v>265</v>
      </c>
      <c r="D136" s="119" t="s">
        <v>231</v>
      </c>
      <c r="E136" s="120" t="s">
        <v>2696</v>
      </c>
      <c r="F136" s="121" t="s">
        <v>2697</v>
      </c>
      <c r="G136" s="122" t="s">
        <v>284</v>
      </c>
      <c r="H136" s="123">
        <v>20</v>
      </c>
      <c r="I136" s="124">
        <v>5.25</v>
      </c>
      <c r="J136" s="124">
        <f t="shared" si="11"/>
        <v>105</v>
      </c>
      <c r="K136" s="121" t="s">
        <v>1</v>
      </c>
      <c r="L136" s="24"/>
      <c r="M136" s="125" t="s">
        <v>1</v>
      </c>
      <c r="N136" s="126" t="s">
        <v>32</v>
      </c>
      <c r="O136" s="127">
        <v>0</v>
      </c>
      <c r="P136" s="127">
        <f t="shared" si="12"/>
        <v>0</v>
      </c>
      <c r="Q136" s="127">
        <v>0</v>
      </c>
      <c r="R136" s="127">
        <f t="shared" si="13"/>
        <v>0</v>
      </c>
      <c r="S136" s="127">
        <v>0</v>
      </c>
      <c r="T136" s="128">
        <f t="shared" si="14"/>
        <v>0</v>
      </c>
      <c r="W136" s="199"/>
      <c r="X136" s="119" t="s">
        <v>265</v>
      </c>
      <c r="Y136" s="119" t="s">
        <v>231</v>
      </c>
      <c r="Z136" s="120" t="s">
        <v>2696</v>
      </c>
      <c r="AA136" s="121" t="s">
        <v>2697</v>
      </c>
      <c r="AB136" s="122" t="s">
        <v>284</v>
      </c>
      <c r="AC136" s="123">
        <v>20</v>
      </c>
      <c r="AD136" s="124">
        <v>5.25</v>
      </c>
      <c r="AE136" s="200">
        <f t="shared" si="15"/>
        <v>105</v>
      </c>
      <c r="AR136" s="129" t="s">
        <v>235</v>
      </c>
      <c r="AT136" s="129" t="s">
        <v>231</v>
      </c>
      <c r="AU136" s="129" t="s">
        <v>76</v>
      </c>
      <c r="AY136" s="13" t="s">
        <v>228</v>
      </c>
      <c r="BE136" s="130">
        <f t="shared" si="16"/>
        <v>0</v>
      </c>
      <c r="BF136" s="130">
        <f t="shared" si="17"/>
        <v>105</v>
      </c>
      <c r="BG136" s="130">
        <f t="shared" si="18"/>
        <v>0</v>
      </c>
      <c r="BH136" s="130">
        <f t="shared" si="19"/>
        <v>0</v>
      </c>
      <c r="BI136" s="130">
        <f t="shared" si="20"/>
        <v>0</v>
      </c>
      <c r="BJ136" s="13" t="s">
        <v>76</v>
      </c>
      <c r="BK136" s="130">
        <f t="shared" si="21"/>
        <v>105</v>
      </c>
      <c r="BL136" s="13" t="s">
        <v>235</v>
      </c>
      <c r="BM136" s="129" t="s">
        <v>268</v>
      </c>
    </row>
    <row r="137" spans="2:65" s="1" customFormat="1" ht="24" customHeight="1" x14ac:dyDescent="0.2">
      <c r="B137" s="118"/>
      <c r="C137" s="119" t="s">
        <v>251</v>
      </c>
      <c r="D137" s="119" t="s">
        <v>231</v>
      </c>
      <c r="E137" s="120" t="s">
        <v>2698</v>
      </c>
      <c r="F137" s="121" t="s">
        <v>2699</v>
      </c>
      <c r="G137" s="122" t="s">
        <v>284</v>
      </c>
      <c r="H137" s="123">
        <v>2</v>
      </c>
      <c r="I137" s="124">
        <v>7.84</v>
      </c>
      <c r="J137" s="124">
        <f t="shared" si="11"/>
        <v>15.68</v>
      </c>
      <c r="K137" s="121" t="s">
        <v>1</v>
      </c>
      <c r="L137" s="24"/>
      <c r="M137" s="125" t="s">
        <v>1</v>
      </c>
      <c r="N137" s="126" t="s">
        <v>32</v>
      </c>
      <c r="O137" s="127">
        <v>0</v>
      </c>
      <c r="P137" s="127">
        <f t="shared" si="12"/>
        <v>0</v>
      </c>
      <c r="Q137" s="127">
        <v>0</v>
      </c>
      <c r="R137" s="127">
        <f t="shared" si="13"/>
        <v>0</v>
      </c>
      <c r="S137" s="127">
        <v>0</v>
      </c>
      <c r="T137" s="128">
        <f t="shared" si="14"/>
        <v>0</v>
      </c>
      <c r="W137" s="199"/>
      <c r="X137" s="119" t="s">
        <v>251</v>
      </c>
      <c r="Y137" s="119" t="s">
        <v>231</v>
      </c>
      <c r="Z137" s="120" t="s">
        <v>2698</v>
      </c>
      <c r="AA137" s="121" t="s">
        <v>2699</v>
      </c>
      <c r="AB137" s="122" t="s">
        <v>284</v>
      </c>
      <c r="AC137" s="123">
        <v>2</v>
      </c>
      <c r="AD137" s="124">
        <v>7.84</v>
      </c>
      <c r="AE137" s="200">
        <f t="shared" si="15"/>
        <v>15.68</v>
      </c>
      <c r="AR137" s="129" t="s">
        <v>235</v>
      </c>
      <c r="AT137" s="129" t="s">
        <v>231</v>
      </c>
      <c r="AU137" s="129" t="s">
        <v>76</v>
      </c>
      <c r="AY137" s="13" t="s">
        <v>228</v>
      </c>
      <c r="BE137" s="130">
        <f t="shared" si="16"/>
        <v>0</v>
      </c>
      <c r="BF137" s="130">
        <f t="shared" si="17"/>
        <v>15.68</v>
      </c>
      <c r="BG137" s="130">
        <f t="shared" si="18"/>
        <v>0</v>
      </c>
      <c r="BH137" s="130">
        <f t="shared" si="19"/>
        <v>0</v>
      </c>
      <c r="BI137" s="130">
        <f t="shared" si="20"/>
        <v>0</v>
      </c>
      <c r="BJ137" s="13" t="s">
        <v>76</v>
      </c>
      <c r="BK137" s="130">
        <f t="shared" si="21"/>
        <v>15.68</v>
      </c>
      <c r="BL137" s="13" t="s">
        <v>235</v>
      </c>
      <c r="BM137" s="129" t="s">
        <v>272</v>
      </c>
    </row>
    <row r="138" spans="2:65" s="1" customFormat="1" ht="16.5" customHeight="1" x14ac:dyDescent="0.2">
      <c r="B138" s="118"/>
      <c r="C138" s="119" t="s">
        <v>273</v>
      </c>
      <c r="D138" s="119" t="s">
        <v>231</v>
      </c>
      <c r="E138" s="120" t="s">
        <v>2700</v>
      </c>
      <c r="F138" s="121" t="s">
        <v>2701</v>
      </c>
      <c r="G138" s="122" t="s">
        <v>1194</v>
      </c>
      <c r="H138" s="123">
        <v>4</v>
      </c>
      <c r="I138" s="124">
        <v>7.55</v>
      </c>
      <c r="J138" s="124">
        <f t="shared" si="11"/>
        <v>30.2</v>
      </c>
      <c r="K138" s="121" t="s">
        <v>1</v>
      </c>
      <c r="L138" s="24"/>
      <c r="M138" s="125" t="s">
        <v>1</v>
      </c>
      <c r="N138" s="126" t="s">
        <v>32</v>
      </c>
      <c r="O138" s="127">
        <v>0</v>
      </c>
      <c r="P138" s="127">
        <f t="shared" si="12"/>
        <v>0</v>
      </c>
      <c r="Q138" s="127">
        <v>0</v>
      </c>
      <c r="R138" s="127">
        <f t="shared" si="13"/>
        <v>0</v>
      </c>
      <c r="S138" s="127">
        <v>0</v>
      </c>
      <c r="T138" s="128">
        <f t="shared" si="14"/>
        <v>0</v>
      </c>
      <c r="W138" s="199"/>
      <c r="X138" s="119" t="s">
        <v>273</v>
      </c>
      <c r="Y138" s="119" t="s">
        <v>231</v>
      </c>
      <c r="Z138" s="120" t="s">
        <v>2700</v>
      </c>
      <c r="AA138" s="121" t="s">
        <v>2701</v>
      </c>
      <c r="AB138" s="122" t="s">
        <v>1194</v>
      </c>
      <c r="AC138" s="123">
        <v>4</v>
      </c>
      <c r="AD138" s="124">
        <v>7.55</v>
      </c>
      <c r="AE138" s="200">
        <f t="shared" si="15"/>
        <v>30.2</v>
      </c>
      <c r="AR138" s="129" t="s">
        <v>235</v>
      </c>
      <c r="AT138" s="129" t="s">
        <v>231</v>
      </c>
      <c r="AU138" s="129" t="s">
        <v>76</v>
      </c>
      <c r="AY138" s="13" t="s">
        <v>228</v>
      </c>
      <c r="BE138" s="130">
        <f t="shared" si="16"/>
        <v>0</v>
      </c>
      <c r="BF138" s="130">
        <f t="shared" si="17"/>
        <v>30.2</v>
      </c>
      <c r="BG138" s="130">
        <f t="shared" si="18"/>
        <v>0</v>
      </c>
      <c r="BH138" s="130">
        <f t="shared" si="19"/>
        <v>0</v>
      </c>
      <c r="BI138" s="130">
        <f t="shared" si="20"/>
        <v>0</v>
      </c>
      <c r="BJ138" s="13" t="s">
        <v>76</v>
      </c>
      <c r="BK138" s="130">
        <f t="shared" si="21"/>
        <v>30.2</v>
      </c>
      <c r="BL138" s="13" t="s">
        <v>235</v>
      </c>
      <c r="BM138" s="129" t="s">
        <v>276</v>
      </c>
    </row>
    <row r="139" spans="2:65" s="1" customFormat="1" ht="16.5" customHeight="1" x14ac:dyDescent="0.2">
      <c r="B139" s="118"/>
      <c r="C139" s="119" t="s">
        <v>255</v>
      </c>
      <c r="D139" s="119" t="s">
        <v>231</v>
      </c>
      <c r="E139" s="120" t="s">
        <v>2702</v>
      </c>
      <c r="F139" s="121" t="s">
        <v>2703</v>
      </c>
      <c r="G139" s="122" t="s">
        <v>1194</v>
      </c>
      <c r="H139" s="123">
        <v>8</v>
      </c>
      <c r="I139" s="124">
        <v>5.22</v>
      </c>
      <c r="J139" s="124">
        <f t="shared" si="11"/>
        <v>41.76</v>
      </c>
      <c r="K139" s="121" t="s">
        <v>1</v>
      </c>
      <c r="L139" s="24"/>
      <c r="M139" s="125" t="s">
        <v>1</v>
      </c>
      <c r="N139" s="126" t="s">
        <v>32</v>
      </c>
      <c r="O139" s="127">
        <v>0</v>
      </c>
      <c r="P139" s="127">
        <f t="shared" si="12"/>
        <v>0</v>
      </c>
      <c r="Q139" s="127">
        <v>0</v>
      </c>
      <c r="R139" s="127">
        <f t="shared" si="13"/>
        <v>0</v>
      </c>
      <c r="S139" s="127">
        <v>0</v>
      </c>
      <c r="T139" s="128">
        <f t="shared" si="14"/>
        <v>0</v>
      </c>
      <c r="W139" s="199"/>
      <c r="X139" s="119" t="s">
        <v>255</v>
      </c>
      <c r="Y139" s="119" t="s">
        <v>231</v>
      </c>
      <c r="Z139" s="120" t="s">
        <v>2702</v>
      </c>
      <c r="AA139" s="121" t="s">
        <v>2703</v>
      </c>
      <c r="AB139" s="122" t="s">
        <v>1194</v>
      </c>
      <c r="AC139" s="123">
        <v>8</v>
      </c>
      <c r="AD139" s="124">
        <v>5.22</v>
      </c>
      <c r="AE139" s="200">
        <f t="shared" si="15"/>
        <v>41.76</v>
      </c>
      <c r="AR139" s="129" t="s">
        <v>235</v>
      </c>
      <c r="AT139" s="129" t="s">
        <v>231</v>
      </c>
      <c r="AU139" s="129" t="s">
        <v>76</v>
      </c>
      <c r="AY139" s="13" t="s">
        <v>228</v>
      </c>
      <c r="BE139" s="130">
        <f t="shared" si="16"/>
        <v>0</v>
      </c>
      <c r="BF139" s="130">
        <f t="shared" si="17"/>
        <v>41.76</v>
      </c>
      <c r="BG139" s="130">
        <f t="shared" si="18"/>
        <v>0</v>
      </c>
      <c r="BH139" s="130">
        <f t="shared" si="19"/>
        <v>0</v>
      </c>
      <c r="BI139" s="130">
        <f t="shared" si="20"/>
        <v>0</v>
      </c>
      <c r="BJ139" s="13" t="s">
        <v>76</v>
      </c>
      <c r="BK139" s="130">
        <f t="shared" si="21"/>
        <v>41.76</v>
      </c>
      <c r="BL139" s="13" t="s">
        <v>235</v>
      </c>
      <c r="BM139" s="129" t="s">
        <v>280</v>
      </c>
    </row>
    <row r="140" spans="2:65" s="1" customFormat="1" ht="24" customHeight="1" x14ac:dyDescent="0.2">
      <c r="B140" s="118"/>
      <c r="C140" s="119" t="s">
        <v>281</v>
      </c>
      <c r="D140" s="119" t="s">
        <v>231</v>
      </c>
      <c r="E140" s="120" t="s">
        <v>2704</v>
      </c>
      <c r="F140" s="121" t="s">
        <v>2705</v>
      </c>
      <c r="G140" s="122" t="s">
        <v>1035</v>
      </c>
      <c r="H140" s="123">
        <v>18</v>
      </c>
      <c r="I140" s="124">
        <v>8.84</v>
      </c>
      <c r="J140" s="124">
        <f t="shared" si="11"/>
        <v>159.12</v>
      </c>
      <c r="K140" s="121" t="s">
        <v>1</v>
      </c>
      <c r="L140" s="24"/>
      <c r="M140" s="125" t="s">
        <v>1</v>
      </c>
      <c r="N140" s="126" t="s">
        <v>32</v>
      </c>
      <c r="O140" s="127">
        <v>0</v>
      </c>
      <c r="P140" s="127">
        <f t="shared" si="12"/>
        <v>0</v>
      </c>
      <c r="Q140" s="127">
        <v>0</v>
      </c>
      <c r="R140" s="127">
        <f t="shared" si="13"/>
        <v>0</v>
      </c>
      <c r="S140" s="127">
        <v>0</v>
      </c>
      <c r="T140" s="128">
        <f t="shared" si="14"/>
        <v>0</v>
      </c>
      <c r="W140" s="199"/>
      <c r="X140" s="119" t="s">
        <v>281</v>
      </c>
      <c r="Y140" s="119" t="s">
        <v>231</v>
      </c>
      <c r="Z140" s="120" t="s">
        <v>2704</v>
      </c>
      <c r="AA140" s="121" t="s">
        <v>2705</v>
      </c>
      <c r="AB140" s="122" t="s">
        <v>1035</v>
      </c>
      <c r="AC140" s="123">
        <v>18</v>
      </c>
      <c r="AD140" s="124">
        <v>8.84</v>
      </c>
      <c r="AE140" s="200">
        <f t="shared" si="15"/>
        <v>159.12</v>
      </c>
      <c r="AR140" s="129" t="s">
        <v>235</v>
      </c>
      <c r="AT140" s="129" t="s">
        <v>231</v>
      </c>
      <c r="AU140" s="129" t="s">
        <v>76</v>
      </c>
      <c r="AY140" s="13" t="s">
        <v>228</v>
      </c>
      <c r="BE140" s="130">
        <f t="shared" si="16"/>
        <v>0</v>
      </c>
      <c r="BF140" s="130">
        <f t="shared" si="17"/>
        <v>159.12</v>
      </c>
      <c r="BG140" s="130">
        <f t="shared" si="18"/>
        <v>0</v>
      </c>
      <c r="BH140" s="130">
        <f t="shared" si="19"/>
        <v>0</v>
      </c>
      <c r="BI140" s="130">
        <f t="shared" si="20"/>
        <v>0</v>
      </c>
      <c r="BJ140" s="13" t="s">
        <v>76</v>
      </c>
      <c r="BK140" s="130">
        <f t="shared" si="21"/>
        <v>159.12</v>
      </c>
      <c r="BL140" s="13" t="s">
        <v>235</v>
      </c>
      <c r="BM140" s="129" t="s">
        <v>285</v>
      </c>
    </row>
    <row r="141" spans="2:65" s="11" customFormat="1" ht="22.95" customHeight="1" x14ac:dyDescent="0.25">
      <c r="B141" s="106"/>
      <c r="D141" s="107" t="s">
        <v>57</v>
      </c>
      <c r="E141" s="116" t="s">
        <v>1215</v>
      </c>
      <c r="F141" s="116" t="s">
        <v>2706</v>
      </c>
      <c r="J141" s="117">
        <f>BK141</f>
        <v>5164.38</v>
      </c>
      <c r="L141" s="106"/>
      <c r="M141" s="110"/>
      <c r="N141" s="111"/>
      <c r="O141" s="111"/>
      <c r="P141" s="112">
        <f>SUM(P142:P161)</f>
        <v>0</v>
      </c>
      <c r="Q141" s="111"/>
      <c r="R141" s="112">
        <f>SUM(R142:R161)</f>
        <v>0</v>
      </c>
      <c r="S141" s="111"/>
      <c r="T141" s="113">
        <f>SUM(T142:T161)</f>
        <v>0</v>
      </c>
      <c r="W141" s="195"/>
      <c r="X141" s="111"/>
      <c r="Y141" s="196" t="s">
        <v>57</v>
      </c>
      <c r="Z141" s="201" t="s">
        <v>1215</v>
      </c>
      <c r="AA141" s="201" t="s">
        <v>2706</v>
      </c>
      <c r="AB141" s="111"/>
      <c r="AC141" s="111"/>
      <c r="AD141" s="111"/>
      <c r="AE141" s="202">
        <f>SUM(AE142:AE161)</f>
        <v>5164.38</v>
      </c>
      <c r="AR141" s="107" t="s">
        <v>63</v>
      </c>
      <c r="AT141" s="114" t="s">
        <v>57</v>
      </c>
      <c r="AU141" s="114" t="s">
        <v>63</v>
      </c>
      <c r="AY141" s="107" t="s">
        <v>228</v>
      </c>
      <c r="BK141" s="115">
        <f>SUM(BK142:BK161)</f>
        <v>5164.38</v>
      </c>
    </row>
    <row r="142" spans="2:65" s="1" customFormat="1" ht="36" customHeight="1" x14ac:dyDescent="0.2">
      <c r="B142" s="118"/>
      <c r="C142" s="119" t="s">
        <v>258</v>
      </c>
      <c r="D142" s="119" t="s">
        <v>231</v>
      </c>
      <c r="E142" s="120" t="s">
        <v>2707</v>
      </c>
      <c r="F142" s="121" t="s">
        <v>2708</v>
      </c>
      <c r="G142" s="122" t="s">
        <v>292</v>
      </c>
      <c r="H142" s="123">
        <v>20</v>
      </c>
      <c r="I142" s="124">
        <v>20.329999999999998</v>
      </c>
      <c r="J142" s="124">
        <f t="shared" ref="J142:J161" si="22">ROUND(I142*H142,2)</f>
        <v>406.6</v>
      </c>
      <c r="K142" s="121" t="s">
        <v>1</v>
      </c>
      <c r="L142" s="24"/>
      <c r="M142" s="125" t="s">
        <v>1</v>
      </c>
      <c r="N142" s="126" t="s">
        <v>32</v>
      </c>
      <c r="O142" s="127">
        <v>0</v>
      </c>
      <c r="P142" s="127">
        <f t="shared" ref="P142:P161" si="23">O142*H142</f>
        <v>0</v>
      </c>
      <c r="Q142" s="127">
        <v>0</v>
      </c>
      <c r="R142" s="127">
        <f t="shared" ref="R142:R161" si="24">Q142*H142</f>
        <v>0</v>
      </c>
      <c r="S142" s="127">
        <v>0</v>
      </c>
      <c r="T142" s="128">
        <f t="shared" ref="T142:T161" si="25">S142*H142</f>
        <v>0</v>
      </c>
      <c r="W142" s="199"/>
      <c r="X142" s="119" t="s">
        <v>258</v>
      </c>
      <c r="Y142" s="119" t="s">
        <v>231</v>
      </c>
      <c r="Z142" s="120" t="s">
        <v>2707</v>
      </c>
      <c r="AA142" s="121" t="s">
        <v>2708</v>
      </c>
      <c r="AB142" s="122" t="s">
        <v>292</v>
      </c>
      <c r="AC142" s="123">
        <v>20</v>
      </c>
      <c r="AD142" s="124">
        <v>20.329999999999998</v>
      </c>
      <c r="AE142" s="200">
        <f t="shared" ref="AE142:AE161" si="26">ROUND(AD142*AC142,2)</f>
        <v>406.6</v>
      </c>
      <c r="AR142" s="129" t="s">
        <v>235</v>
      </c>
      <c r="AT142" s="129" t="s">
        <v>231</v>
      </c>
      <c r="AU142" s="129" t="s">
        <v>76</v>
      </c>
      <c r="AY142" s="13" t="s">
        <v>228</v>
      </c>
      <c r="BE142" s="130">
        <f t="shared" ref="BE142:BE161" si="27">IF(N142="základná",J142,0)</f>
        <v>0</v>
      </c>
      <c r="BF142" s="130">
        <f t="shared" ref="BF142:BF161" si="28">IF(N142="znížená",J142,0)</f>
        <v>406.6</v>
      </c>
      <c r="BG142" s="130">
        <f t="shared" ref="BG142:BG161" si="29">IF(N142="zákl. prenesená",J142,0)</f>
        <v>0</v>
      </c>
      <c r="BH142" s="130">
        <f t="shared" ref="BH142:BH161" si="30">IF(N142="zníž. prenesená",J142,0)</f>
        <v>0</v>
      </c>
      <c r="BI142" s="130">
        <f t="shared" ref="BI142:BI161" si="31">IF(N142="nulová",J142,0)</f>
        <v>0</v>
      </c>
      <c r="BJ142" s="13" t="s">
        <v>76</v>
      </c>
      <c r="BK142" s="130">
        <f t="shared" ref="BK142:BK161" si="32">ROUND(I142*H142,2)</f>
        <v>406.6</v>
      </c>
      <c r="BL142" s="13" t="s">
        <v>235</v>
      </c>
      <c r="BM142" s="129" t="s">
        <v>288</v>
      </c>
    </row>
    <row r="143" spans="2:65" s="1" customFormat="1" ht="36" customHeight="1" x14ac:dyDescent="0.2">
      <c r="B143" s="118"/>
      <c r="C143" s="119" t="s">
        <v>289</v>
      </c>
      <c r="D143" s="119" t="s">
        <v>231</v>
      </c>
      <c r="E143" s="120" t="s">
        <v>2709</v>
      </c>
      <c r="F143" s="121" t="s">
        <v>2710</v>
      </c>
      <c r="G143" s="122" t="s">
        <v>292</v>
      </c>
      <c r="H143" s="123">
        <v>20</v>
      </c>
      <c r="I143" s="124">
        <v>21.3</v>
      </c>
      <c r="J143" s="124">
        <f t="shared" si="22"/>
        <v>426</v>
      </c>
      <c r="K143" s="121" t="s">
        <v>1</v>
      </c>
      <c r="L143" s="24"/>
      <c r="M143" s="125" t="s">
        <v>1</v>
      </c>
      <c r="N143" s="126" t="s">
        <v>32</v>
      </c>
      <c r="O143" s="127">
        <v>0</v>
      </c>
      <c r="P143" s="127">
        <f t="shared" si="23"/>
        <v>0</v>
      </c>
      <c r="Q143" s="127">
        <v>0</v>
      </c>
      <c r="R143" s="127">
        <f t="shared" si="24"/>
        <v>0</v>
      </c>
      <c r="S143" s="127">
        <v>0</v>
      </c>
      <c r="T143" s="128">
        <f t="shared" si="25"/>
        <v>0</v>
      </c>
      <c r="W143" s="199"/>
      <c r="X143" s="119" t="s">
        <v>289</v>
      </c>
      <c r="Y143" s="119" t="s">
        <v>231</v>
      </c>
      <c r="Z143" s="120" t="s">
        <v>2709</v>
      </c>
      <c r="AA143" s="121" t="s">
        <v>2710</v>
      </c>
      <c r="AB143" s="122" t="s">
        <v>292</v>
      </c>
      <c r="AC143" s="123">
        <v>20</v>
      </c>
      <c r="AD143" s="124">
        <v>21.3</v>
      </c>
      <c r="AE143" s="200">
        <f t="shared" si="26"/>
        <v>426</v>
      </c>
      <c r="AR143" s="129" t="s">
        <v>235</v>
      </c>
      <c r="AT143" s="129" t="s">
        <v>231</v>
      </c>
      <c r="AU143" s="129" t="s">
        <v>76</v>
      </c>
      <c r="AY143" s="13" t="s">
        <v>228</v>
      </c>
      <c r="BE143" s="130">
        <f t="shared" si="27"/>
        <v>0</v>
      </c>
      <c r="BF143" s="130">
        <f t="shared" si="28"/>
        <v>426</v>
      </c>
      <c r="BG143" s="130">
        <f t="shared" si="29"/>
        <v>0</v>
      </c>
      <c r="BH143" s="130">
        <f t="shared" si="30"/>
        <v>0</v>
      </c>
      <c r="BI143" s="130">
        <f t="shared" si="31"/>
        <v>0</v>
      </c>
      <c r="BJ143" s="13" t="s">
        <v>76</v>
      </c>
      <c r="BK143" s="130">
        <f t="shared" si="32"/>
        <v>426</v>
      </c>
      <c r="BL143" s="13" t="s">
        <v>235</v>
      </c>
      <c r="BM143" s="129" t="s">
        <v>293</v>
      </c>
    </row>
    <row r="144" spans="2:65" s="1" customFormat="1" ht="36" customHeight="1" x14ac:dyDescent="0.2">
      <c r="B144" s="118"/>
      <c r="C144" s="119" t="s">
        <v>262</v>
      </c>
      <c r="D144" s="119" t="s">
        <v>231</v>
      </c>
      <c r="E144" s="120" t="s">
        <v>2711</v>
      </c>
      <c r="F144" s="121" t="s">
        <v>2712</v>
      </c>
      <c r="G144" s="122" t="s">
        <v>292</v>
      </c>
      <c r="H144" s="123">
        <v>30</v>
      </c>
      <c r="I144" s="124">
        <v>29.14</v>
      </c>
      <c r="J144" s="124">
        <f t="shared" si="22"/>
        <v>874.2</v>
      </c>
      <c r="K144" s="121" t="s">
        <v>1</v>
      </c>
      <c r="L144" s="24"/>
      <c r="M144" s="125" t="s">
        <v>1</v>
      </c>
      <c r="N144" s="126" t="s">
        <v>32</v>
      </c>
      <c r="O144" s="127">
        <v>0</v>
      </c>
      <c r="P144" s="127">
        <f t="shared" si="23"/>
        <v>0</v>
      </c>
      <c r="Q144" s="127">
        <v>0</v>
      </c>
      <c r="R144" s="127">
        <f t="shared" si="24"/>
        <v>0</v>
      </c>
      <c r="S144" s="127">
        <v>0</v>
      </c>
      <c r="T144" s="128">
        <f t="shared" si="25"/>
        <v>0</v>
      </c>
      <c r="W144" s="199"/>
      <c r="X144" s="119" t="s">
        <v>262</v>
      </c>
      <c r="Y144" s="119" t="s">
        <v>231</v>
      </c>
      <c r="Z144" s="120" t="s">
        <v>2711</v>
      </c>
      <c r="AA144" s="121" t="s">
        <v>2712</v>
      </c>
      <c r="AB144" s="122" t="s">
        <v>292</v>
      </c>
      <c r="AC144" s="123">
        <v>30</v>
      </c>
      <c r="AD144" s="124">
        <v>29.14</v>
      </c>
      <c r="AE144" s="200">
        <f t="shared" si="26"/>
        <v>874.2</v>
      </c>
      <c r="AR144" s="129" t="s">
        <v>235</v>
      </c>
      <c r="AT144" s="129" t="s">
        <v>231</v>
      </c>
      <c r="AU144" s="129" t="s">
        <v>76</v>
      </c>
      <c r="AY144" s="13" t="s">
        <v>228</v>
      </c>
      <c r="BE144" s="130">
        <f t="shared" si="27"/>
        <v>0</v>
      </c>
      <c r="BF144" s="130">
        <f t="shared" si="28"/>
        <v>874.2</v>
      </c>
      <c r="BG144" s="130">
        <f t="shared" si="29"/>
        <v>0</v>
      </c>
      <c r="BH144" s="130">
        <f t="shared" si="30"/>
        <v>0</v>
      </c>
      <c r="BI144" s="130">
        <f t="shared" si="31"/>
        <v>0</v>
      </c>
      <c r="BJ144" s="13" t="s">
        <v>76</v>
      </c>
      <c r="BK144" s="130">
        <f t="shared" si="32"/>
        <v>874.2</v>
      </c>
      <c r="BL144" s="13" t="s">
        <v>235</v>
      </c>
      <c r="BM144" s="129" t="s">
        <v>296</v>
      </c>
    </row>
    <row r="145" spans="2:65" s="1" customFormat="1" ht="24" customHeight="1" x14ac:dyDescent="0.2">
      <c r="B145" s="118"/>
      <c r="C145" s="119" t="s">
        <v>297</v>
      </c>
      <c r="D145" s="119" t="s">
        <v>231</v>
      </c>
      <c r="E145" s="120" t="s">
        <v>2713</v>
      </c>
      <c r="F145" s="121" t="s">
        <v>2714</v>
      </c>
      <c r="G145" s="122" t="s">
        <v>570</v>
      </c>
      <c r="H145" s="123">
        <v>1</v>
      </c>
      <c r="I145" s="124">
        <v>139.32</v>
      </c>
      <c r="J145" s="124">
        <f t="shared" si="22"/>
        <v>139.32</v>
      </c>
      <c r="K145" s="121" t="s">
        <v>1</v>
      </c>
      <c r="L145" s="24"/>
      <c r="M145" s="125" t="s">
        <v>1</v>
      </c>
      <c r="N145" s="126" t="s">
        <v>32</v>
      </c>
      <c r="O145" s="127">
        <v>0</v>
      </c>
      <c r="P145" s="127">
        <f t="shared" si="23"/>
        <v>0</v>
      </c>
      <c r="Q145" s="127">
        <v>0</v>
      </c>
      <c r="R145" s="127">
        <f t="shared" si="24"/>
        <v>0</v>
      </c>
      <c r="S145" s="127">
        <v>0</v>
      </c>
      <c r="T145" s="128">
        <f t="shared" si="25"/>
        <v>0</v>
      </c>
      <c r="W145" s="199"/>
      <c r="X145" s="119" t="s">
        <v>297</v>
      </c>
      <c r="Y145" s="119" t="s">
        <v>231</v>
      </c>
      <c r="Z145" s="120" t="s">
        <v>2713</v>
      </c>
      <c r="AA145" s="121" t="s">
        <v>2714</v>
      </c>
      <c r="AB145" s="122" t="s">
        <v>570</v>
      </c>
      <c r="AC145" s="123">
        <v>1</v>
      </c>
      <c r="AD145" s="124">
        <v>139.32</v>
      </c>
      <c r="AE145" s="200">
        <f t="shared" si="26"/>
        <v>139.32</v>
      </c>
      <c r="AR145" s="129" t="s">
        <v>235</v>
      </c>
      <c r="AT145" s="129" t="s">
        <v>231</v>
      </c>
      <c r="AU145" s="129" t="s">
        <v>76</v>
      </c>
      <c r="AY145" s="13" t="s">
        <v>228</v>
      </c>
      <c r="BE145" s="130">
        <f t="shared" si="27"/>
        <v>0</v>
      </c>
      <c r="BF145" s="130">
        <f t="shared" si="28"/>
        <v>139.32</v>
      </c>
      <c r="BG145" s="130">
        <f t="shared" si="29"/>
        <v>0</v>
      </c>
      <c r="BH145" s="130">
        <f t="shared" si="30"/>
        <v>0</v>
      </c>
      <c r="BI145" s="130">
        <f t="shared" si="31"/>
        <v>0</v>
      </c>
      <c r="BJ145" s="13" t="s">
        <v>76</v>
      </c>
      <c r="BK145" s="130">
        <f t="shared" si="32"/>
        <v>139.32</v>
      </c>
      <c r="BL145" s="13" t="s">
        <v>235</v>
      </c>
      <c r="BM145" s="129" t="s">
        <v>300</v>
      </c>
    </row>
    <row r="146" spans="2:65" s="1" customFormat="1" ht="36" customHeight="1" x14ac:dyDescent="0.2">
      <c r="B146" s="118"/>
      <c r="C146" s="119" t="s">
        <v>7</v>
      </c>
      <c r="D146" s="119" t="s">
        <v>231</v>
      </c>
      <c r="E146" s="120" t="s">
        <v>2715</v>
      </c>
      <c r="F146" s="121" t="s">
        <v>2716</v>
      </c>
      <c r="G146" s="122" t="s">
        <v>284</v>
      </c>
      <c r="H146" s="123">
        <v>8</v>
      </c>
      <c r="I146" s="124">
        <v>17.38</v>
      </c>
      <c r="J146" s="124">
        <f t="shared" si="22"/>
        <v>139.04</v>
      </c>
      <c r="K146" s="121" t="s">
        <v>1</v>
      </c>
      <c r="L146" s="24"/>
      <c r="M146" s="125" t="s">
        <v>1</v>
      </c>
      <c r="N146" s="126" t="s">
        <v>32</v>
      </c>
      <c r="O146" s="127">
        <v>0</v>
      </c>
      <c r="P146" s="127">
        <f t="shared" si="23"/>
        <v>0</v>
      </c>
      <c r="Q146" s="127">
        <v>0</v>
      </c>
      <c r="R146" s="127">
        <f t="shared" si="24"/>
        <v>0</v>
      </c>
      <c r="S146" s="127">
        <v>0</v>
      </c>
      <c r="T146" s="128">
        <f t="shared" si="25"/>
        <v>0</v>
      </c>
      <c r="W146" s="199"/>
      <c r="X146" s="119" t="s">
        <v>7</v>
      </c>
      <c r="Y146" s="119" t="s">
        <v>231</v>
      </c>
      <c r="Z146" s="120" t="s">
        <v>2715</v>
      </c>
      <c r="AA146" s="121" t="s">
        <v>2716</v>
      </c>
      <c r="AB146" s="122" t="s">
        <v>284</v>
      </c>
      <c r="AC146" s="123">
        <v>8</v>
      </c>
      <c r="AD146" s="124">
        <v>17.38</v>
      </c>
      <c r="AE146" s="200">
        <f t="shared" si="26"/>
        <v>139.04</v>
      </c>
      <c r="AR146" s="129" t="s">
        <v>235</v>
      </c>
      <c r="AT146" s="129" t="s">
        <v>231</v>
      </c>
      <c r="AU146" s="129" t="s">
        <v>76</v>
      </c>
      <c r="AY146" s="13" t="s">
        <v>228</v>
      </c>
      <c r="BE146" s="130">
        <f t="shared" si="27"/>
        <v>0</v>
      </c>
      <c r="BF146" s="130">
        <f t="shared" si="28"/>
        <v>139.04</v>
      </c>
      <c r="BG146" s="130">
        <f t="shared" si="29"/>
        <v>0</v>
      </c>
      <c r="BH146" s="130">
        <f t="shared" si="30"/>
        <v>0</v>
      </c>
      <c r="BI146" s="130">
        <f t="shared" si="31"/>
        <v>0</v>
      </c>
      <c r="BJ146" s="13" t="s">
        <v>76</v>
      </c>
      <c r="BK146" s="130">
        <f t="shared" si="32"/>
        <v>139.04</v>
      </c>
      <c r="BL146" s="13" t="s">
        <v>235</v>
      </c>
      <c r="BM146" s="129" t="s">
        <v>303</v>
      </c>
    </row>
    <row r="147" spans="2:65" s="1" customFormat="1" ht="16.5" customHeight="1" x14ac:dyDescent="0.2">
      <c r="B147" s="118"/>
      <c r="C147" s="119" t="s">
        <v>305</v>
      </c>
      <c r="D147" s="119" t="s">
        <v>231</v>
      </c>
      <c r="E147" s="120" t="s">
        <v>2717</v>
      </c>
      <c r="F147" s="121" t="s">
        <v>2718</v>
      </c>
      <c r="G147" s="122" t="s">
        <v>1194</v>
      </c>
      <c r="H147" s="123">
        <v>3</v>
      </c>
      <c r="I147" s="124">
        <v>11.42</v>
      </c>
      <c r="J147" s="124">
        <f t="shared" si="22"/>
        <v>34.26</v>
      </c>
      <c r="K147" s="121" t="s">
        <v>1</v>
      </c>
      <c r="L147" s="24"/>
      <c r="M147" s="125" t="s">
        <v>1</v>
      </c>
      <c r="N147" s="126" t="s">
        <v>32</v>
      </c>
      <c r="O147" s="127">
        <v>0</v>
      </c>
      <c r="P147" s="127">
        <f t="shared" si="23"/>
        <v>0</v>
      </c>
      <c r="Q147" s="127">
        <v>0</v>
      </c>
      <c r="R147" s="127">
        <f t="shared" si="24"/>
        <v>0</v>
      </c>
      <c r="S147" s="127">
        <v>0</v>
      </c>
      <c r="T147" s="128">
        <f t="shared" si="25"/>
        <v>0</v>
      </c>
      <c r="W147" s="199"/>
      <c r="X147" s="119" t="s">
        <v>305</v>
      </c>
      <c r="Y147" s="119" t="s">
        <v>231</v>
      </c>
      <c r="Z147" s="120" t="s">
        <v>2717</v>
      </c>
      <c r="AA147" s="121" t="s">
        <v>2718</v>
      </c>
      <c r="AB147" s="122" t="s">
        <v>1194</v>
      </c>
      <c r="AC147" s="123">
        <v>3</v>
      </c>
      <c r="AD147" s="124">
        <v>11.42</v>
      </c>
      <c r="AE147" s="200">
        <f t="shared" si="26"/>
        <v>34.26</v>
      </c>
      <c r="AR147" s="129" t="s">
        <v>235</v>
      </c>
      <c r="AT147" s="129" t="s">
        <v>231</v>
      </c>
      <c r="AU147" s="129" t="s">
        <v>76</v>
      </c>
      <c r="AY147" s="13" t="s">
        <v>228</v>
      </c>
      <c r="BE147" s="130">
        <f t="shared" si="27"/>
        <v>0</v>
      </c>
      <c r="BF147" s="130">
        <f t="shared" si="28"/>
        <v>34.26</v>
      </c>
      <c r="BG147" s="130">
        <f t="shared" si="29"/>
        <v>0</v>
      </c>
      <c r="BH147" s="130">
        <f t="shared" si="30"/>
        <v>0</v>
      </c>
      <c r="BI147" s="130">
        <f t="shared" si="31"/>
        <v>0</v>
      </c>
      <c r="BJ147" s="13" t="s">
        <v>76</v>
      </c>
      <c r="BK147" s="130">
        <f t="shared" si="32"/>
        <v>34.26</v>
      </c>
      <c r="BL147" s="13" t="s">
        <v>235</v>
      </c>
      <c r="BM147" s="129" t="s">
        <v>308</v>
      </c>
    </row>
    <row r="148" spans="2:65" s="1" customFormat="1" ht="16.5" customHeight="1" x14ac:dyDescent="0.2">
      <c r="B148" s="118"/>
      <c r="C148" s="119" t="s">
        <v>268</v>
      </c>
      <c r="D148" s="119" t="s">
        <v>231</v>
      </c>
      <c r="E148" s="120" t="s">
        <v>2719</v>
      </c>
      <c r="F148" s="121" t="s">
        <v>2720</v>
      </c>
      <c r="G148" s="122" t="s">
        <v>1194</v>
      </c>
      <c r="H148" s="123">
        <v>3</v>
      </c>
      <c r="I148" s="124">
        <v>17.260000000000002</v>
      </c>
      <c r="J148" s="124">
        <f t="shared" si="22"/>
        <v>51.78</v>
      </c>
      <c r="K148" s="121" t="s">
        <v>1</v>
      </c>
      <c r="L148" s="24"/>
      <c r="M148" s="125" t="s">
        <v>1</v>
      </c>
      <c r="N148" s="126" t="s">
        <v>32</v>
      </c>
      <c r="O148" s="127">
        <v>0</v>
      </c>
      <c r="P148" s="127">
        <f t="shared" si="23"/>
        <v>0</v>
      </c>
      <c r="Q148" s="127">
        <v>0</v>
      </c>
      <c r="R148" s="127">
        <f t="shared" si="24"/>
        <v>0</v>
      </c>
      <c r="S148" s="127">
        <v>0</v>
      </c>
      <c r="T148" s="128">
        <f t="shared" si="25"/>
        <v>0</v>
      </c>
      <c r="W148" s="199"/>
      <c r="X148" s="119" t="s">
        <v>268</v>
      </c>
      <c r="Y148" s="119" t="s">
        <v>231</v>
      </c>
      <c r="Z148" s="120" t="s">
        <v>2719</v>
      </c>
      <c r="AA148" s="121" t="s">
        <v>2720</v>
      </c>
      <c r="AB148" s="122" t="s">
        <v>1194</v>
      </c>
      <c r="AC148" s="123">
        <v>3</v>
      </c>
      <c r="AD148" s="124">
        <v>17.260000000000002</v>
      </c>
      <c r="AE148" s="200">
        <f t="shared" si="26"/>
        <v>51.78</v>
      </c>
      <c r="AR148" s="129" t="s">
        <v>235</v>
      </c>
      <c r="AT148" s="129" t="s">
        <v>231</v>
      </c>
      <c r="AU148" s="129" t="s">
        <v>76</v>
      </c>
      <c r="AY148" s="13" t="s">
        <v>228</v>
      </c>
      <c r="BE148" s="130">
        <f t="shared" si="27"/>
        <v>0</v>
      </c>
      <c r="BF148" s="130">
        <f t="shared" si="28"/>
        <v>51.78</v>
      </c>
      <c r="BG148" s="130">
        <f t="shared" si="29"/>
        <v>0</v>
      </c>
      <c r="BH148" s="130">
        <f t="shared" si="30"/>
        <v>0</v>
      </c>
      <c r="BI148" s="130">
        <f t="shared" si="31"/>
        <v>0</v>
      </c>
      <c r="BJ148" s="13" t="s">
        <v>76</v>
      </c>
      <c r="BK148" s="130">
        <f t="shared" si="32"/>
        <v>51.78</v>
      </c>
      <c r="BL148" s="13" t="s">
        <v>235</v>
      </c>
      <c r="BM148" s="129" t="s">
        <v>312</v>
      </c>
    </row>
    <row r="149" spans="2:65" s="1" customFormat="1" ht="16.5" customHeight="1" x14ac:dyDescent="0.2">
      <c r="B149" s="118"/>
      <c r="C149" s="119" t="s">
        <v>313</v>
      </c>
      <c r="D149" s="119" t="s">
        <v>231</v>
      </c>
      <c r="E149" s="120" t="s">
        <v>2721</v>
      </c>
      <c r="F149" s="121" t="s">
        <v>2722</v>
      </c>
      <c r="G149" s="122" t="s">
        <v>1194</v>
      </c>
      <c r="H149" s="123">
        <v>1</v>
      </c>
      <c r="I149" s="124">
        <v>11.35</v>
      </c>
      <c r="J149" s="124">
        <f t="shared" si="22"/>
        <v>11.35</v>
      </c>
      <c r="K149" s="121" t="s">
        <v>1</v>
      </c>
      <c r="L149" s="24"/>
      <c r="M149" s="125" t="s">
        <v>1</v>
      </c>
      <c r="N149" s="126" t="s">
        <v>32</v>
      </c>
      <c r="O149" s="127">
        <v>0</v>
      </c>
      <c r="P149" s="127">
        <f t="shared" si="23"/>
        <v>0</v>
      </c>
      <c r="Q149" s="127">
        <v>0</v>
      </c>
      <c r="R149" s="127">
        <f t="shared" si="24"/>
        <v>0</v>
      </c>
      <c r="S149" s="127">
        <v>0</v>
      </c>
      <c r="T149" s="128">
        <f t="shared" si="25"/>
        <v>0</v>
      </c>
      <c r="W149" s="199"/>
      <c r="X149" s="119" t="s">
        <v>313</v>
      </c>
      <c r="Y149" s="119" t="s">
        <v>231</v>
      </c>
      <c r="Z149" s="120" t="s">
        <v>2721</v>
      </c>
      <c r="AA149" s="121" t="s">
        <v>2722</v>
      </c>
      <c r="AB149" s="122" t="s">
        <v>1194</v>
      </c>
      <c r="AC149" s="123">
        <v>1</v>
      </c>
      <c r="AD149" s="124">
        <v>11.35</v>
      </c>
      <c r="AE149" s="200">
        <f t="shared" si="26"/>
        <v>11.35</v>
      </c>
      <c r="AR149" s="129" t="s">
        <v>235</v>
      </c>
      <c r="AT149" s="129" t="s">
        <v>231</v>
      </c>
      <c r="AU149" s="129" t="s">
        <v>76</v>
      </c>
      <c r="AY149" s="13" t="s">
        <v>228</v>
      </c>
      <c r="BE149" s="130">
        <f t="shared" si="27"/>
        <v>0</v>
      </c>
      <c r="BF149" s="130">
        <f t="shared" si="28"/>
        <v>11.35</v>
      </c>
      <c r="BG149" s="130">
        <f t="shared" si="29"/>
        <v>0</v>
      </c>
      <c r="BH149" s="130">
        <f t="shared" si="30"/>
        <v>0</v>
      </c>
      <c r="BI149" s="130">
        <f t="shared" si="31"/>
        <v>0</v>
      </c>
      <c r="BJ149" s="13" t="s">
        <v>76</v>
      </c>
      <c r="BK149" s="130">
        <f t="shared" si="32"/>
        <v>11.35</v>
      </c>
      <c r="BL149" s="13" t="s">
        <v>235</v>
      </c>
      <c r="BM149" s="129" t="s">
        <v>316</v>
      </c>
    </row>
    <row r="150" spans="2:65" s="1" customFormat="1" ht="16.5" customHeight="1" x14ac:dyDescent="0.2">
      <c r="B150" s="118"/>
      <c r="C150" s="119" t="s">
        <v>272</v>
      </c>
      <c r="D150" s="119" t="s">
        <v>231</v>
      </c>
      <c r="E150" s="120" t="s">
        <v>2723</v>
      </c>
      <c r="F150" s="121" t="s">
        <v>2724</v>
      </c>
      <c r="G150" s="122" t="s">
        <v>1194</v>
      </c>
      <c r="H150" s="123">
        <v>1</v>
      </c>
      <c r="I150" s="124">
        <v>15.46</v>
      </c>
      <c r="J150" s="124">
        <f t="shared" si="22"/>
        <v>15.46</v>
      </c>
      <c r="K150" s="121" t="s">
        <v>1</v>
      </c>
      <c r="L150" s="24"/>
      <c r="M150" s="125" t="s">
        <v>1</v>
      </c>
      <c r="N150" s="126" t="s">
        <v>32</v>
      </c>
      <c r="O150" s="127">
        <v>0</v>
      </c>
      <c r="P150" s="127">
        <f t="shared" si="23"/>
        <v>0</v>
      </c>
      <c r="Q150" s="127">
        <v>0</v>
      </c>
      <c r="R150" s="127">
        <f t="shared" si="24"/>
        <v>0</v>
      </c>
      <c r="S150" s="127">
        <v>0</v>
      </c>
      <c r="T150" s="128">
        <f t="shared" si="25"/>
        <v>0</v>
      </c>
      <c r="W150" s="199"/>
      <c r="X150" s="119" t="s">
        <v>272</v>
      </c>
      <c r="Y150" s="119" t="s">
        <v>231</v>
      </c>
      <c r="Z150" s="120" t="s">
        <v>2723</v>
      </c>
      <c r="AA150" s="121" t="s">
        <v>2724</v>
      </c>
      <c r="AB150" s="122" t="s">
        <v>1194</v>
      </c>
      <c r="AC150" s="123">
        <v>1</v>
      </c>
      <c r="AD150" s="124">
        <v>15.46</v>
      </c>
      <c r="AE150" s="200">
        <f t="shared" si="26"/>
        <v>15.46</v>
      </c>
      <c r="AR150" s="129" t="s">
        <v>235</v>
      </c>
      <c r="AT150" s="129" t="s">
        <v>231</v>
      </c>
      <c r="AU150" s="129" t="s">
        <v>76</v>
      </c>
      <c r="AY150" s="13" t="s">
        <v>228</v>
      </c>
      <c r="BE150" s="130">
        <f t="shared" si="27"/>
        <v>0</v>
      </c>
      <c r="BF150" s="130">
        <f t="shared" si="28"/>
        <v>15.46</v>
      </c>
      <c r="BG150" s="130">
        <f t="shared" si="29"/>
        <v>0</v>
      </c>
      <c r="BH150" s="130">
        <f t="shared" si="30"/>
        <v>0</v>
      </c>
      <c r="BI150" s="130">
        <f t="shared" si="31"/>
        <v>0</v>
      </c>
      <c r="BJ150" s="13" t="s">
        <v>76</v>
      </c>
      <c r="BK150" s="130">
        <f t="shared" si="32"/>
        <v>15.46</v>
      </c>
      <c r="BL150" s="13" t="s">
        <v>235</v>
      </c>
      <c r="BM150" s="129" t="s">
        <v>319</v>
      </c>
    </row>
    <row r="151" spans="2:65" s="1" customFormat="1" ht="24" customHeight="1" x14ac:dyDescent="0.2">
      <c r="B151" s="118"/>
      <c r="C151" s="119" t="s">
        <v>320</v>
      </c>
      <c r="D151" s="119" t="s">
        <v>231</v>
      </c>
      <c r="E151" s="120" t="s">
        <v>2725</v>
      </c>
      <c r="F151" s="121" t="s">
        <v>2726</v>
      </c>
      <c r="G151" s="122" t="s">
        <v>1194</v>
      </c>
      <c r="H151" s="123">
        <v>1</v>
      </c>
      <c r="I151" s="124">
        <v>260.06</v>
      </c>
      <c r="J151" s="124">
        <f t="shared" si="22"/>
        <v>260.06</v>
      </c>
      <c r="K151" s="121" t="s">
        <v>1</v>
      </c>
      <c r="L151" s="24"/>
      <c r="M151" s="125" t="s">
        <v>1</v>
      </c>
      <c r="N151" s="126" t="s">
        <v>32</v>
      </c>
      <c r="O151" s="127">
        <v>0</v>
      </c>
      <c r="P151" s="127">
        <f t="shared" si="23"/>
        <v>0</v>
      </c>
      <c r="Q151" s="127">
        <v>0</v>
      </c>
      <c r="R151" s="127">
        <f t="shared" si="24"/>
        <v>0</v>
      </c>
      <c r="S151" s="127">
        <v>0</v>
      </c>
      <c r="T151" s="128">
        <f t="shared" si="25"/>
        <v>0</v>
      </c>
      <c r="W151" s="199"/>
      <c r="X151" s="119" t="s">
        <v>320</v>
      </c>
      <c r="Y151" s="119" t="s">
        <v>231</v>
      </c>
      <c r="Z151" s="120" t="s">
        <v>2725</v>
      </c>
      <c r="AA151" s="121" t="s">
        <v>2726</v>
      </c>
      <c r="AB151" s="122" t="s">
        <v>1194</v>
      </c>
      <c r="AC151" s="123">
        <v>1</v>
      </c>
      <c r="AD151" s="124">
        <v>260.06</v>
      </c>
      <c r="AE151" s="200">
        <f t="shared" si="26"/>
        <v>260.06</v>
      </c>
      <c r="AR151" s="129" t="s">
        <v>235</v>
      </c>
      <c r="AT151" s="129" t="s">
        <v>231</v>
      </c>
      <c r="AU151" s="129" t="s">
        <v>76</v>
      </c>
      <c r="AY151" s="13" t="s">
        <v>228</v>
      </c>
      <c r="BE151" s="130">
        <f t="shared" si="27"/>
        <v>0</v>
      </c>
      <c r="BF151" s="130">
        <f t="shared" si="28"/>
        <v>260.06</v>
      </c>
      <c r="BG151" s="130">
        <f t="shared" si="29"/>
        <v>0</v>
      </c>
      <c r="BH151" s="130">
        <f t="shared" si="30"/>
        <v>0</v>
      </c>
      <c r="BI151" s="130">
        <f t="shared" si="31"/>
        <v>0</v>
      </c>
      <c r="BJ151" s="13" t="s">
        <v>76</v>
      </c>
      <c r="BK151" s="130">
        <f t="shared" si="32"/>
        <v>260.06</v>
      </c>
      <c r="BL151" s="13" t="s">
        <v>235</v>
      </c>
      <c r="BM151" s="129" t="s">
        <v>323</v>
      </c>
    </row>
    <row r="152" spans="2:65" s="1" customFormat="1" ht="48" customHeight="1" x14ac:dyDescent="0.2">
      <c r="B152" s="118"/>
      <c r="C152" s="119" t="s">
        <v>276</v>
      </c>
      <c r="D152" s="119" t="s">
        <v>231</v>
      </c>
      <c r="E152" s="120" t="s">
        <v>2727</v>
      </c>
      <c r="F152" s="121" t="s">
        <v>2728</v>
      </c>
      <c r="G152" s="122" t="s">
        <v>1194</v>
      </c>
      <c r="H152" s="123">
        <v>1</v>
      </c>
      <c r="I152" s="124">
        <v>577.02</v>
      </c>
      <c r="J152" s="124">
        <f t="shared" si="22"/>
        <v>577.02</v>
      </c>
      <c r="K152" s="121" t="s">
        <v>1</v>
      </c>
      <c r="L152" s="24"/>
      <c r="M152" s="125" t="s">
        <v>1</v>
      </c>
      <c r="N152" s="126" t="s">
        <v>32</v>
      </c>
      <c r="O152" s="127">
        <v>0</v>
      </c>
      <c r="P152" s="127">
        <f t="shared" si="23"/>
        <v>0</v>
      </c>
      <c r="Q152" s="127">
        <v>0</v>
      </c>
      <c r="R152" s="127">
        <f t="shared" si="24"/>
        <v>0</v>
      </c>
      <c r="S152" s="127">
        <v>0</v>
      </c>
      <c r="T152" s="128">
        <f t="shared" si="25"/>
        <v>0</v>
      </c>
      <c r="W152" s="199"/>
      <c r="X152" s="119" t="s">
        <v>276</v>
      </c>
      <c r="Y152" s="119" t="s">
        <v>231</v>
      </c>
      <c r="Z152" s="120" t="s">
        <v>2727</v>
      </c>
      <c r="AA152" s="121" t="s">
        <v>2728</v>
      </c>
      <c r="AB152" s="122" t="s">
        <v>1194</v>
      </c>
      <c r="AC152" s="123">
        <v>1</v>
      </c>
      <c r="AD152" s="124">
        <v>577.02</v>
      </c>
      <c r="AE152" s="200">
        <f t="shared" si="26"/>
        <v>577.02</v>
      </c>
      <c r="AR152" s="129" t="s">
        <v>235</v>
      </c>
      <c r="AT152" s="129" t="s">
        <v>231</v>
      </c>
      <c r="AU152" s="129" t="s">
        <v>76</v>
      </c>
      <c r="AY152" s="13" t="s">
        <v>228</v>
      </c>
      <c r="BE152" s="130">
        <f t="shared" si="27"/>
        <v>0</v>
      </c>
      <c r="BF152" s="130">
        <f t="shared" si="28"/>
        <v>577.02</v>
      </c>
      <c r="BG152" s="130">
        <f t="shared" si="29"/>
        <v>0</v>
      </c>
      <c r="BH152" s="130">
        <f t="shared" si="30"/>
        <v>0</v>
      </c>
      <c r="BI152" s="130">
        <f t="shared" si="31"/>
        <v>0</v>
      </c>
      <c r="BJ152" s="13" t="s">
        <v>76</v>
      </c>
      <c r="BK152" s="130">
        <f t="shared" si="32"/>
        <v>577.02</v>
      </c>
      <c r="BL152" s="13" t="s">
        <v>235</v>
      </c>
      <c r="BM152" s="129" t="s">
        <v>326</v>
      </c>
    </row>
    <row r="153" spans="2:65" s="1" customFormat="1" ht="48" customHeight="1" x14ac:dyDescent="0.2">
      <c r="B153" s="118"/>
      <c r="C153" s="119" t="s">
        <v>327</v>
      </c>
      <c r="D153" s="119" t="s">
        <v>231</v>
      </c>
      <c r="E153" s="120" t="s">
        <v>2729</v>
      </c>
      <c r="F153" s="121" t="s">
        <v>2730</v>
      </c>
      <c r="G153" s="122" t="s">
        <v>1194</v>
      </c>
      <c r="H153" s="123">
        <v>1</v>
      </c>
      <c r="I153" s="124">
        <v>603.72</v>
      </c>
      <c r="J153" s="124">
        <f t="shared" si="22"/>
        <v>603.72</v>
      </c>
      <c r="K153" s="121" t="s">
        <v>1</v>
      </c>
      <c r="L153" s="24"/>
      <c r="M153" s="125" t="s">
        <v>1</v>
      </c>
      <c r="N153" s="126" t="s">
        <v>32</v>
      </c>
      <c r="O153" s="127">
        <v>0</v>
      </c>
      <c r="P153" s="127">
        <f t="shared" si="23"/>
        <v>0</v>
      </c>
      <c r="Q153" s="127">
        <v>0</v>
      </c>
      <c r="R153" s="127">
        <f t="shared" si="24"/>
        <v>0</v>
      </c>
      <c r="S153" s="127">
        <v>0</v>
      </c>
      <c r="T153" s="128">
        <f t="shared" si="25"/>
        <v>0</v>
      </c>
      <c r="W153" s="199"/>
      <c r="X153" s="119" t="s">
        <v>327</v>
      </c>
      <c r="Y153" s="119" t="s">
        <v>231</v>
      </c>
      <c r="Z153" s="120" t="s">
        <v>2729</v>
      </c>
      <c r="AA153" s="121" t="s">
        <v>2730</v>
      </c>
      <c r="AB153" s="122" t="s">
        <v>1194</v>
      </c>
      <c r="AC153" s="123">
        <v>1</v>
      </c>
      <c r="AD153" s="124">
        <v>603.72</v>
      </c>
      <c r="AE153" s="200">
        <f t="shared" si="26"/>
        <v>603.72</v>
      </c>
      <c r="AR153" s="129" t="s">
        <v>235</v>
      </c>
      <c r="AT153" s="129" t="s">
        <v>231</v>
      </c>
      <c r="AU153" s="129" t="s">
        <v>76</v>
      </c>
      <c r="AY153" s="13" t="s">
        <v>228</v>
      </c>
      <c r="BE153" s="130">
        <f t="shared" si="27"/>
        <v>0</v>
      </c>
      <c r="BF153" s="130">
        <f t="shared" si="28"/>
        <v>603.72</v>
      </c>
      <c r="BG153" s="130">
        <f t="shared" si="29"/>
        <v>0</v>
      </c>
      <c r="BH153" s="130">
        <f t="shared" si="30"/>
        <v>0</v>
      </c>
      <c r="BI153" s="130">
        <f t="shared" si="31"/>
        <v>0</v>
      </c>
      <c r="BJ153" s="13" t="s">
        <v>76</v>
      </c>
      <c r="BK153" s="130">
        <f t="shared" si="32"/>
        <v>603.72</v>
      </c>
      <c r="BL153" s="13" t="s">
        <v>235</v>
      </c>
      <c r="BM153" s="129" t="s">
        <v>330</v>
      </c>
    </row>
    <row r="154" spans="2:65" s="1" customFormat="1" ht="24" customHeight="1" x14ac:dyDescent="0.2">
      <c r="B154" s="118"/>
      <c r="C154" s="119" t="s">
        <v>280</v>
      </c>
      <c r="D154" s="119" t="s">
        <v>231</v>
      </c>
      <c r="E154" s="120" t="s">
        <v>2680</v>
      </c>
      <c r="F154" s="121" t="s">
        <v>2681</v>
      </c>
      <c r="G154" s="122" t="s">
        <v>1194</v>
      </c>
      <c r="H154" s="123">
        <v>5</v>
      </c>
      <c r="I154" s="124">
        <v>9.06</v>
      </c>
      <c r="J154" s="124">
        <f t="shared" si="22"/>
        <v>45.3</v>
      </c>
      <c r="K154" s="121" t="s">
        <v>1</v>
      </c>
      <c r="L154" s="24"/>
      <c r="M154" s="125" t="s">
        <v>1</v>
      </c>
      <c r="N154" s="126" t="s">
        <v>32</v>
      </c>
      <c r="O154" s="127">
        <v>0</v>
      </c>
      <c r="P154" s="127">
        <f t="shared" si="23"/>
        <v>0</v>
      </c>
      <c r="Q154" s="127">
        <v>0</v>
      </c>
      <c r="R154" s="127">
        <f t="shared" si="24"/>
        <v>0</v>
      </c>
      <c r="S154" s="127">
        <v>0</v>
      </c>
      <c r="T154" s="128">
        <f t="shared" si="25"/>
        <v>0</v>
      </c>
      <c r="W154" s="199"/>
      <c r="X154" s="119" t="s">
        <v>280</v>
      </c>
      <c r="Y154" s="119" t="s">
        <v>231</v>
      </c>
      <c r="Z154" s="120" t="s">
        <v>2680</v>
      </c>
      <c r="AA154" s="121" t="s">
        <v>2681</v>
      </c>
      <c r="AB154" s="122" t="s">
        <v>1194</v>
      </c>
      <c r="AC154" s="123">
        <v>5</v>
      </c>
      <c r="AD154" s="124">
        <v>9.06</v>
      </c>
      <c r="AE154" s="200">
        <f t="shared" si="26"/>
        <v>45.3</v>
      </c>
      <c r="AR154" s="129" t="s">
        <v>235</v>
      </c>
      <c r="AT154" s="129" t="s">
        <v>231</v>
      </c>
      <c r="AU154" s="129" t="s">
        <v>76</v>
      </c>
      <c r="AY154" s="13" t="s">
        <v>228</v>
      </c>
      <c r="BE154" s="130">
        <f t="shared" si="27"/>
        <v>0</v>
      </c>
      <c r="BF154" s="130">
        <f t="shared" si="28"/>
        <v>45.3</v>
      </c>
      <c r="BG154" s="130">
        <f t="shared" si="29"/>
        <v>0</v>
      </c>
      <c r="BH154" s="130">
        <f t="shared" si="30"/>
        <v>0</v>
      </c>
      <c r="BI154" s="130">
        <f t="shared" si="31"/>
        <v>0</v>
      </c>
      <c r="BJ154" s="13" t="s">
        <v>76</v>
      </c>
      <c r="BK154" s="130">
        <f t="shared" si="32"/>
        <v>45.3</v>
      </c>
      <c r="BL154" s="13" t="s">
        <v>235</v>
      </c>
      <c r="BM154" s="129" t="s">
        <v>333</v>
      </c>
    </row>
    <row r="155" spans="2:65" s="1" customFormat="1" ht="24" customHeight="1" x14ac:dyDescent="0.2">
      <c r="B155" s="118"/>
      <c r="C155" s="119" t="s">
        <v>334</v>
      </c>
      <c r="D155" s="119" t="s">
        <v>231</v>
      </c>
      <c r="E155" s="120" t="s">
        <v>2731</v>
      </c>
      <c r="F155" s="121" t="s">
        <v>2732</v>
      </c>
      <c r="G155" s="122" t="s">
        <v>1194</v>
      </c>
      <c r="H155" s="123">
        <v>5</v>
      </c>
      <c r="I155" s="124">
        <v>56.02</v>
      </c>
      <c r="J155" s="124">
        <f t="shared" si="22"/>
        <v>280.10000000000002</v>
      </c>
      <c r="K155" s="121" t="s">
        <v>1</v>
      </c>
      <c r="L155" s="24"/>
      <c r="M155" s="125" t="s">
        <v>1</v>
      </c>
      <c r="N155" s="126" t="s">
        <v>32</v>
      </c>
      <c r="O155" s="127">
        <v>0</v>
      </c>
      <c r="P155" s="127">
        <f t="shared" si="23"/>
        <v>0</v>
      </c>
      <c r="Q155" s="127">
        <v>0</v>
      </c>
      <c r="R155" s="127">
        <f t="shared" si="24"/>
        <v>0</v>
      </c>
      <c r="S155" s="127">
        <v>0</v>
      </c>
      <c r="T155" s="128">
        <f t="shared" si="25"/>
        <v>0</v>
      </c>
      <c r="W155" s="199"/>
      <c r="X155" s="119" t="s">
        <v>334</v>
      </c>
      <c r="Y155" s="119" t="s">
        <v>231</v>
      </c>
      <c r="Z155" s="120" t="s">
        <v>2731</v>
      </c>
      <c r="AA155" s="121" t="s">
        <v>2732</v>
      </c>
      <c r="AB155" s="122" t="s">
        <v>1194</v>
      </c>
      <c r="AC155" s="123">
        <v>5</v>
      </c>
      <c r="AD155" s="124">
        <v>56.02</v>
      </c>
      <c r="AE155" s="200">
        <f t="shared" si="26"/>
        <v>280.10000000000002</v>
      </c>
      <c r="AR155" s="129" t="s">
        <v>235</v>
      </c>
      <c r="AT155" s="129" t="s">
        <v>231</v>
      </c>
      <c r="AU155" s="129" t="s">
        <v>76</v>
      </c>
      <c r="AY155" s="13" t="s">
        <v>228</v>
      </c>
      <c r="BE155" s="130">
        <f t="shared" si="27"/>
        <v>0</v>
      </c>
      <c r="BF155" s="130">
        <f t="shared" si="28"/>
        <v>280.10000000000002</v>
      </c>
      <c r="BG155" s="130">
        <f t="shared" si="29"/>
        <v>0</v>
      </c>
      <c r="BH155" s="130">
        <f t="shared" si="30"/>
        <v>0</v>
      </c>
      <c r="BI155" s="130">
        <f t="shared" si="31"/>
        <v>0</v>
      </c>
      <c r="BJ155" s="13" t="s">
        <v>76</v>
      </c>
      <c r="BK155" s="130">
        <f t="shared" si="32"/>
        <v>280.10000000000002</v>
      </c>
      <c r="BL155" s="13" t="s">
        <v>235</v>
      </c>
      <c r="BM155" s="129" t="s">
        <v>337</v>
      </c>
    </row>
    <row r="156" spans="2:65" s="1" customFormat="1" ht="60" customHeight="1" x14ac:dyDescent="0.2">
      <c r="B156" s="118"/>
      <c r="C156" s="119" t="s">
        <v>285</v>
      </c>
      <c r="D156" s="119" t="s">
        <v>231</v>
      </c>
      <c r="E156" s="120" t="s">
        <v>2684</v>
      </c>
      <c r="F156" s="121" t="s">
        <v>2685</v>
      </c>
      <c r="G156" s="122" t="s">
        <v>1194</v>
      </c>
      <c r="H156" s="123">
        <v>2</v>
      </c>
      <c r="I156" s="124">
        <v>157.9</v>
      </c>
      <c r="J156" s="124">
        <f t="shared" si="22"/>
        <v>315.8</v>
      </c>
      <c r="K156" s="121" t="s">
        <v>1</v>
      </c>
      <c r="L156" s="24"/>
      <c r="M156" s="125" t="s">
        <v>1</v>
      </c>
      <c r="N156" s="126" t="s">
        <v>32</v>
      </c>
      <c r="O156" s="127">
        <v>0</v>
      </c>
      <c r="P156" s="127">
        <f t="shared" si="23"/>
        <v>0</v>
      </c>
      <c r="Q156" s="127">
        <v>0</v>
      </c>
      <c r="R156" s="127">
        <f t="shared" si="24"/>
        <v>0</v>
      </c>
      <c r="S156" s="127">
        <v>0</v>
      </c>
      <c r="T156" s="128">
        <f t="shared" si="25"/>
        <v>0</v>
      </c>
      <c r="W156" s="199"/>
      <c r="X156" s="119" t="s">
        <v>285</v>
      </c>
      <c r="Y156" s="119" t="s">
        <v>231</v>
      </c>
      <c r="Z156" s="120" t="s">
        <v>2684</v>
      </c>
      <c r="AA156" s="121" t="s">
        <v>2685</v>
      </c>
      <c r="AB156" s="122" t="s">
        <v>1194</v>
      </c>
      <c r="AC156" s="123">
        <v>2</v>
      </c>
      <c r="AD156" s="124">
        <v>157.9</v>
      </c>
      <c r="AE156" s="200">
        <f t="shared" si="26"/>
        <v>315.8</v>
      </c>
      <c r="AR156" s="129" t="s">
        <v>235</v>
      </c>
      <c r="AT156" s="129" t="s">
        <v>231</v>
      </c>
      <c r="AU156" s="129" t="s">
        <v>76</v>
      </c>
      <c r="AY156" s="13" t="s">
        <v>228</v>
      </c>
      <c r="BE156" s="130">
        <f t="shared" si="27"/>
        <v>0</v>
      </c>
      <c r="BF156" s="130">
        <f t="shared" si="28"/>
        <v>315.8</v>
      </c>
      <c r="BG156" s="130">
        <f t="shared" si="29"/>
        <v>0</v>
      </c>
      <c r="BH156" s="130">
        <f t="shared" si="30"/>
        <v>0</v>
      </c>
      <c r="BI156" s="130">
        <f t="shared" si="31"/>
        <v>0</v>
      </c>
      <c r="BJ156" s="13" t="s">
        <v>76</v>
      </c>
      <c r="BK156" s="130">
        <f t="shared" si="32"/>
        <v>315.8</v>
      </c>
      <c r="BL156" s="13" t="s">
        <v>235</v>
      </c>
      <c r="BM156" s="129" t="s">
        <v>340</v>
      </c>
    </row>
    <row r="157" spans="2:65" s="1" customFormat="1" ht="48" customHeight="1" x14ac:dyDescent="0.2">
      <c r="B157" s="118"/>
      <c r="C157" s="119" t="s">
        <v>341</v>
      </c>
      <c r="D157" s="119" t="s">
        <v>231</v>
      </c>
      <c r="E157" s="120" t="s">
        <v>2733</v>
      </c>
      <c r="F157" s="121" t="s">
        <v>2734</v>
      </c>
      <c r="G157" s="122" t="s">
        <v>1194</v>
      </c>
      <c r="H157" s="123">
        <v>1</v>
      </c>
      <c r="I157" s="124">
        <v>228.72</v>
      </c>
      <c r="J157" s="124">
        <f t="shared" si="22"/>
        <v>228.72</v>
      </c>
      <c r="K157" s="121" t="s">
        <v>1</v>
      </c>
      <c r="L157" s="24"/>
      <c r="M157" s="125" t="s">
        <v>1</v>
      </c>
      <c r="N157" s="126" t="s">
        <v>32</v>
      </c>
      <c r="O157" s="127">
        <v>0</v>
      </c>
      <c r="P157" s="127">
        <f t="shared" si="23"/>
        <v>0</v>
      </c>
      <c r="Q157" s="127">
        <v>0</v>
      </c>
      <c r="R157" s="127">
        <f t="shared" si="24"/>
        <v>0</v>
      </c>
      <c r="S157" s="127">
        <v>0</v>
      </c>
      <c r="T157" s="128">
        <f t="shared" si="25"/>
        <v>0</v>
      </c>
      <c r="W157" s="199"/>
      <c r="X157" s="119" t="s">
        <v>341</v>
      </c>
      <c r="Y157" s="119" t="s">
        <v>231</v>
      </c>
      <c r="Z157" s="120" t="s">
        <v>2733</v>
      </c>
      <c r="AA157" s="121" t="s">
        <v>2734</v>
      </c>
      <c r="AB157" s="122" t="s">
        <v>1194</v>
      </c>
      <c r="AC157" s="123">
        <v>1</v>
      </c>
      <c r="AD157" s="124">
        <v>228.72</v>
      </c>
      <c r="AE157" s="200">
        <f t="shared" si="26"/>
        <v>228.72</v>
      </c>
      <c r="AR157" s="129" t="s">
        <v>235</v>
      </c>
      <c r="AT157" s="129" t="s">
        <v>231</v>
      </c>
      <c r="AU157" s="129" t="s">
        <v>76</v>
      </c>
      <c r="AY157" s="13" t="s">
        <v>228</v>
      </c>
      <c r="BE157" s="130">
        <f t="shared" si="27"/>
        <v>0</v>
      </c>
      <c r="BF157" s="130">
        <f t="shared" si="28"/>
        <v>228.72</v>
      </c>
      <c r="BG157" s="130">
        <f t="shared" si="29"/>
        <v>0</v>
      </c>
      <c r="BH157" s="130">
        <f t="shared" si="30"/>
        <v>0</v>
      </c>
      <c r="BI157" s="130">
        <f t="shared" si="31"/>
        <v>0</v>
      </c>
      <c r="BJ157" s="13" t="s">
        <v>76</v>
      </c>
      <c r="BK157" s="130">
        <f t="shared" si="32"/>
        <v>228.72</v>
      </c>
      <c r="BL157" s="13" t="s">
        <v>235</v>
      </c>
      <c r="BM157" s="129" t="s">
        <v>344</v>
      </c>
    </row>
    <row r="158" spans="2:65" s="1" customFormat="1" ht="16.5" customHeight="1" x14ac:dyDescent="0.2">
      <c r="B158" s="118"/>
      <c r="C158" s="119" t="s">
        <v>288</v>
      </c>
      <c r="D158" s="119" t="s">
        <v>231</v>
      </c>
      <c r="E158" s="120" t="s">
        <v>2735</v>
      </c>
      <c r="F158" s="121" t="s">
        <v>2736</v>
      </c>
      <c r="G158" s="122" t="s">
        <v>1194</v>
      </c>
      <c r="H158" s="123">
        <v>4</v>
      </c>
      <c r="I158" s="124">
        <v>9.83</v>
      </c>
      <c r="J158" s="124">
        <f t="shared" si="22"/>
        <v>39.32</v>
      </c>
      <c r="K158" s="121" t="s">
        <v>1</v>
      </c>
      <c r="L158" s="24"/>
      <c r="M158" s="125" t="s">
        <v>1</v>
      </c>
      <c r="N158" s="126" t="s">
        <v>32</v>
      </c>
      <c r="O158" s="127">
        <v>0</v>
      </c>
      <c r="P158" s="127">
        <f t="shared" si="23"/>
        <v>0</v>
      </c>
      <c r="Q158" s="127">
        <v>0</v>
      </c>
      <c r="R158" s="127">
        <f t="shared" si="24"/>
        <v>0</v>
      </c>
      <c r="S158" s="127">
        <v>0</v>
      </c>
      <c r="T158" s="128">
        <f t="shared" si="25"/>
        <v>0</v>
      </c>
      <c r="W158" s="199"/>
      <c r="X158" s="119" t="s">
        <v>288</v>
      </c>
      <c r="Y158" s="119" t="s">
        <v>231</v>
      </c>
      <c r="Z158" s="120" t="s">
        <v>2735</v>
      </c>
      <c r="AA158" s="121" t="s">
        <v>2736</v>
      </c>
      <c r="AB158" s="122" t="s">
        <v>1194</v>
      </c>
      <c r="AC158" s="123">
        <v>4</v>
      </c>
      <c r="AD158" s="124">
        <v>9.83</v>
      </c>
      <c r="AE158" s="200">
        <f t="shared" si="26"/>
        <v>39.32</v>
      </c>
      <c r="AR158" s="129" t="s">
        <v>235</v>
      </c>
      <c r="AT158" s="129" t="s">
        <v>231</v>
      </c>
      <c r="AU158" s="129" t="s">
        <v>76</v>
      </c>
      <c r="AY158" s="13" t="s">
        <v>228</v>
      </c>
      <c r="BE158" s="130">
        <f t="shared" si="27"/>
        <v>0</v>
      </c>
      <c r="BF158" s="130">
        <f t="shared" si="28"/>
        <v>39.32</v>
      </c>
      <c r="BG158" s="130">
        <f t="shared" si="29"/>
        <v>0</v>
      </c>
      <c r="BH158" s="130">
        <f t="shared" si="30"/>
        <v>0</v>
      </c>
      <c r="BI158" s="130">
        <f t="shared" si="31"/>
        <v>0</v>
      </c>
      <c r="BJ158" s="13" t="s">
        <v>76</v>
      </c>
      <c r="BK158" s="130">
        <f t="shared" si="32"/>
        <v>39.32</v>
      </c>
      <c r="BL158" s="13" t="s">
        <v>235</v>
      </c>
      <c r="BM158" s="129" t="s">
        <v>347</v>
      </c>
    </row>
    <row r="159" spans="2:65" s="1" customFormat="1" ht="16.5" customHeight="1" x14ac:dyDescent="0.2">
      <c r="B159" s="118"/>
      <c r="C159" s="119" t="s">
        <v>348</v>
      </c>
      <c r="D159" s="119" t="s">
        <v>231</v>
      </c>
      <c r="E159" s="120" t="s">
        <v>2737</v>
      </c>
      <c r="F159" s="121" t="s">
        <v>2738</v>
      </c>
      <c r="G159" s="122" t="s">
        <v>1194</v>
      </c>
      <c r="H159" s="123">
        <v>4</v>
      </c>
      <c r="I159" s="124">
        <v>10.68</v>
      </c>
      <c r="J159" s="124">
        <f t="shared" si="22"/>
        <v>42.72</v>
      </c>
      <c r="K159" s="121" t="s">
        <v>1</v>
      </c>
      <c r="L159" s="24"/>
      <c r="M159" s="125" t="s">
        <v>1</v>
      </c>
      <c r="N159" s="126" t="s">
        <v>32</v>
      </c>
      <c r="O159" s="127">
        <v>0</v>
      </c>
      <c r="P159" s="127">
        <f t="shared" si="23"/>
        <v>0</v>
      </c>
      <c r="Q159" s="127">
        <v>0</v>
      </c>
      <c r="R159" s="127">
        <f t="shared" si="24"/>
        <v>0</v>
      </c>
      <c r="S159" s="127">
        <v>0</v>
      </c>
      <c r="T159" s="128">
        <f t="shared" si="25"/>
        <v>0</v>
      </c>
      <c r="W159" s="199"/>
      <c r="X159" s="119" t="s">
        <v>348</v>
      </c>
      <c r="Y159" s="119" t="s">
        <v>231</v>
      </c>
      <c r="Z159" s="120" t="s">
        <v>2737</v>
      </c>
      <c r="AA159" s="121" t="s">
        <v>2738</v>
      </c>
      <c r="AB159" s="122" t="s">
        <v>1194</v>
      </c>
      <c r="AC159" s="123">
        <v>4</v>
      </c>
      <c r="AD159" s="124">
        <v>10.68</v>
      </c>
      <c r="AE159" s="200">
        <f t="shared" si="26"/>
        <v>42.72</v>
      </c>
      <c r="AR159" s="129" t="s">
        <v>235</v>
      </c>
      <c r="AT159" s="129" t="s">
        <v>231</v>
      </c>
      <c r="AU159" s="129" t="s">
        <v>76</v>
      </c>
      <c r="AY159" s="13" t="s">
        <v>228</v>
      </c>
      <c r="BE159" s="130">
        <f t="shared" si="27"/>
        <v>0</v>
      </c>
      <c r="BF159" s="130">
        <f t="shared" si="28"/>
        <v>42.72</v>
      </c>
      <c r="BG159" s="130">
        <f t="shared" si="29"/>
        <v>0</v>
      </c>
      <c r="BH159" s="130">
        <f t="shared" si="30"/>
        <v>0</v>
      </c>
      <c r="BI159" s="130">
        <f t="shared" si="31"/>
        <v>0</v>
      </c>
      <c r="BJ159" s="13" t="s">
        <v>76</v>
      </c>
      <c r="BK159" s="130">
        <f t="shared" si="32"/>
        <v>42.72</v>
      </c>
      <c r="BL159" s="13" t="s">
        <v>235</v>
      </c>
      <c r="BM159" s="129" t="s">
        <v>351</v>
      </c>
    </row>
    <row r="160" spans="2:65" s="1" customFormat="1" ht="16.5" customHeight="1" x14ac:dyDescent="0.2">
      <c r="B160" s="118"/>
      <c r="C160" s="119" t="s">
        <v>293</v>
      </c>
      <c r="D160" s="119" t="s">
        <v>231</v>
      </c>
      <c r="E160" s="120" t="s">
        <v>2739</v>
      </c>
      <c r="F160" s="121" t="s">
        <v>2740</v>
      </c>
      <c r="G160" s="122" t="s">
        <v>1194</v>
      </c>
      <c r="H160" s="123">
        <v>1</v>
      </c>
      <c r="I160" s="124">
        <v>82.66</v>
      </c>
      <c r="J160" s="124">
        <f t="shared" si="22"/>
        <v>82.66</v>
      </c>
      <c r="K160" s="121" t="s">
        <v>1</v>
      </c>
      <c r="L160" s="24"/>
      <c r="M160" s="125" t="s">
        <v>1</v>
      </c>
      <c r="N160" s="126" t="s">
        <v>32</v>
      </c>
      <c r="O160" s="127">
        <v>0</v>
      </c>
      <c r="P160" s="127">
        <f t="shared" si="23"/>
        <v>0</v>
      </c>
      <c r="Q160" s="127">
        <v>0</v>
      </c>
      <c r="R160" s="127">
        <f t="shared" si="24"/>
        <v>0</v>
      </c>
      <c r="S160" s="127">
        <v>0</v>
      </c>
      <c r="T160" s="128">
        <f t="shared" si="25"/>
        <v>0</v>
      </c>
      <c r="W160" s="199"/>
      <c r="X160" s="119" t="s">
        <v>293</v>
      </c>
      <c r="Y160" s="119" t="s">
        <v>231</v>
      </c>
      <c r="Z160" s="120" t="s">
        <v>2739</v>
      </c>
      <c r="AA160" s="121" t="s">
        <v>2740</v>
      </c>
      <c r="AB160" s="122" t="s">
        <v>1194</v>
      </c>
      <c r="AC160" s="123">
        <v>1</v>
      </c>
      <c r="AD160" s="124">
        <v>82.66</v>
      </c>
      <c r="AE160" s="200">
        <f t="shared" si="26"/>
        <v>82.66</v>
      </c>
      <c r="AR160" s="129" t="s">
        <v>235</v>
      </c>
      <c r="AT160" s="129" t="s">
        <v>231</v>
      </c>
      <c r="AU160" s="129" t="s">
        <v>76</v>
      </c>
      <c r="AY160" s="13" t="s">
        <v>228</v>
      </c>
      <c r="BE160" s="130">
        <f t="shared" si="27"/>
        <v>0</v>
      </c>
      <c r="BF160" s="130">
        <f t="shared" si="28"/>
        <v>82.66</v>
      </c>
      <c r="BG160" s="130">
        <f t="shared" si="29"/>
        <v>0</v>
      </c>
      <c r="BH160" s="130">
        <f t="shared" si="30"/>
        <v>0</v>
      </c>
      <c r="BI160" s="130">
        <f t="shared" si="31"/>
        <v>0</v>
      </c>
      <c r="BJ160" s="13" t="s">
        <v>76</v>
      </c>
      <c r="BK160" s="130">
        <f t="shared" si="32"/>
        <v>82.66</v>
      </c>
      <c r="BL160" s="13" t="s">
        <v>235</v>
      </c>
      <c r="BM160" s="129" t="s">
        <v>354</v>
      </c>
    </row>
    <row r="161" spans="2:65" s="1" customFormat="1" ht="48" customHeight="1" x14ac:dyDescent="0.2">
      <c r="B161" s="118"/>
      <c r="C161" s="119" t="s">
        <v>355</v>
      </c>
      <c r="D161" s="119" t="s">
        <v>231</v>
      </c>
      <c r="E161" s="120" t="s">
        <v>2741</v>
      </c>
      <c r="F161" s="121" t="s">
        <v>2742</v>
      </c>
      <c r="G161" s="122" t="s">
        <v>1194</v>
      </c>
      <c r="H161" s="123">
        <v>1</v>
      </c>
      <c r="I161" s="124">
        <v>590.95000000000005</v>
      </c>
      <c r="J161" s="124">
        <f t="shared" si="22"/>
        <v>590.95000000000005</v>
      </c>
      <c r="K161" s="121" t="s">
        <v>1</v>
      </c>
      <c r="L161" s="24"/>
      <c r="M161" s="140" t="s">
        <v>1</v>
      </c>
      <c r="N161" s="141" t="s">
        <v>32</v>
      </c>
      <c r="O161" s="142">
        <v>0</v>
      </c>
      <c r="P161" s="142">
        <f t="shared" si="23"/>
        <v>0</v>
      </c>
      <c r="Q161" s="142">
        <v>0</v>
      </c>
      <c r="R161" s="142">
        <f t="shared" si="24"/>
        <v>0</v>
      </c>
      <c r="S161" s="142">
        <v>0</v>
      </c>
      <c r="T161" s="143">
        <f t="shared" si="25"/>
        <v>0</v>
      </c>
      <c r="W161" s="199"/>
      <c r="X161" s="119" t="s">
        <v>355</v>
      </c>
      <c r="Y161" s="119" t="s">
        <v>231</v>
      </c>
      <c r="Z161" s="120" t="s">
        <v>2741</v>
      </c>
      <c r="AA161" s="121" t="s">
        <v>2742</v>
      </c>
      <c r="AB161" s="122" t="s">
        <v>1194</v>
      </c>
      <c r="AC161" s="123">
        <v>1</v>
      </c>
      <c r="AD161" s="124">
        <v>590.95000000000005</v>
      </c>
      <c r="AE161" s="200">
        <f t="shared" si="26"/>
        <v>590.95000000000005</v>
      </c>
      <c r="AR161" s="129" t="s">
        <v>235</v>
      </c>
      <c r="AT161" s="129" t="s">
        <v>231</v>
      </c>
      <c r="AU161" s="129" t="s">
        <v>76</v>
      </c>
      <c r="AY161" s="13" t="s">
        <v>228</v>
      </c>
      <c r="BE161" s="130">
        <f t="shared" si="27"/>
        <v>0</v>
      </c>
      <c r="BF161" s="130">
        <f t="shared" si="28"/>
        <v>590.95000000000005</v>
      </c>
      <c r="BG161" s="130">
        <f t="shared" si="29"/>
        <v>0</v>
      </c>
      <c r="BH161" s="130">
        <f t="shared" si="30"/>
        <v>0</v>
      </c>
      <c r="BI161" s="130">
        <f t="shared" si="31"/>
        <v>0</v>
      </c>
      <c r="BJ161" s="13" t="s">
        <v>76</v>
      </c>
      <c r="BK161" s="130">
        <f t="shared" si="32"/>
        <v>590.95000000000005</v>
      </c>
      <c r="BL161" s="13" t="s">
        <v>235</v>
      </c>
      <c r="BM161" s="129" t="s">
        <v>358</v>
      </c>
    </row>
    <row r="162" spans="2:65" s="1" customFormat="1" ht="7.05" customHeight="1" x14ac:dyDescent="0.2">
      <c r="B162" s="33"/>
      <c r="C162" s="34"/>
      <c r="D162" s="34"/>
      <c r="E162" s="34"/>
      <c r="F162" s="34"/>
      <c r="G162" s="34"/>
      <c r="H162" s="34"/>
      <c r="I162" s="34"/>
      <c r="J162" s="34"/>
      <c r="K162" s="34"/>
      <c r="L162" s="24"/>
      <c r="W162" s="175"/>
      <c r="X162" s="176"/>
      <c r="Y162" s="176"/>
      <c r="Z162" s="176"/>
      <c r="AA162" s="176"/>
      <c r="AB162" s="176"/>
      <c r="AC162" s="176"/>
      <c r="AD162" s="176"/>
      <c r="AE162" s="177"/>
    </row>
  </sheetData>
  <autoFilter ref="C119:K161" xr:uid="{00000000-0009-0000-0000-00000C000000}"/>
  <mergeCells count="27">
    <mergeCell ref="Z110:AC110"/>
    <mergeCell ref="Z112:AC112"/>
    <mergeCell ref="Z9:AC9"/>
    <mergeCell ref="Z18:AC18"/>
    <mergeCell ref="Z27:AC27"/>
    <mergeCell ref="Z85:AC85"/>
    <mergeCell ref="Z109:AE109"/>
    <mergeCell ref="E87:H87"/>
    <mergeCell ref="E110:H110"/>
    <mergeCell ref="E112:H112"/>
    <mergeCell ref="L2:V2"/>
    <mergeCell ref="E9:H9"/>
    <mergeCell ref="E18:H18"/>
    <mergeCell ref="E27:H27"/>
    <mergeCell ref="E85:H85"/>
    <mergeCell ref="C4:J5"/>
    <mergeCell ref="F6:J7"/>
    <mergeCell ref="C82:J82"/>
    <mergeCell ref="E84:J84"/>
    <mergeCell ref="C107:J107"/>
    <mergeCell ref="E109:J109"/>
    <mergeCell ref="Y4:AE4"/>
    <mergeCell ref="AA6:AE7"/>
    <mergeCell ref="X82:AE82"/>
    <mergeCell ref="Z84:AE84"/>
    <mergeCell ref="X107:AE107"/>
    <mergeCell ref="Z87:AC87"/>
  </mergeCells>
  <pageMargins left="0.39374999999999999" right="0.39374999999999999" top="0.39374999999999999" bottom="0.39374999999999999" header="0" footer="0"/>
  <pageSetup paperSize="9" scale="89" fitToHeight="100" orientation="portrait" blackAndWhite="1" r:id="rId1"/>
  <headerFooter>
    <oddFooter>&amp;CStrana &amp;P z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BM220"/>
  <sheetViews>
    <sheetView showGridLines="0" topLeftCell="A118" workbookViewId="0">
      <selection activeCell="J129" activeCellId="5" sqref="J215 J177 J173 J143 J137 J129"/>
    </sheetView>
  </sheetViews>
  <sheetFormatPr defaultColWidth="8.7109375" defaultRowHeight="10.199999999999999" x14ac:dyDescent="0.2"/>
  <cols>
    <col min="1" max="1" width="8.28515625" customWidth="1"/>
    <col min="2" max="2" width="1.7109375" customWidth="1"/>
    <col min="3" max="4" width="4.28515625" customWidth="1"/>
    <col min="5" max="5" width="17.28515625" customWidth="1"/>
    <col min="6" max="6" width="50.7109375" customWidth="1"/>
    <col min="7" max="7" width="7" customWidth="1"/>
    <col min="8" max="8" width="11.42578125" customWidth="1"/>
    <col min="9" max="10" width="20.28515625" customWidth="1"/>
    <col min="11" max="11" width="20.28515625" hidden="1" customWidth="1"/>
    <col min="12" max="12" width="9.28515625" customWidth="1"/>
    <col min="13" max="13" width="10.7109375" hidden="1" customWidth="1"/>
    <col min="14" max="14" width="9.28515625" hidden="1"/>
    <col min="15" max="20" width="14.28515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1" spans="1:46" x14ac:dyDescent="0.2">
      <c r="A1" s="73"/>
    </row>
    <row r="2" spans="1:46" ht="37.049999999999997" customHeight="1" x14ac:dyDescent="0.2">
      <c r="L2" s="1227" t="s">
        <v>5</v>
      </c>
      <c r="M2" s="1225"/>
      <c r="N2" s="1225"/>
      <c r="O2" s="1225"/>
      <c r="P2" s="1225"/>
      <c r="Q2" s="1225"/>
      <c r="R2" s="1225"/>
      <c r="S2" s="1225"/>
      <c r="T2" s="1225"/>
      <c r="U2" s="1225"/>
      <c r="V2" s="1225"/>
      <c r="AT2" s="13" t="s">
        <v>99</v>
      </c>
    </row>
    <row r="3" spans="1:46" ht="7.05" customHeight="1" x14ac:dyDescent="0.2">
      <c r="B3" s="14"/>
      <c r="C3" s="15"/>
      <c r="D3" s="15"/>
      <c r="E3" s="15"/>
      <c r="F3" s="15"/>
      <c r="G3" s="15"/>
      <c r="H3" s="15"/>
      <c r="I3" s="15"/>
      <c r="J3" s="15"/>
      <c r="K3" s="15"/>
      <c r="L3" s="16"/>
      <c r="AT3" s="13" t="s">
        <v>58</v>
      </c>
    </row>
    <row r="4" spans="1:46" ht="25.05" customHeight="1" x14ac:dyDescent="0.2">
      <c r="B4" s="16"/>
      <c r="D4" s="1165" t="s">
        <v>185</v>
      </c>
      <c r="E4" s="1165"/>
      <c r="F4" s="1165"/>
      <c r="G4" s="1165"/>
      <c r="H4" s="1165"/>
      <c r="I4" s="1165"/>
      <c r="J4" s="1165"/>
      <c r="L4" s="16"/>
      <c r="M4" s="74" t="s">
        <v>9</v>
      </c>
      <c r="AT4" s="13" t="s">
        <v>3</v>
      </c>
    </row>
    <row r="5" spans="1:46" ht="7.05" customHeight="1" x14ac:dyDescent="0.2">
      <c r="B5" s="16"/>
      <c r="L5" s="16"/>
    </row>
    <row r="6" spans="1:46" ht="12" customHeight="1" x14ac:dyDescent="0.2">
      <c r="B6" s="16"/>
      <c r="D6" s="548" t="s">
        <v>12</v>
      </c>
      <c r="F6" s="1254" t="s">
        <v>6176</v>
      </c>
      <c r="G6" s="1254"/>
      <c r="H6" s="1254"/>
      <c r="I6" s="1254"/>
      <c r="J6" s="1254"/>
      <c r="L6" s="16"/>
    </row>
    <row r="7" spans="1:46" ht="25.2" customHeight="1" x14ac:dyDescent="0.2">
      <c r="B7" s="16"/>
      <c r="E7" s="531"/>
      <c r="F7" s="1254"/>
      <c r="G7" s="1254"/>
      <c r="H7" s="1254"/>
      <c r="I7" s="1254"/>
      <c r="J7" s="1254"/>
      <c r="L7" s="16"/>
    </row>
    <row r="8" spans="1:46" s="1" customFormat="1" ht="12" customHeight="1" x14ac:dyDescent="0.2">
      <c r="B8" s="24"/>
      <c r="D8" s="549" t="s">
        <v>186</v>
      </c>
      <c r="F8" s="532" t="s">
        <v>2743</v>
      </c>
      <c r="L8" s="24"/>
    </row>
    <row r="9" spans="1:46" s="1" customFormat="1" ht="37.049999999999997" customHeight="1" x14ac:dyDescent="0.2">
      <c r="B9" s="24"/>
      <c r="E9" s="1251"/>
      <c r="F9" s="1252"/>
      <c r="G9" s="1252"/>
      <c r="H9" s="1252"/>
      <c r="L9" s="24"/>
    </row>
    <row r="10" spans="1:46" s="1" customFormat="1" x14ac:dyDescent="0.2">
      <c r="B10" s="24"/>
      <c r="L10" s="24"/>
    </row>
    <row r="11" spans="1:46" s="1" customFormat="1" ht="12" customHeight="1" x14ac:dyDescent="0.2">
      <c r="B11" s="24"/>
      <c r="D11" s="528" t="s">
        <v>13</v>
      </c>
      <c r="F11" s="19" t="s">
        <v>1</v>
      </c>
      <c r="I11" s="528" t="s">
        <v>14</v>
      </c>
      <c r="J11" s="19" t="s">
        <v>1</v>
      </c>
      <c r="L11" s="24"/>
    </row>
    <row r="12" spans="1:46" s="1" customFormat="1" ht="12" customHeight="1" x14ac:dyDescent="0.2">
      <c r="B12" s="24"/>
      <c r="D12" s="528" t="s">
        <v>15</v>
      </c>
      <c r="F12" s="520" t="s">
        <v>6173</v>
      </c>
      <c r="I12" s="528" t="s">
        <v>17</v>
      </c>
      <c r="J12" s="39"/>
      <c r="L12" s="24"/>
    </row>
    <row r="13" spans="1:46" s="1" customFormat="1" ht="10.95" customHeight="1" x14ac:dyDescent="0.2">
      <c r="B13" s="24"/>
      <c r="D13" s="521"/>
      <c r="F13" s="521"/>
      <c r="I13" s="521"/>
      <c r="L13" s="24"/>
    </row>
    <row r="14" spans="1:46" s="1" customFormat="1" ht="12" customHeight="1" x14ac:dyDescent="0.2">
      <c r="B14" s="24"/>
      <c r="D14" s="528" t="s">
        <v>18</v>
      </c>
      <c r="F14" s="529" t="s">
        <v>6175</v>
      </c>
      <c r="I14" s="528" t="s">
        <v>19</v>
      </c>
      <c r="J14" s="19" t="str">
        <f>IF('Rekapitulácia stavby'!AN10="","",'Rekapitulácia stavby'!AN10)</f>
        <v/>
      </c>
      <c r="L14" s="24"/>
    </row>
    <row r="15" spans="1:46" s="1" customFormat="1" ht="18" customHeight="1" x14ac:dyDescent="0.2">
      <c r="B15" s="24"/>
      <c r="D15" s="521"/>
      <c r="E15" s="19" t="str">
        <f>IF('Rekapitulácia stavby'!E11="","",'Rekapitulácia stavby'!E11)</f>
        <v/>
      </c>
      <c r="F15" s="521"/>
      <c r="I15" s="528" t="s">
        <v>20</v>
      </c>
      <c r="J15" s="19" t="str">
        <f>IF('Rekapitulácia stavby'!AN11="","",'Rekapitulácia stavby'!AN11)</f>
        <v/>
      </c>
      <c r="L15" s="24"/>
    </row>
    <row r="16" spans="1:46" s="1" customFormat="1" ht="7.05" customHeight="1" x14ac:dyDescent="0.2">
      <c r="B16" s="24"/>
      <c r="D16" s="521"/>
      <c r="F16" s="521"/>
      <c r="I16" s="521"/>
      <c r="L16" s="24"/>
    </row>
    <row r="17" spans="2:12" s="1" customFormat="1" ht="12" customHeight="1" x14ac:dyDescent="0.2">
      <c r="B17" s="24"/>
      <c r="D17" s="528" t="s">
        <v>21</v>
      </c>
      <c r="F17" s="529" t="s">
        <v>5202</v>
      </c>
      <c r="I17" s="528" t="s">
        <v>19</v>
      </c>
      <c r="J17" s="19"/>
      <c r="L17" s="24"/>
    </row>
    <row r="18" spans="2:12" s="1" customFormat="1" ht="18" customHeight="1" x14ac:dyDescent="0.2">
      <c r="B18" s="24"/>
      <c r="D18" s="521"/>
      <c r="E18" s="1161"/>
      <c r="F18" s="1161"/>
      <c r="G18" s="1161"/>
      <c r="H18" s="1161"/>
      <c r="I18" s="528" t="s">
        <v>20</v>
      </c>
      <c r="J18" s="19" t="str">
        <f>'Rekapitulácia stavby'!AN14</f>
        <v/>
      </c>
      <c r="L18" s="24"/>
    </row>
    <row r="19" spans="2:12" s="1" customFormat="1" ht="7.05" customHeight="1" x14ac:dyDescent="0.2">
      <c r="B19" s="24"/>
      <c r="D19" s="521"/>
      <c r="I19" s="521"/>
      <c r="L19" s="24"/>
    </row>
    <row r="20" spans="2:12" s="1" customFormat="1" ht="12" customHeight="1" x14ac:dyDescent="0.2">
      <c r="B20" s="24"/>
      <c r="D20" s="528" t="s">
        <v>22</v>
      </c>
      <c r="I20" s="528" t="s">
        <v>19</v>
      </c>
      <c r="J20" s="19" t="str">
        <f>IF('Rekapitulácia stavby'!AN16="","",'Rekapitulácia stavby'!AN16)</f>
        <v/>
      </c>
      <c r="L20" s="24"/>
    </row>
    <row r="21" spans="2:12" s="1" customFormat="1" ht="18" customHeight="1" x14ac:dyDescent="0.2">
      <c r="B21" s="24"/>
      <c r="D21" s="521"/>
      <c r="E21" s="19" t="str">
        <f>IF('Rekapitulácia stavby'!E17="","",'Rekapitulácia stavby'!E17)</f>
        <v xml:space="preserve"> </v>
      </c>
      <c r="I21" s="528" t="s">
        <v>20</v>
      </c>
      <c r="J21" s="19" t="str">
        <f>IF('Rekapitulácia stavby'!AN17="","",'Rekapitulácia stavby'!AN17)</f>
        <v/>
      </c>
      <c r="L21" s="24"/>
    </row>
    <row r="22" spans="2:12" s="1" customFormat="1" ht="7.05" customHeight="1" x14ac:dyDescent="0.2">
      <c r="B22" s="24"/>
      <c r="D22" s="521"/>
      <c r="I22" s="521"/>
      <c r="L22" s="24"/>
    </row>
    <row r="23" spans="2:12" s="1" customFormat="1" ht="12" customHeight="1" x14ac:dyDescent="0.2">
      <c r="B23" s="24"/>
      <c r="D23" s="528" t="s">
        <v>24</v>
      </c>
      <c r="I23" s="528" t="s">
        <v>19</v>
      </c>
      <c r="J23" s="19" t="str">
        <f>IF('Rekapitulácia stavby'!AN19="","",'Rekapitulácia stavby'!AN19)</f>
        <v/>
      </c>
      <c r="L23" s="24"/>
    </row>
    <row r="24" spans="2:12" s="1" customFormat="1" ht="18" customHeight="1" x14ac:dyDescent="0.2">
      <c r="B24" s="24"/>
      <c r="D24" s="521"/>
      <c r="E24" s="19" t="str">
        <f>IF('Rekapitulácia stavby'!E20="","",'Rekapitulácia stavby'!E20)</f>
        <v xml:space="preserve"> </v>
      </c>
      <c r="I24" s="528" t="s">
        <v>20</v>
      </c>
      <c r="J24" s="19" t="str">
        <f>IF('Rekapitulácia stavby'!AN20="","",'Rekapitulácia stavby'!AN20)</f>
        <v/>
      </c>
      <c r="L24" s="24"/>
    </row>
    <row r="25" spans="2:12" s="1" customFormat="1" ht="7.05" customHeight="1" x14ac:dyDescent="0.2">
      <c r="B25" s="24"/>
      <c r="D25" s="521"/>
      <c r="L25" s="24"/>
    </row>
    <row r="26" spans="2:12" s="1" customFormat="1" ht="12" customHeight="1" x14ac:dyDescent="0.2">
      <c r="B26" s="24"/>
      <c r="D26" s="528" t="s">
        <v>25</v>
      </c>
      <c r="L26" s="24"/>
    </row>
    <row r="27" spans="2:12" s="7" customFormat="1" ht="16.5" customHeight="1" x14ac:dyDescent="0.2">
      <c r="B27" s="75"/>
      <c r="E27" s="1228" t="s">
        <v>1</v>
      </c>
      <c r="F27" s="1228"/>
      <c r="G27" s="1228"/>
      <c r="H27" s="1228"/>
      <c r="L27" s="75"/>
    </row>
    <row r="28" spans="2:12" s="1" customFormat="1" ht="7.05" customHeight="1" x14ac:dyDescent="0.2">
      <c r="B28" s="24"/>
      <c r="L28" s="24"/>
    </row>
    <row r="29" spans="2:12" s="1" customFormat="1" ht="7.05" customHeight="1" x14ac:dyDescent="0.2">
      <c r="B29" s="24"/>
      <c r="D29" s="40"/>
      <c r="E29" s="40"/>
      <c r="F29" s="40"/>
      <c r="G29" s="40"/>
      <c r="H29" s="40"/>
      <c r="I29" s="40"/>
      <c r="J29" s="40"/>
      <c r="K29" s="40"/>
      <c r="L29" s="24"/>
    </row>
    <row r="30" spans="2:12" s="1" customFormat="1" ht="25.2" customHeight="1" x14ac:dyDescent="0.2">
      <c r="B30" s="24"/>
      <c r="D30" s="76" t="s">
        <v>26</v>
      </c>
      <c r="J30" s="53">
        <f>ROUND(J125, 2)</f>
        <v>14356.9</v>
      </c>
      <c r="L30" s="24"/>
    </row>
    <row r="31" spans="2:12" s="1" customFormat="1" ht="7.05" customHeight="1" x14ac:dyDescent="0.2">
      <c r="B31" s="24"/>
      <c r="D31" s="40"/>
      <c r="E31" s="40"/>
      <c r="F31" s="40"/>
      <c r="G31" s="40"/>
      <c r="H31" s="40"/>
      <c r="I31" s="40"/>
      <c r="J31" s="40"/>
      <c r="K31" s="40"/>
      <c r="L31" s="24"/>
    </row>
    <row r="32" spans="2:12" s="1" customFormat="1" ht="14.55" customHeight="1" x14ac:dyDescent="0.2">
      <c r="B32" s="24"/>
      <c r="D32" s="521"/>
      <c r="E32" s="521"/>
      <c r="F32" s="534" t="s">
        <v>28</v>
      </c>
      <c r="G32" s="521"/>
      <c r="H32" s="521"/>
      <c r="I32" s="534" t="s">
        <v>27</v>
      </c>
      <c r="J32" s="534" t="s">
        <v>29</v>
      </c>
      <c r="L32" s="24"/>
    </row>
    <row r="33" spans="2:12" s="1" customFormat="1" ht="14.55" customHeight="1" x14ac:dyDescent="0.2">
      <c r="B33" s="24"/>
      <c r="D33" s="13" t="s">
        <v>30</v>
      </c>
      <c r="E33" s="528" t="s">
        <v>31</v>
      </c>
      <c r="F33" s="398">
        <f>ROUND((SUM(BE125:BE219)),  2)</f>
        <v>0</v>
      </c>
      <c r="G33" s="521"/>
      <c r="H33" s="521"/>
      <c r="I33" s="535">
        <v>0.2</v>
      </c>
      <c r="J33" s="398">
        <f>ROUND(((SUM(BE125:BE219))*I33),  2)</f>
        <v>0</v>
      </c>
      <c r="L33" s="24"/>
    </row>
    <row r="34" spans="2:12" s="1" customFormat="1" ht="14.55" customHeight="1" x14ac:dyDescent="0.2">
      <c r="B34" s="24"/>
      <c r="D34" s="521"/>
      <c r="E34" s="528" t="s">
        <v>32</v>
      </c>
      <c r="F34" s="398">
        <f>ROUND((SUM(BF125:BF219)),  2)</f>
        <v>14356.9</v>
      </c>
      <c r="G34" s="521"/>
      <c r="H34" s="521"/>
      <c r="I34" s="535">
        <v>0.2</v>
      </c>
      <c r="J34" s="398">
        <f>ROUND(((SUM(BF125:BF219))*I34),  2)</f>
        <v>2871.38</v>
      </c>
      <c r="L34" s="24"/>
    </row>
    <row r="35" spans="2:12" s="1" customFormat="1" ht="14.55" hidden="1" customHeight="1" x14ac:dyDescent="0.2">
      <c r="B35" s="24"/>
      <c r="D35" s="521"/>
      <c r="E35" s="528" t="s">
        <v>33</v>
      </c>
      <c r="F35" s="398">
        <f>ROUND((SUM(BG125:BG219)),  2)</f>
        <v>0</v>
      </c>
      <c r="G35" s="521"/>
      <c r="H35" s="521"/>
      <c r="I35" s="535">
        <v>0.2</v>
      </c>
      <c r="J35" s="398">
        <f>0</f>
        <v>0</v>
      </c>
      <c r="L35" s="24"/>
    </row>
    <row r="36" spans="2:12" s="1" customFormat="1" ht="14.55" hidden="1" customHeight="1" x14ac:dyDescent="0.2">
      <c r="B36" s="24"/>
      <c r="D36" s="521"/>
      <c r="E36" s="528" t="s">
        <v>34</v>
      </c>
      <c r="F36" s="398">
        <f>ROUND((SUM(BH125:BH219)),  2)</f>
        <v>0</v>
      </c>
      <c r="G36" s="521"/>
      <c r="H36" s="521"/>
      <c r="I36" s="535">
        <v>0.2</v>
      </c>
      <c r="J36" s="398">
        <f>0</f>
        <v>0</v>
      </c>
      <c r="L36" s="24"/>
    </row>
    <row r="37" spans="2:12" s="1" customFormat="1" ht="14.55" hidden="1" customHeight="1" x14ac:dyDescent="0.2">
      <c r="B37" s="24"/>
      <c r="D37" s="521"/>
      <c r="E37" s="528" t="s">
        <v>35</v>
      </c>
      <c r="F37" s="398">
        <f>ROUND((SUM(BI125:BI219)),  2)</f>
        <v>0</v>
      </c>
      <c r="G37" s="521"/>
      <c r="H37" s="521"/>
      <c r="I37" s="535">
        <v>0</v>
      </c>
      <c r="J37" s="398">
        <f>0</f>
        <v>0</v>
      </c>
      <c r="L37" s="24"/>
    </row>
    <row r="38" spans="2:12" s="1" customFormat="1" ht="7.05" customHeight="1" x14ac:dyDescent="0.2">
      <c r="B38" s="24"/>
      <c r="D38" s="521"/>
      <c r="E38" s="521"/>
      <c r="F38" s="521"/>
      <c r="G38" s="521"/>
      <c r="H38" s="521"/>
      <c r="I38" s="521"/>
      <c r="J38" s="521"/>
      <c r="L38" s="24"/>
    </row>
    <row r="39" spans="2:12" s="1" customFormat="1" ht="25.2" customHeight="1" x14ac:dyDescent="0.2">
      <c r="B39" s="24"/>
      <c r="C39" s="80"/>
      <c r="D39" s="81" t="s">
        <v>36</v>
      </c>
      <c r="E39" s="44"/>
      <c r="F39" s="44"/>
      <c r="G39" s="82" t="s">
        <v>37</v>
      </c>
      <c r="H39" s="83" t="s">
        <v>38</v>
      </c>
      <c r="I39" s="44"/>
      <c r="J39" s="84">
        <f>SUM(J30:J37)</f>
        <v>17228.28</v>
      </c>
      <c r="K39" s="85"/>
      <c r="L39" s="24"/>
    </row>
    <row r="40" spans="2:12" s="1" customFormat="1" ht="14.55" customHeight="1" x14ac:dyDescent="0.2">
      <c r="B40" s="24"/>
      <c r="L40" s="24"/>
    </row>
    <row r="41" spans="2:12" ht="14.55" customHeight="1" x14ac:dyDescent="0.2">
      <c r="B41" s="16"/>
      <c r="L41" s="16"/>
    </row>
    <row r="42" spans="2:12" ht="14.55" customHeight="1" x14ac:dyDescent="0.2">
      <c r="B42" s="16"/>
      <c r="L42" s="16"/>
    </row>
    <row r="43" spans="2:12" ht="14.55" customHeight="1" x14ac:dyDescent="0.2">
      <c r="B43" s="16"/>
      <c r="L43" s="16"/>
    </row>
    <row r="44" spans="2:12" ht="14.55" customHeight="1" x14ac:dyDescent="0.2">
      <c r="B44" s="16"/>
      <c r="L44" s="16"/>
    </row>
    <row r="45" spans="2:12" ht="14.55" customHeight="1" x14ac:dyDescent="0.2">
      <c r="B45" s="16"/>
      <c r="L45" s="16"/>
    </row>
    <row r="46" spans="2:12" ht="14.55" customHeight="1" x14ac:dyDescent="0.2">
      <c r="B46" s="16"/>
      <c r="L46" s="16"/>
    </row>
    <row r="47" spans="2:12" ht="14.55" customHeight="1" x14ac:dyDescent="0.2">
      <c r="B47" s="16"/>
      <c r="L47" s="16"/>
    </row>
    <row r="48" spans="2:12" ht="14.55" customHeight="1" x14ac:dyDescent="0.2">
      <c r="B48" s="16"/>
      <c r="L48" s="16"/>
    </row>
    <row r="49" spans="2:12" ht="14.55" customHeight="1" x14ac:dyDescent="0.2">
      <c r="B49" s="16"/>
      <c r="D49" s="156"/>
      <c r="E49" s="156"/>
      <c r="F49" s="156"/>
      <c r="G49" s="156"/>
      <c r="H49" s="156"/>
      <c r="I49" s="156"/>
      <c r="J49" s="156"/>
      <c r="L49" s="16"/>
    </row>
    <row r="50" spans="2:12" s="1" customFormat="1" ht="14.55" customHeight="1" x14ac:dyDescent="0.2">
      <c r="B50" s="24"/>
      <c r="D50" s="530"/>
      <c r="E50" s="523"/>
      <c r="F50" s="523"/>
      <c r="G50" s="530"/>
      <c r="H50" s="523"/>
      <c r="I50" s="523"/>
      <c r="J50" s="523"/>
      <c r="K50" s="32"/>
      <c r="L50" s="24"/>
    </row>
    <row r="51" spans="2:12" x14ac:dyDescent="0.2">
      <c r="B51" s="16"/>
      <c r="D51" s="156"/>
      <c r="E51" s="156"/>
      <c r="F51" s="156"/>
      <c r="G51" s="156"/>
      <c r="H51" s="156"/>
      <c r="I51" s="156"/>
      <c r="J51" s="156"/>
      <c r="L51" s="16"/>
    </row>
    <row r="52" spans="2:12" x14ac:dyDescent="0.2">
      <c r="B52" s="16"/>
      <c r="D52" s="156"/>
      <c r="E52" s="156"/>
      <c r="F52" s="156"/>
      <c r="G52" s="156"/>
      <c r="H52" s="156"/>
      <c r="I52" s="156"/>
      <c r="J52" s="156"/>
      <c r="L52" s="16"/>
    </row>
    <row r="53" spans="2:12" x14ac:dyDescent="0.2">
      <c r="B53" s="16"/>
      <c r="D53" s="156"/>
      <c r="E53" s="156"/>
      <c r="F53" s="156"/>
      <c r="G53" s="156"/>
      <c r="H53" s="156"/>
      <c r="I53" s="156"/>
      <c r="J53" s="156"/>
      <c r="L53" s="16"/>
    </row>
    <row r="54" spans="2:12" x14ac:dyDescent="0.2">
      <c r="B54" s="16"/>
      <c r="D54" s="156"/>
      <c r="E54" s="156"/>
      <c r="F54" s="156"/>
      <c r="G54" s="156"/>
      <c r="H54" s="156"/>
      <c r="I54" s="156"/>
      <c r="J54" s="156"/>
      <c r="L54" s="16"/>
    </row>
    <row r="55" spans="2:12" x14ac:dyDescent="0.2">
      <c r="B55" s="16"/>
      <c r="D55" s="156"/>
      <c r="E55" s="156"/>
      <c r="F55" s="156"/>
      <c r="G55" s="156"/>
      <c r="H55" s="156"/>
      <c r="I55" s="156"/>
      <c r="J55" s="156"/>
      <c r="L55" s="16"/>
    </row>
    <row r="56" spans="2:12" x14ac:dyDescent="0.2">
      <c r="B56" s="16"/>
      <c r="D56" s="156"/>
      <c r="E56" s="156"/>
      <c r="F56" s="156"/>
      <c r="G56" s="156"/>
      <c r="H56" s="156"/>
      <c r="I56" s="156"/>
      <c r="J56" s="156"/>
      <c r="L56" s="16"/>
    </row>
    <row r="57" spans="2:12" x14ac:dyDescent="0.2">
      <c r="B57" s="16"/>
      <c r="D57" s="156"/>
      <c r="E57" s="156"/>
      <c r="F57" s="156"/>
      <c r="G57" s="156"/>
      <c r="H57" s="156"/>
      <c r="I57" s="156"/>
      <c r="J57" s="156"/>
      <c r="L57" s="16"/>
    </row>
    <row r="58" spans="2:12" x14ac:dyDescent="0.2">
      <c r="B58" s="16"/>
      <c r="D58" s="156"/>
      <c r="E58" s="156"/>
      <c r="F58" s="156"/>
      <c r="G58" s="156"/>
      <c r="H58" s="156"/>
      <c r="I58" s="156"/>
      <c r="J58" s="156"/>
      <c r="L58" s="16"/>
    </row>
    <row r="59" spans="2:12" x14ac:dyDescent="0.2">
      <c r="B59" s="16"/>
      <c r="D59" s="156"/>
      <c r="E59" s="156"/>
      <c r="F59" s="156"/>
      <c r="G59" s="156"/>
      <c r="H59" s="156"/>
      <c r="I59" s="156"/>
      <c r="J59" s="156"/>
      <c r="L59" s="16"/>
    </row>
    <row r="60" spans="2:12" x14ac:dyDescent="0.2">
      <c r="B60" s="16"/>
      <c r="D60" s="156"/>
      <c r="E60" s="156"/>
      <c r="F60" s="156"/>
      <c r="G60" s="156"/>
      <c r="H60" s="156"/>
      <c r="I60" s="156"/>
      <c r="J60" s="156"/>
      <c r="L60" s="16"/>
    </row>
    <row r="61" spans="2:12" s="1" customFormat="1" ht="13.2" x14ac:dyDescent="0.2">
      <c r="B61" s="24"/>
      <c r="D61" s="522"/>
      <c r="E61" s="523"/>
      <c r="F61" s="536"/>
      <c r="G61" s="522"/>
      <c r="H61" s="523"/>
      <c r="I61" s="523"/>
      <c r="J61" s="169"/>
      <c r="K61" s="26"/>
      <c r="L61" s="24"/>
    </row>
    <row r="62" spans="2:12" x14ac:dyDescent="0.2">
      <c r="B62" s="16"/>
      <c r="D62" s="156"/>
      <c r="E62" s="156"/>
      <c r="F62" s="156"/>
      <c r="G62" s="156"/>
      <c r="H62" s="156"/>
      <c r="I62" s="156"/>
      <c r="J62" s="156"/>
      <c r="L62" s="16"/>
    </row>
    <row r="63" spans="2:12" x14ac:dyDescent="0.2">
      <c r="B63" s="16"/>
      <c r="D63" s="156"/>
      <c r="E63" s="156"/>
      <c r="F63" s="156"/>
      <c r="G63" s="156"/>
      <c r="H63" s="156"/>
      <c r="I63" s="156"/>
      <c r="J63" s="156"/>
      <c r="L63" s="16"/>
    </row>
    <row r="64" spans="2:12" x14ac:dyDescent="0.2">
      <c r="B64" s="16"/>
      <c r="D64" s="156"/>
      <c r="E64" s="156"/>
      <c r="F64" s="156"/>
      <c r="G64" s="156"/>
      <c r="H64" s="156"/>
      <c r="I64" s="156"/>
      <c r="J64" s="156"/>
      <c r="L64" s="16"/>
    </row>
    <row r="65" spans="2:12" s="1" customFormat="1" ht="13.2" x14ac:dyDescent="0.2">
      <c r="B65" s="24"/>
      <c r="D65" s="530"/>
      <c r="E65" s="523"/>
      <c r="F65" s="523"/>
      <c r="G65" s="530"/>
      <c r="H65" s="523"/>
      <c r="I65" s="523"/>
      <c r="J65" s="523"/>
      <c r="K65" s="32"/>
      <c r="L65" s="24"/>
    </row>
    <row r="66" spans="2:12" x14ac:dyDescent="0.2">
      <c r="B66" s="16"/>
      <c r="D66" s="156"/>
      <c r="E66" s="156"/>
      <c r="F66" s="156"/>
      <c r="G66" s="156"/>
      <c r="H66" s="156"/>
      <c r="I66" s="156"/>
      <c r="J66" s="156"/>
      <c r="L66" s="16"/>
    </row>
    <row r="67" spans="2:12" x14ac:dyDescent="0.2">
      <c r="B67" s="16"/>
      <c r="D67" s="156"/>
      <c r="E67" s="156"/>
      <c r="F67" s="156"/>
      <c r="G67" s="156"/>
      <c r="H67" s="156"/>
      <c r="I67" s="156"/>
      <c r="J67" s="156"/>
      <c r="L67" s="16"/>
    </row>
    <row r="68" spans="2:12" x14ac:dyDescent="0.2">
      <c r="B68" s="16"/>
      <c r="D68" s="156"/>
      <c r="E68" s="156"/>
      <c r="F68" s="156"/>
      <c r="G68" s="156"/>
      <c r="H68" s="156"/>
      <c r="I68" s="156"/>
      <c r="J68" s="156"/>
      <c r="L68" s="16"/>
    </row>
    <row r="69" spans="2:12" x14ac:dyDescent="0.2">
      <c r="B69" s="16"/>
      <c r="D69" s="156"/>
      <c r="E69" s="156"/>
      <c r="F69" s="156"/>
      <c r="G69" s="156"/>
      <c r="H69" s="156"/>
      <c r="I69" s="156"/>
      <c r="J69" s="156"/>
      <c r="L69" s="16"/>
    </row>
    <row r="70" spans="2:12" x14ac:dyDescent="0.2">
      <c r="B70" s="16"/>
      <c r="D70" s="156"/>
      <c r="E70" s="156"/>
      <c r="F70" s="156"/>
      <c r="G70" s="156"/>
      <c r="H70" s="156"/>
      <c r="I70" s="156"/>
      <c r="J70" s="156"/>
      <c r="L70" s="16"/>
    </row>
    <row r="71" spans="2:12" x14ac:dyDescent="0.2">
      <c r="B71" s="16"/>
      <c r="D71" s="156"/>
      <c r="E71" s="156"/>
      <c r="F71" s="156"/>
      <c r="G71" s="156"/>
      <c r="H71" s="156"/>
      <c r="I71" s="156"/>
      <c r="J71" s="156"/>
      <c r="L71" s="16"/>
    </row>
    <row r="72" spans="2:12" x14ac:dyDescent="0.2">
      <c r="B72" s="16"/>
      <c r="D72" s="156"/>
      <c r="E72" s="156"/>
      <c r="F72" s="156"/>
      <c r="G72" s="156"/>
      <c r="H72" s="156"/>
      <c r="I72" s="156"/>
      <c r="J72" s="156"/>
      <c r="L72" s="16"/>
    </row>
    <row r="73" spans="2:12" x14ac:dyDescent="0.2">
      <c r="B73" s="16"/>
      <c r="D73" s="156"/>
      <c r="E73" s="156"/>
      <c r="F73" s="156"/>
      <c r="G73" s="156"/>
      <c r="H73" s="156"/>
      <c r="I73" s="156"/>
      <c r="J73" s="156"/>
      <c r="L73" s="16"/>
    </row>
    <row r="74" spans="2:12" x14ac:dyDescent="0.2">
      <c r="B74" s="16"/>
      <c r="D74" s="156"/>
      <c r="E74" s="156"/>
      <c r="F74" s="156"/>
      <c r="G74" s="156"/>
      <c r="H74" s="156"/>
      <c r="I74" s="156"/>
      <c r="J74" s="156"/>
      <c r="L74" s="16"/>
    </row>
    <row r="75" spans="2:12" x14ac:dyDescent="0.2">
      <c r="B75" s="16"/>
      <c r="D75" s="156"/>
      <c r="E75" s="156"/>
      <c r="F75" s="156"/>
      <c r="G75" s="156"/>
      <c r="H75" s="156"/>
      <c r="I75" s="156"/>
      <c r="J75" s="156"/>
      <c r="L75" s="16"/>
    </row>
    <row r="76" spans="2:12" s="1" customFormat="1" ht="13.2" x14ac:dyDescent="0.2">
      <c r="B76" s="24"/>
      <c r="D76" s="522"/>
      <c r="E76" s="523"/>
      <c r="F76" s="536"/>
      <c r="G76" s="522"/>
      <c r="H76" s="523"/>
      <c r="I76" s="523"/>
      <c r="J76" s="169"/>
      <c r="K76" s="26"/>
      <c r="L76" s="24"/>
    </row>
    <row r="77" spans="2:12" s="1" customFormat="1" ht="14.55" customHeight="1" x14ac:dyDescent="0.2">
      <c r="B77" s="33"/>
      <c r="C77" s="34"/>
      <c r="D77" s="34"/>
      <c r="E77" s="34"/>
      <c r="F77" s="34"/>
      <c r="G77" s="34"/>
      <c r="H77" s="34"/>
      <c r="I77" s="34"/>
      <c r="J77" s="34"/>
      <c r="K77" s="34"/>
      <c r="L77" s="24"/>
    </row>
    <row r="81" spans="2:47" s="1" customFormat="1" ht="7.05" customHeight="1" x14ac:dyDescent="0.2">
      <c r="B81" s="35"/>
      <c r="C81" s="36"/>
      <c r="D81" s="36"/>
      <c r="E81" s="36"/>
      <c r="F81" s="36"/>
      <c r="G81" s="36"/>
      <c r="H81" s="36"/>
      <c r="I81" s="36"/>
      <c r="J81" s="36"/>
      <c r="K81" s="36"/>
      <c r="L81" s="24"/>
    </row>
    <row r="82" spans="2:47" s="1" customFormat="1" ht="25.05" customHeight="1" x14ac:dyDescent="0.2">
      <c r="B82" s="24"/>
      <c r="C82" s="1165" t="s">
        <v>188</v>
      </c>
      <c r="D82" s="1165"/>
      <c r="E82" s="1165"/>
      <c r="F82" s="1165"/>
      <c r="G82" s="1165"/>
      <c r="H82" s="1165"/>
      <c r="I82" s="1165"/>
      <c r="J82" s="1165"/>
      <c r="L82" s="24"/>
    </row>
    <row r="83" spans="2:47" s="1" customFormat="1" ht="7.05" customHeight="1" x14ac:dyDescent="0.2">
      <c r="B83" s="24"/>
      <c r="L83" s="24"/>
    </row>
    <row r="84" spans="2:47" s="1" customFormat="1" ht="12" customHeight="1" x14ac:dyDescent="0.2">
      <c r="B84" s="24"/>
      <c r="C84" s="528" t="s">
        <v>12</v>
      </c>
      <c r="E84" s="1242" t="s">
        <v>6177</v>
      </c>
      <c r="F84" s="1242"/>
      <c r="G84" s="1242"/>
      <c r="H84" s="1242"/>
      <c r="I84" s="1242"/>
      <c r="J84" s="1242"/>
      <c r="L84" s="24"/>
    </row>
    <row r="85" spans="2:47" s="1" customFormat="1" ht="24" customHeight="1" x14ac:dyDescent="0.2">
      <c r="B85" s="24"/>
      <c r="C85" s="521"/>
      <c r="E85" s="1243"/>
      <c r="F85" s="1244"/>
      <c r="G85" s="1244"/>
      <c r="H85" s="1244"/>
      <c r="L85" s="24"/>
    </row>
    <row r="86" spans="2:47" s="1" customFormat="1" ht="12" customHeight="1" x14ac:dyDescent="0.2">
      <c r="B86" s="24"/>
      <c r="C86" s="528" t="s">
        <v>186</v>
      </c>
      <c r="F86" s="532" t="s">
        <v>2743</v>
      </c>
      <c r="L86" s="24"/>
    </row>
    <row r="87" spans="2:47" s="1" customFormat="1" ht="16.5" customHeight="1" x14ac:dyDescent="0.2">
      <c r="B87" s="24"/>
      <c r="C87" s="521"/>
      <c r="E87" s="1251"/>
      <c r="F87" s="1252"/>
      <c r="G87" s="1252"/>
      <c r="H87" s="1252"/>
      <c r="L87" s="24"/>
    </row>
    <row r="88" spans="2:47" s="1" customFormat="1" ht="7.05" customHeight="1" x14ac:dyDescent="0.2">
      <c r="B88" s="24"/>
      <c r="C88" s="521"/>
      <c r="L88" s="24"/>
    </row>
    <row r="89" spans="2:47" s="1" customFormat="1" ht="12" customHeight="1" x14ac:dyDescent="0.2">
      <c r="B89" s="24"/>
      <c r="C89" s="528" t="s">
        <v>15</v>
      </c>
      <c r="F89" s="19" t="str">
        <f>F12</f>
        <v>Kuzmányho nábrežie 28, 960 01 Zvolen</v>
      </c>
      <c r="I89" s="528" t="s">
        <v>17</v>
      </c>
      <c r="J89" s="39" t="str">
        <f>IF(J12="","",J12)</f>
        <v/>
      </c>
      <c r="L89" s="24"/>
    </row>
    <row r="90" spans="2:47" s="1" customFormat="1" ht="7.05" customHeight="1" x14ac:dyDescent="0.2">
      <c r="B90" s="24"/>
      <c r="C90" s="521"/>
      <c r="I90" s="521"/>
      <c r="L90" s="24"/>
    </row>
    <row r="91" spans="2:47" s="1" customFormat="1" ht="15.3" customHeight="1" x14ac:dyDescent="0.2">
      <c r="B91" s="24"/>
      <c r="C91" s="528" t="s">
        <v>18</v>
      </c>
      <c r="F91" s="529" t="s">
        <v>6175</v>
      </c>
      <c r="I91" s="528" t="s">
        <v>22</v>
      </c>
      <c r="J91" s="22" t="str">
        <f>E21</f>
        <v xml:space="preserve"> </v>
      </c>
      <c r="L91" s="24"/>
    </row>
    <row r="92" spans="2:47" s="1" customFormat="1" ht="15.3" customHeight="1" x14ac:dyDescent="0.2">
      <c r="B92" s="24"/>
      <c r="C92" s="528" t="s">
        <v>21</v>
      </c>
      <c r="F92" s="529" t="s">
        <v>5202</v>
      </c>
      <c r="I92" s="528" t="s">
        <v>24</v>
      </c>
      <c r="J92" s="22" t="str">
        <f>E24</f>
        <v xml:space="preserve"> </v>
      </c>
      <c r="L92" s="24"/>
    </row>
    <row r="93" spans="2:47" s="1" customFormat="1" ht="10.199999999999999" customHeight="1" x14ac:dyDescent="0.2">
      <c r="B93" s="24"/>
      <c r="L93" s="24"/>
    </row>
    <row r="94" spans="2:47" s="1" customFormat="1" ht="29.25" customHeight="1" x14ac:dyDescent="0.2">
      <c r="B94" s="24"/>
      <c r="C94" s="86" t="s">
        <v>189</v>
      </c>
      <c r="D94" s="80"/>
      <c r="E94" s="80"/>
      <c r="F94" s="80"/>
      <c r="G94" s="80"/>
      <c r="H94" s="80"/>
      <c r="I94" s="80"/>
      <c r="J94" s="87" t="s">
        <v>190</v>
      </c>
      <c r="K94" s="80"/>
      <c r="L94" s="24"/>
    </row>
    <row r="95" spans="2:47" s="1" customFormat="1" ht="10.199999999999999" customHeight="1" x14ac:dyDescent="0.2">
      <c r="B95" s="24"/>
      <c r="L95" s="24"/>
    </row>
    <row r="96" spans="2:47" s="1" customFormat="1" ht="22.95" customHeight="1" x14ac:dyDescent="0.2">
      <c r="B96" s="24"/>
      <c r="C96" s="88" t="s">
        <v>191</v>
      </c>
      <c r="J96" s="53">
        <f>J125</f>
        <v>14356.9</v>
      </c>
      <c r="L96" s="24"/>
      <c r="AU96" s="13" t="s">
        <v>192</v>
      </c>
    </row>
    <row r="97" spans="2:12" s="8" customFormat="1" ht="25.05" customHeight="1" x14ac:dyDescent="0.2">
      <c r="B97" s="89"/>
      <c r="D97" s="90" t="s">
        <v>2744</v>
      </c>
      <c r="E97" s="91"/>
      <c r="F97" s="91"/>
      <c r="G97" s="91"/>
      <c r="H97" s="91"/>
      <c r="I97" s="91"/>
      <c r="J97" s="92">
        <f>J126</f>
        <v>0</v>
      </c>
      <c r="L97" s="89"/>
    </row>
    <row r="98" spans="2:12" s="8" customFormat="1" ht="25.05" customHeight="1" x14ac:dyDescent="0.2">
      <c r="B98" s="89"/>
      <c r="D98" s="90" t="s">
        <v>2745</v>
      </c>
      <c r="E98" s="91"/>
      <c r="F98" s="91"/>
      <c r="G98" s="91"/>
      <c r="H98" s="91"/>
      <c r="I98" s="91"/>
      <c r="J98" s="92">
        <f>J127</f>
        <v>14356.9</v>
      </c>
      <c r="L98" s="89"/>
    </row>
    <row r="99" spans="2:12" s="9" customFormat="1" ht="19.95" customHeight="1" x14ac:dyDescent="0.2">
      <c r="B99" s="93"/>
      <c r="D99" s="94" t="s">
        <v>2746</v>
      </c>
      <c r="E99" s="95"/>
      <c r="F99" s="95"/>
      <c r="G99" s="95"/>
      <c r="H99" s="95"/>
      <c r="I99" s="95"/>
      <c r="J99" s="96">
        <f>J128</f>
        <v>0</v>
      </c>
      <c r="L99" s="93"/>
    </row>
    <row r="100" spans="2:12" s="9" customFormat="1" ht="19.95" customHeight="1" x14ac:dyDescent="0.2">
      <c r="B100" s="93"/>
      <c r="D100" s="94" t="s">
        <v>2747</v>
      </c>
      <c r="E100" s="95"/>
      <c r="F100" s="95"/>
      <c r="G100" s="95"/>
      <c r="H100" s="95"/>
      <c r="I100" s="95"/>
      <c r="J100" s="96">
        <f>J129</f>
        <v>5765.47</v>
      </c>
      <c r="L100" s="93"/>
    </row>
    <row r="101" spans="2:12" s="9" customFormat="1" ht="19.95" customHeight="1" x14ac:dyDescent="0.2">
      <c r="B101" s="93"/>
      <c r="D101" s="94" t="s">
        <v>2748</v>
      </c>
      <c r="E101" s="95"/>
      <c r="F101" s="95"/>
      <c r="G101" s="95"/>
      <c r="H101" s="95"/>
      <c r="I101" s="95"/>
      <c r="J101" s="96">
        <f>J137</f>
        <v>498.32000000000005</v>
      </c>
      <c r="L101" s="93"/>
    </row>
    <row r="102" spans="2:12" s="9" customFormat="1" ht="19.95" customHeight="1" x14ac:dyDescent="0.2">
      <c r="B102" s="93"/>
      <c r="D102" s="94" t="s">
        <v>2749</v>
      </c>
      <c r="E102" s="95"/>
      <c r="F102" s="95"/>
      <c r="G102" s="95"/>
      <c r="H102" s="95"/>
      <c r="I102" s="95"/>
      <c r="J102" s="96">
        <f>J143</f>
        <v>3776.8400000000011</v>
      </c>
      <c r="L102" s="93"/>
    </row>
    <row r="103" spans="2:12" s="9" customFormat="1" ht="19.95" customHeight="1" x14ac:dyDescent="0.2">
      <c r="B103" s="93"/>
      <c r="D103" s="94" t="s">
        <v>2750</v>
      </c>
      <c r="E103" s="95"/>
      <c r="F103" s="95"/>
      <c r="G103" s="95"/>
      <c r="H103" s="95"/>
      <c r="I103" s="95"/>
      <c r="J103" s="96">
        <f>J173</f>
        <v>884.41000000000008</v>
      </c>
      <c r="L103" s="93"/>
    </row>
    <row r="104" spans="2:12" s="9" customFormat="1" ht="19.95" customHeight="1" x14ac:dyDescent="0.2">
      <c r="B104" s="93"/>
      <c r="D104" s="94" t="s">
        <v>2751</v>
      </c>
      <c r="E104" s="95"/>
      <c r="F104" s="95"/>
      <c r="G104" s="95"/>
      <c r="H104" s="95"/>
      <c r="I104" s="95"/>
      <c r="J104" s="96">
        <f>J177</f>
        <v>2753.8</v>
      </c>
      <c r="L104" s="93"/>
    </row>
    <row r="105" spans="2:12" s="9" customFormat="1" ht="19.95" customHeight="1" x14ac:dyDescent="0.2">
      <c r="B105" s="93"/>
      <c r="D105" s="94" t="s">
        <v>2752</v>
      </c>
      <c r="E105" s="95"/>
      <c r="F105" s="95"/>
      <c r="G105" s="95"/>
      <c r="H105" s="95"/>
      <c r="I105" s="95"/>
      <c r="J105" s="96">
        <f>J215</f>
        <v>678.06</v>
      </c>
      <c r="L105" s="93"/>
    </row>
    <row r="106" spans="2:12" s="1" customFormat="1" ht="21.75" customHeight="1" x14ac:dyDescent="0.2">
      <c r="B106" s="24"/>
      <c r="L106" s="24"/>
    </row>
    <row r="107" spans="2:12" s="1" customFormat="1" ht="7.05" customHeight="1" x14ac:dyDescent="0.2">
      <c r="B107" s="33"/>
      <c r="C107" s="34"/>
      <c r="D107" s="34"/>
      <c r="E107" s="34"/>
      <c r="F107" s="34"/>
      <c r="G107" s="34"/>
      <c r="H107" s="34"/>
      <c r="I107" s="34"/>
      <c r="J107" s="34"/>
      <c r="K107" s="34"/>
      <c r="L107" s="24"/>
    </row>
    <row r="111" spans="2:12" s="1" customFormat="1" ht="7.05" customHeight="1" x14ac:dyDescent="0.2">
      <c r="B111" s="35"/>
      <c r="C111" s="36"/>
      <c r="D111" s="36"/>
      <c r="E111" s="36"/>
      <c r="F111" s="36"/>
      <c r="G111" s="36"/>
      <c r="H111" s="36"/>
      <c r="I111" s="36"/>
      <c r="J111" s="36"/>
      <c r="K111" s="36"/>
      <c r="L111" s="24"/>
    </row>
    <row r="112" spans="2:12" s="1" customFormat="1" ht="25.05" customHeight="1" x14ac:dyDescent="0.2">
      <c r="B112" s="24"/>
      <c r="C112" s="1165" t="s">
        <v>214</v>
      </c>
      <c r="D112" s="1165"/>
      <c r="E112" s="1165"/>
      <c r="F112" s="1165"/>
      <c r="G112" s="1165"/>
      <c r="H112" s="1165"/>
      <c r="I112" s="1165"/>
      <c r="J112" s="1165"/>
      <c r="L112" s="24"/>
    </row>
    <row r="113" spans="2:63" s="1" customFormat="1" ht="7.05" customHeight="1" x14ac:dyDescent="0.2">
      <c r="B113" s="24"/>
      <c r="L113" s="24"/>
    </row>
    <row r="114" spans="2:63" s="1" customFormat="1" ht="12" customHeight="1" x14ac:dyDescent="0.2">
      <c r="B114" s="24"/>
      <c r="C114" s="528" t="s">
        <v>12</v>
      </c>
      <c r="E114" s="1242" t="s">
        <v>6177</v>
      </c>
      <c r="F114" s="1242"/>
      <c r="G114" s="1242"/>
      <c r="H114" s="1242"/>
      <c r="I114" s="1242"/>
      <c r="J114" s="1242"/>
      <c r="L114" s="24"/>
    </row>
    <row r="115" spans="2:63" s="1" customFormat="1" ht="25.95" customHeight="1" x14ac:dyDescent="0.2">
      <c r="B115" s="24"/>
      <c r="C115" s="521"/>
      <c r="E115" s="1243"/>
      <c r="F115" s="1244"/>
      <c r="G115" s="1244"/>
      <c r="H115" s="1244"/>
      <c r="L115" s="24"/>
    </row>
    <row r="116" spans="2:63" s="1" customFormat="1" ht="12" customHeight="1" x14ac:dyDescent="0.2">
      <c r="B116" s="24"/>
      <c r="C116" s="528" t="s">
        <v>186</v>
      </c>
      <c r="F116" s="532" t="s">
        <v>2743</v>
      </c>
      <c r="L116" s="24"/>
    </row>
    <row r="117" spans="2:63" s="1" customFormat="1" ht="16.5" customHeight="1" x14ac:dyDescent="0.2">
      <c r="B117" s="24"/>
      <c r="C117" s="521"/>
      <c r="E117" s="1251"/>
      <c r="F117" s="1252"/>
      <c r="G117" s="1252"/>
      <c r="H117" s="1252"/>
      <c r="L117" s="24"/>
    </row>
    <row r="118" spans="2:63" s="1" customFormat="1" ht="7.05" customHeight="1" x14ac:dyDescent="0.2">
      <c r="B118" s="24"/>
      <c r="C118" s="521"/>
      <c r="L118" s="24"/>
    </row>
    <row r="119" spans="2:63" s="1" customFormat="1" ht="12" customHeight="1" x14ac:dyDescent="0.2">
      <c r="B119" s="24"/>
      <c r="C119" s="528" t="s">
        <v>15</v>
      </c>
      <c r="F119" s="19" t="str">
        <f>F12</f>
        <v>Kuzmányho nábrežie 28, 960 01 Zvolen</v>
      </c>
      <c r="I119" s="528" t="s">
        <v>17</v>
      </c>
      <c r="J119" s="39" t="str">
        <f>IF(J12="","",J12)</f>
        <v/>
      </c>
      <c r="L119" s="24"/>
    </row>
    <row r="120" spans="2:63" s="1" customFormat="1" ht="7.05" customHeight="1" x14ac:dyDescent="0.2">
      <c r="B120" s="24"/>
      <c r="C120" s="521"/>
      <c r="I120" s="521"/>
      <c r="L120" s="24"/>
    </row>
    <row r="121" spans="2:63" s="1" customFormat="1" ht="15.3" customHeight="1" x14ac:dyDescent="0.2">
      <c r="B121" s="24"/>
      <c r="C121" s="528" t="s">
        <v>18</v>
      </c>
      <c r="F121" s="529" t="s">
        <v>6175</v>
      </c>
      <c r="I121" s="528" t="s">
        <v>22</v>
      </c>
      <c r="J121" s="22" t="str">
        <f>E21</f>
        <v xml:space="preserve"> </v>
      </c>
      <c r="L121" s="24"/>
    </row>
    <row r="122" spans="2:63" s="1" customFormat="1" ht="15.3" customHeight="1" x14ac:dyDescent="0.2">
      <c r="B122" s="24"/>
      <c r="C122" s="528" t="s">
        <v>21</v>
      </c>
      <c r="F122" s="529" t="s">
        <v>5202</v>
      </c>
      <c r="I122" s="528" t="s">
        <v>24</v>
      </c>
      <c r="J122" s="22" t="str">
        <f>E24</f>
        <v xml:space="preserve"> </v>
      </c>
      <c r="L122" s="24"/>
    </row>
    <row r="123" spans="2:63" s="1" customFormat="1" ht="10.199999999999999" customHeight="1" x14ac:dyDescent="0.2">
      <c r="B123" s="24"/>
      <c r="L123" s="24"/>
    </row>
    <row r="124" spans="2:63" s="10" customFormat="1" ht="29.25" customHeight="1" x14ac:dyDescent="0.2">
      <c r="B124" s="97"/>
      <c r="C124" s="98" t="s">
        <v>215</v>
      </c>
      <c r="D124" s="99" t="s">
        <v>43</v>
      </c>
      <c r="E124" s="99" t="s">
        <v>41</v>
      </c>
      <c r="F124" s="99" t="s">
        <v>42</v>
      </c>
      <c r="G124" s="99" t="s">
        <v>216</v>
      </c>
      <c r="H124" s="99" t="s">
        <v>217</v>
      </c>
      <c r="I124" s="99" t="s">
        <v>218</v>
      </c>
      <c r="J124" s="100" t="s">
        <v>190</v>
      </c>
      <c r="K124" s="101" t="s">
        <v>219</v>
      </c>
      <c r="L124" s="97"/>
      <c r="M124" s="46" t="s">
        <v>1</v>
      </c>
      <c r="N124" s="47" t="s">
        <v>30</v>
      </c>
      <c r="O124" s="47" t="s">
        <v>220</v>
      </c>
      <c r="P124" s="47" t="s">
        <v>221</v>
      </c>
      <c r="Q124" s="47" t="s">
        <v>222</v>
      </c>
      <c r="R124" s="47" t="s">
        <v>223</v>
      </c>
      <c r="S124" s="47" t="s">
        <v>224</v>
      </c>
      <c r="T124" s="48" t="s">
        <v>225</v>
      </c>
    </row>
    <row r="125" spans="2:63" s="1" customFormat="1" ht="22.95" customHeight="1" x14ac:dyDescent="0.3">
      <c r="B125" s="24"/>
      <c r="C125" s="51" t="s">
        <v>191</v>
      </c>
      <c r="J125" s="102">
        <f>BK125</f>
        <v>14356.9</v>
      </c>
      <c r="L125" s="24"/>
      <c r="M125" s="49"/>
      <c r="N125" s="40"/>
      <c r="O125" s="40"/>
      <c r="P125" s="103">
        <f>P126+P127</f>
        <v>0</v>
      </c>
      <c r="Q125" s="40"/>
      <c r="R125" s="103">
        <f>R126+R127</f>
        <v>0</v>
      </c>
      <c r="S125" s="40"/>
      <c r="T125" s="104">
        <f>T126+T127</f>
        <v>0</v>
      </c>
      <c r="AT125" s="13" t="s">
        <v>57</v>
      </c>
      <c r="AU125" s="13" t="s">
        <v>192</v>
      </c>
      <c r="BK125" s="105">
        <f>BK126+BK127</f>
        <v>14356.9</v>
      </c>
    </row>
    <row r="126" spans="2:63" s="11" customFormat="1" ht="25.95" customHeight="1" x14ac:dyDescent="0.25">
      <c r="B126" s="106"/>
      <c r="D126" s="107" t="s">
        <v>57</v>
      </c>
      <c r="E126" s="108" t="s">
        <v>2753</v>
      </c>
      <c r="F126" s="108" t="s">
        <v>2754</v>
      </c>
      <c r="J126" s="109"/>
      <c r="L126" s="106"/>
      <c r="M126" s="110"/>
      <c r="N126" s="111"/>
      <c r="O126" s="111"/>
      <c r="P126" s="112">
        <v>0</v>
      </c>
      <c r="Q126" s="111"/>
      <c r="R126" s="112">
        <v>0</v>
      </c>
      <c r="S126" s="111"/>
      <c r="T126" s="113">
        <v>0</v>
      </c>
      <c r="AR126" s="107" t="s">
        <v>63</v>
      </c>
      <c r="AT126" s="114" t="s">
        <v>57</v>
      </c>
      <c r="AU126" s="114" t="s">
        <v>58</v>
      </c>
      <c r="AY126" s="107" t="s">
        <v>228</v>
      </c>
      <c r="BK126" s="115">
        <v>0</v>
      </c>
    </row>
    <row r="127" spans="2:63" s="11" customFormat="1" ht="25.95" customHeight="1" x14ac:dyDescent="0.25">
      <c r="B127" s="106"/>
      <c r="D127" s="107" t="s">
        <v>57</v>
      </c>
      <c r="E127" s="108" t="s">
        <v>1201</v>
      </c>
      <c r="F127" s="108" t="s">
        <v>2755</v>
      </c>
      <c r="J127" s="109">
        <f>BK127</f>
        <v>14356.9</v>
      </c>
      <c r="L127" s="106"/>
      <c r="M127" s="110"/>
      <c r="N127" s="111"/>
      <c r="O127" s="111"/>
      <c r="P127" s="112">
        <f>P128+P129+P137+P143+P173+P177+P215</f>
        <v>0</v>
      </c>
      <c r="Q127" s="111"/>
      <c r="R127" s="112">
        <f>R128+R129+R137+R143+R173+R177+R215</f>
        <v>0</v>
      </c>
      <c r="S127" s="111"/>
      <c r="T127" s="113">
        <f>T128+T129+T137+T143+T173+T177+T215</f>
        <v>0</v>
      </c>
      <c r="AR127" s="107" t="s">
        <v>63</v>
      </c>
      <c r="AT127" s="114" t="s">
        <v>57</v>
      </c>
      <c r="AU127" s="114" t="s">
        <v>58</v>
      </c>
      <c r="AY127" s="107" t="s">
        <v>228</v>
      </c>
      <c r="BK127" s="115">
        <f>BK128+BK129+BK137+BK143+BK173+BK177+BK215</f>
        <v>14356.9</v>
      </c>
    </row>
    <row r="128" spans="2:63" s="11" customFormat="1" ht="22.95" customHeight="1" x14ac:dyDescent="0.25">
      <c r="B128" s="106"/>
      <c r="D128" s="107" t="s">
        <v>57</v>
      </c>
      <c r="E128" s="116" t="s">
        <v>1215</v>
      </c>
      <c r="F128" s="116" t="s">
        <v>2756</v>
      </c>
      <c r="J128" s="117"/>
      <c r="L128" s="106"/>
      <c r="M128" s="110"/>
      <c r="N128" s="111"/>
      <c r="O128" s="111"/>
      <c r="P128" s="112">
        <v>0</v>
      </c>
      <c r="Q128" s="111"/>
      <c r="R128" s="112">
        <v>0</v>
      </c>
      <c r="S128" s="111"/>
      <c r="T128" s="113">
        <v>0</v>
      </c>
      <c r="AR128" s="107" t="s">
        <v>63</v>
      </c>
      <c r="AT128" s="114" t="s">
        <v>57</v>
      </c>
      <c r="AU128" s="114" t="s">
        <v>63</v>
      </c>
      <c r="AY128" s="107" t="s">
        <v>228</v>
      </c>
      <c r="BK128" s="115">
        <v>0</v>
      </c>
    </row>
    <row r="129" spans="2:65" s="11" customFormat="1" ht="22.95" customHeight="1" x14ac:dyDescent="0.25">
      <c r="B129" s="106"/>
      <c r="D129" s="107" t="s">
        <v>57</v>
      </c>
      <c r="E129" s="116" t="s">
        <v>1227</v>
      </c>
      <c r="F129" s="116" t="s">
        <v>2757</v>
      </c>
      <c r="J129" s="117">
        <f>BK129</f>
        <v>5765.47</v>
      </c>
      <c r="L129" s="106"/>
      <c r="M129" s="110"/>
      <c r="N129" s="111"/>
      <c r="O129" s="111"/>
      <c r="P129" s="112">
        <f>SUM(P130:P136)</f>
        <v>0</v>
      </c>
      <c r="Q129" s="111"/>
      <c r="R129" s="112">
        <f>SUM(R130:R136)</f>
        <v>0</v>
      </c>
      <c r="S129" s="111"/>
      <c r="T129" s="113">
        <f>SUM(T130:T136)</f>
        <v>0</v>
      </c>
      <c r="AR129" s="107" t="s">
        <v>63</v>
      </c>
      <c r="AT129" s="114" t="s">
        <v>57</v>
      </c>
      <c r="AU129" s="114" t="s">
        <v>63</v>
      </c>
      <c r="AY129" s="107" t="s">
        <v>228</v>
      </c>
      <c r="BK129" s="115">
        <f>SUM(BK130:BK136)</f>
        <v>5765.47</v>
      </c>
    </row>
    <row r="130" spans="2:65" s="1" customFormat="1" ht="24" customHeight="1" x14ac:dyDescent="0.2">
      <c r="B130" s="118"/>
      <c r="C130" s="119" t="s">
        <v>63</v>
      </c>
      <c r="D130" s="119" t="s">
        <v>231</v>
      </c>
      <c r="E130" s="120" t="s">
        <v>2758</v>
      </c>
      <c r="F130" s="121" t="s">
        <v>2759</v>
      </c>
      <c r="G130" s="122" t="s">
        <v>1194</v>
      </c>
      <c r="H130" s="123">
        <v>1</v>
      </c>
      <c r="I130" s="124">
        <v>3805.18</v>
      </c>
      <c r="J130" s="124">
        <f t="shared" ref="J130:J136" si="0">ROUND(I130*H130,2)</f>
        <v>3805.18</v>
      </c>
      <c r="K130" s="121" t="s">
        <v>1</v>
      </c>
      <c r="L130" s="24"/>
      <c r="M130" s="125" t="s">
        <v>1</v>
      </c>
      <c r="N130" s="126" t="s">
        <v>32</v>
      </c>
      <c r="O130" s="127">
        <v>0</v>
      </c>
      <c r="P130" s="127">
        <f t="shared" ref="P130:P136" si="1">O130*H130</f>
        <v>0</v>
      </c>
      <c r="Q130" s="127">
        <v>0</v>
      </c>
      <c r="R130" s="127">
        <f t="shared" ref="R130:R136" si="2">Q130*H130</f>
        <v>0</v>
      </c>
      <c r="S130" s="127">
        <v>0</v>
      </c>
      <c r="T130" s="128">
        <f t="shared" ref="T130:T136" si="3">S130*H130</f>
        <v>0</v>
      </c>
      <c r="AR130" s="129" t="s">
        <v>235</v>
      </c>
      <c r="AT130" s="129" t="s">
        <v>231</v>
      </c>
      <c r="AU130" s="129" t="s">
        <v>76</v>
      </c>
      <c r="AY130" s="13" t="s">
        <v>228</v>
      </c>
      <c r="BE130" s="130">
        <f t="shared" ref="BE130:BE136" si="4">IF(N130="základná",J130,0)</f>
        <v>0</v>
      </c>
      <c r="BF130" s="130">
        <f t="shared" ref="BF130:BF136" si="5">IF(N130="znížená",J130,0)</f>
        <v>3805.18</v>
      </c>
      <c r="BG130" s="130">
        <f t="shared" ref="BG130:BG136" si="6">IF(N130="zákl. prenesená",J130,0)</f>
        <v>0</v>
      </c>
      <c r="BH130" s="130">
        <f t="shared" ref="BH130:BH136" si="7">IF(N130="zníž. prenesená",J130,0)</f>
        <v>0</v>
      </c>
      <c r="BI130" s="130">
        <f t="shared" ref="BI130:BI136" si="8">IF(N130="nulová",J130,0)</f>
        <v>0</v>
      </c>
      <c r="BJ130" s="13" t="s">
        <v>76</v>
      </c>
      <c r="BK130" s="130">
        <f t="shared" ref="BK130:BK136" si="9">ROUND(I130*H130,2)</f>
        <v>3805.18</v>
      </c>
      <c r="BL130" s="13" t="s">
        <v>235</v>
      </c>
      <c r="BM130" s="129" t="s">
        <v>76</v>
      </c>
    </row>
    <row r="131" spans="2:65" s="1" customFormat="1" ht="36" customHeight="1" x14ac:dyDescent="0.2">
      <c r="B131" s="118"/>
      <c r="C131" s="119" t="s">
        <v>76</v>
      </c>
      <c r="D131" s="119" t="s">
        <v>231</v>
      </c>
      <c r="E131" s="120" t="s">
        <v>2760</v>
      </c>
      <c r="F131" s="121" t="s">
        <v>2761</v>
      </c>
      <c r="G131" s="122" t="s">
        <v>1194</v>
      </c>
      <c r="H131" s="123">
        <v>3</v>
      </c>
      <c r="I131" s="124">
        <v>160.22</v>
      </c>
      <c r="J131" s="124">
        <f t="shared" si="0"/>
        <v>480.66</v>
      </c>
      <c r="K131" s="121" t="s">
        <v>1</v>
      </c>
      <c r="L131" s="24"/>
      <c r="M131" s="125" t="s">
        <v>1</v>
      </c>
      <c r="N131" s="126" t="s">
        <v>32</v>
      </c>
      <c r="O131" s="127">
        <v>0</v>
      </c>
      <c r="P131" s="127">
        <f t="shared" si="1"/>
        <v>0</v>
      </c>
      <c r="Q131" s="127">
        <v>0</v>
      </c>
      <c r="R131" s="127">
        <f t="shared" si="2"/>
        <v>0</v>
      </c>
      <c r="S131" s="127">
        <v>0</v>
      </c>
      <c r="T131" s="128">
        <f t="shared" si="3"/>
        <v>0</v>
      </c>
      <c r="AR131" s="129" t="s">
        <v>235</v>
      </c>
      <c r="AT131" s="129" t="s">
        <v>231</v>
      </c>
      <c r="AU131" s="129" t="s">
        <v>76</v>
      </c>
      <c r="AY131" s="13" t="s">
        <v>228</v>
      </c>
      <c r="BE131" s="130">
        <f t="shared" si="4"/>
        <v>0</v>
      </c>
      <c r="BF131" s="130">
        <f t="shared" si="5"/>
        <v>480.66</v>
      </c>
      <c r="BG131" s="130">
        <f t="shared" si="6"/>
        <v>0</v>
      </c>
      <c r="BH131" s="130">
        <f t="shared" si="7"/>
        <v>0</v>
      </c>
      <c r="BI131" s="130">
        <f t="shared" si="8"/>
        <v>0</v>
      </c>
      <c r="BJ131" s="13" t="s">
        <v>76</v>
      </c>
      <c r="BK131" s="130">
        <f t="shared" si="9"/>
        <v>480.66</v>
      </c>
      <c r="BL131" s="13" t="s">
        <v>235</v>
      </c>
      <c r="BM131" s="129" t="s">
        <v>235</v>
      </c>
    </row>
    <row r="132" spans="2:65" s="1" customFormat="1" ht="24" customHeight="1" x14ac:dyDescent="0.2">
      <c r="B132" s="118"/>
      <c r="C132" s="119" t="s">
        <v>229</v>
      </c>
      <c r="D132" s="119" t="s">
        <v>231</v>
      </c>
      <c r="E132" s="120" t="s">
        <v>2762</v>
      </c>
      <c r="F132" s="121" t="s">
        <v>2763</v>
      </c>
      <c r="G132" s="122" t="s">
        <v>1194</v>
      </c>
      <c r="H132" s="123">
        <v>2</v>
      </c>
      <c r="I132" s="124">
        <v>60.08</v>
      </c>
      <c r="J132" s="124">
        <f t="shared" si="0"/>
        <v>120.16</v>
      </c>
      <c r="K132" s="121" t="s">
        <v>1</v>
      </c>
      <c r="L132" s="24"/>
      <c r="M132" s="125" t="s">
        <v>1</v>
      </c>
      <c r="N132" s="126" t="s">
        <v>32</v>
      </c>
      <c r="O132" s="127">
        <v>0</v>
      </c>
      <c r="P132" s="127">
        <f t="shared" si="1"/>
        <v>0</v>
      </c>
      <c r="Q132" s="127">
        <v>0</v>
      </c>
      <c r="R132" s="127">
        <f t="shared" si="2"/>
        <v>0</v>
      </c>
      <c r="S132" s="127">
        <v>0</v>
      </c>
      <c r="T132" s="128">
        <f t="shared" si="3"/>
        <v>0</v>
      </c>
      <c r="AR132" s="129" t="s">
        <v>235</v>
      </c>
      <c r="AT132" s="129" t="s">
        <v>231</v>
      </c>
      <c r="AU132" s="129" t="s">
        <v>76</v>
      </c>
      <c r="AY132" s="13" t="s">
        <v>228</v>
      </c>
      <c r="BE132" s="130">
        <f t="shared" si="4"/>
        <v>0</v>
      </c>
      <c r="BF132" s="130">
        <f t="shared" si="5"/>
        <v>120.16</v>
      </c>
      <c r="BG132" s="130">
        <f t="shared" si="6"/>
        <v>0</v>
      </c>
      <c r="BH132" s="130">
        <f t="shared" si="7"/>
        <v>0</v>
      </c>
      <c r="BI132" s="130">
        <f t="shared" si="8"/>
        <v>0</v>
      </c>
      <c r="BJ132" s="13" t="s">
        <v>76</v>
      </c>
      <c r="BK132" s="130">
        <f t="shared" si="9"/>
        <v>120.16</v>
      </c>
      <c r="BL132" s="13" t="s">
        <v>235</v>
      </c>
      <c r="BM132" s="129" t="s">
        <v>240</v>
      </c>
    </row>
    <row r="133" spans="2:65" s="1" customFormat="1" ht="24" customHeight="1" x14ac:dyDescent="0.2">
      <c r="B133" s="118"/>
      <c r="C133" s="119" t="s">
        <v>235</v>
      </c>
      <c r="D133" s="119" t="s">
        <v>231</v>
      </c>
      <c r="E133" s="120" t="s">
        <v>2764</v>
      </c>
      <c r="F133" s="121" t="s">
        <v>2765</v>
      </c>
      <c r="G133" s="122" t="s">
        <v>1194</v>
      </c>
      <c r="H133" s="123">
        <v>1</v>
      </c>
      <c r="I133" s="124">
        <v>93.75</v>
      </c>
      <c r="J133" s="124">
        <f t="shared" si="0"/>
        <v>93.75</v>
      </c>
      <c r="K133" s="121" t="s">
        <v>1</v>
      </c>
      <c r="L133" s="24"/>
      <c r="M133" s="125" t="s">
        <v>1</v>
      </c>
      <c r="N133" s="126" t="s">
        <v>32</v>
      </c>
      <c r="O133" s="127">
        <v>0</v>
      </c>
      <c r="P133" s="127">
        <f t="shared" si="1"/>
        <v>0</v>
      </c>
      <c r="Q133" s="127">
        <v>0</v>
      </c>
      <c r="R133" s="127">
        <f t="shared" si="2"/>
        <v>0</v>
      </c>
      <c r="S133" s="127">
        <v>0</v>
      </c>
      <c r="T133" s="128">
        <f t="shared" si="3"/>
        <v>0</v>
      </c>
      <c r="AR133" s="129" t="s">
        <v>235</v>
      </c>
      <c r="AT133" s="129" t="s">
        <v>231</v>
      </c>
      <c r="AU133" s="129" t="s">
        <v>76</v>
      </c>
      <c r="AY133" s="13" t="s">
        <v>228</v>
      </c>
      <c r="BE133" s="130">
        <f t="shared" si="4"/>
        <v>0</v>
      </c>
      <c r="BF133" s="130">
        <f t="shared" si="5"/>
        <v>93.75</v>
      </c>
      <c r="BG133" s="130">
        <f t="shared" si="6"/>
        <v>0</v>
      </c>
      <c r="BH133" s="130">
        <f t="shared" si="7"/>
        <v>0</v>
      </c>
      <c r="BI133" s="130">
        <f t="shared" si="8"/>
        <v>0</v>
      </c>
      <c r="BJ133" s="13" t="s">
        <v>76</v>
      </c>
      <c r="BK133" s="130">
        <f t="shared" si="9"/>
        <v>93.75</v>
      </c>
      <c r="BL133" s="13" t="s">
        <v>235</v>
      </c>
      <c r="BM133" s="129" t="s">
        <v>244</v>
      </c>
    </row>
    <row r="134" spans="2:65" s="1" customFormat="1" ht="24" customHeight="1" x14ac:dyDescent="0.2">
      <c r="B134" s="118"/>
      <c r="C134" s="119" t="s">
        <v>245</v>
      </c>
      <c r="D134" s="119" t="s">
        <v>231</v>
      </c>
      <c r="E134" s="120" t="s">
        <v>2766</v>
      </c>
      <c r="F134" s="121" t="s">
        <v>2767</v>
      </c>
      <c r="G134" s="122" t="s">
        <v>1194</v>
      </c>
      <c r="H134" s="123">
        <v>1</v>
      </c>
      <c r="I134" s="124">
        <v>654.22</v>
      </c>
      <c r="J134" s="124">
        <f t="shared" si="0"/>
        <v>654.22</v>
      </c>
      <c r="K134" s="121" t="s">
        <v>1</v>
      </c>
      <c r="L134" s="24"/>
      <c r="M134" s="125" t="s">
        <v>1</v>
      </c>
      <c r="N134" s="126" t="s">
        <v>32</v>
      </c>
      <c r="O134" s="127">
        <v>0</v>
      </c>
      <c r="P134" s="127">
        <f t="shared" si="1"/>
        <v>0</v>
      </c>
      <c r="Q134" s="127">
        <v>0</v>
      </c>
      <c r="R134" s="127">
        <f t="shared" si="2"/>
        <v>0</v>
      </c>
      <c r="S134" s="127">
        <v>0</v>
      </c>
      <c r="T134" s="128">
        <f t="shared" si="3"/>
        <v>0</v>
      </c>
      <c r="AR134" s="129" t="s">
        <v>235</v>
      </c>
      <c r="AT134" s="129" t="s">
        <v>231</v>
      </c>
      <c r="AU134" s="129" t="s">
        <v>76</v>
      </c>
      <c r="AY134" s="13" t="s">
        <v>228</v>
      </c>
      <c r="BE134" s="130">
        <f t="shared" si="4"/>
        <v>0</v>
      </c>
      <c r="BF134" s="130">
        <f t="shared" si="5"/>
        <v>654.22</v>
      </c>
      <c r="BG134" s="130">
        <f t="shared" si="6"/>
        <v>0</v>
      </c>
      <c r="BH134" s="130">
        <f t="shared" si="7"/>
        <v>0</v>
      </c>
      <c r="BI134" s="130">
        <f t="shared" si="8"/>
        <v>0</v>
      </c>
      <c r="BJ134" s="13" t="s">
        <v>76</v>
      </c>
      <c r="BK134" s="130">
        <f t="shared" si="9"/>
        <v>654.22</v>
      </c>
      <c r="BL134" s="13" t="s">
        <v>235</v>
      </c>
      <c r="BM134" s="129" t="s">
        <v>248</v>
      </c>
    </row>
    <row r="135" spans="2:65" s="1" customFormat="1" ht="24" customHeight="1" x14ac:dyDescent="0.2">
      <c r="B135" s="118"/>
      <c r="C135" s="119" t="s">
        <v>240</v>
      </c>
      <c r="D135" s="119" t="s">
        <v>231</v>
      </c>
      <c r="E135" s="120" t="s">
        <v>2768</v>
      </c>
      <c r="F135" s="121" t="s">
        <v>2769</v>
      </c>
      <c r="G135" s="122" t="s">
        <v>1194</v>
      </c>
      <c r="H135" s="123">
        <v>1</v>
      </c>
      <c r="I135" s="124">
        <v>544.74</v>
      </c>
      <c r="J135" s="124">
        <f t="shared" si="0"/>
        <v>544.74</v>
      </c>
      <c r="K135" s="121" t="s">
        <v>1</v>
      </c>
      <c r="L135" s="24"/>
      <c r="M135" s="125" t="s">
        <v>1</v>
      </c>
      <c r="N135" s="126" t="s">
        <v>32</v>
      </c>
      <c r="O135" s="127">
        <v>0</v>
      </c>
      <c r="P135" s="127">
        <f t="shared" si="1"/>
        <v>0</v>
      </c>
      <c r="Q135" s="127">
        <v>0</v>
      </c>
      <c r="R135" s="127">
        <f t="shared" si="2"/>
        <v>0</v>
      </c>
      <c r="S135" s="127">
        <v>0</v>
      </c>
      <c r="T135" s="128">
        <f t="shared" si="3"/>
        <v>0</v>
      </c>
      <c r="AR135" s="129" t="s">
        <v>235</v>
      </c>
      <c r="AT135" s="129" t="s">
        <v>231</v>
      </c>
      <c r="AU135" s="129" t="s">
        <v>76</v>
      </c>
      <c r="AY135" s="13" t="s">
        <v>228</v>
      </c>
      <c r="BE135" s="130">
        <f t="shared" si="4"/>
        <v>0</v>
      </c>
      <c r="BF135" s="130">
        <f t="shared" si="5"/>
        <v>544.74</v>
      </c>
      <c r="BG135" s="130">
        <f t="shared" si="6"/>
        <v>0</v>
      </c>
      <c r="BH135" s="130">
        <f t="shared" si="7"/>
        <v>0</v>
      </c>
      <c r="BI135" s="130">
        <f t="shared" si="8"/>
        <v>0</v>
      </c>
      <c r="BJ135" s="13" t="s">
        <v>76</v>
      </c>
      <c r="BK135" s="130">
        <f t="shared" si="9"/>
        <v>544.74</v>
      </c>
      <c r="BL135" s="13" t="s">
        <v>235</v>
      </c>
      <c r="BM135" s="129" t="s">
        <v>251</v>
      </c>
    </row>
    <row r="136" spans="2:65" s="1" customFormat="1" ht="24" customHeight="1" x14ac:dyDescent="0.2">
      <c r="B136" s="118"/>
      <c r="C136" s="119" t="s">
        <v>252</v>
      </c>
      <c r="D136" s="119" t="s">
        <v>231</v>
      </c>
      <c r="E136" s="120" t="s">
        <v>2770</v>
      </c>
      <c r="F136" s="121" t="s">
        <v>2771</v>
      </c>
      <c r="G136" s="122" t="s">
        <v>1194</v>
      </c>
      <c r="H136" s="123">
        <v>1</v>
      </c>
      <c r="I136" s="124">
        <v>66.760000000000005</v>
      </c>
      <c r="J136" s="124">
        <f t="shared" si="0"/>
        <v>66.760000000000005</v>
      </c>
      <c r="K136" s="121" t="s">
        <v>1</v>
      </c>
      <c r="L136" s="24"/>
      <c r="M136" s="125" t="s">
        <v>1</v>
      </c>
      <c r="N136" s="126" t="s">
        <v>32</v>
      </c>
      <c r="O136" s="127">
        <v>0</v>
      </c>
      <c r="P136" s="127">
        <f t="shared" si="1"/>
        <v>0</v>
      </c>
      <c r="Q136" s="127">
        <v>0</v>
      </c>
      <c r="R136" s="127">
        <f t="shared" si="2"/>
        <v>0</v>
      </c>
      <c r="S136" s="127">
        <v>0</v>
      </c>
      <c r="T136" s="128">
        <f t="shared" si="3"/>
        <v>0</v>
      </c>
      <c r="AR136" s="129" t="s">
        <v>235</v>
      </c>
      <c r="AT136" s="129" t="s">
        <v>231</v>
      </c>
      <c r="AU136" s="129" t="s">
        <v>76</v>
      </c>
      <c r="AY136" s="13" t="s">
        <v>228</v>
      </c>
      <c r="BE136" s="130">
        <f t="shared" si="4"/>
        <v>0</v>
      </c>
      <c r="BF136" s="130">
        <f t="shared" si="5"/>
        <v>66.760000000000005</v>
      </c>
      <c r="BG136" s="130">
        <f t="shared" si="6"/>
        <v>0</v>
      </c>
      <c r="BH136" s="130">
        <f t="shared" si="7"/>
        <v>0</v>
      </c>
      <c r="BI136" s="130">
        <f t="shared" si="8"/>
        <v>0</v>
      </c>
      <c r="BJ136" s="13" t="s">
        <v>76</v>
      </c>
      <c r="BK136" s="130">
        <f t="shared" si="9"/>
        <v>66.760000000000005</v>
      </c>
      <c r="BL136" s="13" t="s">
        <v>235</v>
      </c>
      <c r="BM136" s="129" t="s">
        <v>255</v>
      </c>
    </row>
    <row r="137" spans="2:65" s="11" customFormat="1" ht="22.95" customHeight="1" x14ac:dyDescent="0.25">
      <c r="B137" s="106"/>
      <c r="D137" s="107" t="s">
        <v>57</v>
      </c>
      <c r="E137" s="116" t="s">
        <v>1240</v>
      </c>
      <c r="F137" s="116" t="s">
        <v>2772</v>
      </c>
      <c r="J137" s="117">
        <f>BK137</f>
        <v>498.32000000000005</v>
      </c>
      <c r="L137" s="106"/>
      <c r="M137" s="110"/>
      <c r="N137" s="111"/>
      <c r="O137" s="111"/>
      <c r="P137" s="112">
        <f>SUM(P138:P142)</f>
        <v>0</v>
      </c>
      <c r="Q137" s="111"/>
      <c r="R137" s="112">
        <f>SUM(R138:R142)</f>
        <v>0</v>
      </c>
      <c r="S137" s="111"/>
      <c r="T137" s="113">
        <f>SUM(T138:T142)</f>
        <v>0</v>
      </c>
      <c r="AR137" s="107" t="s">
        <v>63</v>
      </c>
      <c r="AT137" s="114" t="s">
        <v>57</v>
      </c>
      <c r="AU137" s="114" t="s">
        <v>63</v>
      </c>
      <c r="AY137" s="107" t="s">
        <v>228</v>
      </c>
      <c r="BK137" s="115">
        <f>SUM(BK138:BK142)</f>
        <v>498.32000000000005</v>
      </c>
    </row>
    <row r="138" spans="2:65" s="1" customFormat="1" ht="16.5" customHeight="1" x14ac:dyDescent="0.2">
      <c r="B138" s="118"/>
      <c r="C138" s="119" t="s">
        <v>244</v>
      </c>
      <c r="D138" s="119" t="s">
        <v>231</v>
      </c>
      <c r="E138" s="120" t="s">
        <v>2773</v>
      </c>
      <c r="F138" s="121" t="s">
        <v>2774</v>
      </c>
      <c r="G138" s="122" t="s">
        <v>1194</v>
      </c>
      <c r="H138" s="123">
        <v>1</v>
      </c>
      <c r="I138" s="124">
        <v>103.7</v>
      </c>
      <c r="J138" s="124">
        <f>ROUND(I138*H138,2)</f>
        <v>103.7</v>
      </c>
      <c r="K138" s="121" t="s">
        <v>1</v>
      </c>
      <c r="L138" s="24"/>
      <c r="M138" s="125" t="s">
        <v>1</v>
      </c>
      <c r="N138" s="126" t="s">
        <v>32</v>
      </c>
      <c r="O138" s="127">
        <v>0</v>
      </c>
      <c r="P138" s="127">
        <f>O138*H138</f>
        <v>0</v>
      </c>
      <c r="Q138" s="127">
        <v>0</v>
      </c>
      <c r="R138" s="127">
        <f>Q138*H138</f>
        <v>0</v>
      </c>
      <c r="S138" s="127">
        <v>0</v>
      </c>
      <c r="T138" s="128">
        <f>S138*H138</f>
        <v>0</v>
      </c>
      <c r="AR138" s="129" t="s">
        <v>235</v>
      </c>
      <c r="AT138" s="129" t="s">
        <v>231</v>
      </c>
      <c r="AU138" s="129" t="s">
        <v>76</v>
      </c>
      <c r="AY138" s="13" t="s">
        <v>228</v>
      </c>
      <c r="BE138" s="130">
        <f>IF(N138="základná",J138,0)</f>
        <v>0</v>
      </c>
      <c r="BF138" s="130">
        <f>IF(N138="znížená",J138,0)</f>
        <v>103.7</v>
      </c>
      <c r="BG138" s="130">
        <f>IF(N138="zákl. prenesená",J138,0)</f>
        <v>0</v>
      </c>
      <c r="BH138" s="130">
        <f>IF(N138="zníž. prenesená",J138,0)</f>
        <v>0</v>
      </c>
      <c r="BI138" s="130">
        <f>IF(N138="nulová",J138,0)</f>
        <v>0</v>
      </c>
      <c r="BJ138" s="13" t="s">
        <v>76</v>
      </c>
      <c r="BK138" s="130">
        <f>ROUND(I138*H138,2)</f>
        <v>103.7</v>
      </c>
      <c r="BL138" s="13" t="s">
        <v>235</v>
      </c>
      <c r="BM138" s="129" t="s">
        <v>258</v>
      </c>
    </row>
    <row r="139" spans="2:65" s="1" customFormat="1" ht="16.5" customHeight="1" x14ac:dyDescent="0.2">
      <c r="B139" s="118"/>
      <c r="C139" s="119" t="s">
        <v>259</v>
      </c>
      <c r="D139" s="119" t="s">
        <v>231</v>
      </c>
      <c r="E139" s="120" t="s">
        <v>2775</v>
      </c>
      <c r="F139" s="121" t="s">
        <v>2776</v>
      </c>
      <c r="G139" s="122" t="s">
        <v>1194</v>
      </c>
      <c r="H139" s="123">
        <v>7</v>
      </c>
      <c r="I139" s="124">
        <v>16.7</v>
      </c>
      <c r="J139" s="124">
        <f>ROUND(I139*H139,2)</f>
        <v>116.9</v>
      </c>
      <c r="K139" s="121" t="s">
        <v>1</v>
      </c>
      <c r="L139" s="24"/>
      <c r="M139" s="125" t="s">
        <v>1</v>
      </c>
      <c r="N139" s="126" t="s">
        <v>32</v>
      </c>
      <c r="O139" s="127">
        <v>0</v>
      </c>
      <c r="P139" s="127">
        <f>O139*H139</f>
        <v>0</v>
      </c>
      <c r="Q139" s="127">
        <v>0</v>
      </c>
      <c r="R139" s="127">
        <f>Q139*H139</f>
        <v>0</v>
      </c>
      <c r="S139" s="127">
        <v>0</v>
      </c>
      <c r="T139" s="128">
        <f>S139*H139</f>
        <v>0</v>
      </c>
      <c r="AR139" s="129" t="s">
        <v>235</v>
      </c>
      <c r="AT139" s="129" t="s">
        <v>231</v>
      </c>
      <c r="AU139" s="129" t="s">
        <v>76</v>
      </c>
      <c r="AY139" s="13" t="s">
        <v>228</v>
      </c>
      <c r="BE139" s="130">
        <f>IF(N139="základná",J139,0)</f>
        <v>0</v>
      </c>
      <c r="BF139" s="130">
        <f>IF(N139="znížená",J139,0)</f>
        <v>116.9</v>
      </c>
      <c r="BG139" s="130">
        <f>IF(N139="zákl. prenesená",J139,0)</f>
        <v>0</v>
      </c>
      <c r="BH139" s="130">
        <f>IF(N139="zníž. prenesená",J139,0)</f>
        <v>0</v>
      </c>
      <c r="BI139" s="130">
        <f>IF(N139="nulová",J139,0)</f>
        <v>0</v>
      </c>
      <c r="BJ139" s="13" t="s">
        <v>76</v>
      </c>
      <c r="BK139" s="130">
        <f>ROUND(I139*H139,2)</f>
        <v>116.9</v>
      </c>
      <c r="BL139" s="13" t="s">
        <v>235</v>
      </c>
      <c r="BM139" s="129" t="s">
        <v>262</v>
      </c>
    </row>
    <row r="140" spans="2:65" s="1" customFormat="1" ht="16.5" customHeight="1" x14ac:dyDescent="0.2">
      <c r="B140" s="118"/>
      <c r="C140" s="119" t="s">
        <v>248</v>
      </c>
      <c r="D140" s="119" t="s">
        <v>231</v>
      </c>
      <c r="E140" s="120" t="s">
        <v>2777</v>
      </c>
      <c r="F140" s="121" t="s">
        <v>2778</v>
      </c>
      <c r="G140" s="122" t="s">
        <v>1194</v>
      </c>
      <c r="H140" s="123">
        <v>2</v>
      </c>
      <c r="I140" s="124">
        <v>106.81</v>
      </c>
      <c r="J140" s="124">
        <f>ROUND(I140*H140,2)</f>
        <v>213.62</v>
      </c>
      <c r="K140" s="121" t="s">
        <v>1</v>
      </c>
      <c r="L140" s="24"/>
      <c r="M140" s="125" t="s">
        <v>1</v>
      </c>
      <c r="N140" s="126" t="s">
        <v>32</v>
      </c>
      <c r="O140" s="127">
        <v>0</v>
      </c>
      <c r="P140" s="127">
        <f>O140*H140</f>
        <v>0</v>
      </c>
      <c r="Q140" s="127">
        <v>0</v>
      </c>
      <c r="R140" s="127">
        <f>Q140*H140</f>
        <v>0</v>
      </c>
      <c r="S140" s="127">
        <v>0</v>
      </c>
      <c r="T140" s="128">
        <f>S140*H140</f>
        <v>0</v>
      </c>
      <c r="AR140" s="129" t="s">
        <v>235</v>
      </c>
      <c r="AT140" s="129" t="s">
        <v>231</v>
      </c>
      <c r="AU140" s="129" t="s">
        <v>76</v>
      </c>
      <c r="AY140" s="13" t="s">
        <v>228</v>
      </c>
      <c r="BE140" s="130">
        <f>IF(N140="základná",J140,0)</f>
        <v>0</v>
      </c>
      <c r="BF140" s="130">
        <f>IF(N140="znížená",J140,0)</f>
        <v>213.62</v>
      </c>
      <c r="BG140" s="130">
        <f>IF(N140="zákl. prenesená",J140,0)</f>
        <v>0</v>
      </c>
      <c r="BH140" s="130">
        <f>IF(N140="zníž. prenesená",J140,0)</f>
        <v>0</v>
      </c>
      <c r="BI140" s="130">
        <f>IF(N140="nulová",J140,0)</f>
        <v>0</v>
      </c>
      <c r="BJ140" s="13" t="s">
        <v>76</v>
      </c>
      <c r="BK140" s="130">
        <f>ROUND(I140*H140,2)</f>
        <v>213.62</v>
      </c>
      <c r="BL140" s="13" t="s">
        <v>235</v>
      </c>
      <c r="BM140" s="129" t="s">
        <v>7</v>
      </c>
    </row>
    <row r="141" spans="2:65" s="1" customFormat="1" ht="16.5" customHeight="1" x14ac:dyDescent="0.2">
      <c r="B141" s="118"/>
      <c r="C141" s="119" t="s">
        <v>265</v>
      </c>
      <c r="D141" s="119" t="s">
        <v>231</v>
      </c>
      <c r="E141" s="120" t="s">
        <v>2779</v>
      </c>
      <c r="F141" s="121" t="s">
        <v>2780</v>
      </c>
      <c r="G141" s="122" t="s">
        <v>1194</v>
      </c>
      <c r="H141" s="123">
        <v>3</v>
      </c>
      <c r="I141" s="124">
        <v>11.35</v>
      </c>
      <c r="J141" s="124">
        <f>ROUND(I141*H141,2)</f>
        <v>34.049999999999997</v>
      </c>
      <c r="K141" s="121" t="s">
        <v>1</v>
      </c>
      <c r="L141" s="24"/>
      <c r="M141" s="125" t="s">
        <v>1</v>
      </c>
      <c r="N141" s="126" t="s">
        <v>32</v>
      </c>
      <c r="O141" s="127">
        <v>0</v>
      </c>
      <c r="P141" s="127">
        <f>O141*H141</f>
        <v>0</v>
      </c>
      <c r="Q141" s="127">
        <v>0</v>
      </c>
      <c r="R141" s="127">
        <f>Q141*H141</f>
        <v>0</v>
      </c>
      <c r="S141" s="127">
        <v>0</v>
      </c>
      <c r="T141" s="128">
        <f>S141*H141</f>
        <v>0</v>
      </c>
      <c r="AR141" s="129" t="s">
        <v>235</v>
      </c>
      <c r="AT141" s="129" t="s">
        <v>231</v>
      </c>
      <c r="AU141" s="129" t="s">
        <v>76</v>
      </c>
      <c r="AY141" s="13" t="s">
        <v>228</v>
      </c>
      <c r="BE141" s="130">
        <f>IF(N141="základná",J141,0)</f>
        <v>0</v>
      </c>
      <c r="BF141" s="130">
        <f>IF(N141="znížená",J141,0)</f>
        <v>34.049999999999997</v>
      </c>
      <c r="BG141" s="130">
        <f>IF(N141="zákl. prenesená",J141,0)</f>
        <v>0</v>
      </c>
      <c r="BH141" s="130">
        <f>IF(N141="zníž. prenesená",J141,0)</f>
        <v>0</v>
      </c>
      <c r="BI141" s="130">
        <f>IF(N141="nulová",J141,0)</f>
        <v>0</v>
      </c>
      <c r="BJ141" s="13" t="s">
        <v>76</v>
      </c>
      <c r="BK141" s="130">
        <f>ROUND(I141*H141,2)</f>
        <v>34.049999999999997</v>
      </c>
      <c r="BL141" s="13" t="s">
        <v>235</v>
      </c>
      <c r="BM141" s="129" t="s">
        <v>268</v>
      </c>
    </row>
    <row r="142" spans="2:65" s="1" customFormat="1" ht="16.5" customHeight="1" x14ac:dyDescent="0.2">
      <c r="B142" s="118"/>
      <c r="C142" s="119" t="s">
        <v>251</v>
      </c>
      <c r="D142" s="119" t="s">
        <v>231</v>
      </c>
      <c r="E142" s="120" t="s">
        <v>2781</v>
      </c>
      <c r="F142" s="121" t="s">
        <v>2782</v>
      </c>
      <c r="G142" s="122" t="s">
        <v>1194</v>
      </c>
      <c r="H142" s="123">
        <v>1</v>
      </c>
      <c r="I142" s="124">
        <v>30.05</v>
      </c>
      <c r="J142" s="124">
        <f>ROUND(I142*H142,2)</f>
        <v>30.05</v>
      </c>
      <c r="K142" s="121" t="s">
        <v>1</v>
      </c>
      <c r="L142" s="24"/>
      <c r="M142" s="125" t="s">
        <v>1</v>
      </c>
      <c r="N142" s="126" t="s">
        <v>32</v>
      </c>
      <c r="O142" s="127">
        <v>0</v>
      </c>
      <c r="P142" s="127">
        <f>O142*H142</f>
        <v>0</v>
      </c>
      <c r="Q142" s="127">
        <v>0</v>
      </c>
      <c r="R142" s="127">
        <f>Q142*H142</f>
        <v>0</v>
      </c>
      <c r="S142" s="127">
        <v>0</v>
      </c>
      <c r="T142" s="128">
        <f>S142*H142</f>
        <v>0</v>
      </c>
      <c r="AR142" s="129" t="s">
        <v>235</v>
      </c>
      <c r="AT142" s="129" t="s">
        <v>231</v>
      </c>
      <c r="AU142" s="129" t="s">
        <v>76</v>
      </c>
      <c r="AY142" s="13" t="s">
        <v>228</v>
      </c>
      <c r="BE142" s="130">
        <f>IF(N142="základná",J142,0)</f>
        <v>0</v>
      </c>
      <c r="BF142" s="130">
        <f>IF(N142="znížená",J142,0)</f>
        <v>30.05</v>
      </c>
      <c r="BG142" s="130">
        <f>IF(N142="zákl. prenesená",J142,0)</f>
        <v>0</v>
      </c>
      <c r="BH142" s="130">
        <f>IF(N142="zníž. prenesená",J142,0)</f>
        <v>0</v>
      </c>
      <c r="BI142" s="130">
        <f>IF(N142="nulová",J142,0)</f>
        <v>0</v>
      </c>
      <c r="BJ142" s="13" t="s">
        <v>76</v>
      </c>
      <c r="BK142" s="130">
        <f>ROUND(I142*H142,2)</f>
        <v>30.05</v>
      </c>
      <c r="BL142" s="13" t="s">
        <v>235</v>
      </c>
      <c r="BM142" s="129" t="s">
        <v>272</v>
      </c>
    </row>
    <row r="143" spans="2:65" s="11" customFormat="1" ht="22.95" customHeight="1" x14ac:dyDescent="0.25">
      <c r="B143" s="106"/>
      <c r="D143" s="107" t="s">
        <v>57</v>
      </c>
      <c r="E143" s="116" t="s">
        <v>1247</v>
      </c>
      <c r="F143" s="116" t="s">
        <v>2783</v>
      </c>
      <c r="J143" s="117">
        <f>BK143</f>
        <v>3776.8400000000011</v>
      </c>
      <c r="L143" s="106"/>
      <c r="M143" s="110"/>
      <c r="N143" s="111"/>
      <c r="O143" s="111"/>
      <c r="P143" s="112">
        <f>SUM(P144:P172)</f>
        <v>0</v>
      </c>
      <c r="Q143" s="111"/>
      <c r="R143" s="112">
        <f>SUM(R144:R172)</f>
        <v>0</v>
      </c>
      <c r="S143" s="111"/>
      <c r="T143" s="113">
        <f>SUM(T144:T172)</f>
        <v>0</v>
      </c>
      <c r="AR143" s="107" t="s">
        <v>63</v>
      </c>
      <c r="AT143" s="114" t="s">
        <v>57</v>
      </c>
      <c r="AU143" s="114" t="s">
        <v>63</v>
      </c>
      <c r="AY143" s="107" t="s">
        <v>228</v>
      </c>
      <c r="BK143" s="115">
        <f>SUM(BK144:BK172)</f>
        <v>3776.8400000000011</v>
      </c>
    </row>
    <row r="144" spans="2:65" s="1" customFormat="1" ht="16.5" customHeight="1" x14ac:dyDescent="0.2">
      <c r="B144" s="118"/>
      <c r="C144" s="119" t="s">
        <v>273</v>
      </c>
      <c r="D144" s="119" t="s">
        <v>231</v>
      </c>
      <c r="E144" s="120" t="s">
        <v>2784</v>
      </c>
      <c r="F144" s="121" t="s">
        <v>2785</v>
      </c>
      <c r="G144" s="122" t="s">
        <v>292</v>
      </c>
      <c r="H144" s="123">
        <v>40</v>
      </c>
      <c r="I144" s="124">
        <v>1.47</v>
      </c>
      <c r="J144" s="124">
        <f t="shared" ref="J144:J172" si="10">ROUND(I144*H144,2)</f>
        <v>58.8</v>
      </c>
      <c r="K144" s="121" t="s">
        <v>1</v>
      </c>
      <c r="L144" s="24"/>
      <c r="M144" s="125" t="s">
        <v>1</v>
      </c>
      <c r="N144" s="126" t="s">
        <v>32</v>
      </c>
      <c r="O144" s="127">
        <v>0</v>
      </c>
      <c r="P144" s="127">
        <f t="shared" ref="P144:P172" si="11">O144*H144</f>
        <v>0</v>
      </c>
      <c r="Q144" s="127">
        <v>0</v>
      </c>
      <c r="R144" s="127">
        <f t="shared" ref="R144:R172" si="12">Q144*H144</f>
        <v>0</v>
      </c>
      <c r="S144" s="127">
        <v>0</v>
      </c>
      <c r="T144" s="128">
        <f t="shared" ref="T144:T172" si="13">S144*H144</f>
        <v>0</v>
      </c>
      <c r="AR144" s="129" t="s">
        <v>235</v>
      </c>
      <c r="AT144" s="129" t="s">
        <v>231</v>
      </c>
      <c r="AU144" s="129" t="s">
        <v>76</v>
      </c>
      <c r="AY144" s="13" t="s">
        <v>228</v>
      </c>
      <c r="BE144" s="130">
        <f t="shared" ref="BE144:BE172" si="14">IF(N144="základná",J144,0)</f>
        <v>0</v>
      </c>
      <c r="BF144" s="130">
        <f t="shared" ref="BF144:BF172" si="15">IF(N144="znížená",J144,0)</f>
        <v>58.8</v>
      </c>
      <c r="BG144" s="130">
        <f t="shared" ref="BG144:BG172" si="16">IF(N144="zákl. prenesená",J144,0)</f>
        <v>0</v>
      </c>
      <c r="BH144" s="130">
        <f t="shared" ref="BH144:BH172" si="17">IF(N144="zníž. prenesená",J144,0)</f>
        <v>0</v>
      </c>
      <c r="BI144" s="130">
        <f t="shared" ref="BI144:BI172" si="18">IF(N144="nulová",J144,0)</f>
        <v>0</v>
      </c>
      <c r="BJ144" s="13" t="s">
        <v>76</v>
      </c>
      <c r="BK144" s="130">
        <f t="shared" ref="BK144:BK172" si="19">ROUND(I144*H144,2)</f>
        <v>58.8</v>
      </c>
      <c r="BL144" s="13" t="s">
        <v>235</v>
      </c>
      <c r="BM144" s="129" t="s">
        <v>276</v>
      </c>
    </row>
    <row r="145" spans="2:65" s="1" customFormat="1" ht="24" customHeight="1" x14ac:dyDescent="0.2">
      <c r="B145" s="118"/>
      <c r="C145" s="119" t="s">
        <v>255</v>
      </c>
      <c r="D145" s="119" t="s">
        <v>231</v>
      </c>
      <c r="E145" s="120" t="s">
        <v>2786</v>
      </c>
      <c r="F145" s="121" t="s">
        <v>2787</v>
      </c>
      <c r="G145" s="122" t="s">
        <v>292</v>
      </c>
      <c r="H145" s="123">
        <v>50</v>
      </c>
      <c r="I145" s="124">
        <v>1.24</v>
      </c>
      <c r="J145" s="124">
        <f t="shared" si="10"/>
        <v>62</v>
      </c>
      <c r="K145" s="121" t="s">
        <v>1</v>
      </c>
      <c r="L145" s="24"/>
      <c r="M145" s="125" t="s">
        <v>1</v>
      </c>
      <c r="N145" s="126" t="s">
        <v>32</v>
      </c>
      <c r="O145" s="127">
        <v>0</v>
      </c>
      <c r="P145" s="127">
        <f t="shared" si="11"/>
        <v>0</v>
      </c>
      <c r="Q145" s="127">
        <v>0</v>
      </c>
      <c r="R145" s="127">
        <f t="shared" si="12"/>
        <v>0</v>
      </c>
      <c r="S145" s="127">
        <v>0</v>
      </c>
      <c r="T145" s="128">
        <f t="shared" si="13"/>
        <v>0</v>
      </c>
      <c r="AR145" s="129" t="s">
        <v>235</v>
      </c>
      <c r="AT145" s="129" t="s">
        <v>231</v>
      </c>
      <c r="AU145" s="129" t="s">
        <v>76</v>
      </c>
      <c r="AY145" s="13" t="s">
        <v>228</v>
      </c>
      <c r="BE145" s="130">
        <f t="shared" si="14"/>
        <v>0</v>
      </c>
      <c r="BF145" s="130">
        <f t="shared" si="15"/>
        <v>62</v>
      </c>
      <c r="BG145" s="130">
        <f t="shared" si="16"/>
        <v>0</v>
      </c>
      <c r="BH145" s="130">
        <f t="shared" si="17"/>
        <v>0</v>
      </c>
      <c r="BI145" s="130">
        <f t="shared" si="18"/>
        <v>0</v>
      </c>
      <c r="BJ145" s="13" t="s">
        <v>76</v>
      </c>
      <c r="BK145" s="130">
        <f t="shared" si="19"/>
        <v>62</v>
      </c>
      <c r="BL145" s="13" t="s">
        <v>235</v>
      </c>
      <c r="BM145" s="129" t="s">
        <v>280</v>
      </c>
    </row>
    <row r="146" spans="2:65" s="1" customFormat="1" ht="24" customHeight="1" x14ac:dyDescent="0.2">
      <c r="B146" s="118"/>
      <c r="C146" s="119" t="s">
        <v>281</v>
      </c>
      <c r="D146" s="119" t="s">
        <v>231</v>
      </c>
      <c r="E146" s="120" t="s">
        <v>2788</v>
      </c>
      <c r="F146" s="121" t="s">
        <v>2789</v>
      </c>
      <c r="G146" s="122" t="s">
        <v>292</v>
      </c>
      <c r="H146" s="123">
        <v>50</v>
      </c>
      <c r="I146" s="124">
        <v>1.24</v>
      </c>
      <c r="J146" s="124">
        <f t="shared" si="10"/>
        <v>62</v>
      </c>
      <c r="K146" s="121" t="s">
        <v>1</v>
      </c>
      <c r="L146" s="24"/>
      <c r="M146" s="125" t="s">
        <v>1</v>
      </c>
      <c r="N146" s="126" t="s">
        <v>32</v>
      </c>
      <c r="O146" s="127">
        <v>0</v>
      </c>
      <c r="P146" s="127">
        <f t="shared" si="11"/>
        <v>0</v>
      </c>
      <c r="Q146" s="127">
        <v>0</v>
      </c>
      <c r="R146" s="127">
        <f t="shared" si="12"/>
        <v>0</v>
      </c>
      <c r="S146" s="127">
        <v>0</v>
      </c>
      <c r="T146" s="128">
        <f t="shared" si="13"/>
        <v>0</v>
      </c>
      <c r="AR146" s="129" t="s">
        <v>235</v>
      </c>
      <c r="AT146" s="129" t="s">
        <v>231</v>
      </c>
      <c r="AU146" s="129" t="s">
        <v>76</v>
      </c>
      <c r="AY146" s="13" t="s">
        <v>228</v>
      </c>
      <c r="BE146" s="130">
        <f t="shared" si="14"/>
        <v>0</v>
      </c>
      <c r="BF146" s="130">
        <f t="shared" si="15"/>
        <v>62</v>
      </c>
      <c r="BG146" s="130">
        <f t="shared" si="16"/>
        <v>0</v>
      </c>
      <c r="BH146" s="130">
        <f t="shared" si="17"/>
        <v>0</v>
      </c>
      <c r="BI146" s="130">
        <f t="shared" si="18"/>
        <v>0</v>
      </c>
      <c r="BJ146" s="13" t="s">
        <v>76</v>
      </c>
      <c r="BK146" s="130">
        <f t="shared" si="19"/>
        <v>62</v>
      </c>
      <c r="BL146" s="13" t="s">
        <v>235</v>
      </c>
      <c r="BM146" s="129" t="s">
        <v>285</v>
      </c>
    </row>
    <row r="147" spans="2:65" s="1" customFormat="1" ht="24" customHeight="1" x14ac:dyDescent="0.2">
      <c r="B147" s="118"/>
      <c r="C147" s="119" t="s">
        <v>258</v>
      </c>
      <c r="D147" s="119" t="s">
        <v>231</v>
      </c>
      <c r="E147" s="120" t="s">
        <v>2790</v>
      </c>
      <c r="F147" s="121" t="s">
        <v>2791</v>
      </c>
      <c r="G147" s="122" t="s">
        <v>292</v>
      </c>
      <c r="H147" s="123">
        <v>50</v>
      </c>
      <c r="I147" s="124">
        <v>1.24</v>
      </c>
      <c r="J147" s="124">
        <f t="shared" si="10"/>
        <v>62</v>
      </c>
      <c r="K147" s="121" t="s">
        <v>1</v>
      </c>
      <c r="L147" s="24"/>
      <c r="M147" s="125" t="s">
        <v>1</v>
      </c>
      <c r="N147" s="126" t="s">
        <v>32</v>
      </c>
      <c r="O147" s="127">
        <v>0</v>
      </c>
      <c r="P147" s="127">
        <f t="shared" si="11"/>
        <v>0</v>
      </c>
      <c r="Q147" s="127">
        <v>0</v>
      </c>
      <c r="R147" s="127">
        <f t="shared" si="12"/>
        <v>0</v>
      </c>
      <c r="S147" s="127">
        <v>0</v>
      </c>
      <c r="T147" s="128">
        <f t="shared" si="13"/>
        <v>0</v>
      </c>
      <c r="AR147" s="129" t="s">
        <v>235</v>
      </c>
      <c r="AT147" s="129" t="s">
        <v>231</v>
      </c>
      <c r="AU147" s="129" t="s">
        <v>76</v>
      </c>
      <c r="AY147" s="13" t="s">
        <v>228</v>
      </c>
      <c r="BE147" s="130">
        <f t="shared" si="14"/>
        <v>0</v>
      </c>
      <c r="BF147" s="130">
        <f t="shared" si="15"/>
        <v>62</v>
      </c>
      <c r="BG147" s="130">
        <f t="shared" si="16"/>
        <v>0</v>
      </c>
      <c r="BH147" s="130">
        <f t="shared" si="17"/>
        <v>0</v>
      </c>
      <c r="BI147" s="130">
        <f t="shared" si="18"/>
        <v>0</v>
      </c>
      <c r="BJ147" s="13" t="s">
        <v>76</v>
      </c>
      <c r="BK147" s="130">
        <f t="shared" si="19"/>
        <v>62</v>
      </c>
      <c r="BL147" s="13" t="s">
        <v>235</v>
      </c>
      <c r="BM147" s="129" t="s">
        <v>288</v>
      </c>
    </row>
    <row r="148" spans="2:65" s="1" customFormat="1" ht="16.5" customHeight="1" x14ac:dyDescent="0.2">
      <c r="B148" s="118"/>
      <c r="C148" s="119" t="s">
        <v>289</v>
      </c>
      <c r="D148" s="119" t="s">
        <v>231</v>
      </c>
      <c r="E148" s="120" t="s">
        <v>2792</v>
      </c>
      <c r="F148" s="121" t="s">
        <v>2793</v>
      </c>
      <c r="G148" s="122" t="s">
        <v>292</v>
      </c>
      <c r="H148" s="123">
        <v>120</v>
      </c>
      <c r="I148" s="124">
        <v>1.24</v>
      </c>
      <c r="J148" s="124">
        <f t="shared" si="10"/>
        <v>148.80000000000001</v>
      </c>
      <c r="K148" s="121" t="s">
        <v>1</v>
      </c>
      <c r="L148" s="24"/>
      <c r="M148" s="125" t="s">
        <v>1</v>
      </c>
      <c r="N148" s="126" t="s">
        <v>32</v>
      </c>
      <c r="O148" s="127">
        <v>0</v>
      </c>
      <c r="P148" s="127">
        <f t="shared" si="11"/>
        <v>0</v>
      </c>
      <c r="Q148" s="127">
        <v>0</v>
      </c>
      <c r="R148" s="127">
        <f t="shared" si="12"/>
        <v>0</v>
      </c>
      <c r="S148" s="127">
        <v>0</v>
      </c>
      <c r="T148" s="128">
        <f t="shared" si="13"/>
        <v>0</v>
      </c>
      <c r="AR148" s="129" t="s">
        <v>235</v>
      </c>
      <c r="AT148" s="129" t="s">
        <v>231</v>
      </c>
      <c r="AU148" s="129" t="s">
        <v>76</v>
      </c>
      <c r="AY148" s="13" t="s">
        <v>228</v>
      </c>
      <c r="BE148" s="130">
        <f t="shared" si="14"/>
        <v>0</v>
      </c>
      <c r="BF148" s="130">
        <f t="shared" si="15"/>
        <v>148.80000000000001</v>
      </c>
      <c r="BG148" s="130">
        <f t="shared" si="16"/>
        <v>0</v>
      </c>
      <c r="BH148" s="130">
        <f t="shared" si="17"/>
        <v>0</v>
      </c>
      <c r="BI148" s="130">
        <f t="shared" si="18"/>
        <v>0</v>
      </c>
      <c r="BJ148" s="13" t="s">
        <v>76</v>
      </c>
      <c r="BK148" s="130">
        <f t="shared" si="19"/>
        <v>148.80000000000001</v>
      </c>
      <c r="BL148" s="13" t="s">
        <v>235</v>
      </c>
      <c r="BM148" s="129" t="s">
        <v>293</v>
      </c>
    </row>
    <row r="149" spans="2:65" s="1" customFormat="1" ht="16.5" customHeight="1" x14ac:dyDescent="0.2">
      <c r="B149" s="118"/>
      <c r="C149" s="119" t="s">
        <v>262</v>
      </c>
      <c r="D149" s="119" t="s">
        <v>231</v>
      </c>
      <c r="E149" s="120" t="s">
        <v>2794</v>
      </c>
      <c r="F149" s="121" t="s">
        <v>2795</v>
      </c>
      <c r="G149" s="122" t="s">
        <v>292</v>
      </c>
      <c r="H149" s="123">
        <v>120</v>
      </c>
      <c r="I149" s="124">
        <v>1.24</v>
      </c>
      <c r="J149" s="124">
        <f t="shared" si="10"/>
        <v>148.80000000000001</v>
      </c>
      <c r="K149" s="121" t="s">
        <v>1</v>
      </c>
      <c r="L149" s="24"/>
      <c r="M149" s="125" t="s">
        <v>1</v>
      </c>
      <c r="N149" s="126" t="s">
        <v>32</v>
      </c>
      <c r="O149" s="127">
        <v>0</v>
      </c>
      <c r="P149" s="127">
        <f t="shared" si="11"/>
        <v>0</v>
      </c>
      <c r="Q149" s="127">
        <v>0</v>
      </c>
      <c r="R149" s="127">
        <f t="shared" si="12"/>
        <v>0</v>
      </c>
      <c r="S149" s="127">
        <v>0</v>
      </c>
      <c r="T149" s="128">
        <f t="shared" si="13"/>
        <v>0</v>
      </c>
      <c r="AR149" s="129" t="s">
        <v>235</v>
      </c>
      <c r="AT149" s="129" t="s">
        <v>231</v>
      </c>
      <c r="AU149" s="129" t="s">
        <v>76</v>
      </c>
      <c r="AY149" s="13" t="s">
        <v>228</v>
      </c>
      <c r="BE149" s="130">
        <f t="shared" si="14"/>
        <v>0</v>
      </c>
      <c r="BF149" s="130">
        <f t="shared" si="15"/>
        <v>148.80000000000001</v>
      </c>
      <c r="BG149" s="130">
        <f t="shared" si="16"/>
        <v>0</v>
      </c>
      <c r="BH149" s="130">
        <f t="shared" si="17"/>
        <v>0</v>
      </c>
      <c r="BI149" s="130">
        <f t="shared" si="18"/>
        <v>0</v>
      </c>
      <c r="BJ149" s="13" t="s">
        <v>76</v>
      </c>
      <c r="BK149" s="130">
        <f t="shared" si="19"/>
        <v>148.80000000000001</v>
      </c>
      <c r="BL149" s="13" t="s">
        <v>235</v>
      </c>
      <c r="BM149" s="129" t="s">
        <v>296</v>
      </c>
    </row>
    <row r="150" spans="2:65" s="1" customFormat="1" ht="16.5" customHeight="1" x14ac:dyDescent="0.2">
      <c r="B150" s="118"/>
      <c r="C150" s="119" t="s">
        <v>297</v>
      </c>
      <c r="D150" s="119" t="s">
        <v>231</v>
      </c>
      <c r="E150" s="120" t="s">
        <v>2796</v>
      </c>
      <c r="F150" s="121" t="s">
        <v>2797</v>
      </c>
      <c r="G150" s="122" t="s">
        <v>292</v>
      </c>
      <c r="H150" s="123">
        <v>80</v>
      </c>
      <c r="I150" s="124">
        <v>0.8</v>
      </c>
      <c r="J150" s="124">
        <f t="shared" si="10"/>
        <v>64</v>
      </c>
      <c r="K150" s="121" t="s">
        <v>1</v>
      </c>
      <c r="L150" s="24"/>
      <c r="M150" s="125" t="s">
        <v>1</v>
      </c>
      <c r="N150" s="126" t="s">
        <v>32</v>
      </c>
      <c r="O150" s="127">
        <v>0</v>
      </c>
      <c r="P150" s="127">
        <f t="shared" si="11"/>
        <v>0</v>
      </c>
      <c r="Q150" s="127">
        <v>0</v>
      </c>
      <c r="R150" s="127">
        <f t="shared" si="12"/>
        <v>0</v>
      </c>
      <c r="S150" s="127">
        <v>0</v>
      </c>
      <c r="T150" s="128">
        <f t="shared" si="13"/>
        <v>0</v>
      </c>
      <c r="AR150" s="129" t="s">
        <v>235</v>
      </c>
      <c r="AT150" s="129" t="s">
        <v>231</v>
      </c>
      <c r="AU150" s="129" t="s">
        <v>76</v>
      </c>
      <c r="AY150" s="13" t="s">
        <v>228</v>
      </c>
      <c r="BE150" s="130">
        <f t="shared" si="14"/>
        <v>0</v>
      </c>
      <c r="BF150" s="130">
        <f t="shared" si="15"/>
        <v>64</v>
      </c>
      <c r="BG150" s="130">
        <f t="shared" si="16"/>
        <v>0</v>
      </c>
      <c r="BH150" s="130">
        <f t="shared" si="17"/>
        <v>0</v>
      </c>
      <c r="BI150" s="130">
        <f t="shared" si="18"/>
        <v>0</v>
      </c>
      <c r="BJ150" s="13" t="s">
        <v>76</v>
      </c>
      <c r="BK150" s="130">
        <f t="shared" si="19"/>
        <v>64</v>
      </c>
      <c r="BL150" s="13" t="s">
        <v>235</v>
      </c>
      <c r="BM150" s="129" t="s">
        <v>300</v>
      </c>
    </row>
    <row r="151" spans="2:65" s="1" customFormat="1" ht="24" customHeight="1" x14ac:dyDescent="0.2">
      <c r="B151" s="118"/>
      <c r="C151" s="119" t="s">
        <v>7</v>
      </c>
      <c r="D151" s="119" t="s">
        <v>231</v>
      </c>
      <c r="E151" s="120" t="s">
        <v>2798</v>
      </c>
      <c r="F151" s="121" t="s">
        <v>2799</v>
      </c>
      <c r="G151" s="122" t="s">
        <v>292</v>
      </c>
      <c r="H151" s="123">
        <v>80</v>
      </c>
      <c r="I151" s="124">
        <v>0.8</v>
      </c>
      <c r="J151" s="124">
        <f t="shared" si="10"/>
        <v>64</v>
      </c>
      <c r="K151" s="121" t="s">
        <v>1</v>
      </c>
      <c r="L151" s="24"/>
      <c r="M151" s="125" t="s">
        <v>1</v>
      </c>
      <c r="N151" s="126" t="s">
        <v>32</v>
      </c>
      <c r="O151" s="127">
        <v>0</v>
      </c>
      <c r="P151" s="127">
        <f t="shared" si="11"/>
        <v>0</v>
      </c>
      <c r="Q151" s="127">
        <v>0</v>
      </c>
      <c r="R151" s="127">
        <f t="shared" si="12"/>
        <v>0</v>
      </c>
      <c r="S151" s="127">
        <v>0</v>
      </c>
      <c r="T151" s="128">
        <f t="shared" si="13"/>
        <v>0</v>
      </c>
      <c r="AR151" s="129" t="s">
        <v>235</v>
      </c>
      <c r="AT151" s="129" t="s">
        <v>231</v>
      </c>
      <c r="AU151" s="129" t="s">
        <v>76</v>
      </c>
      <c r="AY151" s="13" t="s">
        <v>228</v>
      </c>
      <c r="BE151" s="130">
        <f t="shared" si="14"/>
        <v>0</v>
      </c>
      <c r="BF151" s="130">
        <f t="shared" si="15"/>
        <v>64</v>
      </c>
      <c r="BG151" s="130">
        <f t="shared" si="16"/>
        <v>0</v>
      </c>
      <c r="BH151" s="130">
        <f t="shared" si="17"/>
        <v>0</v>
      </c>
      <c r="BI151" s="130">
        <f t="shared" si="18"/>
        <v>0</v>
      </c>
      <c r="BJ151" s="13" t="s">
        <v>76</v>
      </c>
      <c r="BK151" s="130">
        <f t="shared" si="19"/>
        <v>64</v>
      </c>
      <c r="BL151" s="13" t="s">
        <v>235</v>
      </c>
      <c r="BM151" s="129" t="s">
        <v>303</v>
      </c>
    </row>
    <row r="152" spans="2:65" s="1" customFormat="1" ht="24" customHeight="1" x14ac:dyDescent="0.2">
      <c r="B152" s="118"/>
      <c r="C152" s="119" t="s">
        <v>305</v>
      </c>
      <c r="D152" s="119" t="s">
        <v>231</v>
      </c>
      <c r="E152" s="120" t="s">
        <v>2800</v>
      </c>
      <c r="F152" s="121" t="s">
        <v>2801</v>
      </c>
      <c r="G152" s="122" t="s">
        <v>1194</v>
      </c>
      <c r="H152" s="123">
        <v>22</v>
      </c>
      <c r="I152" s="124">
        <v>6.4</v>
      </c>
      <c r="J152" s="124">
        <f t="shared" si="10"/>
        <v>140.80000000000001</v>
      </c>
      <c r="K152" s="121" t="s">
        <v>1</v>
      </c>
      <c r="L152" s="24"/>
      <c r="M152" s="125" t="s">
        <v>1</v>
      </c>
      <c r="N152" s="126" t="s">
        <v>32</v>
      </c>
      <c r="O152" s="127">
        <v>0</v>
      </c>
      <c r="P152" s="127">
        <f t="shared" si="11"/>
        <v>0</v>
      </c>
      <c r="Q152" s="127">
        <v>0</v>
      </c>
      <c r="R152" s="127">
        <f t="shared" si="12"/>
        <v>0</v>
      </c>
      <c r="S152" s="127">
        <v>0</v>
      </c>
      <c r="T152" s="128">
        <f t="shared" si="13"/>
        <v>0</v>
      </c>
      <c r="AR152" s="129" t="s">
        <v>235</v>
      </c>
      <c r="AT152" s="129" t="s">
        <v>231</v>
      </c>
      <c r="AU152" s="129" t="s">
        <v>76</v>
      </c>
      <c r="AY152" s="13" t="s">
        <v>228</v>
      </c>
      <c r="BE152" s="130">
        <f t="shared" si="14"/>
        <v>0</v>
      </c>
      <c r="BF152" s="130">
        <f t="shared" si="15"/>
        <v>140.80000000000001</v>
      </c>
      <c r="BG152" s="130">
        <f t="shared" si="16"/>
        <v>0</v>
      </c>
      <c r="BH152" s="130">
        <f t="shared" si="17"/>
        <v>0</v>
      </c>
      <c r="BI152" s="130">
        <f t="shared" si="18"/>
        <v>0</v>
      </c>
      <c r="BJ152" s="13" t="s">
        <v>76</v>
      </c>
      <c r="BK152" s="130">
        <f t="shared" si="19"/>
        <v>140.80000000000001</v>
      </c>
      <c r="BL152" s="13" t="s">
        <v>235</v>
      </c>
      <c r="BM152" s="129" t="s">
        <v>308</v>
      </c>
    </row>
    <row r="153" spans="2:65" s="1" customFormat="1" ht="24" customHeight="1" x14ac:dyDescent="0.2">
      <c r="B153" s="118"/>
      <c r="C153" s="119" t="s">
        <v>268</v>
      </c>
      <c r="D153" s="119" t="s">
        <v>231</v>
      </c>
      <c r="E153" s="120" t="s">
        <v>2802</v>
      </c>
      <c r="F153" s="121" t="s">
        <v>2803</v>
      </c>
      <c r="G153" s="122" t="s">
        <v>1194</v>
      </c>
      <c r="H153" s="123">
        <v>12</v>
      </c>
      <c r="I153" s="124">
        <v>10.88</v>
      </c>
      <c r="J153" s="124">
        <f t="shared" si="10"/>
        <v>130.56</v>
      </c>
      <c r="K153" s="121" t="s">
        <v>1</v>
      </c>
      <c r="L153" s="24"/>
      <c r="M153" s="125" t="s">
        <v>1</v>
      </c>
      <c r="N153" s="126" t="s">
        <v>32</v>
      </c>
      <c r="O153" s="127">
        <v>0</v>
      </c>
      <c r="P153" s="127">
        <f t="shared" si="11"/>
        <v>0</v>
      </c>
      <c r="Q153" s="127">
        <v>0</v>
      </c>
      <c r="R153" s="127">
        <f t="shared" si="12"/>
        <v>0</v>
      </c>
      <c r="S153" s="127">
        <v>0</v>
      </c>
      <c r="T153" s="128">
        <f t="shared" si="13"/>
        <v>0</v>
      </c>
      <c r="AR153" s="129" t="s">
        <v>235</v>
      </c>
      <c r="AT153" s="129" t="s">
        <v>231</v>
      </c>
      <c r="AU153" s="129" t="s">
        <v>76</v>
      </c>
      <c r="AY153" s="13" t="s">
        <v>228</v>
      </c>
      <c r="BE153" s="130">
        <f t="shared" si="14"/>
        <v>0</v>
      </c>
      <c r="BF153" s="130">
        <f t="shared" si="15"/>
        <v>130.56</v>
      </c>
      <c r="BG153" s="130">
        <f t="shared" si="16"/>
        <v>0</v>
      </c>
      <c r="BH153" s="130">
        <f t="shared" si="17"/>
        <v>0</v>
      </c>
      <c r="BI153" s="130">
        <f t="shared" si="18"/>
        <v>0</v>
      </c>
      <c r="BJ153" s="13" t="s">
        <v>76</v>
      </c>
      <c r="BK153" s="130">
        <f t="shared" si="19"/>
        <v>130.56</v>
      </c>
      <c r="BL153" s="13" t="s">
        <v>235</v>
      </c>
      <c r="BM153" s="129" t="s">
        <v>312</v>
      </c>
    </row>
    <row r="154" spans="2:65" s="1" customFormat="1" ht="16.5" customHeight="1" x14ac:dyDescent="0.2">
      <c r="B154" s="118"/>
      <c r="C154" s="119" t="s">
        <v>313</v>
      </c>
      <c r="D154" s="119" t="s">
        <v>231</v>
      </c>
      <c r="E154" s="120" t="s">
        <v>2804</v>
      </c>
      <c r="F154" s="121" t="s">
        <v>2805</v>
      </c>
      <c r="G154" s="122" t="s">
        <v>1194</v>
      </c>
      <c r="H154" s="123">
        <v>41</v>
      </c>
      <c r="I154" s="124">
        <v>1.07</v>
      </c>
      <c r="J154" s="124">
        <f t="shared" si="10"/>
        <v>43.87</v>
      </c>
      <c r="K154" s="121" t="s">
        <v>1</v>
      </c>
      <c r="L154" s="24"/>
      <c r="M154" s="125" t="s">
        <v>1</v>
      </c>
      <c r="N154" s="126" t="s">
        <v>32</v>
      </c>
      <c r="O154" s="127">
        <v>0</v>
      </c>
      <c r="P154" s="127">
        <f t="shared" si="11"/>
        <v>0</v>
      </c>
      <c r="Q154" s="127">
        <v>0</v>
      </c>
      <c r="R154" s="127">
        <f t="shared" si="12"/>
        <v>0</v>
      </c>
      <c r="S154" s="127">
        <v>0</v>
      </c>
      <c r="T154" s="128">
        <f t="shared" si="13"/>
        <v>0</v>
      </c>
      <c r="AR154" s="129" t="s">
        <v>235</v>
      </c>
      <c r="AT154" s="129" t="s">
        <v>231</v>
      </c>
      <c r="AU154" s="129" t="s">
        <v>76</v>
      </c>
      <c r="AY154" s="13" t="s">
        <v>228</v>
      </c>
      <c r="BE154" s="130">
        <f t="shared" si="14"/>
        <v>0</v>
      </c>
      <c r="BF154" s="130">
        <f t="shared" si="15"/>
        <v>43.87</v>
      </c>
      <c r="BG154" s="130">
        <f t="shared" si="16"/>
        <v>0</v>
      </c>
      <c r="BH154" s="130">
        <f t="shared" si="17"/>
        <v>0</v>
      </c>
      <c r="BI154" s="130">
        <f t="shared" si="18"/>
        <v>0</v>
      </c>
      <c r="BJ154" s="13" t="s">
        <v>76</v>
      </c>
      <c r="BK154" s="130">
        <f t="shared" si="19"/>
        <v>43.87</v>
      </c>
      <c r="BL154" s="13" t="s">
        <v>235</v>
      </c>
      <c r="BM154" s="129" t="s">
        <v>316</v>
      </c>
    </row>
    <row r="155" spans="2:65" s="1" customFormat="1" ht="16.5" customHeight="1" x14ac:dyDescent="0.2">
      <c r="B155" s="118"/>
      <c r="C155" s="119" t="s">
        <v>272</v>
      </c>
      <c r="D155" s="119" t="s">
        <v>231</v>
      </c>
      <c r="E155" s="120" t="s">
        <v>2806</v>
      </c>
      <c r="F155" s="121" t="s">
        <v>2807</v>
      </c>
      <c r="G155" s="122" t="s">
        <v>1194</v>
      </c>
      <c r="H155" s="123">
        <v>9</v>
      </c>
      <c r="I155" s="124">
        <v>4.68</v>
      </c>
      <c r="J155" s="124">
        <f t="shared" si="10"/>
        <v>42.12</v>
      </c>
      <c r="K155" s="121" t="s">
        <v>1</v>
      </c>
      <c r="L155" s="24"/>
      <c r="M155" s="125" t="s">
        <v>1</v>
      </c>
      <c r="N155" s="126" t="s">
        <v>32</v>
      </c>
      <c r="O155" s="127">
        <v>0</v>
      </c>
      <c r="P155" s="127">
        <f t="shared" si="11"/>
        <v>0</v>
      </c>
      <c r="Q155" s="127">
        <v>0</v>
      </c>
      <c r="R155" s="127">
        <f t="shared" si="12"/>
        <v>0</v>
      </c>
      <c r="S155" s="127">
        <v>0</v>
      </c>
      <c r="T155" s="128">
        <f t="shared" si="13"/>
        <v>0</v>
      </c>
      <c r="AR155" s="129" t="s">
        <v>235</v>
      </c>
      <c r="AT155" s="129" t="s">
        <v>231</v>
      </c>
      <c r="AU155" s="129" t="s">
        <v>76</v>
      </c>
      <c r="AY155" s="13" t="s">
        <v>228</v>
      </c>
      <c r="BE155" s="130">
        <f t="shared" si="14"/>
        <v>0</v>
      </c>
      <c r="BF155" s="130">
        <f t="shared" si="15"/>
        <v>42.12</v>
      </c>
      <c r="BG155" s="130">
        <f t="shared" si="16"/>
        <v>0</v>
      </c>
      <c r="BH155" s="130">
        <f t="shared" si="17"/>
        <v>0</v>
      </c>
      <c r="BI155" s="130">
        <f t="shared" si="18"/>
        <v>0</v>
      </c>
      <c r="BJ155" s="13" t="s">
        <v>76</v>
      </c>
      <c r="BK155" s="130">
        <f t="shared" si="19"/>
        <v>42.12</v>
      </c>
      <c r="BL155" s="13" t="s">
        <v>235</v>
      </c>
      <c r="BM155" s="129" t="s">
        <v>319</v>
      </c>
    </row>
    <row r="156" spans="2:65" s="1" customFormat="1" ht="24" customHeight="1" x14ac:dyDescent="0.2">
      <c r="B156" s="118"/>
      <c r="C156" s="119" t="s">
        <v>320</v>
      </c>
      <c r="D156" s="119" t="s">
        <v>231</v>
      </c>
      <c r="E156" s="120" t="s">
        <v>2808</v>
      </c>
      <c r="F156" s="121" t="s">
        <v>2809</v>
      </c>
      <c r="G156" s="122" t="s">
        <v>292</v>
      </c>
      <c r="H156" s="123">
        <v>20</v>
      </c>
      <c r="I156" s="124">
        <v>8.7899999999999991</v>
      </c>
      <c r="J156" s="124">
        <f t="shared" si="10"/>
        <v>175.8</v>
      </c>
      <c r="K156" s="121" t="s">
        <v>1</v>
      </c>
      <c r="L156" s="24"/>
      <c r="M156" s="125" t="s">
        <v>1</v>
      </c>
      <c r="N156" s="126" t="s">
        <v>32</v>
      </c>
      <c r="O156" s="127">
        <v>0</v>
      </c>
      <c r="P156" s="127">
        <f t="shared" si="11"/>
        <v>0</v>
      </c>
      <c r="Q156" s="127">
        <v>0</v>
      </c>
      <c r="R156" s="127">
        <f t="shared" si="12"/>
        <v>0</v>
      </c>
      <c r="S156" s="127">
        <v>0</v>
      </c>
      <c r="T156" s="128">
        <f t="shared" si="13"/>
        <v>0</v>
      </c>
      <c r="AR156" s="129" t="s">
        <v>235</v>
      </c>
      <c r="AT156" s="129" t="s">
        <v>231</v>
      </c>
      <c r="AU156" s="129" t="s">
        <v>76</v>
      </c>
      <c r="AY156" s="13" t="s">
        <v>228</v>
      </c>
      <c r="BE156" s="130">
        <f t="shared" si="14"/>
        <v>0</v>
      </c>
      <c r="BF156" s="130">
        <f t="shared" si="15"/>
        <v>175.8</v>
      </c>
      <c r="BG156" s="130">
        <f t="shared" si="16"/>
        <v>0</v>
      </c>
      <c r="BH156" s="130">
        <f t="shared" si="17"/>
        <v>0</v>
      </c>
      <c r="BI156" s="130">
        <f t="shared" si="18"/>
        <v>0</v>
      </c>
      <c r="BJ156" s="13" t="s">
        <v>76</v>
      </c>
      <c r="BK156" s="130">
        <f t="shared" si="19"/>
        <v>175.8</v>
      </c>
      <c r="BL156" s="13" t="s">
        <v>235</v>
      </c>
      <c r="BM156" s="129" t="s">
        <v>323</v>
      </c>
    </row>
    <row r="157" spans="2:65" s="1" customFormat="1" ht="24" customHeight="1" x14ac:dyDescent="0.2">
      <c r="B157" s="118"/>
      <c r="C157" s="119" t="s">
        <v>276</v>
      </c>
      <c r="D157" s="119" t="s">
        <v>231</v>
      </c>
      <c r="E157" s="120" t="s">
        <v>2810</v>
      </c>
      <c r="F157" s="121" t="s">
        <v>2811</v>
      </c>
      <c r="G157" s="122" t="s">
        <v>292</v>
      </c>
      <c r="H157" s="123">
        <v>20</v>
      </c>
      <c r="I157" s="124">
        <v>7.92</v>
      </c>
      <c r="J157" s="124">
        <f t="shared" si="10"/>
        <v>158.4</v>
      </c>
      <c r="K157" s="121" t="s">
        <v>1</v>
      </c>
      <c r="L157" s="24"/>
      <c r="M157" s="125" t="s">
        <v>1</v>
      </c>
      <c r="N157" s="126" t="s">
        <v>32</v>
      </c>
      <c r="O157" s="127">
        <v>0</v>
      </c>
      <c r="P157" s="127">
        <f t="shared" si="11"/>
        <v>0</v>
      </c>
      <c r="Q157" s="127">
        <v>0</v>
      </c>
      <c r="R157" s="127">
        <f t="shared" si="12"/>
        <v>0</v>
      </c>
      <c r="S157" s="127">
        <v>0</v>
      </c>
      <c r="T157" s="128">
        <f t="shared" si="13"/>
        <v>0</v>
      </c>
      <c r="AR157" s="129" t="s">
        <v>235</v>
      </c>
      <c r="AT157" s="129" t="s">
        <v>231</v>
      </c>
      <c r="AU157" s="129" t="s">
        <v>76</v>
      </c>
      <c r="AY157" s="13" t="s">
        <v>228</v>
      </c>
      <c r="BE157" s="130">
        <f t="shared" si="14"/>
        <v>0</v>
      </c>
      <c r="BF157" s="130">
        <f t="shared" si="15"/>
        <v>158.4</v>
      </c>
      <c r="BG157" s="130">
        <f t="shared" si="16"/>
        <v>0</v>
      </c>
      <c r="BH157" s="130">
        <f t="shared" si="17"/>
        <v>0</v>
      </c>
      <c r="BI157" s="130">
        <f t="shared" si="18"/>
        <v>0</v>
      </c>
      <c r="BJ157" s="13" t="s">
        <v>76</v>
      </c>
      <c r="BK157" s="130">
        <f t="shared" si="19"/>
        <v>158.4</v>
      </c>
      <c r="BL157" s="13" t="s">
        <v>235</v>
      </c>
      <c r="BM157" s="129" t="s">
        <v>326</v>
      </c>
    </row>
    <row r="158" spans="2:65" s="1" customFormat="1" ht="24" customHeight="1" x14ac:dyDescent="0.2">
      <c r="B158" s="118"/>
      <c r="C158" s="119" t="s">
        <v>327</v>
      </c>
      <c r="D158" s="119" t="s">
        <v>231</v>
      </c>
      <c r="E158" s="120" t="s">
        <v>2812</v>
      </c>
      <c r="F158" s="121" t="s">
        <v>2813</v>
      </c>
      <c r="G158" s="122" t="s">
        <v>292</v>
      </c>
      <c r="H158" s="123">
        <v>40</v>
      </c>
      <c r="I158" s="124">
        <v>7.92</v>
      </c>
      <c r="J158" s="124">
        <f t="shared" si="10"/>
        <v>316.8</v>
      </c>
      <c r="K158" s="121" t="s">
        <v>1</v>
      </c>
      <c r="L158" s="24"/>
      <c r="M158" s="125" t="s">
        <v>1</v>
      </c>
      <c r="N158" s="126" t="s">
        <v>32</v>
      </c>
      <c r="O158" s="127">
        <v>0</v>
      </c>
      <c r="P158" s="127">
        <f t="shared" si="11"/>
        <v>0</v>
      </c>
      <c r="Q158" s="127">
        <v>0</v>
      </c>
      <c r="R158" s="127">
        <f t="shared" si="12"/>
        <v>0</v>
      </c>
      <c r="S158" s="127">
        <v>0</v>
      </c>
      <c r="T158" s="128">
        <f t="shared" si="13"/>
        <v>0</v>
      </c>
      <c r="AR158" s="129" t="s">
        <v>235</v>
      </c>
      <c r="AT158" s="129" t="s">
        <v>231</v>
      </c>
      <c r="AU158" s="129" t="s">
        <v>76</v>
      </c>
      <c r="AY158" s="13" t="s">
        <v>228</v>
      </c>
      <c r="BE158" s="130">
        <f t="shared" si="14"/>
        <v>0</v>
      </c>
      <c r="BF158" s="130">
        <f t="shared" si="15"/>
        <v>316.8</v>
      </c>
      <c r="BG158" s="130">
        <f t="shared" si="16"/>
        <v>0</v>
      </c>
      <c r="BH158" s="130">
        <f t="shared" si="17"/>
        <v>0</v>
      </c>
      <c r="BI158" s="130">
        <f t="shared" si="18"/>
        <v>0</v>
      </c>
      <c r="BJ158" s="13" t="s">
        <v>76</v>
      </c>
      <c r="BK158" s="130">
        <f t="shared" si="19"/>
        <v>316.8</v>
      </c>
      <c r="BL158" s="13" t="s">
        <v>235</v>
      </c>
      <c r="BM158" s="129" t="s">
        <v>330</v>
      </c>
    </row>
    <row r="159" spans="2:65" s="1" customFormat="1" ht="24" customHeight="1" x14ac:dyDescent="0.2">
      <c r="B159" s="118"/>
      <c r="C159" s="119" t="s">
        <v>280</v>
      </c>
      <c r="D159" s="119" t="s">
        <v>231</v>
      </c>
      <c r="E159" s="120" t="s">
        <v>2814</v>
      </c>
      <c r="F159" s="121" t="s">
        <v>2815</v>
      </c>
      <c r="G159" s="122" t="s">
        <v>292</v>
      </c>
      <c r="H159" s="123">
        <v>27</v>
      </c>
      <c r="I159" s="124">
        <v>1.21</v>
      </c>
      <c r="J159" s="124">
        <f t="shared" si="10"/>
        <v>32.67</v>
      </c>
      <c r="K159" s="121" t="s">
        <v>1</v>
      </c>
      <c r="L159" s="24"/>
      <c r="M159" s="125" t="s">
        <v>1</v>
      </c>
      <c r="N159" s="126" t="s">
        <v>32</v>
      </c>
      <c r="O159" s="127">
        <v>0</v>
      </c>
      <c r="P159" s="127">
        <f t="shared" si="11"/>
        <v>0</v>
      </c>
      <c r="Q159" s="127">
        <v>0</v>
      </c>
      <c r="R159" s="127">
        <f t="shared" si="12"/>
        <v>0</v>
      </c>
      <c r="S159" s="127">
        <v>0</v>
      </c>
      <c r="T159" s="128">
        <f t="shared" si="13"/>
        <v>0</v>
      </c>
      <c r="AR159" s="129" t="s">
        <v>235</v>
      </c>
      <c r="AT159" s="129" t="s">
        <v>231</v>
      </c>
      <c r="AU159" s="129" t="s">
        <v>76</v>
      </c>
      <c r="AY159" s="13" t="s">
        <v>228</v>
      </c>
      <c r="BE159" s="130">
        <f t="shared" si="14"/>
        <v>0</v>
      </c>
      <c r="BF159" s="130">
        <f t="shared" si="15"/>
        <v>32.67</v>
      </c>
      <c r="BG159" s="130">
        <f t="shared" si="16"/>
        <v>0</v>
      </c>
      <c r="BH159" s="130">
        <f t="shared" si="17"/>
        <v>0</v>
      </c>
      <c r="BI159" s="130">
        <f t="shared" si="18"/>
        <v>0</v>
      </c>
      <c r="BJ159" s="13" t="s">
        <v>76</v>
      </c>
      <c r="BK159" s="130">
        <f t="shared" si="19"/>
        <v>32.67</v>
      </c>
      <c r="BL159" s="13" t="s">
        <v>235</v>
      </c>
      <c r="BM159" s="129" t="s">
        <v>333</v>
      </c>
    </row>
    <row r="160" spans="2:65" s="1" customFormat="1" ht="24" customHeight="1" x14ac:dyDescent="0.2">
      <c r="B160" s="118"/>
      <c r="C160" s="119" t="s">
        <v>334</v>
      </c>
      <c r="D160" s="119" t="s">
        <v>231</v>
      </c>
      <c r="E160" s="120" t="s">
        <v>2816</v>
      </c>
      <c r="F160" s="121" t="s">
        <v>2817</v>
      </c>
      <c r="G160" s="122" t="s">
        <v>292</v>
      </c>
      <c r="H160" s="123">
        <v>9</v>
      </c>
      <c r="I160" s="124">
        <v>1.21</v>
      </c>
      <c r="J160" s="124">
        <f t="shared" si="10"/>
        <v>10.89</v>
      </c>
      <c r="K160" s="121" t="s">
        <v>1</v>
      </c>
      <c r="L160" s="24"/>
      <c r="M160" s="125" t="s">
        <v>1</v>
      </c>
      <c r="N160" s="126" t="s">
        <v>32</v>
      </c>
      <c r="O160" s="127">
        <v>0</v>
      </c>
      <c r="P160" s="127">
        <f t="shared" si="11"/>
        <v>0</v>
      </c>
      <c r="Q160" s="127">
        <v>0</v>
      </c>
      <c r="R160" s="127">
        <f t="shared" si="12"/>
        <v>0</v>
      </c>
      <c r="S160" s="127">
        <v>0</v>
      </c>
      <c r="T160" s="128">
        <f t="shared" si="13"/>
        <v>0</v>
      </c>
      <c r="AR160" s="129" t="s">
        <v>235</v>
      </c>
      <c r="AT160" s="129" t="s">
        <v>231</v>
      </c>
      <c r="AU160" s="129" t="s">
        <v>76</v>
      </c>
      <c r="AY160" s="13" t="s">
        <v>228</v>
      </c>
      <c r="BE160" s="130">
        <f t="shared" si="14"/>
        <v>0</v>
      </c>
      <c r="BF160" s="130">
        <f t="shared" si="15"/>
        <v>10.89</v>
      </c>
      <c r="BG160" s="130">
        <f t="shared" si="16"/>
        <v>0</v>
      </c>
      <c r="BH160" s="130">
        <f t="shared" si="17"/>
        <v>0</v>
      </c>
      <c r="BI160" s="130">
        <f t="shared" si="18"/>
        <v>0</v>
      </c>
      <c r="BJ160" s="13" t="s">
        <v>76</v>
      </c>
      <c r="BK160" s="130">
        <f t="shared" si="19"/>
        <v>10.89</v>
      </c>
      <c r="BL160" s="13" t="s">
        <v>235</v>
      </c>
      <c r="BM160" s="129" t="s">
        <v>337</v>
      </c>
    </row>
    <row r="161" spans="2:65" s="1" customFormat="1" ht="24" customHeight="1" x14ac:dyDescent="0.2">
      <c r="B161" s="118"/>
      <c r="C161" s="119" t="s">
        <v>285</v>
      </c>
      <c r="D161" s="119" t="s">
        <v>231</v>
      </c>
      <c r="E161" s="120" t="s">
        <v>2818</v>
      </c>
      <c r="F161" s="121" t="s">
        <v>2819</v>
      </c>
      <c r="G161" s="122" t="s">
        <v>292</v>
      </c>
      <c r="H161" s="123">
        <v>80</v>
      </c>
      <c r="I161" s="124">
        <v>1.68</v>
      </c>
      <c r="J161" s="124">
        <f t="shared" si="10"/>
        <v>134.4</v>
      </c>
      <c r="K161" s="121" t="s">
        <v>1</v>
      </c>
      <c r="L161" s="24"/>
      <c r="M161" s="125" t="s">
        <v>1</v>
      </c>
      <c r="N161" s="126" t="s">
        <v>32</v>
      </c>
      <c r="O161" s="127">
        <v>0</v>
      </c>
      <c r="P161" s="127">
        <f t="shared" si="11"/>
        <v>0</v>
      </c>
      <c r="Q161" s="127">
        <v>0</v>
      </c>
      <c r="R161" s="127">
        <f t="shared" si="12"/>
        <v>0</v>
      </c>
      <c r="S161" s="127">
        <v>0</v>
      </c>
      <c r="T161" s="128">
        <f t="shared" si="13"/>
        <v>0</v>
      </c>
      <c r="AR161" s="129" t="s">
        <v>235</v>
      </c>
      <c r="AT161" s="129" t="s">
        <v>231</v>
      </c>
      <c r="AU161" s="129" t="s">
        <v>76</v>
      </c>
      <c r="AY161" s="13" t="s">
        <v>228</v>
      </c>
      <c r="BE161" s="130">
        <f t="shared" si="14"/>
        <v>0</v>
      </c>
      <c r="BF161" s="130">
        <f t="shared" si="15"/>
        <v>134.4</v>
      </c>
      <c r="BG161" s="130">
        <f t="shared" si="16"/>
        <v>0</v>
      </c>
      <c r="BH161" s="130">
        <f t="shared" si="17"/>
        <v>0</v>
      </c>
      <c r="BI161" s="130">
        <f t="shared" si="18"/>
        <v>0</v>
      </c>
      <c r="BJ161" s="13" t="s">
        <v>76</v>
      </c>
      <c r="BK161" s="130">
        <f t="shared" si="19"/>
        <v>134.4</v>
      </c>
      <c r="BL161" s="13" t="s">
        <v>235</v>
      </c>
      <c r="BM161" s="129" t="s">
        <v>340</v>
      </c>
    </row>
    <row r="162" spans="2:65" s="1" customFormat="1" ht="24" customHeight="1" x14ac:dyDescent="0.2">
      <c r="B162" s="118"/>
      <c r="C162" s="119" t="s">
        <v>341</v>
      </c>
      <c r="D162" s="119" t="s">
        <v>231</v>
      </c>
      <c r="E162" s="120" t="s">
        <v>2820</v>
      </c>
      <c r="F162" s="121" t="s">
        <v>2821</v>
      </c>
      <c r="G162" s="122" t="s">
        <v>292</v>
      </c>
      <c r="H162" s="123">
        <v>16</v>
      </c>
      <c r="I162" s="124">
        <v>5.12</v>
      </c>
      <c r="J162" s="124">
        <f t="shared" si="10"/>
        <v>81.92</v>
      </c>
      <c r="K162" s="121" t="s">
        <v>1</v>
      </c>
      <c r="L162" s="24"/>
      <c r="M162" s="125" t="s">
        <v>1</v>
      </c>
      <c r="N162" s="126" t="s">
        <v>32</v>
      </c>
      <c r="O162" s="127">
        <v>0</v>
      </c>
      <c r="P162" s="127">
        <f t="shared" si="11"/>
        <v>0</v>
      </c>
      <c r="Q162" s="127">
        <v>0</v>
      </c>
      <c r="R162" s="127">
        <f t="shared" si="12"/>
        <v>0</v>
      </c>
      <c r="S162" s="127">
        <v>0</v>
      </c>
      <c r="T162" s="128">
        <f t="shared" si="13"/>
        <v>0</v>
      </c>
      <c r="AR162" s="129" t="s">
        <v>235</v>
      </c>
      <c r="AT162" s="129" t="s">
        <v>231</v>
      </c>
      <c r="AU162" s="129" t="s">
        <v>76</v>
      </c>
      <c r="AY162" s="13" t="s">
        <v>228</v>
      </c>
      <c r="BE162" s="130">
        <f t="shared" si="14"/>
        <v>0</v>
      </c>
      <c r="BF162" s="130">
        <f t="shared" si="15"/>
        <v>81.92</v>
      </c>
      <c r="BG162" s="130">
        <f t="shared" si="16"/>
        <v>0</v>
      </c>
      <c r="BH162" s="130">
        <f t="shared" si="17"/>
        <v>0</v>
      </c>
      <c r="BI162" s="130">
        <f t="shared" si="18"/>
        <v>0</v>
      </c>
      <c r="BJ162" s="13" t="s">
        <v>76</v>
      </c>
      <c r="BK162" s="130">
        <f t="shared" si="19"/>
        <v>81.92</v>
      </c>
      <c r="BL162" s="13" t="s">
        <v>235</v>
      </c>
      <c r="BM162" s="129" t="s">
        <v>344</v>
      </c>
    </row>
    <row r="163" spans="2:65" s="1" customFormat="1" ht="24" customHeight="1" x14ac:dyDescent="0.2">
      <c r="B163" s="118"/>
      <c r="C163" s="119" t="s">
        <v>288</v>
      </c>
      <c r="D163" s="119" t="s">
        <v>231</v>
      </c>
      <c r="E163" s="120" t="s">
        <v>2822</v>
      </c>
      <c r="F163" s="121" t="s">
        <v>2823</v>
      </c>
      <c r="G163" s="122" t="s">
        <v>1194</v>
      </c>
      <c r="H163" s="123">
        <v>4</v>
      </c>
      <c r="I163" s="124">
        <v>3.45</v>
      </c>
      <c r="J163" s="124">
        <f t="shared" si="10"/>
        <v>13.8</v>
      </c>
      <c r="K163" s="121" t="s">
        <v>1</v>
      </c>
      <c r="L163" s="24"/>
      <c r="M163" s="125" t="s">
        <v>1</v>
      </c>
      <c r="N163" s="126" t="s">
        <v>32</v>
      </c>
      <c r="O163" s="127">
        <v>0</v>
      </c>
      <c r="P163" s="127">
        <f t="shared" si="11"/>
        <v>0</v>
      </c>
      <c r="Q163" s="127">
        <v>0</v>
      </c>
      <c r="R163" s="127">
        <f t="shared" si="12"/>
        <v>0</v>
      </c>
      <c r="S163" s="127">
        <v>0</v>
      </c>
      <c r="T163" s="128">
        <f t="shared" si="13"/>
        <v>0</v>
      </c>
      <c r="AR163" s="129" t="s">
        <v>235</v>
      </c>
      <c r="AT163" s="129" t="s">
        <v>231</v>
      </c>
      <c r="AU163" s="129" t="s">
        <v>76</v>
      </c>
      <c r="AY163" s="13" t="s">
        <v>228</v>
      </c>
      <c r="BE163" s="130">
        <f t="shared" si="14"/>
        <v>0</v>
      </c>
      <c r="BF163" s="130">
        <f t="shared" si="15"/>
        <v>13.8</v>
      </c>
      <c r="BG163" s="130">
        <f t="shared" si="16"/>
        <v>0</v>
      </c>
      <c r="BH163" s="130">
        <f t="shared" si="17"/>
        <v>0</v>
      </c>
      <c r="BI163" s="130">
        <f t="shared" si="18"/>
        <v>0</v>
      </c>
      <c r="BJ163" s="13" t="s">
        <v>76</v>
      </c>
      <c r="BK163" s="130">
        <f t="shared" si="19"/>
        <v>13.8</v>
      </c>
      <c r="BL163" s="13" t="s">
        <v>235</v>
      </c>
      <c r="BM163" s="129" t="s">
        <v>347</v>
      </c>
    </row>
    <row r="164" spans="2:65" s="1" customFormat="1" ht="24" customHeight="1" x14ac:dyDescent="0.2">
      <c r="B164" s="118"/>
      <c r="C164" s="119" t="s">
        <v>348</v>
      </c>
      <c r="D164" s="119" t="s">
        <v>231</v>
      </c>
      <c r="E164" s="120" t="s">
        <v>2824</v>
      </c>
      <c r="F164" s="121" t="s">
        <v>2825</v>
      </c>
      <c r="G164" s="122" t="s">
        <v>1194</v>
      </c>
      <c r="H164" s="123">
        <v>4</v>
      </c>
      <c r="I164" s="124">
        <v>3.45</v>
      </c>
      <c r="J164" s="124">
        <f t="shared" si="10"/>
        <v>13.8</v>
      </c>
      <c r="K164" s="121" t="s">
        <v>1</v>
      </c>
      <c r="L164" s="24"/>
      <c r="M164" s="125" t="s">
        <v>1</v>
      </c>
      <c r="N164" s="126" t="s">
        <v>32</v>
      </c>
      <c r="O164" s="127">
        <v>0</v>
      </c>
      <c r="P164" s="127">
        <f t="shared" si="11"/>
        <v>0</v>
      </c>
      <c r="Q164" s="127">
        <v>0</v>
      </c>
      <c r="R164" s="127">
        <f t="shared" si="12"/>
        <v>0</v>
      </c>
      <c r="S164" s="127">
        <v>0</v>
      </c>
      <c r="T164" s="128">
        <f t="shared" si="13"/>
        <v>0</v>
      </c>
      <c r="AR164" s="129" t="s">
        <v>235</v>
      </c>
      <c r="AT164" s="129" t="s">
        <v>231</v>
      </c>
      <c r="AU164" s="129" t="s">
        <v>76</v>
      </c>
      <c r="AY164" s="13" t="s">
        <v>228</v>
      </c>
      <c r="BE164" s="130">
        <f t="shared" si="14"/>
        <v>0</v>
      </c>
      <c r="BF164" s="130">
        <f t="shared" si="15"/>
        <v>13.8</v>
      </c>
      <c r="BG164" s="130">
        <f t="shared" si="16"/>
        <v>0</v>
      </c>
      <c r="BH164" s="130">
        <f t="shared" si="17"/>
        <v>0</v>
      </c>
      <c r="BI164" s="130">
        <f t="shared" si="18"/>
        <v>0</v>
      </c>
      <c r="BJ164" s="13" t="s">
        <v>76</v>
      </c>
      <c r="BK164" s="130">
        <f t="shared" si="19"/>
        <v>13.8</v>
      </c>
      <c r="BL164" s="13" t="s">
        <v>235</v>
      </c>
      <c r="BM164" s="129" t="s">
        <v>351</v>
      </c>
    </row>
    <row r="165" spans="2:65" s="1" customFormat="1" ht="24" customHeight="1" x14ac:dyDescent="0.2">
      <c r="B165" s="118"/>
      <c r="C165" s="119" t="s">
        <v>293</v>
      </c>
      <c r="D165" s="119" t="s">
        <v>231</v>
      </c>
      <c r="E165" s="120" t="s">
        <v>2826</v>
      </c>
      <c r="F165" s="121" t="s">
        <v>2827</v>
      </c>
      <c r="G165" s="122" t="s">
        <v>284</v>
      </c>
      <c r="H165" s="123">
        <v>0.3</v>
      </c>
      <c r="I165" s="124">
        <v>226.98</v>
      </c>
      <c r="J165" s="124">
        <f t="shared" si="10"/>
        <v>68.09</v>
      </c>
      <c r="K165" s="121" t="s">
        <v>1</v>
      </c>
      <c r="L165" s="24"/>
      <c r="M165" s="125" t="s">
        <v>1</v>
      </c>
      <c r="N165" s="126" t="s">
        <v>32</v>
      </c>
      <c r="O165" s="127">
        <v>0</v>
      </c>
      <c r="P165" s="127">
        <f t="shared" si="11"/>
        <v>0</v>
      </c>
      <c r="Q165" s="127">
        <v>0</v>
      </c>
      <c r="R165" s="127">
        <f t="shared" si="12"/>
        <v>0</v>
      </c>
      <c r="S165" s="127">
        <v>0</v>
      </c>
      <c r="T165" s="128">
        <f t="shared" si="13"/>
        <v>0</v>
      </c>
      <c r="AR165" s="129" t="s">
        <v>235</v>
      </c>
      <c r="AT165" s="129" t="s">
        <v>231</v>
      </c>
      <c r="AU165" s="129" t="s">
        <v>76</v>
      </c>
      <c r="AY165" s="13" t="s">
        <v>228</v>
      </c>
      <c r="BE165" s="130">
        <f t="shared" si="14"/>
        <v>0</v>
      </c>
      <c r="BF165" s="130">
        <f t="shared" si="15"/>
        <v>68.09</v>
      </c>
      <c r="BG165" s="130">
        <f t="shared" si="16"/>
        <v>0</v>
      </c>
      <c r="BH165" s="130">
        <f t="shared" si="17"/>
        <v>0</v>
      </c>
      <c r="BI165" s="130">
        <f t="shared" si="18"/>
        <v>0</v>
      </c>
      <c r="BJ165" s="13" t="s">
        <v>76</v>
      </c>
      <c r="BK165" s="130">
        <f t="shared" si="19"/>
        <v>68.09</v>
      </c>
      <c r="BL165" s="13" t="s">
        <v>235</v>
      </c>
      <c r="BM165" s="129" t="s">
        <v>354</v>
      </c>
    </row>
    <row r="166" spans="2:65" s="1" customFormat="1" ht="16.5" customHeight="1" x14ac:dyDescent="0.2">
      <c r="B166" s="118"/>
      <c r="C166" s="119" t="s">
        <v>355</v>
      </c>
      <c r="D166" s="119" t="s">
        <v>231</v>
      </c>
      <c r="E166" s="120" t="s">
        <v>2828</v>
      </c>
      <c r="F166" s="121" t="s">
        <v>2829</v>
      </c>
      <c r="G166" s="122" t="s">
        <v>284</v>
      </c>
      <c r="H166" s="123">
        <v>1</v>
      </c>
      <c r="I166" s="124">
        <v>66.760000000000005</v>
      </c>
      <c r="J166" s="124">
        <f t="shared" si="10"/>
        <v>66.760000000000005</v>
      </c>
      <c r="K166" s="121" t="s">
        <v>1</v>
      </c>
      <c r="L166" s="24"/>
      <c r="M166" s="125" t="s">
        <v>1</v>
      </c>
      <c r="N166" s="126" t="s">
        <v>32</v>
      </c>
      <c r="O166" s="127">
        <v>0</v>
      </c>
      <c r="P166" s="127">
        <f t="shared" si="11"/>
        <v>0</v>
      </c>
      <c r="Q166" s="127">
        <v>0</v>
      </c>
      <c r="R166" s="127">
        <f t="shared" si="12"/>
        <v>0</v>
      </c>
      <c r="S166" s="127">
        <v>0</v>
      </c>
      <c r="T166" s="128">
        <f t="shared" si="13"/>
        <v>0</v>
      </c>
      <c r="AR166" s="129" t="s">
        <v>235</v>
      </c>
      <c r="AT166" s="129" t="s">
        <v>231</v>
      </c>
      <c r="AU166" s="129" t="s">
        <v>76</v>
      </c>
      <c r="AY166" s="13" t="s">
        <v>228</v>
      </c>
      <c r="BE166" s="130">
        <f t="shared" si="14"/>
        <v>0</v>
      </c>
      <c r="BF166" s="130">
        <f t="shared" si="15"/>
        <v>66.760000000000005</v>
      </c>
      <c r="BG166" s="130">
        <f t="shared" si="16"/>
        <v>0</v>
      </c>
      <c r="BH166" s="130">
        <f t="shared" si="17"/>
        <v>0</v>
      </c>
      <c r="BI166" s="130">
        <f t="shared" si="18"/>
        <v>0</v>
      </c>
      <c r="BJ166" s="13" t="s">
        <v>76</v>
      </c>
      <c r="BK166" s="130">
        <f t="shared" si="19"/>
        <v>66.760000000000005</v>
      </c>
      <c r="BL166" s="13" t="s">
        <v>235</v>
      </c>
      <c r="BM166" s="129" t="s">
        <v>358</v>
      </c>
    </row>
    <row r="167" spans="2:65" s="1" customFormat="1" ht="24" customHeight="1" x14ac:dyDescent="0.2">
      <c r="B167" s="118"/>
      <c r="C167" s="119" t="s">
        <v>296</v>
      </c>
      <c r="D167" s="119" t="s">
        <v>231</v>
      </c>
      <c r="E167" s="120" t="s">
        <v>2830</v>
      </c>
      <c r="F167" s="121" t="s">
        <v>2831</v>
      </c>
      <c r="G167" s="122" t="s">
        <v>1035</v>
      </c>
      <c r="H167" s="123">
        <v>80</v>
      </c>
      <c r="I167" s="124">
        <v>2.0099999999999998</v>
      </c>
      <c r="J167" s="124">
        <f t="shared" si="10"/>
        <v>160.80000000000001</v>
      </c>
      <c r="K167" s="121" t="s">
        <v>1</v>
      </c>
      <c r="L167" s="24"/>
      <c r="M167" s="125" t="s">
        <v>1</v>
      </c>
      <c r="N167" s="126" t="s">
        <v>32</v>
      </c>
      <c r="O167" s="127">
        <v>0</v>
      </c>
      <c r="P167" s="127">
        <f t="shared" si="11"/>
        <v>0</v>
      </c>
      <c r="Q167" s="127">
        <v>0</v>
      </c>
      <c r="R167" s="127">
        <f t="shared" si="12"/>
        <v>0</v>
      </c>
      <c r="S167" s="127">
        <v>0</v>
      </c>
      <c r="T167" s="128">
        <f t="shared" si="13"/>
        <v>0</v>
      </c>
      <c r="AR167" s="129" t="s">
        <v>235</v>
      </c>
      <c r="AT167" s="129" t="s">
        <v>231</v>
      </c>
      <c r="AU167" s="129" t="s">
        <v>76</v>
      </c>
      <c r="AY167" s="13" t="s">
        <v>228</v>
      </c>
      <c r="BE167" s="130">
        <f t="shared" si="14"/>
        <v>0</v>
      </c>
      <c r="BF167" s="130">
        <f t="shared" si="15"/>
        <v>160.80000000000001</v>
      </c>
      <c r="BG167" s="130">
        <f t="shared" si="16"/>
        <v>0</v>
      </c>
      <c r="BH167" s="130">
        <f t="shared" si="17"/>
        <v>0</v>
      </c>
      <c r="BI167" s="130">
        <f t="shared" si="18"/>
        <v>0</v>
      </c>
      <c r="BJ167" s="13" t="s">
        <v>76</v>
      </c>
      <c r="BK167" s="130">
        <f t="shared" si="19"/>
        <v>160.80000000000001</v>
      </c>
      <c r="BL167" s="13" t="s">
        <v>235</v>
      </c>
      <c r="BM167" s="129" t="s">
        <v>361</v>
      </c>
    </row>
    <row r="168" spans="2:65" s="1" customFormat="1" ht="16.5" customHeight="1" x14ac:dyDescent="0.2">
      <c r="B168" s="118"/>
      <c r="C168" s="119" t="s">
        <v>362</v>
      </c>
      <c r="D168" s="119" t="s">
        <v>231</v>
      </c>
      <c r="E168" s="120" t="s">
        <v>2832</v>
      </c>
      <c r="F168" s="121" t="s">
        <v>2833</v>
      </c>
      <c r="G168" s="122" t="s">
        <v>1112</v>
      </c>
      <c r="H168" s="123">
        <v>16</v>
      </c>
      <c r="I168" s="124">
        <v>16.02</v>
      </c>
      <c r="J168" s="124">
        <f t="shared" si="10"/>
        <v>256.32</v>
      </c>
      <c r="K168" s="121" t="s">
        <v>1</v>
      </c>
      <c r="L168" s="24"/>
      <c r="M168" s="125" t="s">
        <v>1</v>
      </c>
      <c r="N168" s="126" t="s">
        <v>32</v>
      </c>
      <c r="O168" s="127">
        <v>0</v>
      </c>
      <c r="P168" s="127">
        <f t="shared" si="11"/>
        <v>0</v>
      </c>
      <c r="Q168" s="127">
        <v>0</v>
      </c>
      <c r="R168" s="127">
        <f t="shared" si="12"/>
        <v>0</v>
      </c>
      <c r="S168" s="127">
        <v>0</v>
      </c>
      <c r="T168" s="128">
        <f t="shared" si="13"/>
        <v>0</v>
      </c>
      <c r="AR168" s="129" t="s">
        <v>235</v>
      </c>
      <c r="AT168" s="129" t="s">
        <v>231</v>
      </c>
      <c r="AU168" s="129" t="s">
        <v>76</v>
      </c>
      <c r="AY168" s="13" t="s">
        <v>228</v>
      </c>
      <c r="BE168" s="130">
        <f t="shared" si="14"/>
        <v>0</v>
      </c>
      <c r="BF168" s="130">
        <f t="shared" si="15"/>
        <v>256.32</v>
      </c>
      <c r="BG168" s="130">
        <f t="shared" si="16"/>
        <v>0</v>
      </c>
      <c r="BH168" s="130">
        <f t="shared" si="17"/>
        <v>0</v>
      </c>
      <c r="BI168" s="130">
        <f t="shared" si="18"/>
        <v>0</v>
      </c>
      <c r="BJ168" s="13" t="s">
        <v>76</v>
      </c>
      <c r="BK168" s="130">
        <f t="shared" si="19"/>
        <v>256.32</v>
      </c>
      <c r="BL168" s="13" t="s">
        <v>235</v>
      </c>
      <c r="BM168" s="129" t="s">
        <v>365</v>
      </c>
    </row>
    <row r="169" spans="2:65" s="1" customFormat="1" ht="24" customHeight="1" x14ac:dyDescent="0.2">
      <c r="B169" s="118"/>
      <c r="C169" s="119" t="s">
        <v>300</v>
      </c>
      <c r="D169" s="119" t="s">
        <v>231</v>
      </c>
      <c r="E169" s="120" t="s">
        <v>2834</v>
      </c>
      <c r="F169" s="121" t="s">
        <v>2835</v>
      </c>
      <c r="G169" s="122" t="s">
        <v>1112</v>
      </c>
      <c r="H169" s="123">
        <v>8</v>
      </c>
      <c r="I169" s="124">
        <v>18.690000000000001</v>
      </c>
      <c r="J169" s="124">
        <f t="shared" si="10"/>
        <v>149.52000000000001</v>
      </c>
      <c r="K169" s="121" t="s">
        <v>1</v>
      </c>
      <c r="L169" s="24"/>
      <c r="M169" s="125" t="s">
        <v>1</v>
      </c>
      <c r="N169" s="126" t="s">
        <v>32</v>
      </c>
      <c r="O169" s="127">
        <v>0</v>
      </c>
      <c r="P169" s="127">
        <f t="shared" si="11"/>
        <v>0</v>
      </c>
      <c r="Q169" s="127">
        <v>0</v>
      </c>
      <c r="R169" s="127">
        <f t="shared" si="12"/>
        <v>0</v>
      </c>
      <c r="S169" s="127">
        <v>0</v>
      </c>
      <c r="T169" s="128">
        <f t="shared" si="13"/>
        <v>0</v>
      </c>
      <c r="AR169" s="129" t="s">
        <v>235</v>
      </c>
      <c r="AT169" s="129" t="s">
        <v>231</v>
      </c>
      <c r="AU169" s="129" t="s">
        <v>76</v>
      </c>
      <c r="AY169" s="13" t="s">
        <v>228</v>
      </c>
      <c r="BE169" s="130">
        <f t="shared" si="14"/>
        <v>0</v>
      </c>
      <c r="BF169" s="130">
        <f t="shared" si="15"/>
        <v>149.52000000000001</v>
      </c>
      <c r="BG169" s="130">
        <f t="shared" si="16"/>
        <v>0</v>
      </c>
      <c r="BH169" s="130">
        <f t="shared" si="17"/>
        <v>0</v>
      </c>
      <c r="BI169" s="130">
        <f t="shared" si="18"/>
        <v>0</v>
      </c>
      <c r="BJ169" s="13" t="s">
        <v>76</v>
      </c>
      <c r="BK169" s="130">
        <f t="shared" si="19"/>
        <v>149.52000000000001</v>
      </c>
      <c r="BL169" s="13" t="s">
        <v>235</v>
      </c>
      <c r="BM169" s="129" t="s">
        <v>368</v>
      </c>
    </row>
    <row r="170" spans="2:65" s="1" customFormat="1" ht="16.5" customHeight="1" x14ac:dyDescent="0.2">
      <c r="B170" s="118"/>
      <c r="C170" s="119" t="s">
        <v>369</v>
      </c>
      <c r="D170" s="119" t="s">
        <v>231</v>
      </c>
      <c r="E170" s="120" t="s">
        <v>2836</v>
      </c>
      <c r="F170" s="121" t="s">
        <v>2837</v>
      </c>
      <c r="G170" s="122" t="s">
        <v>1194</v>
      </c>
      <c r="H170" s="123">
        <v>1</v>
      </c>
      <c r="I170" s="124">
        <v>532.32000000000005</v>
      </c>
      <c r="J170" s="124">
        <f t="shared" si="10"/>
        <v>532.32000000000005</v>
      </c>
      <c r="K170" s="121" t="s">
        <v>1</v>
      </c>
      <c r="L170" s="24"/>
      <c r="M170" s="125" t="s">
        <v>1</v>
      </c>
      <c r="N170" s="126" t="s">
        <v>32</v>
      </c>
      <c r="O170" s="127">
        <v>0</v>
      </c>
      <c r="P170" s="127">
        <f t="shared" si="11"/>
        <v>0</v>
      </c>
      <c r="Q170" s="127">
        <v>0</v>
      </c>
      <c r="R170" s="127">
        <f t="shared" si="12"/>
        <v>0</v>
      </c>
      <c r="S170" s="127">
        <v>0</v>
      </c>
      <c r="T170" s="128">
        <f t="shared" si="13"/>
        <v>0</v>
      </c>
      <c r="AR170" s="129" t="s">
        <v>235</v>
      </c>
      <c r="AT170" s="129" t="s">
        <v>231</v>
      </c>
      <c r="AU170" s="129" t="s">
        <v>76</v>
      </c>
      <c r="AY170" s="13" t="s">
        <v>228</v>
      </c>
      <c r="BE170" s="130">
        <f t="shared" si="14"/>
        <v>0</v>
      </c>
      <c r="BF170" s="130">
        <f t="shared" si="15"/>
        <v>532.32000000000005</v>
      </c>
      <c r="BG170" s="130">
        <f t="shared" si="16"/>
        <v>0</v>
      </c>
      <c r="BH170" s="130">
        <f t="shared" si="17"/>
        <v>0</v>
      </c>
      <c r="BI170" s="130">
        <f t="shared" si="18"/>
        <v>0</v>
      </c>
      <c r="BJ170" s="13" t="s">
        <v>76</v>
      </c>
      <c r="BK170" s="130">
        <f t="shared" si="19"/>
        <v>532.32000000000005</v>
      </c>
      <c r="BL170" s="13" t="s">
        <v>235</v>
      </c>
      <c r="BM170" s="129" t="s">
        <v>372</v>
      </c>
    </row>
    <row r="171" spans="2:65" s="1" customFormat="1" ht="24" customHeight="1" x14ac:dyDescent="0.2">
      <c r="B171" s="118"/>
      <c r="C171" s="119" t="s">
        <v>303</v>
      </c>
      <c r="D171" s="119" t="s">
        <v>231</v>
      </c>
      <c r="E171" s="120" t="s">
        <v>2838</v>
      </c>
      <c r="F171" s="121" t="s">
        <v>2839</v>
      </c>
      <c r="G171" s="122" t="s">
        <v>1112</v>
      </c>
      <c r="H171" s="123">
        <v>8</v>
      </c>
      <c r="I171" s="124">
        <v>18.690000000000001</v>
      </c>
      <c r="J171" s="124">
        <f t="shared" si="10"/>
        <v>149.52000000000001</v>
      </c>
      <c r="K171" s="121" t="s">
        <v>1</v>
      </c>
      <c r="L171" s="24"/>
      <c r="M171" s="125" t="s">
        <v>1</v>
      </c>
      <c r="N171" s="126" t="s">
        <v>32</v>
      </c>
      <c r="O171" s="127">
        <v>0</v>
      </c>
      <c r="P171" s="127">
        <f t="shared" si="11"/>
        <v>0</v>
      </c>
      <c r="Q171" s="127">
        <v>0</v>
      </c>
      <c r="R171" s="127">
        <f t="shared" si="12"/>
        <v>0</v>
      </c>
      <c r="S171" s="127">
        <v>0</v>
      </c>
      <c r="T171" s="128">
        <f t="shared" si="13"/>
        <v>0</v>
      </c>
      <c r="AR171" s="129" t="s">
        <v>235</v>
      </c>
      <c r="AT171" s="129" t="s">
        <v>231</v>
      </c>
      <c r="AU171" s="129" t="s">
        <v>76</v>
      </c>
      <c r="AY171" s="13" t="s">
        <v>228</v>
      </c>
      <c r="BE171" s="130">
        <f t="shared" si="14"/>
        <v>0</v>
      </c>
      <c r="BF171" s="130">
        <f t="shared" si="15"/>
        <v>149.52000000000001</v>
      </c>
      <c r="BG171" s="130">
        <f t="shared" si="16"/>
        <v>0</v>
      </c>
      <c r="BH171" s="130">
        <f t="shared" si="17"/>
        <v>0</v>
      </c>
      <c r="BI171" s="130">
        <f t="shared" si="18"/>
        <v>0</v>
      </c>
      <c r="BJ171" s="13" t="s">
        <v>76</v>
      </c>
      <c r="BK171" s="130">
        <f t="shared" si="19"/>
        <v>149.52000000000001</v>
      </c>
      <c r="BL171" s="13" t="s">
        <v>235</v>
      </c>
      <c r="BM171" s="129" t="s">
        <v>375</v>
      </c>
    </row>
    <row r="172" spans="2:65" s="1" customFormat="1" ht="16.5" customHeight="1" x14ac:dyDescent="0.2">
      <c r="B172" s="118"/>
      <c r="C172" s="119" t="s">
        <v>376</v>
      </c>
      <c r="D172" s="119" t="s">
        <v>231</v>
      </c>
      <c r="E172" s="120" t="s">
        <v>2840</v>
      </c>
      <c r="F172" s="121" t="s">
        <v>2841</v>
      </c>
      <c r="G172" s="122" t="s">
        <v>1112</v>
      </c>
      <c r="H172" s="123">
        <v>8</v>
      </c>
      <c r="I172" s="124">
        <v>53.41</v>
      </c>
      <c r="J172" s="124">
        <f t="shared" si="10"/>
        <v>427.28</v>
      </c>
      <c r="K172" s="121" t="s">
        <v>1</v>
      </c>
      <c r="L172" s="24"/>
      <c r="M172" s="125" t="s">
        <v>1</v>
      </c>
      <c r="N172" s="126" t="s">
        <v>32</v>
      </c>
      <c r="O172" s="127">
        <v>0</v>
      </c>
      <c r="P172" s="127">
        <f t="shared" si="11"/>
        <v>0</v>
      </c>
      <c r="Q172" s="127">
        <v>0</v>
      </c>
      <c r="R172" s="127">
        <f t="shared" si="12"/>
        <v>0</v>
      </c>
      <c r="S172" s="127">
        <v>0</v>
      </c>
      <c r="T172" s="128">
        <f t="shared" si="13"/>
        <v>0</v>
      </c>
      <c r="AR172" s="129" t="s">
        <v>235</v>
      </c>
      <c r="AT172" s="129" t="s">
        <v>231</v>
      </c>
      <c r="AU172" s="129" t="s">
        <v>76</v>
      </c>
      <c r="AY172" s="13" t="s">
        <v>228</v>
      </c>
      <c r="BE172" s="130">
        <f t="shared" si="14"/>
        <v>0</v>
      </c>
      <c r="BF172" s="130">
        <f t="shared" si="15"/>
        <v>427.28</v>
      </c>
      <c r="BG172" s="130">
        <f t="shared" si="16"/>
        <v>0</v>
      </c>
      <c r="BH172" s="130">
        <f t="shared" si="17"/>
        <v>0</v>
      </c>
      <c r="BI172" s="130">
        <f t="shared" si="18"/>
        <v>0</v>
      </c>
      <c r="BJ172" s="13" t="s">
        <v>76</v>
      </c>
      <c r="BK172" s="130">
        <f t="shared" si="19"/>
        <v>427.28</v>
      </c>
      <c r="BL172" s="13" t="s">
        <v>235</v>
      </c>
      <c r="BM172" s="129" t="s">
        <v>379</v>
      </c>
    </row>
    <row r="173" spans="2:65" s="11" customFormat="1" ht="22.95" customHeight="1" x14ac:dyDescent="0.25">
      <c r="B173" s="106"/>
      <c r="D173" s="107" t="s">
        <v>57</v>
      </c>
      <c r="E173" s="116" t="s">
        <v>1252</v>
      </c>
      <c r="F173" s="116" t="s">
        <v>2842</v>
      </c>
      <c r="J173" s="117">
        <f>BK173</f>
        <v>884.41000000000008</v>
      </c>
      <c r="L173" s="106"/>
      <c r="M173" s="110"/>
      <c r="N173" s="111"/>
      <c r="O173" s="111"/>
      <c r="P173" s="112">
        <f>SUM(P174:P176)</f>
        <v>0</v>
      </c>
      <c r="Q173" s="111"/>
      <c r="R173" s="112">
        <f>SUM(R174:R176)</f>
        <v>0</v>
      </c>
      <c r="S173" s="111"/>
      <c r="T173" s="113">
        <f>SUM(T174:T176)</f>
        <v>0</v>
      </c>
      <c r="AR173" s="107" t="s">
        <v>63</v>
      </c>
      <c r="AT173" s="114" t="s">
        <v>57</v>
      </c>
      <c r="AU173" s="114" t="s">
        <v>63</v>
      </c>
      <c r="AY173" s="107" t="s">
        <v>228</v>
      </c>
      <c r="BK173" s="115">
        <f>SUM(BK174:BK176)</f>
        <v>884.41000000000008</v>
      </c>
    </row>
    <row r="174" spans="2:65" s="1" customFormat="1" ht="16.5" customHeight="1" x14ac:dyDescent="0.2">
      <c r="B174" s="118"/>
      <c r="C174" s="119" t="s">
        <v>308</v>
      </c>
      <c r="D174" s="119" t="s">
        <v>231</v>
      </c>
      <c r="E174" s="120" t="s">
        <v>2843</v>
      </c>
      <c r="F174" s="121" t="s">
        <v>2844</v>
      </c>
      <c r="G174" s="122" t="s">
        <v>570</v>
      </c>
      <c r="H174" s="123">
        <v>78</v>
      </c>
      <c r="I174" s="124">
        <v>4.6399999999999997</v>
      </c>
      <c r="J174" s="124">
        <f>ROUND(I174*H174,2)</f>
        <v>361.92</v>
      </c>
      <c r="K174" s="121" t="s">
        <v>1</v>
      </c>
      <c r="L174" s="24"/>
      <c r="M174" s="125" t="s">
        <v>1</v>
      </c>
      <c r="N174" s="126" t="s">
        <v>32</v>
      </c>
      <c r="O174" s="127">
        <v>0</v>
      </c>
      <c r="P174" s="127">
        <f>O174*H174</f>
        <v>0</v>
      </c>
      <c r="Q174" s="127">
        <v>0</v>
      </c>
      <c r="R174" s="127">
        <f>Q174*H174</f>
        <v>0</v>
      </c>
      <c r="S174" s="127">
        <v>0</v>
      </c>
      <c r="T174" s="128">
        <f>S174*H174</f>
        <v>0</v>
      </c>
      <c r="AR174" s="129" t="s">
        <v>235</v>
      </c>
      <c r="AT174" s="129" t="s">
        <v>231</v>
      </c>
      <c r="AU174" s="129" t="s">
        <v>76</v>
      </c>
      <c r="AY174" s="13" t="s">
        <v>228</v>
      </c>
      <c r="BE174" s="130">
        <f>IF(N174="základná",J174,0)</f>
        <v>0</v>
      </c>
      <c r="BF174" s="130">
        <f>IF(N174="znížená",J174,0)</f>
        <v>361.92</v>
      </c>
      <c r="BG174" s="130">
        <f>IF(N174="zákl. prenesená",J174,0)</f>
        <v>0</v>
      </c>
      <c r="BH174" s="130">
        <f>IF(N174="zníž. prenesená",J174,0)</f>
        <v>0</v>
      </c>
      <c r="BI174" s="130">
        <f>IF(N174="nulová",J174,0)</f>
        <v>0</v>
      </c>
      <c r="BJ174" s="13" t="s">
        <v>76</v>
      </c>
      <c r="BK174" s="130">
        <f>ROUND(I174*H174,2)</f>
        <v>361.92</v>
      </c>
      <c r="BL174" s="13" t="s">
        <v>235</v>
      </c>
      <c r="BM174" s="129" t="s">
        <v>382</v>
      </c>
    </row>
    <row r="175" spans="2:65" s="1" customFormat="1" ht="16.5" customHeight="1" x14ac:dyDescent="0.2">
      <c r="B175" s="118"/>
      <c r="C175" s="119" t="s">
        <v>383</v>
      </c>
      <c r="D175" s="119" t="s">
        <v>231</v>
      </c>
      <c r="E175" s="120" t="s">
        <v>2845</v>
      </c>
      <c r="F175" s="121" t="s">
        <v>2846</v>
      </c>
      <c r="G175" s="122" t="s">
        <v>570</v>
      </c>
      <c r="H175" s="123">
        <v>49</v>
      </c>
      <c r="I175" s="124">
        <v>6.97</v>
      </c>
      <c r="J175" s="124">
        <f>ROUND(I175*H175,2)</f>
        <v>341.53</v>
      </c>
      <c r="K175" s="121" t="s">
        <v>1</v>
      </c>
      <c r="L175" s="24"/>
      <c r="M175" s="125" t="s">
        <v>1</v>
      </c>
      <c r="N175" s="126" t="s">
        <v>32</v>
      </c>
      <c r="O175" s="127">
        <v>0</v>
      </c>
      <c r="P175" s="127">
        <f>O175*H175</f>
        <v>0</v>
      </c>
      <c r="Q175" s="127">
        <v>0</v>
      </c>
      <c r="R175" s="127">
        <f>Q175*H175</f>
        <v>0</v>
      </c>
      <c r="S175" s="127">
        <v>0</v>
      </c>
      <c r="T175" s="128">
        <f>S175*H175</f>
        <v>0</v>
      </c>
      <c r="AR175" s="129" t="s">
        <v>235</v>
      </c>
      <c r="AT175" s="129" t="s">
        <v>231</v>
      </c>
      <c r="AU175" s="129" t="s">
        <v>76</v>
      </c>
      <c r="AY175" s="13" t="s">
        <v>228</v>
      </c>
      <c r="BE175" s="130">
        <f>IF(N175="základná",J175,0)</f>
        <v>0</v>
      </c>
      <c r="BF175" s="130">
        <f>IF(N175="znížená",J175,0)</f>
        <v>341.53</v>
      </c>
      <c r="BG175" s="130">
        <f>IF(N175="zákl. prenesená",J175,0)</f>
        <v>0</v>
      </c>
      <c r="BH175" s="130">
        <f>IF(N175="zníž. prenesená",J175,0)</f>
        <v>0</v>
      </c>
      <c r="BI175" s="130">
        <f>IF(N175="nulová",J175,0)</f>
        <v>0</v>
      </c>
      <c r="BJ175" s="13" t="s">
        <v>76</v>
      </c>
      <c r="BK175" s="130">
        <f>ROUND(I175*H175,2)</f>
        <v>341.53</v>
      </c>
      <c r="BL175" s="13" t="s">
        <v>235</v>
      </c>
      <c r="BM175" s="129" t="s">
        <v>386</v>
      </c>
    </row>
    <row r="176" spans="2:65" s="1" customFormat="1" ht="16.5" customHeight="1" x14ac:dyDescent="0.2">
      <c r="B176" s="118"/>
      <c r="C176" s="119" t="s">
        <v>312</v>
      </c>
      <c r="D176" s="119" t="s">
        <v>231</v>
      </c>
      <c r="E176" s="120" t="s">
        <v>2847</v>
      </c>
      <c r="F176" s="121" t="s">
        <v>2848</v>
      </c>
      <c r="G176" s="122" t="s">
        <v>570</v>
      </c>
      <c r="H176" s="123">
        <v>78</v>
      </c>
      <c r="I176" s="124">
        <v>2.3199999999999998</v>
      </c>
      <c r="J176" s="124">
        <f>ROUND(I176*H176,2)</f>
        <v>180.96</v>
      </c>
      <c r="K176" s="121" t="s">
        <v>1</v>
      </c>
      <c r="L176" s="24"/>
      <c r="M176" s="125" t="s">
        <v>1</v>
      </c>
      <c r="N176" s="126" t="s">
        <v>32</v>
      </c>
      <c r="O176" s="127">
        <v>0</v>
      </c>
      <c r="P176" s="127">
        <f>O176*H176</f>
        <v>0</v>
      </c>
      <c r="Q176" s="127">
        <v>0</v>
      </c>
      <c r="R176" s="127">
        <f>Q176*H176</f>
        <v>0</v>
      </c>
      <c r="S176" s="127">
        <v>0</v>
      </c>
      <c r="T176" s="128">
        <f>S176*H176</f>
        <v>0</v>
      </c>
      <c r="AR176" s="129" t="s">
        <v>235</v>
      </c>
      <c r="AT176" s="129" t="s">
        <v>231</v>
      </c>
      <c r="AU176" s="129" t="s">
        <v>76</v>
      </c>
      <c r="AY176" s="13" t="s">
        <v>228</v>
      </c>
      <c r="BE176" s="130">
        <f>IF(N176="základná",J176,0)</f>
        <v>0</v>
      </c>
      <c r="BF176" s="130">
        <f>IF(N176="znížená",J176,0)</f>
        <v>180.96</v>
      </c>
      <c r="BG176" s="130">
        <f>IF(N176="zákl. prenesená",J176,0)</f>
        <v>0</v>
      </c>
      <c r="BH176" s="130">
        <f>IF(N176="zníž. prenesená",J176,0)</f>
        <v>0</v>
      </c>
      <c r="BI176" s="130">
        <f>IF(N176="nulová",J176,0)</f>
        <v>0</v>
      </c>
      <c r="BJ176" s="13" t="s">
        <v>76</v>
      </c>
      <c r="BK176" s="130">
        <f>ROUND(I176*H176,2)</f>
        <v>180.96</v>
      </c>
      <c r="BL176" s="13" t="s">
        <v>235</v>
      </c>
      <c r="BM176" s="129" t="s">
        <v>389</v>
      </c>
    </row>
    <row r="177" spans="2:65" s="11" customFormat="1" ht="22.95" customHeight="1" x14ac:dyDescent="0.25">
      <c r="B177" s="106"/>
      <c r="D177" s="107" t="s">
        <v>57</v>
      </c>
      <c r="E177" s="116" t="s">
        <v>1943</v>
      </c>
      <c r="F177" s="116" t="s">
        <v>2849</v>
      </c>
      <c r="J177" s="117">
        <f>BK177</f>
        <v>2753.8</v>
      </c>
      <c r="L177" s="106"/>
      <c r="M177" s="110"/>
      <c r="N177" s="111"/>
      <c r="O177" s="111"/>
      <c r="P177" s="112">
        <f>SUM(P178:P214)</f>
        <v>0</v>
      </c>
      <c r="Q177" s="111"/>
      <c r="R177" s="112">
        <f>SUM(R178:R214)</f>
        <v>0</v>
      </c>
      <c r="S177" s="111"/>
      <c r="T177" s="113">
        <f>SUM(T178:T214)</f>
        <v>0</v>
      </c>
      <c r="AR177" s="107" t="s">
        <v>63</v>
      </c>
      <c r="AT177" s="114" t="s">
        <v>57</v>
      </c>
      <c r="AU177" s="114" t="s">
        <v>63</v>
      </c>
      <c r="AY177" s="107" t="s">
        <v>228</v>
      </c>
      <c r="BK177" s="115">
        <f>SUM(BK178:BK214)</f>
        <v>2753.8</v>
      </c>
    </row>
    <row r="178" spans="2:65" s="1" customFormat="1" ht="16.5" customHeight="1" x14ac:dyDescent="0.2">
      <c r="B178" s="118"/>
      <c r="C178" s="119" t="s">
        <v>390</v>
      </c>
      <c r="D178" s="119" t="s">
        <v>231</v>
      </c>
      <c r="E178" s="120" t="s">
        <v>2850</v>
      </c>
      <c r="F178" s="121" t="s">
        <v>2851</v>
      </c>
      <c r="G178" s="122" t="s">
        <v>292</v>
      </c>
      <c r="H178" s="123">
        <v>40</v>
      </c>
      <c r="I178" s="124">
        <v>2.81</v>
      </c>
      <c r="J178" s="124">
        <f t="shared" ref="J178:J214" si="20">ROUND(I178*H178,2)</f>
        <v>112.4</v>
      </c>
      <c r="K178" s="121" t="s">
        <v>1</v>
      </c>
      <c r="L178" s="24"/>
      <c r="M178" s="125" t="s">
        <v>1</v>
      </c>
      <c r="N178" s="126" t="s">
        <v>32</v>
      </c>
      <c r="O178" s="127">
        <v>0</v>
      </c>
      <c r="P178" s="127">
        <f t="shared" ref="P178:P214" si="21">O178*H178</f>
        <v>0</v>
      </c>
      <c r="Q178" s="127">
        <v>0</v>
      </c>
      <c r="R178" s="127">
        <f t="shared" ref="R178:R214" si="22">Q178*H178</f>
        <v>0</v>
      </c>
      <c r="S178" s="127">
        <v>0</v>
      </c>
      <c r="T178" s="128">
        <f t="shared" ref="T178:T214" si="23">S178*H178</f>
        <v>0</v>
      </c>
      <c r="AR178" s="129" t="s">
        <v>235</v>
      </c>
      <c r="AT178" s="129" t="s">
        <v>231</v>
      </c>
      <c r="AU178" s="129" t="s">
        <v>76</v>
      </c>
      <c r="AY178" s="13" t="s">
        <v>228</v>
      </c>
      <c r="BE178" s="130">
        <f t="shared" ref="BE178:BE214" si="24">IF(N178="základná",J178,0)</f>
        <v>0</v>
      </c>
      <c r="BF178" s="130">
        <f t="shared" ref="BF178:BF214" si="25">IF(N178="znížená",J178,0)</f>
        <v>112.4</v>
      </c>
      <c r="BG178" s="130">
        <f t="shared" ref="BG178:BG214" si="26">IF(N178="zákl. prenesená",J178,0)</f>
        <v>0</v>
      </c>
      <c r="BH178" s="130">
        <f t="shared" ref="BH178:BH214" si="27">IF(N178="zníž. prenesená",J178,0)</f>
        <v>0</v>
      </c>
      <c r="BI178" s="130">
        <f t="shared" ref="BI178:BI214" si="28">IF(N178="nulová",J178,0)</f>
        <v>0</v>
      </c>
      <c r="BJ178" s="13" t="s">
        <v>76</v>
      </c>
      <c r="BK178" s="130">
        <f t="shared" ref="BK178:BK214" si="29">ROUND(I178*H178,2)</f>
        <v>112.4</v>
      </c>
      <c r="BL178" s="13" t="s">
        <v>235</v>
      </c>
      <c r="BM178" s="129" t="s">
        <v>393</v>
      </c>
    </row>
    <row r="179" spans="2:65" s="1" customFormat="1" ht="16.5" customHeight="1" x14ac:dyDescent="0.2">
      <c r="B179" s="118"/>
      <c r="C179" s="119" t="s">
        <v>316</v>
      </c>
      <c r="D179" s="119" t="s">
        <v>231</v>
      </c>
      <c r="E179" s="120" t="s">
        <v>2852</v>
      </c>
      <c r="F179" s="121" t="s">
        <v>2853</v>
      </c>
      <c r="G179" s="122" t="s">
        <v>292</v>
      </c>
      <c r="H179" s="123">
        <v>40</v>
      </c>
      <c r="I179" s="124">
        <v>1.6</v>
      </c>
      <c r="J179" s="124">
        <f t="shared" si="20"/>
        <v>64</v>
      </c>
      <c r="K179" s="121" t="s">
        <v>1</v>
      </c>
      <c r="L179" s="24"/>
      <c r="M179" s="125" t="s">
        <v>1</v>
      </c>
      <c r="N179" s="126" t="s">
        <v>32</v>
      </c>
      <c r="O179" s="127">
        <v>0</v>
      </c>
      <c r="P179" s="127">
        <f t="shared" si="21"/>
        <v>0</v>
      </c>
      <c r="Q179" s="127">
        <v>0</v>
      </c>
      <c r="R179" s="127">
        <f t="shared" si="22"/>
        <v>0</v>
      </c>
      <c r="S179" s="127">
        <v>0</v>
      </c>
      <c r="T179" s="128">
        <f t="shared" si="23"/>
        <v>0</v>
      </c>
      <c r="AR179" s="129" t="s">
        <v>235</v>
      </c>
      <c r="AT179" s="129" t="s">
        <v>231</v>
      </c>
      <c r="AU179" s="129" t="s">
        <v>76</v>
      </c>
      <c r="AY179" s="13" t="s">
        <v>228</v>
      </c>
      <c r="BE179" s="130">
        <f t="shared" si="24"/>
        <v>0</v>
      </c>
      <c r="BF179" s="130">
        <f t="shared" si="25"/>
        <v>64</v>
      </c>
      <c r="BG179" s="130">
        <f t="shared" si="26"/>
        <v>0</v>
      </c>
      <c r="BH179" s="130">
        <f t="shared" si="27"/>
        <v>0</v>
      </c>
      <c r="BI179" s="130">
        <f t="shared" si="28"/>
        <v>0</v>
      </c>
      <c r="BJ179" s="13" t="s">
        <v>76</v>
      </c>
      <c r="BK179" s="130">
        <f t="shared" si="29"/>
        <v>64</v>
      </c>
      <c r="BL179" s="13" t="s">
        <v>235</v>
      </c>
      <c r="BM179" s="129" t="s">
        <v>396</v>
      </c>
    </row>
    <row r="180" spans="2:65" s="1" customFormat="1" ht="16.5" customHeight="1" x14ac:dyDescent="0.2">
      <c r="B180" s="118"/>
      <c r="C180" s="119" t="s">
        <v>397</v>
      </c>
      <c r="D180" s="119" t="s">
        <v>231</v>
      </c>
      <c r="E180" s="120" t="s">
        <v>2854</v>
      </c>
      <c r="F180" s="121" t="s">
        <v>2855</v>
      </c>
      <c r="G180" s="122" t="s">
        <v>292</v>
      </c>
      <c r="H180" s="123">
        <v>40</v>
      </c>
      <c r="I180" s="124">
        <v>1</v>
      </c>
      <c r="J180" s="124">
        <f t="shared" si="20"/>
        <v>40</v>
      </c>
      <c r="K180" s="121" t="s">
        <v>1</v>
      </c>
      <c r="L180" s="24"/>
      <c r="M180" s="125" t="s">
        <v>1</v>
      </c>
      <c r="N180" s="126" t="s">
        <v>32</v>
      </c>
      <c r="O180" s="127">
        <v>0</v>
      </c>
      <c r="P180" s="127">
        <f t="shared" si="21"/>
        <v>0</v>
      </c>
      <c r="Q180" s="127">
        <v>0</v>
      </c>
      <c r="R180" s="127">
        <f t="shared" si="22"/>
        <v>0</v>
      </c>
      <c r="S180" s="127">
        <v>0</v>
      </c>
      <c r="T180" s="128">
        <f t="shared" si="23"/>
        <v>0</v>
      </c>
      <c r="AR180" s="129" t="s">
        <v>235</v>
      </c>
      <c r="AT180" s="129" t="s">
        <v>231</v>
      </c>
      <c r="AU180" s="129" t="s">
        <v>76</v>
      </c>
      <c r="AY180" s="13" t="s">
        <v>228</v>
      </c>
      <c r="BE180" s="130">
        <f t="shared" si="24"/>
        <v>0</v>
      </c>
      <c r="BF180" s="130">
        <f t="shared" si="25"/>
        <v>40</v>
      </c>
      <c r="BG180" s="130">
        <f t="shared" si="26"/>
        <v>0</v>
      </c>
      <c r="BH180" s="130">
        <f t="shared" si="27"/>
        <v>0</v>
      </c>
      <c r="BI180" s="130">
        <f t="shared" si="28"/>
        <v>0</v>
      </c>
      <c r="BJ180" s="13" t="s">
        <v>76</v>
      </c>
      <c r="BK180" s="130">
        <f t="shared" si="29"/>
        <v>40</v>
      </c>
      <c r="BL180" s="13" t="s">
        <v>235</v>
      </c>
      <c r="BM180" s="129" t="s">
        <v>400</v>
      </c>
    </row>
    <row r="181" spans="2:65" s="1" customFormat="1" ht="16.5" customHeight="1" x14ac:dyDescent="0.2">
      <c r="B181" s="118"/>
      <c r="C181" s="119" t="s">
        <v>319</v>
      </c>
      <c r="D181" s="119" t="s">
        <v>231</v>
      </c>
      <c r="E181" s="120" t="s">
        <v>2856</v>
      </c>
      <c r="F181" s="121" t="s">
        <v>2857</v>
      </c>
      <c r="G181" s="122" t="s">
        <v>292</v>
      </c>
      <c r="H181" s="123">
        <v>40</v>
      </c>
      <c r="I181" s="124">
        <v>0.73</v>
      </c>
      <c r="J181" s="124">
        <f t="shared" si="20"/>
        <v>29.2</v>
      </c>
      <c r="K181" s="121" t="s">
        <v>1</v>
      </c>
      <c r="L181" s="24"/>
      <c r="M181" s="125" t="s">
        <v>1</v>
      </c>
      <c r="N181" s="126" t="s">
        <v>32</v>
      </c>
      <c r="O181" s="127">
        <v>0</v>
      </c>
      <c r="P181" s="127">
        <f t="shared" si="21"/>
        <v>0</v>
      </c>
      <c r="Q181" s="127">
        <v>0</v>
      </c>
      <c r="R181" s="127">
        <f t="shared" si="22"/>
        <v>0</v>
      </c>
      <c r="S181" s="127">
        <v>0</v>
      </c>
      <c r="T181" s="128">
        <f t="shared" si="23"/>
        <v>0</v>
      </c>
      <c r="AR181" s="129" t="s">
        <v>235</v>
      </c>
      <c r="AT181" s="129" t="s">
        <v>231</v>
      </c>
      <c r="AU181" s="129" t="s">
        <v>76</v>
      </c>
      <c r="AY181" s="13" t="s">
        <v>228</v>
      </c>
      <c r="BE181" s="130">
        <f t="shared" si="24"/>
        <v>0</v>
      </c>
      <c r="BF181" s="130">
        <f t="shared" si="25"/>
        <v>29.2</v>
      </c>
      <c r="BG181" s="130">
        <f t="shared" si="26"/>
        <v>0</v>
      </c>
      <c r="BH181" s="130">
        <f t="shared" si="27"/>
        <v>0</v>
      </c>
      <c r="BI181" s="130">
        <f t="shared" si="28"/>
        <v>0</v>
      </c>
      <c r="BJ181" s="13" t="s">
        <v>76</v>
      </c>
      <c r="BK181" s="130">
        <f t="shared" si="29"/>
        <v>29.2</v>
      </c>
      <c r="BL181" s="13" t="s">
        <v>235</v>
      </c>
      <c r="BM181" s="129" t="s">
        <v>404</v>
      </c>
    </row>
    <row r="182" spans="2:65" s="1" customFormat="1" ht="16.5" customHeight="1" x14ac:dyDescent="0.2">
      <c r="B182" s="118"/>
      <c r="C182" s="119" t="s">
        <v>407</v>
      </c>
      <c r="D182" s="119" t="s">
        <v>231</v>
      </c>
      <c r="E182" s="120" t="s">
        <v>2858</v>
      </c>
      <c r="F182" s="121" t="s">
        <v>2859</v>
      </c>
      <c r="G182" s="122" t="s">
        <v>292</v>
      </c>
      <c r="H182" s="123">
        <v>120</v>
      </c>
      <c r="I182" s="124">
        <v>2.0099999999999998</v>
      </c>
      <c r="J182" s="124">
        <f t="shared" si="20"/>
        <v>241.2</v>
      </c>
      <c r="K182" s="121" t="s">
        <v>1</v>
      </c>
      <c r="L182" s="24"/>
      <c r="M182" s="125" t="s">
        <v>1</v>
      </c>
      <c r="N182" s="126" t="s">
        <v>32</v>
      </c>
      <c r="O182" s="127">
        <v>0</v>
      </c>
      <c r="P182" s="127">
        <f t="shared" si="21"/>
        <v>0</v>
      </c>
      <c r="Q182" s="127">
        <v>0</v>
      </c>
      <c r="R182" s="127">
        <f t="shared" si="22"/>
        <v>0</v>
      </c>
      <c r="S182" s="127">
        <v>0</v>
      </c>
      <c r="T182" s="128">
        <f t="shared" si="23"/>
        <v>0</v>
      </c>
      <c r="AR182" s="129" t="s">
        <v>235</v>
      </c>
      <c r="AT182" s="129" t="s">
        <v>231</v>
      </c>
      <c r="AU182" s="129" t="s">
        <v>76</v>
      </c>
      <c r="AY182" s="13" t="s">
        <v>228</v>
      </c>
      <c r="BE182" s="130">
        <f t="shared" si="24"/>
        <v>0</v>
      </c>
      <c r="BF182" s="130">
        <f t="shared" si="25"/>
        <v>241.2</v>
      </c>
      <c r="BG182" s="130">
        <f t="shared" si="26"/>
        <v>0</v>
      </c>
      <c r="BH182" s="130">
        <f t="shared" si="27"/>
        <v>0</v>
      </c>
      <c r="BI182" s="130">
        <f t="shared" si="28"/>
        <v>0</v>
      </c>
      <c r="BJ182" s="13" t="s">
        <v>76</v>
      </c>
      <c r="BK182" s="130">
        <f t="shared" si="29"/>
        <v>241.2</v>
      </c>
      <c r="BL182" s="13" t="s">
        <v>235</v>
      </c>
      <c r="BM182" s="129" t="s">
        <v>410</v>
      </c>
    </row>
    <row r="183" spans="2:65" s="1" customFormat="1" ht="16.5" customHeight="1" x14ac:dyDescent="0.2">
      <c r="B183" s="118"/>
      <c r="C183" s="119" t="s">
        <v>323</v>
      </c>
      <c r="D183" s="119" t="s">
        <v>231</v>
      </c>
      <c r="E183" s="120" t="s">
        <v>2860</v>
      </c>
      <c r="F183" s="121" t="s">
        <v>2861</v>
      </c>
      <c r="G183" s="122" t="s">
        <v>292</v>
      </c>
      <c r="H183" s="123">
        <v>120</v>
      </c>
      <c r="I183" s="124">
        <v>0.8</v>
      </c>
      <c r="J183" s="124">
        <f t="shared" si="20"/>
        <v>96</v>
      </c>
      <c r="K183" s="121" t="s">
        <v>1</v>
      </c>
      <c r="L183" s="24"/>
      <c r="M183" s="125" t="s">
        <v>1</v>
      </c>
      <c r="N183" s="126" t="s">
        <v>32</v>
      </c>
      <c r="O183" s="127">
        <v>0</v>
      </c>
      <c r="P183" s="127">
        <f t="shared" si="21"/>
        <v>0</v>
      </c>
      <c r="Q183" s="127">
        <v>0</v>
      </c>
      <c r="R183" s="127">
        <f t="shared" si="22"/>
        <v>0</v>
      </c>
      <c r="S183" s="127">
        <v>0</v>
      </c>
      <c r="T183" s="128">
        <f t="shared" si="23"/>
        <v>0</v>
      </c>
      <c r="AR183" s="129" t="s">
        <v>235</v>
      </c>
      <c r="AT183" s="129" t="s">
        <v>231</v>
      </c>
      <c r="AU183" s="129" t="s">
        <v>76</v>
      </c>
      <c r="AY183" s="13" t="s">
        <v>228</v>
      </c>
      <c r="BE183" s="130">
        <f t="shared" si="24"/>
        <v>0</v>
      </c>
      <c r="BF183" s="130">
        <f t="shared" si="25"/>
        <v>96</v>
      </c>
      <c r="BG183" s="130">
        <f t="shared" si="26"/>
        <v>0</v>
      </c>
      <c r="BH183" s="130">
        <f t="shared" si="27"/>
        <v>0</v>
      </c>
      <c r="BI183" s="130">
        <f t="shared" si="28"/>
        <v>0</v>
      </c>
      <c r="BJ183" s="13" t="s">
        <v>76</v>
      </c>
      <c r="BK183" s="130">
        <f t="shared" si="29"/>
        <v>96</v>
      </c>
      <c r="BL183" s="13" t="s">
        <v>235</v>
      </c>
      <c r="BM183" s="129" t="s">
        <v>414</v>
      </c>
    </row>
    <row r="184" spans="2:65" s="1" customFormat="1" ht="16.5" customHeight="1" x14ac:dyDescent="0.2">
      <c r="B184" s="118"/>
      <c r="C184" s="119" t="s">
        <v>415</v>
      </c>
      <c r="D184" s="119" t="s">
        <v>231</v>
      </c>
      <c r="E184" s="120" t="s">
        <v>2862</v>
      </c>
      <c r="F184" s="121" t="s">
        <v>2863</v>
      </c>
      <c r="G184" s="122" t="s">
        <v>292</v>
      </c>
      <c r="H184" s="123">
        <v>10</v>
      </c>
      <c r="I184" s="124">
        <v>4.68</v>
      </c>
      <c r="J184" s="124">
        <f t="shared" si="20"/>
        <v>46.8</v>
      </c>
      <c r="K184" s="121" t="s">
        <v>1</v>
      </c>
      <c r="L184" s="24"/>
      <c r="M184" s="125" t="s">
        <v>1</v>
      </c>
      <c r="N184" s="126" t="s">
        <v>32</v>
      </c>
      <c r="O184" s="127">
        <v>0</v>
      </c>
      <c r="P184" s="127">
        <f t="shared" si="21"/>
        <v>0</v>
      </c>
      <c r="Q184" s="127">
        <v>0</v>
      </c>
      <c r="R184" s="127">
        <f t="shared" si="22"/>
        <v>0</v>
      </c>
      <c r="S184" s="127">
        <v>0</v>
      </c>
      <c r="T184" s="128">
        <f t="shared" si="23"/>
        <v>0</v>
      </c>
      <c r="AR184" s="129" t="s">
        <v>235</v>
      </c>
      <c r="AT184" s="129" t="s">
        <v>231</v>
      </c>
      <c r="AU184" s="129" t="s">
        <v>76</v>
      </c>
      <c r="AY184" s="13" t="s">
        <v>228</v>
      </c>
      <c r="BE184" s="130">
        <f t="shared" si="24"/>
        <v>0</v>
      </c>
      <c r="BF184" s="130">
        <f t="shared" si="25"/>
        <v>46.8</v>
      </c>
      <c r="BG184" s="130">
        <f t="shared" si="26"/>
        <v>0</v>
      </c>
      <c r="BH184" s="130">
        <f t="shared" si="27"/>
        <v>0</v>
      </c>
      <c r="BI184" s="130">
        <f t="shared" si="28"/>
        <v>0</v>
      </c>
      <c r="BJ184" s="13" t="s">
        <v>76</v>
      </c>
      <c r="BK184" s="130">
        <f t="shared" si="29"/>
        <v>46.8</v>
      </c>
      <c r="BL184" s="13" t="s">
        <v>235</v>
      </c>
      <c r="BM184" s="129" t="s">
        <v>418</v>
      </c>
    </row>
    <row r="185" spans="2:65" s="1" customFormat="1" ht="16.5" customHeight="1" x14ac:dyDescent="0.2">
      <c r="B185" s="118"/>
      <c r="C185" s="119" t="s">
        <v>326</v>
      </c>
      <c r="D185" s="119" t="s">
        <v>231</v>
      </c>
      <c r="E185" s="120" t="s">
        <v>2864</v>
      </c>
      <c r="F185" s="121" t="s">
        <v>2865</v>
      </c>
      <c r="G185" s="122" t="s">
        <v>292</v>
      </c>
      <c r="H185" s="123">
        <v>10</v>
      </c>
      <c r="I185" s="124">
        <v>2.0099999999999998</v>
      </c>
      <c r="J185" s="124">
        <f t="shared" si="20"/>
        <v>20.100000000000001</v>
      </c>
      <c r="K185" s="121" t="s">
        <v>1</v>
      </c>
      <c r="L185" s="24"/>
      <c r="M185" s="125" t="s">
        <v>1</v>
      </c>
      <c r="N185" s="126" t="s">
        <v>32</v>
      </c>
      <c r="O185" s="127">
        <v>0</v>
      </c>
      <c r="P185" s="127">
        <f t="shared" si="21"/>
        <v>0</v>
      </c>
      <c r="Q185" s="127">
        <v>0</v>
      </c>
      <c r="R185" s="127">
        <f t="shared" si="22"/>
        <v>0</v>
      </c>
      <c r="S185" s="127">
        <v>0</v>
      </c>
      <c r="T185" s="128">
        <f t="shared" si="23"/>
        <v>0</v>
      </c>
      <c r="AR185" s="129" t="s">
        <v>235</v>
      </c>
      <c r="AT185" s="129" t="s">
        <v>231</v>
      </c>
      <c r="AU185" s="129" t="s">
        <v>76</v>
      </c>
      <c r="AY185" s="13" t="s">
        <v>228</v>
      </c>
      <c r="BE185" s="130">
        <f t="shared" si="24"/>
        <v>0</v>
      </c>
      <c r="BF185" s="130">
        <f t="shared" si="25"/>
        <v>20.100000000000001</v>
      </c>
      <c r="BG185" s="130">
        <f t="shared" si="26"/>
        <v>0</v>
      </c>
      <c r="BH185" s="130">
        <f t="shared" si="27"/>
        <v>0</v>
      </c>
      <c r="BI185" s="130">
        <f t="shared" si="28"/>
        <v>0</v>
      </c>
      <c r="BJ185" s="13" t="s">
        <v>76</v>
      </c>
      <c r="BK185" s="130">
        <f t="shared" si="29"/>
        <v>20.100000000000001</v>
      </c>
      <c r="BL185" s="13" t="s">
        <v>235</v>
      </c>
      <c r="BM185" s="129" t="s">
        <v>421</v>
      </c>
    </row>
    <row r="186" spans="2:65" s="1" customFormat="1" ht="24" customHeight="1" x14ac:dyDescent="0.2">
      <c r="B186" s="118"/>
      <c r="C186" s="119" t="s">
        <v>422</v>
      </c>
      <c r="D186" s="119" t="s">
        <v>231</v>
      </c>
      <c r="E186" s="120" t="s">
        <v>2866</v>
      </c>
      <c r="F186" s="121" t="s">
        <v>2867</v>
      </c>
      <c r="G186" s="122" t="s">
        <v>292</v>
      </c>
      <c r="H186" s="123">
        <v>10</v>
      </c>
      <c r="I186" s="124">
        <v>1</v>
      </c>
      <c r="J186" s="124">
        <f t="shared" si="20"/>
        <v>10</v>
      </c>
      <c r="K186" s="121" t="s">
        <v>1</v>
      </c>
      <c r="L186" s="24"/>
      <c r="M186" s="125" t="s">
        <v>1</v>
      </c>
      <c r="N186" s="126" t="s">
        <v>32</v>
      </c>
      <c r="O186" s="127">
        <v>0</v>
      </c>
      <c r="P186" s="127">
        <f t="shared" si="21"/>
        <v>0</v>
      </c>
      <c r="Q186" s="127">
        <v>0</v>
      </c>
      <c r="R186" s="127">
        <f t="shared" si="22"/>
        <v>0</v>
      </c>
      <c r="S186" s="127">
        <v>0</v>
      </c>
      <c r="T186" s="128">
        <f t="shared" si="23"/>
        <v>0</v>
      </c>
      <c r="AR186" s="129" t="s">
        <v>235</v>
      </c>
      <c r="AT186" s="129" t="s">
        <v>231</v>
      </c>
      <c r="AU186" s="129" t="s">
        <v>76</v>
      </c>
      <c r="AY186" s="13" t="s">
        <v>228</v>
      </c>
      <c r="BE186" s="130">
        <f t="shared" si="24"/>
        <v>0</v>
      </c>
      <c r="BF186" s="130">
        <f t="shared" si="25"/>
        <v>10</v>
      </c>
      <c r="BG186" s="130">
        <f t="shared" si="26"/>
        <v>0</v>
      </c>
      <c r="BH186" s="130">
        <f t="shared" si="27"/>
        <v>0</v>
      </c>
      <c r="BI186" s="130">
        <f t="shared" si="28"/>
        <v>0</v>
      </c>
      <c r="BJ186" s="13" t="s">
        <v>76</v>
      </c>
      <c r="BK186" s="130">
        <f t="shared" si="29"/>
        <v>10</v>
      </c>
      <c r="BL186" s="13" t="s">
        <v>235</v>
      </c>
      <c r="BM186" s="129" t="s">
        <v>425</v>
      </c>
    </row>
    <row r="187" spans="2:65" s="1" customFormat="1" ht="16.5" customHeight="1" x14ac:dyDescent="0.2">
      <c r="B187" s="118"/>
      <c r="C187" s="119" t="s">
        <v>330</v>
      </c>
      <c r="D187" s="119" t="s">
        <v>231</v>
      </c>
      <c r="E187" s="120" t="s">
        <v>2868</v>
      </c>
      <c r="F187" s="121" t="s">
        <v>2869</v>
      </c>
      <c r="G187" s="122" t="s">
        <v>292</v>
      </c>
      <c r="H187" s="123">
        <v>80</v>
      </c>
      <c r="I187" s="124">
        <v>0.73</v>
      </c>
      <c r="J187" s="124">
        <f t="shared" si="20"/>
        <v>58.4</v>
      </c>
      <c r="K187" s="121" t="s">
        <v>1</v>
      </c>
      <c r="L187" s="24"/>
      <c r="M187" s="125" t="s">
        <v>1</v>
      </c>
      <c r="N187" s="126" t="s">
        <v>32</v>
      </c>
      <c r="O187" s="127">
        <v>0</v>
      </c>
      <c r="P187" s="127">
        <f t="shared" si="21"/>
        <v>0</v>
      </c>
      <c r="Q187" s="127">
        <v>0</v>
      </c>
      <c r="R187" s="127">
        <f t="shared" si="22"/>
        <v>0</v>
      </c>
      <c r="S187" s="127">
        <v>0</v>
      </c>
      <c r="T187" s="128">
        <f t="shared" si="23"/>
        <v>0</v>
      </c>
      <c r="AR187" s="129" t="s">
        <v>235</v>
      </c>
      <c r="AT187" s="129" t="s">
        <v>231</v>
      </c>
      <c r="AU187" s="129" t="s">
        <v>76</v>
      </c>
      <c r="AY187" s="13" t="s">
        <v>228</v>
      </c>
      <c r="BE187" s="130">
        <f t="shared" si="24"/>
        <v>0</v>
      </c>
      <c r="BF187" s="130">
        <f t="shared" si="25"/>
        <v>58.4</v>
      </c>
      <c r="BG187" s="130">
        <f t="shared" si="26"/>
        <v>0</v>
      </c>
      <c r="BH187" s="130">
        <f t="shared" si="27"/>
        <v>0</v>
      </c>
      <c r="BI187" s="130">
        <f t="shared" si="28"/>
        <v>0</v>
      </c>
      <c r="BJ187" s="13" t="s">
        <v>76</v>
      </c>
      <c r="BK187" s="130">
        <f t="shared" si="29"/>
        <v>58.4</v>
      </c>
      <c r="BL187" s="13" t="s">
        <v>235</v>
      </c>
      <c r="BM187" s="129" t="s">
        <v>428</v>
      </c>
    </row>
    <row r="188" spans="2:65" s="1" customFormat="1" ht="16.5" customHeight="1" x14ac:dyDescent="0.2">
      <c r="B188" s="118"/>
      <c r="C188" s="119" t="s">
        <v>429</v>
      </c>
      <c r="D188" s="119" t="s">
        <v>231</v>
      </c>
      <c r="E188" s="120" t="s">
        <v>2870</v>
      </c>
      <c r="F188" s="121" t="s">
        <v>2871</v>
      </c>
      <c r="G188" s="122" t="s">
        <v>292</v>
      </c>
      <c r="H188" s="123">
        <v>80</v>
      </c>
      <c r="I188" s="124">
        <v>1.21</v>
      </c>
      <c r="J188" s="124">
        <f t="shared" si="20"/>
        <v>96.8</v>
      </c>
      <c r="K188" s="121" t="s">
        <v>1</v>
      </c>
      <c r="L188" s="24"/>
      <c r="M188" s="125" t="s">
        <v>1</v>
      </c>
      <c r="N188" s="126" t="s">
        <v>32</v>
      </c>
      <c r="O188" s="127">
        <v>0</v>
      </c>
      <c r="P188" s="127">
        <f t="shared" si="21"/>
        <v>0</v>
      </c>
      <c r="Q188" s="127">
        <v>0</v>
      </c>
      <c r="R188" s="127">
        <f t="shared" si="22"/>
        <v>0</v>
      </c>
      <c r="S188" s="127">
        <v>0</v>
      </c>
      <c r="T188" s="128">
        <f t="shared" si="23"/>
        <v>0</v>
      </c>
      <c r="AR188" s="129" t="s">
        <v>235</v>
      </c>
      <c r="AT188" s="129" t="s">
        <v>231</v>
      </c>
      <c r="AU188" s="129" t="s">
        <v>76</v>
      </c>
      <c r="AY188" s="13" t="s">
        <v>228</v>
      </c>
      <c r="BE188" s="130">
        <f t="shared" si="24"/>
        <v>0</v>
      </c>
      <c r="BF188" s="130">
        <f t="shared" si="25"/>
        <v>96.8</v>
      </c>
      <c r="BG188" s="130">
        <f t="shared" si="26"/>
        <v>0</v>
      </c>
      <c r="BH188" s="130">
        <f t="shared" si="27"/>
        <v>0</v>
      </c>
      <c r="BI188" s="130">
        <f t="shared" si="28"/>
        <v>0</v>
      </c>
      <c r="BJ188" s="13" t="s">
        <v>76</v>
      </c>
      <c r="BK188" s="130">
        <f t="shared" si="29"/>
        <v>96.8</v>
      </c>
      <c r="BL188" s="13" t="s">
        <v>235</v>
      </c>
      <c r="BM188" s="129" t="s">
        <v>432</v>
      </c>
    </row>
    <row r="189" spans="2:65" s="1" customFormat="1" ht="16.5" customHeight="1" x14ac:dyDescent="0.2">
      <c r="B189" s="118"/>
      <c r="C189" s="119" t="s">
        <v>333</v>
      </c>
      <c r="D189" s="119" t="s">
        <v>231</v>
      </c>
      <c r="E189" s="120" t="s">
        <v>2872</v>
      </c>
      <c r="F189" s="121" t="s">
        <v>2873</v>
      </c>
      <c r="G189" s="122" t="s">
        <v>1194</v>
      </c>
      <c r="H189" s="123">
        <v>41</v>
      </c>
      <c r="I189" s="124">
        <v>0.67</v>
      </c>
      <c r="J189" s="124">
        <f t="shared" si="20"/>
        <v>27.47</v>
      </c>
      <c r="K189" s="121" t="s">
        <v>1</v>
      </c>
      <c r="L189" s="24"/>
      <c r="M189" s="125" t="s">
        <v>1</v>
      </c>
      <c r="N189" s="126" t="s">
        <v>32</v>
      </c>
      <c r="O189" s="127">
        <v>0</v>
      </c>
      <c r="P189" s="127">
        <f t="shared" si="21"/>
        <v>0</v>
      </c>
      <c r="Q189" s="127">
        <v>0</v>
      </c>
      <c r="R189" s="127">
        <f t="shared" si="22"/>
        <v>0</v>
      </c>
      <c r="S189" s="127">
        <v>0</v>
      </c>
      <c r="T189" s="128">
        <f t="shared" si="23"/>
        <v>0</v>
      </c>
      <c r="AR189" s="129" t="s">
        <v>235</v>
      </c>
      <c r="AT189" s="129" t="s">
        <v>231</v>
      </c>
      <c r="AU189" s="129" t="s">
        <v>76</v>
      </c>
      <c r="AY189" s="13" t="s">
        <v>228</v>
      </c>
      <c r="BE189" s="130">
        <f t="shared" si="24"/>
        <v>0</v>
      </c>
      <c r="BF189" s="130">
        <f t="shared" si="25"/>
        <v>27.47</v>
      </c>
      <c r="BG189" s="130">
        <f t="shared" si="26"/>
        <v>0</v>
      </c>
      <c r="BH189" s="130">
        <f t="shared" si="27"/>
        <v>0</v>
      </c>
      <c r="BI189" s="130">
        <f t="shared" si="28"/>
        <v>0</v>
      </c>
      <c r="BJ189" s="13" t="s">
        <v>76</v>
      </c>
      <c r="BK189" s="130">
        <f t="shared" si="29"/>
        <v>27.47</v>
      </c>
      <c r="BL189" s="13" t="s">
        <v>235</v>
      </c>
      <c r="BM189" s="129" t="s">
        <v>435</v>
      </c>
    </row>
    <row r="190" spans="2:65" s="1" customFormat="1" ht="16.5" customHeight="1" x14ac:dyDescent="0.2">
      <c r="B190" s="118"/>
      <c r="C190" s="119" t="s">
        <v>438</v>
      </c>
      <c r="D190" s="119" t="s">
        <v>231</v>
      </c>
      <c r="E190" s="120" t="s">
        <v>2874</v>
      </c>
      <c r="F190" s="121" t="s">
        <v>2875</v>
      </c>
      <c r="G190" s="122" t="s">
        <v>1194</v>
      </c>
      <c r="H190" s="123">
        <v>9</v>
      </c>
      <c r="I190" s="124">
        <v>11.35</v>
      </c>
      <c r="J190" s="124">
        <f t="shared" si="20"/>
        <v>102.15</v>
      </c>
      <c r="K190" s="121" t="s">
        <v>1</v>
      </c>
      <c r="L190" s="24"/>
      <c r="M190" s="125" t="s">
        <v>1</v>
      </c>
      <c r="N190" s="126" t="s">
        <v>32</v>
      </c>
      <c r="O190" s="127">
        <v>0</v>
      </c>
      <c r="P190" s="127">
        <f t="shared" si="21"/>
        <v>0</v>
      </c>
      <c r="Q190" s="127">
        <v>0</v>
      </c>
      <c r="R190" s="127">
        <f t="shared" si="22"/>
        <v>0</v>
      </c>
      <c r="S190" s="127">
        <v>0</v>
      </c>
      <c r="T190" s="128">
        <f t="shared" si="23"/>
        <v>0</v>
      </c>
      <c r="AR190" s="129" t="s">
        <v>235</v>
      </c>
      <c r="AT190" s="129" t="s">
        <v>231</v>
      </c>
      <c r="AU190" s="129" t="s">
        <v>76</v>
      </c>
      <c r="AY190" s="13" t="s">
        <v>228</v>
      </c>
      <c r="BE190" s="130">
        <f t="shared" si="24"/>
        <v>0</v>
      </c>
      <c r="BF190" s="130">
        <f t="shared" si="25"/>
        <v>102.15</v>
      </c>
      <c r="BG190" s="130">
        <f t="shared" si="26"/>
        <v>0</v>
      </c>
      <c r="BH190" s="130">
        <f t="shared" si="27"/>
        <v>0</v>
      </c>
      <c r="BI190" s="130">
        <f t="shared" si="28"/>
        <v>0</v>
      </c>
      <c r="BJ190" s="13" t="s">
        <v>76</v>
      </c>
      <c r="BK190" s="130">
        <f t="shared" si="29"/>
        <v>102.15</v>
      </c>
      <c r="BL190" s="13" t="s">
        <v>235</v>
      </c>
      <c r="BM190" s="129" t="s">
        <v>441</v>
      </c>
    </row>
    <row r="191" spans="2:65" s="1" customFormat="1" ht="16.5" customHeight="1" x14ac:dyDescent="0.2">
      <c r="B191" s="118"/>
      <c r="C191" s="119" t="s">
        <v>337</v>
      </c>
      <c r="D191" s="119" t="s">
        <v>231</v>
      </c>
      <c r="E191" s="120" t="s">
        <v>2876</v>
      </c>
      <c r="F191" s="121" t="s">
        <v>2877</v>
      </c>
      <c r="G191" s="122" t="s">
        <v>292</v>
      </c>
      <c r="H191" s="123">
        <v>20</v>
      </c>
      <c r="I191" s="124">
        <v>14.02</v>
      </c>
      <c r="J191" s="124">
        <f t="shared" si="20"/>
        <v>280.39999999999998</v>
      </c>
      <c r="K191" s="121" t="s">
        <v>1</v>
      </c>
      <c r="L191" s="24"/>
      <c r="M191" s="125" t="s">
        <v>1</v>
      </c>
      <c r="N191" s="126" t="s">
        <v>32</v>
      </c>
      <c r="O191" s="127">
        <v>0</v>
      </c>
      <c r="P191" s="127">
        <f t="shared" si="21"/>
        <v>0</v>
      </c>
      <c r="Q191" s="127">
        <v>0</v>
      </c>
      <c r="R191" s="127">
        <f t="shared" si="22"/>
        <v>0</v>
      </c>
      <c r="S191" s="127">
        <v>0</v>
      </c>
      <c r="T191" s="128">
        <f t="shared" si="23"/>
        <v>0</v>
      </c>
      <c r="AR191" s="129" t="s">
        <v>235</v>
      </c>
      <c r="AT191" s="129" t="s">
        <v>231</v>
      </c>
      <c r="AU191" s="129" t="s">
        <v>76</v>
      </c>
      <c r="AY191" s="13" t="s">
        <v>228</v>
      </c>
      <c r="BE191" s="130">
        <f t="shared" si="24"/>
        <v>0</v>
      </c>
      <c r="BF191" s="130">
        <f t="shared" si="25"/>
        <v>280.39999999999998</v>
      </c>
      <c r="BG191" s="130">
        <f t="shared" si="26"/>
        <v>0</v>
      </c>
      <c r="BH191" s="130">
        <f t="shared" si="27"/>
        <v>0</v>
      </c>
      <c r="BI191" s="130">
        <f t="shared" si="28"/>
        <v>0</v>
      </c>
      <c r="BJ191" s="13" t="s">
        <v>76</v>
      </c>
      <c r="BK191" s="130">
        <f t="shared" si="29"/>
        <v>280.39999999999998</v>
      </c>
      <c r="BL191" s="13" t="s">
        <v>235</v>
      </c>
      <c r="BM191" s="129" t="s">
        <v>444</v>
      </c>
    </row>
    <row r="192" spans="2:65" s="1" customFormat="1" ht="16.5" customHeight="1" x14ac:dyDescent="0.2">
      <c r="B192" s="118"/>
      <c r="C192" s="119" t="s">
        <v>445</v>
      </c>
      <c r="D192" s="119" t="s">
        <v>231</v>
      </c>
      <c r="E192" s="120" t="s">
        <v>2878</v>
      </c>
      <c r="F192" s="121" t="s">
        <v>2879</v>
      </c>
      <c r="G192" s="122" t="s">
        <v>292</v>
      </c>
      <c r="H192" s="123">
        <v>20</v>
      </c>
      <c r="I192" s="124">
        <v>11.35</v>
      </c>
      <c r="J192" s="124">
        <f t="shared" si="20"/>
        <v>227</v>
      </c>
      <c r="K192" s="121" t="s">
        <v>1</v>
      </c>
      <c r="L192" s="24"/>
      <c r="M192" s="125" t="s">
        <v>1</v>
      </c>
      <c r="N192" s="126" t="s">
        <v>32</v>
      </c>
      <c r="O192" s="127">
        <v>0</v>
      </c>
      <c r="P192" s="127">
        <f t="shared" si="21"/>
        <v>0</v>
      </c>
      <c r="Q192" s="127">
        <v>0</v>
      </c>
      <c r="R192" s="127">
        <f t="shared" si="22"/>
        <v>0</v>
      </c>
      <c r="S192" s="127">
        <v>0</v>
      </c>
      <c r="T192" s="128">
        <f t="shared" si="23"/>
        <v>0</v>
      </c>
      <c r="AR192" s="129" t="s">
        <v>235</v>
      </c>
      <c r="AT192" s="129" t="s">
        <v>231</v>
      </c>
      <c r="AU192" s="129" t="s">
        <v>76</v>
      </c>
      <c r="AY192" s="13" t="s">
        <v>228</v>
      </c>
      <c r="BE192" s="130">
        <f t="shared" si="24"/>
        <v>0</v>
      </c>
      <c r="BF192" s="130">
        <f t="shared" si="25"/>
        <v>227</v>
      </c>
      <c r="BG192" s="130">
        <f t="shared" si="26"/>
        <v>0</v>
      </c>
      <c r="BH192" s="130">
        <f t="shared" si="27"/>
        <v>0</v>
      </c>
      <c r="BI192" s="130">
        <f t="shared" si="28"/>
        <v>0</v>
      </c>
      <c r="BJ192" s="13" t="s">
        <v>76</v>
      </c>
      <c r="BK192" s="130">
        <f t="shared" si="29"/>
        <v>227</v>
      </c>
      <c r="BL192" s="13" t="s">
        <v>235</v>
      </c>
      <c r="BM192" s="129" t="s">
        <v>448</v>
      </c>
    </row>
    <row r="193" spans="2:65" s="1" customFormat="1" ht="16.5" customHeight="1" x14ac:dyDescent="0.2">
      <c r="B193" s="118"/>
      <c r="C193" s="119" t="s">
        <v>340</v>
      </c>
      <c r="D193" s="119" t="s">
        <v>231</v>
      </c>
      <c r="E193" s="120" t="s">
        <v>2880</v>
      </c>
      <c r="F193" s="121" t="s">
        <v>2881</v>
      </c>
      <c r="G193" s="122" t="s">
        <v>292</v>
      </c>
      <c r="H193" s="123">
        <v>40</v>
      </c>
      <c r="I193" s="124">
        <v>8.68</v>
      </c>
      <c r="J193" s="124">
        <f t="shared" si="20"/>
        <v>347.2</v>
      </c>
      <c r="K193" s="121" t="s">
        <v>1</v>
      </c>
      <c r="L193" s="24"/>
      <c r="M193" s="125" t="s">
        <v>1</v>
      </c>
      <c r="N193" s="126" t="s">
        <v>32</v>
      </c>
      <c r="O193" s="127">
        <v>0</v>
      </c>
      <c r="P193" s="127">
        <f t="shared" si="21"/>
        <v>0</v>
      </c>
      <c r="Q193" s="127">
        <v>0</v>
      </c>
      <c r="R193" s="127">
        <f t="shared" si="22"/>
        <v>0</v>
      </c>
      <c r="S193" s="127">
        <v>0</v>
      </c>
      <c r="T193" s="128">
        <f t="shared" si="23"/>
        <v>0</v>
      </c>
      <c r="AR193" s="129" t="s">
        <v>235</v>
      </c>
      <c r="AT193" s="129" t="s">
        <v>231</v>
      </c>
      <c r="AU193" s="129" t="s">
        <v>76</v>
      </c>
      <c r="AY193" s="13" t="s">
        <v>228</v>
      </c>
      <c r="BE193" s="130">
        <f t="shared" si="24"/>
        <v>0</v>
      </c>
      <c r="BF193" s="130">
        <f t="shared" si="25"/>
        <v>347.2</v>
      </c>
      <c r="BG193" s="130">
        <f t="shared" si="26"/>
        <v>0</v>
      </c>
      <c r="BH193" s="130">
        <f t="shared" si="27"/>
        <v>0</v>
      </c>
      <c r="BI193" s="130">
        <f t="shared" si="28"/>
        <v>0</v>
      </c>
      <c r="BJ193" s="13" t="s">
        <v>76</v>
      </c>
      <c r="BK193" s="130">
        <f t="shared" si="29"/>
        <v>347.2</v>
      </c>
      <c r="BL193" s="13" t="s">
        <v>235</v>
      </c>
      <c r="BM193" s="129" t="s">
        <v>451</v>
      </c>
    </row>
    <row r="194" spans="2:65" s="1" customFormat="1" ht="16.5" customHeight="1" x14ac:dyDescent="0.2">
      <c r="B194" s="118"/>
      <c r="C194" s="119" t="s">
        <v>452</v>
      </c>
      <c r="D194" s="119" t="s">
        <v>231</v>
      </c>
      <c r="E194" s="120" t="s">
        <v>2882</v>
      </c>
      <c r="F194" s="121" t="s">
        <v>2883</v>
      </c>
      <c r="G194" s="122" t="s">
        <v>292</v>
      </c>
      <c r="H194" s="123">
        <v>40</v>
      </c>
      <c r="I194" s="124">
        <v>3.34</v>
      </c>
      <c r="J194" s="124">
        <f t="shared" si="20"/>
        <v>133.6</v>
      </c>
      <c r="K194" s="121" t="s">
        <v>1</v>
      </c>
      <c r="L194" s="24"/>
      <c r="M194" s="125" t="s">
        <v>1</v>
      </c>
      <c r="N194" s="126" t="s">
        <v>32</v>
      </c>
      <c r="O194" s="127">
        <v>0</v>
      </c>
      <c r="P194" s="127">
        <f t="shared" si="21"/>
        <v>0</v>
      </c>
      <c r="Q194" s="127">
        <v>0</v>
      </c>
      <c r="R194" s="127">
        <f t="shared" si="22"/>
        <v>0</v>
      </c>
      <c r="S194" s="127">
        <v>0</v>
      </c>
      <c r="T194" s="128">
        <f t="shared" si="23"/>
        <v>0</v>
      </c>
      <c r="AR194" s="129" t="s">
        <v>235</v>
      </c>
      <c r="AT194" s="129" t="s">
        <v>231</v>
      </c>
      <c r="AU194" s="129" t="s">
        <v>76</v>
      </c>
      <c r="AY194" s="13" t="s">
        <v>228</v>
      </c>
      <c r="BE194" s="130">
        <f t="shared" si="24"/>
        <v>0</v>
      </c>
      <c r="BF194" s="130">
        <f t="shared" si="25"/>
        <v>133.6</v>
      </c>
      <c r="BG194" s="130">
        <f t="shared" si="26"/>
        <v>0</v>
      </c>
      <c r="BH194" s="130">
        <f t="shared" si="27"/>
        <v>0</v>
      </c>
      <c r="BI194" s="130">
        <f t="shared" si="28"/>
        <v>0</v>
      </c>
      <c r="BJ194" s="13" t="s">
        <v>76</v>
      </c>
      <c r="BK194" s="130">
        <f t="shared" si="29"/>
        <v>133.6</v>
      </c>
      <c r="BL194" s="13" t="s">
        <v>235</v>
      </c>
      <c r="BM194" s="129" t="s">
        <v>455</v>
      </c>
    </row>
    <row r="195" spans="2:65" s="1" customFormat="1" ht="16.5" customHeight="1" x14ac:dyDescent="0.2">
      <c r="B195" s="118"/>
      <c r="C195" s="119" t="s">
        <v>344</v>
      </c>
      <c r="D195" s="119" t="s">
        <v>231</v>
      </c>
      <c r="E195" s="120" t="s">
        <v>2884</v>
      </c>
      <c r="F195" s="121" t="s">
        <v>2885</v>
      </c>
      <c r="G195" s="122" t="s">
        <v>292</v>
      </c>
      <c r="H195" s="123">
        <v>40</v>
      </c>
      <c r="I195" s="124">
        <v>1.74</v>
      </c>
      <c r="J195" s="124">
        <f t="shared" si="20"/>
        <v>69.599999999999994</v>
      </c>
      <c r="K195" s="121" t="s">
        <v>1</v>
      </c>
      <c r="L195" s="24"/>
      <c r="M195" s="125" t="s">
        <v>1</v>
      </c>
      <c r="N195" s="126" t="s">
        <v>32</v>
      </c>
      <c r="O195" s="127">
        <v>0</v>
      </c>
      <c r="P195" s="127">
        <f t="shared" si="21"/>
        <v>0</v>
      </c>
      <c r="Q195" s="127">
        <v>0</v>
      </c>
      <c r="R195" s="127">
        <f t="shared" si="22"/>
        <v>0</v>
      </c>
      <c r="S195" s="127">
        <v>0</v>
      </c>
      <c r="T195" s="128">
        <f t="shared" si="23"/>
        <v>0</v>
      </c>
      <c r="AR195" s="129" t="s">
        <v>235</v>
      </c>
      <c r="AT195" s="129" t="s">
        <v>231</v>
      </c>
      <c r="AU195" s="129" t="s">
        <v>76</v>
      </c>
      <c r="AY195" s="13" t="s">
        <v>228</v>
      </c>
      <c r="BE195" s="130">
        <f t="shared" si="24"/>
        <v>0</v>
      </c>
      <c r="BF195" s="130">
        <f t="shared" si="25"/>
        <v>69.599999999999994</v>
      </c>
      <c r="BG195" s="130">
        <f t="shared" si="26"/>
        <v>0</v>
      </c>
      <c r="BH195" s="130">
        <f t="shared" si="27"/>
        <v>0</v>
      </c>
      <c r="BI195" s="130">
        <f t="shared" si="28"/>
        <v>0</v>
      </c>
      <c r="BJ195" s="13" t="s">
        <v>76</v>
      </c>
      <c r="BK195" s="130">
        <f t="shared" si="29"/>
        <v>69.599999999999994</v>
      </c>
      <c r="BL195" s="13" t="s">
        <v>235</v>
      </c>
      <c r="BM195" s="129" t="s">
        <v>458</v>
      </c>
    </row>
    <row r="196" spans="2:65" s="1" customFormat="1" ht="24" customHeight="1" x14ac:dyDescent="0.2">
      <c r="B196" s="118"/>
      <c r="C196" s="119" t="s">
        <v>459</v>
      </c>
      <c r="D196" s="119" t="s">
        <v>231</v>
      </c>
      <c r="E196" s="120" t="s">
        <v>2886</v>
      </c>
      <c r="F196" s="121" t="s">
        <v>2887</v>
      </c>
      <c r="G196" s="122" t="s">
        <v>292</v>
      </c>
      <c r="H196" s="123">
        <v>27</v>
      </c>
      <c r="I196" s="124">
        <v>7.74</v>
      </c>
      <c r="J196" s="124">
        <f t="shared" si="20"/>
        <v>208.98</v>
      </c>
      <c r="K196" s="121" t="s">
        <v>1</v>
      </c>
      <c r="L196" s="24"/>
      <c r="M196" s="125" t="s">
        <v>1</v>
      </c>
      <c r="N196" s="126" t="s">
        <v>32</v>
      </c>
      <c r="O196" s="127">
        <v>0</v>
      </c>
      <c r="P196" s="127">
        <f t="shared" si="21"/>
        <v>0</v>
      </c>
      <c r="Q196" s="127">
        <v>0</v>
      </c>
      <c r="R196" s="127">
        <f t="shared" si="22"/>
        <v>0</v>
      </c>
      <c r="S196" s="127">
        <v>0</v>
      </c>
      <c r="T196" s="128">
        <f t="shared" si="23"/>
        <v>0</v>
      </c>
      <c r="AR196" s="129" t="s">
        <v>235</v>
      </c>
      <c r="AT196" s="129" t="s">
        <v>231</v>
      </c>
      <c r="AU196" s="129" t="s">
        <v>76</v>
      </c>
      <c r="AY196" s="13" t="s">
        <v>228</v>
      </c>
      <c r="BE196" s="130">
        <f t="shared" si="24"/>
        <v>0</v>
      </c>
      <c r="BF196" s="130">
        <f t="shared" si="25"/>
        <v>208.98</v>
      </c>
      <c r="BG196" s="130">
        <f t="shared" si="26"/>
        <v>0</v>
      </c>
      <c r="BH196" s="130">
        <f t="shared" si="27"/>
        <v>0</v>
      </c>
      <c r="BI196" s="130">
        <f t="shared" si="28"/>
        <v>0</v>
      </c>
      <c r="BJ196" s="13" t="s">
        <v>76</v>
      </c>
      <c r="BK196" s="130">
        <f t="shared" si="29"/>
        <v>208.98</v>
      </c>
      <c r="BL196" s="13" t="s">
        <v>235</v>
      </c>
      <c r="BM196" s="129" t="s">
        <v>462</v>
      </c>
    </row>
    <row r="197" spans="2:65" s="1" customFormat="1" ht="16.5" customHeight="1" x14ac:dyDescent="0.2">
      <c r="B197" s="118"/>
      <c r="C197" s="119" t="s">
        <v>347</v>
      </c>
      <c r="D197" s="119" t="s">
        <v>231</v>
      </c>
      <c r="E197" s="120" t="s">
        <v>2888</v>
      </c>
      <c r="F197" s="121" t="s">
        <v>2889</v>
      </c>
      <c r="G197" s="122" t="s">
        <v>292</v>
      </c>
      <c r="H197" s="123">
        <v>9</v>
      </c>
      <c r="I197" s="124">
        <v>5.61</v>
      </c>
      <c r="J197" s="124">
        <f t="shared" si="20"/>
        <v>50.49</v>
      </c>
      <c r="K197" s="121" t="s">
        <v>1</v>
      </c>
      <c r="L197" s="24"/>
      <c r="M197" s="125" t="s">
        <v>1</v>
      </c>
      <c r="N197" s="126" t="s">
        <v>32</v>
      </c>
      <c r="O197" s="127">
        <v>0</v>
      </c>
      <c r="P197" s="127">
        <f t="shared" si="21"/>
        <v>0</v>
      </c>
      <c r="Q197" s="127">
        <v>0</v>
      </c>
      <c r="R197" s="127">
        <f t="shared" si="22"/>
        <v>0</v>
      </c>
      <c r="S197" s="127">
        <v>0</v>
      </c>
      <c r="T197" s="128">
        <f t="shared" si="23"/>
        <v>0</v>
      </c>
      <c r="AR197" s="129" t="s">
        <v>235</v>
      </c>
      <c r="AT197" s="129" t="s">
        <v>231</v>
      </c>
      <c r="AU197" s="129" t="s">
        <v>76</v>
      </c>
      <c r="AY197" s="13" t="s">
        <v>228</v>
      </c>
      <c r="BE197" s="130">
        <f t="shared" si="24"/>
        <v>0</v>
      </c>
      <c r="BF197" s="130">
        <f t="shared" si="25"/>
        <v>50.49</v>
      </c>
      <c r="BG197" s="130">
        <f t="shared" si="26"/>
        <v>0</v>
      </c>
      <c r="BH197" s="130">
        <f t="shared" si="27"/>
        <v>0</v>
      </c>
      <c r="BI197" s="130">
        <f t="shared" si="28"/>
        <v>0</v>
      </c>
      <c r="BJ197" s="13" t="s">
        <v>76</v>
      </c>
      <c r="BK197" s="130">
        <f t="shared" si="29"/>
        <v>50.49</v>
      </c>
      <c r="BL197" s="13" t="s">
        <v>235</v>
      </c>
      <c r="BM197" s="129" t="s">
        <v>465</v>
      </c>
    </row>
    <row r="198" spans="2:65" s="1" customFormat="1" ht="16.5" customHeight="1" x14ac:dyDescent="0.2">
      <c r="B198" s="118"/>
      <c r="C198" s="119" t="s">
        <v>466</v>
      </c>
      <c r="D198" s="119" t="s">
        <v>231</v>
      </c>
      <c r="E198" s="120" t="s">
        <v>2890</v>
      </c>
      <c r="F198" s="121" t="s">
        <v>2891</v>
      </c>
      <c r="G198" s="122" t="s">
        <v>1194</v>
      </c>
      <c r="H198" s="123">
        <v>12</v>
      </c>
      <c r="I198" s="124">
        <v>0.34</v>
      </c>
      <c r="J198" s="124">
        <f t="shared" si="20"/>
        <v>4.08</v>
      </c>
      <c r="K198" s="121" t="s">
        <v>1</v>
      </c>
      <c r="L198" s="24"/>
      <c r="M198" s="125" t="s">
        <v>1</v>
      </c>
      <c r="N198" s="126" t="s">
        <v>32</v>
      </c>
      <c r="O198" s="127">
        <v>0</v>
      </c>
      <c r="P198" s="127">
        <f t="shared" si="21"/>
        <v>0</v>
      </c>
      <c r="Q198" s="127">
        <v>0</v>
      </c>
      <c r="R198" s="127">
        <f t="shared" si="22"/>
        <v>0</v>
      </c>
      <c r="S198" s="127">
        <v>0</v>
      </c>
      <c r="T198" s="128">
        <f t="shared" si="23"/>
        <v>0</v>
      </c>
      <c r="AR198" s="129" t="s">
        <v>235</v>
      </c>
      <c r="AT198" s="129" t="s">
        <v>231</v>
      </c>
      <c r="AU198" s="129" t="s">
        <v>76</v>
      </c>
      <c r="AY198" s="13" t="s">
        <v>228</v>
      </c>
      <c r="BE198" s="130">
        <f t="shared" si="24"/>
        <v>0</v>
      </c>
      <c r="BF198" s="130">
        <f t="shared" si="25"/>
        <v>4.08</v>
      </c>
      <c r="BG198" s="130">
        <f t="shared" si="26"/>
        <v>0</v>
      </c>
      <c r="BH198" s="130">
        <f t="shared" si="27"/>
        <v>0</v>
      </c>
      <c r="BI198" s="130">
        <f t="shared" si="28"/>
        <v>0</v>
      </c>
      <c r="BJ198" s="13" t="s">
        <v>76</v>
      </c>
      <c r="BK198" s="130">
        <f t="shared" si="29"/>
        <v>4.08</v>
      </c>
      <c r="BL198" s="13" t="s">
        <v>235</v>
      </c>
      <c r="BM198" s="129" t="s">
        <v>469</v>
      </c>
    </row>
    <row r="199" spans="2:65" s="1" customFormat="1" ht="16.5" customHeight="1" x14ac:dyDescent="0.2">
      <c r="B199" s="118"/>
      <c r="C199" s="119" t="s">
        <v>351</v>
      </c>
      <c r="D199" s="119" t="s">
        <v>231</v>
      </c>
      <c r="E199" s="120" t="s">
        <v>2892</v>
      </c>
      <c r="F199" s="121" t="s">
        <v>2893</v>
      </c>
      <c r="G199" s="122" t="s">
        <v>292</v>
      </c>
      <c r="H199" s="123">
        <v>20</v>
      </c>
      <c r="I199" s="124">
        <v>2.14</v>
      </c>
      <c r="J199" s="124">
        <f t="shared" si="20"/>
        <v>42.8</v>
      </c>
      <c r="K199" s="121" t="s">
        <v>1</v>
      </c>
      <c r="L199" s="24"/>
      <c r="M199" s="125" t="s">
        <v>1</v>
      </c>
      <c r="N199" s="126" t="s">
        <v>32</v>
      </c>
      <c r="O199" s="127">
        <v>0</v>
      </c>
      <c r="P199" s="127">
        <f t="shared" si="21"/>
        <v>0</v>
      </c>
      <c r="Q199" s="127">
        <v>0</v>
      </c>
      <c r="R199" s="127">
        <f t="shared" si="22"/>
        <v>0</v>
      </c>
      <c r="S199" s="127">
        <v>0</v>
      </c>
      <c r="T199" s="128">
        <f t="shared" si="23"/>
        <v>0</v>
      </c>
      <c r="AR199" s="129" t="s">
        <v>235</v>
      </c>
      <c r="AT199" s="129" t="s">
        <v>231</v>
      </c>
      <c r="AU199" s="129" t="s">
        <v>76</v>
      </c>
      <c r="AY199" s="13" t="s">
        <v>228</v>
      </c>
      <c r="BE199" s="130">
        <f t="shared" si="24"/>
        <v>0</v>
      </c>
      <c r="BF199" s="130">
        <f t="shared" si="25"/>
        <v>42.8</v>
      </c>
      <c r="BG199" s="130">
        <f t="shared" si="26"/>
        <v>0</v>
      </c>
      <c r="BH199" s="130">
        <f t="shared" si="27"/>
        <v>0</v>
      </c>
      <c r="BI199" s="130">
        <f t="shared" si="28"/>
        <v>0</v>
      </c>
      <c r="BJ199" s="13" t="s">
        <v>76</v>
      </c>
      <c r="BK199" s="130">
        <f t="shared" si="29"/>
        <v>42.8</v>
      </c>
      <c r="BL199" s="13" t="s">
        <v>235</v>
      </c>
      <c r="BM199" s="129" t="s">
        <v>472</v>
      </c>
    </row>
    <row r="200" spans="2:65" s="1" customFormat="1" ht="16.5" customHeight="1" x14ac:dyDescent="0.2">
      <c r="B200" s="118"/>
      <c r="C200" s="119" t="s">
        <v>473</v>
      </c>
      <c r="D200" s="119" t="s">
        <v>231</v>
      </c>
      <c r="E200" s="120" t="s">
        <v>2894</v>
      </c>
      <c r="F200" s="121" t="s">
        <v>2895</v>
      </c>
      <c r="G200" s="122" t="s">
        <v>292</v>
      </c>
      <c r="H200" s="123">
        <v>20</v>
      </c>
      <c r="I200" s="124">
        <v>1.34</v>
      </c>
      <c r="J200" s="124">
        <f t="shared" si="20"/>
        <v>26.8</v>
      </c>
      <c r="K200" s="121" t="s">
        <v>1</v>
      </c>
      <c r="L200" s="24"/>
      <c r="M200" s="125" t="s">
        <v>1</v>
      </c>
      <c r="N200" s="126" t="s">
        <v>32</v>
      </c>
      <c r="O200" s="127">
        <v>0</v>
      </c>
      <c r="P200" s="127">
        <f t="shared" si="21"/>
        <v>0</v>
      </c>
      <c r="Q200" s="127">
        <v>0</v>
      </c>
      <c r="R200" s="127">
        <f t="shared" si="22"/>
        <v>0</v>
      </c>
      <c r="S200" s="127">
        <v>0</v>
      </c>
      <c r="T200" s="128">
        <f t="shared" si="23"/>
        <v>0</v>
      </c>
      <c r="AR200" s="129" t="s">
        <v>235</v>
      </c>
      <c r="AT200" s="129" t="s">
        <v>231</v>
      </c>
      <c r="AU200" s="129" t="s">
        <v>76</v>
      </c>
      <c r="AY200" s="13" t="s">
        <v>228</v>
      </c>
      <c r="BE200" s="130">
        <f t="shared" si="24"/>
        <v>0</v>
      </c>
      <c r="BF200" s="130">
        <f t="shared" si="25"/>
        <v>26.8</v>
      </c>
      <c r="BG200" s="130">
        <f t="shared" si="26"/>
        <v>0</v>
      </c>
      <c r="BH200" s="130">
        <f t="shared" si="27"/>
        <v>0</v>
      </c>
      <c r="BI200" s="130">
        <f t="shared" si="28"/>
        <v>0</v>
      </c>
      <c r="BJ200" s="13" t="s">
        <v>76</v>
      </c>
      <c r="BK200" s="130">
        <f t="shared" si="29"/>
        <v>26.8</v>
      </c>
      <c r="BL200" s="13" t="s">
        <v>235</v>
      </c>
      <c r="BM200" s="129" t="s">
        <v>476</v>
      </c>
    </row>
    <row r="201" spans="2:65" s="1" customFormat="1" ht="16.5" customHeight="1" x14ac:dyDescent="0.2">
      <c r="B201" s="118"/>
      <c r="C201" s="119" t="s">
        <v>354</v>
      </c>
      <c r="D201" s="119" t="s">
        <v>231</v>
      </c>
      <c r="E201" s="120" t="s">
        <v>2896</v>
      </c>
      <c r="F201" s="121" t="s">
        <v>2897</v>
      </c>
      <c r="G201" s="122" t="s">
        <v>292</v>
      </c>
      <c r="H201" s="123">
        <v>40</v>
      </c>
      <c r="I201" s="124">
        <v>0.53</v>
      </c>
      <c r="J201" s="124">
        <f t="shared" si="20"/>
        <v>21.2</v>
      </c>
      <c r="K201" s="121" t="s">
        <v>1</v>
      </c>
      <c r="L201" s="24"/>
      <c r="M201" s="125" t="s">
        <v>1</v>
      </c>
      <c r="N201" s="126" t="s">
        <v>32</v>
      </c>
      <c r="O201" s="127">
        <v>0</v>
      </c>
      <c r="P201" s="127">
        <f t="shared" si="21"/>
        <v>0</v>
      </c>
      <c r="Q201" s="127">
        <v>0</v>
      </c>
      <c r="R201" s="127">
        <f t="shared" si="22"/>
        <v>0</v>
      </c>
      <c r="S201" s="127">
        <v>0</v>
      </c>
      <c r="T201" s="128">
        <f t="shared" si="23"/>
        <v>0</v>
      </c>
      <c r="AR201" s="129" t="s">
        <v>235</v>
      </c>
      <c r="AT201" s="129" t="s">
        <v>231</v>
      </c>
      <c r="AU201" s="129" t="s">
        <v>76</v>
      </c>
      <c r="AY201" s="13" t="s">
        <v>228</v>
      </c>
      <c r="BE201" s="130">
        <f t="shared" si="24"/>
        <v>0</v>
      </c>
      <c r="BF201" s="130">
        <f t="shared" si="25"/>
        <v>21.2</v>
      </c>
      <c r="BG201" s="130">
        <f t="shared" si="26"/>
        <v>0</v>
      </c>
      <c r="BH201" s="130">
        <f t="shared" si="27"/>
        <v>0</v>
      </c>
      <c r="BI201" s="130">
        <f t="shared" si="28"/>
        <v>0</v>
      </c>
      <c r="BJ201" s="13" t="s">
        <v>76</v>
      </c>
      <c r="BK201" s="130">
        <f t="shared" si="29"/>
        <v>21.2</v>
      </c>
      <c r="BL201" s="13" t="s">
        <v>235</v>
      </c>
      <c r="BM201" s="129" t="s">
        <v>479</v>
      </c>
    </row>
    <row r="202" spans="2:65" s="1" customFormat="1" ht="16.5" customHeight="1" x14ac:dyDescent="0.2">
      <c r="B202" s="118"/>
      <c r="C202" s="119" t="s">
        <v>480</v>
      </c>
      <c r="D202" s="119" t="s">
        <v>231</v>
      </c>
      <c r="E202" s="120" t="s">
        <v>2898</v>
      </c>
      <c r="F202" s="121" t="s">
        <v>2899</v>
      </c>
      <c r="G202" s="122" t="s">
        <v>1194</v>
      </c>
      <c r="H202" s="123">
        <v>10</v>
      </c>
      <c r="I202" s="124">
        <v>0.46</v>
      </c>
      <c r="J202" s="124">
        <f t="shared" si="20"/>
        <v>4.5999999999999996</v>
      </c>
      <c r="K202" s="121" t="s">
        <v>1</v>
      </c>
      <c r="L202" s="24"/>
      <c r="M202" s="125" t="s">
        <v>1</v>
      </c>
      <c r="N202" s="126" t="s">
        <v>32</v>
      </c>
      <c r="O202" s="127">
        <v>0</v>
      </c>
      <c r="P202" s="127">
        <f t="shared" si="21"/>
        <v>0</v>
      </c>
      <c r="Q202" s="127">
        <v>0</v>
      </c>
      <c r="R202" s="127">
        <f t="shared" si="22"/>
        <v>0</v>
      </c>
      <c r="S202" s="127">
        <v>0</v>
      </c>
      <c r="T202" s="128">
        <f t="shared" si="23"/>
        <v>0</v>
      </c>
      <c r="AR202" s="129" t="s">
        <v>235</v>
      </c>
      <c r="AT202" s="129" t="s">
        <v>231</v>
      </c>
      <c r="AU202" s="129" t="s">
        <v>76</v>
      </c>
      <c r="AY202" s="13" t="s">
        <v>228</v>
      </c>
      <c r="BE202" s="130">
        <f t="shared" si="24"/>
        <v>0</v>
      </c>
      <c r="BF202" s="130">
        <f t="shared" si="25"/>
        <v>4.5999999999999996</v>
      </c>
      <c r="BG202" s="130">
        <f t="shared" si="26"/>
        <v>0</v>
      </c>
      <c r="BH202" s="130">
        <f t="shared" si="27"/>
        <v>0</v>
      </c>
      <c r="BI202" s="130">
        <f t="shared" si="28"/>
        <v>0</v>
      </c>
      <c r="BJ202" s="13" t="s">
        <v>76</v>
      </c>
      <c r="BK202" s="130">
        <f t="shared" si="29"/>
        <v>4.5999999999999996</v>
      </c>
      <c r="BL202" s="13" t="s">
        <v>235</v>
      </c>
      <c r="BM202" s="129" t="s">
        <v>483</v>
      </c>
    </row>
    <row r="203" spans="2:65" s="1" customFormat="1" ht="16.5" customHeight="1" x14ac:dyDescent="0.2">
      <c r="B203" s="118"/>
      <c r="C203" s="119" t="s">
        <v>358</v>
      </c>
      <c r="D203" s="119" t="s">
        <v>231</v>
      </c>
      <c r="E203" s="120" t="s">
        <v>2900</v>
      </c>
      <c r="F203" s="121" t="s">
        <v>2901</v>
      </c>
      <c r="G203" s="122" t="s">
        <v>1194</v>
      </c>
      <c r="H203" s="123">
        <v>10</v>
      </c>
      <c r="I203" s="124">
        <v>0.44</v>
      </c>
      <c r="J203" s="124">
        <f t="shared" si="20"/>
        <v>4.4000000000000004</v>
      </c>
      <c r="K203" s="121" t="s">
        <v>1</v>
      </c>
      <c r="L203" s="24"/>
      <c r="M203" s="125" t="s">
        <v>1</v>
      </c>
      <c r="N203" s="126" t="s">
        <v>32</v>
      </c>
      <c r="O203" s="127">
        <v>0</v>
      </c>
      <c r="P203" s="127">
        <f t="shared" si="21"/>
        <v>0</v>
      </c>
      <c r="Q203" s="127">
        <v>0</v>
      </c>
      <c r="R203" s="127">
        <f t="shared" si="22"/>
        <v>0</v>
      </c>
      <c r="S203" s="127">
        <v>0</v>
      </c>
      <c r="T203" s="128">
        <f t="shared" si="23"/>
        <v>0</v>
      </c>
      <c r="AR203" s="129" t="s">
        <v>235</v>
      </c>
      <c r="AT203" s="129" t="s">
        <v>231</v>
      </c>
      <c r="AU203" s="129" t="s">
        <v>76</v>
      </c>
      <c r="AY203" s="13" t="s">
        <v>228</v>
      </c>
      <c r="BE203" s="130">
        <f t="shared" si="24"/>
        <v>0</v>
      </c>
      <c r="BF203" s="130">
        <f t="shared" si="25"/>
        <v>4.4000000000000004</v>
      </c>
      <c r="BG203" s="130">
        <f t="shared" si="26"/>
        <v>0</v>
      </c>
      <c r="BH203" s="130">
        <f t="shared" si="27"/>
        <v>0</v>
      </c>
      <c r="BI203" s="130">
        <f t="shared" si="28"/>
        <v>0</v>
      </c>
      <c r="BJ203" s="13" t="s">
        <v>76</v>
      </c>
      <c r="BK203" s="130">
        <f t="shared" si="29"/>
        <v>4.4000000000000004</v>
      </c>
      <c r="BL203" s="13" t="s">
        <v>235</v>
      </c>
      <c r="BM203" s="129" t="s">
        <v>486</v>
      </c>
    </row>
    <row r="204" spans="2:65" s="1" customFormat="1" ht="16.5" customHeight="1" x14ac:dyDescent="0.2">
      <c r="B204" s="118"/>
      <c r="C204" s="119" t="s">
        <v>487</v>
      </c>
      <c r="D204" s="119" t="s">
        <v>231</v>
      </c>
      <c r="E204" s="120" t="s">
        <v>2902</v>
      </c>
      <c r="F204" s="121" t="s">
        <v>2903</v>
      </c>
      <c r="G204" s="122" t="s">
        <v>1194</v>
      </c>
      <c r="H204" s="123">
        <v>20</v>
      </c>
      <c r="I204" s="124">
        <v>0.34</v>
      </c>
      <c r="J204" s="124">
        <f t="shared" si="20"/>
        <v>6.8</v>
      </c>
      <c r="K204" s="121" t="s">
        <v>1</v>
      </c>
      <c r="L204" s="24"/>
      <c r="M204" s="125" t="s">
        <v>1</v>
      </c>
      <c r="N204" s="126" t="s">
        <v>32</v>
      </c>
      <c r="O204" s="127">
        <v>0</v>
      </c>
      <c r="P204" s="127">
        <f t="shared" si="21"/>
        <v>0</v>
      </c>
      <c r="Q204" s="127">
        <v>0</v>
      </c>
      <c r="R204" s="127">
        <f t="shared" si="22"/>
        <v>0</v>
      </c>
      <c r="S204" s="127">
        <v>0</v>
      </c>
      <c r="T204" s="128">
        <f t="shared" si="23"/>
        <v>0</v>
      </c>
      <c r="AR204" s="129" t="s">
        <v>235</v>
      </c>
      <c r="AT204" s="129" t="s">
        <v>231</v>
      </c>
      <c r="AU204" s="129" t="s">
        <v>76</v>
      </c>
      <c r="AY204" s="13" t="s">
        <v>228</v>
      </c>
      <c r="BE204" s="130">
        <f t="shared" si="24"/>
        <v>0</v>
      </c>
      <c r="BF204" s="130">
        <f t="shared" si="25"/>
        <v>6.8</v>
      </c>
      <c r="BG204" s="130">
        <f t="shared" si="26"/>
        <v>0</v>
      </c>
      <c r="BH204" s="130">
        <f t="shared" si="27"/>
        <v>0</v>
      </c>
      <c r="BI204" s="130">
        <f t="shared" si="28"/>
        <v>0</v>
      </c>
      <c r="BJ204" s="13" t="s">
        <v>76</v>
      </c>
      <c r="BK204" s="130">
        <f t="shared" si="29"/>
        <v>6.8</v>
      </c>
      <c r="BL204" s="13" t="s">
        <v>235</v>
      </c>
      <c r="BM204" s="129" t="s">
        <v>490</v>
      </c>
    </row>
    <row r="205" spans="2:65" s="1" customFormat="1" ht="16.5" customHeight="1" x14ac:dyDescent="0.2">
      <c r="B205" s="118"/>
      <c r="C205" s="119" t="s">
        <v>361</v>
      </c>
      <c r="D205" s="119" t="s">
        <v>231</v>
      </c>
      <c r="E205" s="120" t="s">
        <v>2904</v>
      </c>
      <c r="F205" s="121" t="s">
        <v>2905</v>
      </c>
      <c r="G205" s="122" t="s">
        <v>1194</v>
      </c>
      <c r="H205" s="123">
        <v>8</v>
      </c>
      <c r="I205" s="124">
        <v>0.67</v>
      </c>
      <c r="J205" s="124">
        <f t="shared" si="20"/>
        <v>5.36</v>
      </c>
      <c r="K205" s="121" t="s">
        <v>1</v>
      </c>
      <c r="L205" s="24"/>
      <c r="M205" s="125" t="s">
        <v>1</v>
      </c>
      <c r="N205" s="126" t="s">
        <v>32</v>
      </c>
      <c r="O205" s="127">
        <v>0</v>
      </c>
      <c r="P205" s="127">
        <f t="shared" si="21"/>
        <v>0</v>
      </c>
      <c r="Q205" s="127">
        <v>0</v>
      </c>
      <c r="R205" s="127">
        <f t="shared" si="22"/>
        <v>0</v>
      </c>
      <c r="S205" s="127">
        <v>0</v>
      </c>
      <c r="T205" s="128">
        <f t="shared" si="23"/>
        <v>0</v>
      </c>
      <c r="AR205" s="129" t="s">
        <v>235</v>
      </c>
      <c r="AT205" s="129" t="s">
        <v>231</v>
      </c>
      <c r="AU205" s="129" t="s">
        <v>76</v>
      </c>
      <c r="AY205" s="13" t="s">
        <v>228</v>
      </c>
      <c r="BE205" s="130">
        <f t="shared" si="24"/>
        <v>0</v>
      </c>
      <c r="BF205" s="130">
        <f t="shared" si="25"/>
        <v>5.36</v>
      </c>
      <c r="BG205" s="130">
        <f t="shared" si="26"/>
        <v>0</v>
      </c>
      <c r="BH205" s="130">
        <f t="shared" si="27"/>
        <v>0</v>
      </c>
      <c r="BI205" s="130">
        <f t="shared" si="28"/>
        <v>0</v>
      </c>
      <c r="BJ205" s="13" t="s">
        <v>76</v>
      </c>
      <c r="BK205" s="130">
        <f t="shared" si="29"/>
        <v>5.36</v>
      </c>
      <c r="BL205" s="13" t="s">
        <v>235</v>
      </c>
      <c r="BM205" s="129" t="s">
        <v>493</v>
      </c>
    </row>
    <row r="206" spans="2:65" s="1" customFormat="1" ht="16.5" customHeight="1" x14ac:dyDescent="0.2">
      <c r="B206" s="118"/>
      <c r="C206" s="119" t="s">
        <v>494</v>
      </c>
      <c r="D206" s="119" t="s">
        <v>231</v>
      </c>
      <c r="E206" s="120" t="s">
        <v>2906</v>
      </c>
      <c r="F206" s="121" t="s">
        <v>2907</v>
      </c>
      <c r="G206" s="122" t="s">
        <v>292</v>
      </c>
      <c r="H206" s="123">
        <v>0.3</v>
      </c>
      <c r="I206" s="124">
        <v>13.35</v>
      </c>
      <c r="J206" s="124">
        <f t="shared" si="20"/>
        <v>4.01</v>
      </c>
      <c r="K206" s="121" t="s">
        <v>1</v>
      </c>
      <c r="L206" s="24"/>
      <c r="M206" s="125" t="s">
        <v>1</v>
      </c>
      <c r="N206" s="126" t="s">
        <v>32</v>
      </c>
      <c r="O206" s="127">
        <v>0</v>
      </c>
      <c r="P206" s="127">
        <f t="shared" si="21"/>
        <v>0</v>
      </c>
      <c r="Q206" s="127">
        <v>0</v>
      </c>
      <c r="R206" s="127">
        <f t="shared" si="22"/>
        <v>0</v>
      </c>
      <c r="S206" s="127">
        <v>0</v>
      </c>
      <c r="T206" s="128">
        <f t="shared" si="23"/>
        <v>0</v>
      </c>
      <c r="AR206" s="129" t="s">
        <v>235</v>
      </c>
      <c r="AT206" s="129" t="s">
        <v>231</v>
      </c>
      <c r="AU206" s="129" t="s">
        <v>76</v>
      </c>
      <c r="AY206" s="13" t="s">
        <v>228</v>
      </c>
      <c r="BE206" s="130">
        <f t="shared" si="24"/>
        <v>0</v>
      </c>
      <c r="BF206" s="130">
        <f t="shared" si="25"/>
        <v>4.01</v>
      </c>
      <c r="BG206" s="130">
        <f t="shared" si="26"/>
        <v>0</v>
      </c>
      <c r="BH206" s="130">
        <f t="shared" si="27"/>
        <v>0</v>
      </c>
      <c r="BI206" s="130">
        <f t="shared" si="28"/>
        <v>0</v>
      </c>
      <c r="BJ206" s="13" t="s">
        <v>76</v>
      </c>
      <c r="BK206" s="130">
        <f t="shared" si="29"/>
        <v>4.01</v>
      </c>
      <c r="BL206" s="13" t="s">
        <v>235</v>
      </c>
      <c r="BM206" s="129" t="s">
        <v>497</v>
      </c>
    </row>
    <row r="207" spans="2:65" s="1" customFormat="1" ht="16.5" customHeight="1" x14ac:dyDescent="0.2">
      <c r="B207" s="118"/>
      <c r="C207" s="119" t="s">
        <v>365</v>
      </c>
      <c r="D207" s="119" t="s">
        <v>231</v>
      </c>
      <c r="E207" s="120" t="s">
        <v>2908</v>
      </c>
      <c r="F207" s="121" t="s">
        <v>2909</v>
      </c>
      <c r="G207" s="122" t="s">
        <v>1035</v>
      </c>
      <c r="H207" s="123">
        <v>6</v>
      </c>
      <c r="I207" s="124">
        <v>1.47</v>
      </c>
      <c r="J207" s="124">
        <f t="shared" si="20"/>
        <v>8.82</v>
      </c>
      <c r="K207" s="121" t="s">
        <v>1</v>
      </c>
      <c r="L207" s="24"/>
      <c r="M207" s="125" t="s">
        <v>1</v>
      </c>
      <c r="N207" s="126" t="s">
        <v>32</v>
      </c>
      <c r="O207" s="127">
        <v>0</v>
      </c>
      <c r="P207" s="127">
        <f t="shared" si="21"/>
        <v>0</v>
      </c>
      <c r="Q207" s="127">
        <v>0</v>
      </c>
      <c r="R207" s="127">
        <f t="shared" si="22"/>
        <v>0</v>
      </c>
      <c r="S207" s="127">
        <v>0</v>
      </c>
      <c r="T207" s="128">
        <f t="shared" si="23"/>
        <v>0</v>
      </c>
      <c r="AR207" s="129" t="s">
        <v>235</v>
      </c>
      <c r="AT207" s="129" t="s">
        <v>231</v>
      </c>
      <c r="AU207" s="129" t="s">
        <v>76</v>
      </c>
      <c r="AY207" s="13" t="s">
        <v>228</v>
      </c>
      <c r="BE207" s="130">
        <f t="shared" si="24"/>
        <v>0</v>
      </c>
      <c r="BF207" s="130">
        <f t="shared" si="25"/>
        <v>8.82</v>
      </c>
      <c r="BG207" s="130">
        <f t="shared" si="26"/>
        <v>0</v>
      </c>
      <c r="BH207" s="130">
        <f t="shared" si="27"/>
        <v>0</v>
      </c>
      <c r="BI207" s="130">
        <f t="shared" si="28"/>
        <v>0</v>
      </c>
      <c r="BJ207" s="13" t="s">
        <v>76</v>
      </c>
      <c r="BK207" s="130">
        <f t="shared" si="29"/>
        <v>8.82</v>
      </c>
      <c r="BL207" s="13" t="s">
        <v>235</v>
      </c>
      <c r="BM207" s="129" t="s">
        <v>500</v>
      </c>
    </row>
    <row r="208" spans="2:65" s="1" customFormat="1" ht="24" customHeight="1" x14ac:dyDescent="0.2">
      <c r="B208" s="118"/>
      <c r="C208" s="119" t="s">
        <v>501</v>
      </c>
      <c r="D208" s="119" t="s">
        <v>231</v>
      </c>
      <c r="E208" s="120" t="s">
        <v>2910</v>
      </c>
      <c r="F208" s="121" t="s">
        <v>2911</v>
      </c>
      <c r="G208" s="122" t="s">
        <v>1194</v>
      </c>
      <c r="H208" s="123">
        <v>16</v>
      </c>
      <c r="I208" s="124">
        <v>1.6</v>
      </c>
      <c r="J208" s="124">
        <f t="shared" si="20"/>
        <v>25.6</v>
      </c>
      <c r="K208" s="121" t="s">
        <v>1</v>
      </c>
      <c r="L208" s="24"/>
      <c r="M208" s="125" t="s">
        <v>1</v>
      </c>
      <c r="N208" s="126" t="s">
        <v>32</v>
      </c>
      <c r="O208" s="127">
        <v>0</v>
      </c>
      <c r="P208" s="127">
        <f t="shared" si="21"/>
        <v>0</v>
      </c>
      <c r="Q208" s="127">
        <v>0</v>
      </c>
      <c r="R208" s="127">
        <f t="shared" si="22"/>
        <v>0</v>
      </c>
      <c r="S208" s="127">
        <v>0</v>
      </c>
      <c r="T208" s="128">
        <f t="shared" si="23"/>
        <v>0</v>
      </c>
      <c r="AR208" s="129" t="s">
        <v>235</v>
      </c>
      <c r="AT208" s="129" t="s">
        <v>231</v>
      </c>
      <c r="AU208" s="129" t="s">
        <v>76</v>
      </c>
      <c r="AY208" s="13" t="s">
        <v>228</v>
      </c>
      <c r="BE208" s="130">
        <f t="shared" si="24"/>
        <v>0</v>
      </c>
      <c r="BF208" s="130">
        <f t="shared" si="25"/>
        <v>25.6</v>
      </c>
      <c r="BG208" s="130">
        <f t="shared" si="26"/>
        <v>0</v>
      </c>
      <c r="BH208" s="130">
        <f t="shared" si="27"/>
        <v>0</v>
      </c>
      <c r="BI208" s="130">
        <f t="shared" si="28"/>
        <v>0</v>
      </c>
      <c r="BJ208" s="13" t="s">
        <v>76</v>
      </c>
      <c r="BK208" s="130">
        <f t="shared" si="29"/>
        <v>25.6</v>
      </c>
      <c r="BL208" s="13" t="s">
        <v>235</v>
      </c>
      <c r="BM208" s="129" t="s">
        <v>504</v>
      </c>
    </row>
    <row r="209" spans="2:65" s="1" customFormat="1" ht="24" customHeight="1" x14ac:dyDescent="0.2">
      <c r="B209" s="118"/>
      <c r="C209" s="119" t="s">
        <v>368</v>
      </c>
      <c r="D209" s="119" t="s">
        <v>231</v>
      </c>
      <c r="E209" s="120" t="s">
        <v>2912</v>
      </c>
      <c r="F209" s="121" t="s">
        <v>2913</v>
      </c>
      <c r="G209" s="122" t="s">
        <v>1194</v>
      </c>
      <c r="H209" s="123">
        <v>4</v>
      </c>
      <c r="I209" s="124">
        <v>0.59</v>
      </c>
      <c r="J209" s="124">
        <f t="shared" si="20"/>
        <v>2.36</v>
      </c>
      <c r="K209" s="121" t="s">
        <v>1</v>
      </c>
      <c r="L209" s="24"/>
      <c r="M209" s="125" t="s">
        <v>1</v>
      </c>
      <c r="N209" s="126" t="s">
        <v>32</v>
      </c>
      <c r="O209" s="127">
        <v>0</v>
      </c>
      <c r="P209" s="127">
        <f t="shared" si="21"/>
        <v>0</v>
      </c>
      <c r="Q209" s="127">
        <v>0</v>
      </c>
      <c r="R209" s="127">
        <f t="shared" si="22"/>
        <v>0</v>
      </c>
      <c r="S209" s="127">
        <v>0</v>
      </c>
      <c r="T209" s="128">
        <f t="shared" si="23"/>
        <v>0</v>
      </c>
      <c r="AR209" s="129" t="s">
        <v>235</v>
      </c>
      <c r="AT209" s="129" t="s">
        <v>231</v>
      </c>
      <c r="AU209" s="129" t="s">
        <v>76</v>
      </c>
      <c r="AY209" s="13" t="s">
        <v>228</v>
      </c>
      <c r="BE209" s="130">
        <f t="shared" si="24"/>
        <v>0</v>
      </c>
      <c r="BF209" s="130">
        <f t="shared" si="25"/>
        <v>2.36</v>
      </c>
      <c r="BG209" s="130">
        <f t="shared" si="26"/>
        <v>0</v>
      </c>
      <c r="BH209" s="130">
        <f t="shared" si="27"/>
        <v>0</v>
      </c>
      <c r="BI209" s="130">
        <f t="shared" si="28"/>
        <v>0</v>
      </c>
      <c r="BJ209" s="13" t="s">
        <v>76</v>
      </c>
      <c r="BK209" s="130">
        <f t="shared" si="29"/>
        <v>2.36</v>
      </c>
      <c r="BL209" s="13" t="s">
        <v>235</v>
      </c>
      <c r="BM209" s="129" t="s">
        <v>507</v>
      </c>
    </row>
    <row r="210" spans="2:65" s="1" customFormat="1" ht="16.5" customHeight="1" x14ac:dyDescent="0.2">
      <c r="B210" s="118"/>
      <c r="C210" s="119" t="s">
        <v>508</v>
      </c>
      <c r="D210" s="119" t="s">
        <v>231</v>
      </c>
      <c r="E210" s="120" t="s">
        <v>2914</v>
      </c>
      <c r="F210" s="121" t="s">
        <v>2915</v>
      </c>
      <c r="G210" s="122" t="s">
        <v>1194</v>
      </c>
      <c r="H210" s="123">
        <v>4</v>
      </c>
      <c r="I210" s="124">
        <v>0.8</v>
      </c>
      <c r="J210" s="124">
        <f t="shared" si="20"/>
        <v>3.2</v>
      </c>
      <c r="K210" s="121" t="s">
        <v>1</v>
      </c>
      <c r="L210" s="24"/>
      <c r="M210" s="125" t="s">
        <v>1</v>
      </c>
      <c r="N210" s="126" t="s">
        <v>32</v>
      </c>
      <c r="O210" s="127">
        <v>0</v>
      </c>
      <c r="P210" s="127">
        <f t="shared" si="21"/>
        <v>0</v>
      </c>
      <c r="Q210" s="127">
        <v>0</v>
      </c>
      <c r="R210" s="127">
        <f t="shared" si="22"/>
        <v>0</v>
      </c>
      <c r="S210" s="127">
        <v>0</v>
      </c>
      <c r="T210" s="128">
        <f t="shared" si="23"/>
        <v>0</v>
      </c>
      <c r="AR210" s="129" t="s">
        <v>235</v>
      </c>
      <c r="AT210" s="129" t="s">
        <v>231</v>
      </c>
      <c r="AU210" s="129" t="s">
        <v>76</v>
      </c>
      <c r="AY210" s="13" t="s">
        <v>228</v>
      </c>
      <c r="BE210" s="130">
        <f t="shared" si="24"/>
        <v>0</v>
      </c>
      <c r="BF210" s="130">
        <f t="shared" si="25"/>
        <v>3.2</v>
      </c>
      <c r="BG210" s="130">
        <f t="shared" si="26"/>
        <v>0</v>
      </c>
      <c r="BH210" s="130">
        <f t="shared" si="27"/>
        <v>0</v>
      </c>
      <c r="BI210" s="130">
        <f t="shared" si="28"/>
        <v>0</v>
      </c>
      <c r="BJ210" s="13" t="s">
        <v>76</v>
      </c>
      <c r="BK210" s="130">
        <f t="shared" si="29"/>
        <v>3.2</v>
      </c>
      <c r="BL210" s="13" t="s">
        <v>235</v>
      </c>
      <c r="BM210" s="129" t="s">
        <v>511</v>
      </c>
    </row>
    <row r="211" spans="2:65" s="1" customFormat="1" ht="16.5" customHeight="1" x14ac:dyDescent="0.2">
      <c r="B211" s="118"/>
      <c r="C211" s="119" t="s">
        <v>372</v>
      </c>
      <c r="D211" s="119" t="s">
        <v>231</v>
      </c>
      <c r="E211" s="120" t="s">
        <v>2916</v>
      </c>
      <c r="F211" s="121" t="s">
        <v>2917</v>
      </c>
      <c r="G211" s="122" t="s">
        <v>284</v>
      </c>
      <c r="H211" s="123">
        <v>0.3</v>
      </c>
      <c r="I211" s="124">
        <v>133.52000000000001</v>
      </c>
      <c r="J211" s="124">
        <f t="shared" si="20"/>
        <v>40.06</v>
      </c>
      <c r="K211" s="121" t="s">
        <v>1</v>
      </c>
      <c r="L211" s="24"/>
      <c r="M211" s="125" t="s">
        <v>1</v>
      </c>
      <c r="N211" s="126" t="s">
        <v>32</v>
      </c>
      <c r="O211" s="127">
        <v>0</v>
      </c>
      <c r="P211" s="127">
        <f t="shared" si="21"/>
        <v>0</v>
      </c>
      <c r="Q211" s="127">
        <v>0</v>
      </c>
      <c r="R211" s="127">
        <f t="shared" si="22"/>
        <v>0</v>
      </c>
      <c r="S211" s="127">
        <v>0</v>
      </c>
      <c r="T211" s="128">
        <f t="shared" si="23"/>
        <v>0</v>
      </c>
      <c r="AR211" s="129" t="s">
        <v>235</v>
      </c>
      <c r="AT211" s="129" t="s">
        <v>231</v>
      </c>
      <c r="AU211" s="129" t="s">
        <v>76</v>
      </c>
      <c r="AY211" s="13" t="s">
        <v>228</v>
      </c>
      <c r="BE211" s="130">
        <f t="shared" si="24"/>
        <v>0</v>
      </c>
      <c r="BF211" s="130">
        <f t="shared" si="25"/>
        <v>40.06</v>
      </c>
      <c r="BG211" s="130">
        <f t="shared" si="26"/>
        <v>0</v>
      </c>
      <c r="BH211" s="130">
        <f t="shared" si="27"/>
        <v>0</v>
      </c>
      <c r="BI211" s="130">
        <f t="shared" si="28"/>
        <v>0</v>
      </c>
      <c r="BJ211" s="13" t="s">
        <v>76</v>
      </c>
      <c r="BK211" s="130">
        <f t="shared" si="29"/>
        <v>40.06</v>
      </c>
      <c r="BL211" s="13" t="s">
        <v>235</v>
      </c>
      <c r="BM211" s="129" t="s">
        <v>514</v>
      </c>
    </row>
    <row r="212" spans="2:65" s="1" customFormat="1" ht="16.5" customHeight="1" x14ac:dyDescent="0.2">
      <c r="B212" s="118"/>
      <c r="C212" s="119" t="s">
        <v>515</v>
      </c>
      <c r="D212" s="119" t="s">
        <v>231</v>
      </c>
      <c r="E212" s="120" t="s">
        <v>2918</v>
      </c>
      <c r="F212" s="121" t="s">
        <v>2919</v>
      </c>
      <c r="G212" s="122" t="s">
        <v>284</v>
      </c>
      <c r="H212" s="123">
        <v>1</v>
      </c>
      <c r="I212" s="124">
        <v>66.760000000000005</v>
      </c>
      <c r="J212" s="124">
        <f t="shared" si="20"/>
        <v>66.760000000000005</v>
      </c>
      <c r="K212" s="121" t="s">
        <v>1</v>
      </c>
      <c r="L212" s="24"/>
      <c r="M212" s="125" t="s">
        <v>1</v>
      </c>
      <c r="N212" s="126" t="s">
        <v>32</v>
      </c>
      <c r="O212" s="127">
        <v>0</v>
      </c>
      <c r="P212" s="127">
        <f t="shared" si="21"/>
        <v>0</v>
      </c>
      <c r="Q212" s="127">
        <v>0</v>
      </c>
      <c r="R212" s="127">
        <f t="shared" si="22"/>
        <v>0</v>
      </c>
      <c r="S212" s="127">
        <v>0</v>
      </c>
      <c r="T212" s="128">
        <f t="shared" si="23"/>
        <v>0</v>
      </c>
      <c r="AR212" s="129" t="s">
        <v>235</v>
      </c>
      <c r="AT212" s="129" t="s">
        <v>231</v>
      </c>
      <c r="AU212" s="129" t="s">
        <v>76</v>
      </c>
      <c r="AY212" s="13" t="s">
        <v>228</v>
      </c>
      <c r="BE212" s="130">
        <f t="shared" si="24"/>
        <v>0</v>
      </c>
      <c r="BF212" s="130">
        <f t="shared" si="25"/>
        <v>66.760000000000005</v>
      </c>
      <c r="BG212" s="130">
        <f t="shared" si="26"/>
        <v>0</v>
      </c>
      <c r="BH212" s="130">
        <f t="shared" si="27"/>
        <v>0</v>
      </c>
      <c r="BI212" s="130">
        <f t="shared" si="28"/>
        <v>0</v>
      </c>
      <c r="BJ212" s="13" t="s">
        <v>76</v>
      </c>
      <c r="BK212" s="130">
        <f t="shared" si="29"/>
        <v>66.760000000000005</v>
      </c>
      <c r="BL212" s="13" t="s">
        <v>235</v>
      </c>
      <c r="BM212" s="129" t="s">
        <v>518</v>
      </c>
    </row>
    <row r="213" spans="2:65" s="1" customFormat="1" ht="16.5" customHeight="1" x14ac:dyDescent="0.2">
      <c r="B213" s="118"/>
      <c r="C213" s="119" t="s">
        <v>375</v>
      </c>
      <c r="D213" s="119" t="s">
        <v>231</v>
      </c>
      <c r="E213" s="120" t="s">
        <v>2920</v>
      </c>
      <c r="F213" s="121" t="s">
        <v>2921</v>
      </c>
      <c r="G213" s="122" t="s">
        <v>1035</v>
      </c>
      <c r="H213" s="123">
        <v>80</v>
      </c>
      <c r="I213" s="124">
        <v>2.14</v>
      </c>
      <c r="J213" s="124">
        <f t="shared" si="20"/>
        <v>171.2</v>
      </c>
      <c r="K213" s="121" t="s">
        <v>1</v>
      </c>
      <c r="L213" s="24"/>
      <c r="M213" s="125" t="s">
        <v>1</v>
      </c>
      <c r="N213" s="126" t="s">
        <v>32</v>
      </c>
      <c r="O213" s="127">
        <v>0</v>
      </c>
      <c r="P213" s="127">
        <f t="shared" si="21"/>
        <v>0</v>
      </c>
      <c r="Q213" s="127">
        <v>0</v>
      </c>
      <c r="R213" s="127">
        <f t="shared" si="22"/>
        <v>0</v>
      </c>
      <c r="S213" s="127">
        <v>0</v>
      </c>
      <c r="T213" s="128">
        <f t="shared" si="23"/>
        <v>0</v>
      </c>
      <c r="AR213" s="129" t="s">
        <v>235</v>
      </c>
      <c r="AT213" s="129" t="s">
        <v>231</v>
      </c>
      <c r="AU213" s="129" t="s">
        <v>76</v>
      </c>
      <c r="AY213" s="13" t="s">
        <v>228</v>
      </c>
      <c r="BE213" s="130">
        <f t="shared" si="24"/>
        <v>0</v>
      </c>
      <c r="BF213" s="130">
        <f t="shared" si="25"/>
        <v>171.2</v>
      </c>
      <c r="BG213" s="130">
        <f t="shared" si="26"/>
        <v>0</v>
      </c>
      <c r="BH213" s="130">
        <f t="shared" si="27"/>
        <v>0</v>
      </c>
      <c r="BI213" s="130">
        <f t="shared" si="28"/>
        <v>0</v>
      </c>
      <c r="BJ213" s="13" t="s">
        <v>76</v>
      </c>
      <c r="BK213" s="130">
        <f t="shared" si="29"/>
        <v>171.2</v>
      </c>
      <c r="BL213" s="13" t="s">
        <v>235</v>
      </c>
      <c r="BM213" s="129" t="s">
        <v>521</v>
      </c>
    </row>
    <row r="214" spans="2:65" s="1" customFormat="1" ht="16.5" customHeight="1" x14ac:dyDescent="0.2">
      <c r="B214" s="118"/>
      <c r="C214" s="119" t="s">
        <v>522</v>
      </c>
      <c r="D214" s="119" t="s">
        <v>231</v>
      </c>
      <c r="E214" s="120" t="s">
        <v>2922</v>
      </c>
      <c r="F214" s="121" t="s">
        <v>2923</v>
      </c>
      <c r="G214" s="122" t="s">
        <v>570</v>
      </c>
      <c r="H214" s="123">
        <v>2</v>
      </c>
      <c r="I214" s="124">
        <v>26.98</v>
      </c>
      <c r="J214" s="124">
        <f t="shared" si="20"/>
        <v>53.96</v>
      </c>
      <c r="K214" s="121" t="s">
        <v>1</v>
      </c>
      <c r="L214" s="24"/>
      <c r="M214" s="125" t="s">
        <v>1</v>
      </c>
      <c r="N214" s="126" t="s">
        <v>32</v>
      </c>
      <c r="O214" s="127">
        <v>0</v>
      </c>
      <c r="P214" s="127">
        <f t="shared" si="21"/>
        <v>0</v>
      </c>
      <c r="Q214" s="127">
        <v>0</v>
      </c>
      <c r="R214" s="127">
        <f t="shared" si="22"/>
        <v>0</v>
      </c>
      <c r="S214" s="127">
        <v>0</v>
      </c>
      <c r="T214" s="128">
        <f t="shared" si="23"/>
        <v>0</v>
      </c>
      <c r="AR214" s="129" t="s">
        <v>235</v>
      </c>
      <c r="AT214" s="129" t="s">
        <v>231</v>
      </c>
      <c r="AU214" s="129" t="s">
        <v>76</v>
      </c>
      <c r="AY214" s="13" t="s">
        <v>228</v>
      </c>
      <c r="BE214" s="130">
        <f t="shared" si="24"/>
        <v>0</v>
      </c>
      <c r="BF214" s="130">
        <f t="shared" si="25"/>
        <v>53.96</v>
      </c>
      <c r="BG214" s="130">
        <f t="shared" si="26"/>
        <v>0</v>
      </c>
      <c r="BH214" s="130">
        <f t="shared" si="27"/>
        <v>0</v>
      </c>
      <c r="BI214" s="130">
        <f t="shared" si="28"/>
        <v>0</v>
      </c>
      <c r="BJ214" s="13" t="s">
        <v>76</v>
      </c>
      <c r="BK214" s="130">
        <f t="shared" si="29"/>
        <v>53.96</v>
      </c>
      <c r="BL214" s="13" t="s">
        <v>235</v>
      </c>
      <c r="BM214" s="129" t="s">
        <v>525</v>
      </c>
    </row>
    <row r="215" spans="2:65" s="11" customFormat="1" ht="22.95" customHeight="1" x14ac:dyDescent="0.25">
      <c r="B215" s="106"/>
      <c r="D215" s="107" t="s">
        <v>57</v>
      </c>
      <c r="E215" s="116" t="s">
        <v>2036</v>
      </c>
      <c r="F215" s="116" t="s">
        <v>2924</v>
      </c>
      <c r="J215" s="117">
        <f>BK215</f>
        <v>678.06</v>
      </c>
      <c r="L215" s="106"/>
      <c r="M215" s="110"/>
      <c r="N215" s="111"/>
      <c r="O215" s="111"/>
      <c r="P215" s="112">
        <f>SUM(P216:P219)</f>
        <v>0</v>
      </c>
      <c r="Q215" s="111"/>
      <c r="R215" s="112">
        <f>SUM(R216:R219)</f>
        <v>0</v>
      </c>
      <c r="S215" s="111"/>
      <c r="T215" s="113">
        <f>SUM(T216:T219)</f>
        <v>0</v>
      </c>
      <c r="AR215" s="107" t="s">
        <v>63</v>
      </c>
      <c r="AT215" s="114" t="s">
        <v>57</v>
      </c>
      <c r="AU215" s="114" t="s">
        <v>63</v>
      </c>
      <c r="AY215" s="107" t="s">
        <v>228</v>
      </c>
      <c r="BK215" s="115">
        <f>SUM(BK216:BK219)</f>
        <v>678.06</v>
      </c>
    </row>
    <row r="216" spans="2:65" s="1" customFormat="1" ht="16.5" customHeight="1" x14ac:dyDescent="0.2">
      <c r="B216" s="118"/>
      <c r="C216" s="119" t="s">
        <v>379</v>
      </c>
      <c r="D216" s="119" t="s">
        <v>231</v>
      </c>
      <c r="E216" s="120" t="s">
        <v>2843</v>
      </c>
      <c r="F216" s="121" t="s">
        <v>2844</v>
      </c>
      <c r="G216" s="122" t="s">
        <v>570</v>
      </c>
      <c r="H216" s="123">
        <v>34</v>
      </c>
      <c r="I216" s="124">
        <v>4.6399999999999997</v>
      </c>
      <c r="J216" s="124">
        <f>ROUND(I216*H216,2)</f>
        <v>157.76</v>
      </c>
      <c r="K216" s="121" t="s">
        <v>1</v>
      </c>
      <c r="L216" s="24"/>
      <c r="M216" s="125" t="s">
        <v>1</v>
      </c>
      <c r="N216" s="126" t="s">
        <v>32</v>
      </c>
      <c r="O216" s="127">
        <v>0</v>
      </c>
      <c r="P216" s="127">
        <f>O216*H216</f>
        <v>0</v>
      </c>
      <c r="Q216" s="127">
        <v>0</v>
      </c>
      <c r="R216" s="127">
        <f>Q216*H216</f>
        <v>0</v>
      </c>
      <c r="S216" s="127">
        <v>0</v>
      </c>
      <c r="T216" s="128">
        <f>S216*H216</f>
        <v>0</v>
      </c>
      <c r="AR216" s="129" t="s">
        <v>235</v>
      </c>
      <c r="AT216" s="129" t="s">
        <v>231</v>
      </c>
      <c r="AU216" s="129" t="s">
        <v>76</v>
      </c>
      <c r="AY216" s="13" t="s">
        <v>228</v>
      </c>
      <c r="BE216" s="130">
        <f>IF(N216="základná",J216,0)</f>
        <v>0</v>
      </c>
      <c r="BF216" s="130">
        <f>IF(N216="znížená",J216,0)</f>
        <v>157.76</v>
      </c>
      <c r="BG216" s="130">
        <f>IF(N216="zákl. prenesená",J216,0)</f>
        <v>0</v>
      </c>
      <c r="BH216" s="130">
        <f>IF(N216="zníž. prenesená",J216,0)</f>
        <v>0</v>
      </c>
      <c r="BI216" s="130">
        <f>IF(N216="nulová",J216,0)</f>
        <v>0</v>
      </c>
      <c r="BJ216" s="13" t="s">
        <v>76</v>
      </c>
      <c r="BK216" s="130">
        <f>ROUND(I216*H216,2)</f>
        <v>157.76</v>
      </c>
      <c r="BL216" s="13" t="s">
        <v>235</v>
      </c>
      <c r="BM216" s="129" t="s">
        <v>528</v>
      </c>
    </row>
    <row r="217" spans="2:65" s="1" customFormat="1" ht="16.5" customHeight="1" x14ac:dyDescent="0.2">
      <c r="B217" s="118"/>
      <c r="C217" s="119" t="s">
        <v>529</v>
      </c>
      <c r="D217" s="119" t="s">
        <v>231</v>
      </c>
      <c r="E217" s="120" t="s">
        <v>2925</v>
      </c>
      <c r="F217" s="121" t="s">
        <v>2926</v>
      </c>
      <c r="G217" s="122" t="s">
        <v>570</v>
      </c>
      <c r="H217" s="123">
        <v>34</v>
      </c>
      <c r="I217" s="124">
        <v>3.48</v>
      </c>
      <c r="J217" s="124">
        <f>ROUND(I217*H217,2)</f>
        <v>118.32</v>
      </c>
      <c r="K217" s="121" t="s">
        <v>1</v>
      </c>
      <c r="L217" s="24"/>
      <c r="M217" s="125" t="s">
        <v>1</v>
      </c>
      <c r="N217" s="126" t="s">
        <v>32</v>
      </c>
      <c r="O217" s="127">
        <v>0</v>
      </c>
      <c r="P217" s="127">
        <f>O217*H217</f>
        <v>0</v>
      </c>
      <c r="Q217" s="127">
        <v>0</v>
      </c>
      <c r="R217" s="127">
        <f>Q217*H217</f>
        <v>0</v>
      </c>
      <c r="S217" s="127">
        <v>0</v>
      </c>
      <c r="T217" s="128">
        <f>S217*H217</f>
        <v>0</v>
      </c>
      <c r="AR217" s="129" t="s">
        <v>235</v>
      </c>
      <c r="AT217" s="129" t="s">
        <v>231</v>
      </c>
      <c r="AU217" s="129" t="s">
        <v>76</v>
      </c>
      <c r="AY217" s="13" t="s">
        <v>228</v>
      </c>
      <c r="BE217" s="130">
        <f>IF(N217="základná",J217,0)</f>
        <v>0</v>
      </c>
      <c r="BF217" s="130">
        <f>IF(N217="znížená",J217,0)</f>
        <v>118.32</v>
      </c>
      <c r="BG217" s="130">
        <f>IF(N217="zákl. prenesená",J217,0)</f>
        <v>0</v>
      </c>
      <c r="BH217" s="130">
        <f>IF(N217="zníž. prenesená",J217,0)</f>
        <v>0</v>
      </c>
      <c r="BI217" s="130">
        <f>IF(N217="nulová",J217,0)</f>
        <v>0</v>
      </c>
      <c r="BJ217" s="13" t="s">
        <v>76</v>
      </c>
      <c r="BK217" s="130">
        <f>ROUND(I217*H217,2)</f>
        <v>118.32</v>
      </c>
      <c r="BL217" s="13" t="s">
        <v>235</v>
      </c>
      <c r="BM217" s="129" t="s">
        <v>532</v>
      </c>
    </row>
    <row r="218" spans="2:65" s="1" customFormat="1" ht="16.5" customHeight="1" x14ac:dyDescent="0.2">
      <c r="B218" s="118"/>
      <c r="C218" s="119" t="s">
        <v>382</v>
      </c>
      <c r="D218" s="119" t="s">
        <v>231</v>
      </c>
      <c r="E218" s="120" t="s">
        <v>2927</v>
      </c>
      <c r="F218" s="121" t="s">
        <v>2928</v>
      </c>
      <c r="G218" s="122" t="s">
        <v>570</v>
      </c>
      <c r="H218" s="123">
        <v>26</v>
      </c>
      <c r="I218" s="124">
        <v>5.81</v>
      </c>
      <c r="J218" s="124">
        <f>ROUND(I218*H218,2)</f>
        <v>151.06</v>
      </c>
      <c r="K218" s="121" t="s">
        <v>1</v>
      </c>
      <c r="L218" s="24"/>
      <c r="M218" s="125" t="s">
        <v>1</v>
      </c>
      <c r="N218" s="126" t="s">
        <v>32</v>
      </c>
      <c r="O218" s="127">
        <v>0</v>
      </c>
      <c r="P218" s="127">
        <f>O218*H218</f>
        <v>0</v>
      </c>
      <c r="Q218" s="127">
        <v>0</v>
      </c>
      <c r="R218" s="127">
        <f>Q218*H218</f>
        <v>0</v>
      </c>
      <c r="S218" s="127">
        <v>0</v>
      </c>
      <c r="T218" s="128">
        <f>S218*H218</f>
        <v>0</v>
      </c>
      <c r="AR218" s="129" t="s">
        <v>235</v>
      </c>
      <c r="AT218" s="129" t="s">
        <v>231</v>
      </c>
      <c r="AU218" s="129" t="s">
        <v>76</v>
      </c>
      <c r="AY218" s="13" t="s">
        <v>228</v>
      </c>
      <c r="BE218" s="130">
        <f>IF(N218="základná",J218,0)</f>
        <v>0</v>
      </c>
      <c r="BF218" s="130">
        <f>IF(N218="znížená",J218,0)</f>
        <v>151.06</v>
      </c>
      <c r="BG218" s="130">
        <f>IF(N218="zákl. prenesená",J218,0)</f>
        <v>0</v>
      </c>
      <c r="BH218" s="130">
        <f>IF(N218="zníž. prenesená",J218,0)</f>
        <v>0</v>
      </c>
      <c r="BI218" s="130">
        <f>IF(N218="nulová",J218,0)</f>
        <v>0</v>
      </c>
      <c r="BJ218" s="13" t="s">
        <v>76</v>
      </c>
      <c r="BK218" s="130">
        <f>ROUND(I218*H218,2)</f>
        <v>151.06</v>
      </c>
      <c r="BL218" s="13" t="s">
        <v>235</v>
      </c>
      <c r="BM218" s="129" t="s">
        <v>535</v>
      </c>
    </row>
    <row r="219" spans="2:65" s="1" customFormat="1" ht="16.5" customHeight="1" x14ac:dyDescent="0.2">
      <c r="B219" s="118"/>
      <c r="C219" s="119" t="s">
        <v>536</v>
      </c>
      <c r="D219" s="119" t="s">
        <v>231</v>
      </c>
      <c r="E219" s="120" t="s">
        <v>2845</v>
      </c>
      <c r="F219" s="121" t="s">
        <v>2846</v>
      </c>
      <c r="G219" s="122" t="s">
        <v>570</v>
      </c>
      <c r="H219" s="123">
        <v>36</v>
      </c>
      <c r="I219" s="124">
        <v>6.97</v>
      </c>
      <c r="J219" s="124">
        <f>ROUND(I219*H219,2)</f>
        <v>250.92</v>
      </c>
      <c r="K219" s="121" t="s">
        <v>1</v>
      </c>
      <c r="L219" s="24"/>
      <c r="M219" s="140" t="s">
        <v>1</v>
      </c>
      <c r="N219" s="141" t="s">
        <v>32</v>
      </c>
      <c r="O219" s="142">
        <v>0</v>
      </c>
      <c r="P219" s="142">
        <f>O219*H219</f>
        <v>0</v>
      </c>
      <c r="Q219" s="142">
        <v>0</v>
      </c>
      <c r="R219" s="142">
        <f>Q219*H219</f>
        <v>0</v>
      </c>
      <c r="S219" s="142">
        <v>0</v>
      </c>
      <c r="T219" s="143">
        <f>S219*H219</f>
        <v>0</v>
      </c>
      <c r="AR219" s="129" t="s">
        <v>235</v>
      </c>
      <c r="AT219" s="129" t="s">
        <v>231</v>
      </c>
      <c r="AU219" s="129" t="s">
        <v>76</v>
      </c>
      <c r="AY219" s="13" t="s">
        <v>228</v>
      </c>
      <c r="BE219" s="130">
        <f>IF(N219="základná",J219,0)</f>
        <v>0</v>
      </c>
      <c r="BF219" s="130">
        <f>IF(N219="znížená",J219,0)</f>
        <v>250.92</v>
      </c>
      <c r="BG219" s="130">
        <f>IF(N219="zákl. prenesená",J219,0)</f>
        <v>0</v>
      </c>
      <c r="BH219" s="130">
        <f>IF(N219="zníž. prenesená",J219,0)</f>
        <v>0</v>
      </c>
      <c r="BI219" s="130">
        <f>IF(N219="nulová",J219,0)</f>
        <v>0</v>
      </c>
      <c r="BJ219" s="13" t="s">
        <v>76</v>
      </c>
      <c r="BK219" s="130">
        <f>ROUND(I219*H219,2)</f>
        <v>250.92</v>
      </c>
      <c r="BL219" s="13" t="s">
        <v>235</v>
      </c>
      <c r="BM219" s="129" t="s">
        <v>539</v>
      </c>
    </row>
    <row r="220" spans="2:65" s="1" customFormat="1" ht="7.05" customHeight="1" x14ac:dyDescent="0.2">
      <c r="B220" s="33"/>
      <c r="C220" s="34"/>
      <c r="D220" s="34"/>
      <c r="E220" s="34"/>
      <c r="F220" s="34"/>
      <c r="G220" s="34"/>
      <c r="H220" s="34"/>
      <c r="I220" s="34"/>
      <c r="J220" s="34"/>
      <c r="K220" s="34"/>
      <c r="L220" s="24"/>
    </row>
  </sheetData>
  <autoFilter ref="C124:K219" xr:uid="{00000000-0009-0000-0000-00000D000000}"/>
  <mergeCells count="14">
    <mergeCell ref="E87:H87"/>
    <mergeCell ref="E115:H115"/>
    <mergeCell ref="E117:H117"/>
    <mergeCell ref="L2:V2"/>
    <mergeCell ref="E9:H9"/>
    <mergeCell ref="E18:H18"/>
    <mergeCell ref="E27:H27"/>
    <mergeCell ref="E85:H85"/>
    <mergeCell ref="D4:J4"/>
    <mergeCell ref="F6:J7"/>
    <mergeCell ref="C82:J82"/>
    <mergeCell ref="E84:J84"/>
    <mergeCell ref="C112:J112"/>
    <mergeCell ref="E114:J114"/>
  </mergeCells>
  <pageMargins left="0.39374999999999999" right="0.39374999999999999" top="0.39374999999999999" bottom="0.39374999999999999" header="0" footer="0"/>
  <pageSetup paperSize="9" scale="89" fitToHeight="100" orientation="portrait" blackAndWhite="1" r:id="rId1"/>
  <headerFooter>
    <oddFooter>&amp;CStrana &amp;P z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BM202"/>
  <sheetViews>
    <sheetView showGridLines="0" topLeftCell="A121" workbookViewId="0">
      <selection activeCell="J128" activeCellId="6" sqref="J197 J192 J188 J174 J157 J144 J128"/>
    </sheetView>
  </sheetViews>
  <sheetFormatPr defaultColWidth="8.7109375" defaultRowHeight="10.199999999999999" x14ac:dyDescent="0.2"/>
  <cols>
    <col min="1" max="1" width="8.28515625" customWidth="1"/>
    <col min="2" max="2" width="1.7109375" customWidth="1"/>
    <col min="3" max="4" width="4.28515625" customWidth="1"/>
    <col min="5" max="5" width="17.28515625" customWidth="1"/>
    <col min="6" max="6" width="50.7109375" customWidth="1"/>
    <col min="7" max="7" width="7" customWidth="1"/>
    <col min="8" max="8" width="11.42578125" customWidth="1"/>
    <col min="9" max="10" width="20.28515625" customWidth="1"/>
    <col min="11" max="11" width="20.28515625" hidden="1" customWidth="1"/>
    <col min="12" max="12" width="9.28515625" customWidth="1"/>
    <col min="13" max="13" width="10.7109375" hidden="1" customWidth="1"/>
    <col min="14" max="14" width="9.28515625" hidden="1"/>
    <col min="15" max="20" width="14.28515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1" spans="1:46" x14ac:dyDescent="0.2">
      <c r="A1" s="73"/>
    </row>
    <row r="2" spans="1:46" ht="37.049999999999997" customHeight="1" x14ac:dyDescent="0.2">
      <c r="L2" s="1227" t="s">
        <v>5</v>
      </c>
      <c r="M2" s="1225"/>
      <c r="N2" s="1225"/>
      <c r="O2" s="1225"/>
      <c r="P2" s="1225"/>
      <c r="Q2" s="1225"/>
      <c r="R2" s="1225"/>
      <c r="S2" s="1225"/>
      <c r="T2" s="1225"/>
      <c r="U2" s="1225"/>
      <c r="V2" s="1225"/>
      <c r="AT2" s="13" t="s">
        <v>102</v>
      </c>
    </row>
    <row r="3" spans="1:46" ht="7.05" customHeight="1" x14ac:dyDescent="0.2">
      <c r="B3" s="14"/>
      <c r="C3" s="15"/>
      <c r="D3" s="15"/>
      <c r="E3" s="15"/>
      <c r="F3" s="15"/>
      <c r="G3" s="15"/>
      <c r="H3" s="15"/>
      <c r="I3" s="15"/>
      <c r="J3" s="15"/>
      <c r="K3" s="15"/>
      <c r="L3" s="16"/>
      <c r="AT3" s="13" t="s">
        <v>58</v>
      </c>
    </row>
    <row r="4" spans="1:46" ht="25.05" customHeight="1" x14ac:dyDescent="0.2">
      <c r="B4" s="16"/>
      <c r="D4" s="1165" t="s">
        <v>185</v>
      </c>
      <c r="E4" s="1165"/>
      <c r="F4" s="1165"/>
      <c r="G4" s="1165"/>
      <c r="H4" s="1165"/>
      <c r="I4" s="1165"/>
      <c r="J4" s="1165"/>
      <c r="L4" s="16"/>
      <c r="M4" s="74" t="s">
        <v>9</v>
      </c>
      <c r="AT4" s="13" t="s">
        <v>3</v>
      </c>
    </row>
    <row r="5" spans="1:46" ht="7.05" customHeight="1" x14ac:dyDescent="0.2">
      <c r="B5" s="16"/>
      <c r="L5" s="16"/>
    </row>
    <row r="6" spans="1:46" ht="12" customHeight="1" x14ac:dyDescent="0.2">
      <c r="B6" s="16"/>
      <c r="D6" s="548" t="s">
        <v>12</v>
      </c>
      <c r="F6" s="1254" t="s">
        <v>6176</v>
      </c>
      <c r="G6" s="1254"/>
      <c r="H6" s="1254"/>
      <c r="I6" s="1254"/>
      <c r="J6" s="1254"/>
      <c r="L6" s="16"/>
    </row>
    <row r="7" spans="1:46" ht="24.45" customHeight="1" x14ac:dyDescent="0.2">
      <c r="B7" s="16"/>
      <c r="D7" s="527"/>
      <c r="E7" s="531"/>
      <c r="F7" s="1254"/>
      <c r="G7" s="1254"/>
      <c r="H7" s="1254"/>
      <c r="I7" s="1254"/>
      <c r="J7" s="1254"/>
      <c r="L7" s="16"/>
    </row>
    <row r="8" spans="1:46" s="1" customFormat="1" ht="12" customHeight="1" x14ac:dyDescent="0.2">
      <c r="B8" s="24"/>
      <c r="D8" s="549" t="s">
        <v>186</v>
      </c>
      <c r="F8" s="532" t="s">
        <v>2929</v>
      </c>
      <c r="L8" s="24"/>
    </row>
    <row r="9" spans="1:46" s="1" customFormat="1" ht="37.049999999999997" customHeight="1" x14ac:dyDescent="0.2">
      <c r="B9" s="24"/>
      <c r="D9" s="521"/>
      <c r="E9" s="1251"/>
      <c r="F9" s="1252"/>
      <c r="G9" s="1252"/>
      <c r="H9" s="1252"/>
      <c r="L9" s="24"/>
    </row>
    <row r="10" spans="1:46" s="1" customFormat="1" x14ac:dyDescent="0.2">
      <c r="B10" s="24"/>
      <c r="D10" s="521"/>
      <c r="L10" s="24"/>
    </row>
    <row r="11" spans="1:46" s="1" customFormat="1" ht="12" customHeight="1" x14ac:dyDescent="0.2">
      <c r="B11" s="24"/>
      <c r="D11" s="528" t="s">
        <v>13</v>
      </c>
      <c r="F11" s="19" t="s">
        <v>1</v>
      </c>
      <c r="I11" s="528" t="s">
        <v>14</v>
      </c>
      <c r="J11" s="19" t="s">
        <v>1</v>
      </c>
      <c r="L11" s="24"/>
    </row>
    <row r="12" spans="1:46" s="1" customFormat="1" ht="12" customHeight="1" x14ac:dyDescent="0.2">
      <c r="B12" s="24"/>
      <c r="D12" s="528" t="s">
        <v>15</v>
      </c>
      <c r="F12" s="520" t="s">
        <v>6173</v>
      </c>
      <c r="I12" s="528" t="s">
        <v>17</v>
      </c>
      <c r="J12" s="39"/>
      <c r="L12" s="24"/>
    </row>
    <row r="13" spans="1:46" s="1" customFormat="1" ht="10.95" customHeight="1" x14ac:dyDescent="0.2">
      <c r="B13" s="24"/>
      <c r="D13" s="521"/>
      <c r="F13" s="521"/>
      <c r="I13" s="521"/>
      <c r="L13" s="24"/>
    </row>
    <row r="14" spans="1:46" s="1" customFormat="1" ht="12" customHeight="1" x14ac:dyDescent="0.2">
      <c r="B14" s="24"/>
      <c r="D14" s="528" t="s">
        <v>18</v>
      </c>
      <c r="F14" s="529" t="s">
        <v>6175</v>
      </c>
      <c r="I14" s="528" t="s">
        <v>19</v>
      </c>
      <c r="J14" s="19" t="str">
        <f>IF('Rekapitulácia stavby'!AN10="","",'Rekapitulácia stavby'!AN10)</f>
        <v/>
      </c>
      <c r="L14" s="24"/>
    </row>
    <row r="15" spans="1:46" s="1" customFormat="1" ht="18" customHeight="1" x14ac:dyDescent="0.2">
      <c r="B15" s="24"/>
      <c r="D15" s="521"/>
      <c r="E15" s="19" t="str">
        <f>IF('Rekapitulácia stavby'!E11="","",'Rekapitulácia stavby'!E11)</f>
        <v/>
      </c>
      <c r="F15" s="521"/>
      <c r="I15" s="528" t="s">
        <v>20</v>
      </c>
      <c r="J15" s="19" t="str">
        <f>IF('Rekapitulácia stavby'!AN11="","",'Rekapitulácia stavby'!AN11)</f>
        <v/>
      </c>
      <c r="L15" s="24"/>
    </row>
    <row r="16" spans="1:46" s="1" customFormat="1" ht="7.05" customHeight="1" x14ac:dyDescent="0.2">
      <c r="B16" s="24"/>
      <c r="D16" s="521"/>
      <c r="F16" s="521"/>
      <c r="I16" s="521"/>
      <c r="L16" s="24"/>
    </row>
    <row r="17" spans="2:12" s="1" customFormat="1" ht="12" customHeight="1" x14ac:dyDescent="0.2">
      <c r="B17" s="24"/>
      <c r="D17" s="528" t="s">
        <v>21</v>
      </c>
      <c r="F17" s="529" t="s">
        <v>5202</v>
      </c>
      <c r="I17" s="528" t="s">
        <v>19</v>
      </c>
      <c r="J17" s="19"/>
      <c r="L17" s="24"/>
    </row>
    <row r="18" spans="2:12" s="1" customFormat="1" ht="18" customHeight="1" x14ac:dyDescent="0.2">
      <c r="B18" s="24"/>
      <c r="D18" s="521"/>
      <c r="E18" s="1161"/>
      <c r="F18" s="1161"/>
      <c r="G18" s="1161"/>
      <c r="H18" s="1161"/>
      <c r="I18" s="528" t="s">
        <v>20</v>
      </c>
      <c r="J18" s="19" t="str">
        <f>'Rekapitulácia stavby'!AN14</f>
        <v/>
      </c>
      <c r="L18" s="24"/>
    </row>
    <row r="19" spans="2:12" s="1" customFormat="1" ht="7.05" customHeight="1" x14ac:dyDescent="0.2">
      <c r="B19" s="24"/>
      <c r="D19" s="521"/>
      <c r="I19" s="521"/>
      <c r="L19" s="24"/>
    </row>
    <row r="20" spans="2:12" s="1" customFormat="1" ht="12" customHeight="1" x14ac:dyDescent="0.2">
      <c r="B20" s="24"/>
      <c r="D20" s="528" t="s">
        <v>22</v>
      </c>
      <c r="I20" s="528" t="s">
        <v>19</v>
      </c>
      <c r="J20" s="19" t="str">
        <f>IF('Rekapitulácia stavby'!AN16="","",'Rekapitulácia stavby'!AN16)</f>
        <v/>
      </c>
      <c r="L20" s="24"/>
    </row>
    <row r="21" spans="2:12" s="1" customFormat="1" ht="18" customHeight="1" x14ac:dyDescent="0.2">
      <c r="B21" s="24"/>
      <c r="D21" s="521"/>
      <c r="E21" s="19" t="str">
        <f>IF('Rekapitulácia stavby'!E17="","",'Rekapitulácia stavby'!E17)</f>
        <v xml:space="preserve"> </v>
      </c>
      <c r="I21" s="528" t="s">
        <v>20</v>
      </c>
      <c r="J21" s="19" t="str">
        <f>IF('Rekapitulácia stavby'!AN17="","",'Rekapitulácia stavby'!AN17)</f>
        <v/>
      </c>
      <c r="L21" s="24"/>
    </row>
    <row r="22" spans="2:12" s="1" customFormat="1" ht="7.05" customHeight="1" x14ac:dyDescent="0.2">
      <c r="B22" s="24"/>
      <c r="D22" s="521"/>
      <c r="I22" s="521"/>
      <c r="L22" s="24"/>
    </row>
    <row r="23" spans="2:12" s="1" customFormat="1" ht="12" customHeight="1" x14ac:dyDescent="0.2">
      <c r="B23" s="24"/>
      <c r="D23" s="528" t="s">
        <v>24</v>
      </c>
      <c r="I23" s="528" t="s">
        <v>19</v>
      </c>
      <c r="J23" s="19" t="str">
        <f>IF('Rekapitulácia stavby'!AN19="","",'Rekapitulácia stavby'!AN19)</f>
        <v/>
      </c>
      <c r="L23" s="24"/>
    </row>
    <row r="24" spans="2:12" s="1" customFormat="1" ht="18" customHeight="1" x14ac:dyDescent="0.2">
      <c r="B24" s="24"/>
      <c r="D24" s="521"/>
      <c r="E24" s="19" t="str">
        <f>IF('Rekapitulácia stavby'!E20="","",'Rekapitulácia stavby'!E20)</f>
        <v xml:space="preserve"> </v>
      </c>
      <c r="I24" s="528" t="s">
        <v>20</v>
      </c>
      <c r="J24" s="19" t="str">
        <f>IF('Rekapitulácia stavby'!AN20="","",'Rekapitulácia stavby'!AN20)</f>
        <v/>
      </c>
      <c r="L24" s="24"/>
    </row>
    <row r="25" spans="2:12" s="1" customFormat="1" ht="7.05" customHeight="1" x14ac:dyDescent="0.2">
      <c r="B25" s="24"/>
      <c r="D25" s="521"/>
      <c r="L25" s="24"/>
    </row>
    <row r="26" spans="2:12" s="1" customFormat="1" ht="12" customHeight="1" x14ac:dyDescent="0.2">
      <c r="B26" s="24"/>
      <c r="D26" s="528" t="s">
        <v>25</v>
      </c>
      <c r="L26" s="24"/>
    </row>
    <row r="27" spans="2:12" s="7" customFormat="1" ht="16.5" customHeight="1" x14ac:dyDescent="0.2">
      <c r="B27" s="75"/>
      <c r="E27" s="1228" t="s">
        <v>1</v>
      </c>
      <c r="F27" s="1228"/>
      <c r="G27" s="1228"/>
      <c r="H27" s="1228"/>
      <c r="L27" s="75"/>
    </row>
    <row r="28" spans="2:12" s="1" customFormat="1" ht="7.05" customHeight="1" x14ac:dyDescent="0.2">
      <c r="B28" s="24"/>
      <c r="L28" s="24"/>
    </row>
    <row r="29" spans="2:12" s="1" customFormat="1" ht="7.05" customHeight="1" x14ac:dyDescent="0.2">
      <c r="B29" s="24"/>
      <c r="D29" s="40"/>
      <c r="E29" s="40"/>
      <c r="F29" s="40"/>
      <c r="G29" s="40"/>
      <c r="H29" s="40"/>
      <c r="I29" s="40"/>
      <c r="J29" s="40"/>
      <c r="K29" s="40"/>
      <c r="L29" s="24"/>
    </row>
    <row r="30" spans="2:12" s="1" customFormat="1" ht="25.2" customHeight="1" x14ac:dyDescent="0.2">
      <c r="B30" s="24"/>
      <c r="D30" s="76" t="s">
        <v>26</v>
      </c>
      <c r="J30" s="53">
        <f>ROUND(J125, 2)</f>
        <v>21926.83</v>
      </c>
      <c r="L30" s="24"/>
    </row>
    <row r="31" spans="2:12" s="1" customFormat="1" ht="7.05" customHeight="1" x14ac:dyDescent="0.2">
      <c r="B31" s="24"/>
      <c r="D31" s="40"/>
      <c r="E31" s="40"/>
      <c r="F31" s="40"/>
      <c r="G31" s="40"/>
      <c r="H31" s="40"/>
      <c r="I31" s="40"/>
      <c r="J31" s="40"/>
      <c r="K31" s="40"/>
      <c r="L31" s="24"/>
    </row>
    <row r="32" spans="2:12" s="1" customFormat="1" ht="14.55" customHeight="1" x14ac:dyDescent="0.2">
      <c r="B32" s="24"/>
      <c r="D32" s="521"/>
      <c r="E32" s="521"/>
      <c r="F32" s="534" t="s">
        <v>28</v>
      </c>
      <c r="G32" s="521"/>
      <c r="H32" s="521"/>
      <c r="I32" s="534" t="s">
        <v>27</v>
      </c>
      <c r="J32" s="534" t="s">
        <v>29</v>
      </c>
      <c r="L32" s="24"/>
    </row>
    <row r="33" spans="2:12" s="1" customFormat="1" ht="14.55" customHeight="1" x14ac:dyDescent="0.2">
      <c r="B33" s="24"/>
      <c r="D33" s="13" t="s">
        <v>30</v>
      </c>
      <c r="E33" s="528" t="s">
        <v>31</v>
      </c>
      <c r="F33" s="398">
        <f>ROUND((SUM(BE125:BE201)),  2)</f>
        <v>0</v>
      </c>
      <c r="G33" s="521"/>
      <c r="H33" s="521"/>
      <c r="I33" s="535">
        <v>0.2</v>
      </c>
      <c r="J33" s="398">
        <f>ROUND(((SUM(BE125:BE201))*I33),  2)</f>
        <v>0</v>
      </c>
      <c r="L33" s="24"/>
    </row>
    <row r="34" spans="2:12" s="1" customFormat="1" ht="14.55" customHeight="1" x14ac:dyDescent="0.2">
      <c r="B34" s="24"/>
      <c r="D34" s="521"/>
      <c r="E34" s="528" t="s">
        <v>32</v>
      </c>
      <c r="F34" s="398">
        <f>ROUND((SUM(BF125:BF201)),  2)</f>
        <v>21926.83</v>
      </c>
      <c r="G34" s="521"/>
      <c r="H34" s="521"/>
      <c r="I34" s="535">
        <v>0.2</v>
      </c>
      <c r="J34" s="398">
        <f>ROUND(((SUM(BF125:BF201))*I34),  2)</f>
        <v>4385.37</v>
      </c>
      <c r="L34" s="24"/>
    </row>
    <row r="35" spans="2:12" s="1" customFormat="1" ht="14.55" hidden="1" customHeight="1" x14ac:dyDescent="0.2">
      <c r="B35" s="24"/>
      <c r="E35" s="21" t="s">
        <v>33</v>
      </c>
      <c r="F35" s="78">
        <f>ROUND((SUM(BG125:BG201)),  2)</f>
        <v>0</v>
      </c>
      <c r="I35" s="79">
        <v>0.2</v>
      </c>
      <c r="J35" s="78">
        <f>0</f>
        <v>0</v>
      </c>
      <c r="L35" s="24"/>
    </row>
    <row r="36" spans="2:12" s="1" customFormat="1" ht="14.55" hidden="1" customHeight="1" x14ac:dyDescent="0.2">
      <c r="B36" s="24"/>
      <c r="E36" s="21" t="s">
        <v>34</v>
      </c>
      <c r="F36" s="78">
        <f>ROUND((SUM(BH125:BH201)),  2)</f>
        <v>0</v>
      </c>
      <c r="I36" s="79">
        <v>0.2</v>
      </c>
      <c r="J36" s="78">
        <f>0</f>
        <v>0</v>
      </c>
      <c r="L36" s="24"/>
    </row>
    <row r="37" spans="2:12" s="1" customFormat="1" ht="14.55" hidden="1" customHeight="1" x14ac:dyDescent="0.2">
      <c r="B37" s="24"/>
      <c r="E37" s="21" t="s">
        <v>35</v>
      </c>
      <c r="F37" s="78">
        <f>ROUND((SUM(BI125:BI201)),  2)</f>
        <v>0</v>
      </c>
      <c r="I37" s="79">
        <v>0</v>
      </c>
      <c r="J37" s="78">
        <f>0</f>
        <v>0</v>
      </c>
      <c r="L37" s="24"/>
    </row>
    <row r="38" spans="2:12" s="1" customFormat="1" ht="7.05" customHeight="1" x14ac:dyDescent="0.2">
      <c r="B38" s="24"/>
      <c r="L38" s="24"/>
    </row>
    <row r="39" spans="2:12" s="1" customFormat="1" ht="25.2" customHeight="1" x14ac:dyDescent="0.2">
      <c r="B39" s="24"/>
      <c r="C39" s="80"/>
      <c r="D39" s="81" t="s">
        <v>36</v>
      </c>
      <c r="E39" s="44"/>
      <c r="F39" s="44"/>
      <c r="G39" s="82" t="s">
        <v>37</v>
      </c>
      <c r="H39" s="83" t="s">
        <v>38</v>
      </c>
      <c r="I39" s="44"/>
      <c r="J39" s="84">
        <f>SUM(J30:J37)</f>
        <v>26312.2</v>
      </c>
      <c r="K39" s="85"/>
      <c r="L39" s="24"/>
    </row>
    <row r="40" spans="2:12" s="1" customFormat="1" ht="14.55" customHeight="1" x14ac:dyDescent="0.2">
      <c r="B40" s="24"/>
      <c r="L40" s="24"/>
    </row>
    <row r="41" spans="2:12" ht="14.55" customHeight="1" x14ac:dyDescent="0.2">
      <c r="B41" s="16"/>
      <c r="L41" s="16"/>
    </row>
    <row r="42" spans="2:12" ht="14.55" customHeight="1" x14ac:dyDescent="0.2">
      <c r="B42" s="16"/>
      <c r="L42" s="16"/>
    </row>
    <row r="43" spans="2:12" ht="14.55" customHeight="1" x14ac:dyDescent="0.2">
      <c r="B43" s="16"/>
      <c r="L43" s="16"/>
    </row>
    <row r="44" spans="2:12" ht="14.55" customHeight="1" x14ac:dyDescent="0.2">
      <c r="B44" s="16"/>
      <c r="L44" s="16"/>
    </row>
    <row r="45" spans="2:12" ht="14.55" customHeight="1" x14ac:dyDescent="0.2">
      <c r="B45" s="16"/>
      <c r="L45" s="16"/>
    </row>
    <row r="46" spans="2:12" ht="14.55" customHeight="1" x14ac:dyDescent="0.2">
      <c r="B46" s="16"/>
      <c r="L46" s="16"/>
    </row>
    <row r="47" spans="2:12" ht="14.55" customHeight="1" x14ac:dyDescent="0.2">
      <c r="B47" s="16"/>
      <c r="L47" s="16"/>
    </row>
    <row r="48" spans="2:12" ht="14.55" customHeight="1" x14ac:dyDescent="0.2">
      <c r="B48" s="16"/>
      <c r="L48" s="16"/>
    </row>
    <row r="49" spans="2:12" ht="14.55" customHeight="1" x14ac:dyDescent="0.2">
      <c r="B49" s="16"/>
      <c r="D49" s="156"/>
      <c r="E49" s="156"/>
      <c r="F49" s="156"/>
      <c r="G49" s="156"/>
      <c r="H49" s="156"/>
      <c r="I49" s="156"/>
      <c r="J49" s="156"/>
      <c r="L49" s="16"/>
    </row>
    <row r="50" spans="2:12" s="1" customFormat="1" ht="14.55" customHeight="1" x14ac:dyDescent="0.2">
      <c r="B50" s="24"/>
      <c r="D50" s="530"/>
      <c r="E50" s="523"/>
      <c r="F50" s="523"/>
      <c r="G50" s="530"/>
      <c r="H50" s="523"/>
      <c r="I50" s="523"/>
      <c r="J50" s="523"/>
      <c r="K50" s="32"/>
      <c r="L50" s="24"/>
    </row>
    <row r="51" spans="2:12" x14ac:dyDescent="0.2">
      <c r="B51" s="16"/>
      <c r="D51" s="156"/>
      <c r="E51" s="156"/>
      <c r="F51" s="156"/>
      <c r="G51" s="156"/>
      <c r="H51" s="156"/>
      <c r="I51" s="156"/>
      <c r="J51" s="156"/>
      <c r="L51" s="16"/>
    </row>
    <row r="52" spans="2:12" x14ac:dyDescent="0.2">
      <c r="B52" s="16"/>
      <c r="D52" s="156"/>
      <c r="E52" s="156"/>
      <c r="F52" s="156"/>
      <c r="G52" s="156"/>
      <c r="H52" s="156"/>
      <c r="I52" s="156"/>
      <c r="J52" s="156"/>
      <c r="L52" s="16"/>
    </row>
    <row r="53" spans="2:12" x14ac:dyDescent="0.2">
      <c r="B53" s="16"/>
      <c r="D53" s="156"/>
      <c r="E53" s="156"/>
      <c r="F53" s="156"/>
      <c r="G53" s="156"/>
      <c r="H53" s="156"/>
      <c r="I53" s="156"/>
      <c r="J53" s="156"/>
      <c r="L53" s="16"/>
    </row>
    <row r="54" spans="2:12" x14ac:dyDescent="0.2">
      <c r="B54" s="16"/>
      <c r="D54" s="156"/>
      <c r="E54" s="156"/>
      <c r="F54" s="156"/>
      <c r="G54" s="156"/>
      <c r="H54" s="156"/>
      <c r="I54" s="156"/>
      <c r="J54" s="156"/>
      <c r="L54" s="16"/>
    </row>
    <row r="55" spans="2:12" x14ac:dyDescent="0.2">
      <c r="B55" s="16"/>
      <c r="D55" s="156"/>
      <c r="E55" s="156"/>
      <c r="F55" s="156"/>
      <c r="G55" s="156"/>
      <c r="H55" s="156"/>
      <c r="I55" s="156"/>
      <c r="J55" s="156"/>
      <c r="L55" s="16"/>
    </row>
    <row r="56" spans="2:12" x14ac:dyDescent="0.2">
      <c r="B56" s="16"/>
      <c r="D56" s="156"/>
      <c r="E56" s="156"/>
      <c r="F56" s="156"/>
      <c r="G56" s="156"/>
      <c r="H56" s="156"/>
      <c r="I56" s="156"/>
      <c r="J56" s="156"/>
      <c r="L56" s="16"/>
    </row>
    <row r="57" spans="2:12" x14ac:dyDescent="0.2">
      <c r="B57" s="16"/>
      <c r="D57" s="156"/>
      <c r="E57" s="156"/>
      <c r="F57" s="156"/>
      <c r="G57" s="156"/>
      <c r="H57" s="156"/>
      <c r="I57" s="156"/>
      <c r="J57" s="156"/>
      <c r="L57" s="16"/>
    </row>
    <row r="58" spans="2:12" x14ac:dyDescent="0.2">
      <c r="B58" s="16"/>
      <c r="D58" s="156"/>
      <c r="E58" s="156"/>
      <c r="F58" s="156"/>
      <c r="G58" s="156"/>
      <c r="H58" s="156"/>
      <c r="I58" s="156"/>
      <c r="J58" s="156"/>
      <c r="L58" s="16"/>
    </row>
    <row r="59" spans="2:12" x14ac:dyDescent="0.2">
      <c r="B59" s="16"/>
      <c r="D59" s="156"/>
      <c r="E59" s="156"/>
      <c r="F59" s="156"/>
      <c r="G59" s="156"/>
      <c r="H59" s="156"/>
      <c r="I59" s="156"/>
      <c r="J59" s="156"/>
      <c r="L59" s="16"/>
    </row>
    <row r="60" spans="2:12" x14ac:dyDescent="0.2">
      <c r="B60" s="16"/>
      <c r="D60" s="156"/>
      <c r="E60" s="156"/>
      <c r="F60" s="156"/>
      <c r="G60" s="156"/>
      <c r="H60" s="156"/>
      <c r="I60" s="156"/>
      <c r="J60" s="156"/>
      <c r="L60" s="16"/>
    </row>
    <row r="61" spans="2:12" s="1" customFormat="1" ht="13.2" x14ac:dyDescent="0.2">
      <c r="B61" s="24"/>
      <c r="D61" s="522"/>
      <c r="E61" s="523"/>
      <c r="F61" s="536"/>
      <c r="G61" s="522"/>
      <c r="H61" s="523"/>
      <c r="I61" s="523"/>
      <c r="J61" s="169"/>
      <c r="K61" s="26"/>
      <c r="L61" s="24"/>
    </row>
    <row r="62" spans="2:12" x14ac:dyDescent="0.2">
      <c r="B62" s="16"/>
      <c r="D62" s="156"/>
      <c r="E62" s="156"/>
      <c r="F62" s="156"/>
      <c r="G62" s="156"/>
      <c r="H62" s="156"/>
      <c r="I62" s="156"/>
      <c r="J62" s="156"/>
      <c r="L62" s="16"/>
    </row>
    <row r="63" spans="2:12" x14ac:dyDescent="0.2">
      <c r="B63" s="16"/>
      <c r="D63" s="156"/>
      <c r="E63" s="156"/>
      <c r="F63" s="156"/>
      <c r="G63" s="156"/>
      <c r="H63" s="156"/>
      <c r="I63" s="156"/>
      <c r="J63" s="156"/>
      <c r="L63" s="16"/>
    </row>
    <row r="64" spans="2:12" x14ac:dyDescent="0.2">
      <c r="B64" s="16"/>
      <c r="D64" s="156"/>
      <c r="E64" s="156"/>
      <c r="F64" s="156"/>
      <c r="G64" s="156"/>
      <c r="H64" s="156"/>
      <c r="I64" s="156"/>
      <c r="J64" s="156"/>
      <c r="L64" s="16"/>
    </row>
    <row r="65" spans="2:12" s="1" customFormat="1" ht="13.2" x14ac:dyDescent="0.2">
      <c r="B65" s="24"/>
      <c r="D65" s="530"/>
      <c r="E65" s="523"/>
      <c r="F65" s="523"/>
      <c r="G65" s="530"/>
      <c r="H65" s="523"/>
      <c r="I65" s="523"/>
      <c r="J65" s="523"/>
      <c r="K65" s="32"/>
      <c r="L65" s="24"/>
    </row>
    <row r="66" spans="2:12" x14ac:dyDescent="0.2">
      <c r="B66" s="16"/>
      <c r="D66" s="156"/>
      <c r="E66" s="156"/>
      <c r="F66" s="156"/>
      <c r="G66" s="156"/>
      <c r="H66" s="156"/>
      <c r="I66" s="156"/>
      <c r="J66" s="156"/>
      <c r="L66" s="16"/>
    </row>
    <row r="67" spans="2:12" x14ac:dyDescent="0.2">
      <c r="B67" s="16"/>
      <c r="D67" s="156"/>
      <c r="E67" s="156"/>
      <c r="F67" s="156"/>
      <c r="G67" s="156"/>
      <c r="H67" s="156"/>
      <c r="I67" s="156"/>
      <c r="J67" s="156"/>
      <c r="L67" s="16"/>
    </row>
    <row r="68" spans="2:12" x14ac:dyDescent="0.2">
      <c r="B68" s="16"/>
      <c r="D68" s="156"/>
      <c r="E68" s="156"/>
      <c r="F68" s="156"/>
      <c r="G68" s="156"/>
      <c r="H68" s="156"/>
      <c r="I68" s="156"/>
      <c r="J68" s="156"/>
      <c r="L68" s="16"/>
    </row>
    <row r="69" spans="2:12" x14ac:dyDescent="0.2">
      <c r="B69" s="16"/>
      <c r="D69" s="156"/>
      <c r="E69" s="156"/>
      <c r="F69" s="156"/>
      <c r="G69" s="156"/>
      <c r="H69" s="156"/>
      <c r="I69" s="156"/>
      <c r="J69" s="156"/>
      <c r="L69" s="16"/>
    </row>
    <row r="70" spans="2:12" x14ac:dyDescent="0.2">
      <c r="B70" s="16"/>
      <c r="D70" s="156"/>
      <c r="E70" s="156"/>
      <c r="F70" s="156"/>
      <c r="G70" s="156"/>
      <c r="H70" s="156"/>
      <c r="I70" s="156"/>
      <c r="J70" s="156"/>
      <c r="L70" s="16"/>
    </row>
    <row r="71" spans="2:12" x14ac:dyDescent="0.2">
      <c r="B71" s="16"/>
      <c r="D71" s="156"/>
      <c r="E71" s="156"/>
      <c r="F71" s="156"/>
      <c r="G71" s="156"/>
      <c r="H71" s="156"/>
      <c r="I71" s="156"/>
      <c r="J71" s="156"/>
      <c r="L71" s="16"/>
    </row>
    <row r="72" spans="2:12" x14ac:dyDescent="0.2">
      <c r="B72" s="16"/>
      <c r="D72" s="156"/>
      <c r="E72" s="156"/>
      <c r="F72" s="156"/>
      <c r="G72" s="156"/>
      <c r="H72" s="156"/>
      <c r="I72" s="156"/>
      <c r="J72" s="156"/>
      <c r="L72" s="16"/>
    </row>
    <row r="73" spans="2:12" x14ac:dyDescent="0.2">
      <c r="B73" s="16"/>
      <c r="D73" s="156"/>
      <c r="E73" s="156"/>
      <c r="F73" s="156"/>
      <c r="G73" s="156"/>
      <c r="H73" s="156"/>
      <c r="I73" s="156"/>
      <c r="J73" s="156"/>
      <c r="L73" s="16"/>
    </row>
    <row r="74" spans="2:12" x14ac:dyDescent="0.2">
      <c r="B74" s="16"/>
      <c r="D74" s="156"/>
      <c r="E74" s="156"/>
      <c r="F74" s="156"/>
      <c r="G74" s="156"/>
      <c r="H74" s="156"/>
      <c r="I74" s="156"/>
      <c r="J74" s="156"/>
      <c r="L74" s="16"/>
    </row>
    <row r="75" spans="2:12" x14ac:dyDescent="0.2">
      <c r="B75" s="16"/>
      <c r="D75" s="156"/>
      <c r="E75" s="156"/>
      <c r="F75" s="156"/>
      <c r="G75" s="156"/>
      <c r="H75" s="156"/>
      <c r="I75" s="156"/>
      <c r="J75" s="156"/>
      <c r="L75" s="16"/>
    </row>
    <row r="76" spans="2:12" s="1" customFormat="1" ht="13.2" x14ac:dyDescent="0.2">
      <c r="B76" s="24"/>
      <c r="D76" s="522"/>
      <c r="E76" s="523"/>
      <c r="F76" s="536"/>
      <c r="G76" s="522"/>
      <c r="H76" s="523"/>
      <c r="I76" s="523"/>
      <c r="J76" s="169"/>
      <c r="K76" s="26"/>
      <c r="L76" s="24"/>
    </row>
    <row r="77" spans="2:12" s="1" customFormat="1" ht="14.55" customHeight="1" x14ac:dyDescent="0.2">
      <c r="B77" s="33"/>
      <c r="C77" s="34"/>
      <c r="D77" s="34"/>
      <c r="E77" s="34"/>
      <c r="F77" s="34"/>
      <c r="G77" s="34"/>
      <c r="H77" s="34"/>
      <c r="I77" s="34"/>
      <c r="J77" s="34"/>
      <c r="K77" s="34"/>
      <c r="L77" s="24"/>
    </row>
    <row r="81" spans="2:47" s="1" customFormat="1" ht="7.05" customHeight="1" x14ac:dyDescent="0.2">
      <c r="B81" s="35"/>
      <c r="C81" s="36"/>
      <c r="D81" s="36"/>
      <c r="E81" s="36"/>
      <c r="F81" s="36"/>
      <c r="G81" s="36"/>
      <c r="H81" s="36"/>
      <c r="I81" s="36"/>
      <c r="J81" s="36"/>
      <c r="K81" s="36"/>
      <c r="L81" s="24"/>
    </row>
    <row r="82" spans="2:47" s="1" customFormat="1" ht="25.05" customHeight="1" x14ac:dyDescent="0.2">
      <c r="B82" s="24"/>
      <c r="C82" s="1165" t="s">
        <v>188</v>
      </c>
      <c r="D82" s="1165"/>
      <c r="E82" s="1165"/>
      <c r="F82" s="1165"/>
      <c r="G82" s="1165"/>
      <c r="H82" s="1165"/>
      <c r="I82" s="1165"/>
      <c r="J82" s="1165"/>
      <c r="L82" s="24"/>
    </row>
    <row r="83" spans="2:47" s="1" customFormat="1" ht="7.05" customHeight="1" x14ac:dyDescent="0.2">
      <c r="B83" s="24"/>
      <c r="L83" s="24"/>
    </row>
    <row r="84" spans="2:47" s="1" customFormat="1" ht="12" customHeight="1" x14ac:dyDescent="0.2">
      <c r="B84" s="24"/>
      <c r="C84" s="528" t="s">
        <v>12</v>
      </c>
      <c r="E84" s="1242" t="s">
        <v>6177</v>
      </c>
      <c r="F84" s="1242"/>
      <c r="G84" s="1242"/>
      <c r="H84" s="1242"/>
      <c r="I84" s="1242"/>
      <c r="J84" s="1242"/>
      <c r="L84" s="24"/>
    </row>
    <row r="85" spans="2:47" s="1" customFormat="1" ht="24" customHeight="1" x14ac:dyDescent="0.2">
      <c r="B85" s="24"/>
      <c r="C85" s="521"/>
      <c r="E85" s="1243"/>
      <c r="F85" s="1244"/>
      <c r="G85" s="1244"/>
      <c r="H85" s="1244"/>
      <c r="L85" s="24"/>
    </row>
    <row r="86" spans="2:47" s="1" customFormat="1" ht="12" customHeight="1" x14ac:dyDescent="0.2">
      <c r="B86" s="24"/>
      <c r="C86" s="528" t="s">
        <v>186</v>
      </c>
      <c r="F86" s="532" t="s">
        <v>2929</v>
      </c>
      <c r="L86" s="24"/>
    </row>
    <row r="87" spans="2:47" s="1" customFormat="1" ht="16.5" customHeight="1" x14ac:dyDescent="0.2">
      <c r="B87" s="24"/>
      <c r="C87" s="521"/>
      <c r="E87" s="1251"/>
      <c r="F87" s="1252"/>
      <c r="G87" s="1252"/>
      <c r="H87" s="1252"/>
      <c r="L87" s="24"/>
    </row>
    <row r="88" spans="2:47" s="1" customFormat="1" ht="7.05" customHeight="1" x14ac:dyDescent="0.2">
      <c r="B88" s="24"/>
      <c r="C88" s="521"/>
      <c r="L88" s="24"/>
    </row>
    <row r="89" spans="2:47" s="1" customFormat="1" ht="12" customHeight="1" x14ac:dyDescent="0.2">
      <c r="B89" s="24"/>
      <c r="C89" s="528" t="s">
        <v>15</v>
      </c>
      <c r="F89" s="19" t="str">
        <f>F12</f>
        <v>Kuzmányho nábrežie 28, 960 01 Zvolen</v>
      </c>
      <c r="I89" s="528" t="s">
        <v>17</v>
      </c>
      <c r="J89" s="39" t="str">
        <f>IF(J12="","",J12)</f>
        <v/>
      </c>
      <c r="L89" s="24"/>
    </row>
    <row r="90" spans="2:47" s="1" customFormat="1" ht="7.05" customHeight="1" x14ac:dyDescent="0.2">
      <c r="B90" s="24"/>
      <c r="C90" s="521"/>
      <c r="I90" s="521"/>
      <c r="L90" s="24"/>
    </row>
    <row r="91" spans="2:47" s="1" customFormat="1" ht="15.3" customHeight="1" x14ac:dyDescent="0.2">
      <c r="B91" s="24"/>
      <c r="C91" s="528" t="s">
        <v>18</v>
      </c>
      <c r="F91" s="529" t="s">
        <v>6175</v>
      </c>
      <c r="I91" s="528" t="s">
        <v>22</v>
      </c>
      <c r="J91" s="22" t="str">
        <f>E21</f>
        <v xml:space="preserve"> </v>
      </c>
      <c r="L91" s="24"/>
    </row>
    <row r="92" spans="2:47" s="1" customFormat="1" ht="15.3" customHeight="1" x14ac:dyDescent="0.2">
      <c r="B92" s="24"/>
      <c r="C92" s="528" t="s">
        <v>21</v>
      </c>
      <c r="F92" s="529" t="s">
        <v>5202</v>
      </c>
      <c r="I92" s="528" t="s">
        <v>24</v>
      </c>
      <c r="J92" s="22" t="str">
        <f>E24</f>
        <v xml:space="preserve"> </v>
      </c>
      <c r="L92" s="24"/>
    </row>
    <row r="93" spans="2:47" s="1" customFormat="1" ht="10.199999999999999" customHeight="1" x14ac:dyDescent="0.2">
      <c r="B93" s="24"/>
      <c r="L93" s="24"/>
    </row>
    <row r="94" spans="2:47" s="1" customFormat="1" ht="29.25" customHeight="1" x14ac:dyDescent="0.2">
      <c r="B94" s="24"/>
      <c r="C94" s="86" t="s">
        <v>189</v>
      </c>
      <c r="D94" s="80"/>
      <c r="E94" s="80"/>
      <c r="F94" s="80"/>
      <c r="G94" s="80"/>
      <c r="H94" s="80"/>
      <c r="I94" s="80"/>
      <c r="J94" s="87" t="s">
        <v>190</v>
      </c>
      <c r="K94" s="80"/>
      <c r="L94" s="24"/>
    </row>
    <row r="95" spans="2:47" s="1" customFormat="1" ht="10.199999999999999" customHeight="1" x14ac:dyDescent="0.2">
      <c r="B95" s="24"/>
      <c r="L95" s="24"/>
    </row>
    <row r="96" spans="2:47" s="1" customFormat="1" ht="22.95" customHeight="1" x14ac:dyDescent="0.2">
      <c r="B96" s="24"/>
      <c r="C96" s="88" t="s">
        <v>191</v>
      </c>
      <c r="J96" s="53">
        <f>J125</f>
        <v>21926.829999999998</v>
      </c>
      <c r="L96" s="24"/>
      <c r="AU96" s="13" t="s">
        <v>192</v>
      </c>
    </row>
    <row r="97" spans="2:12" s="8" customFormat="1" ht="25.05" customHeight="1" x14ac:dyDescent="0.2">
      <c r="B97" s="89"/>
      <c r="D97" s="90" t="s">
        <v>2930</v>
      </c>
      <c r="E97" s="91"/>
      <c r="F97" s="91"/>
      <c r="G97" s="91"/>
      <c r="H97" s="91"/>
      <c r="I97" s="91"/>
      <c r="J97" s="92">
        <f>J126</f>
        <v>0</v>
      </c>
      <c r="L97" s="89"/>
    </row>
    <row r="98" spans="2:12" s="8" customFormat="1" ht="25.05" customHeight="1" x14ac:dyDescent="0.2">
      <c r="B98" s="89"/>
      <c r="D98" s="90" t="s">
        <v>2931</v>
      </c>
      <c r="E98" s="91"/>
      <c r="F98" s="91"/>
      <c r="G98" s="91"/>
      <c r="H98" s="91"/>
      <c r="I98" s="91"/>
      <c r="J98" s="92">
        <f>J127</f>
        <v>21926.829999999998</v>
      </c>
      <c r="L98" s="89"/>
    </row>
    <row r="99" spans="2:12" s="9" customFormat="1" ht="19.95" customHeight="1" x14ac:dyDescent="0.2">
      <c r="B99" s="93"/>
      <c r="D99" s="94" t="s">
        <v>2932</v>
      </c>
      <c r="E99" s="95"/>
      <c r="F99" s="95"/>
      <c r="G99" s="95"/>
      <c r="H99" s="95"/>
      <c r="I99" s="95"/>
      <c r="J99" s="96">
        <f>J128</f>
        <v>11591.869999999999</v>
      </c>
      <c r="L99" s="93"/>
    </row>
    <row r="100" spans="2:12" s="9" customFormat="1" ht="19.95" customHeight="1" x14ac:dyDescent="0.2">
      <c r="B100" s="93"/>
      <c r="D100" s="94" t="s">
        <v>2933</v>
      </c>
      <c r="E100" s="95"/>
      <c r="F100" s="95"/>
      <c r="G100" s="95"/>
      <c r="H100" s="95"/>
      <c r="I100" s="95"/>
      <c r="J100" s="96">
        <f>J144</f>
        <v>3184.16</v>
      </c>
      <c r="L100" s="93"/>
    </row>
    <row r="101" spans="2:12" s="9" customFormat="1" ht="19.95" customHeight="1" x14ac:dyDescent="0.2">
      <c r="B101" s="93"/>
      <c r="D101" s="94" t="s">
        <v>2934</v>
      </c>
      <c r="E101" s="95"/>
      <c r="F101" s="95"/>
      <c r="G101" s="95"/>
      <c r="H101" s="95"/>
      <c r="I101" s="95"/>
      <c r="J101" s="96">
        <f>J157</f>
        <v>2772.7999999999997</v>
      </c>
      <c r="L101" s="93"/>
    </row>
    <row r="102" spans="2:12" s="9" customFormat="1" ht="19.95" customHeight="1" x14ac:dyDescent="0.2">
      <c r="B102" s="93"/>
      <c r="D102" s="94" t="s">
        <v>2935</v>
      </c>
      <c r="E102" s="95"/>
      <c r="F102" s="95"/>
      <c r="G102" s="95"/>
      <c r="H102" s="95"/>
      <c r="I102" s="95"/>
      <c r="J102" s="96">
        <f>J174</f>
        <v>3584.6099999999997</v>
      </c>
      <c r="L102" s="93"/>
    </row>
    <row r="103" spans="2:12" s="9" customFormat="1" ht="19.95" customHeight="1" x14ac:dyDescent="0.2">
      <c r="B103" s="93"/>
      <c r="D103" s="94" t="s">
        <v>2936</v>
      </c>
      <c r="E103" s="95"/>
      <c r="F103" s="95"/>
      <c r="G103" s="95"/>
      <c r="H103" s="95"/>
      <c r="I103" s="95"/>
      <c r="J103" s="96">
        <f>J188</f>
        <v>233.84000000000003</v>
      </c>
      <c r="L103" s="93"/>
    </row>
    <row r="104" spans="2:12" s="9" customFormat="1" ht="19.95" customHeight="1" x14ac:dyDescent="0.2">
      <c r="B104" s="93"/>
      <c r="D104" s="94" t="s">
        <v>2937</v>
      </c>
      <c r="E104" s="95"/>
      <c r="F104" s="95"/>
      <c r="G104" s="95"/>
      <c r="H104" s="95"/>
      <c r="I104" s="95"/>
      <c r="J104" s="96">
        <f>J192</f>
        <v>373.92</v>
      </c>
      <c r="L104" s="93"/>
    </row>
    <row r="105" spans="2:12" s="9" customFormat="1" ht="19.95" customHeight="1" x14ac:dyDescent="0.2">
      <c r="B105" s="93"/>
      <c r="D105" s="94" t="s">
        <v>2938</v>
      </c>
      <c r="E105" s="95"/>
      <c r="F105" s="95"/>
      <c r="G105" s="95"/>
      <c r="H105" s="95"/>
      <c r="I105" s="95"/>
      <c r="J105" s="96">
        <f>J197</f>
        <v>185.63</v>
      </c>
      <c r="L105" s="93"/>
    </row>
    <row r="106" spans="2:12" s="1" customFormat="1" ht="21.75" customHeight="1" x14ac:dyDescent="0.2">
      <c r="B106" s="24"/>
      <c r="L106" s="24"/>
    </row>
    <row r="107" spans="2:12" s="1" customFormat="1" ht="7.05" customHeight="1" x14ac:dyDescent="0.2">
      <c r="B107" s="33"/>
      <c r="C107" s="34"/>
      <c r="D107" s="34"/>
      <c r="E107" s="34"/>
      <c r="F107" s="34"/>
      <c r="G107" s="34"/>
      <c r="H107" s="34"/>
      <c r="I107" s="34"/>
      <c r="J107" s="34"/>
      <c r="K107" s="34"/>
      <c r="L107" s="24"/>
    </row>
    <row r="111" spans="2:12" s="1" customFormat="1" ht="7.05" customHeight="1" x14ac:dyDescent="0.2">
      <c r="B111" s="35"/>
      <c r="C111" s="36"/>
      <c r="D111" s="36"/>
      <c r="E111" s="36"/>
      <c r="F111" s="36"/>
      <c r="G111" s="36"/>
      <c r="H111" s="36"/>
      <c r="I111" s="36"/>
      <c r="J111" s="36"/>
      <c r="K111" s="36"/>
      <c r="L111" s="24"/>
    </row>
    <row r="112" spans="2:12" s="1" customFormat="1" ht="25.05" customHeight="1" x14ac:dyDescent="0.2">
      <c r="B112" s="24"/>
      <c r="C112" s="1165" t="s">
        <v>214</v>
      </c>
      <c r="D112" s="1165"/>
      <c r="E112" s="1165"/>
      <c r="F112" s="1165"/>
      <c r="G112" s="1165"/>
      <c r="H112" s="1165"/>
      <c r="I112" s="1165"/>
      <c r="J112" s="1165"/>
      <c r="L112" s="24"/>
    </row>
    <row r="113" spans="2:63" s="1" customFormat="1" ht="7.05" customHeight="1" x14ac:dyDescent="0.2">
      <c r="B113" s="24"/>
      <c r="L113" s="24"/>
    </row>
    <row r="114" spans="2:63" s="1" customFormat="1" ht="12" customHeight="1" x14ac:dyDescent="0.2">
      <c r="B114" s="24"/>
      <c r="C114" s="528" t="s">
        <v>12</v>
      </c>
      <c r="E114" s="1242" t="s">
        <v>6177</v>
      </c>
      <c r="F114" s="1242"/>
      <c r="G114" s="1242"/>
      <c r="H114" s="1242"/>
      <c r="I114" s="1242"/>
      <c r="J114" s="1242"/>
      <c r="L114" s="24"/>
    </row>
    <row r="115" spans="2:63" s="1" customFormat="1" ht="27" customHeight="1" x14ac:dyDescent="0.2">
      <c r="B115" s="24"/>
      <c r="C115" s="521"/>
      <c r="E115" s="1243"/>
      <c r="F115" s="1244"/>
      <c r="G115" s="1244"/>
      <c r="H115" s="1244"/>
      <c r="L115" s="24"/>
    </row>
    <row r="116" spans="2:63" s="1" customFormat="1" ht="12" customHeight="1" x14ac:dyDescent="0.2">
      <c r="B116" s="24"/>
      <c r="C116" s="528" t="s">
        <v>186</v>
      </c>
      <c r="F116" s="532" t="s">
        <v>2929</v>
      </c>
      <c r="L116" s="24"/>
    </row>
    <row r="117" spans="2:63" s="1" customFormat="1" ht="16.5" customHeight="1" x14ac:dyDescent="0.2">
      <c r="B117" s="24"/>
      <c r="C117" s="521"/>
      <c r="E117" s="1251"/>
      <c r="F117" s="1252"/>
      <c r="G117" s="1252"/>
      <c r="H117" s="1252"/>
      <c r="L117" s="24"/>
    </row>
    <row r="118" spans="2:63" s="1" customFormat="1" ht="7.05" customHeight="1" x14ac:dyDescent="0.2">
      <c r="B118" s="24"/>
      <c r="C118" s="521"/>
      <c r="L118" s="24"/>
    </row>
    <row r="119" spans="2:63" s="1" customFormat="1" ht="12" customHeight="1" x14ac:dyDescent="0.2">
      <c r="B119" s="24"/>
      <c r="C119" s="528" t="s">
        <v>15</v>
      </c>
      <c r="F119" s="19" t="str">
        <f>F12</f>
        <v>Kuzmányho nábrežie 28, 960 01 Zvolen</v>
      </c>
      <c r="I119" s="528" t="s">
        <v>17</v>
      </c>
      <c r="J119" s="39" t="str">
        <f>IF(J12="","",J12)</f>
        <v/>
      </c>
      <c r="L119" s="24"/>
    </row>
    <row r="120" spans="2:63" s="1" customFormat="1" ht="7.05" customHeight="1" x14ac:dyDescent="0.2">
      <c r="B120" s="24"/>
      <c r="C120" s="521"/>
      <c r="I120" s="521"/>
      <c r="L120" s="24"/>
    </row>
    <row r="121" spans="2:63" s="1" customFormat="1" ht="15.3" customHeight="1" x14ac:dyDescent="0.2">
      <c r="B121" s="24"/>
      <c r="C121" s="528" t="s">
        <v>18</v>
      </c>
      <c r="F121" s="529" t="s">
        <v>6175</v>
      </c>
      <c r="I121" s="528" t="s">
        <v>22</v>
      </c>
      <c r="J121" s="22" t="str">
        <f>E21</f>
        <v xml:space="preserve"> </v>
      </c>
      <c r="L121" s="24"/>
    </row>
    <row r="122" spans="2:63" s="1" customFormat="1" ht="15.3" customHeight="1" x14ac:dyDescent="0.2">
      <c r="B122" s="24"/>
      <c r="C122" s="528" t="s">
        <v>21</v>
      </c>
      <c r="F122" s="529" t="s">
        <v>5202</v>
      </c>
      <c r="I122" s="528" t="s">
        <v>24</v>
      </c>
      <c r="J122" s="22" t="str">
        <f>E24</f>
        <v xml:space="preserve"> </v>
      </c>
      <c r="L122" s="24"/>
    </row>
    <row r="123" spans="2:63" s="1" customFormat="1" ht="10.199999999999999" customHeight="1" x14ac:dyDescent="0.2">
      <c r="B123" s="24"/>
      <c r="L123" s="24"/>
    </row>
    <row r="124" spans="2:63" s="10" customFormat="1" ht="29.25" customHeight="1" x14ac:dyDescent="0.2">
      <c r="B124" s="97"/>
      <c r="C124" s="98" t="s">
        <v>215</v>
      </c>
      <c r="D124" s="99" t="s">
        <v>43</v>
      </c>
      <c r="E124" s="99" t="s">
        <v>41</v>
      </c>
      <c r="F124" s="99" t="s">
        <v>42</v>
      </c>
      <c r="G124" s="99" t="s">
        <v>216</v>
      </c>
      <c r="H124" s="99" t="s">
        <v>217</v>
      </c>
      <c r="I124" s="99" t="s">
        <v>218</v>
      </c>
      <c r="J124" s="100" t="s">
        <v>190</v>
      </c>
      <c r="K124" s="101" t="s">
        <v>219</v>
      </c>
      <c r="L124" s="97"/>
      <c r="M124" s="46" t="s">
        <v>1</v>
      </c>
      <c r="N124" s="47" t="s">
        <v>30</v>
      </c>
      <c r="O124" s="47" t="s">
        <v>220</v>
      </c>
      <c r="P124" s="47" t="s">
        <v>221</v>
      </c>
      <c r="Q124" s="47" t="s">
        <v>222</v>
      </c>
      <c r="R124" s="47" t="s">
        <v>223</v>
      </c>
      <c r="S124" s="47" t="s">
        <v>224</v>
      </c>
      <c r="T124" s="48" t="s">
        <v>225</v>
      </c>
    </row>
    <row r="125" spans="2:63" s="1" customFormat="1" ht="22.95" customHeight="1" x14ac:dyDescent="0.3">
      <c r="B125" s="24"/>
      <c r="C125" s="51" t="s">
        <v>191</v>
      </c>
      <c r="J125" s="102">
        <f>BK125</f>
        <v>21926.829999999998</v>
      </c>
      <c r="L125" s="24"/>
      <c r="M125" s="49"/>
      <c r="N125" s="40"/>
      <c r="O125" s="40"/>
      <c r="P125" s="103">
        <f>P126+P127</f>
        <v>0</v>
      </c>
      <c r="Q125" s="40"/>
      <c r="R125" s="103">
        <f>R126+R127</f>
        <v>0</v>
      </c>
      <c r="S125" s="40"/>
      <c r="T125" s="104">
        <f>T126+T127</f>
        <v>0</v>
      </c>
      <c r="AT125" s="13" t="s">
        <v>57</v>
      </c>
      <c r="AU125" s="13" t="s">
        <v>192</v>
      </c>
      <c r="BK125" s="105">
        <f>BK126+BK127</f>
        <v>21926.829999999998</v>
      </c>
    </row>
    <row r="126" spans="2:63" s="11" customFormat="1" ht="25.95" customHeight="1" x14ac:dyDescent="0.25">
      <c r="B126" s="106"/>
      <c r="D126" s="107" t="s">
        <v>57</v>
      </c>
      <c r="E126" s="108" t="s">
        <v>2939</v>
      </c>
      <c r="F126" s="108" t="s">
        <v>2940</v>
      </c>
      <c r="J126" s="109">
        <f>BK126</f>
        <v>0</v>
      </c>
      <c r="L126" s="106"/>
      <c r="M126" s="110"/>
      <c r="N126" s="111"/>
      <c r="O126" s="111"/>
      <c r="P126" s="112">
        <v>0</v>
      </c>
      <c r="Q126" s="111"/>
      <c r="R126" s="112">
        <v>0</v>
      </c>
      <c r="S126" s="111"/>
      <c r="T126" s="113">
        <v>0</v>
      </c>
      <c r="AR126" s="107" t="s">
        <v>63</v>
      </c>
      <c r="AT126" s="114" t="s">
        <v>57</v>
      </c>
      <c r="AU126" s="114" t="s">
        <v>58</v>
      </c>
      <c r="AY126" s="107" t="s">
        <v>228</v>
      </c>
      <c r="BK126" s="115">
        <v>0</v>
      </c>
    </row>
    <row r="127" spans="2:63" s="11" customFormat="1" ht="25.95" customHeight="1" x14ac:dyDescent="0.25">
      <c r="B127" s="106"/>
      <c r="D127" s="107" t="s">
        <v>57</v>
      </c>
      <c r="E127" s="108" t="s">
        <v>1201</v>
      </c>
      <c r="F127" s="108" t="s">
        <v>2941</v>
      </c>
      <c r="J127" s="109">
        <f>BK127</f>
        <v>21926.829999999998</v>
      </c>
      <c r="L127" s="106"/>
      <c r="M127" s="110"/>
      <c r="N127" s="111"/>
      <c r="O127" s="111"/>
      <c r="P127" s="112">
        <f>P128+P144+P157+P174+P188+P192+P197</f>
        <v>0</v>
      </c>
      <c r="Q127" s="111"/>
      <c r="R127" s="112">
        <f>R128+R144+R157+R174+R188+R192+R197</f>
        <v>0</v>
      </c>
      <c r="S127" s="111"/>
      <c r="T127" s="113">
        <f>T128+T144+T157+T174+T188+T192+T197</f>
        <v>0</v>
      </c>
      <c r="AR127" s="107" t="s">
        <v>63</v>
      </c>
      <c r="AT127" s="114" t="s">
        <v>57</v>
      </c>
      <c r="AU127" s="114" t="s">
        <v>58</v>
      </c>
      <c r="AY127" s="107" t="s">
        <v>228</v>
      </c>
      <c r="BK127" s="115">
        <f>BK128+BK144+BK157+BK174+BK188+BK192+BK197</f>
        <v>21926.829999999998</v>
      </c>
    </row>
    <row r="128" spans="2:63" s="11" customFormat="1" ht="22.95" customHeight="1" x14ac:dyDescent="0.25">
      <c r="B128" s="106"/>
      <c r="D128" s="107" t="s">
        <v>57</v>
      </c>
      <c r="E128" s="116" t="s">
        <v>1211</v>
      </c>
      <c r="F128" s="116" t="s">
        <v>2942</v>
      </c>
      <c r="J128" s="117">
        <f>BK128</f>
        <v>11591.869999999999</v>
      </c>
      <c r="L128" s="106"/>
      <c r="M128" s="110"/>
      <c r="N128" s="111"/>
      <c r="O128" s="111"/>
      <c r="P128" s="112">
        <f>SUM(P129:P143)</f>
        <v>0</v>
      </c>
      <c r="Q128" s="111"/>
      <c r="R128" s="112">
        <f>SUM(R129:R143)</f>
        <v>0</v>
      </c>
      <c r="S128" s="111"/>
      <c r="T128" s="113">
        <f>SUM(T129:T143)</f>
        <v>0</v>
      </c>
      <c r="AR128" s="107" t="s">
        <v>63</v>
      </c>
      <c r="AT128" s="114" t="s">
        <v>57</v>
      </c>
      <c r="AU128" s="114" t="s">
        <v>63</v>
      </c>
      <c r="AY128" s="107" t="s">
        <v>228</v>
      </c>
      <c r="BK128" s="115">
        <f>SUM(BK129:BK143)</f>
        <v>11591.869999999999</v>
      </c>
    </row>
    <row r="129" spans="2:65" s="1" customFormat="1" ht="24" customHeight="1" x14ac:dyDescent="0.2">
      <c r="B129" s="118"/>
      <c r="C129" s="119" t="s">
        <v>63</v>
      </c>
      <c r="D129" s="119" t="s">
        <v>231</v>
      </c>
      <c r="E129" s="120" t="s">
        <v>2943</v>
      </c>
      <c r="F129" s="121" t="s">
        <v>2944</v>
      </c>
      <c r="G129" s="122" t="s">
        <v>1194</v>
      </c>
      <c r="H129" s="123">
        <v>4</v>
      </c>
      <c r="I129" s="124">
        <v>40.229999999999997</v>
      </c>
      <c r="J129" s="124">
        <f t="shared" ref="J129:J143" si="0">ROUND(I129*H129,2)</f>
        <v>160.91999999999999</v>
      </c>
      <c r="K129" s="121" t="s">
        <v>1</v>
      </c>
      <c r="L129" s="24"/>
      <c r="M129" s="125" t="s">
        <v>1</v>
      </c>
      <c r="N129" s="126" t="s">
        <v>32</v>
      </c>
      <c r="O129" s="127">
        <v>0</v>
      </c>
      <c r="P129" s="127">
        <f t="shared" ref="P129:P143" si="1">O129*H129</f>
        <v>0</v>
      </c>
      <c r="Q129" s="127">
        <v>0</v>
      </c>
      <c r="R129" s="127">
        <f t="shared" ref="R129:R143" si="2">Q129*H129</f>
        <v>0</v>
      </c>
      <c r="S129" s="127">
        <v>0</v>
      </c>
      <c r="T129" s="128">
        <f t="shared" ref="T129:T143" si="3">S129*H129</f>
        <v>0</v>
      </c>
      <c r="AR129" s="129" t="s">
        <v>235</v>
      </c>
      <c r="AT129" s="129" t="s">
        <v>231</v>
      </c>
      <c r="AU129" s="129" t="s">
        <v>76</v>
      </c>
      <c r="AY129" s="13" t="s">
        <v>228</v>
      </c>
      <c r="BE129" s="130">
        <f t="shared" ref="BE129:BE143" si="4">IF(N129="základná",J129,0)</f>
        <v>0</v>
      </c>
      <c r="BF129" s="130">
        <f t="shared" ref="BF129:BF143" si="5">IF(N129="znížená",J129,0)</f>
        <v>160.91999999999999</v>
      </c>
      <c r="BG129" s="130">
        <f t="shared" ref="BG129:BG143" si="6">IF(N129="zákl. prenesená",J129,0)</f>
        <v>0</v>
      </c>
      <c r="BH129" s="130">
        <f t="shared" ref="BH129:BH143" si="7">IF(N129="zníž. prenesená",J129,0)</f>
        <v>0</v>
      </c>
      <c r="BI129" s="130">
        <f t="shared" ref="BI129:BI143" si="8">IF(N129="nulová",J129,0)</f>
        <v>0</v>
      </c>
      <c r="BJ129" s="13" t="s">
        <v>76</v>
      </c>
      <c r="BK129" s="130">
        <f t="shared" ref="BK129:BK143" si="9">ROUND(I129*H129,2)</f>
        <v>160.91999999999999</v>
      </c>
      <c r="BL129" s="13" t="s">
        <v>235</v>
      </c>
      <c r="BM129" s="129" t="s">
        <v>76</v>
      </c>
    </row>
    <row r="130" spans="2:65" s="1" customFormat="1" ht="24" customHeight="1" x14ac:dyDescent="0.2">
      <c r="B130" s="118"/>
      <c r="C130" s="119" t="s">
        <v>76</v>
      </c>
      <c r="D130" s="119" t="s">
        <v>231</v>
      </c>
      <c r="E130" s="120" t="s">
        <v>2945</v>
      </c>
      <c r="F130" s="121" t="s">
        <v>2946</v>
      </c>
      <c r="G130" s="122" t="s">
        <v>1194</v>
      </c>
      <c r="H130" s="123">
        <v>1</v>
      </c>
      <c r="I130" s="124">
        <v>38.479999999999997</v>
      </c>
      <c r="J130" s="124">
        <f t="shared" si="0"/>
        <v>38.479999999999997</v>
      </c>
      <c r="K130" s="121" t="s">
        <v>1</v>
      </c>
      <c r="L130" s="24"/>
      <c r="M130" s="125" t="s">
        <v>1</v>
      </c>
      <c r="N130" s="126" t="s">
        <v>32</v>
      </c>
      <c r="O130" s="127">
        <v>0</v>
      </c>
      <c r="P130" s="127">
        <f t="shared" si="1"/>
        <v>0</v>
      </c>
      <c r="Q130" s="127">
        <v>0</v>
      </c>
      <c r="R130" s="127">
        <f t="shared" si="2"/>
        <v>0</v>
      </c>
      <c r="S130" s="127">
        <v>0</v>
      </c>
      <c r="T130" s="128">
        <f t="shared" si="3"/>
        <v>0</v>
      </c>
      <c r="AR130" s="129" t="s">
        <v>235</v>
      </c>
      <c r="AT130" s="129" t="s">
        <v>231</v>
      </c>
      <c r="AU130" s="129" t="s">
        <v>76</v>
      </c>
      <c r="AY130" s="13" t="s">
        <v>228</v>
      </c>
      <c r="BE130" s="130">
        <f t="shared" si="4"/>
        <v>0</v>
      </c>
      <c r="BF130" s="130">
        <f t="shared" si="5"/>
        <v>38.479999999999997</v>
      </c>
      <c r="BG130" s="130">
        <f t="shared" si="6"/>
        <v>0</v>
      </c>
      <c r="BH130" s="130">
        <f t="shared" si="7"/>
        <v>0</v>
      </c>
      <c r="BI130" s="130">
        <f t="shared" si="8"/>
        <v>0</v>
      </c>
      <c r="BJ130" s="13" t="s">
        <v>76</v>
      </c>
      <c r="BK130" s="130">
        <f t="shared" si="9"/>
        <v>38.479999999999997</v>
      </c>
      <c r="BL130" s="13" t="s">
        <v>235</v>
      </c>
      <c r="BM130" s="129" t="s">
        <v>235</v>
      </c>
    </row>
    <row r="131" spans="2:65" s="1" customFormat="1" ht="24" customHeight="1" x14ac:dyDescent="0.2">
      <c r="B131" s="118"/>
      <c r="C131" s="119" t="s">
        <v>229</v>
      </c>
      <c r="D131" s="119" t="s">
        <v>231</v>
      </c>
      <c r="E131" s="120" t="s">
        <v>2947</v>
      </c>
      <c r="F131" s="121" t="s">
        <v>2948</v>
      </c>
      <c r="G131" s="122" t="s">
        <v>1194</v>
      </c>
      <c r="H131" s="123">
        <v>1</v>
      </c>
      <c r="I131" s="124">
        <v>97.92</v>
      </c>
      <c r="J131" s="124">
        <f t="shared" si="0"/>
        <v>97.92</v>
      </c>
      <c r="K131" s="121" t="s">
        <v>1</v>
      </c>
      <c r="L131" s="24"/>
      <c r="M131" s="125" t="s">
        <v>1</v>
      </c>
      <c r="N131" s="126" t="s">
        <v>32</v>
      </c>
      <c r="O131" s="127">
        <v>0</v>
      </c>
      <c r="P131" s="127">
        <f t="shared" si="1"/>
        <v>0</v>
      </c>
      <c r="Q131" s="127">
        <v>0</v>
      </c>
      <c r="R131" s="127">
        <f t="shared" si="2"/>
        <v>0</v>
      </c>
      <c r="S131" s="127">
        <v>0</v>
      </c>
      <c r="T131" s="128">
        <f t="shared" si="3"/>
        <v>0</v>
      </c>
      <c r="AR131" s="129" t="s">
        <v>235</v>
      </c>
      <c r="AT131" s="129" t="s">
        <v>231</v>
      </c>
      <c r="AU131" s="129" t="s">
        <v>76</v>
      </c>
      <c r="AY131" s="13" t="s">
        <v>228</v>
      </c>
      <c r="BE131" s="130">
        <f t="shared" si="4"/>
        <v>0</v>
      </c>
      <c r="BF131" s="130">
        <f t="shared" si="5"/>
        <v>97.92</v>
      </c>
      <c r="BG131" s="130">
        <f t="shared" si="6"/>
        <v>0</v>
      </c>
      <c r="BH131" s="130">
        <f t="shared" si="7"/>
        <v>0</v>
      </c>
      <c r="BI131" s="130">
        <f t="shared" si="8"/>
        <v>0</v>
      </c>
      <c r="BJ131" s="13" t="s">
        <v>76</v>
      </c>
      <c r="BK131" s="130">
        <f t="shared" si="9"/>
        <v>97.92</v>
      </c>
      <c r="BL131" s="13" t="s">
        <v>235</v>
      </c>
      <c r="BM131" s="129" t="s">
        <v>240</v>
      </c>
    </row>
    <row r="132" spans="2:65" s="1" customFormat="1" ht="24" customHeight="1" x14ac:dyDescent="0.2">
      <c r="B132" s="118"/>
      <c r="C132" s="119" t="s">
        <v>235</v>
      </c>
      <c r="D132" s="119" t="s">
        <v>231</v>
      </c>
      <c r="E132" s="120" t="s">
        <v>2949</v>
      </c>
      <c r="F132" s="121" t="s">
        <v>2950</v>
      </c>
      <c r="G132" s="122" t="s">
        <v>1194</v>
      </c>
      <c r="H132" s="123">
        <v>1</v>
      </c>
      <c r="I132" s="124">
        <v>145.35</v>
      </c>
      <c r="J132" s="124">
        <f t="shared" si="0"/>
        <v>145.35</v>
      </c>
      <c r="K132" s="121" t="s">
        <v>1</v>
      </c>
      <c r="L132" s="24"/>
      <c r="M132" s="125" t="s">
        <v>1</v>
      </c>
      <c r="N132" s="126" t="s">
        <v>32</v>
      </c>
      <c r="O132" s="127">
        <v>0</v>
      </c>
      <c r="P132" s="127">
        <f t="shared" si="1"/>
        <v>0</v>
      </c>
      <c r="Q132" s="127">
        <v>0</v>
      </c>
      <c r="R132" s="127">
        <f t="shared" si="2"/>
        <v>0</v>
      </c>
      <c r="S132" s="127">
        <v>0</v>
      </c>
      <c r="T132" s="128">
        <f t="shared" si="3"/>
        <v>0</v>
      </c>
      <c r="AR132" s="129" t="s">
        <v>235</v>
      </c>
      <c r="AT132" s="129" t="s">
        <v>231</v>
      </c>
      <c r="AU132" s="129" t="s">
        <v>76</v>
      </c>
      <c r="AY132" s="13" t="s">
        <v>228</v>
      </c>
      <c r="BE132" s="130">
        <f t="shared" si="4"/>
        <v>0</v>
      </c>
      <c r="BF132" s="130">
        <f t="shared" si="5"/>
        <v>145.35</v>
      </c>
      <c r="BG132" s="130">
        <f t="shared" si="6"/>
        <v>0</v>
      </c>
      <c r="BH132" s="130">
        <f t="shared" si="7"/>
        <v>0</v>
      </c>
      <c r="BI132" s="130">
        <f t="shared" si="8"/>
        <v>0</v>
      </c>
      <c r="BJ132" s="13" t="s">
        <v>76</v>
      </c>
      <c r="BK132" s="130">
        <f t="shared" si="9"/>
        <v>145.35</v>
      </c>
      <c r="BL132" s="13" t="s">
        <v>235</v>
      </c>
      <c r="BM132" s="129" t="s">
        <v>244</v>
      </c>
    </row>
    <row r="133" spans="2:65" s="1" customFormat="1" ht="24" customHeight="1" x14ac:dyDescent="0.2">
      <c r="B133" s="118"/>
      <c r="C133" s="119" t="s">
        <v>245</v>
      </c>
      <c r="D133" s="119" t="s">
        <v>231</v>
      </c>
      <c r="E133" s="120" t="s">
        <v>2951</v>
      </c>
      <c r="F133" s="121" t="s">
        <v>2952</v>
      </c>
      <c r="G133" s="122" t="s">
        <v>1194</v>
      </c>
      <c r="H133" s="123">
        <v>8</v>
      </c>
      <c r="I133" s="124">
        <v>42.62</v>
      </c>
      <c r="J133" s="124">
        <f t="shared" si="0"/>
        <v>340.96</v>
      </c>
      <c r="K133" s="121" t="s">
        <v>1</v>
      </c>
      <c r="L133" s="24"/>
      <c r="M133" s="125" t="s">
        <v>1</v>
      </c>
      <c r="N133" s="126" t="s">
        <v>32</v>
      </c>
      <c r="O133" s="127">
        <v>0</v>
      </c>
      <c r="P133" s="127">
        <f t="shared" si="1"/>
        <v>0</v>
      </c>
      <c r="Q133" s="127">
        <v>0</v>
      </c>
      <c r="R133" s="127">
        <f t="shared" si="2"/>
        <v>0</v>
      </c>
      <c r="S133" s="127">
        <v>0</v>
      </c>
      <c r="T133" s="128">
        <f t="shared" si="3"/>
        <v>0</v>
      </c>
      <c r="AR133" s="129" t="s">
        <v>235</v>
      </c>
      <c r="AT133" s="129" t="s">
        <v>231</v>
      </c>
      <c r="AU133" s="129" t="s">
        <v>76</v>
      </c>
      <c r="AY133" s="13" t="s">
        <v>228</v>
      </c>
      <c r="BE133" s="130">
        <f t="shared" si="4"/>
        <v>0</v>
      </c>
      <c r="BF133" s="130">
        <f t="shared" si="5"/>
        <v>340.96</v>
      </c>
      <c r="BG133" s="130">
        <f t="shared" si="6"/>
        <v>0</v>
      </c>
      <c r="BH133" s="130">
        <f t="shared" si="7"/>
        <v>0</v>
      </c>
      <c r="BI133" s="130">
        <f t="shared" si="8"/>
        <v>0</v>
      </c>
      <c r="BJ133" s="13" t="s">
        <v>76</v>
      </c>
      <c r="BK133" s="130">
        <f t="shared" si="9"/>
        <v>340.96</v>
      </c>
      <c r="BL133" s="13" t="s">
        <v>235</v>
      </c>
      <c r="BM133" s="129" t="s">
        <v>248</v>
      </c>
    </row>
    <row r="134" spans="2:65" s="1" customFormat="1" ht="24" customHeight="1" x14ac:dyDescent="0.2">
      <c r="B134" s="118"/>
      <c r="C134" s="119" t="s">
        <v>240</v>
      </c>
      <c r="D134" s="119" t="s">
        <v>231</v>
      </c>
      <c r="E134" s="120" t="s">
        <v>2953</v>
      </c>
      <c r="F134" s="121" t="s">
        <v>2954</v>
      </c>
      <c r="G134" s="122" t="s">
        <v>1194</v>
      </c>
      <c r="H134" s="123">
        <v>2</v>
      </c>
      <c r="I134" s="124">
        <v>176.04</v>
      </c>
      <c r="J134" s="124">
        <f t="shared" si="0"/>
        <v>352.08</v>
      </c>
      <c r="K134" s="121" t="s">
        <v>1</v>
      </c>
      <c r="L134" s="24"/>
      <c r="M134" s="125" t="s">
        <v>1</v>
      </c>
      <c r="N134" s="126" t="s">
        <v>32</v>
      </c>
      <c r="O134" s="127">
        <v>0</v>
      </c>
      <c r="P134" s="127">
        <f t="shared" si="1"/>
        <v>0</v>
      </c>
      <c r="Q134" s="127">
        <v>0</v>
      </c>
      <c r="R134" s="127">
        <f t="shared" si="2"/>
        <v>0</v>
      </c>
      <c r="S134" s="127">
        <v>0</v>
      </c>
      <c r="T134" s="128">
        <f t="shared" si="3"/>
        <v>0</v>
      </c>
      <c r="AR134" s="129" t="s">
        <v>235</v>
      </c>
      <c r="AT134" s="129" t="s">
        <v>231</v>
      </c>
      <c r="AU134" s="129" t="s">
        <v>76</v>
      </c>
      <c r="AY134" s="13" t="s">
        <v>228</v>
      </c>
      <c r="BE134" s="130">
        <f t="shared" si="4"/>
        <v>0</v>
      </c>
      <c r="BF134" s="130">
        <f t="shared" si="5"/>
        <v>352.08</v>
      </c>
      <c r="BG134" s="130">
        <f t="shared" si="6"/>
        <v>0</v>
      </c>
      <c r="BH134" s="130">
        <f t="shared" si="7"/>
        <v>0</v>
      </c>
      <c r="BI134" s="130">
        <f t="shared" si="8"/>
        <v>0</v>
      </c>
      <c r="BJ134" s="13" t="s">
        <v>76</v>
      </c>
      <c r="BK134" s="130">
        <f t="shared" si="9"/>
        <v>352.08</v>
      </c>
      <c r="BL134" s="13" t="s">
        <v>235</v>
      </c>
      <c r="BM134" s="129" t="s">
        <v>251</v>
      </c>
    </row>
    <row r="135" spans="2:65" s="1" customFormat="1" ht="16.5" customHeight="1" x14ac:dyDescent="0.2">
      <c r="B135" s="118"/>
      <c r="C135" s="119" t="s">
        <v>252</v>
      </c>
      <c r="D135" s="119" t="s">
        <v>231</v>
      </c>
      <c r="E135" s="120" t="s">
        <v>2955</v>
      </c>
      <c r="F135" s="121" t="s">
        <v>2956</v>
      </c>
      <c r="G135" s="122" t="s">
        <v>1194</v>
      </c>
      <c r="H135" s="123">
        <v>4</v>
      </c>
      <c r="I135" s="124">
        <v>176.81</v>
      </c>
      <c r="J135" s="124">
        <f t="shared" si="0"/>
        <v>707.24</v>
      </c>
      <c r="K135" s="121" t="s">
        <v>1</v>
      </c>
      <c r="L135" s="24"/>
      <c r="M135" s="125" t="s">
        <v>1</v>
      </c>
      <c r="N135" s="126" t="s">
        <v>32</v>
      </c>
      <c r="O135" s="127">
        <v>0</v>
      </c>
      <c r="P135" s="127">
        <f t="shared" si="1"/>
        <v>0</v>
      </c>
      <c r="Q135" s="127">
        <v>0</v>
      </c>
      <c r="R135" s="127">
        <f t="shared" si="2"/>
        <v>0</v>
      </c>
      <c r="S135" s="127">
        <v>0</v>
      </c>
      <c r="T135" s="128">
        <f t="shared" si="3"/>
        <v>0</v>
      </c>
      <c r="AR135" s="129" t="s">
        <v>235</v>
      </c>
      <c r="AT135" s="129" t="s">
        <v>231</v>
      </c>
      <c r="AU135" s="129" t="s">
        <v>76</v>
      </c>
      <c r="AY135" s="13" t="s">
        <v>228</v>
      </c>
      <c r="BE135" s="130">
        <f t="shared" si="4"/>
        <v>0</v>
      </c>
      <c r="BF135" s="130">
        <f t="shared" si="5"/>
        <v>707.24</v>
      </c>
      <c r="BG135" s="130">
        <f t="shared" si="6"/>
        <v>0</v>
      </c>
      <c r="BH135" s="130">
        <f t="shared" si="7"/>
        <v>0</v>
      </c>
      <c r="BI135" s="130">
        <f t="shared" si="8"/>
        <v>0</v>
      </c>
      <c r="BJ135" s="13" t="s">
        <v>76</v>
      </c>
      <c r="BK135" s="130">
        <f t="shared" si="9"/>
        <v>707.24</v>
      </c>
      <c r="BL135" s="13" t="s">
        <v>235</v>
      </c>
      <c r="BM135" s="129" t="s">
        <v>255</v>
      </c>
    </row>
    <row r="136" spans="2:65" s="1" customFormat="1" ht="24" customHeight="1" x14ac:dyDescent="0.2">
      <c r="B136" s="118"/>
      <c r="C136" s="119" t="s">
        <v>244</v>
      </c>
      <c r="D136" s="119" t="s">
        <v>231</v>
      </c>
      <c r="E136" s="120" t="s">
        <v>2957</v>
      </c>
      <c r="F136" s="121" t="s">
        <v>2958</v>
      </c>
      <c r="G136" s="122" t="s">
        <v>1194</v>
      </c>
      <c r="H136" s="123">
        <v>1</v>
      </c>
      <c r="I136" s="124">
        <v>202.71</v>
      </c>
      <c r="J136" s="124">
        <f t="shared" si="0"/>
        <v>202.71</v>
      </c>
      <c r="K136" s="121" t="s">
        <v>1</v>
      </c>
      <c r="L136" s="24"/>
      <c r="M136" s="125" t="s">
        <v>1</v>
      </c>
      <c r="N136" s="126" t="s">
        <v>32</v>
      </c>
      <c r="O136" s="127">
        <v>0</v>
      </c>
      <c r="P136" s="127">
        <f t="shared" si="1"/>
        <v>0</v>
      </c>
      <c r="Q136" s="127">
        <v>0</v>
      </c>
      <c r="R136" s="127">
        <f t="shared" si="2"/>
        <v>0</v>
      </c>
      <c r="S136" s="127">
        <v>0</v>
      </c>
      <c r="T136" s="128">
        <f t="shared" si="3"/>
        <v>0</v>
      </c>
      <c r="AR136" s="129" t="s">
        <v>235</v>
      </c>
      <c r="AT136" s="129" t="s">
        <v>231</v>
      </c>
      <c r="AU136" s="129" t="s">
        <v>76</v>
      </c>
      <c r="AY136" s="13" t="s">
        <v>228</v>
      </c>
      <c r="BE136" s="130">
        <f t="shared" si="4"/>
        <v>0</v>
      </c>
      <c r="BF136" s="130">
        <f t="shared" si="5"/>
        <v>202.71</v>
      </c>
      <c r="BG136" s="130">
        <f t="shared" si="6"/>
        <v>0</v>
      </c>
      <c r="BH136" s="130">
        <f t="shared" si="7"/>
        <v>0</v>
      </c>
      <c r="BI136" s="130">
        <f t="shared" si="8"/>
        <v>0</v>
      </c>
      <c r="BJ136" s="13" t="s">
        <v>76</v>
      </c>
      <c r="BK136" s="130">
        <f t="shared" si="9"/>
        <v>202.71</v>
      </c>
      <c r="BL136" s="13" t="s">
        <v>235</v>
      </c>
      <c r="BM136" s="129" t="s">
        <v>258</v>
      </c>
    </row>
    <row r="137" spans="2:65" s="1" customFormat="1" ht="24" customHeight="1" x14ac:dyDescent="0.2">
      <c r="B137" s="118"/>
      <c r="C137" s="119" t="s">
        <v>259</v>
      </c>
      <c r="D137" s="119" t="s">
        <v>231</v>
      </c>
      <c r="E137" s="120" t="s">
        <v>2959</v>
      </c>
      <c r="F137" s="121" t="s">
        <v>2960</v>
      </c>
      <c r="G137" s="122" t="s">
        <v>1194</v>
      </c>
      <c r="H137" s="123">
        <v>1</v>
      </c>
      <c r="I137" s="124">
        <v>58.05</v>
      </c>
      <c r="J137" s="124">
        <f t="shared" si="0"/>
        <v>58.05</v>
      </c>
      <c r="K137" s="121" t="s">
        <v>1</v>
      </c>
      <c r="L137" s="24"/>
      <c r="M137" s="125" t="s">
        <v>1</v>
      </c>
      <c r="N137" s="126" t="s">
        <v>32</v>
      </c>
      <c r="O137" s="127">
        <v>0</v>
      </c>
      <c r="P137" s="127">
        <f t="shared" si="1"/>
        <v>0</v>
      </c>
      <c r="Q137" s="127">
        <v>0</v>
      </c>
      <c r="R137" s="127">
        <f t="shared" si="2"/>
        <v>0</v>
      </c>
      <c r="S137" s="127">
        <v>0</v>
      </c>
      <c r="T137" s="128">
        <f t="shared" si="3"/>
        <v>0</v>
      </c>
      <c r="AR137" s="129" t="s">
        <v>235</v>
      </c>
      <c r="AT137" s="129" t="s">
        <v>231</v>
      </c>
      <c r="AU137" s="129" t="s">
        <v>76</v>
      </c>
      <c r="AY137" s="13" t="s">
        <v>228</v>
      </c>
      <c r="BE137" s="130">
        <f t="shared" si="4"/>
        <v>0</v>
      </c>
      <c r="BF137" s="130">
        <f t="shared" si="5"/>
        <v>58.05</v>
      </c>
      <c r="BG137" s="130">
        <f t="shared" si="6"/>
        <v>0</v>
      </c>
      <c r="BH137" s="130">
        <f t="shared" si="7"/>
        <v>0</v>
      </c>
      <c r="BI137" s="130">
        <f t="shared" si="8"/>
        <v>0</v>
      </c>
      <c r="BJ137" s="13" t="s">
        <v>76</v>
      </c>
      <c r="BK137" s="130">
        <f t="shared" si="9"/>
        <v>58.05</v>
      </c>
      <c r="BL137" s="13" t="s">
        <v>235</v>
      </c>
      <c r="BM137" s="129" t="s">
        <v>262</v>
      </c>
    </row>
    <row r="138" spans="2:65" s="1" customFormat="1" ht="24" customHeight="1" x14ac:dyDescent="0.2">
      <c r="B138" s="118"/>
      <c r="C138" s="119" t="s">
        <v>248</v>
      </c>
      <c r="D138" s="119" t="s">
        <v>231</v>
      </c>
      <c r="E138" s="120" t="s">
        <v>2961</v>
      </c>
      <c r="F138" s="121" t="s">
        <v>2962</v>
      </c>
      <c r="G138" s="122" t="s">
        <v>1194</v>
      </c>
      <c r="H138" s="123">
        <v>1</v>
      </c>
      <c r="I138" s="124">
        <v>2670.3</v>
      </c>
      <c r="J138" s="124">
        <f t="shared" si="0"/>
        <v>2670.3</v>
      </c>
      <c r="K138" s="121" t="s">
        <v>1</v>
      </c>
      <c r="L138" s="24"/>
      <c r="M138" s="125" t="s">
        <v>1</v>
      </c>
      <c r="N138" s="126" t="s">
        <v>32</v>
      </c>
      <c r="O138" s="127">
        <v>0</v>
      </c>
      <c r="P138" s="127">
        <f t="shared" si="1"/>
        <v>0</v>
      </c>
      <c r="Q138" s="127">
        <v>0</v>
      </c>
      <c r="R138" s="127">
        <f t="shared" si="2"/>
        <v>0</v>
      </c>
      <c r="S138" s="127">
        <v>0</v>
      </c>
      <c r="T138" s="128">
        <f t="shared" si="3"/>
        <v>0</v>
      </c>
      <c r="AR138" s="129" t="s">
        <v>235</v>
      </c>
      <c r="AT138" s="129" t="s">
        <v>231</v>
      </c>
      <c r="AU138" s="129" t="s">
        <v>76</v>
      </c>
      <c r="AY138" s="13" t="s">
        <v>228</v>
      </c>
      <c r="BE138" s="130">
        <f t="shared" si="4"/>
        <v>0</v>
      </c>
      <c r="BF138" s="130">
        <f t="shared" si="5"/>
        <v>2670.3</v>
      </c>
      <c r="BG138" s="130">
        <f t="shared" si="6"/>
        <v>0</v>
      </c>
      <c r="BH138" s="130">
        <f t="shared" si="7"/>
        <v>0</v>
      </c>
      <c r="BI138" s="130">
        <f t="shared" si="8"/>
        <v>0</v>
      </c>
      <c r="BJ138" s="13" t="s">
        <v>76</v>
      </c>
      <c r="BK138" s="130">
        <f t="shared" si="9"/>
        <v>2670.3</v>
      </c>
      <c r="BL138" s="13" t="s">
        <v>235</v>
      </c>
      <c r="BM138" s="129" t="s">
        <v>7</v>
      </c>
    </row>
    <row r="139" spans="2:65" s="1" customFormat="1" ht="36" customHeight="1" x14ac:dyDescent="0.2">
      <c r="B139" s="118"/>
      <c r="C139" s="119" t="s">
        <v>265</v>
      </c>
      <c r="D139" s="119" t="s">
        <v>231</v>
      </c>
      <c r="E139" s="120" t="s">
        <v>2963</v>
      </c>
      <c r="F139" s="121" t="s">
        <v>2964</v>
      </c>
      <c r="G139" s="122" t="s">
        <v>1194</v>
      </c>
      <c r="H139" s="123">
        <v>1</v>
      </c>
      <c r="I139" s="124">
        <v>6037.2</v>
      </c>
      <c r="J139" s="124">
        <f t="shared" si="0"/>
        <v>6037.2</v>
      </c>
      <c r="K139" s="121" t="s">
        <v>1</v>
      </c>
      <c r="L139" s="24"/>
      <c r="M139" s="125" t="s">
        <v>1</v>
      </c>
      <c r="N139" s="126" t="s">
        <v>32</v>
      </c>
      <c r="O139" s="127">
        <v>0</v>
      </c>
      <c r="P139" s="127">
        <f t="shared" si="1"/>
        <v>0</v>
      </c>
      <c r="Q139" s="127">
        <v>0</v>
      </c>
      <c r="R139" s="127">
        <f t="shared" si="2"/>
        <v>0</v>
      </c>
      <c r="S139" s="127">
        <v>0</v>
      </c>
      <c r="T139" s="128">
        <f t="shared" si="3"/>
        <v>0</v>
      </c>
      <c r="AR139" s="129" t="s">
        <v>235</v>
      </c>
      <c r="AT139" s="129" t="s">
        <v>231</v>
      </c>
      <c r="AU139" s="129" t="s">
        <v>76</v>
      </c>
      <c r="AY139" s="13" t="s">
        <v>228</v>
      </c>
      <c r="BE139" s="130">
        <f t="shared" si="4"/>
        <v>0</v>
      </c>
      <c r="BF139" s="130">
        <f t="shared" si="5"/>
        <v>6037.2</v>
      </c>
      <c r="BG139" s="130">
        <f t="shared" si="6"/>
        <v>0</v>
      </c>
      <c r="BH139" s="130">
        <f t="shared" si="7"/>
        <v>0</v>
      </c>
      <c r="BI139" s="130">
        <f t="shared" si="8"/>
        <v>0</v>
      </c>
      <c r="BJ139" s="13" t="s">
        <v>76</v>
      </c>
      <c r="BK139" s="130">
        <f t="shared" si="9"/>
        <v>6037.2</v>
      </c>
      <c r="BL139" s="13" t="s">
        <v>235</v>
      </c>
      <c r="BM139" s="129" t="s">
        <v>268</v>
      </c>
    </row>
    <row r="140" spans="2:65" s="1" customFormat="1" ht="16.5" customHeight="1" x14ac:dyDescent="0.2">
      <c r="B140" s="118"/>
      <c r="C140" s="119" t="s">
        <v>251</v>
      </c>
      <c r="D140" s="119" t="s">
        <v>231</v>
      </c>
      <c r="E140" s="120" t="s">
        <v>2965</v>
      </c>
      <c r="F140" s="121" t="s">
        <v>2966</v>
      </c>
      <c r="G140" s="122" t="s">
        <v>1194</v>
      </c>
      <c r="H140" s="123">
        <v>2</v>
      </c>
      <c r="I140" s="124">
        <v>183.44</v>
      </c>
      <c r="J140" s="124">
        <f t="shared" si="0"/>
        <v>366.88</v>
      </c>
      <c r="K140" s="121" t="s">
        <v>1</v>
      </c>
      <c r="L140" s="24"/>
      <c r="M140" s="125" t="s">
        <v>1</v>
      </c>
      <c r="N140" s="126" t="s">
        <v>32</v>
      </c>
      <c r="O140" s="127">
        <v>0</v>
      </c>
      <c r="P140" s="127">
        <f t="shared" si="1"/>
        <v>0</v>
      </c>
      <c r="Q140" s="127">
        <v>0</v>
      </c>
      <c r="R140" s="127">
        <f t="shared" si="2"/>
        <v>0</v>
      </c>
      <c r="S140" s="127">
        <v>0</v>
      </c>
      <c r="T140" s="128">
        <f t="shared" si="3"/>
        <v>0</v>
      </c>
      <c r="AR140" s="129" t="s">
        <v>235</v>
      </c>
      <c r="AT140" s="129" t="s">
        <v>231</v>
      </c>
      <c r="AU140" s="129" t="s">
        <v>76</v>
      </c>
      <c r="AY140" s="13" t="s">
        <v>228</v>
      </c>
      <c r="BE140" s="130">
        <f t="shared" si="4"/>
        <v>0</v>
      </c>
      <c r="BF140" s="130">
        <f t="shared" si="5"/>
        <v>366.88</v>
      </c>
      <c r="BG140" s="130">
        <f t="shared" si="6"/>
        <v>0</v>
      </c>
      <c r="BH140" s="130">
        <f t="shared" si="7"/>
        <v>0</v>
      </c>
      <c r="BI140" s="130">
        <f t="shared" si="8"/>
        <v>0</v>
      </c>
      <c r="BJ140" s="13" t="s">
        <v>76</v>
      </c>
      <c r="BK140" s="130">
        <f t="shared" si="9"/>
        <v>366.88</v>
      </c>
      <c r="BL140" s="13" t="s">
        <v>235</v>
      </c>
      <c r="BM140" s="129" t="s">
        <v>272</v>
      </c>
    </row>
    <row r="141" spans="2:65" s="1" customFormat="1" ht="16.5" customHeight="1" x14ac:dyDescent="0.2">
      <c r="B141" s="118"/>
      <c r="C141" s="119" t="s">
        <v>273</v>
      </c>
      <c r="D141" s="119" t="s">
        <v>231</v>
      </c>
      <c r="E141" s="120" t="s">
        <v>2967</v>
      </c>
      <c r="F141" s="121" t="s">
        <v>2968</v>
      </c>
      <c r="G141" s="122" t="s">
        <v>1194</v>
      </c>
      <c r="H141" s="123">
        <v>9</v>
      </c>
      <c r="I141" s="124">
        <v>4.18</v>
      </c>
      <c r="J141" s="124">
        <f t="shared" si="0"/>
        <v>37.619999999999997</v>
      </c>
      <c r="K141" s="121" t="s">
        <v>1</v>
      </c>
      <c r="L141" s="24"/>
      <c r="M141" s="125" t="s">
        <v>1</v>
      </c>
      <c r="N141" s="126" t="s">
        <v>32</v>
      </c>
      <c r="O141" s="127">
        <v>0</v>
      </c>
      <c r="P141" s="127">
        <f t="shared" si="1"/>
        <v>0</v>
      </c>
      <c r="Q141" s="127">
        <v>0</v>
      </c>
      <c r="R141" s="127">
        <f t="shared" si="2"/>
        <v>0</v>
      </c>
      <c r="S141" s="127">
        <v>0</v>
      </c>
      <c r="T141" s="128">
        <f t="shared" si="3"/>
        <v>0</v>
      </c>
      <c r="AR141" s="129" t="s">
        <v>235</v>
      </c>
      <c r="AT141" s="129" t="s">
        <v>231</v>
      </c>
      <c r="AU141" s="129" t="s">
        <v>76</v>
      </c>
      <c r="AY141" s="13" t="s">
        <v>228</v>
      </c>
      <c r="BE141" s="130">
        <f t="shared" si="4"/>
        <v>0</v>
      </c>
      <c r="BF141" s="130">
        <f t="shared" si="5"/>
        <v>37.619999999999997</v>
      </c>
      <c r="BG141" s="130">
        <f t="shared" si="6"/>
        <v>0</v>
      </c>
      <c r="BH141" s="130">
        <f t="shared" si="7"/>
        <v>0</v>
      </c>
      <c r="BI141" s="130">
        <f t="shared" si="8"/>
        <v>0</v>
      </c>
      <c r="BJ141" s="13" t="s">
        <v>76</v>
      </c>
      <c r="BK141" s="130">
        <f t="shared" si="9"/>
        <v>37.619999999999997</v>
      </c>
      <c r="BL141" s="13" t="s">
        <v>235</v>
      </c>
      <c r="BM141" s="129" t="s">
        <v>276</v>
      </c>
    </row>
    <row r="142" spans="2:65" s="1" customFormat="1" ht="16.5" customHeight="1" x14ac:dyDescent="0.2">
      <c r="B142" s="118"/>
      <c r="C142" s="119" t="s">
        <v>255</v>
      </c>
      <c r="D142" s="119" t="s">
        <v>231</v>
      </c>
      <c r="E142" s="120" t="s">
        <v>2969</v>
      </c>
      <c r="F142" s="121" t="s">
        <v>2970</v>
      </c>
      <c r="G142" s="122" t="s">
        <v>1194</v>
      </c>
      <c r="H142" s="123">
        <v>1</v>
      </c>
      <c r="I142" s="124">
        <v>189.24</v>
      </c>
      <c r="J142" s="124">
        <f t="shared" si="0"/>
        <v>189.24</v>
      </c>
      <c r="K142" s="121" t="s">
        <v>1</v>
      </c>
      <c r="L142" s="24"/>
      <c r="M142" s="125" t="s">
        <v>1</v>
      </c>
      <c r="N142" s="126" t="s">
        <v>32</v>
      </c>
      <c r="O142" s="127">
        <v>0</v>
      </c>
      <c r="P142" s="127">
        <f t="shared" si="1"/>
        <v>0</v>
      </c>
      <c r="Q142" s="127">
        <v>0</v>
      </c>
      <c r="R142" s="127">
        <f t="shared" si="2"/>
        <v>0</v>
      </c>
      <c r="S142" s="127">
        <v>0</v>
      </c>
      <c r="T142" s="128">
        <f t="shared" si="3"/>
        <v>0</v>
      </c>
      <c r="AR142" s="129" t="s">
        <v>235</v>
      </c>
      <c r="AT142" s="129" t="s">
        <v>231</v>
      </c>
      <c r="AU142" s="129" t="s">
        <v>76</v>
      </c>
      <c r="AY142" s="13" t="s">
        <v>228</v>
      </c>
      <c r="BE142" s="130">
        <f t="shared" si="4"/>
        <v>0</v>
      </c>
      <c r="BF142" s="130">
        <f t="shared" si="5"/>
        <v>189.24</v>
      </c>
      <c r="BG142" s="130">
        <f t="shared" si="6"/>
        <v>0</v>
      </c>
      <c r="BH142" s="130">
        <f t="shared" si="7"/>
        <v>0</v>
      </c>
      <c r="BI142" s="130">
        <f t="shared" si="8"/>
        <v>0</v>
      </c>
      <c r="BJ142" s="13" t="s">
        <v>76</v>
      </c>
      <c r="BK142" s="130">
        <f t="shared" si="9"/>
        <v>189.24</v>
      </c>
      <c r="BL142" s="13" t="s">
        <v>235</v>
      </c>
      <c r="BM142" s="129" t="s">
        <v>280</v>
      </c>
    </row>
    <row r="143" spans="2:65" s="1" customFormat="1" ht="16.5" customHeight="1" x14ac:dyDescent="0.2">
      <c r="B143" s="118"/>
      <c r="C143" s="119" t="s">
        <v>281</v>
      </c>
      <c r="D143" s="119" t="s">
        <v>231</v>
      </c>
      <c r="E143" s="120" t="s">
        <v>2971</v>
      </c>
      <c r="F143" s="121" t="s">
        <v>2972</v>
      </c>
      <c r="G143" s="122" t="s">
        <v>1194</v>
      </c>
      <c r="H143" s="123">
        <v>1</v>
      </c>
      <c r="I143" s="124">
        <v>186.92</v>
      </c>
      <c r="J143" s="124">
        <f t="shared" si="0"/>
        <v>186.92</v>
      </c>
      <c r="K143" s="121" t="s">
        <v>1</v>
      </c>
      <c r="L143" s="24"/>
      <c r="M143" s="125" t="s">
        <v>1</v>
      </c>
      <c r="N143" s="126" t="s">
        <v>32</v>
      </c>
      <c r="O143" s="127">
        <v>0</v>
      </c>
      <c r="P143" s="127">
        <f t="shared" si="1"/>
        <v>0</v>
      </c>
      <c r="Q143" s="127">
        <v>0</v>
      </c>
      <c r="R143" s="127">
        <f t="shared" si="2"/>
        <v>0</v>
      </c>
      <c r="S143" s="127">
        <v>0</v>
      </c>
      <c r="T143" s="128">
        <f t="shared" si="3"/>
        <v>0</v>
      </c>
      <c r="AR143" s="129" t="s">
        <v>235</v>
      </c>
      <c r="AT143" s="129" t="s">
        <v>231</v>
      </c>
      <c r="AU143" s="129" t="s">
        <v>76</v>
      </c>
      <c r="AY143" s="13" t="s">
        <v>228</v>
      </c>
      <c r="BE143" s="130">
        <f t="shared" si="4"/>
        <v>0</v>
      </c>
      <c r="BF143" s="130">
        <f t="shared" si="5"/>
        <v>186.92</v>
      </c>
      <c r="BG143" s="130">
        <f t="shared" si="6"/>
        <v>0</v>
      </c>
      <c r="BH143" s="130">
        <f t="shared" si="7"/>
        <v>0</v>
      </c>
      <c r="BI143" s="130">
        <f t="shared" si="8"/>
        <v>0</v>
      </c>
      <c r="BJ143" s="13" t="s">
        <v>76</v>
      </c>
      <c r="BK143" s="130">
        <f t="shared" si="9"/>
        <v>186.92</v>
      </c>
      <c r="BL143" s="13" t="s">
        <v>235</v>
      </c>
      <c r="BM143" s="129" t="s">
        <v>285</v>
      </c>
    </row>
    <row r="144" spans="2:65" s="11" customFormat="1" ht="22.95" customHeight="1" x14ac:dyDescent="0.25">
      <c r="B144" s="106"/>
      <c r="D144" s="107" t="s">
        <v>57</v>
      </c>
      <c r="E144" s="116" t="s">
        <v>1215</v>
      </c>
      <c r="F144" s="116" t="s">
        <v>2973</v>
      </c>
      <c r="J144" s="117">
        <f>BK144</f>
        <v>3184.16</v>
      </c>
      <c r="L144" s="106"/>
      <c r="M144" s="110"/>
      <c r="N144" s="111"/>
      <c r="O144" s="111"/>
      <c r="P144" s="112">
        <f>SUM(P145:P156)</f>
        <v>0</v>
      </c>
      <c r="Q144" s="111"/>
      <c r="R144" s="112">
        <f>SUM(R145:R156)</f>
        <v>0</v>
      </c>
      <c r="S144" s="111"/>
      <c r="T144" s="113">
        <f>SUM(T145:T156)</f>
        <v>0</v>
      </c>
      <c r="AR144" s="107" t="s">
        <v>63</v>
      </c>
      <c r="AT144" s="114" t="s">
        <v>57</v>
      </c>
      <c r="AU144" s="114" t="s">
        <v>63</v>
      </c>
      <c r="AY144" s="107" t="s">
        <v>228</v>
      </c>
      <c r="BK144" s="115">
        <f>SUM(BK145:BK156)</f>
        <v>3184.16</v>
      </c>
    </row>
    <row r="145" spans="2:65" s="1" customFormat="1" ht="16.5" customHeight="1" x14ac:dyDescent="0.2">
      <c r="B145" s="118"/>
      <c r="C145" s="119" t="s">
        <v>258</v>
      </c>
      <c r="D145" s="119" t="s">
        <v>231</v>
      </c>
      <c r="E145" s="120" t="s">
        <v>2974</v>
      </c>
      <c r="F145" s="121" t="s">
        <v>2975</v>
      </c>
      <c r="G145" s="122" t="s">
        <v>1194</v>
      </c>
      <c r="H145" s="123">
        <v>6</v>
      </c>
      <c r="I145" s="124">
        <v>8.36</v>
      </c>
      <c r="J145" s="124">
        <f t="shared" ref="J145:J156" si="10">ROUND(I145*H145,2)</f>
        <v>50.16</v>
      </c>
      <c r="K145" s="121" t="s">
        <v>1</v>
      </c>
      <c r="L145" s="24"/>
      <c r="M145" s="125" t="s">
        <v>1</v>
      </c>
      <c r="N145" s="126" t="s">
        <v>32</v>
      </c>
      <c r="O145" s="127">
        <v>0</v>
      </c>
      <c r="P145" s="127">
        <f t="shared" ref="P145:P156" si="11">O145*H145</f>
        <v>0</v>
      </c>
      <c r="Q145" s="127">
        <v>0</v>
      </c>
      <c r="R145" s="127">
        <f t="shared" ref="R145:R156" si="12">Q145*H145</f>
        <v>0</v>
      </c>
      <c r="S145" s="127">
        <v>0</v>
      </c>
      <c r="T145" s="128">
        <f t="shared" ref="T145:T156" si="13">S145*H145</f>
        <v>0</v>
      </c>
      <c r="AR145" s="129" t="s">
        <v>235</v>
      </c>
      <c r="AT145" s="129" t="s">
        <v>231</v>
      </c>
      <c r="AU145" s="129" t="s">
        <v>76</v>
      </c>
      <c r="AY145" s="13" t="s">
        <v>228</v>
      </c>
      <c r="BE145" s="130">
        <f t="shared" ref="BE145:BE156" si="14">IF(N145="základná",J145,0)</f>
        <v>0</v>
      </c>
      <c r="BF145" s="130">
        <f t="shared" ref="BF145:BF156" si="15">IF(N145="znížená",J145,0)</f>
        <v>50.16</v>
      </c>
      <c r="BG145" s="130">
        <f t="shared" ref="BG145:BG156" si="16">IF(N145="zákl. prenesená",J145,0)</f>
        <v>0</v>
      </c>
      <c r="BH145" s="130">
        <f t="shared" ref="BH145:BH156" si="17">IF(N145="zníž. prenesená",J145,0)</f>
        <v>0</v>
      </c>
      <c r="BI145" s="130">
        <f t="shared" ref="BI145:BI156" si="18">IF(N145="nulová",J145,0)</f>
        <v>0</v>
      </c>
      <c r="BJ145" s="13" t="s">
        <v>76</v>
      </c>
      <c r="BK145" s="130">
        <f t="shared" ref="BK145:BK156" si="19">ROUND(I145*H145,2)</f>
        <v>50.16</v>
      </c>
      <c r="BL145" s="13" t="s">
        <v>235</v>
      </c>
      <c r="BM145" s="129" t="s">
        <v>288</v>
      </c>
    </row>
    <row r="146" spans="2:65" s="1" customFormat="1" ht="16.5" customHeight="1" x14ac:dyDescent="0.2">
      <c r="B146" s="118"/>
      <c r="C146" s="119" t="s">
        <v>289</v>
      </c>
      <c r="D146" s="119" t="s">
        <v>231</v>
      </c>
      <c r="E146" s="120" t="s">
        <v>2976</v>
      </c>
      <c r="F146" s="121" t="s">
        <v>2977</v>
      </c>
      <c r="G146" s="122" t="s">
        <v>1194</v>
      </c>
      <c r="H146" s="123">
        <v>9</v>
      </c>
      <c r="I146" s="124">
        <v>11.15</v>
      </c>
      <c r="J146" s="124">
        <f t="shared" si="10"/>
        <v>100.35</v>
      </c>
      <c r="K146" s="121" t="s">
        <v>1</v>
      </c>
      <c r="L146" s="24"/>
      <c r="M146" s="125" t="s">
        <v>1</v>
      </c>
      <c r="N146" s="126" t="s">
        <v>32</v>
      </c>
      <c r="O146" s="127">
        <v>0</v>
      </c>
      <c r="P146" s="127">
        <f t="shared" si="11"/>
        <v>0</v>
      </c>
      <c r="Q146" s="127">
        <v>0</v>
      </c>
      <c r="R146" s="127">
        <f t="shared" si="12"/>
        <v>0</v>
      </c>
      <c r="S146" s="127">
        <v>0</v>
      </c>
      <c r="T146" s="128">
        <f t="shared" si="13"/>
        <v>0</v>
      </c>
      <c r="AR146" s="129" t="s">
        <v>235</v>
      </c>
      <c r="AT146" s="129" t="s">
        <v>231</v>
      </c>
      <c r="AU146" s="129" t="s">
        <v>76</v>
      </c>
      <c r="AY146" s="13" t="s">
        <v>228</v>
      </c>
      <c r="BE146" s="130">
        <f t="shared" si="14"/>
        <v>0</v>
      </c>
      <c r="BF146" s="130">
        <f t="shared" si="15"/>
        <v>100.35</v>
      </c>
      <c r="BG146" s="130">
        <f t="shared" si="16"/>
        <v>0</v>
      </c>
      <c r="BH146" s="130">
        <f t="shared" si="17"/>
        <v>0</v>
      </c>
      <c r="BI146" s="130">
        <f t="shared" si="18"/>
        <v>0</v>
      </c>
      <c r="BJ146" s="13" t="s">
        <v>76</v>
      </c>
      <c r="BK146" s="130">
        <f t="shared" si="19"/>
        <v>100.35</v>
      </c>
      <c r="BL146" s="13" t="s">
        <v>235</v>
      </c>
      <c r="BM146" s="129" t="s">
        <v>293</v>
      </c>
    </row>
    <row r="147" spans="2:65" s="1" customFormat="1" ht="16.5" customHeight="1" x14ac:dyDescent="0.2">
      <c r="B147" s="118"/>
      <c r="C147" s="119" t="s">
        <v>262</v>
      </c>
      <c r="D147" s="119" t="s">
        <v>231</v>
      </c>
      <c r="E147" s="120" t="s">
        <v>2978</v>
      </c>
      <c r="F147" s="121" t="s">
        <v>2979</v>
      </c>
      <c r="G147" s="122" t="s">
        <v>1194</v>
      </c>
      <c r="H147" s="123">
        <v>2</v>
      </c>
      <c r="I147" s="124">
        <v>11.15</v>
      </c>
      <c r="J147" s="124">
        <f t="shared" si="10"/>
        <v>22.3</v>
      </c>
      <c r="K147" s="121" t="s">
        <v>1</v>
      </c>
      <c r="L147" s="24"/>
      <c r="M147" s="125" t="s">
        <v>1</v>
      </c>
      <c r="N147" s="126" t="s">
        <v>32</v>
      </c>
      <c r="O147" s="127">
        <v>0</v>
      </c>
      <c r="P147" s="127">
        <f t="shared" si="11"/>
        <v>0</v>
      </c>
      <c r="Q147" s="127">
        <v>0</v>
      </c>
      <c r="R147" s="127">
        <f t="shared" si="12"/>
        <v>0</v>
      </c>
      <c r="S147" s="127">
        <v>0</v>
      </c>
      <c r="T147" s="128">
        <f t="shared" si="13"/>
        <v>0</v>
      </c>
      <c r="AR147" s="129" t="s">
        <v>235</v>
      </c>
      <c r="AT147" s="129" t="s">
        <v>231</v>
      </c>
      <c r="AU147" s="129" t="s">
        <v>76</v>
      </c>
      <c r="AY147" s="13" t="s">
        <v>228</v>
      </c>
      <c r="BE147" s="130">
        <f t="shared" si="14"/>
        <v>0</v>
      </c>
      <c r="BF147" s="130">
        <f t="shared" si="15"/>
        <v>22.3</v>
      </c>
      <c r="BG147" s="130">
        <f t="shared" si="16"/>
        <v>0</v>
      </c>
      <c r="BH147" s="130">
        <f t="shared" si="17"/>
        <v>0</v>
      </c>
      <c r="BI147" s="130">
        <f t="shared" si="18"/>
        <v>0</v>
      </c>
      <c r="BJ147" s="13" t="s">
        <v>76</v>
      </c>
      <c r="BK147" s="130">
        <f t="shared" si="19"/>
        <v>22.3</v>
      </c>
      <c r="BL147" s="13" t="s">
        <v>235</v>
      </c>
      <c r="BM147" s="129" t="s">
        <v>296</v>
      </c>
    </row>
    <row r="148" spans="2:65" s="1" customFormat="1" ht="16.5" customHeight="1" x14ac:dyDescent="0.2">
      <c r="B148" s="118"/>
      <c r="C148" s="119" t="s">
        <v>297</v>
      </c>
      <c r="D148" s="119" t="s">
        <v>231</v>
      </c>
      <c r="E148" s="120" t="s">
        <v>2980</v>
      </c>
      <c r="F148" s="121" t="s">
        <v>2981</v>
      </c>
      <c r="G148" s="122" t="s">
        <v>1194</v>
      </c>
      <c r="H148" s="123">
        <v>5</v>
      </c>
      <c r="I148" s="124">
        <v>20.9</v>
      </c>
      <c r="J148" s="124">
        <f t="shared" si="10"/>
        <v>104.5</v>
      </c>
      <c r="K148" s="121" t="s">
        <v>1</v>
      </c>
      <c r="L148" s="24"/>
      <c r="M148" s="125" t="s">
        <v>1</v>
      </c>
      <c r="N148" s="126" t="s">
        <v>32</v>
      </c>
      <c r="O148" s="127">
        <v>0</v>
      </c>
      <c r="P148" s="127">
        <f t="shared" si="11"/>
        <v>0</v>
      </c>
      <c r="Q148" s="127">
        <v>0</v>
      </c>
      <c r="R148" s="127">
        <f t="shared" si="12"/>
        <v>0</v>
      </c>
      <c r="S148" s="127">
        <v>0</v>
      </c>
      <c r="T148" s="128">
        <f t="shared" si="13"/>
        <v>0</v>
      </c>
      <c r="AR148" s="129" t="s">
        <v>235</v>
      </c>
      <c r="AT148" s="129" t="s">
        <v>231</v>
      </c>
      <c r="AU148" s="129" t="s">
        <v>76</v>
      </c>
      <c r="AY148" s="13" t="s">
        <v>228</v>
      </c>
      <c r="BE148" s="130">
        <f t="shared" si="14"/>
        <v>0</v>
      </c>
      <c r="BF148" s="130">
        <f t="shared" si="15"/>
        <v>104.5</v>
      </c>
      <c r="BG148" s="130">
        <f t="shared" si="16"/>
        <v>0</v>
      </c>
      <c r="BH148" s="130">
        <f t="shared" si="17"/>
        <v>0</v>
      </c>
      <c r="BI148" s="130">
        <f t="shared" si="18"/>
        <v>0</v>
      </c>
      <c r="BJ148" s="13" t="s">
        <v>76</v>
      </c>
      <c r="BK148" s="130">
        <f t="shared" si="19"/>
        <v>104.5</v>
      </c>
      <c r="BL148" s="13" t="s">
        <v>235</v>
      </c>
      <c r="BM148" s="129" t="s">
        <v>300</v>
      </c>
    </row>
    <row r="149" spans="2:65" s="1" customFormat="1" ht="16.5" customHeight="1" x14ac:dyDescent="0.2">
      <c r="B149" s="118"/>
      <c r="C149" s="119" t="s">
        <v>7</v>
      </c>
      <c r="D149" s="119" t="s">
        <v>231</v>
      </c>
      <c r="E149" s="120" t="s">
        <v>2982</v>
      </c>
      <c r="F149" s="121" t="s">
        <v>2983</v>
      </c>
      <c r="G149" s="122" t="s">
        <v>1194</v>
      </c>
      <c r="H149" s="123">
        <v>2</v>
      </c>
      <c r="I149" s="124">
        <v>11.61</v>
      </c>
      <c r="J149" s="124">
        <f t="shared" si="10"/>
        <v>23.22</v>
      </c>
      <c r="K149" s="121" t="s">
        <v>1</v>
      </c>
      <c r="L149" s="24"/>
      <c r="M149" s="125" t="s">
        <v>1</v>
      </c>
      <c r="N149" s="126" t="s">
        <v>32</v>
      </c>
      <c r="O149" s="127">
        <v>0</v>
      </c>
      <c r="P149" s="127">
        <f t="shared" si="11"/>
        <v>0</v>
      </c>
      <c r="Q149" s="127">
        <v>0</v>
      </c>
      <c r="R149" s="127">
        <f t="shared" si="12"/>
        <v>0</v>
      </c>
      <c r="S149" s="127">
        <v>0</v>
      </c>
      <c r="T149" s="128">
        <f t="shared" si="13"/>
        <v>0</v>
      </c>
      <c r="AR149" s="129" t="s">
        <v>235</v>
      </c>
      <c r="AT149" s="129" t="s">
        <v>231</v>
      </c>
      <c r="AU149" s="129" t="s">
        <v>76</v>
      </c>
      <c r="AY149" s="13" t="s">
        <v>228</v>
      </c>
      <c r="BE149" s="130">
        <f t="shared" si="14"/>
        <v>0</v>
      </c>
      <c r="BF149" s="130">
        <f t="shared" si="15"/>
        <v>23.22</v>
      </c>
      <c r="BG149" s="130">
        <f t="shared" si="16"/>
        <v>0</v>
      </c>
      <c r="BH149" s="130">
        <f t="shared" si="17"/>
        <v>0</v>
      </c>
      <c r="BI149" s="130">
        <f t="shared" si="18"/>
        <v>0</v>
      </c>
      <c r="BJ149" s="13" t="s">
        <v>76</v>
      </c>
      <c r="BK149" s="130">
        <f t="shared" si="19"/>
        <v>23.22</v>
      </c>
      <c r="BL149" s="13" t="s">
        <v>235</v>
      </c>
      <c r="BM149" s="129" t="s">
        <v>303</v>
      </c>
    </row>
    <row r="150" spans="2:65" s="1" customFormat="1" ht="16.5" customHeight="1" x14ac:dyDescent="0.2">
      <c r="B150" s="118"/>
      <c r="C150" s="119" t="s">
        <v>305</v>
      </c>
      <c r="D150" s="119" t="s">
        <v>231</v>
      </c>
      <c r="E150" s="120" t="s">
        <v>2984</v>
      </c>
      <c r="F150" s="121" t="s">
        <v>2985</v>
      </c>
      <c r="G150" s="122" t="s">
        <v>1194</v>
      </c>
      <c r="H150" s="123">
        <v>1</v>
      </c>
      <c r="I150" s="124">
        <v>11.61</v>
      </c>
      <c r="J150" s="124">
        <f t="shared" si="10"/>
        <v>11.61</v>
      </c>
      <c r="K150" s="121" t="s">
        <v>1</v>
      </c>
      <c r="L150" s="24"/>
      <c r="M150" s="125" t="s">
        <v>1</v>
      </c>
      <c r="N150" s="126" t="s">
        <v>32</v>
      </c>
      <c r="O150" s="127">
        <v>0</v>
      </c>
      <c r="P150" s="127">
        <f t="shared" si="11"/>
        <v>0</v>
      </c>
      <c r="Q150" s="127">
        <v>0</v>
      </c>
      <c r="R150" s="127">
        <f t="shared" si="12"/>
        <v>0</v>
      </c>
      <c r="S150" s="127">
        <v>0</v>
      </c>
      <c r="T150" s="128">
        <f t="shared" si="13"/>
        <v>0</v>
      </c>
      <c r="AR150" s="129" t="s">
        <v>235</v>
      </c>
      <c r="AT150" s="129" t="s">
        <v>231</v>
      </c>
      <c r="AU150" s="129" t="s">
        <v>76</v>
      </c>
      <c r="AY150" s="13" t="s">
        <v>228</v>
      </c>
      <c r="BE150" s="130">
        <f t="shared" si="14"/>
        <v>0</v>
      </c>
      <c r="BF150" s="130">
        <f t="shared" si="15"/>
        <v>11.61</v>
      </c>
      <c r="BG150" s="130">
        <f t="shared" si="16"/>
        <v>0</v>
      </c>
      <c r="BH150" s="130">
        <f t="shared" si="17"/>
        <v>0</v>
      </c>
      <c r="BI150" s="130">
        <f t="shared" si="18"/>
        <v>0</v>
      </c>
      <c r="BJ150" s="13" t="s">
        <v>76</v>
      </c>
      <c r="BK150" s="130">
        <f t="shared" si="19"/>
        <v>11.61</v>
      </c>
      <c r="BL150" s="13" t="s">
        <v>235</v>
      </c>
      <c r="BM150" s="129" t="s">
        <v>308</v>
      </c>
    </row>
    <row r="151" spans="2:65" s="1" customFormat="1" ht="16.5" customHeight="1" x14ac:dyDescent="0.2">
      <c r="B151" s="118"/>
      <c r="C151" s="119" t="s">
        <v>268</v>
      </c>
      <c r="D151" s="119" t="s">
        <v>231</v>
      </c>
      <c r="E151" s="120" t="s">
        <v>2986</v>
      </c>
      <c r="F151" s="121" t="s">
        <v>2987</v>
      </c>
      <c r="G151" s="122" t="s">
        <v>1194</v>
      </c>
      <c r="H151" s="123">
        <v>1</v>
      </c>
      <c r="I151" s="124">
        <v>118.42</v>
      </c>
      <c r="J151" s="124">
        <f t="shared" si="10"/>
        <v>118.42</v>
      </c>
      <c r="K151" s="121" t="s">
        <v>1</v>
      </c>
      <c r="L151" s="24"/>
      <c r="M151" s="125" t="s">
        <v>1</v>
      </c>
      <c r="N151" s="126" t="s">
        <v>32</v>
      </c>
      <c r="O151" s="127">
        <v>0</v>
      </c>
      <c r="P151" s="127">
        <f t="shared" si="11"/>
        <v>0</v>
      </c>
      <c r="Q151" s="127">
        <v>0</v>
      </c>
      <c r="R151" s="127">
        <f t="shared" si="12"/>
        <v>0</v>
      </c>
      <c r="S151" s="127">
        <v>0</v>
      </c>
      <c r="T151" s="128">
        <f t="shared" si="13"/>
        <v>0</v>
      </c>
      <c r="AR151" s="129" t="s">
        <v>235</v>
      </c>
      <c r="AT151" s="129" t="s">
        <v>231</v>
      </c>
      <c r="AU151" s="129" t="s">
        <v>76</v>
      </c>
      <c r="AY151" s="13" t="s">
        <v>228</v>
      </c>
      <c r="BE151" s="130">
        <f t="shared" si="14"/>
        <v>0</v>
      </c>
      <c r="BF151" s="130">
        <f t="shared" si="15"/>
        <v>118.42</v>
      </c>
      <c r="BG151" s="130">
        <f t="shared" si="16"/>
        <v>0</v>
      </c>
      <c r="BH151" s="130">
        <f t="shared" si="17"/>
        <v>0</v>
      </c>
      <c r="BI151" s="130">
        <f t="shared" si="18"/>
        <v>0</v>
      </c>
      <c r="BJ151" s="13" t="s">
        <v>76</v>
      </c>
      <c r="BK151" s="130">
        <f t="shared" si="19"/>
        <v>118.42</v>
      </c>
      <c r="BL151" s="13" t="s">
        <v>235</v>
      </c>
      <c r="BM151" s="129" t="s">
        <v>312</v>
      </c>
    </row>
    <row r="152" spans="2:65" s="1" customFormat="1" ht="16.5" customHeight="1" x14ac:dyDescent="0.2">
      <c r="B152" s="118"/>
      <c r="C152" s="119" t="s">
        <v>313</v>
      </c>
      <c r="D152" s="119" t="s">
        <v>231</v>
      </c>
      <c r="E152" s="120" t="s">
        <v>2988</v>
      </c>
      <c r="F152" s="121" t="s">
        <v>2989</v>
      </c>
      <c r="G152" s="122" t="s">
        <v>1194</v>
      </c>
      <c r="H152" s="123">
        <v>2</v>
      </c>
      <c r="I152" s="124">
        <v>40.64</v>
      </c>
      <c r="J152" s="124">
        <f t="shared" si="10"/>
        <v>81.28</v>
      </c>
      <c r="K152" s="121" t="s">
        <v>1</v>
      </c>
      <c r="L152" s="24"/>
      <c r="M152" s="125" t="s">
        <v>1</v>
      </c>
      <c r="N152" s="126" t="s">
        <v>32</v>
      </c>
      <c r="O152" s="127">
        <v>0</v>
      </c>
      <c r="P152" s="127">
        <f t="shared" si="11"/>
        <v>0</v>
      </c>
      <c r="Q152" s="127">
        <v>0</v>
      </c>
      <c r="R152" s="127">
        <f t="shared" si="12"/>
        <v>0</v>
      </c>
      <c r="S152" s="127">
        <v>0</v>
      </c>
      <c r="T152" s="128">
        <f t="shared" si="13"/>
        <v>0</v>
      </c>
      <c r="AR152" s="129" t="s">
        <v>235</v>
      </c>
      <c r="AT152" s="129" t="s">
        <v>231</v>
      </c>
      <c r="AU152" s="129" t="s">
        <v>76</v>
      </c>
      <c r="AY152" s="13" t="s">
        <v>228</v>
      </c>
      <c r="BE152" s="130">
        <f t="shared" si="14"/>
        <v>0</v>
      </c>
      <c r="BF152" s="130">
        <f t="shared" si="15"/>
        <v>81.28</v>
      </c>
      <c r="BG152" s="130">
        <f t="shared" si="16"/>
        <v>0</v>
      </c>
      <c r="BH152" s="130">
        <f t="shared" si="17"/>
        <v>0</v>
      </c>
      <c r="BI152" s="130">
        <f t="shared" si="18"/>
        <v>0</v>
      </c>
      <c r="BJ152" s="13" t="s">
        <v>76</v>
      </c>
      <c r="BK152" s="130">
        <f t="shared" si="19"/>
        <v>81.28</v>
      </c>
      <c r="BL152" s="13" t="s">
        <v>235</v>
      </c>
      <c r="BM152" s="129" t="s">
        <v>316</v>
      </c>
    </row>
    <row r="153" spans="2:65" s="1" customFormat="1" ht="16.5" customHeight="1" x14ac:dyDescent="0.2">
      <c r="B153" s="118"/>
      <c r="C153" s="119" t="s">
        <v>272</v>
      </c>
      <c r="D153" s="119" t="s">
        <v>231</v>
      </c>
      <c r="E153" s="120" t="s">
        <v>2990</v>
      </c>
      <c r="F153" s="121" t="s">
        <v>2991</v>
      </c>
      <c r="G153" s="122" t="s">
        <v>1194</v>
      </c>
      <c r="H153" s="123">
        <v>9</v>
      </c>
      <c r="I153" s="124">
        <v>1.74</v>
      </c>
      <c r="J153" s="124">
        <f t="shared" si="10"/>
        <v>15.66</v>
      </c>
      <c r="K153" s="121" t="s">
        <v>1</v>
      </c>
      <c r="L153" s="24"/>
      <c r="M153" s="125" t="s">
        <v>1</v>
      </c>
      <c r="N153" s="126" t="s">
        <v>32</v>
      </c>
      <c r="O153" s="127">
        <v>0</v>
      </c>
      <c r="P153" s="127">
        <f t="shared" si="11"/>
        <v>0</v>
      </c>
      <c r="Q153" s="127">
        <v>0</v>
      </c>
      <c r="R153" s="127">
        <f t="shared" si="12"/>
        <v>0</v>
      </c>
      <c r="S153" s="127">
        <v>0</v>
      </c>
      <c r="T153" s="128">
        <f t="shared" si="13"/>
        <v>0</v>
      </c>
      <c r="AR153" s="129" t="s">
        <v>235</v>
      </c>
      <c r="AT153" s="129" t="s">
        <v>231</v>
      </c>
      <c r="AU153" s="129" t="s">
        <v>76</v>
      </c>
      <c r="AY153" s="13" t="s">
        <v>228</v>
      </c>
      <c r="BE153" s="130">
        <f t="shared" si="14"/>
        <v>0</v>
      </c>
      <c r="BF153" s="130">
        <f t="shared" si="15"/>
        <v>15.66</v>
      </c>
      <c r="BG153" s="130">
        <f t="shared" si="16"/>
        <v>0</v>
      </c>
      <c r="BH153" s="130">
        <f t="shared" si="17"/>
        <v>0</v>
      </c>
      <c r="BI153" s="130">
        <f t="shared" si="18"/>
        <v>0</v>
      </c>
      <c r="BJ153" s="13" t="s">
        <v>76</v>
      </c>
      <c r="BK153" s="130">
        <f t="shared" si="19"/>
        <v>15.66</v>
      </c>
      <c r="BL153" s="13" t="s">
        <v>235</v>
      </c>
      <c r="BM153" s="129" t="s">
        <v>319</v>
      </c>
    </row>
    <row r="154" spans="2:65" s="1" customFormat="1" ht="36" customHeight="1" x14ac:dyDescent="0.2">
      <c r="B154" s="118"/>
      <c r="C154" s="119" t="s">
        <v>320</v>
      </c>
      <c r="D154" s="119" t="s">
        <v>231</v>
      </c>
      <c r="E154" s="120" t="s">
        <v>2992</v>
      </c>
      <c r="F154" s="121" t="s">
        <v>2993</v>
      </c>
      <c r="G154" s="122" t="s">
        <v>1112</v>
      </c>
      <c r="H154" s="123">
        <v>40</v>
      </c>
      <c r="I154" s="124">
        <v>30.19</v>
      </c>
      <c r="J154" s="124">
        <f t="shared" si="10"/>
        <v>1207.5999999999999</v>
      </c>
      <c r="K154" s="121" t="s">
        <v>1</v>
      </c>
      <c r="L154" s="24"/>
      <c r="M154" s="125" t="s">
        <v>1</v>
      </c>
      <c r="N154" s="126" t="s">
        <v>32</v>
      </c>
      <c r="O154" s="127">
        <v>0</v>
      </c>
      <c r="P154" s="127">
        <f t="shared" si="11"/>
        <v>0</v>
      </c>
      <c r="Q154" s="127">
        <v>0</v>
      </c>
      <c r="R154" s="127">
        <f t="shared" si="12"/>
        <v>0</v>
      </c>
      <c r="S154" s="127">
        <v>0</v>
      </c>
      <c r="T154" s="128">
        <f t="shared" si="13"/>
        <v>0</v>
      </c>
      <c r="AR154" s="129" t="s">
        <v>235</v>
      </c>
      <c r="AT154" s="129" t="s">
        <v>231</v>
      </c>
      <c r="AU154" s="129" t="s">
        <v>76</v>
      </c>
      <c r="AY154" s="13" t="s">
        <v>228</v>
      </c>
      <c r="BE154" s="130">
        <f t="shared" si="14"/>
        <v>0</v>
      </c>
      <c r="BF154" s="130">
        <f t="shared" si="15"/>
        <v>1207.5999999999999</v>
      </c>
      <c r="BG154" s="130">
        <f t="shared" si="16"/>
        <v>0</v>
      </c>
      <c r="BH154" s="130">
        <f t="shared" si="17"/>
        <v>0</v>
      </c>
      <c r="BI154" s="130">
        <f t="shared" si="18"/>
        <v>0</v>
      </c>
      <c r="BJ154" s="13" t="s">
        <v>76</v>
      </c>
      <c r="BK154" s="130">
        <f t="shared" si="19"/>
        <v>1207.5999999999999</v>
      </c>
      <c r="BL154" s="13" t="s">
        <v>235</v>
      </c>
      <c r="BM154" s="129" t="s">
        <v>323</v>
      </c>
    </row>
    <row r="155" spans="2:65" s="1" customFormat="1" ht="16.5" customHeight="1" x14ac:dyDescent="0.2">
      <c r="B155" s="118"/>
      <c r="C155" s="119" t="s">
        <v>276</v>
      </c>
      <c r="D155" s="119" t="s">
        <v>231</v>
      </c>
      <c r="E155" s="120" t="s">
        <v>2836</v>
      </c>
      <c r="F155" s="121" t="s">
        <v>2837</v>
      </c>
      <c r="G155" s="122" t="s">
        <v>1194</v>
      </c>
      <c r="H155" s="123">
        <v>1</v>
      </c>
      <c r="I155" s="124">
        <v>482.98</v>
      </c>
      <c r="J155" s="124">
        <f t="shared" si="10"/>
        <v>482.98</v>
      </c>
      <c r="K155" s="121" t="s">
        <v>1</v>
      </c>
      <c r="L155" s="24"/>
      <c r="M155" s="125" t="s">
        <v>1</v>
      </c>
      <c r="N155" s="126" t="s">
        <v>32</v>
      </c>
      <c r="O155" s="127">
        <v>0</v>
      </c>
      <c r="P155" s="127">
        <f t="shared" si="11"/>
        <v>0</v>
      </c>
      <c r="Q155" s="127">
        <v>0</v>
      </c>
      <c r="R155" s="127">
        <f t="shared" si="12"/>
        <v>0</v>
      </c>
      <c r="S155" s="127">
        <v>0</v>
      </c>
      <c r="T155" s="128">
        <f t="shared" si="13"/>
        <v>0</v>
      </c>
      <c r="AR155" s="129" t="s">
        <v>235</v>
      </c>
      <c r="AT155" s="129" t="s">
        <v>231</v>
      </c>
      <c r="AU155" s="129" t="s">
        <v>76</v>
      </c>
      <c r="AY155" s="13" t="s">
        <v>228</v>
      </c>
      <c r="BE155" s="130">
        <f t="shared" si="14"/>
        <v>0</v>
      </c>
      <c r="BF155" s="130">
        <f t="shared" si="15"/>
        <v>482.98</v>
      </c>
      <c r="BG155" s="130">
        <f t="shared" si="16"/>
        <v>0</v>
      </c>
      <c r="BH155" s="130">
        <f t="shared" si="17"/>
        <v>0</v>
      </c>
      <c r="BI155" s="130">
        <f t="shared" si="18"/>
        <v>0</v>
      </c>
      <c r="BJ155" s="13" t="s">
        <v>76</v>
      </c>
      <c r="BK155" s="130">
        <f t="shared" si="19"/>
        <v>482.98</v>
      </c>
      <c r="BL155" s="13" t="s">
        <v>235</v>
      </c>
      <c r="BM155" s="129" t="s">
        <v>326</v>
      </c>
    </row>
    <row r="156" spans="2:65" s="1" customFormat="1" ht="24" customHeight="1" x14ac:dyDescent="0.2">
      <c r="B156" s="118"/>
      <c r="C156" s="119" t="s">
        <v>327</v>
      </c>
      <c r="D156" s="119" t="s">
        <v>231</v>
      </c>
      <c r="E156" s="120" t="s">
        <v>2838</v>
      </c>
      <c r="F156" s="121" t="s">
        <v>2839</v>
      </c>
      <c r="G156" s="122" t="s">
        <v>1112</v>
      </c>
      <c r="H156" s="123">
        <v>32</v>
      </c>
      <c r="I156" s="124">
        <v>30.19</v>
      </c>
      <c r="J156" s="124">
        <f t="shared" si="10"/>
        <v>966.08</v>
      </c>
      <c r="K156" s="121" t="s">
        <v>1</v>
      </c>
      <c r="L156" s="24"/>
      <c r="M156" s="125" t="s">
        <v>1</v>
      </c>
      <c r="N156" s="126" t="s">
        <v>32</v>
      </c>
      <c r="O156" s="127">
        <v>0</v>
      </c>
      <c r="P156" s="127">
        <f t="shared" si="11"/>
        <v>0</v>
      </c>
      <c r="Q156" s="127">
        <v>0</v>
      </c>
      <c r="R156" s="127">
        <f t="shared" si="12"/>
        <v>0</v>
      </c>
      <c r="S156" s="127">
        <v>0</v>
      </c>
      <c r="T156" s="128">
        <f t="shared" si="13"/>
        <v>0</v>
      </c>
      <c r="AR156" s="129" t="s">
        <v>235</v>
      </c>
      <c r="AT156" s="129" t="s">
        <v>231</v>
      </c>
      <c r="AU156" s="129" t="s">
        <v>76</v>
      </c>
      <c r="AY156" s="13" t="s">
        <v>228</v>
      </c>
      <c r="BE156" s="130">
        <f t="shared" si="14"/>
        <v>0</v>
      </c>
      <c r="BF156" s="130">
        <f t="shared" si="15"/>
        <v>966.08</v>
      </c>
      <c r="BG156" s="130">
        <f t="shared" si="16"/>
        <v>0</v>
      </c>
      <c r="BH156" s="130">
        <f t="shared" si="17"/>
        <v>0</v>
      </c>
      <c r="BI156" s="130">
        <f t="shared" si="18"/>
        <v>0</v>
      </c>
      <c r="BJ156" s="13" t="s">
        <v>76</v>
      </c>
      <c r="BK156" s="130">
        <f t="shared" si="19"/>
        <v>966.08</v>
      </c>
      <c r="BL156" s="13" t="s">
        <v>235</v>
      </c>
      <c r="BM156" s="129" t="s">
        <v>330</v>
      </c>
    </row>
    <row r="157" spans="2:65" s="11" customFormat="1" ht="22.95" customHeight="1" x14ac:dyDescent="0.25">
      <c r="B157" s="106"/>
      <c r="D157" s="107" t="s">
        <v>57</v>
      </c>
      <c r="E157" s="116" t="s">
        <v>1227</v>
      </c>
      <c r="F157" s="116" t="s">
        <v>2994</v>
      </c>
      <c r="J157" s="117">
        <f>BK157</f>
        <v>2772.7999999999997</v>
      </c>
      <c r="L157" s="106"/>
      <c r="M157" s="110"/>
      <c r="N157" s="111"/>
      <c r="O157" s="111"/>
      <c r="P157" s="112">
        <f>SUM(P158:P173)</f>
        <v>0</v>
      </c>
      <c r="Q157" s="111"/>
      <c r="R157" s="112">
        <f>SUM(R158:R173)</f>
        <v>0</v>
      </c>
      <c r="S157" s="111"/>
      <c r="T157" s="113">
        <f>SUM(T158:T173)</f>
        <v>0</v>
      </c>
      <c r="AR157" s="107" t="s">
        <v>63</v>
      </c>
      <c r="AT157" s="114" t="s">
        <v>57</v>
      </c>
      <c r="AU157" s="114" t="s">
        <v>63</v>
      </c>
      <c r="AY157" s="107" t="s">
        <v>228</v>
      </c>
      <c r="BK157" s="115">
        <f>SUM(BK158:BK173)</f>
        <v>2772.7999999999997</v>
      </c>
    </row>
    <row r="158" spans="2:65" s="1" customFormat="1" ht="16.5" customHeight="1" x14ac:dyDescent="0.2">
      <c r="B158" s="118"/>
      <c r="C158" s="119" t="s">
        <v>280</v>
      </c>
      <c r="D158" s="119" t="s">
        <v>231</v>
      </c>
      <c r="E158" s="120" t="s">
        <v>2995</v>
      </c>
      <c r="F158" s="121" t="s">
        <v>2996</v>
      </c>
      <c r="G158" s="122" t="s">
        <v>1194</v>
      </c>
      <c r="H158" s="123">
        <v>1</v>
      </c>
      <c r="I158" s="124">
        <v>998.46</v>
      </c>
      <c r="J158" s="124">
        <f t="shared" ref="J158:J173" si="20">ROUND(I158*H158,2)</f>
        <v>998.46</v>
      </c>
      <c r="K158" s="121" t="s">
        <v>1</v>
      </c>
      <c r="L158" s="24"/>
      <c r="M158" s="125" t="s">
        <v>1</v>
      </c>
      <c r="N158" s="126" t="s">
        <v>32</v>
      </c>
      <c r="O158" s="127">
        <v>0</v>
      </c>
      <c r="P158" s="127">
        <f t="shared" ref="P158:P173" si="21">O158*H158</f>
        <v>0</v>
      </c>
      <c r="Q158" s="127">
        <v>0</v>
      </c>
      <c r="R158" s="127">
        <f t="shared" ref="R158:R173" si="22">Q158*H158</f>
        <v>0</v>
      </c>
      <c r="S158" s="127">
        <v>0</v>
      </c>
      <c r="T158" s="128">
        <f t="shared" ref="T158:T173" si="23">S158*H158</f>
        <v>0</v>
      </c>
      <c r="AR158" s="129" t="s">
        <v>235</v>
      </c>
      <c r="AT158" s="129" t="s">
        <v>231</v>
      </c>
      <c r="AU158" s="129" t="s">
        <v>76</v>
      </c>
      <c r="AY158" s="13" t="s">
        <v>228</v>
      </c>
      <c r="BE158" s="130">
        <f t="shared" ref="BE158:BE173" si="24">IF(N158="základná",J158,0)</f>
        <v>0</v>
      </c>
      <c r="BF158" s="130">
        <f t="shared" ref="BF158:BF173" si="25">IF(N158="znížená",J158,0)</f>
        <v>998.46</v>
      </c>
      <c r="BG158" s="130">
        <f t="shared" ref="BG158:BG173" si="26">IF(N158="zákl. prenesená",J158,0)</f>
        <v>0</v>
      </c>
      <c r="BH158" s="130">
        <f t="shared" ref="BH158:BH173" si="27">IF(N158="zníž. prenesená",J158,0)</f>
        <v>0</v>
      </c>
      <c r="BI158" s="130">
        <f t="shared" ref="BI158:BI173" si="28">IF(N158="nulová",J158,0)</f>
        <v>0</v>
      </c>
      <c r="BJ158" s="13" t="s">
        <v>76</v>
      </c>
      <c r="BK158" s="130">
        <f t="shared" ref="BK158:BK173" si="29">ROUND(I158*H158,2)</f>
        <v>998.46</v>
      </c>
      <c r="BL158" s="13" t="s">
        <v>235</v>
      </c>
      <c r="BM158" s="129" t="s">
        <v>333</v>
      </c>
    </row>
    <row r="159" spans="2:65" s="1" customFormat="1" ht="16.5" customHeight="1" x14ac:dyDescent="0.2">
      <c r="B159" s="118"/>
      <c r="C159" s="119" t="s">
        <v>334</v>
      </c>
      <c r="D159" s="119" t="s">
        <v>231</v>
      </c>
      <c r="E159" s="120" t="s">
        <v>2997</v>
      </c>
      <c r="F159" s="121" t="s">
        <v>2998</v>
      </c>
      <c r="G159" s="122" t="s">
        <v>292</v>
      </c>
      <c r="H159" s="123">
        <v>800</v>
      </c>
      <c r="I159" s="124">
        <v>0.45</v>
      </c>
      <c r="J159" s="124">
        <f t="shared" si="20"/>
        <v>360</v>
      </c>
      <c r="K159" s="121" t="s">
        <v>1</v>
      </c>
      <c r="L159" s="24"/>
      <c r="M159" s="125" t="s">
        <v>1</v>
      </c>
      <c r="N159" s="126" t="s">
        <v>32</v>
      </c>
      <c r="O159" s="127">
        <v>0</v>
      </c>
      <c r="P159" s="127">
        <f t="shared" si="21"/>
        <v>0</v>
      </c>
      <c r="Q159" s="127">
        <v>0</v>
      </c>
      <c r="R159" s="127">
        <f t="shared" si="22"/>
        <v>0</v>
      </c>
      <c r="S159" s="127">
        <v>0</v>
      </c>
      <c r="T159" s="128">
        <f t="shared" si="23"/>
        <v>0</v>
      </c>
      <c r="AR159" s="129" t="s">
        <v>235</v>
      </c>
      <c r="AT159" s="129" t="s">
        <v>231</v>
      </c>
      <c r="AU159" s="129" t="s">
        <v>76</v>
      </c>
      <c r="AY159" s="13" t="s">
        <v>228</v>
      </c>
      <c r="BE159" s="130">
        <f t="shared" si="24"/>
        <v>0</v>
      </c>
      <c r="BF159" s="130">
        <f t="shared" si="25"/>
        <v>360</v>
      </c>
      <c r="BG159" s="130">
        <f t="shared" si="26"/>
        <v>0</v>
      </c>
      <c r="BH159" s="130">
        <f t="shared" si="27"/>
        <v>0</v>
      </c>
      <c r="BI159" s="130">
        <f t="shared" si="28"/>
        <v>0</v>
      </c>
      <c r="BJ159" s="13" t="s">
        <v>76</v>
      </c>
      <c r="BK159" s="130">
        <f t="shared" si="29"/>
        <v>360</v>
      </c>
      <c r="BL159" s="13" t="s">
        <v>235</v>
      </c>
      <c r="BM159" s="129" t="s">
        <v>337</v>
      </c>
    </row>
    <row r="160" spans="2:65" s="1" customFormat="1" ht="16.5" customHeight="1" x14ac:dyDescent="0.2">
      <c r="B160" s="118"/>
      <c r="C160" s="119" t="s">
        <v>285</v>
      </c>
      <c r="D160" s="119" t="s">
        <v>231</v>
      </c>
      <c r="E160" s="120" t="s">
        <v>2999</v>
      </c>
      <c r="F160" s="121" t="s">
        <v>3000</v>
      </c>
      <c r="G160" s="122" t="s">
        <v>292</v>
      </c>
      <c r="H160" s="123">
        <v>160</v>
      </c>
      <c r="I160" s="124">
        <v>0.57999999999999996</v>
      </c>
      <c r="J160" s="124">
        <f t="shared" si="20"/>
        <v>92.8</v>
      </c>
      <c r="K160" s="121" t="s">
        <v>1</v>
      </c>
      <c r="L160" s="24"/>
      <c r="M160" s="125" t="s">
        <v>1</v>
      </c>
      <c r="N160" s="126" t="s">
        <v>32</v>
      </c>
      <c r="O160" s="127">
        <v>0</v>
      </c>
      <c r="P160" s="127">
        <f t="shared" si="21"/>
        <v>0</v>
      </c>
      <c r="Q160" s="127">
        <v>0</v>
      </c>
      <c r="R160" s="127">
        <f t="shared" si="22"/>
        <v>0</v>
      </c>
      <c r="S160" s="127">
        <v>0</v>
      </c>
      <c r="T160" s="128">
        <f t="shared" si="23"/>
        <v>0</v>
      </c>
      <c r="AR160" s="129" t="s">
        <v>235</v>
      </c>
      <c r="AT160" s="129" t="s">
        <v>231</v>
      </c>
      <c r="AU160" s="129" t="s">
        <v>76</v>
      </c>
      <c r="AY160" s="13" t="s">
        <v>228</v>
      </c>
      <c r="BE160" s="130">
        <f t="shared" si="24"/>
        <v>0</v>
      </c>
      <c r="BF160" s="130">
        <f t="shared" si="25"/>
        <v>92.8</v>
      </c>
      <c r="BG160" s="130">
        <f t="shared" si="26"/>
        <v>0</v>
      </c>
      <c r="BH160" s="130">
        <f t="shared" si="27"/>
        <v>0</v>
      </c>
      <c r="BI160" s="130">
        <f t="shared" si="28"/>
        <v>0</v>
      </c>
      <c r="BJ160" s="13" t="s">
        <v>76</v>
      </c>
      <c r="BK160" s="130">
        <f t="shared" si="29"/>
        <v>92.8</v>
      </c>
      <c r="BL160" s="13" t="s">
        <v>235</v>
      </c>
      <c r="BM160" s="129" t="s">
        <v>340</v>
      </c>
    </row>
    <row r="161" spans="2:65" s="1" customFormat="1" ht="16.5" customHeight="1" x14ac:dyDescent="0.2">
      <c r="B161" s="118"/>
      <c r="C161" s="119" t="s">
        <v>341</v>
      </c>
      <c r="D161" s="119" t="s">
        <v>231</v>
      </c>
      <c r="E161" s="120" t="s">
        <v>3001</v>
      </c>
      <c r="F161" s="121" t="s">
        <v>3002</v>
      </c>
      <c r="G161" s="122" t="s">
        <v>292</v>
      </c>
      <c r="H161" s="123">
        <v>120</v>
      </c>
      <c r="I161" s="124">
        <v>0.7</v>
      </c>
      <c r="J161" s="124">
        <f t="shared" si="20"/>
        <v>84</v>
      </c>
      <c r="K161" s="121" t="s">
        <v>1</v>
      </c>
      <c r="L161" s="24"/>
      <c r="M161" s="125" t="s">
        <v>1</v>
      </c>
      <c r="N161" s="126" t="s">
        <v>32</v>
      </c>
      <c r="O161" s="127">
        <v>0</v>
      </c>
      <c r="P161" s="127">
        <f t="shared" si="21"/>
        <v>0</v>
      </c>
      <c r="Q161" s="127">
        <v>0</v>
      </c>
      <c r="R161" s="127">
        <f t="shared" si="22"/>
        <v>0</v>
      </c>
      <c r="S161" s="127">
        <v>0</v>
      </c>
      <c r="T161" s="128">
        <f t="shared" si="23"/>
        <v>0</v>
      </c>
      <c r="AR161" s="129" t="s">
        <v>235</v>
      </c>
      <c r="AT161" s="129" t="s">
        <v>231</v>
      </c>
      <c r="AU161" s="129" t="s">
        <v>76</v>
      </c>
      <c r="AY161" s="13" t="s">
        <v>228</v>
      </c>
      <c r="BE161" s="130">
        <f t="shared" si="24"/>
        <v>0</v>
      </c>
      <c r="BF161" s="130">
        <f t="shared" si="25"/>
        <v>84</v>
      </c>
      <c r="BG161" s="130">
        <f t="shared" si="26"/>
        <v>0</v>
      </c>
      <c r="BH161" s="130">
        <f t="shared" si="27"/>
        <v>0</v>
      </c>
      <c r="BI161" s="130">
        <f t="shared" si="28"/>
        <v>0</v>
      </c>
      <c r="BJ161" s="13" t="s">
        <v>76</v>
      </c>
      <c r="BK161" s="130">
        <f t="shared" si="29"/>
        <v>84</v>
      </c>
      <c r="BL161" s="13" t="s">
        <v>235</v>
      </c>
      <c r="BM161" s="129" t="s">
        <v>344</v>
      </c>
    </row>
    <row r="162" spans="2:65" s="1" customFormat="1" ht="16.5" customHeight="1" x14ac:dyDescent="0.2">
      <c r="B162" s="118"/>
      <c r="C162" s="119" t="s">
        <v>288</v>
      </c>
      <c r="D162" s="119" t="s">
        <v>231</v>
      </c>
      <c r="E162" s="120" t="s">
        <v>3003</v>
      </c>
      <c r="F162" s="121" t="s">
        <v>3004</v>
      </c>
      <c r="G162" s="122" t="s">
        <v>292</v>
      </c>
      <c r="H162" s="123">
        <v>20</v>
      </c>
      <c r="I162" s="124">
        <v>0.86</v>
      </c>
      <c r="J162" s="124">
        <f t="shared" si="20"/>
        <v>17.2</v>
      </c>
      <c r="K162" s="121" t="s">
        <v>1</v>
      </c>
      <c r="L162" s="24"/>
      <c r="M162" s="125" t="s">
        <v>1</v>
      </c>
      <c r="N162" s="126" t="s">
        <v>32</v>
      </c>
      <c r="O162" s="127">
        <v>0</v>
      </c>
      <c r="P162" s="127">
        <f t="shared" si="21"/>
        <v>0</v>
      </c>
      <c r="Q162" s="127">
        <v>0</v>
      </c>
      <c r="R162" s="127">
        <f t="shared" si="22"/>
        <v>0</v>
      </c>
      <c r="S162" s="127">
        <v>0</v>
      </c>
      <c r="T162" s="128">
        <f t="shared" si="23"/>
        <v>0</v>
      </c>
      <c r="AR162" s="129" t="s">
        <v>235</v>
      </c>
      <c r="AT162" s="129" t="s">
        <v>231</v>
      </c>
      <c r="AU162" s="129" t="s">
        <v>76</v>
      </c>
      <c r="AY162" s="13" t="s">
        <v>228</v>
      </c>
      <c r="BE162" s="130">
        <f t="shared" si="24"/>
        <v>0</v>
      </c>
      <c r="BF162" s="130">
        <f t="shared" si="25"/>
        <v>17.2</v>
      </c>
      <c r="BG162" s="130">
        <f t="shared" si="26"/>
        <v>0</v>
      </c>
      <c r="BH162" s="130">
        <f t="shared" si="27"/>
        <v>0</v>
      </c>
      <c r="BI162" s="130">
        <f t="shared" si="28"/>
        <v>0</v>
      </c>
      <c r="BJ162" s="13" t="s">
        <v>76</v>
      </c>
      <c r="BK162" s="130">
        <f t="shared" si="29"/>
        <v>17.2</v>
      </c>
      <c r="BL162" s="13" t="s">
        <v>235</v>
      </c>
      <c r="BM162" s="129" t="s">
        <v>347</v>
      </c>
    </row>
    <row r="163" spans="2:65" s="1" customFormat="1" ht="16.5" customHeight="1" x14ac:dyDescent="0.2">
      <c r="B163" s="118"/>
      <c r="C163" s="119" t="s">
        <v>348</v>
      </c>
      <c r="D163" s="119" t="s">
        <v>231</v>
      </c>
      <c r="E163" s="120" t="s">
        <v>3005</v>
      </c>
      <c r="F163" s="121" t="s">
        <v>3006</v>
      </c>
      <c r="G163" s="122" t="s">
        <v>292</v>
      </c>
      <c r="H163" s="123">
        <v>210</v>
      </c>
      <c r="I163" s="124">
        <v>0.09</v>
      </c>
      <c r="J163" s="124">
        <f t="shared" si="20"/>
        <v>18.899999999999999</v>
      </c>
      <c r="K163" s="121" t="s">
        <v>1</v>
      </c>
      <c r="L163" s="24"/>
      <c r="M163" s="125" t="s">
        <v>1</v>
      </c>
      <c r="N163" s="126" t="s">
        <v>32</v>
      </c>
      <c r="O163" s="127">
        <v>0</v>
      </c>
      <c r="P163" s="127">
        <f t="shared" si="21"/>
        <v>0</v>
      </c>
      <c r="Q163" s="127">
        <v>0</v>
      </c>
      <c r="R163" s="127">
        <f t="shared" si="22"/>
        <v>0</v>
      </c>
      <c r="S163" s="127">
        <v>0</v>
      </c>
      <c r="T163" s="128">
        <f t="shared" si="23"/>
        <v>0</v>
      </c>
      <c r="AR163" s="129" t="s">
        <v>235</v>
      </c>
      <c r="AT163" s="129" t="s">
        <v>231</v>
      </c>
      <c r="AU163" s="129" t="s">
        <v>76</v>
      </c>
      <c r="AY163" s="13" t="s">
        <v>228</v>
      </c>
      <c r="BE163" s="130">
        <f t="shared" si="24"/>
        <v>0</v>
      </c>
      <c r="BF163" s="130">
        <f t="shared" si="25"/>
        <v>18.899999999999999</v>
      </c>
      <c r="BG163" s="130">
        <f t="shared" si="26"/>
        <v>0</v>
      </c>
      <c r="BH163" s="130">
        <f t="shared" si="27"/>
        <v>0</v>
      </c>
      <c r="BI163" s="130">
        <f t="shared" si="28"/>
        <v>0</v>
      </c>
      <c r="BJ163" s="13" t="s">
        <v>76</v>
      </c>
      <c r="BK163" s="130">
        <f t="shared" si="29"/>
        <v>18.899999999999999</v>
      </c>
      <c r="BL163" s="13" t="s">
        <v>235</v>
      </c>
      <c r="BM163" s="129" t="s">
        <v>351</v>
      </c>
    </row>
    <row r="164" spans="2:65" s="1" customFormat="1" ht="16.5" customHeight="1" x14ac:dyDescent="0.2">
      <c r="B164" s="118"/>
      <c r="C164" s="119" t="s">
        <v>293</v>
      </c>
      <c r="D164" s="119" t="s">
        <v>231</v>
      </c>
      <c r="E164" s="120" t="s">
        <v>3007</v>
      </c>
      <c r="F164" s="121" t="s">
        <v>3008</v>
      </c>
      <c r="G164" s="122" t="s">
        <v>292</v>
      </c>
      <c r="H164" s="123">
        <v>20</v>
      </c>
      <c r="I164" s="124">
        <v>0.23</v>
      </c>
      <c r="J164" s="124">
        <f t="shared" si="20"/>
        <v>4.5999999999999996</v>
      </c>
      <c r="K164" s="121" t="s">
        <v>1</v>
      </c>
      <c r="L164" s="24"/>
      <c r="M164" s="125" t="s">
        <v>1</v>
      </c>
      <c r="N164" s="126" t="s">
        <v>32</v>
      </c>
      <c r="O164" s="127">
        <v>0</v>
      </c>
      <c r="P164" s="127">
        <f t="shared" si="21"/>
        <v>0</v>
      </c>
      <c r="Q164" s="127">
        <v>0</v>
      </c>
      <c r="R164" s="127">
        <f t="shared" si="22"/>
        <v>0</v>
      </c>
      <c r="S164" s="127">
        <v>0</v>
      </c>
      <c r="T164" s="128">
        <f t="shared" si="23"/>
        <v>0</v>
      </c>
      <c r="AR164" s="129" t="s">
        <v>235</v>
      </c>
      <c r="AT164" s="129" t="s">
        <v>231</v>
      </c>
      <c r="AU164" s="129" t="s">
        <v>76</v>
      </c>
      <c r="AY164" s="13" t="s">
        <v>228</v>
      </c>
      <c r="BE164" s="130">
        <f t="shared" si="24"/>
        <v>0</v>
      </c>
      <c r="BF164" s="130">
        <f t="shared" si="25"/>
        <v>4.5999999999999996</v>
      </c>
      <c r="BG164" s="130">
        <f t="shared" si="26"/>
        <v>0</v>
      </c>
      <c r="BH164" s="130">
        <f t="shared" si="27"/>
        <v>0</v>
      </c>
      <c r="BI164" s="130">
        <f t="shared" si="28"/>
        <v>0</v>
      </c>
      <c r="BJ164" s="13" t="s">
        <v>76</v>
      </c>
      <c r="BK164" s="130">
        <f t="shared" si="29"/>
        <v>4.5999999999999996</v>
      </c>
      <c r="BL164" s="13" t="s">
        <v>235</v>
      </c>
      <c r="BM164" s="129" t="s">
        <v>354</v>
      </c>
    </row>
    <row r="165" spans="2:65" s="1" customFormat="1" ht="16.5" customHeight="1" x14ac:dyDescent="0.2">
      <c r="B165" s="118"/>
      <c r="C165" s="119" t="s">
        <v>355</v>
      </c>
      <c r="D165" s="119" t="s">
        <v>231</v>
      </c>
      <c r="E165" s="120" t="s">
        <v>3009</v>
      </c>
      <c r="F165" s="121" t="s">
        <v>3010</v>
      </c>
      <c r="G165" s="122" t="s">
        <v>292</v>
      </c>
      <c r="H165" s="123">
        <v>36</v>
      </c>
      <c r="I165" s="124">
        <v>0.49</v>
      </c>
      <c r="J165" s="124">
        <f t="shared" si="20"/>
        <v>17.64</v>
      </c>
      <c r="K165" s="121" t="s">
        <v>1</v>
      </c>
      <c r="L165" s="24"/>
      <c r="M165" s="125" t="s">
        <v>1</v>
      </c>
      <c r="N165" s="126" t="s">
        <v>32</v>
      </c>
      <c r="O165" s="127">
        <v>0</v>
      </c>
      <c r="P165" s="127">
        <f t="shared" si="21"/>
        <v>0</v>
      </c>
      <c r="Q165" s="127">
        <v>0</v>
      </c>
      <c r="R165" s="127">
        <f t="shared" si="22"/>
        <v>0</v>
      </c>
      <c r="S165" s="127">
        <v>0</v>
      </c>
      <c r="T165" s="128">
        <f t="shared" si="23"/>
        <v>0</v>
      </c>
      <c r="AR165" s="129" t="s">
        <v>235</v>
      </c>
      <c r="AT165" s="129" t="s">
        <v>231</v>
      </c>
      <c r="AU165" s="129" t="s">
        <v>76</v>
      </c>
      <c r="AY165" s="13" t="s">
        <v>228</v>
      </c>
      <c r="BE165" s="130">
        <f t="shared" si="24"/>
        <v>0</v>
      </c>
      <c r="BF165" s="130">
        <f t="shared" si="25"/>
        <v>17.64</v>
      </c>
      <c r="BG165" s="130">
        <f t="shared" si="26"/>
        <v>0</v>
      </c>
      <c r="BH165" s="130">
        <f t="shared" si="27"/>
        <v>0</v>
      </c>
      <c r="BI165" s="130">
        <f t="shared" si="28"/>
        <v>0</v>
      </c>
      <c r="BJ165" s="13" t="s">
        <v>76</v>
      </c>
      <c r="BK165" s="130">
        <f t="shared" si="29"/>
        <v>17.64</v>
      </c>
      <c r="BL165" s="13" t="s">
        <v>235</v>
      </c>
      <c r="BM165" s="129" t="s">
        <v>358</v>
      </c>
    </row>
    <row r="166" spans="2:65" s="1" customFormat="1" ht="16.5" customHeight="1" x14ac:dyDescent="0.2">
      <c r="B166" s="118"/>
      <c r="C166" s="119" t="s">
        <v>296</v>
      </c>
      <c r="D166" s="119" t="s">
        <v>231</v>
      </c>
      <c r="E166" s="120" t="s">
        <v>3011</v>
      </c>
      <c r="F166" s="121" t="s">
        <v>3012</v>
      </c>
      <c r="G166" s="122" t="s">
        <v>292</v>
      </c>
      <c r="H166" s="123">
        <v>150</v>
      </c>
      <c r="I166" s="124">
        <v>0.51</v>
      </c>
      <c r="J166" s="124">
        <f t="shared" si="20"/>
        <v>76.5</v>
      </c>
      <c r="K166" s="121" t="s">
        <v>1</v>
      </c>
      <c r="L166" s="24"/>
      <c r="M166" s="125" t="s">
        <v>1</v>
      </c>
      <c r="N166" s="126" t="s">
        <v>32</v>
      </c>
      <c r="O166" s="127">
        <v>0</v>
      </c>
      <c r="P166" s="127">
        <f t="shared" si="21"/>
        <v>0</v>
      </c>
      <c r="Q166" s="127">
        <v>0</v>
      </c>
      <c r="R166" s="127">
        <f t="shared" si="22"/>
        <v>0</v>
      </c>
      <c r="S166" s="127">
        <v>0</v>
      </c>
      <c r="T166" s="128">
        <f t="shared" si="23"/>
        <v>0</v>
      </c>
      <c r="AR166" s="129" t="s">
        <v>235</v>
      </c>
      <c r="AT166" s="129" t="s">
        <v>231</v>
      </c>
      <c r="AU166" s="129" t="s">
        <v>76</v>
      </c>
      <c r="AY166" s="13" t="s">
        <v>228</v>
      </c>
      <c r="BE166" s="130">
        <f t="shared" si="24"/>
        <v>0</v>
      </c>
      <c r="BF166" s="130">
        <f t="shared" si="25"/>
        <v>76.5</v>
      </c>
      <c r="BG166" s="130">
        <f t="shared" si="26"/>
        <v>0</v>
      </c>
      <c r="BH166" s="130">
        <f t="shared" si="27"/>
        <v>0</v>
      </c>
      <c r="BI166" s="130">
        <f t="shared" si="28"/>
        <v>0</v>
      </c>
      <c r="BJ166" s="13" t="s">
        <v>76</v>
      </c>
      <c r="BK166" s="130">
        <f t="shared" si="29"/>
        <v>76.5</v>
      </c>
      <c r="BL166" s="13" t="s">
        <v>235</v>
      </c>
      <c r="BM166" s="129" t="s">
        <v>361</v>
      </c>
    </row>
    <row r="167" spans="2:65" s="1" customFormat="1" ht="16.5" customHeight="1" x14ac:dyDescent="0.2">
      <c r="B167" s="118"/>
      <c r="C167" s="119" t="s">
        <v>362</v>
      </c>
      <c r="D167" s="119" t="s">
        <v>231</v>
      </c>
      <c r="E167" s="120" t="s">
        <v>3013</v>
      </c>
      <c r="F167" s="121" t="s">
        <v>3014</v>
      </c>
      <c r="G167" s="122" t="s">
        <v>292</v>
      </c>
      <c r="H167" s="123">
        <v>200</v>
      </c>
      <c r="I167" s="124">
        <v>0.68</v>
      </c>
      <c r="J167" s="124">
        <f t="shared" si="20"/>
        <v>136</v>
      </c>
      <c r="K167" s="121" t="s">
        <v>1</v>
      </c>
      <c r="L167" s="24"/>
      <c r="M167" s="125" t="s">
        <v>1</v>
      </c>
      <c r="N167" s="126" t="s">
        <v>32</v>
      </c>
      <c r="O167" s="127">
        <v>0</v>
      </c>
      <c r="P167" s="127">
        <f t="shared" si="21"/>
        <v>0</v>
      </c>
      <c r="Q167" s="127">
        <v>0</v>
      </c>
      <c r="R167" s="127">
        <f t="shared" si="22"/>
        <v>0</v>
      </c>
      <c r="S167" s="127">
        <v>0</v>
      </c>
      <c r="T167" s="128">
        <f t="shared" si="23"/>
        <v>0</v>
      </c>
      <c r="AR167" s="129" t="s">
        <v>235</v>
      </c>
      <c r="AT167" s="129" t="s">
        <v>231</v>
      </c>
      <c r="AU167" s="129" t="s">
        <v>76</v>
      </c>
      <c r="AY167" s="13" t="s">
        <v>228</v>
      </c>
      <c r="BE167" s="130">
        <f t="shared" si="24"/>
        <v>0</v>
      </c>
      <c r="BF167" s="130">
        <f t="shared" si="25"/>
        <v>136</v>
      </c>
      <c r="BG167" s="130">
        <f t="shared" si="26"/>
        <v>0</v>
      </c>
      <c r="BH167" s="130">
        <f t="shared" si="27"/>
        <v>0</v>
      </c>
      <c r="BI167" s="130">
        <f t="shared" si="28"/>
        <v>0</v>
      </c>
      <c r="BJ167" s="13" t="s">
        <v>76</v>
      </c>
      <c r="BK167" s="130">
        <f t="shared" si="29"/>
        <v>136</v>
      </c>
      <c r="BL167" s="13" t="s">
        <v>235</v>
      </c>
      <c r="BM167" s="129" t="s">
        <v>365</v>
      </c>
    </row>
    <row r="168" spans="2:65" s="1" customFormat="1" ht="36" customHeight="1" x14ac:dyDescent="0.2">
      <c r="B168" s="118"/>
      <c r="C168" s="119" t="s">
        <v>300</v>
      </c>
      <c r="D168" s="119" t="s">
        <v>231</v>
      </c>
      <c r="E168" s="120" t="s">
        <v>3015</v>
      </c>
      <c r="F168" s="121" t="s">
        <v>3016</v>
      </c>
      <c r="G168" s="122" t="s">
        <v>292</v>
      </c>
      <c r="H168" s="123">
        <v>40</v>
      </c>
      <c r="I168" s="124">
        <v>10.66</v>
      </c>
      <c r="J168" s="124">
        <f t="shared" si="20"/>
        <v>426.4</v>
      </c>
      <c r="K168" s="121" t="s">
        <v>1</v>
      </c>
      <c r="L168" s="24"/>
      <c r="M168" s="125" t="s">
        <v>1</v>
      </c>
      <c r="N168" s="126" t="s">
        <v>32</v>
      </c>
      <c r="O168" s="127">
        <v>0</v>
      </c>
      <c r="P168" s="127">
        <f t="shared" si="21"/>
        <v>0</v>
      </c>
      <c r="Q168" s="127">
        <v>0</v>
      </c>
      <c r="R168" s="127">
        <f t="shared" si="22"/>
        <v>0</v>
      </c>
      <c r="S168" s="127">
        <v>0</v>
      </c>
      <c r="T168" s="128">
        <f t="shared" si="23"/>
        <v>0</v>
      </c>
      <c r="AR168" s="129" t="s">
        <v>235</v>
      </c>
      <c r="AT168" s="129" t="s">
        <v>231</v>
      </c>
      <c r="AU168" s="129" t="s">
        <v>76</v>
      </c>
      <c r="AY168" s="13" t="s">
        <v>228</v>
      </c>
      <c r="BE168" s="130">
        <f t="shared" si="24"/>
        <v>0</v>
      </c>
      <c r="BF168" s="130">
        <f t="shared" si="25"/>
        <v>426.4</v>
      </c>
      <c r="BG168" s="130">
        <f t="shared" si="26"/>
        <v>0</v>
      </c>
      <c r="BH168" s="130">
        <f t="shared" si="27"/>
        <v>0</v>
      </c>
      <c r="BI168" s="130">
        <f t="shared" si="28"/>
        <v>0</v>
      </c>
      <c r="BJ168" s="13" t="s">
        <v>76</v>
      </c>
      <c r="BK168" s="130">
        <f t="shared" si="29"/>
        <v>426.4</v>
      </c>
      <c r="BL168" s="13" t="s">
        <v>235</v>
      </c>
      <c r="BM168" s="129" t="s">
        <v>368</v>
      </c>
    </row>
    <row r="169" spans="2:65" s="1" customFormat="1" ht="36" customHeight="1" x14ac:dyDescent="0.2">
      <c r="B169" s="118"/>
      <c r="C169" s="119" t="s">
        <v>369</v>
      </c>
      <c r="D169" s="119" t="s">
        <v>231</v>
      </c>
      <c r="E169" s="120" t="s">
        <v>3017</v>
      </c>
      <c r="F169" s="121" t="s">
        <v>3018</v>
      </c>
      <c r="G169" s="122" t="s">
        <v>292</v>
      </c>
      <c r="H169" s="123">
        <v>20</v>
      </c>
      <c r="I169" s="124">
        <v>12.11</v>
      </c>
      <c r="J169" s="124">
        <f t="shared" si="20"/>
        <v>242.2</v>
      </c>
      <c r="K169" s="121" t="s">
        <v>1</v>
      </c>
      <c r="L169" s="24"/>
      <c r="M169" s="125" t="s">
        <v>1</v>
      </c>
      <c r="N169" s="126" t="s">
        <v>32</v>
      </c>
      <c r="O169" s="127">
        <v>0</v>
      </c>
      <c r="P169" s="127">
        <f t="shared" si="21"/>
        <v>0</v>
      </c>
      <c r="Q169" s="127">
        <v>0</v>
      </c>
      <c r="R169" s="127">
        <f t="shared" si="22"/>
        <v>0</v>
      </c>
      <c r="S169" s="127">
        <v>0</v>
      </c>
      <c r="T169" s="128">
        <f t="shared" si="23"/>
        <v>0</v>
      </c>
      <c r="AR169" s="129" t="s">
        <v>235</v>
      </c>
      <c r="AT169" s="129" t="s">
        <v>231</v>
      </c>
      <c r="AU169" s="129" t="s">
        <v>76</v>
      </c>
      <c r="AY169" s="13" t="s">
        <v>228</v>
      </c>
      <c r="BE169" s="130">
        <f t="shared" si="24"/>
        <v>0</v>
      </c>
      <c r="BF169" s="130">
        <f t="shared" si="25"/>
        <v>242.2</v>
      </c>
      <c r="BG169" s="130">
        <f t="shared" si="26"/>
        <v>0</v>
      </c>
      <c r="BH169" s="130">
        <f t="shared" si="27"/>
        <v>0</v>
      </c>
      <c r="BI169" s="130">
        <f t="shared" si="28"/>
        <v>0</v>
      </c>
      <c r="BJ169" s="13" t="s">
        <v>76</v>
      </c>
      <c r="BK169" s="130">
        <f t="shared" si="29"/>
        <v>242.2</v>
      </c>
      <c r="BL169" s="13" t="s">
        <v>235</v>
      </c>
      <c r="BM169" s="129" t="s">
        <v>372</v>
      </c>
    </row>
    <row r="170" spans="2:65" s="1" customFormat="1" ht="16.5" customHeight="1" x14ac:dyDescent="0.2">
      <c r="B170" s="118"/>
      <c r="C170" s="119" t="s">
        <v>303</v>
      </c>
      <c r="D170" s="119" t="s">
        <v>231</v>
      </c>
      <c r="E170" s="120" t="s">
        <v>3019</v>
      </c>
      <c r="F170" s="121" t="s">
        <v>3020</v>
      </c>
      <c r="G170" s="122" t="s">
        <v>284</v>
      </c>
      <c r="H170" s="123">
        <v>0.5</v>
      </c>
      <c r="I170" s="124">
        <v>57.4</v>
      </c>
      <c r="J170" s="124">
        <f t="shared" si="20"/>
        <v>28.7</v>
      </c>
      <c r="K170" s="121" t="s">
        <v>1</v>
      </c>
      <c r="L170" s="24"/>
      <c r="M170" s="125" t="s">
        <v>1</v>
      </c>
      <c r="N170" s="126" t="s">
        <v>32</v>
      </c>
      <c r="O170" s="127">
        <v>0</v>
      </c>
      <c r="P170" s="127">
        <f t="shared" si="21"/>
        <v>0</v>
      </c>
      <c r="Q170" s="127">
        <v>0</v>
      </c>
      <c r="R170" s="127">
        <f t="shared" si="22"/>
        <v>0</v>
      </c>
      <c r="S170" s="127">
        <v>0</v>
      </c>
      <c r="T170" s="128">
        <f t="shared" si="23"/>
        <v>0</v>
      </c>
      <c r="AR170" s="129" t="s">
        <v>235</v>
      </c>
      <c r="AT170" s="129" t="s">
        <v>231</v>
      </c>
      <c r="AU170" s="129" t="s">
        <v>76</v>
      </c>
      <c r="AY170" s="13" t="s">
        <v>228</v>
      </c>
      <c r="BE170" s="130">
        <f t="shared" si="24"/>
        <v>0</v>
      </c>
      <c r="BF170" s="130">
        <f t="shared" si="25"/>
        <v>28.7</v>
      </c>
      <c r="BG170" s="130">
        <f t="shared" si="26"/>
        <v>0</v>
      </c>
      <c r="BH170" s="130">
        <f t="shared" si="27"/>
        <v>0</v>
      </c>
      <c r="BI170" s="130">
        <f t="shared" si="28"/>
        <v>0</v>
      </c>
      <c r="BJ170" s="13" t="s">
        <v>76</v>
      </c>
      <c r="BK170" s="130">
        <f t="shared" si="29"/>
        <v>28.7</v>
      </c>
      <c r="BL170" s="13" t="s">
        <v>235</v>
      </c>
      <c r="BM170" s="129" t="s">
        <v>375</v>
      </c>
    </row>
    <row r="171" spans="2:65" s="1" customFormat="1" ht="16.5" customHeight="1" x14ac:dyDescent="0.2">
      <c r="B171" s="118"/>
      <c r="C171" s="119" t="s">
        <v>376</v>
      </c>
      <c r="D171" s="119" t="s">
        <v>231</v>
      </c>
      <c r="E171" s="120" t="s">
        <v>3021</v>
      </c>
      <c r="F171" s="121" t="s">
        <v>3022</v>
      </c>
      <c r="G171" s="122" t="s">
        <v>1194</v>
      </c>
      <c r="H171" s="123">
        <v>1</v>
      </c>
      <c r="I171" s="124">
        <v>90.56</v>
      </c>
      <c r="J171" s="124">
        <f t="shared" si="20"/>
        <v>90.56</v>
      </c>
      <c r="K171" s="121" t="s">
        <v>1</v>
      </c>
      <c r="L171" s="24"/>
      <c r="M171" s="125" t="s">
        <v>1</v>
      </c>
      <c r="N171" s="126" t="s">
        <v>32</v>
      </c>
      <c r="O171" s="127">
        <v>0</v>
      </c>
      <c r="P171" s="127">
        <f t="shared" si="21"/>
        <v>0</v>
      </c>
      <c r="Q171" s="127">
        <v>0</v>
      </c>
      <c r="R171" s="127">
        <f t="shared" si="22"/>
        <v>0</v>
      </c>
      <c r="S171" s="127">
        <v>0</v>
      </c>
      <c r="T171" s="128">
        <f t="shared" si="23"/>
        <v>0</v>
      </c>
      <c r="AR171" s="129" t="s">
        <v>235</v>
      </c>
      <c r="AT171" s="129" t="s">
        <v>231</v>
      </c>
      <c r="AU171" s="129" t="s">
        <v>76</v>
      </c>
      <c r="AY171" s="13" t="s">
        <v>228</v>
      </c>
      <c r="BE171" s="130">
        <f t="shared" si="24"/>
        <v>0</v>
      </c>
      <c r="BF171" s="130">
        <f t="shared" si="25"/>
        <v>90.56</v>
      </c>
      <c r="BG171" s="130">
        <f t="shared" si="26"/>
        <v>0</v>
      </c>
      <c r="BH171" s="130">
        <f t="shared" si="27"/>
        <v>0</v>
      </c>
      <c r="BI171" s="130">
        <f t="shared" si="28"/>
        <v>0</v>
      </c>
      <c r="BJ171" s="13" t="s">
        <v>76</v>
      </c>
      <c r="BK171" s="130">
        <f t="shared" si="29"/>
        <v>90.56</v>
      </c>
      <c r="BL171" s="13" t="s">
        <v>235</v>
      </c>
      <c r="BM171" s="129" t="s">
        <v>379</v>
      </c>
    </row>
    <row r="172" spans="2:65" s="1" customFormat="1" ht="16.5" customHeight="1" x14ac:dyDescent="0.2">
      <c r="B172" s="118"/>
      <c r="C172" s="119" t="s">
        <v>308</v>
      </c>
      <c r="D172" s="119" t="s">
        <v>231</v>
      </c>
      <c r="E172" s="120" t="s">
        <v>3023</v>
      </c>
      <c r="F172" s="121" t="s">
        <v>3024</v>
      </c>
      <c r="G172" s="122" t="s">
        <v>292</v>
      </c>
      <c r="H172" s="123">
        <v>36</v>
      </c>
      <c r="I172" s="124">
        <v>2.79</v>
      </c>
      <c r="J172" s="124">
        <f t="shared" si="20"/>
        <v>100.44</v>
      </c>
      <c r="K172" s="121" t="s">
        <v>1</v>
      </c>
      <c r="L172" s="24"/>
      <c r="M172" s="125" t="s">
        <v>1</v>
      </c>
      <c r="N172" s="126" t="s">
        <v>32</v>
      </c>
      <c r="O172" s="127">
        <v>0</v>
      </c>
      <c r="P172" s="127">
        <f t="shared" si="21"/>
        <v>0</v>
      </c>
      <c r="Q172" s="127">
        <v>0</v>
      </c>
      <c r="R172" s="127">
        <f t="shared" si="22"/>
        <v>0</v>
      </c>
      <c r="S172" s="127">
        <v>0</v>
      </c>
      <c r="T172" s="128">
        <f t="shared" si="23"/>
        <v>0</v>
      </c>
      <c r="AR172" s="129" t="s">
        <v>235</v>
      </c>
      <c r="AT172" s="129" t="s">
        <v>231</v>
      </c>
      <c r="AU172" s="129" t="s">
        <v>76</v>
      </c>
      <c r="AY172" s="13" t="s">
        <v>228</v>
      </c>
      <c r="BE172" s="130">
        <f t="shared" si="24"/>
        <v>0</v>
      </c>
      <c r="BF172" s="130">
        <f t="shared" si="25"/>
        <v>100.44</v>
      </c>
      <c r="BG172" s="130">
        <f t="shared" si="26"/>
        <v>0</v>
      </c>
      <c r="BH172" s="130">
        <f t="shared" si="27"/>
        <v>0</v>
      </c>
      <c r="BI172" s="130">
        <f t="shared" si="28"/>
        <v>0</v>
      </c>
      <c r="BJ172" s="13" t="s">
        <v>76</v>
      </c>
      <c r="BK172" s="130">
        <f t="shared" si="29"/>
        <v>100.44</v>
      </c>
      <c r="BL172" s="13" t="s">
        <v>235</v>
      </c>
      <c r="BM172" s="129" t="s">
        <v>382</v>
      </c>
    </row>
    <row r="173" spans="2:65" s="1" customFormat="1" ht="16.5" customHeight="1" x14ac:dyDescent="0.2">
      <c r="B173" s="118"/>
      <c r="C173" s="119" t="s">
        <v>383</v>
      </c>
      <c r="D173" s="119" t="s">
        <v>231</v>
      </c>
      <c r="E173" s="120" t="s">
        <v>3025</v>
      </c>
      <c r="F173" s="121" t="s">
        <v>3026</v>
      </c>
      <c r="G173" s="122" t="s">
        <v>292</v>
      </c>
      <c r="H173" s="123">
        <v>112</v>
      </c>
      <c r="I173" s="124">
        <v>0.7</v>
      </c>
      <c r="J173" s="124">
        <f t="shared" si="20"/>
        <v>78.400000000000006</v>
      </c>
      <c r="K173" s="121" t="s">
        <v>1</v>
      </c>
      <c r="L173" s="24"/>
      <c r="M173" s="125" t="s">
        <v>1</v>
      </c>
      <c r="N173" s="126" t="s">
        <v>32</v>
      </c>
      <c r="O173" s="127">
        <v>0</v>
      </c>
      <c r="P173" s="127">
        <f t="shared" si="21"/>
        <v>0</v>
      </c>
      <c r="Q173" s="127">
        <v>0</v>
      </c>
      <c r="R173" s="127">
        <f t="shared" si="22"/>
        <v>0</v>
      </c>
      <c r="S173" s="127">
        <v>0</v>
      </c>
      <c r="T173" s="128">
        <f t="shared" si="23"/>
        <v>0</v>
      </c>
      <c r="AR173" s="129" t="s">
        <v>235</v>
      </c>
      <c r="AT173" s="129" t="s">
        <v>231</v>
      </c>
      <c r="AU173" s="129" t="s">
        <v>76</v>
      </c>
      <c r="AY173" s="13" t="s">
        <v>228</v>
      </c>
      <c r="BE173" s="130">
        <f t="shared" si="24"/>
        <v>0</v>
      </c>
      <c r="BF173" s="130">
        <f t="shared" si="25"/>
        <v>78.400000000000006</v>
      </c>
      <c r="BG173" s="130">
        <f t="shared" si="26"/>
        <v>0</v>
      </c>
      <c r="BH173" s="130">
        <f t="shared" si="27"/>
        <v>0</v>
      </c>
      <c r="BI173" s="130">
        <f t="shared" si="28"/>
        <v>0</v>
      </c>
      <c r="BJ173" s="13" t="s">
        <v>76</v>
      </c>
      <c r="BK173" s="130">
        <f t="shared" si="29"/>
        <v>78.400000000000006</v>
      </c>
      <c r="BL173" s="13" t="s">
        <v>235</v>
      </c>
      <c r="BM173" s="129" t="s">
        <v>386</v>
      </c>
    </row>
    <row r="174" spans="2:65" s="11" customFormat="1" ht="22.95" customHeight="1" x14ac:dyDescent="0.25">
      <c r="B174" s="106"/>
      <c r="D174" s="107" t="s">
        <v>57</v>
      </c>
      <c r="E174" s="116" t="s">
        <v>1240</v>
      </c>
      <c r="F174" s="116" t="s">
        <v>3027</v>
      </c>
      <c r="J174" s="117">
        <f>BK174</f>
        <v>3584.6099999999997</v>
      </c>
      <c r="L174" s="106"/>
      <c r="M174" s="110"/>
      <c r="N174" s="111"/>
      <c r="O174" s="111"/>
      <c r="P174" s="112">
        <f>SUM(P175:P187)</f>
        <v>0</v>
      </c>
      <c r="Q174" s="111"/>
      <c r="R174" s="112">
        <f>SUM(R175:R187)</f>
        <v>0</v>
      </c>
      <c r="S174" s="111"/>
      <c r="T174" s="113">
        <f>SUM(T175:T187)</f>
        <v>0</v>
      </c>
      <c r="AR174" s="107" t="s">
        <v>63</v>
      </c>
      <c r="AT174" s="114" t="s">
        <v>57</v>
      </c>
      <c r="AU174" s="114" t="s">
        <v>63</v>
      </c>
      <c r="AY174" s="107" t="s">
        <v>228</v>
      </c>
      <c r="BK174" s="115">
        <f>SUM(BK175:BK187)</f>
        <v>3584.6099999999997</v>
      </c>
    </row>
    <row r="175" spans="2:65" s="1" customFormat="1" ht="16.5" customHeight="1" x14ac:dyDescent="0.2">
      <c r="B175" s="118"/>
      <c r="C175" s="119" t="s">
        <v>312</v>
      </c>
      <c r="D175" s="119" t="s">
        <v>231</v>
      </c>
      <c r="E175" s="120" t="s">
        <v>3028</v>
      </c>
      <c r="F175" s="121" t="s">
        <v>3029</v>
      </c>
      <c r="G175" s="122" t="s">
        <v>1194</v>
      </c>
      <c r="H175" s="123">
        <v>1</v>
      </c>
      <c r="I175" s="124">
        <v>104.49</v>
      </c>
      <c r="J175" s="124">
        <f t="shared" ref="J175:J187" si="30">ROUND(I175*H175,2)</f>
        <v>104.49</v>
      </c>
      <c r="K175" s="121" t="s">
        <v>1</v>
      </c>
      <c r="L175" s="24"/>
      <c r="M175" s="125" t="s">
        <v>1</v>
      </c>
      <c r="N175" s="126" t="s">
        <v>32</v>
      </c>
      <c r="O175" s="127">
        <v>0</v>
      </c>
      <c r="P175" s="127">
        <f t="shared" ref="P175:P187" si="31">O175*H175</f>
        <v>0</v>
      </c>
      <c r="Q175" s="127">
        <v>0</v>
      </c>
      <c r="R175" s="127">
        <f t="shared" ref="R175:R187" si="32">Q175*H175</f>
        <v>0</v>
      </c>
      <c r="S175" s="127">
        <v>0</v>
      </c>
      <c r="T175" s="128">
        <f t="shared" ref="T175:T187" si="33">S175*H175</f>
        <v>0</v>
      </c>
      <c r="AR175" s="129" t="s">
        <v>235</v>
      </c>
      <c r="AT175" s="129" t="s">
        <v>231</v>
      </c>
      <c r="AU175" s="129" t="s">
        <v>76</v>
      </c>
      <c r="AY175" s="13" t="s">
        <v>228</v>
      </c>
      <c r="BE175" s="130">
        <f t="shared" ref="BE175:BE187" si="34">IF(N175="základná",J175,0)</f>
        <v>0</v>
      </c>
      <c r="BF175" s="130">
        <f t="shared" ref="BF175:BF187" si="35">IF(N175="znížená",J175,0)</f>
        <v>104.49</v>
      </c>
      <c r="BG175" s="130">
        <f t="shared" ref="BG175:BG187" si="36">IF(N175="zákl. prenesená",J175,0)</f>
        <v>0</v>
      </c>
      <c r="BH175" s="130">
        <f t="shared" ref="BH175:BH187" si="37">IF(N175="zníž. prenesená",J175,0)</f>
        <v>0</v>
      </c>
      <c r="BI175" s="130">
        <f t="shared" ref="BI175:BI187" si="38">IF(N175="nulová",J175,0)</f>
        <v>0</v>
      </c>
      <c r="BJ175" s="13" t="s">
        <v>76</v>
      </c>
      <c r="BK175" s="130">
        <f t="shared" ref="BK175:BK187" si="39">ROUND(I175*H175,2)</f>
        <v>104.49</v>
      </c>
      <c r="BL175" s="13" t="s">
        <v>235</v>
      </c>
      <c r="BM175" s="129" t="s">
        <v>389</v>
      </c>
    </row>
    <row r="176" spans="2:65" s="1" customFormat="1" ht="16.5" customHeight="1" x14ac:dyDescent="0.2">
      <c r="B176" s="118"/>
      <c r="C176" s="119" t="s">
        <v>390</v>
      </c>
      <c r="D176" s="119" t="s">
        <v>231</v>
      </c>
      <c r="E176" s="120" t="s">
        <v>3030</v>
      </c>
      <c r="F176" s="121" t="s">
        <v>3031</v>
      </c>
      <c r="G176" s="122" t="s">
        <v>292</v>
      </c>
      <c r="H176" s="123">
        <v>1080</v>
      </c>
      <c r="I176" s="124">
        <v>0.96</v>
      </c>
      <c r="J176" s="124">
        <f t="shared" si="30"/>
        <v>1036.8</v>
      </c>
      <c r="K176" s="121" t="s">
        <v>1</v>
      </c>
      <c r="L176" s="24"/>
      <c r="M176" s="125" t="s">
        <v>1</v>
      </c>
      <c r="N176" s="126" t="s">
        <v>32</v>
      </c>
      <c r="O176" s="127">
        <v>0</v>
      </c>
      <c r="P176" s="127">
        <f t="shared" si="31"/>
        <v>0</v>
      </c>
      <c r="Q176" s="127">
        <v>0</v>
      </c>
      <c r="R176" s="127">
        <f t="shared" si="32"/>
        <v>0</v>
      </c>
      <c r="S176" s="127">
        <v>0</v>
      </c>
      <c r="T176" s="128">
        <f t="shared" si="33"/>
        <v>0</v>
      </c>
      <c r="AR176" s="129" t="s">
        <v>235</v>
      </c>
      <c r="AT176" s="129" t="s">
        <v>231</v>
      </c>
      <c r="AU176" s="129" t="s">
        <v>76</v>
      </c>
      <c r="AY176" s="13" t="s">
        <v>228</v>
      </c>
      <c r="BE176" s="130">
        <f t="shared" si="34"/>
        <v>0</v>
      </c>
      <c r="BF176" s="130">
        <f t="shared" si="35"/>
        <v>1036.8</v>
      </c>
      <c r="BG176" s="130">
        <f t="shared" si="36"/>
        <v>0</v>
      </c>
      <c r="BH176" s="130">
        <f t="shared" si="37"/>
        <v>0</v>
      </c>
      <c r="BI176" s="130">
        <f t="shared" si="38"/>
        <v>0</v>
      </c>
      <c r="BJ176" s="13" t="s">
        <v>76</v>
      </c>
      <c r="BK176" s="130">
        <f t="shared" si="39"/>
        <v>1036.8</v>
      </c>
      <c r="BL176" s="13" t="s">
        <v>235</v>
      </c>
      <c r="BM176" s="129" t="s">
        <v>393</v>
      </c>
    </row>
    <row r="177" spans="2:65" s="1" customFormat="1" ht="16.5" customHeight="1" x14ac:dyDescent="0.2">
      <c r="B177" s="118"/>
      <c r="C177" s="119" t="s">
        <v>316</v>
      </c>
      <c r="D177" s="119" t="s">
        <v>231</v>
      </c>
      <c r="E177" s="120" t="s">
        <v>3032</v>
      </c>
      <c r="F177" s="121" t="s">
        <v>3033</v>
      </c>
      <c r="G177" s="122" t="s">
        <v>292</v>
      </c>
      <c r="H177" s="123">
        <v>20</v>
      </c>
      <c r="I177" s="124">
        <v>1.24</v>
      </c>
      <c r="J177" s="124">
        <f t="shared" si="30"/>
        <v>24.8</v>
      </c>
      <c r="K177" s="121" t="s">
        <v>1</v>
      </c>
      <c r="L177" s="24"/>
      <c r="M177" s="125" t="s">
        <v>1</v>
      </c>
      <c r="N177" s="126" t="s">
        <v>32</v>
      </c>
      <c r="O177" s="127">
        <v>0</v>
      </c>
      <c r="P177" s="127">
        <f t="shared" si="31"/>
        <v>0</v>
      </c>
      <c r="Q177" s="127">
        <v>0</v>
      </c>
      <c r="R177" s="127">
        <f t="shared" si="32"/>
        <v>0</v>
      </c>
      <c r="S177" s="127">
        <v>0</v>
      </c>
      <c r="T177" s="128">
        <f t="shared" si="33"/>
        <v>0</v>
      </c>
      <c r="AR177" s="129" t="s">
        <v>235</v>
      </c>
      <c r="AT177" s="129" t="s">
        <v>231</v>
      </c>
      <c r="AU177" s="129" t="s">
        <v>76</v>
      </c>
      <c r="AY177" s="13" t="s">
        <v>228</v>
      </c>
      <c r="BE177" s="130">
        <f t="shared" si="34"/>
        <v>0</v>
      </c>
      <c r="BF177" s="130">
        <f t="shared" si="35"/>
        <v>24.8</v>
      </c>
      <c r="BG177" s="130">
        <f t="shared" si="36"/>
        <v>0</v>
      </c>
      <c r="BH177" s="130">
        <f t="shared" si="37"/>
        <v>0</v>
      </c>
      <c r="BI177" s="130">
        <f t="shared" si="38"/>
        <v>0</v>
      </c>
      <c r="BJ177" s="13" t="s">
        <v>76</v>
      </c>
      <c r="BK177" s="130">
        <f t="shared" si="39"/>
        <v>24.8</v>
      </c>
      <c r="BL177" s="13" t="s">
        <v>235</v>
      </c>
      <c r="BM177" s="129" t="s">
        <v>396</v>
      </c>
    </row>
    <row r="178" spans="2:65" s="1" customFormat="1" ht="16.5" customHeight="1" x14ac:dyDescent="0.2">
      <c r="B178" s="118"/>
      <c r="C178" s="119" t="s">
        <v>397</v>
      </c>
      <c r="D178" s="119" t="s">
        <v>231</v>
      </c>
      <c r="E178" s="120" t="s">
        <v>3034</v>
      </c>
      <c r="F178" s="121" t="s">
        <v>3035</v>
      </c>
      <c r="G178" s="122" t="s">
        <v>292</v>
      </c>
      <c r="H178" s="123">
        <v>256</v>
      </c>
      <c r="I178" s="124">
        <v>0.68</v>
      </c>
      <c r="J178" s="124">
        <f t="shared" si="30"/>
        <v>174.08</v>
      </c>
      <c r="K178" s="121" t="s">
        <v>1</v>
      </c>
      <c r="L178" s="24"/>
      <c r="M178" s="125" t="s">
        <v>1</v>
      </c>
      <c r="N178" s="126" t="s">
        <v>32</v>
      </c>
      <c r="O178" s="127">
        <v>0</v>
      </c>
      <c r="P178" s="127">
        <f t="shared" si="31"/>
        <v>0</v>
      </c>
      <c r="Q178" s="127">
        <v>0</v>
      </c>
      <c r="R178" s="127">
        <f t="shared" si="32"/>
        <v>0</v>
      </c>
      <c r="S178" s="127">
        <v>0</v>
      </c>
      <c r="T178" s="128">
        <f t="shared" si="33"/>
        <v>0</v>
      </c>
      <c r="AR178" s="129" t="s">
        <v>235</v>
      </c>
      <c r="AT178" s="129" t="s">
        <v>231</v>
      </c>
      <c r="AU178" s="129" t="s">
        <v>76</v>
      </c>
      <c r="AY178" s="13" t="s">
        <v>228</v>
      </c>
      <c r="BE178" s="130">
        <f t="shared" si="34"/>
        <v>0</v>
      </c>
      <c r="BF178" s="130">
        <f t="shared" si="35"/>
        <v>174.08</v>
      </c>
      <c r="BG178" s="130">
        <f t="shared" si="36"/>
        <v>0</v>
      </c>
      <c r="BH178" s="130">
        <f t="shared" si="37"/>
        <v>0</v>
      </c>
      <c r="BI178" s="130">
        <f t="shared" si="38"/>
        <v>0</v>
      </c>
      <c r="BJ178" s="13" t="s">
        <v>76</v>
      </c>
      <c r="BK178" s="130">
        <f t="shared" si="39"/>
        <v>174.08</v>
      </c>
      <c r="BL178" s="13" t="s">
        <v>235</v>
      </c>
      <c r="BM178" s="129" t="s">
        <v>400</v>
      </c>
    </row>
    <row r="179" spans="2:65" s="1" customFormat="1" ht="16.5" customHeight="1" x14ac:dyDescent="0.2">
      <c r="B179" s="118"/>
      <c r="C179" s="119" t="s">
        <v>319</v>
      </c>
      <c r="D179" s="119" t="s">
        <v>231</v>
      </c>
      <c r="E179" s="120" t="s">
        <v>3036</v>
      </c>
      <c r="F179" s="121" t="s">
        <v>3037</v>
      </c>
      <c r="G179" s="122" t="s">
        <v>292</v>
      </c>
      <c r="H179" s="123">
        <v>150</v>
      </c>
      <c r="I179" s="124">
        <v>1.46</v>
      </c>
      <c r="J179" s="124">
        <f t="shared" si="30"/>
        <v>219</v>
      </c>
      <c r="K179" s="121" t="s">
        <v>1</v>
      </c>
      <c r="L179" s="24"/>
      <c r="M179" s="125" t="s">
        <v>1</v>
      </c>
      <c r="N179" s="126" t="s">
        <v>32</v>
      </c>
      <c r="O179" s="127">
        <v>0</v>
      </c>
      <c r="P179" s="127">
        <f t="shared" si="31"/>
        <v>0</v>
      </c>
      <c r="Q179" s="127">
        <v>0</v>
      </c>
      <c r="R179" s="127">
        <f t="shared" si="32"/>
        <v>0</v>
      </c>
      <c r="S179" s="127">
        <v>0</v>
      </c>
      <c r="T179" s="128">
        <f t="shared" si="33"/>
        <v>0</v>
      </c>
      <c r="AR179" s="129" t="s">
        <v>235</v>
      </c>
      <c r="AT179" s="129" t="s">
        <v>231</v>
      </c>
      <c r="AU179" s="129" t="s">
        <v>76</v>
      </c>
      <c r="AY179" s="13" t="s">
        <v>228</v>
      </c>
      <c r="BE179" s="130">
        <f t="shared" si="34"/>
        <v>0</v>
      </c>
      <c r="BF179" s="130">
        <f t="shared" si="35"/>
        <v>219</v>
      </c>
      <c r="BG179" s="130">
        <f t="shared" si="36"/>
        <v>0</v>
      </c>
      <c r="BH179" s="130">
        <f t="shared" si="37"/>
        <v>0</v>
      </c>
      <c r="BI179" s="130">
        <f t="shared" si="38"/>
        <v>0</v>
      </c>
      <c r="BJ179" s="13" t="s">
        <v>76</v>
      </c>
      <c r="BK179" s="130">
        <f t="shared" si="39"/>
        <v>219</v>
      </c>
      <c r="BL179" s="13" t="s">
        <v>235</v>
      </c>
      <c r="BM179" s="129" t="s">
        <v>404</v>
      </c>
    </row>
    <row r="180" spans="2:65" s="1" customFormat="1" ht="16.5" customHeight="1" x14ac:dyDescent="0.2">
      <c r="B180" s="118"/>
      <c r="C180" s="119" t="s">
        <v>407</v>
      </c>
      <c r="D180" s="119" t="s">
        <v>231</v>
      </c>
      <c r="E180" s="120" t="s">
        <v>3038</v>
      </c>
      <c r="F180" s="121" t="s">
        <v>3039</v>
      </c>
      <c r="G180" s="122" t="s">
        <v>292</v>
      </c>
      <c r="H180" s="123">
        <v>200</v>
      </c>
      <c r="I180" s="124">
        <v>1.6</v>
      </c>
      <c r="J180" s="124">
        <f t="shared" si="30"/>
        <v>320</v>
      </c>
      <c r="K180" s="121" t="s">
        <v>1</v>
      </c>
      <c r="L180" s="24"/>
      <c r="M180" s="125" t="s">
        <v>1</v>
      </c>
      <c r="N180" s="126" t="s">
        <v>32</v>
      </c>
      <c r="O180" s="127">
        <v>0</v>
      </c>
      <c r="P180" s="127">
        <f t="shared" si="31"/>
        <v>0</v>
      </c>
      <c r="Q180" s="127">
        <v>0</v>
      </c>
      <c r="R180" s="127">
        <f t="shared" si="32"/>
        <v>0</v>
      </c>
      <c r="S180" s="127">
        <v>0</v>
      </c>
      <c r="T180" s="128">
        <f t="shared" si="33"/>
        <v>0</v>
      </c>
      <c r="AR180" s="129" t="s">
        <v>235</v>
      </c>
      <c r="AT180" s="129" t="s">
        <v>231</v>
      </c>
      <c r="AU180" s="129" t="s">
        <v>76</v>
      </c>
      <c r="AY180" s="13" t="s">
        <v>228</v>
      </c>
      <c r="BE180" s="130">
        <f t="shared" si="34"/>
        <v>0</v>
      </c>
      <c r="BF180" s="130">
        <f t="shared" si="35"/>
        <v>320</v>
      </c>
      <c r="BG180" s="130">
        <f t="shared" si="36"/>
        <v>0</v>
      </c>
      <c r="BH180" s="130">
        <f t="shared" si="37"/>
        <v>0</v>
      </c>
      <c r="BI180" s="130">
        <f t="shared" si="38"/>
        <v>0</v>
      </c>
      <c r="BJ180" s="13" t="s">
        <v>76</v>
      </c>
      <c r="BK180" s="130">
        <f t="shared" si="39"/>
        <v>320</v>
      </c>
      <c r="BL180" s="13" t="s">
        <v>235</v>
      </c>
      <c r="BM180" s="129" t="s">
        <v>410</v>
      </c>
    </row>
    <row r="181" spans="2:65" s="1" customFormat="1" ht="16.5" customHeight="1" x14ac:dyDescent="0.2">
      <c r="B181" s="118"/>
      <c r="C181" s="119" t="s">
        <v>323</v>
      </c>
      <c r="D181" s="119" t="s">
        <v>231</v>
      </c>
      <c r="E181" s="120" t="s">
        <v>3040</v>
      </c>
      <c r="F181" s="121" t="s">
        <v>3041</v>
      </c>
      <c r="G181" s="122" t="s">
        <v>292</v>
      </c>
      <c r="H181" s="123">
        <v>40</v>
      </c>
      <c r="I181" s="124">
        <v>10.86</v>
      </c>
      <c r="J181" s="124">
        <f t="shared" si="30"/>
        <v>434.4</v>
      </c>
      <c r="K181" s="121" t="s">
        <v>1</v>
      </c>
      <c r="L181" s="24"/>
      <c r="M181" s="125" t="s">
        <v>1</v>
      </c>
      <c r="N181" s="126" t="s">
        <v>32</v>
      </c>
      <c r="O181" s="127">
        <v>0</v>
      </c>
      <c r="P181" s="127">
        <f t="shared" si="31"/>
        <v>0</v>
      </c>
      <c r="Q181" s="127">
        <v>0</v>
      </c>
      <c r="R181" s="127">
        <f t="shared" si="32"/>
        <v>0</v>
      </c>
      <c r="S181" s="127">
        <v>0</v>
      </c>
      <c r="T181" s="128">
        <f t="shared" si="33"/>
        <v>0</v>
      </c>
      <c r="AR181" s="129" t="s">
        <v>235</v>
      </c>
      <c r="AT181" s="129" t="s">
        <v>231</v>
      </c>
      <c r="AU181" s="129" t="s">
        <v>76</v>
      </c>
      <c r="AY181" s="13" t="s">
        <v>228</v>
      </c>
      <c r="BE181" s="130">
        <f t="shared" si="34"/>
        <v>0</v>
      </c>
      <c r="BF181" s="130">
        <f t="shared" si="35"/>
        <v>434.4</v>
      </c>
      <c r="BG181" s="130">
        <f t="shared" si="36"/>
        <v>0</v>
      </c>
      <c r="BH181" s="130">
        <f t="shared" si="37"/>
        <v>0</v>
      </c>
      <c r="BI181" s="130">
        <f t="shared" si="38"/>
        <v>0</v>
      </c>
      <c r="BJ181" s="13" t="s">
        <v>76</v>
      </c>
      <c r="BK181" s="130">
        <f t="shared" si="39"/>
        <v>434.4</v>
      </c>
      <c r="BL181" s="13" t="s">
        <v>235</v>
      </c>
      <c r="BM181" s="129" t="s">
        <v>414</v>
      </c>
    </row>
    <row r="182" spans="2:65" s="1" customFormat="1" ht="16.5" customHeight="1" x14ac:dyDescent="0.2">
      <c r="B182" s="118"/>
      <c r="C182" s="119" t="s">
        <v>415</v>
      </c>
      <c r="D182" s="119" t="s">
        <v>231</v>
      </c>
      <c r="E182" s="120" t="s">
        <v>3042</v>
      </c>
      <c r="F182" s="121" t="s">
        <v>3043</v>
      </c>
      <c r="G182" s="122" t="s">
        <v>292</v>
      </c>
      <c r="H182" s="123">
        <v>20</v>
      </c>
      <c r="I182" s="124">
        <v>12.05</v>
      </c>
      <c r="J182" s="124">
        <f t="shared" si="30"/>
        <v>241</v>
      </c>
      <c r="K182" s="121" t="s">
        <v>1</v>
      </c>
      <c r="L182" s="24"/>
      <c r="M182" s="125" t="s">
        <v>1</v>
      </c>
      <c r="N182" s="126" t="s">
        <v>32</v>
      </c>
      <c r="O182" s="127">
        <v>0</v>
      </c>
      <c r="P182" s="127">
        <f t="shared" si="31"/>
        <v>0</v>
      </c>
      <c r="Q182" s="127">
        <v>0</v>
      </c>
      <c r="R182" s="127">
        <f t="shared" si="32"/>
        <v>0</v>
      </c>
      <c r="S182" s="127">
        <v>0</v>
      </c>
      <c r="T182" s="128">
        <f t="shared" si="33"/>
        <v>0</v>
      </c>
      <c r="AR182" s="129" t="s">
        <v>235</v>
      </c>
      <c r="AT182" s="129" t="s">
        <v>231</v>
      </c>
      <c r="AU182" s="129" t="s">
        <v>76</v>
      </c>
      <c r="AY182" s="13" t="s">
        <v>228</v>
      </c>
      <c r="BE182" s="130">
        <f t="shared" si="34"/>
        <v>0</v>
      </c>
      <c r="BF182" s="130">
        <f t="shared" si="35"/>
        <v>241</v>
      </c>
      <c r="BG182" s="130">
        <f t="shared" si="36"/>
        <v>0</v>
      </c>
      <c r="BH182" s="130">
        <f t="shared" si="37"/>
        <v>0</v>
      </c>
      <c r="BI182" s="130">
        <f t="shared" si="38"/>
        <v>0</v>
      </c>
      <c r="BJ182" s="13" t="s">
        <v>76</v>
      </c>
      <c r="BK182" s="130">
        <f t="shared" si="39"/>
        <v>241</v>
      </c>
      <c r="BL182" s="13" t="s">
        <v>235</v>
      </c>
      <c r="BM182" s="129" t="s">
        <v>418</v>
      </c>
    </row>
    <row r="183" spans="2:65" s="1" customFormat="1" ht="16.5" customHeight="1" x14ac:dyDescent="0.2">
      <c r="B183" s="118"/>
      <c r="C183" s="119" t="s">
        <v>326</v>
      </c>
      <c r="D183" s="119" t="s">
        <v>231</v>
      </c>
      <c r="E183" s="120" t="s">
        <v>3044</v>
      </c>
      <c r="F183" s="121" t="s">
        <v>3045</v>
      </c>
      <c r="G183" s="122" t="s">
        <v>1194</v>
      </c>
      <c r="H183" s="123">
        <v>86</v>
      </c>
      <c r="I183" s="124">
        <v>8.2799999999999994</v>
      </c>
      <c r="J183" s="124">
        <f t="shared" si="30"/>
        <v>712.08</v>
      </c>
      <c r="K183" s="121" t="s">
        <v>1</v>
      </c>
      <c r="L183" s="24"/>
      <c r="M183" s="125" t="s">
        <v>1</v>
      </c>
      <c r="N183" s="126" t="s">
        <v>32</v>
      </c>
      <c r="O183" s="127">
        <v>0</v>
      </c>
      <c r="P183" s="127">
        <f t="shared" si="31"/>
        <v>0</v>
      </c>
      <c r="Q183" s="127">
        <v>0</v>
      </c>
      <c r="R183" s="127">
        <f t="shared" si="32"/>
        <v>0</v>
      </c>
      <c r="S183" s="127">
        <v>0</v>
      </c>
      <c r="T183" s="128">
        <f t="shared" si="33"/>
        <v>0</v>
      </c>
      <c r="AR183" s="129" t="s">
        <v>235</v>
      </c>
      <c r="AT183" s="129" t="s">
        <v>231</v>
      </c>
      <c r="AU183" s="129" t="s">
        <v>76</v>
      </c>
      <c r="AY183" s="13" t="s">
        <v>228</v>
      </c>
      <c r="BE183" s="130">
        <f t="shared" si="34"/>
        <v>0</v>
      </c>
      <c r="BF183" s="130">
        <f t="shared" si="35"/>
        <v>712.08</v>
      </c>
      <c r="BG183" s="130">
        <f t="shared" si="36"/>
        <v>0</v>
      </c>
      <c r="BH183" s="130">
        <f t="shared" si="37"/>
        <v>0</v>
      </c>
      <c r="BI183" s="130">
        <f t="shared" si="38"/>
        <v>0</v>
      </c>
      <c r="BJ183" s="13" t="s">
        <v>76</v>
      </c>
      <c r="BK183" s="130">
        <f t="shared" si="39"/>
        <v>712.08</v>
      </c>
      <c r="BL183" s="13" t="s">
        <v>235</v>
      </c>
      <c r="BM183" s="129" t="s">
        <v>421</v>
      </c>
    </row>
    <row r="184" spans="2:65" s="1" customFormat="1" ht="16.5" customHeight="1" x14ac:dyDescent="0.2">
      <c r="B184" s="118"/>
      <c r="C184" s="119" t="s">
        <v>422</v>
      </c>
      <c r="D184" s="119" t="s">
        <v>231</v>
      </c>
      <c r="E184" s="120" t="s">
        <v>3046</v>
      </c>
      <c r="F184" s="121" t="s">
        <v>3047</v>
      </c>
      <c r="G184" s="122" t="s">
        <v>1194</v>
      </c>
      <c r="H184" s="123">
        <v>1</v>
      </c>
      <c r="I184" s="124">
        <v>90.56</v>
      </c>
      <c r="J184" s="124">
        <f t="shared" si="30"/>
        <v>90.56</v>
      </c>
      <c r="K184" s="121" t="s">
        <v>1</v>
      </c>
      <c r="L184" s="24"/>
      <c r="M184" s="125" t="s">
        <v>1</v>
      </c>
      <c r="N184" s="126" t="s">
        <v>32</v>
      </c>
      <c r="O184" s="127">
        <v>0</v>
      </c>
      <c r="P184" s="127">
        <f t="shared" si="31"/>
        <v>0</v>
      </c>
      <c r="Q184" s="127">
        <v>0</v>
      </c>
      <c r="R184" s="127">
        <f t="shared" si="32"/>
        <v>0</v>
      </c>
      <c r="S184" s="127">
        <v>0</v>
      </c>
      <c r="T184" s="128">
        <f t="shared" si="33"/>
        <v>0</v>
      </c>
      <c r="AR184" s="129" t="s">
        <v>235</v>
      </c>
      <c r="AT184" s="129" t="s">
        <v>231</v>
      </c>
      <c r="AU184" s="129" t="s">
        <v>76</v>
      </c>
      <c r="AY184" s="13" t="s">
        <v>228</v>
      </c>
      <c r="BE184" s="130">
        <f t="shared" si="34"/>
        <v>0</v>
      </c>
      <c r="BF184" s="130">
        <f t="shared" si="35"/>
        <v>90.56</v>
      </c>
      <c r="BG184" s="130">
        <f t="shared" si="36"/>
        <v>0</v>
      </c>
      <c r="BH184" s="130">
        <f t="shared" si="37"/>
        <v>0</v>
      </c>
      <c r="BI184" s="130">
        <f t="shared" si="38"/>
        <v>0</v>
      </c>
      <c r="BJ184" s="13" t="s">
        <v>76</v>
      </c>
      <c r="BK184" s="130">
        <f t="shared" si="39"/>
        <v>90.56</v>
      </c>
      <c r="BL184" s="13" t="s">
        <v>235</v>
      </c>
      <c r="BM184" s="129" t="s">
        <v>425</v>
      </c>
    </row>
    <row r="185" spans="2:65" s="1" customFormat="1" ht="16.5" customHeight="1" x14ac:dyDescent="0.2">
      <c r="B185" s="118"/>
      <c r="C185" s="119" t="s">
        <v>330</v>
      </c>
      <c r="D185" s="119" t="s">
        <v>231</v>
      </c>
      <c r="E185" s="120" t="s">
        <v>3048</v>
      </c>
      <c r="F185" s="121" t="s">
        <v>3049</v>
      </c>
      <c r="G185" s="122" t="s">
        <v>292</v>
      </c>
      <c r="H185" s="123">
        <v>36</v>
      </c>
      <c r="I185" s="124">
        <v>2.0499999999999998</v>
      </c>
      <c r="J185" s="124">
        <f t="shared" si="30"/>
        <v>73.8</v>
      </c>
      <c r="K185" s="121" t="s">
        <v>1</v>
      </c>
      <c r="L185" s="24"/>
      <c r="M185" s="125" t="s">
        <v>1</v>
      </c>
      <c r="N185" s="126" t="s">
        <v>32</v>
      </c>
      <c r="O185" s="127">
        <v>0</v>
      </c>
      <c r="P185" s="127">
        <f t="shared" si="31"/>
        <v>0</v>
      </c>
      <c r="Q185" s="127">
        <v>0</v>
      </c>
      <c r="R185" s="127">
        <f t="shared" si="32"/>
        <v>0</v>
      </c>
      <c r="S185" s="127">
        <v>0</v>
      </c>
      <c r="T185" s="128">
        <f t="shared" si="33"/>
        <v>0</v>
      </c>
      <c r="AR185" s="129" t="s">
        <v>235</v>
      </c>
      <c r="AT185" s="129" t="s">
        <v>231</v>
      </c>
      <c r="AU185" s="129" t="s">
        <v>76</v>
      </c>
      <c r="AY185" s="13" t="s">
        <v>228</v>
      </c>
      <c r="BE185" s="130">
        <f t="shared" si="34"/>
        <v>0</v>
      </c>
      <c r="BF185" s="130">
        <f t="shared" si="35"/>
        <v>73.8</v>
      </c>
      <c r="BG185" s="130">
        <f t="shared" si="36"/>
        <v>0</v>
      </c>
      <c r="BH185" s="130">
        <f t="shared" si="37"/>
        <v>0</v>
      </c>
      <c r="BI185" s="130">
        <f t="shared" si="38"/>
        <v>0</v>
      </c>
      <c r="BJ185" s="13" t="s">
        <v>76</v>
      </c>
      <c r="BK185" s="130">
        <f t="shared" si="39"/>
        <v>73.8</v>
      </c>
      <c r="BL185" s="13" t="s">
        <v>235</v>
      </c>
      <c r="BM185" s="129" t="s">
        <v>428</v>
      </c>
    </row>
    <row r="186" spans="2:65" s="1" customFormat="1" ht="16.5" customHeight="1" x14ac:dyDescent="0.2">
      <c r="B186" s="118"/>
      <c r="C186" s="119" t="s">
        <v>429</v>
      </c>
      <c r="D186" s="119" t="s">
        <v>231</v>
      </c>
      <c r="E186" s="120" t="s">
        <v>3050</v>
      </c>
      <c r="F186" s="121" t="s">
        <v>3051</v>
      </c>
      <c r="G186" s="122" t="s">
        <v>292</v>
      </c>
      <c r="H186" s="123">
        <v>112</v>
      </c>
      <c r="I186" s="124">
        <v>0.7</v>
      </c>
      <c r="J186" s="124">
        <f t="shared" si="30"/>
        <v>78.400000000000006</v>
      </c>
      <c r="K186" s="121" t="s">
        <v>1</v>
      </c>
      <c r="L186" s="24"/>
      <c r="M186" s="125" t="s">
        <v>1</v>
      </c>
      <c r="N186" s="126" t="s">
        <v>32</v>
      </c>
      <c r="O186" s="127">
        <v>0</v>
      </c>
      <c r="P186" s="127">
        <f t="shared" si="31"/>
        <v>0</v>
      </c>
      <c r="Q186" s="127">
        <v>0</v>
      </c>
      <c r="R186" s="127">
        <f t="shared" si="32"/>
        <v>0</v>
      </c>
      <c r="S186" s="127">
        <v>0</v>
      </c>
      <c r="T186" s="128">
        <f t="shared" si="33"/>
        <v>0</v>
      </c>
      <c r="AR186" s="129" t="s">
        <v>235</v>
      </c>
      <c r="AT186" s="129" t="s">
        <v>231</v>
      </c>
      <c r="AU186" s="129" t="s">
        <v>76</v>
      </c>
      <c r="AY186" s="13" t="s">
        <v>228</v>
      </c>
      <c r="BE186" s="130">
        <f t="shared" si="34"/>
        <v>0</v>
      </c>
      <c r="BF186" s="130">
        <f t="shared" si="35"/>
        <v>78.400000000000006</v>
      </c>
      <c r="BG186" s="130">
        <f t="shared" si="36"/>
        <v>0</v>
      </c>
      <c r="BH186" s="130">
        <f t="shared" si="37"/>
        <v>0</v>
      </c>
      <c r="BI186" s="130">
        <f t="shared" si="38"/>
        <v>0</v>
      </c>
      <c r="BJ186" s="13" t="s">
        <v>76</v>
      </c>
      <c r="BK186" s="130">
        <f t="shared" si="39"/>
        <v>78.400000000000006</v>
      </c>
      <c r="BL186" s="13" t="s">
        <v>235</v>
      </c>
      <c r="BM186" s="129" t="s">
        <v>432</v>
      </c>
    </row>
    <row r="187" spans="2:65" s="1" customFormat="1" ht="16.5" customHeight="1" x14ac:dyDescent="0.2">
      <c r="B187" s="118"/>
      <c r="C187" s="119" t="s">
        <v>333</v>
      </c>
      <c r="D187" s="119" t="s">
        <v>231</v>
      </c>
      <c r="E187" s="120" t="s">
        <v>3052</v>
      </c>
      <c r="F187" s="121" t="s">
        <v>3053</v>
      </c>
      <c r="G187" s="122" t="s">
        <v>292</v>
      </c>
      <c r="H187" s="123">
        <v>20</v>
      </c>
      <c r="I187" s="124">
        <v>3.76</v>
      </c>
      <c r="J187" s="124">
        <f t="shared" si="30"/>
        <v>75.2</v>
      </c>
      <c r="K187" s="121" t="s">
        <v>1</v>
      </c>
      <c r="L187" s="24"/>
      <c r="M187" s="125" t="s">
        <v>1</v>
      </c>
      <c r="N187" s="126" t="s">
        <v>32</v>
      </c>
      <c r="O187" s="127">
        <v>0</v>
      </c>
      <c r="P187" s="127">
        <f t="shared" si="31"/>
        <v>0</v>
      </c>
      <c r="Q187" s="127">
        <v>0</v>
      </c>
      <c r="R187" s="127">
        <f t="shared" si="32"/>
        <v>0</v>
      </c>
      <c r="S187" s="127">
        <v>0</v>
      </c>
      <c r="T187" s="128">
        <f t="shared" si="33"/>
        <v>0</v>
      </c>
      <c r="AR187" s="129" t="s">
        <v>235</v>
      </c>
      <c r="AT187" s="129" t="s">
        <v>231</v>
      </c>
      <c r="AU187" s="129" t="s">
        <v>76</v>
      </c>
      <c r="AY187" s="13" t="s">
        <v>228</v>
      </c>
      <c r="BE187" s="130">
        <f t="shared" si="34"/>
        <v>0</v>
      </c>
      <c r="BF187" s="130">
        <f t="shared" si="35"/>
        <v>75.2</v>
      </c>
      <c r="BG187" s="130">
        <f t="shared" si="36"/>
        <v>0</v>
      </c>
      <c r="BH187" s="130">
        <f t="shared" si="37"/>
        <v>0</v>
      </c>
      <c r="BI187" s="130">
        <f t="shared" si="38"/>
        <v>0</v>
      </c>
      <c r="BJ187" s="13" t="s">
        <v>76</v>
      </c>
      <c r="BK187" s="130">
        <f t="shared" si="39"/>
        <v>75.2</v>
      </c>
      <c r="BL187" s="13" t="s">
        <v>235</v>
      </c>
      <c r="BM187" s="129" t="s">
        <v>435</v>
      </c>
    </row>
    <row r="188" spans="2:65" s="11" customFormat="1" ht="22.95" customHeight="1" x14ac:dyDescent="0.25">
      <c r="B188" s="106"/>
      <c r="D188" s="107" t="s">
        <v>57</v>
      </c>
      <c r="E188" s="116" t="s">
        <v>1247</v>
      </c>
      <c r="F188" s="116" t="s">
        <v>3054</v>
      </c>
      <c r="J188" s="117">
        <f>BK188</f>
        <v>233.84000000000003</v>
      </c>
      <c r="L188" s="106"/>
      <c r="M188" s="110"/>
      <c r="N188" s="111"/>
      <c r="O188" s="111"/>
      <c r="P188" s="112">
        <f>SUM(P189:P191)</f>
        <v>0</v>
      </c>
      <c r="Q188" s="111"/>
      <c r="R188" s="112">
        <f>SUM(R189:R191)</f>
        <v>0</v>
      </c>
      <c r="S188" s="111"/>
      <c r="T188" s="113">
        <f>SUM(T189:T191)</f>
        <v>0</v>
      </c>
      <c r="AR188" s="107" t="s">
        <v>63</v>
      </c>
      <c r="AT188" s="114" t="s">
        <v>57</v>
      </c>
      <c r="AU188" s="114" t="s">
        <v>63</v>
      </c>
      <c r="AY188" s="107" t="s">
        <v>228</v>
      </c>
      <c r="BK188" s="115">
        <f>SUM(BK189:BK191)</f>
        <v>233.84000000000003</v>
      </c>
    </row>
    <row r="189" spans="2:65" s="1" customFormat="1" ht="16.5" customHeight="1" x14ac:dyDescent="0.2">
      <c r="B189" s="118"/>
      <c r="C189" s="119" t="s">
        <v>438</v>
      </c>
      <c r="D189" s="119" t="s">
        <v>231</v>
      </c>
      <c r="E189" s="120" t="s">
        <v>3055</v>
      </c>
      <c r="F189" s="121" t="s">
        <v>3056</v>
      </c>
      <c r="G189" s="122" t="s">
        <v>570</v>
      </c>
      <c r="H189" s="123">
        <v>1</v>
      </c>
      <c r="I189" s="124">
        <v>79.42</v>
      </c>
      <c r="J189" s="124">
        <f>ROUND(I189*H189,2)</f>
        <v>79.42</v>
      </c>
      <c r="K189" s="121" t="s">
        <v>1</v>
      </c>
      <c r="L189" s="24"/>
      <c r="M189" s="125" t="s">
        <v>1</v>
      </c>
      <c r="N189" s="126" t="s">
        <v>32</v>
      </c>
      <c r="O189" s="127">
        <v>0</v>
      </c>
      <c r="P189" s="127">
        <f>O189*H189</f>
        <v>0</v>
      </c>
      <c r="Q189" s="127">
        <v>0</v>
      </c>
      <c r="R189" s="127">
        <f>Q189*H189</f>
        <v>0</v>
      </c>
      <c r="S189" s="127">
        <v>0</v>
      </c>
      <c r="T189" s="128">
        <f>S189*H189</f>
        <v>0</v>
      </c>
      <c r="AR189" s="129" t="s">
        <v>235</v>
      </c>
      <c r="AT189" s="129" t="s">
        <v>231</v>
      </c>
      <c r="AU189" s="129" t="s">
        <v>76</v>
      </c>
      <c r="AY189" s="13" t="s">
        <v>228</v>
      </c>
      <c r="BE189" s="130">
        <f>IF(N189="základná",J189,0)</f>
        <v>0</v>
      </c>
      <c r="BF189" s="130">
        <f>IF(N189="znížená",J189,0)</f>
        <v>79.42</v>
      </c>
      <c r="BG189" s="130">
        <f>IF(N189="zákl. prenesená",J189,0)</f>
        <v>0</v>
      </c>
      <c r="BH189" s="130">
        <f>IF(N189="zníž. prenesená",J189,0)</f>
        <v>0</v>
      </c>
      <c r="BI189" s="130">
        <f>IF(N189="nulová",J189,0)</f>
        <v>0</v>
      </c>
      <c r="BJ189" s="13" t="s">
        <v>76</v>
      </c>
      <c r="BK189" s="130">
        <f>ROUND(I189*H189,2)</f>
        <v>79.42</v>
      </c>
      <c r="BL189" s="13" t="s">
        <v>235</v>
      </c>
      <c r="BM189" s="129" t="s">
        <v>441</v>
      </c>
    </row>
    <row r="190" spans="2:65" s="1" customFormat="1" ht="16.5" customHeight="1" x14ac:dyDescent="0.2">
      <c r="B190" s="118"/>
      <c r="C190" s="119" t="s">
        <v>337</v>
      </c>
      <c r="D190" s="119" t="s">
        <v>231</v>
      </c>
      <c r="E190" s="120" t="s">
        <v>3057</v>
      </c>
      <c r="F190" s="121" t="s">
        <v>3058</v>
      </c>
      <c r="G190" s="122" t="s">
        <v>570</v>
      </c>
      <c r="H190" s="123">
        <v>1</v>
      </c>
      <c r="I190" s="124">
        <v>22.06</v>
      </c>
      <c r="J190" s="124">
        <f>ROUND(I190*H190,2)</f>
        <v>22.06</v>
      </c>
      <c r="K190" s="121" t="s">
        <v>1</v>
      </c>
      <c r="L190" s="24"/>
      <c r="M190" s="125" t="s">
        <v>1</v>
      </c>
      <c r="N190" s="126" t="s">
        <v>32</v>
      </c>
      <c r="O190" s="127">
        <v>0</v>
      </c>
      <c r="P190" s="127">
        <f>O190*H190</f>
        <v>0</v>
      </c>
      <c r="Q190" s="127">
        <v>0</v>
      </c>
      <c r="R190" s="127">
        <f>Q190*H190</f>
        <v>0</v>
      </c>
      <c r="S190" s="127">
        <v>0</v>
      </c>
      <c r="T190" s="128">
        <f>S190*H190</f>
        <v>0</v>
      </c>
      <c r="AR190" s="129" t="s">
        <v>235</v>
      </c>
      <c r="AT190" s="129" t="s">
        <v>231</v>
      </c>
      <c r="AU190" s="129" t="s">
        <v>76</v>
      </c>
      <c r="AY190" s="13" t="s">
        <v>228</v>
      </c>
      <c r="BE190" s="130">
        <f>IF(N190="základná",J190,0)</f>
        <v>0</v>
      </c>
      <c r="BF190" s="130">
        <f>IF(N190="znížená",J190,0)</f>
        <v>22.06</v>
      </c>
      <c r="BG190" s="130">
        <f>IF(N190="zákl. prenesená",J190,0)</f>
        <v>0</v>
      </c>
      <c r="BH190" s="130">
        <f>IF(N190="zníž. prenesená",J190,0)</f>
        <v>0</v>
      </c>
      <c r="BI190" s="130">
        <f>IF(N190="nulová",J190,0)</f>
        <v>0</v>
      </c>
      <c r="BJ190" s="13" t="s">
        <v>76</v>
      </c>
      <c r="BK190" s="130">
        <f>ROUND(I190*H190,2)</f>
        <v>22.06</v>
      </c>
      <c r="BL190" s="13" t="s">
        <v>235</v>
      </c>
      <c r="BM190" s="129" t="s">
        <v>444</v>
      </c>
    </row>
    <row r="191" spans="2:65" s="1" customFormat="1" ht="16.5" customHeight="1" x14ac:dyDescent="0.2">
      <c r="B191" s="118"/>
      <c r="C191" s="119" t="s">
        <v>445</v>
      </c>
      <c r="D191" s="119" t="s">
        <v>231</v>
      </c>
      <c r="E191" s="120" t="s">
        <v>3059</v>
      </c>
      <c r="F191" s="121" t="s">
        <v>3060</v>
      </c>
      <c r="G191" s="122" t="s">
        <v>570</v>
      </c>
      <c r="H191" s="123">
        <v>1</v>
      </c>
      <c r="I191" s="124">
        <v>132.36000000000001</v>
      </c>
      <c r="J191" s="124">
        <f>ROUND(I191*H191,2)</f>
        <v>132.36000000000001</v>
      </c>
      <c r="K191" s="121" t="s">
        <v>1</v>
      </c>
      <c r="L191" s="24"/>
      <c r="M191" s="125" t="s">
        <v>1</v>
      </c>
      <c r="N191" s="126" t="s">
        <v>32</v>
      </c>
      <c r="O191" s="127">
        <v>0</v>
      </c>
      <c r="P191" s="127">
        <f>O191*H191</f>
        <v>0</v>
      </c>
      <c r="Q191" s="127">
        <v>0</v>
      </c>
      <c r="R191" s="127">
        <f>Q191*H191</f>
        <v>0</v>
      </c>
      <c r="S191" s="127">
        <v>0</v>
      </c>
      <c r="T191" s="128">
        <f>S191*H191</f>
        <v>0</v>
      </c>
      <c r="AR191" s="129" t="s">
        <v>235</v>
      </c>
      <c r="AT191" s="129" t="s">
        <v>231</v>
      </c>
      <c r="AU191" s="129" t="s">
        <v>76</v>
      </c>
      <c r="AY191" s="13" t="s">
        <v>228</v>
      </c>
      <c r="BE191" s="130">
        <f>IF(N191="základná",J191,0)</f>
        <v>0</v>
      </c>
      <c r="BF191" s="130">
        <f>IF(N191="znížená",J191,0)</f>
        <v>132.36000000000001</v>
      </c>
      <c r="BG191" s="130">
        <f>IF(N191="zákl. prenesená",J191,0)</f>
        <v>0</v>
      </c>
      <c r="BH191" s="130">
        <f>IF(N191="zníž. prenesená",J191,0)</f>
        <v>0</v>
      </c>
      <c r="BI191" s="130">
        <f>IF(N191="nulová",J191,0)</f>
        <v>0</v>
      </c>
      <c r="BJ191" s="13" t="s">
        <v>76</v>
      </c>
      <c r="BK191" s="130">
        <f>ROUND(I191*H191,2)</f>
        <v>132.36000000000001</v>
      </c>
      <c r="BL191" s="13" t="s">
        <v>235</v>
      </c>
      <c r="BM191" s="129" t="s">
        <v>448</v>
      </c>
    </row>
    <row r="192" spans="2:65" s="11" customFormat="1" ht="22.95" customHeight="1" x14ac:dyDescent="0.25">
      <c r="B192" s="106"/>
      <c r="D192" s="107" t="s">
        <v>57</v>
      </c>
      <c r="E192" s="116" t="s">
        <v>1252</v>
      </c>
      <c r="F192" s="116" t="s">
        <v>3061</v>
      </c>
      <c r="J192" s="117">
        <f>BK192</f>
        <v>373.92</v>
      </c>
      <c r="L192" s="106"/>
      <c r="M192" s="110"/>
      <c r="N192" s="111"/>
      <c r="O192" s="111"/>
      <c r="P192" s="112">
        <f>SUM(P193:P196)</f>
        <v>0</v>
      </c>
      <c r="Q192" s="111"/>
      <c r="R192" s="112">
        <f>SUM(R193:R196)</f>
        <v>0</v>
      </c>
      <c r="S192" s="111"/>
      <c r="T192" s="113">
        <f>SUM(T193:T196)</f>
        <v>0</v>
      </c>
      <c r="AR192" s="107" t="s">
        <v>63</v>
      </c>
      <c r="AT192" s="114" t="s">
        <v>57</v>
      </c>
      <c r="AU192" s="114" t="s">
        <v>63</v>
      </c>
      <c r="AY192" s="107" t="s">
        <v>228</v>
      </c>
      <c r="BK192" s="115">
        <f>SUM(BK193:BK196)</f>
        <v>373.92</v>
      </c>
    </row>
    <row r="193" spans="2:65" s="1" customFormat="1" ht="16.5" customHeight="1" x14ac:dyDescent="0.2">
      <c r="B193" s="118"/>
      <c r="C193" s="119" t="s">
        <v>340</v>
      </c>
      <c r="D193" s="119" t="s">
        <v>231</v>
      </c>
      <c r="E193" s="120" t="s">
        <v>3062</v>
      </c>
      <c r="F193" s="121" t="s">
        <v>3063</v>
      </c>
      <c r="G193" s="122" t="s">
        <v>570</v>
      </c>
      <c r="H193" s="123">
        <v>1</v>
      </c>
      <c r="I193" s="124">
        <v>83.83</v>
      </c>
      <c r="J193" s="124">
        <f>ROUND(I193*H193,2)</f>
        <v>83.83</v>
      </c>
      <c r="K193" s="121" t="s">
        <v>1</v>
      </c>
      <c r="L193" s="24"/>
      <c r="M193" s="125" t="s">
        <v>1</v>
      </c>
      <c r="N193" s="126" t="s">
        <v>32</v>
      </c>
      <c r="O193" s="127">
        <v>0</v>
      </c>
      <c r="P193" s="127">
        <f>O193*H193</f>
        <v>0</v>
      </c>
      <c r="Q193" s="127">
        <v>0</v>
      </c>
      <c r="R193" s="127">
        <f>Q193*H193</f>
        <v>0</v>
      </c>
      <c r="S193" s="127">
        <v>0</v>
      </c>
      <c r="T193" s="128">
        <f>S193*H193</f>
        <v>0</v>
      </c>
      <c r="AR193" s="129" t="s">
        <v>235</v>
      </c>
      <c r="AT193" s="129" t="s">
        <v>231</v>
      </c>
      <c r="AU193" s="129" t="s">
        <v>76</v>
      </c>
      <c r="AY193" s="13" t="s">
        <v>228</v>
      </c>
      <c r="BE193" s="130">
        <f>IF(N193="základná",J193,0)</f>
        <v>0</v>
      </c>
      <c r="BF193" s="130">
        <f>IF(N193="znížená",J193,0)</f>
        <v>83.83</v>
      </c>
      <c r="BG193" s="130">
        <f>IF(N193="zákl. prenesená",J193,0)</f>
        <v>0</v>
      </c>
      <c r="BH193" s="130">
        <f>IF(N193="zníž. prenesená",J193,0)</f>
        <v>0</v>
      </c>
      <c r="BI193" s="130">
        <f>IF(N193="nulová",J193,0)</f>
        <v>0</v>
      </c>
      <c r="BJ193" s="13" t="s">
        <v>76</v>
      </c>
      <c r="BK193" s="130">
        <f>ROUND(I193*H193,2)</f>
        <v>83.83</v>
      </c>
      <c r="BL193" s="13" t="s">
        <v>235</v>
      </c>
      <c r="BM193" s="129" t="s">
        <v>451</v>
      </c>
    </row>
    <row r="194" spans="2:65" s="1" customFormat="1" ht="16.5" customHeight="1" x14ac:dyDescent="0.2">
      <c r="B194" s="118"/>
      <c r="C194" s="119" t="s">
        <v>452</v>
      </c>
      <c r="D194" s="119" t="s">
        <v>231</v>
      </c>
      <c r="E194" s="120" t="s">
        <v>3064</v>
      </c>
      <c r="F194" s="121" t="s">
        <v>3065</v>
      </c>
      <c r="G194" s="122" t="s">
        <v>570</v>
      </c>
      <c r="H194" s="123">
        <v>1</v>
      </c>
      <c r="I194" s="124">
        <v>69.489999999999995</v>
      </c>
      <c r="J194" s="124">
        <f>ROUND(I194*H194,2)</f>
        <v>69.489999999999995</v>
      </c>
      <c r="K194" s="121" t="s">
        <v>1</v>
      </c>
      <c r="L194" s="24"/>
      <c r="M194" s="125" t="s">
        <v>1</v>
      </c>
      <c r="N194" s="126" t="s">
        <v>32</v>
      </c>
      <c r="O194" s="127">
        <v>0</v>
      </c>
      <c r="P194" s="127">
        <f>O194*H194</f>
        <v>0</v>
      </c>
      <c r="Q194" s="127">
        <v>0</v>
      </c>
      <c r="R194" s="127">
        <f>Q194*H194</f>
        <v>0</v>
      </c>
      <c r="S194" s="127">
        <v>0</v>
      </c>
      <c r="T194" s="128">
        <f>S194*H194</f>
        <v>0</v>
      </c>
      <c r="AR194" s="129" t="s">
        <v>235</v>
      </c>
      <c r="AT194" s="129" t="s">
        <v>231</v>
      </c>
      <c r="AU194" s="129" t="s">
        <v>76</v>
      </c>
      <c r="AY194" s="13" t="s">
        <v>228</v>
      </c>
      <c r="BE194" s="130">
        <f>IF(N194="základná",J194,0)</f>
        <v>0</v>
      </c>
      <c r="BF194" s="130">
        <f>IF(N194="znížená",J194,0)</f>
        <v>69.489999999999995</v>
      </c>
      <c r="BG194" s="130">
        <f>IF(N194="zákl. prenesená",J194,0)</f>
        <v>0</v>
      </c>
      <c r="BH194" s="130">
        <f>IF(N194="zníž. prenesená",J194,0)</f>
        <v>0</v>
      </c>
      <c r="BI194" s="130">
        <f>IF(N194="nulová",J194,0)</f>
        <v>0</v>
      </c>
      <c r="BJ194" s="13" t="s">
        <v>76</v>
      </c>
      <c r="BK194" s="130">
        <f>ROUND(I194*H194,2)</f>
        <v>69.489999999999995</v>
      </c>
      <c r="BL194" s="13" t="s">
        <v>235</v>
      </c>
      <c r="BM194" s="129" t="s">
        <v>455</v>
      </c>
    </row>
    <row r="195" spans="2:65" s="1" customFormat="1" ht="16.5" customHeight="1" x14ac:dyDescent="0.2">
      <c r="B195" s="118"/>
      <c r="C195" s="119" t="s">
        <v>344</v>
      </c>
      <c r="D195" s="119" t="s">
        <v>231</v>
      </c>
      <c r="E195" s="120" t="s">
        <v>3066</v>
      </c>
      <c r="F195" s="121" t="s">
        <v>3067</v>
      </c>
      <c r="G195" s="122" t="s">
        <v>570</v>
      </c>
      <c r="H195" s="123">
        <v>1</v>
      </c>
      <c r="I195" s="124">
        <v>110.3</v>
      </c>
      <c r="J195" s="124">
        <f>ROUND(I195*H195,2)</f>
        <v>110.3</v>
      </c>
      <c r="K195" s="121" t="s">
        <v>1</v>
      </c>
      <c r="L195" s="24"/>
      <c r="M195" s="125" t="s">
        <v>1</v>
      </c>
      <c r="N195" s="126" t="s">
        <v>32</v>
      </c>
      <c r="O195" s="127">
        <v>0</v>
      </c>
      <c r="P195" s="127">
        <f>O195*H195</f>
        <v>0</v>
      </c>
      <c r="Q195" s="127">
        <v>0</v>
      </c>
      <c r="R195" s="127">
        <f>Q195*H195</f>
        <v>0</v>
      </c>
      <c r="S195" s="127">
        <v>0</v>
      </c>
      <c r="T195" s="128">
        <f>S195*H195</f>
        <v>0</v>
      </c>
      <c r="AR195" s="129" t="s">
        <v>235</v>
      </c>
      <c r="AT195" s="129" t="s">
        <v>231</v>
      </c>
      <c r="AU195" s="129" t="s">
        <v>76</v>
      </c>
      <c r="AY195" s="13" t="s">
        <v>228</v>
      </c>
      <c r="BE195" s="130">
        <f>IF(N195="základná",J195,0)</f>
        <v>0</v>
      </c>
      <c r="BF195" s="130">
        <f>IF(N195="znížená",J195,0)</f>
        <v>110.3</v>
      </c>
      <c r="BG195" s="130">
        <f>IF(N195="zákl. prenesená",J195,0)</f>
        <v>0</v>
      </c>
      <c r="BH195" s="130">
        <f>IF(N195="zníž. prenesená",J195,0)</f>
        <v>0</v>
      </c>
      <c r="BI195" s="130">
        <f>IF(N195="nulová",J195,0)</f>
        <v>0</v>
      </c>
      <c r="BJ195" s="13" t="s">
        <v>76</v>
      </c>
      <c r="BK195" s="130">
        <f>ROUND(I195*H195,2)</f>
        <v>110.3</v>
      </c>
      <c r="BL195" s="13" t="s">
        <v>235</v>
      </c>
      <c r="BM195" s="129" t="s">
        <v>458</v>
      </c>
    </row>
    <row r="196" spans="2:65" s="1" customFormat="1" ht="16.5" customHeight="1" x14ac:dyDescent="0.2">
      <c r="B196" s="118"/>
      <c r="C196" s="119" t="s">
        <v>459</v>
      </c>
      <c r="D196" s="119" t="s">
        <v>231</v>
      </c>
      <c r="E196" s="120" t="s">
        <v>3068</v>
      </c>
      <c r="F196" s="121" t="s">
        <v>3069</v>
      </c>
      <c r="G196" s="122" t="s">
        <v>570</v>
      </c>
      <c r="H196" s="123">
        <v>1</v>
      </c>
      <c r="I196" s="124">
        <v>110.3</v>
      </c>
      <c r="J196" s="124">
        <f>ROUND(I196*H196,2)</f>
        <v>110.3</v>
      </c>
      <c r="K196" s="121" t="s">
        <v>1</v>
      </c>
      <c r="L196" s="24"/>
      <c r="M196" s="125" t="s">
        <v>1</v>
      </c>
      <c r="N196" s="126" t="s">
        <v>32</v>
      </c>
      <c r="O196" s="127">
        <v>0</v>
      </c>
      <c r="P196" s="127">
        <f>O196*H196</f>
        <v>0</v>
      </c>
      <c r="Q196" s="127">
        <v>0</v>
      </c>
      <c r="R196" s="127">
        <f>Q196*H196</f>
        <v>0</v>
      </c>
      <c r="S196" s="127">
        <v>0</v>
      </c>
      <c r="T196" s="128">
        <f>S196*H196</f>
        <v>0</v>
      </c>
      <c r="AR196" s="129" t="s">
        <v>235</v>
      </c>
      <c r="AT196" s="129" t="s">
        <v>231</v>
      </c>
      <c r="AU196" s="129" t="s">
        <v>76</v>
      </c>
      <c r="AY196" s="13" t="s">
        <v>228</v>
      </c>
      <c r="BE196" s="130">
        <f>IF(N196="základná",J196,0)</f>
        <v>0</v>
      </c>
      <c r="BF196" s="130">
        <f>IF(N196="znížená",J196,0)</f>
        <v>110.3</v>
      </c>
      <c r="BG196" s="130">
        <f>IF(N196="zákl. prenesená",J196,0)</f>
        <v>0</v>
      </c>
      <c r="BH196" s="130">
        <f>IF(N196="zníž. prenesená",J196,0)</f>
        <v>0</v>
      </c>
      <c r="BI196" s="130">
        <f>IF(N196="nulová",J196,0)</f>
        <v>0</v>
      </c>
      <c r="BJ196" s="13" t="s">
        <v>76</v>
      </c>
      <c r="BK196" s="130">
        <f>ROUND(I196*H196,2)</f>
        <v>110.3</v>
      </c>
      <c r="BL196" s="13" t="s">
        <v>235</v>
      </c>
      <c r="BM196" s="129" t="s">
        <v>462</v>
      </c>
    </row>
    <row r="197" spans="2:65" s="11" customFormat="1" ht="22.95" customHeight="1" x14ac:dyDescent="0.25">
      <c r="B197" s="106"/>
      <c r="D197" s="107" t="s">
        <v>57</v>
      </c>
      <c r="E197" s="116" t="s">
        <v>1269</v>
      </c>
      <c r="F197" s="116" t="s">
        <v>3070</v>
      </c>
      <c r="J197" s="117">
        <f>BK197</f>
        <v>185.63</v>
      </c>
      <c r="L197" s="106"/>
      <c r="M197" s="110"/>
      <c r="N197" s="111"/>
      <c r="O197" s="111"/>
      <c r="P197" s="112">
        <f>SUM(P198:P201)</f>
        <v>0</v>
      </c>
      <c r="Q197" s="111"/>
      <c r="R197" s="112">
        <f>SUM(R198:R201)</f>
        <v>0</v>
      </c>
      <c r="S197" s="111"/>
      <c r="T197" s="113">
        <f>SUM(T198:T201)</f>
        <v>0</v>
      </c>
      <c r="AR197" s="107" t="s">
        <v>63</v>
      </c>
      <c r="AT197" s="114" t="s">
        <v>57</v>
      </c>
      <c r="AU197" s="114" t="s">
        <v>63</v>
      </c>
      <c r="AY197" s="107" t="s">
        <v>228</v>
      </c>
      <c r="BK197" s="115">
        <f>SUM(BK198:BK201)</f>
        <v>185.63</v>
      </c>
    </row>
    <row r="198" spans="2:65" s="1" customFormat="1" ht="24" customHeight="1" x14ac:dyDescent="0.2">
      <c r="B198" s="118"/>
      <c r="C198" s="119" t="s">
        <v>347</v>
      </c>
      <c r="D198" s="119" t="s">
        <v>231</v>
      </c>
      <c r="E198" s="120" t="s">
        <v>3071</v>
      </c>
      <c r="F198" s="121" t="s">
        <v>3072</v>
      </c>
      <c r="G198" s="122" t="s">
        <v>284</v>
      </c>
      <c r="H198" s="123">
        <v>20</v>
      </c>
      <c r="I198" s="124">
        <v>3.48</v>
      </c>
      <c r="J198" s="124">
        <f>ROUND(I198*H198,2)</f>
        <v>69.599999999999994</v>
      </c>
      <c r="K198" s="121" t="s">
        <v>1</v>
      </c>
      <c r="L198" s="24"/>
      <c r="M198" s="125" t="s">
        <v>1</v>
      </c>
      <c r="N198" s="126" t="s">
        <v>32</v>
      </c>
      <c r="O198" s="127">
        <v>0</v>
      </c>
      <c r="P198" s="127">
        <f>O198*H198</f>
        <v>0</v>
      </c>
      <c r="Q198" s="127">
        <v>0</v>
      </c>
      <c r="R198" s="127">
        <f>Q198*H198</f>
        <v>0</v>
      </c>
      <c r="S198" s="127">
        <v>0</v>
      </c>
      <c r="T198" s="128">
        <f>S198*H198</f>
        <v>0</v>
      </c>
      <c r="AR198" s="129" t="s">
        <v>235</v>
      </c>
      <c r="AT198" s="129" t="s">
        <v>231</v>
      </c>
      <c r="AU198" s="129" t="s">
        <v>76</v>
      </c>
      <c r="AY198" s="13" t="s">
        <v>228</v>
      </c>
      <c r="BE198" s="130">
        <f>IF(N198="základná",J198,0)</f>
        <v>0</v>
      </c>
      <c r="BF198" s="130">
        <f>IF(N198="znížená",J198,0)</f>
        <v>69.599999999999994</v>
      </c>
      <c r="BG198" s="130">
        <f>IF(N198="zákl. prenesená",J198,0)</f>
        <v>0</v>
      </c>
      <c r="BH198" s="130">
        <f>IF(N198="zníž. prenesená",J198,0)</f>
        <v>0</v>
      </c>
      <c r="BI198" s="130">
        <f>IF(N198="nulová",J198,0)</f>
        <v>0</v>
      </c>
      <c r="BJ198" s="13" t="s">
        <v>76</v>
      </c>
      <c r="BK198" s="130">
        <f>ROUND(I198*H198,2)</f>
        <v>69.599999999999994</v>
      </c>
      <c r="BL198" s="13" t="s">
        <v>235</v>
      </c>
      <c r="BM198" s="129" t="s">
        <v>465</v>
      </c>
    </row>
    <row r="199" spans="2:65" s="1" customFormat="1" ht="24" customHeight="1" x14ac:dyDescent="0.2">
      <c r="B199" s="118"/>
      <c r="C199" s="119" t="s">
        <v>466</v>
      </c>
      <c r="D199" s="119" t="s">
        <v>231</v>
      </c>
      <c r="E199" s="120" t="s">
        <v>3073</v>
      </c>
      <c r="F199" s="121" t="s">
        <v>3074</v>
      </c>
      <c r="G199" s="122" t="s">
        <v>284</v>
      </c>
      <c r="H199" s="123">
        <v>20</v>
      </c>
      <c r="I199" s="124">
        <v>2.3199999999999998</v>
      </c>
      <c r="J199" s="124">
        <f>ROUND(I199*H199,2)</f>
        <v>46.4</v>
      </c>
      <c r="K199" s="121" t="s">
        <v>1</v>
      </c>
      <c r="L199" s="24"/>
      <c r="M199" s="125" t="s">
        <v>1</v>
      </c>
      <c r="N199" s="126" t="s">
        <v>32</v>
      </c>
      <c r="O199" s="127">
        <v>0</v>
      </c>
      <c r="P199" s="127">
        <f>O199*H199</f>
        <v>0</v>
      </c>
      <c r="Q199" s="127">
        <v>0</v>
      </c>
      <c r="R199" s="127">
        <f>Q199*H199</f>
        <v>0</v>
      </c>
      <c r="S199" s="127">
        <v>0</v>
      </c>
      <c r="T199" s="128">
        <f>S199*H199</f>
        <v>0</v>
      </c>
      <c r="AR199" s="129" t="s">
        <v>235</v>
      </c>
      <c r="AT199" s="129" t="s">
        <v>231</v>
      </c>
      <c r="AU199" s="129" t="s">
        <v>76</v>
      </c>
      <c r="AY199" s="13" t="s">
        <v>228</v>
      </c>
      <c r="BE199" s="130">
        <f>IF(N199="základná",J199,0)</f>
        <v>0</v>
      </c>
      <c r="BF199" s="130">
        <f>IF(N199="znížená",J199,0)</f>
        <v>46.4</v>
      </c>
      <c r="BG199" s="130">
        <f>IF(N199="zákl. prenesená",J199,0)</f>
        <v>0</v>
      </c>
      <c r="BH199" s="130">
        <f>IF(N199="zníž. prenesená",J199,0)</f>
        <v>0</v>
      </c>
      <c r="BI199" s="130">
        <f>IF(N199="nulová",J199,0)</f>
        <v>0</v>
      </c>
      <c r="BJ199" s="13" t="s">
        <v>76</v>
      </c>
      <c r="BK199" s="130">
        <f>ROUND(I199*H199,2)</f>
        <v>46.4</v>
      </c>
      <c r="BL199" s="13" t="s">
        <v>235</v>
      </c>
      <c r="BM199" s="129" t="s">
        <v>469</v>
      </c>
    </row>
    <row r="200" spans="2:65" s="1" customFormat="1" ht="24" customHeight="1" x14ac:dyDescent="0.2">
      <c r="B200" s="118"/>
      <c r="C200" s="119" t="s">
        <v>351</v>
      </c>
      <c r="D200" s="119" t="s">
        <v>231</v>
      </c>
      <c r="E200" s="120" t="s">
        <v>3075</v>
      </c>
      <c r="F200" s="121" t="s">
        <v>3076</v>
      </c>
      <c r="G200" s="122" t="s">
        <v>284</v>
      </c>
      <c r="H200" s="123">
        <v>20</v>
      </c>
      <c r="I200" s="124">
        <v>1.74</v>
      </c>
      <c r="J200" s="124">
        <f>ROUND(I200*H200,2)</f>
        <v>34.799999999999997</v>
      </c>
      <c r="K200" s="121" t="s">
        <v>1</v>
      </c>
      <c r="L200" s="24"/>
      <c r="M200" s="125" t="s">
        <v>1</v>
      </c>
      <c r="N200" s="126" t="s">
        <v>32</v>
      </c>
      <c r="O200" s="127">
        <v>0</v>
      </c>
      <c r="P200" s="127">
        <f>O200*H200</f>
        <v>0</v>
      </c>
      <c r="Q200" s="127">
        <v>0</v>
      </c>
      <c r="R200" s="127">
        <f>Q200*H200</f>
        <v>0</v>
      </c>
      <c r="S200" s="127">
        <v>0</v>
      </c>
      <c r="T200" s="128">
        <f>S200*H200</f>
        <v>0</v>
      </c>
      <c r="AR200" s="129" t="s">
        <v>235</v>
      </c>
      <c r="AT200" s="129" t="s">
        <v>231</v>
      </c>
      <c r="AU200" s="129" t="s">
        <v>76</v>
      </c>
      <c r="AY200" s="13" t="s">
        <v>228</v>
      </c>
      <c r="BE200" s="130">
        <f>IF(N200="základná",J200,0)</f>
        <v>0</v>
      </c>
      <c r="BF200" s="130">
        <f>IF(N200="znížená",J200,0)</f>
        <v>34.799999999999997</v>
      </c>
      <c r="BG200" s="130">
        <f>IF(N200="zákl. prenesená",J200,0)</f>
        <v>0</v>
      </c>
      <c r="BH200" s="130">
        <f>IF(N200="zníž. prenesená",J200,0)</f>
        <v>0</v>
      </c>
      <c r="BI200" s="130">
        <f>IF(N200="nulová",J200,0)</f>
        <v>0</v>
      </c>
      <c r="BJ200" s="13" t="s">
        <v>76</v>
      </c>
      <c r="BK200" s="130">
        <f>ROUND(I200*H200,2)</f>
        <v>34.799999999999997</v>
      </c>
      <c r="BL200" s="13" t="s">
        <v>235</v>
      </c>
      <c r="BM200" s="129" t="s">
        <v>472</v>
      </c>
    </row>
    <row r="201" spans="2:65" s="1" customFormat="1" ht="16.5" customHeight="1" x14ac:dyDescent="0.2">
      <c r="B201" s="118"/>
      <c r="C201" s="119" t="s">
        <v>473</v>
      </c>
      <c r="D201" s="119" t="s">
        <v>231</v>
      </c>
      <c r="E201" s="120" t="s">
        <v>3077</v>
      </c>
      <c r="F201" s="121" t="s">
        <v>3078</v>
      </c>
      <c r="G201" s="122" t="s">
        <v>271</v>
      </c>
      <c r="H201" s="123">
        <v>0.15</v>
      </c>
      <c r="I201" s="124">
        <v>232.2</v>
      </c>
      <c r="J201" s="124">
        <f>ROUND(I201*H201,2)</f>
        <v>34.83</v>
      </c>
      <c r="K201" s="121" t="s">
        <v>1</v>
      </c>
      <c r="L201" s="24"/>
      <c r="M201" s="140" t="s">
        <v>1</v>
      </c>
      <c r="N201" s="141" t="s">
        <v>32</v>
      </c>
      <c r="O201" s="142">
        <v>0</v>
      </c>
      <c r="P201" s="142">
        <f>O201*H201</f>
        <v>0</v>
      </c>
      <c r="Q201" s="142">
        <v>0</v>
      </c>
      <c r="R201" s="142">
        <f>Q201*H201</f>
        <v>0</v>
      </c>
      <c r="S201" s="142">
        <v>0</v>
      </c>
      <c r="T201" s="143">
        <f>S201*H201</f>
        <v>0</v>
      </c>
      <c r="AR201" s="129" t="s">
        <v>235</v>
      </c>
      <c r="AT201" s="129" t="s">
        <v>231</v>
      </c>
      <c r="AU201" s="129" t="s">
        <v>76</v>
      </c>
      <c r="AY201" s="13" t="s">
        <v>228</v>
      </c>
      <c r="BE201" s="130">
        <f>IF(N201="základná",J201,0)</f>
        <v>0</v>
      </c>
      <c r="BF201" s="130">
        <f>IF(N201="znížená",J201,0)</f>
        <v>34.83</v>
      </c>
      <c r="BG201" s="130">
        <f>IF(N201="zákl. prenesená",J201,0)</f>
        <v>0</v>
      </c>
      <c r="BH201" s="130">
        <f>IF(N201="zníž. prenesená",J201,0)</f>
        <v>0</v>
      </c>
      <c r="BI201" s="130">
        <f>IF(N201="nulová",J201,0)</f>
        <v>0</v>
      </c>
      <c r="BJ201" s="13" t="s">
        <v>76</v>
      </c>
      <c r="BK201" s="130">
        <f>ROUND(I201*H201,2)</f>
        <v>34.83</v>
      </c>
      <c r="BL201" s="13" t="s">
        <v>235</v>
      </c>
      <c r="BM201" s="129" t="s">
        <v>476</v>
      </c>
    </row>
    <row r="202" spans="2:65" s="1" customFormat="1" ht="7.05" customHeight="1" x14ac:dyDescent="0.2">
      <c r="B202" s="33"/>
      <c r="C202" s="34"/>
      <c r="D202" s="34"/>
      <c r="E202" s="34"/>
      <c r="F202" s="34"/>
      <c r="G202" s="34"/>
      <c r="H202" s="34"/>
      <c r="I202" s="34"/>
      <c r="J202" s="34"/>
      <c r="K202" s="34"/>
      <c r="L202" s="24"/>
    </row>
  </sheetData>
  <autoFilter ref="C124:K201" xr:uid="{00000000-0009-0000-0000-00000E000000}"/>
  <mergeCells count="14">
    <mergeCell ref="E87:H87"/>
    <mergeCell ref="E115:H115"/>
    <mergeCell ref="E117:H117"/>
    <mergeCell ref="L2:V2"/>
    <mergeCell ref="E9:H9"/>
    <mergeCell ref="E18:H18"/>
    <mergeCell ref="E27:H27"/>
    <mergeCell ref="E85:H85"/>
    <mergeCell ref="D4:J4"/>
    <mergeCell ref="F6:J7"/>
    <mergeCell ref="C82:J82"/>
    <mergeCell ref="E84:J84"/>
    <mergeCell ref="C112:J112"/>
    <mergeCell ref="E114:J114"/>
  </mergeCells>
  <pageMargins left="0.39374999999999999" right="0.39374999999999999" top="0.39374999999999999" bottom="0.39374999999999999" header="0" footer="0"/>
  <pageSetup paperSize="9" scale="89" fitToHeight="100" orientation="portrait" blackAndWhite="1" r:id="rId1"/>
  <headerFooter>
    <oddFooter>&amp;CStrana &amp;P z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pageSetUpPr fitToPage="1"/>
  </sheetPr>
  <dimension ref="A1:BM399"/>
  <sheetViews>
    <sheetView showGridLines="0" topLeftCell="C97" zoomScale="80" zoomScaleNormal="80" workbookViewId="0">
      <selection activeCell="AA384" sqref="AA384"/>
    </sheetView>
  </sheetViews>
  <sheetFormatPr defaultColWidth="8.7109375" defaultRowHeight="13.2" x14ac:dyDescent="0.25"/>
  <cols>
    <col min="1" max="1" width="8.28515625" customWidth="1"/>
    <col min="2" max="2" width="1.7109375" customWidth="1"/>
    <col min="3" max="4" width="4.28515625" customWidth="1"/>
    <col min="5" max="5" width="17.28515625" customWidth="1"/>
    <col min="6" max="6" width="50.7109375" customWidth="1"/>
    <col min="7" max="7" width="7" customWidth="1"/>
    <col min="8" max="8" width="11.42578125" customWidth="1"/>
    <col min="9" max="10" width="20.28515625" customWidth="1"/>
    <col min="11" max="11" width="20.28515625" hidden="1" customWidth="1"/>
    <col min="12" max="12" width="9.28515625" customWidth="1"/>
    <col min="13" max="13" width="10.7109375" hidden="1" customWidth="1"/>
    <col min="14" max="14" width="9.28515625" hidden="1"/>
    <col min="15" max="20" width="14.28515625" hidden="1" customWidth="1"/>
    <col min="21" max="21" width="16.28515625" hidden="1" customWidth="1"/>
    <col min="22" max="22" width="12.28515625" customWidth="1"/>
    <col min="23" max="23" width="1.7109375" style="338" customWidth="1"/>
    <col min="24" max="24" width="7.7109375" style="338" customWidth="1"/>
    <col min="25" max="25" width="4.28515625" style="338" customWidth="1"/>
    <col min="26" max="26" width="18.42578125" style="338" customWidth="1"/>
    <col min="27" max="27" width="50.7109375" style="338" customWidth="1"/>
    <col min="28" max="28" width="7" style="338" customWidth="1"/>
    <col min="29" max="29" width="13" style="338" customWidth="1"/>
    <col min="30" max="31" width="20.28515625" style="338" customWidth="1"/>
    <col min="32" max="32" width="16.85546875" customWidth="1"/>
    <col min="33" max="33" width="0" hidden="1" customWidth="1"/>
    <col min="34" max="34" width="14.28515625" hidden="1" customWidth="1"/>
    <col min="35" max="35" width="0" hidden="1" customWidth="1"/>
    <col min="36" max="36" width="14" style="441" hidden="1" customWidth="1"/>
    <col min="37" max="37" width="15" customWidth="1"/>
    <col min="38" max="38" width="13.28515625" style="393" customWidth="1"/>
    <col min="40" max="40" width="12.7109375" customWidth="1"/>
    <col min="44" max="65" width="9.28515625" hidden="1"/>
  </cols>
  <sheetData>
    <row r="1" spans="1:46" x14ac:dyDescent="0.25">
      <c r="A1" s="73"/>
    </row>
    <row r="2" spans="1:46" ht="37.049999999999997" customHeight="1" x14ac:dyDescent="0.25">
      <c r="L2" s="1227" t="s">
        <v>5</v>
      </c>
      <c r="M2" s="1225"/>
      <c r="N2" s="1225"/>
      <c r="O2" s="1225"/>
      <c r="P2" s="1225"/>
      <c r="Q2" s="1225"/>
      <c r="R2" s="1225"/>
      <c r="S2" s="1225"/>
      <c r="T2" s="1225"/>
      <c r="U2" s="1225"/>
      <c r="V2" s="1225"/>
      <c r="AT2" s="13" t="s">
        <v>105</v>
      </c>
    </row>
    <row r="3" spans="1:46" ht="7.05" customHeight="1" x14ac:dyDescent="0.25">
      <c r="B3" s="14"/>
      <c r="C3" s="15"/>
      <c r="D3" s="15"/>
      <c r="E3" s="15"/>
      <c r="F3" s="15"/>
      <c r="G3" s="15"/>
      <c r="H3" s="15"/>
      <c r="I3" s="15"/>
      <c r="J3" s="15"/>
      <c r="K3" s="15"/>
      <c r="L3" s="16"/>
      <c r="W3" s="152"/>
      <c r="X3" s="153"/>
      <c r="Y3" s="153"/>
      <c r="Z3" s="153"/>
      <c r="AA3" s="153"/>
      <c r="AB3" s="153"/>
      <c r="AC3" s="153"/>
      <c r="AD3" s="153"/>
      <c r="AE3" s="154"/>
      <c r="AT3" s="13" t="s">
        <v>58</v>
      </c>
    </row>
    <row r="4" spans="1:46" ht="25.05" customHeight="1" x14ac:dyDescent="0.25">
      <c r="B4" s="16"/>
      <c r="D4" s="1165" t="s">
        <v>185</v>
      </c>
      <c r="E4" s="1165"/>
      <c r="F4" s="1165"/>
      <c r="G4" s="1165"/>
      <c r="H4" s="1165"/>
      <c r="I4" s="1165"/>
      <c r="J4" s="1165"/>
      <c r="L4" s="16"/>
      <c r="M4" s="74" t="s">
        <v>9</v>
      </c>
      <c r="W4" s="155"/>
      <c r="X4" s="1237" t="s">
        <v>185</v>
      </c>
      <c r="Y4" s="1237"/>
      <c r="Z4" s="1237"/>
      <c r="AA4" s="1237"/>
      <c r="AB4" s="1237"/>
      <c r="AC4" s="1237"/>
      <c r="AD4" s="1237"/>
      <c r="AE4" s="1238"/>
      <c r="AT4" s="13" t="s">
        <v>3</v>
      </c>
    </row>
    <row r="5" spans="1:46" ht="7.05" customHeight="1" x14ac:dyDescent="0.25">
      <c r="B5" s="16"/>
      <c r="L5" s="16"/>
      <c r="W5" s="155"/>
      <c r="X5" s="156"/>
      <c r="Y5" s="156"/>
      <c r="Z5" s="156"/>
      <c r="AA5" s="156"/>
      <c r="AB5" s="156"/>
      <c r="AC5" s="156"/>
      <c r="AD5" s="156"/>
      <c r="AE5" s="157"/>
    </row>
    <row r="6" spans="1:46" ht="12" customHeight="1" x14ac:dyDescent="0.25">
      <c r="B6" s="16"/>
      <c r="D6" s="548" t="s">
        <v>12</v>
      </c>
      <c r="F6" s="1254" t="s">
        <v>6176</v>
      </c>
      <c r="G6" s="1254"/>
      <c r="H6" s="1254"/>
      <c r="I6" s="1254"/>
      <c r="J6" s="1254"/>
      <c r="L6" s="16"/>
      <c r="W6" s="155"/>
      <c r="X6" s="156"/>
      <c r="Y6" s="541" t="s">
        <v>12</v>
      </c>
      <c r="Z6" s="156"/>
      <c r="AA6" s="1239" t="s">
        <v>6176</v>
      </c>
      <c r="AB6" s="1239"/>
      <c r="AC6" s="1239"/>
      <c r="AD6" s="1239"/>
      <c r="AE6" s="1240"/>
    </row>
    <row r="7" spans="1:46" ht="25.2" customHeight="1" x14ac:dyDescent="0.25">
      <c r="B7" s="16"/>
      <c r="D7" s="527"/>
      <c r="E7" s="531"/>
      <c r="F7" s="1254"/>
      <c r="G7" s="1254"/>
      <c r="H7" s="1254"/>
      <c r="I7" s="1254"/>
      <c r="J7" s="1254"/>
      <c r="L7" s="16"/>
      <c r="W7" s="155"/>
      <c r="X7" s="156"/>
      <c r="Y7" s="539"/>
      <c r="Z7" s="245"/>
      <c r="AA7" s="1239"/>
      <c r="AB7" s="1239"/>
      <c r="AC7" s="1239"/>
      <c r="AD7" s="1239"/>
      <c r="AE7" s="1240"/>
    </row>
    <row r="8" spans="1:46" s="1" customFormat="1" ht="12" customHeight="1" x14ac:dyDescent="0.2">
      <c r="B8" s="24"/>
      <c r="D8" s="549" t="s">
        <v>186</v>
      </c>
      <c r="F8" s="532" t="s">
        <v>3079</v>
      </c>
      <c r="L8" s="24"/>
      <c r="W8" s="158"/>
      <c r="X8" s="557"/>
      <c r="Y8" s="550" t="s">
        <v>186</v>
      </c>
      <c r="Z8" s="557"/>
      <c r="AA8" s="555" t="s">
        <v>3079</v>
      </c>
      <c r="AB8" s="557"/>
      <c r="AC8" s="557"/>
      <c r="AD8" s="557"/>
      <c r="AE8" s="159"/>
      <c r="AJ8" s="398"/>
      <c r="AL8" s="130"/>
    </row>
    <row r="9" spans="1:46" s="1" customFormat="1" ht="37.049999999999997" customHeight="1" x14ac:dyDescent="0.2">
      <c r="B9" s="24"/>
      <c r="D9" s="521"/>
      <c r="E9" s="1251"/>
      <c r="F9" s="1252"/>
      <c r="G9" s="1252"/>
      <c r="H9" s="1252"/>
      <c r="L9" s="24"/>
      <c r="W9" s="158"/>
      <c r="X9" s="557"/>
      <c r="Y9" s="557"/>
      <c r="Z9" s="1245"/>
      <c r="AA9" s="1246"/>
      <c r="AB9" s="1246"/>
      <c r="AC9" s="1246"/>
      <c r="AD9" s="557"/>
      <c r="AE9" s="159"/>
      <c r="AJ9" s="398"/>
      <c r="AL9" s="130"/>
    </row>
    <row r="10" spans="1:46" s="1" customFormat="1" x14ac:dyDescent="0.2">
      <c r="B10" s="24"/>
      <c r="D10" s="521"/>
      <c r="L10" s="24"/>
      <c r="W10" s="158"/>
      <c r="X10" s="557"/>
      <c r="Y10" s="557"/>
      <c r="Z10" s="557"/>
      <c r="AA10" s="557"/>
      <c r="AB10" s="557"/>
      <c r="AC10" s="557"/>
      <c r="AD10" s="557"/>
      <c r="AE10" s="159"/>
      <c r="AJ10" s="398"/>
      <c r="AL10" s="130"/>
    </row>
    <row r="11" spans="1:46" s="1" customFormat="1" ht="12" customHeight="1" x14ac:dyDescent="0.2">
      <c r="B11" s="24"/>
      <c r="D11" s="528" t="s">
        <v>13</v>
      </c>
      <c r="F11" s="19" t="s">
        <v>1</v>
      </c>
      <c r="I11" s="528" t="s">
        <v>14</v>
      </c>
      <c r="J11" s="19" t="s">
        <v>1</v>
      </c>
      <c r="L11" s="24"/>
      <c r="W11" s="158"/>
      <c r="X11" s="557"/>
      <c r="Y11" s="538" t="s">
        <v>13</v>
      </c>
      <c r="Z11" s="557"/>
      <c r="AA11" s="558" t="s">
        <v>1</v>
      </c>
      <c r="AB11" s="557"/>
      <c r="AC11" s="557"/>
      <c r="AD11" s="538" t="s">
        <v>14</v>
      </c>
      <c r="AE11" s="161" t="s">
        <v>1</v>
      </c>
      <c r="AJ11" s="398"/>
      <c r="AL11" s="130"/>
    </row>
    <row r="12" spans="1:46" s="1" customFormat="1" ht="12" customHeight="1" x14ac:dyDescent="0.2">
      <c r="B12" s="24"/>
      <c r="D12" s="528" t="s">
        <v>15</v>
      </c>
      <c r="F12" s="520" t="s">
        <v>6173</v>
      </c>
      <c r="I12" s="528" t="s">
        <v>17</v>
      </c>
      <c r="J12" s="39"/>
      <c r="L12" s="24"/>
      <c r="W12" s="158"/>
      <c r="X12" s="557"/>
      <c r="Y12" s="538" t="s">
        <v>15</v>
      </c>
      <c r="Z12" s="557"/>
      <c r="AA12" s="558" t="s">
        <v>6173</v>
      </c>
      <c r="AB12" s="557"/>
      <c r="AC12" s="557"/>
      <c r="AD12" s="538" t="s">
        <v>17</v>
      </c>
      <c r="AE12" s="162"/>
      <c r="AJ12" s="398"/>
      <c r="AL12" s="130"/>
    </row>
    <row r="13" spans="1:46" s="1" customFormat="1" ht="10.95" customHeight="1" x14ac:dyDescent="0.2">
      <c r="B13" s="24"/>
      <c r="D13" s="521"/>
      <c r="F13" s="521"/>
      <c r="I13" s="521"/>
      <c r="L13" s="24"/>
      <c r="W13" s="158"/>
      <c r="X13" s="557"/>
      <c r="Y13" s="557"/>
      <c r="Z13" s="557"/>
      <c r="AA13" s="557"/>
      <c r="AB13" s="557"/>
      <c r="AC13" s="557"/>
      <c r="AD13" s="557"/>
      <c r="AE13" s="159"/>
      <c r="AJ13" s="398"/>
      <c r="AL13" s="130"/>
    </row>
    <row r="14" spans="1:46" s="1" customFormat="1" ht="12" customHeight="1" x14ac:dyDescent="0.2">
      <c r="B14" s="24"/>
      <c r="D14" s="528" t="s">
        <v>18</v>
      </c>
      <c r="F14" s="529" t="s">
        <v>6175</v>
      </c>
      <c r="I14" s="528" t="s">
        <v>19</v>
      </c>
      <c r="J14" s="19" t="str">
        <f>IF('Rekapitulácia stavby'!AN10="","",'Rekapitulácia stavby'!AN10)</f>
        <v/>
      </c>
      <c r="L14" s="24"/>
      <c r="W14" s="158"/>
      <c r="X14" s="557"/>
      <c r="Y14" s="538" t="s">
        <v>18</v>
      </c>
      <c r="Z14" s="557"/>
      <c r="AA14" s="576" t="s">
        <v>6175</v>
      </c>
      <c r="AB14" s="557"/>
      <c r="AC14" s="557"/>
      <c r="AD14" s="538" t="s">
        <v>19</v>
      </c>
      <c r="AE14" s="161" t="str">
        <f>IF('Rekapitulácia stavby'!BI10="","",'Rekapitulácia stavby'!BI10)</f>
        <v/>
      </c>
      <c r="AJ14" s="398"/>
      <c r="AL14" s="130"/>
    </row>
    <row r="15" spans="1:46" s="1" customFormat="1" ht="18" customHeight="1" x14ac:dyDescent="0.2">
      <c r="B15" s="24"/>
      <c r="D15" s="521"/>
      <c r="E15" s="19" t="str">
        <f>IF('Rekapitulácia stavby'!E11="","",'Rekapitulácia stavby'!E11)</f>
        <v/>
      </c>
      <c r="F15" s="521"/>
      <c r="I15" s="528" t="s">
        <v>20</v>
      </c>
      <c r="J15" s="19" t="str">
        <f>IF('Rekapitulácia stavby'!AN11="","",'Rekapitulácia stavby'!AN11)</f>
        <v/>
      </c>
      <c r="L15" s="24"/>
      <c r="W15" s="158"/>
      <c r="X15" s="557"/>
      <c r="Y15" s="557"/>
      <c r="Z15" s="558" t="str">
        <f>IF('Rekapitulácia stavby'!Z11="","",'Rekapitulácia stavby'!Z11)</f>
        <v/>
      </c>
      <c r="AA15" s="557"/>
      <c r="AB15" s="557"/>
      <c r="AC15" s="557"/>
      <c r="AD15" s="538" t="s">
        <v>20</v>
      </c>
      <c r="AE15" s="161" t="str">
        <f>IF('Rekapitulácia stavby'!BI11="","",'Rekapitulácia stavby'!BI11)</f>
        <v/>
      </c>
      <c r="AJ15" s="398"/>
      <c r="AL15" s="130"/>
    </row>
    <row r="16" spans="1:46" s="1" customFormat="1" ht="7.05" customHeight="1" x14ac:dyDescent="0.2">
      <c r="B16" s="24"/>
      <c r="D16" s="521"/>
      <c r="F16" s="521"/>
      <c r="I16" s="521"/>
      <c r="L16" s="24"/>
      <c r="W16" s="158"/>
      <c r="X16" s="557"/>
      <c r="Y16" s="557"/>
      <c r="Z16" s="557"/>
      <c r="AA16" s="557"/>
      <c r="AB16" s="557"/>
      <c r="AC16" s="557"/>
      <c r="AD16" s="557"/>
      <c r="AE16" s="159"/>
      <c r="AJ16" s="398"/>
      <c r="AL16" s="130"/>
    </row>
    <row r="17" spans="2:38" s="1" customFormat="1" ht="12" customHeight="1" x14ac:dyDescent="0.2">
      <c r="B17" s="24"/>
      <c r="D17" s="528" t="s">
        <v>21</v>
      </c>
      <c r="F17" s="529" t="s">
        <v>5202</v>
      </c>
      <c r="I17" s="528" t="s">
        <v>19</v>
      </c>
      <c r="J17" s="19"/>
      <c r="L17" s="24"/>
      <c r="W17" s="158"/>
      <c r="X17" s="557"/>
      <c r="Y17" s="538" t="s">
        <v>21</v>
      </c>
      <c r="Z17" s="557"/>
      <c r="AA17" s="576" t="s">
        <v>5202</v>
      </c>
      <c r="AB17" s="557"/>
      <c r="AC17" s="557"/>
      <c r="AD17" s="538" t="s">
        <v>19</v>
      </c>
      <c r="AE17" s="161"/>
      <c r="AJ17" s="398"/>
      <c r="AL17" s="130"/>
    </row>
    <row r="18" spans="2:38" s="1" customFormat="1" ht="18" customHeight="1" x14ac:dyDescent="0.2">
      <c r="B18" s="24"/>
      <c r="D18" s="521"/>
      <c r="E18" s="1161"/>
      <c r="F18" s="1161"/>
      <c r="G18" s="1161"/>
      <c r="H18" s="1161"/>
      <c r="I18" s="528" t="s">
        <v>20</v>
      </c>
      <c r="J18" s="19" t="str">
        <f>'Rekapitulácia stavby'!AN14</f>
        <v/>
      </c>
      <c r="L18" s="24"/>
      <c r="W18" s="158"/>
      <c r="X18" s="557"/>
      <c r="Y18" s="557"/>
      <c r="Z18" s="1247"/>
      <c r="AA18" s="1247"/>
      <c r="AB18" s="1247"/>
      <c r="AC18" s="1247"/>
      <c r="AD18" s="538" t="s">
        <v>20</v>
      </c>
      <c r="AE18" s="161"/>
      <c r="AJ18" s="398"/>
      <c r="AL18" s="130"/>
    </row>
    <row r="19" spans="2:38" s="1" customFormat="1" ht="7.05" customHeight="1" x14ac:dyDescent="0.2">
      <c r="B19" s="24"/>
      <c r="D19" s="521"/>
      <c r="I19" s="521"/>
      <c r="L19" s="24"/>
      <c r="W19" s="158"/>
      <c r="X19" s="557"/>
      <c r="Y19" s="557"/>
      <c r="Z19" s="557"/>
      <c r="AA19" s="557"/>
      <c r="AB19" s="557"/>
      <c r="AC19" s="557"/>
      <c r="AD19" s="557"/>
      <c r="AE19" s="159"/>
      <c r="AJ19" s="398"/>
      <c r="AL19" s="130"/>
    </row>
    <row r="20" spans="2:38" s="1" customFormat="1" ht="12" customHeight="1" x14ac:dyDescent="0.2">
      <c r="B20" s="24"/>
      <c r="D20" s="528" t="s">
        <v>22</v>
      </c>
      <c r="I20" s="528" t="s">
        <v>19</v>
      </c>
      <c r="J20" s="19" t="str">
        <f>IF('Rekapitulácia stavby'!AN16="","",'Rekapitulácia stavby'!AN16)</f>
        <v/>
      </c>
      <c r="L20" s="24"/>
      <c r="W20" s="158"/>
      <c r="X20" s="557"/>
      <c r="Y20" s="538" t="s">
        <v>22</v>
      </c>
      <c r="Z20" s="557"/>
      <c r="AA20" s="557"/>
      <c r="AB20" s="557"/>
      <c r="AC20" s="557"/>
      <c r="AD20" s="538" t="s">
        <v>19</v>
      </c>
      <c r="AE20" s="161" t="str">
        <f>IF('Rekapitulácia stavby'!BI16="","",'Rekapitulácia stavby'!BI16)</f>
        <v/>
      </c>
      <c r="AJ20" s="398"/>
      <c r="AL20" s="130"/>
    </row>
    <row r="21" spans="2:38" s="1" customFormat="1" ht="18" customHeight="1" x14ac:dyDescent="0.2">
      <c r="B21" s="24"/>
      <c r="D21" s="521"/>
      <c r="E21" s="19" t="str">
        <f>IF('Rekapitulácia stavby'!E17="","",'Rekapitulácia stavby'!E17)</f>
        <v xml:space="preserve"> </v>
      </c>
      <c r="I21" s="528" t="s">
        <v>20</v>
      </c>
      <c r="J21" s="19" t="str">
        <f>IF('Rekapitulácia stavby'!AN17="","",'Rekapitulácia stavby'!AN17)</f>
        <v/>
      </c>
      <c r="L21" s="24"/>
      <c r="W21" s="158"/>
      <c r="X21" s="557"/>
      <c r="Y21" s="557"/>
      <c r="Z21" s="558" t="str">
        <f>IF('Rekapitulácia stavby'!Z17="","",'Rekapitulácia stavby'!Z17)</f>
        <v/>
      </c>
      <c r="AA21" s="557"/>
      <c r="AB21" s="557"/>
      <c r="AC21" s="557"/>
      <c r="AD21" s="538" t="s">
        <v>20</v>
      </c>
      <c r="AE21" s="161" t="str">
        <f>IF('Rekapitulácia stavby'!BI17="","",'Rekapitulácia stavby'!BI17)</f>
        <v/>
      </c>
      <c r="AJ21" s="398"/>
      <c r="AL21" s="130"/>
    </row>
    <row r="22" spans="2:38" s="1" customFormat="1" ht="7.05" customHeight="1" x14ac:dyDescent="0.2">
      <c r="B22" s="24"/>
      <c r="D22" s="521"/>
      <c r="I22" s="521"/>
      <c r="L22" s="24"/>
      <c r="W22" s="158"/>
      <c r="X22" s="557"/>
      <c r="Y22" s="557"/>
      <c r="Z22" s="557"/>
      <c r="AA22" s="557"/>
      <c r="AB22" s="557"/>
      <c r="AC22" s="557"/>
      <c r="AD22" s="557"/>
      <c r="AE22" s="159"/>
      <c r="AJ22" s="398"/>
      <c r="AL22" s="130"/>
    </row>
    <row r="23" spans="2:38" s="1" customFormat="1" ht="12" customHeight="1" x14ac:dyDescent="0.2">
      <c r="B23" s="24"/>
      <c r="D23" s="528" t="s">
        <v>24</v>
      </c>
      <c r="I23" s="528" t="s">
        <v>19</v>
      </c>
      <c r="J23" s="19" t="str">
        <f>IF('Rekapitulácia stavby'!AN19="","",'Rekapitulácia stavby'!AN19)</f>
        <v/>
      </c>
      <c r="L23" s="24"/>
      <c r="W23" s="158"/>
      <c r="X23" s="557"/>
      <c r="Y23" s="538" t="s">
        <v>24</v>
      </c>
      <c r="Z23" s="557"/>
      <c r="AA23" s="557"/>
      <c r="AB23" s="557"/>
      <c r="AC23" s="557"/>
      <c r="AD23" s="538" t="s">
        <v>19</v>
      </c>
      <c r="AE23" s="161" t="str">
        <f>IF('Rekapitulácia stavby'!BI19="","",'Rekapitulácia stavby'!BI19)</f>
        <v/>
      </c>
      <c r="AJ23" s="398"/>
      <c r="AL23" s="130"/>
    </row>
    <row r="24" spans="2:38" s="1" customFormat="1" ht="18" customHeight="1" x14ac:dyDescent="0.2">
      <c r="B24" s="24"/>
      <c r="D24" s="521"/>
      <c r="E24" s="19" t="str">
        <f>IF('Rekapitulácia stavby'!E20="","",'Rekapitulácia stavby'!E20)</f>
        <v xml:space="preserve"> </v>
      </c>
      <c r="I24" s="528" t="s">
        <v>20</v>
      </c>
      <c r="J24" s="19" t="str">
        <f>IF('Rekapitulácia stavby'!AN20="","",'Rekapitulácia stavby'!AN20)</f>
        <v/>
      </c>
      <c r="L24" s="24"/>
      <c r="W24" s="158"/>
      <c r="X24" s="557"/>
      <c r="Y24" s="557"/>
      <c r="Z24" s="558" t="str">
        <f>IF('Rekapitulácia stavby'!Z20="","",'Rekapitulácia stavby'!Z20)</f>
        <v/>
      </c>
      <c r="AA24" s="557"/>
      <c r="AB24" s="557"/>
      <c r="AC24" s="557"/>
      <c r="AD24" s="559" t="s">
        <v>20</v>
      </c>
      <c r="AE24" s="161" t="str">
        <f>IF('Rekapitulácia stavby'!BI20="","",'Rekapitulácia stavby'!BI20)</f>
        <v/>
      </c>
      <c r="AJ24" s="398"/>
      <c r="AL24" s="130"/>
    </row>
    <row r="25" spans="2:38" s="1" customFormat="1" ht="7.05" customHeight="1" x14ac:dyDescent="0.2">
      <c r="B25" s="24"/>
      <c r="D25" s="521"/>
      <c r="L25" s="24"/>
      <c r="W25" s="158"/>
      <c r="X25" s="557"/>
      <c r="Y25" s="557"/>
      <c r="Z25" s="557"/>
      <c r="AA25" s="557"/>
      <c r="AB25" s="557"/>
      <c r="AC25" s="557"/>
      <c r="AD25" s="557"/>
      <c r="AE25" s="159"/>
      <c r="AJ25" s="398"/>
      <c r="AL25" s="130"/>
    </row>
    <row r="26" spans="2:38" s="1" customFormat="1" ht="12" customHeight="1" x14ac:dyDescent="0.2">
      <c r="B26" s="24"/>
      <c r="D26" s="528" t="s">
        <v>25</v>
      </c>
      <c r="L26" s="24"/>
      <c r="W26" s="158"/>
      <c r="X26" s="557"/>
      <c r="Y26" s="538" t="s">
        <v>25</v>
      </c>
      <c r="Z26" s="557"/>
      <c r="AA26" s="557"/>
      <c r="AB26" s="557"/>
      <c r="AC26" s="557"/>
      <c r="AD26" s="557"/>
      <c r="AE26" s="159"/>
      <c r="AJ26" s="398"/>
      <c r="AL26" s="130"/>
    </row>
    <row r="27" spans="2:38" s="7" customFormat="1" ht="16.5" customHeight="1" x14ac:dyDescent="0.2">
      <c r="B27" s="75"/>
      <c r="E27" s="1228" t="s">
        <v>1</v>
      </c>
      <c r="F27" s="1228"/>
      <c r="G27" s="1228"/>
      <c r="H27" s="1228"/>
      <c r="L27" s="75"/>
      <c r="W27" s="163"/>
      <c r="X27" s="164"/>
      <c r="Y27" s="164"/>
      <c r="Z27" s="1248" t="s">
        <v>1</v>
      </c>
      <c r="AA27" s="1248"/>
      <c r="AB27" s="1248"/>
      <c r="AC27" s="1248"/>
      <c r="AD27" s="164"/>
      <c r="AE27" s="165"/>
      <c r="AJ27" s="399"/>
      <c r="AL27" s="394"/>
    </row>
    <row r="28" spans="2:38" s="1" customFormat="1" ht="7.05" customHeight="1" x14ac:dyDescent="0.2">
      <c r="B28" s="24"/>
      <c r="L28" s="24"/>
      <c r="W28" s="158"/>
      <c r="X28" s="557"/>
      <c r="Y28" s="557"/>
      <c r="Z28" s="557"/>
      <c r="AA28" s="557"/>
      <c r="AB28" s="557"/>
      <c r="AC28" s="557"/>
      <c r="AD28" s="557"/>
      <c r="AE28" s="159"/>
      <c r="AJ28" s="398"/>
      <c r="AL28" s="130"/>
    </row>
    <row r="29" spans="2:38" s="1" customFormat="1" ht="7.05" customHeight="1" x14ac:dyDescent="0.2">
      <c r="B29" s="24"/>
      <c r="D29" s="40"/>
      <c r="E29" s="40"/>
      <c r="F29" s="40"/>
      <c r="G29" s="40"/>
      <c r="H29" s="40"/>
      <c r="I29" s="40"/>
      <c r="J29" s="40"/>
      <c r="K29" s="40"/>
      <c r="L29" s="24"/>
      <c r="W29" s="158"/>
      <c r="X29" s="557"/>
      <c r="Y29" s="40"/>
      <c r="Z29" s="40"/>
      <c r="AA29" s="40"/>
      <c r="AB29" s="40"/>
      <c r="AC29" s="40"/>
      <c r="AD29" s="40"/>
      <c r="AE29" s="166"/>
      <c r="AJ29" s="398"/>
      <c r="AL29" s="130"/>
    </row>
    <row r="30" spans="2:38" s="1" customFormat="1" ht="25.2" customHeight="1" x14ac:dyDescent="0.2">
      <c r="B30" s="24"/>
      <c r="D30" s="76" t="s">
        <v>26</v>
      </c>
      <c r="J30" s="53">
        <f>ROUND(J142, 2)</f>
        <v>419853.09</v>
      </c>
      <c r="L30" s="24"/>
      <c r="W30" s="158"/>
      <c r="X30" s="557"/>
      <c r="Y30" s="167" t="s">
        <v>26</v>
      </c>
      <c r="Z30" s="557"/>
      <c r="AA30" s="557"/>
      <c r="AB30" s="557"/>
      <c r="AC30" s="557"/>
      <c r="AD30" s="557"/>
      <c r="AE30" s="168">
        <f>ROUND(AE142, 2)</f>
        <v>540087.56000000006</v>
      </c>
      <c r="AJ30" s="398"/>
      <c r="AL30" s="130"/>
    </row>
    <row r="31" spans="2:38" s="1" customFormat="1" ht="7.05" customHeight="1" x14ac:dyDescent="0.2">
      <c r="B31" s="24"/>
      <c r="D31" s="40"/>
      <c r="E31" s="40"/>
      <c r="F31" s="40"/>
      <c r="G31" s="40"/>
      <c r="H31" s="40"/>
      <c r="I31" s="40"/>
      <c r="J31" s="40"/>
      <c r="K31" s="40"/>
      <c r="L31" s="24"/>
      <c r="W31" s="158"/>
      <c r="X31" s="557"/>
      <c r="Y31" s="40"/>
      <c r="Z31" s="40"/>
      <c r="AA31" s="40"/>
      <c r="AB31" s="40"/>
      <c r="AC31" s="40"/>
      <c r="AD31" s="40"/>
      <c r="AE31" s="166"/>
      <c r="AJ31" s="398"/>
      <c r="AL31" s="130"/>
    </row>
    <row r="32" spans="2:38" s="1" customFormat="1" ht="14.55" customHeight="1" x14ac:dyDescent="0.2">
      <c r="B32" s="24"/>
      <c r="D32" s="521"/>
      <c r="E32" s="521"/>
      <c r="F32" s="534" t="s">
        <v>28</v>
      </c>
      <c r="G32" s="521"/>
      <c r="H32" s="521"/>
      <c r="I32" s="534" t="s">
        <v>27</v>
      </c>
      <c r="J32" s="534" t="s">
        <v>29</v>
      </c>
      <c r="L32" s="24"/>
      <c r="W32" s="158"/>
      <c r="X32" s="557"/>
      <c r="Y32" s="557"/>
      <c r="Z32" s="557"/>
      <c r="AA32" s="542" t="s">
        <v>28</v>
      </c>
      <c r="AB32" s="557"/>
      <c r="AC32" s="557"/>
      <c r="AD32" s="542" t="s">
        <v>27</v>
      </c>
      <c r="AE32" s="543" t="s">
        <v>29</v>
      </c>
      <c r="AJ32" s="398"/>
      <c r="AL32" s="130"/>
    </row>
    <row r="33" spans="2:38" s="1" customFormat="1" ht="14.55" customHeight="1" x14ac:dyDescent="0.2">
      <c r="B33" s="24"/>
      <c r="D33" s="13" t="s">
        <v>30</v>
      </c>
      <c r="E33" s="528" t="s">
        <v>31</v>
      </c>
      <c r="F33" s="398">
        <f>ROUND((SUM(BE142:BE393)),  2)</f>
        <v>0</v>
      </c>
      <c r="G33" s="521"/>
      <c r="H33" s="521"/>
      <c r="I33" s="535">
        <v>0.2</v>
      </c>
      <c r="J33" s="398">
        <f>ROUND(((SUM(BE142:BE393))*I33),  2)</f>
        <v>0</v>
      </c>
      <c r="L33" s="24"/>
      <c r="W33" s="158"/>
      <c r="X33" s="557"/>
      <c r="Y33" s="544" t="s">
        <v>30</v>
      </c>
      <c r="Z33" s="538" t="s">
        <v>31</v>
      </c>
      <c r="AA33" s="545">
        <f>ROUND((SUM(BZ142:BZ393)),  2)</f>
        <v>0</v>
      </c>
      <c r="AB33" s="557"/>
      <c r="AC33" s="557"/>
      <c r="AD33" s="546">
        <v>0.2</v>
      </c>
      <c r="AE33" s="547">
        <f>ROUND(((SUM(BZ142:BZ393))*AD33),  2)</f>
        <v>0</v>
      </c>
      <c r="AJ33" s="398"/>
      <c r="AL33" s="130"/>
    </row>
    <row r="34" spans="2:38" s="1" customFormat="1" ht="14.55" customHeight="1" x14ac:dyDescent="0.2">
      <c r="B34" s="24"/>
      <c r="D34" s="521"/>
      <c r="E34" s="528" t="s">
        <v>32</v>
      </c>
      <c r="F34" s="398">
        <f>ROUND((SUM(BF142:BF393)),  2)</f>
        <v>419853.09</v>
      </c>
      <c r="G34" s="521"/>
      <c r="H34" s="521"/>
      <c r="I34" s="535">
        <v>0.2</v>
      </c>
      <c r="J34" s="398">
        <f>ROUND(((SUM(BF142:BF393))*I34),  2)</f>
        <v>83970.62</v>
      </c>
      <c r="L34" s="24"/>
      <c r="W34" s="158"/>
      <c r="X34" s="557"/>
      <c r="Y34" s="557"/>
      <c r="Z34" s="538" t="s">
        <v>32</v>
      </c>
      <c r="AA34" s="545">
        <f>AE30</f>
        <v>540087.56000000006</v>
      </c>
      <c r="AB34" s="557"/>
      <c r="AC34" s="557"/>
      <c r="AD34" s="546">
        <v>0.2</v>
      </c>
      <c r="AE34" s="547">
        <f>AE30*0.2</f>
        <v>108017.51200000002</v>
      </c>
      <c r="AJ34" s="398"/>
      <c r="AL34" s="130"/>
    </row>
    <row r="35" spans="2:38" s="1" customFormat="1" ht="14.55" hidden="1" customHeight="1" x14ac:dyDescent="0.2">
      <c r="B35" s="24"/>
      <c r="E35" s="21" t="s">
        <v>33</v>
      </c>
      <c r="F35" s="78">
        <f>ROUND((SUM(BG142:BG393)),  2)</f>
        <v>0</v>
      </c>
      <c r="I35" s="79">
        <v>0.2</v>
      </c>
      <c r="J35" s="78">
        <f>0</f>
        <v>0</v>
      </c>
      <c r="L35" s="24"/>
      <c r="W35" s="158"/>
      <c r="X35" s="557"/>
      <c r="Y35" s="557"/>
      <c r="Z35" s="559" t="s">
        <v>33</v>
      </c>
      <c r="AA35" s="170">
        <f>ROUND((SUM(CB142:CB393)),  2)</f>
        <v>0</v>
      </c>
      <c r="AB35" s="557"/>
      <c r="AC35" s="557"/>
      <c r="AD35" s="171">
        <v>0.2</v>
      </c>
      <c r="AE35" s="172">
        <f>0</f>
        <v>0</v>
      </c>
      <c r="AJ35" s="398"/>
      <c r="AL35" s="130"/>
    </row>
    <row r="36" spans="2:38" s="1" customFormat="1" ht="14.55" hidden="1" customHeight="1" x14ac:dyDescent="0.2">
      <c r="B36" s="24"/>
      <c r="E36" s="21" t="s">
        <v>34</v>
      </c>
      <c r="F36" s="78">
        <f>ROUND((SUM(BH142:BH393)),  2)</f>
        <v>0</v>
      </c>
      <c r="I36" s="79">
        <v>0.2</v>
      </c>
      <c r="J36" s="78">
        <f>0</f>
        <v>0</v>
      </c>
      <c r="L36" s="24"/>
      <c r="W36" s="158"/>
      <c r="X36" s="557"/>
      <c r="Y36" s="557"/>
      <c r="Z36" s="559" t="s">
        <v>34</v>
      </c>
      <c r="AA36" s="170">
        <f>ROUND((SUM(CC142:CC393)),  2)</f>
        <v>0</v>
      </c>
      <c r="AB36" s="557"/>
      <c r="AC36" s="557"/>
      <c r="AD36" s="171">
        <v>0.2</v>
      </c>
      <c r="AE36" s="172">
        <f>0</f>
        <v>0</v>
      </c>
      <c r="AJ36" s="398"/>
      <c r="AL36" s="130"/>
    </row>
    <row r="37" spans="2:38" s="1" customFormat="1" ht="14.55" hidden="1" customHeight="1" x14ac:dyDescent="0.2">
      <c r="B37" s="24"/>
      <c r="E37" s="21" t="s">
        <v>35</v>
      </c>
      <c r="F37" s="78">
        <f>ROUND((SUM(BI142:BI393)),  2)</f>
        <v>0</v>
      </c>
      <c r="I37" s="79">
        <v>0</v>
      </c>
      <c r="J37" s="78">
        <f>0</f>
        <v>0</v>
      </c>
      <c r="L37" s="24"/>
      <c r="W37" s="158"/>
      <c r="X37" s="557"/>
      <c r="Y37" s="557"/>
      <c r="Z37" s="559" t="s">
        <v>35</v>
      </c>
      <c r="AA37" s="170">
        <f>ROUND((SUM(CD142:CD393)),  2)</f>
        <v>0</v>
      </c>
      <c r="AB37" s="557"/>
      <c r="AC37" s="557"/>
      <c r="AD37" s="171">
        <v>0</v>
      </c>
      <c r="AE37" s="172">
        <f>0</f>
        <v>0</v>
      </c>
      <c r="AJ37" s="398"/>
      <c r="AL37" s="130"/>
    </row>
    <row r="38" spans="2:38" s="1" customFormat="1" ht="7.05" customHeight="1" x14ac:dyDescent="0.2">
      <c r="B38" s="24"/>
      <c r="L38" s="24"/>
      <c r="W38" s="158"/>
      <c r="X38" s="557"/>
      <c r="Y38" s="557"/>
      <c r="Z38" s="557"/>
      <c r="AA38" s="557"/>
      <c r="AB38" s="557"/>
      <c r="AC38" s="557"/>
      <c r="AD38" s="557"/>
      <c r="AE38" s="159"/>
      <c r="AJ38" s="398"/>
      <c r="AL38" s="130"/>
    </row>
    <row r="39" spans="2:38" s="1" customFormat="1" ht="25.2" customHeight="1" x14ac:dyDescent="0.2">
      <c r="B39" s="24"/>
      <c r="C39" s="80"/>
      <c r="D39" s="81" t="s">
        <v>36</v>
      </c>
      <c r="E39" s="44"/>
      <c r="F39" s="44"/>
      <c r="G39" s="82" t="s">
        <v>37</v>
      </c>
      <c r="H39" s="83" t="s">
        <v>38</v>
      </c>
      <c r="I39" s="44"/>
      <c r="J39" s="84">
        <f>SUM(J30:J37)</f>
        <v>503823.71</v>
      </c>
      <c r="K39" s="85"/>
      <c r="L39" s="24"/>
      <c r="W39" s="158"/>
      <c r="X39" s="173"/>
      <c r="Y39" s="81" t="s">
        <v>36</v>
      </c>
      <c r="Z39" s="44"/>
      <c r="AA39" s="44"/>
      <c r="AB39" s="82" t="s">
        <v>37</v>
      </c>
      <c r="AC39" s="83" t="s">
        <v>38</v>
      </c>
      <c r="AD39" s="44"/>
      <c r="AE39" s="174">
        <f>SUM(AE30:AE37)</f>
        <v>648105.07200000004</v>
      </c>
      <c r="AJ39" s="398"/>
      <c r="AL39" s="130"/>
    </row>
    <row r="40" spans="2:38" s="1" customFormat="1" ht="14.55" customHeight="1" x14ac:dyDescent="0.2">
      <c r="B40" s="24"/>
      <c r="L40" s="24"/>
      <c r="W40" s="158"/>
      <c r="X40" s="557"/>
      <c r="Y40" s="557"/>
      <c r="Z40" s="557"/>
      <c r="AA40" s="557"/>
      <c r="AB40" s="557"/>
      <c r="AC40" s="557"/>
      <c r="AD40" s="557"/>
      <c r="AE40" s="159"/>
      <c r="AJ40" s="398"/>
      <c r="AL40" s="130"/>
    </row>
    <row r="41" spans="2:38" ht="14.55" customHeight="1" x14ac:dyDescent="0.25">
      <c r="B41" s="16"/>
      <c r="L41" s="16"/>
      <c r="W41" s="155"/>
      <c r="X41" s="156"/>
      <c r="Y41" s="156"/>
      <c r="Z41" s="156"/>
      <c r="AA41" s="156"/>
      <c r="AB41" s="156"/>
      <c r="AC41" s="156"/>
      <c r="AD41" s="156"/>
      <c r="AE41" s="157"/>
    </row>
    <row r="42" spans="2:38" ht="14.55" customHeight="1" x14ac:dyDescent="0.25">
      <c r="B42" s="16"/>
      <c r="L42" s="16"/>
      <c r="W42" s="155"/>
      <c r="X42" s="156"/>
      <c r="Y42" s="156"/>
      <c r="Z42" s="156"/>
      <c r="AA42" s="156"/>
      <c r="AB42" s="156"/>
      <c r="AC42" s="156"/>
      <c r="AD42" s="156"/>
      <c r="AE42" s="157"/>
    </row>
    <row r="43" spans="2:38" ht="14.55" customHeight="1" x14ac:dyDescent="0.25">
      <c r="B43" s="16"/>
      <c r="L43" s="16"/>
      <c r="W43" s="155"/>
      <c r="X43" s="156"/>
      <c r="Y43" s="156"/>
      <c r="Z43" s="156"/>
      <c r="AA43" s="156"/>
      <c r="AB43" s="156"/>
      <c r="AC43" s="156"/>
      <c r="AD43" s="156"/>
      <c r="AE43" s="157"/>
    </row>
    <row r="44" spans="2:38" ht="14.55" customHeight="1" x14ac:dyDescent="0.25">
      <c r="B44" s="16"/>
      <c r="L44" s="16"/>
      <c r="W44" s="155"/>
      <c r="X44" s="156"/>
      <c r="Y44" s="156"/>
      <c r="Z44" s="156"/>
      <c r="AA44" s="156"/>
      <c r="AB44" s="156"/>
      <c r="AC44" s="156"/>
      <c r="AD44" s="156"/>
      <c r="AE44" s="157"/>
    </row>
    <row r="45" spans="2:38" ht="14.55" customHeight="1" x14ac:dyDescent="0.25">
      <c r="B45" s="16"/>
      <c r="L45" s="16"/>
      <c r="W45" s="155"/>
      <c r="X45" s="156"/>
      <c r="Y45" s="156"/>
      <c r="Z45" s="156"/>
      <c r="AA45" s="156"/>
      <c r="AB45" s="156"/>
      <c r="AC45" s="156"/>
      <c r="AD45" s="156"/>
      <c r="AE45" s="157"/>
    </row>
    <row r="46" spans="2:38" ht="14.55" customHeight="1" x14ac:dyDescent="0.25">
      <c r="B46" s="16"/>
      <c r="L46" s="16"/>
      <c r="W46" s="155"/>
      <c r="X46" s="156"/>
      <c r="Y46" s="156"/>
      <c r="Z46" s="156"/>
      <c r="AA46" s="156"/>
      <c r="AB46" s="156"/>
      <c r="AC46" s="156"/>
      <c r="AD46" s="156"/>
      <c r="AE46" s="157"/>
    </row>
    <row r="47" spans="2:38" ht="14.55" customHeight="1" x14ac:dyDescent="0.25">
      <c r="B47" s="16"/>
      <c r="L47" s="16"/>
      <c r="W47" s="155"/>
      <c r="X47" s="156"/>
      <c r="Y47" s="156"/>
      <c r="Z47" s="156"/>
      <c r="AA47" s="156"/>
      <c r="AB47" s="156"/>
      <c r="AC47" s="156"/>
      <c r="AD47" s="156"/>
      <c r="AE47" s="157"/>
    </row>
    <row r="48" spans="2:38" ht="14.55" customHeight="1" x14ac:dyDescent="0.25">
      <c r="B48" s="16"/>
      <c r="L48" s="16"/>
      <c r="W48" s="155"/>
      <c r="X48" s="156"/>
      <c r="Y48" s="156"/>
      <c r="Z48" s="156"/>
      <c r="AA48" s="156"/>
      <c r="AB48" s="156"/>
      <c r="AC48" s="156"/>
      <c r="AD48" s="156"/>
      <c r="AE48" s="157"/>
    </row>
    <row r="49" spans="2:38" ht="14.55" customHeight="1" x14ac:dyDescent="0.25">
      <c r="B49" s="16"/>
      <c r="D49" s="156"/>
      <c r="E49" s="156"/>
      <c r="F49" s="156"/>
      <c r="G49" s="156"/>
      <c r="H49" s="156"/>
      <c r="I49" s="156"/>
      <c r="J49" s="156"/>
      <c r="L49" s="16"/>
      <c r="W49" s="155"/>
      <c r="X49" s="156"/>
      <c r="Y49" s="156"/>
      <c r="Z49" s="156"/>
      <c r="AA49" s="156"/>
      <c r="AB49" s="156"/>
      <c r="AC49" s="156"/>
      <c r="AD49" s="156"/>
      <c r="AE49" s="157"/>
    </row>
    <row r="50" spans="2:38" s="1" customFormat="1" ht="14.55" customHeight="1" x14ac:dyDescent="0.2">
      <c r="B50" s="24"/>
      <c r="D50" s="530"/>
      <c r="E50" s="523"/>
      <c r="F50" s="523"/>
      <c r="G50" s="530"/>
      <c r="H50" s="523"/>
      <c r="I50" s="523"/>
      <c r="J50" s="523"/>
      <c r="K50" s="32"/>
      <c r="L50" s="24"/>
      <c r="W50" s="158"/>
      <c r="X50" s="557"/>
      <c r="Y50" s="530"/>
      <c r="Z50" s="557"/>
      <c r="AA50" s="557"/>
      <c r="AB50" s="530"/>
      <c r="AC50" s="557"/>
      <c r="AD50" s="557"/>
      <c r="AE50" s="159"/>
      <c r="AJ50" s="398"/>
      <c r="AL50" s="130"/>
    </row>
    <row r="51" spans="2:38" x14ac:dyDescent="0.25">
      <c r="B51" s="16"/>
      <c r="D51" s="156"/>
      <c r="E51" s="156"/>
      <c r="F51" s="156"/>
      <c r="G51" s="156"/>
      <c r="H51" s="156"/>
      <c r="I51" s="156"/>
      <c r="J51" s="156"/>
      <c r="L51" s="16"/>
      <c r="W51" s="155"/>
      <c r="X51" s="156"/>
      <c r="Y51" s="156"/>
      <c r="Z51" s="156"/>
      <c r="AA51" s="156"/>
      <c r="AB51" s="156"/>
      <c r="AC51" s="156"/>
      <c r="AD51" s="156"/>
      <c r="AE51" s="157"/>
    </row>
    <row r="52" spans="2:38" x14ac:dyDescent="0.25">
      <c r="B52" s="16"/>
      <c r="D52" s="156"/>
      <c r="E52" s="156"/>
      <c r="F52" s="156"/>
      <c r="G52" s="156"/>
      <c r="H52" s="156"/>
      <c r="I52" s="156"/>
      <c r="J52" s="156"/>
      <c r="L52" s="16"/>
      <c r="W52" s="155"/>
      <c r="X52" s="156"/>
      <c r="Y52" s="156"/>
      <c r="Z52" s="156"/>
      <c r="AA52" s="156"/>
      <c r="AB52" s="156"/>
      <c r="AC52" s="156"/>
      <c r="AD52" s="156"/>
      <c r="AE52" s="157"/>
    </row>
    <row r="53" spans="2:38" x14ac:dyDescent="0.25">
      <c r="B53" s="16"/>
      <c r="D53" s="156"/>
      <c r="E53" s="156"/>
      <c r="F53" s="156"/>
      <c r="G53" s="156"/>
      <c r="H53" s="156"/>
      <c r="I53" s="156"/>
      <c r="J53" s="156"/>
      <c r="L53" s="16"/>
      <c r="W53" s="155"/>
      <c r="X53" s="156"/>
      <c r="Y53" s="156"/>
      <c r="Z53" s="156"/>
      <c r="AA53" s="156"/>
      <c r="AB53" s="156"/>
      <c r="AC53" s="156"/>
      <c r="AD53" s="156"/>
      <c r="AE53" s="157"/>
    </row>
    <row r="54" spans="2:38" x14ac:dyDescent="0.25">
      <c r="B54" s="16"/>
      <c r="D54" s="156"/>
      <c r="E54" s="156"/>
      <c r="F54" s="156"/>
      <c r="G54" s="156"/>
      <c r="H54" s="156"/>
      <c r="I54" s="156"/>
      <c r="J54" s="156"/>
      <c r="L54" s="16"/>
      <c r="W54" s="155"/>
      <c r="X54" s="156"/>
      <c r="Y54" s="156"/>
      <c r="Z54" s="156"/>
      <c r="AA54" s="156"/>
      <c r="AB54" s="156"/>
      <c r="AC54" s="156"/>
      <c r="AD54" s="156"/>
      <c r="AE54" s="157"/>
    </row>
    <row r="55" spans="2:38" x14ac:dyDescent="0.25">
      <c r="B55" s="16"/>
      <c r="D55" s="156"/>
      <c r="E55" s="156"/>
      <c r="F55" s="156"/>
      <c r="G55" s="156"/>
      <c r="H55" s="156"/>
      <c r="I55" s="156"/>
      <c r="J55" s="156"/>
      <c r="L55" s="16"/>
      <c r="W55" s="155"/>
      <c r="X55" s="156"/>
      <c r="Y55" s="156"/>
      <c r="Z55" s="156"/>
      <c r="AA55" s="156"/>
      <c r="AB55" s="156"/>
      <c r="AC55" s="156"/>
      <c r="AD55" s="156"/>
      <c r="AE55" s="157"/>
    </row>
    <row r="56" spans="2:38" x14ac:dyDescent="0.25">
      <c r="B56" s="16"/>
      <c r="D56" s="156"/>
      <c r="E56" s="156"/>
      <c r="F56" s="156"/>
      <c r="G56" s="156"/>
      <c r="H56" s="156"/>
      <c r="I56" s="156"/>
      <c r="J56" s="156"/>
      <c r="L56" s="16"/>
      <c r="W56" s="155"/>
      <c r="X56" s="156"/>
      <c r="Y56" s="156"/>
      <c r="Z56" s="156"/>
      <c r="AA56" s="156"/>
      <c r="AB56" s="156"/>
      <c r="AC56" s="156"/>
      <c r="AD56" s="156"/>
      <c r="AE56" s="157"/>
    </row>
    <row r="57" spans="2:38" x14ac:dyDescent="0.25">
      <c r="B57" s="16"/>
      <c r="D57" s="156"/>
      <c r="E57" s="156"/>
      <c r="F57" s="156"/>
      <c r="G57" s="156"/>
      <c r="H57" s="156"/>
      <c r="I57" s="156"/>
      <c r="J57" s="156"/>
      <c r="L57" s="16"/>
      <c r="W57" s="155"/>
      <c r="X57" s="156"/>
      <c r="Y57" s="156"/>
      <c r="Z57" s="156"/>
      <c r="AA57" s="156"/>
      <c r="AB57" s="156"/>
      <c r="AC57" s="156"/>
      <c r="AD57" s="156"/>
      <c r="AE57" s="157"/>
    </row>
    <row r="58" spans="2:38" x14ac:dyDescent="0.25">
      <c r="B58" s="16"/>
      <c r="D58" s="156"/>
      <c r="E58" s="156"/>
      <c r="F58" s="156"/>
      <c r="G58" s="156"/>
      <c r="H58" s="156"/>
      <c r="I58" s="156"/>
      <c r="J58" s="156"/>
      <c r="L58" s="16"/>
      <c r="W58" s="155"/>
      <c r="X58" s="156"/>
      <c r="Y58" s="156"/>
      <c r="Z58" s="156"/>
      <c r="AA58" s="156"/>
      <c r="AB58" s="156"/>
      <c r="AC58" s="156"/>
      <c r="AD58" s="156"/>
      <c r="AE58" s="157"/>
    </row>
    <row r="59" spans="2:38" x14ac:dyDescent="0.25">
      <c r="B59" s="16"/>
      <c r="D59" s="156"/>
      <c r="E59" s="156"/>
      <c r="F59" s="156"/>
      <c r="G59" s="156"/>
      <c r="H59" s="156"/>
      <c r="I59" s="156"/>
      <c r="J59" s="156"/>
      <c r="L59" s="16"/>
      <c r="W59" s="155"/>
      <c r="X59" s="156"/>
      <c r="Y59" s="156"/>
      <c r="Z59" s="156"/>
      <c r="AA59" s="156"/>
      <c r="AB59" s="156"/>
      <c r="AC59" s="156"/>
      <c r="AD59" s="156"/>
      <c r="AE59" s="157"/>
    </row>
    <row r="60" spans="2:38" x14ac:dyDescent="0.25">
      <c r="B60" s="16"/>
      <c r="D60" s="156"/>
      <c r="E60" s="156"/>
      <c r="F60" s="156"/>
      <c r="G60" s="156"/>
      <c r="H60" s="156"/>
      <c r="I60" s="156"/>
      <c r="J60" s="156"/>
      <c r="L60" s="16"/>
      <c r="W60" s="155"/>
      <c r="X60" s="156"/>
      <c r="Y60" s="156"/>
      <c r="Z60" s="156"/>
      <c r="AA60" s="156"/>
      <c r="AB60" s="156"/>
      <c r="AC60" s="156"/>
      <c r="AD60" s="156"/>
      <c r="AE60" s="157"/>
    </row>
    <row r="61" spans="2:38" s="1" customFormat="1" x14ac:dyDescent="0.2">
      <c r="B61" s="24"/>
      <c r="D61" s="522"/>
      <c r="E61" s="523"/>
      <c r="F61" s="536"/>
      <c r="G61" s="522"/>
      <c r="H61" s="523"/>
      <c r="I61" s="523"/>
      <c r="J61" s="169"/>
      <c r="K61" s="26"/>
      <c r="L61" s="24"/>
      <c r="W61" s="158"/>
      <c r="X61" s="557"/>
      <c r="Y61" s="559"/>
      <c r="Z61" s="557"/>
      <c r="AA61" s="536"/>
      <c r="AB61" s="559"/>
      <c r="AC61" s="557"/>
      <c r="AD61" s="557"/>
      <c r="AE61" s="577"/>
      <c r="AJ61" s="398"/>
      <c r="AL61" s="130"/>
    </row>
    <row r="62" spans="2:38" x14ac:dyDescent="0.25">
      <c r="B62" s="16"/>
      <c r="D62" s="156"/>
      <c r="E62" s="156"/>
      <c r="F62" s="156"/>
      <c r="G62" s="156"/>
      <c r="H62" s="156"/>
      <c r="I62" s="156"/>
      <c r="J62" s="156"/>
      <c r="L62" s="16"/>
      <c r="W62" s="155"/>
      <c r="X62" s="156"/>
      <c r="Y62" s="156"/>
      <c r="Z62" s="156"/>
      <c r="AA62" s="156"/>
      <c r="AB62" s="156"/>
      <c r="AC62" s="156"/>
      <c r="AD62" s="156"/>
      <c r="AE62" s="157"/>
    </row>
    <row r="63" spans="2:38" x14ac:dyDescent="0.25">
      <c r="B63" s="16"/>
      <c r="D63" s="156"/>
      <c r="E63" s="156"/>
      <c r="F63" s="156"/>
      <c r="G63" s="156"/>
      <c r="H63" s="156"/>
      <c r="I63" s="156"/>
      <c r="J63" s="156"/>
      <c r="L63" s="16"/>
      <c r="W63" s="155"/>
      <c r="X63" s="156"/>
      <c r="Y63" s="156"/>
      <c r="Z63" s="156"/>
      <c r="AA63" s="156"/>
      <c r="AB63" s="156"/>
      <c r="AC63" s="156"/>
      <c r="AD63" s="156"/>
      <c r="AE63" s="157"/>
    </row>
    <row r="64" spans="2:38" x14ac:dyDescent="0.25">
      <c r="B64" s="16"/>
      <c r="D64" s="156"/>
      <c r="E64" s="156"/>
      <c r="F64" s="156"/>
      <c r="G64" s="156"/>
      <c r="H64" s="156"/>
      <c r="I64" s="156"/>
      <c r="J64" s="156"/>
      <c r="L64" s="16"/>
      <c r="W64" s="155"/>
      <c r="X64" s="156"/>
      <c r="Y64" s="156"/>
      <c r="Z64" s="156"/>
      <c r="AA64" s="156"/>
      <c r="AB64" s="156"/>
      <c r="AC64" s="156"/>
      <c r="AD64" s="156"/>
      <c r="AE64" s="157"/>
    </row>
    <row r="65" spans="2:38" s="1" customFormat="1" x14ac:dyDescent="0.2">
      <c r="B65" s="24"/>
      <c r="D65" s="530"/>
      <c r="E65" s="523"/>
      <c r="F65" s="523"/>
      <c r="G65" s="530"/>
      <c r="H65" s="523"/>
      <c r="I65" s="523"/>
      <c r="J65" s="523"/>
      <c r="K65" s="32"/>
      <c r="L65" s="24"/>
      <c r="W65" s="158"/>
      <c r="X65" s="557"/>
      <c r="Y65" s="530"/>
      <c r="Z65" s="557"/>
      <c r="AA65" s="557"/>
      <c r="AB65" s="530"/>
      <c r="AC65" s="557"/>
      <c r="AD65" s="557"/>
      <c r="AE65" s="159"/>
      <c r="AJ65" s="398"/>
      <c r="AL65" s="130"/>
    </row>
    <row r="66" spans="2:38" x14ac:dyDescent="0.25">
      <c r="B66" s="16"/>
      <c r="D66" s="156"/>
      <c r="E66" s="156"/>
      <c r="F66" s="156"/>
      <c r="G66" s="156"/>
      <c r="H66" s="156"/>
      <c r="I66" s="156"/>
      <c r="J66" s="156"/>
      <c r="L66" s="16"/>
      <c r="W66" s="155"/>
      <c r="X66" s="156"/>
      <c r="Y66" s="156"/>
      <c r="Z66" s="156"/>
      <c r="AA66" s="156"/>
      <c r="AB66" s="156"/>
      <c r="AC66" s="156"/>
      <c r="AD66" s="156"/>
      <c r="AE66" s="157"/>
    </row>
    <row r="67" spans="2:38" x14ac:dyDescent="0.25">
      <c r="B67" s="16"/>
      <c r="D67" s="156"/>
      <c r="E67" s="156"/>
      <c r="F67" s="156"/>
      <c r="G67" s="156"/>
      <c r="H67" s="156"/>
      <c r="I67" s="156"/>
      <c r="J67" s="156"/>
      <c r="L67" s="16"/>
      <c r="W67" s="155"/>
      <c r="X67" s="156"/>
      <c r="Y67" s="156"/>
      <c r="Z67" s="156"/>
      <c r="AA67" s="156"/>
      <c r="AB67" s="156"/>
      <c r="AC67" s="156"/>
      <c r="AD67" s="156"/>
      <c r="AE67" s="157"/>
    </row>
    <row r="68" spans="2:38" x14ac:dyDescent="0.25">
      <c r="B68" s="16"/>
      <c r="D68" s="156"/>
      <c r="E68" s="156"/>
      <c r="F68" s="156"/>
      <c r="G68" s="156"/>
      <c r="H68" s="156"/>
      <c r="I68" s="156"/>
      <c r="J68" s="156"/>
      <c r="L68" s="16"/>
      <c r="W68" s="155"/>
      <c r="X68" s="156"/>
      <c r="Y68" s="156"/>
      <c r="Z68" s="156"/>
      <c r="AA68" s="156"/>
      <c r="AB68" s="156"/>
      <c r="AC68" s="156"/>
      <c r="AD68" s="156"/>
      <c r="AE68" s="157"/>
    </row>
    <row r="69" spans="2:38" x14ac:dyDescent="0.25">
      <c r="B69" s="16"/>
      <c r="D69" s="156"/>
      <c r="E69" s="156"/>
      <c r="F69" s="156"/>
      <c r="G69" s="156"/>
      <c r="H69" s="156"/>
      <c r="I69" s="156"/>
      <c r="J69" s="156"/>
      <c r="L69" s="16"/>
      <c r="W69" s="155"/>
      <c r="X69" s="156"/>
      <c r="Y69" s="156"/>
      <c r="Z69" s="156"/>
      <c r="AA69" s="156"/>
      <c r="AB69" s="156"/>
      <c r="AC69" s="156"/>
      <c r="AD69" s="156"/>
      <c r="AE69" s="157"/>
    </row>
    <row r="70" spans="2:38" x14ac:dyDescent="0.25">
      <c r="B70" s="16"/>
      <c r="D70" s="156"/>
      <c r="E70" s="156"/>
      <c r="F70" s="156"/>
      <c r="G70" s="156"/>
      <c r="H70" s="156"/>
      <c r="I70" s="156"/>
      <c r="J70" s="156"/>
      <c r="L70" s="16"/>
      <c r="W70" s="155"/>
      <c r="X70" s="156"/>
      <c r="Y70" s="156"/>
      <c r="Z70" s="156"/>
      <c r="AA70" s="156"/>
      <c r="AB70" s="156"/>
      <c r="AC70" s="156"/>
      <c r="AD70" s="156"/>
      <c r="AE70" s="157"/>
    </row>
    <row r="71" spans="2:38" x14ac:dyDescent="0.25">
      <c r="B71" s="16"/>
      <c r="D71" s="156"/>
      <c r="E71" s="156"/>
      <c r="F71" s="156"/>
      <c r="G71" s="156"/>
      <c r="H71" s="156"/>
      <c r="I71" s="156"/>
      <c r="J71" s="156"/>
      <c r="L71" s="16"/>
      <c r="W71" s="155"/>
      <c r="X71" s="156"/>
      <c r="Y71" s="156"/>
      <c r="Z71" s="156"/>
      <c r="AA71" s="156"/>
      <c r="AB71" s="156"/>
      <c r="AC71" s="156"/>
      <c r="AD71" s="156"/>
      <c r="AE71" s="157"/>
    </row>
    <row r="72" spans="2:38" x14ac:dyDescent="0.25">
      <c r="B72" s="16"/>
      <c r="D72" s="156"/>
      <c r="E72" s="156"/>
      <c r="F72" s="156"/>
      <c r="G72" s="156"/>
      <c r="H72" s="156"/>
      <c r="I72" s="156"/>
      <c r="J72" s="156"/>
      <c r="L72" s="16"/>
      <c r="W72" s="155"/>
      <c r="X72" s="156"/>
      <c r="Y72" s="156"/>
      <c r="Z72" s="156"/>
      <c r="AA72" s="156"/>
      <c r="AB72" s="156"/>
      <c r="AC72" s="156"/>
      <c r="AD72" s="156"/>
      <c r="AE72" s="157"/>
    </row>
    <row r="73" spans="2:38" x14ac:dyDescent="0.25">
      <c r="B73" s="16"/>
      <c r="D73" s="156"/>
      <c r="E73" s="156"/>
      <c r="F73" s="156"/>
      <c r="G73" s="156"/>
      <c r="H73" s="156"/>
      <c r="I73" s="156"/>
      <c r="J73" s="156"/>
      <c r="L73" s="16"/>
      <c r="W73" s="155"/>
      <c r="X73" s="156"/>
      <c r="Y73" s="156"/>
      <c r="Z73" s="156"/>
      <c r="AA73" s="156"/>
      <c r="AB73" s="156"/>
      <c r="AC73" s="156"/>
      <c r="AD73" s="156"/>
      <c r="AE73" s="157"/>
    </row>
    <row r="74" spans="2:38" x14ac:dyDescent="0.25">
      <c r="B74" s="16"/>
      <c r="D74" s="156"/>
      <c r="E74" s="156"/>
      <c r="F74" s="156"/>
      <c r="G74" s="156"/>
      <c r="H74" s="156"/>
      <c r="I74" s="156"/>
      <c r="J74" s="156"/>
      <c r="L74" s="16"/>
      <c r="W74" s="155"/>
      <c r="X74" s="156"/>
      <c r="Y74" s="156"/>
      <c r="Z74" s="156"/>
      <c r="AA74" s="156"/>
      <c r="AB74" s="156"/>
      <c r="AC74" s="156"/>
      <c r="AD74" s="156"/>
      <c r="AE74" s="157"/>
    </row>
    <row r="75" spans="2:38" x14ac:dyDescent="0.25">
      <c r="B75" s="16"/>
      <c r="D75" s="156"/>
      <c r="E75" s="156"/>
      <c r="F75" s="156"/>
      <c r="G75" s="156"/>
      <c r="H75" s="156"/>
      <c r="I75" s="156"/>
      <c r="J75" s="156"/>
      <c r="L75" s="16"/>
      <c r="W75" s="155"/>
      <c r="X75" s="156"/>
      <c r="Y75" s="156"/>
      <c r="Z75" s="156"/>
      <c r="AA75" s="156"/>
      <c r="AB75" s="156"/>
      <c r="AC75" s="156"/>
      <c r="AD75" s="156"/>
      <c r="AE75" s="157"/>
    </row>
    <row r="76" spans="2:38" s="1" customFormat="1" x14ac:dyDescent="0.2">
      <c r="B76" s="24"/>
      <c r="D76" s="522"/>
      <c r="E76" s="523"/>
      <c r="F76" s="536"/>
      <c r="G76" s="522"/>
      <c r="H76" s="523"/>
      <c r="I76" s="523"/>
      <c r="J76" s="169"/>
      <c r="K76" s="26"/>
      <c r="L76" s="24"/>
      <c r="W76" s="158"/>
      <c r="X76" s="557"/>
      <c r="Y76" s="559"/>
      <c r="Z76" s="557"/>
      <c r="AA76" s="536"/>
      <c r="AB76" s="559"/>
      <c r="AC76" s="557"/>
      <c r="AD76" s="557"/>
      <c r="AE76" s="577"/>
      <c r="AJ76" s="398"/>
      <c r="AL76" s="130"/>
    </row>
    <row r="77" spans="2:38" s="1" customFormat="1" ht="14.55" customHeight="1" x14ac:dyDescent="0.2">
      <c r="B77" s="33"/>
      <c r="C77" s="34"/>
      <c r="D77" s="34"/>
      <c r="E77" s="34"/>
      <c r="F77" s="34"/>
      <c r="G77" s="34"/>
      <c r="H77" s="34"/>
      <c r="I77" s="34"/>
      <c r="J77" s="34"/>
      <c r="K77" s="34"/>
      <c r="L77" s="24"/>
      <c r="W77" s="175"/>
      <c r="X77" s="176"/>
      <c r="Y77" s="176"/>
      <c r="Z77" s="176"/>
      <c r="AA77" s="176"/>
      <c r="AB77" s="176"/>
      <c r="AC77" s="176"/>
      <c r="AD77" s="176"/>
      <c r="AE77" s="177"/>
      <c r="AJ77" s="398"/>
      <c r="AL77" s="130"/>
    </row>
    <row r="81" spans="2:47" s="1" customFormat="1" ht="7.05" customHeight="1" x14ac:dyDescent="0.2">
      <c r="B81" s="35"/>
      <c r="C81" s="36"/>
      <c r="D81" s="36"/>
      <c r="E81" s="36"/>
      <c r="F81" s="36"/>
      <c r="G81" s="36"/>
      <c r="H81" s="36"/>
      <c r="I81" s="36"/>
      <c r="J81" s="36"/>
      <c r="K81" s="36"/>
      <c r="L81" s="24"/>
      <c r="W81" s="178"/>
      <c r="X81" s="179"/>
      <c r="Y81" s="179"/>
      <c r="Z81" s="179"/>
      <c r="AA81" s="179"/>
      <c r="AB81" s="179"/>
      <c r="AC81" s="179"/>
      <c r="AD81" s="179"/>
      <c r="AE81" s="180"/>
      <c r="AJ81" s="398"/>
      <c r="AL81" s="130"/>
    </row>
    <row r="82" spans="2:47" s="1" customFormat="1" ht="25.05" customHeight="1" x14ac:dyDescent="0.2">
      <c r="B82" s="24"/>
      <c r="C82" s="1165" t="s">
        <v>188</v>
      </c>
      <c r="D82" s="1165"/>
      <c r="E82" s="1165"/>
      <c r="F82" s="1165"/>
      <c r="G82" s="1165"/>
      <c r="H82" s="1165"/>
      <c r="I82" s="1165"/>
      <c r="J82" s="1165"/>
      <c r="L82" s="24"/>
      <c r="W82" s="1255" t="s">
        <v>188</v>
      </c>
      <c r="X82" s="1237"/>
      <c r="Y82" s="1237"/>
      <c r="Z82" s="1237"/>
      <c r="AA82" s="1237"/>
      <c r="AB82" s="1237"/>
      <c r="AC82" s="1237"/>
      <c r="AD82" s="1237"/>
      <c r="AE82" s="1238"/>
      <c r="AJ82" s="398"/>
      <c r="AL82" s="130"/>
    </row>
    <row r="83" spans="2:47" s="1" customFormat="1" ht="7.05" customHeight="1" x14ac:dyDescent="0.2">
      <c r="B83" s="24"/>
      <c r="L83" s="24"/>
      <c r="W83" s="158"/>
      <c r="X83" s="557"/>
      <c r="Y83" s="557"/>
      <c r="Z83" s="557"/>
      <c r="AA83" s="557"/>
      <c r="AB83" s="557"/>
      <c r="AC83" s="557"/>
      <c r="AD83" s="557"/>
      <c r="AE83" s="159"/>
      <c r="AJ83" s="398"/>
      <c r="AL83" s="130"/>
    </row>
    <row r="84" spans="2:47" s="1" customFormat="1" ht="12" customHeight="1" x14ac:dyDescent="0.2">
      <c r="B84" s="24"/>
      <c r="C84" s="528" t="s">
        <v>12</v>
      </c>
      <c r="E84" s="1242" t="s">
        <v>6177</v>
      </c>
      <c r="F84" s="1242"/>
      <c r="G84" s="1242"/>
      <c r="H84" s="1242"/>
      <c r="I84" s="1242"/>
      <c r="J84" s="1242"/>
      <c r="L84" s="24"/>
      <c r="W84" s="158"/>
      <c r="X84" s="538" t="s">
        <v>12</v>
      </c>
      <c r="Y84" s="557"/>
      <c r="Z84" s="1163" t="s">
        <v>6177</v>
      </c>
      <c r="AA84" s="1163"/>
      <c r="AB84" s="1163"/>
      <c r="AC84" s="1163"/>
      <c r="AD84" s="1163"/>
      <c r="AE84" s="1241"/>
      <c r="AJ84" s="398"/>
      <c r="AL84" s="130"/>
    </row>
    <row r="85" spans="2:47" s="1" customFormat="1" ht="22.95" customHeight="1" x14ac:dyDescent="0.2">
      <c r="B85" s="24"/>
      <c r="C85" s="521"/>
      <c r="E85" s="1243"/>
      <c r="F85" s="1244"/>
      <c r="G85" s="1244"/>
      <c r="H85" s="1244"/>
      <c r="L85" s="24"/>
      <c r="W85" s="158"/>
      <c r="X85" s="557"/>
      <c r="Y85" s="557"/>
      <c r="Z85" s="245"/>
      <c r="AA85" s="537"/>
      <c r="AB85" s="537"/>
      <c r="AC85" s="537"/>
      <c r="AD85" s="557"/>
      <c r="AE85" s="159"/>
      <c r="AJ85" s="398"/>
      <c r="AL85" s="130"/>
    </row>
    <row r="86" spans="2:47" s="1" customFormat="1" ht="12" customHeight="1" x14ac:dyDescent="0.2">
      <c r="B86" s="24"/>
      <c r="C86" s="528" t="s">
        <v>186</v>
      </c>
      <c r="F86" s="532" t="s">
        <v>3079</v>
      </c>
      <c r="L86" s="24"/>
      <c r="W86" s="158"/>
      <c r="X86" s="538" t="s">
        <v>186</v>
      </c>
      <c r="Y86" s="557"/>
      <c r="Z86" s="557"/>
      <c r="AA86" s="555" t="s">
        <v>3079</v>
      </c>
      <c r="AB86" s="557"/>
      <c r="AC86" s="557"/>
      <c r="AD86" s="557"/>
      <c r="AE86" s="159"/>
      <c r="AJ86" s="398"/>
      <c r="AL86" s="130"/>
    </row>
    <row r="87" spans="2:47" s="1" customFormat="1" ht="16.5" customHeight="1" x14ac:dyDescent="0.2">
      <c r="B87" s="24"/>
      <c r="C87" s="521"/>
      <c r="E87" s="1251"/>
      <c r="F87" s="1252"/>
      <c r="G87" s="1252"/>
      <c r="H87" s="1252"/>
      <c r="L87" s="24"/>
      <c r="W87" s="158"/>
      <c r="X87" s="557"/>
      <c r="Y87" s="557"/>
      <c r="Z87" s="1245"/>
      <c r="AA87" s="1246"/>
      <c r="AB87" s="1246"/>
      <c r="AC87" s="1246"/>
      <c r="AD87" s="557"/>
      <c r="AE87" s="159"/>
      <c r="AJ87" s="398"/>
      <c r="AL87" s="130"/>
    </row>
    <row r="88" spans="2:47" s="1" customFormat="1" ht="7.05" customHeight="1" x14ac:dyDescent="0.2">
      <c r="B88" s="24"/>
      <c r="C88" s="521"/>
      <c r="L88" s="24"/>
      <c r="W88" s="158"/>
      <c r="X88" s="557"/>
      <c r="Y88" s="557"/>
      <c r="Z88" s="557"/>
      <c r="AA88" s="557"/>
      <c r="AB88" s="557"/>
      <c r="AC88" s="557"/>
      <c r="AD88" s="557"/>
      <c r="AE88" s="159"/>
      <c r="AJ88" s="398"/>
      <c r="AL88" s="130"/>
    </row>
    <row r="89" spans="2:47" s="1" customFormat="1" ht="12" customHeight="1" x14ac:dyDescent="0.2">
      <c r="B89" s="24"/>
      <c r="C89" s="528" t="s">
        <v>15</v>
      </c>
      <c r="F89" s="19" t="str">
        <f>F12</f>
        <v>Kuzmányho nábrežie 28, 960 01 Zvolen</v>
      </c>
      <c r="I89" s="528" t="s">
        <v>17</v>
      </c>
      <c r="J89" s="39" t="str">
        <f>IF(J12="","",J12)</f>
        <v/>
      </c>
      <c r="L89" s="24"/>
      <c r="W89" s="158"/>
      <c r="X89" s="538" t="s">
        <v>15</v>
      </c>
      <c r="Y89" s="557"/>
      <c r="Z89" s="557"/>
      <c r="AA89" s="558" t="s">
        <v>6173</v>
      </c>
      <c r="AB89" s="557"/>
      <c r="AC89" s="557"/>
      <c r="AD89" s="538" t="s">
        <v>17</v>
      </c>
      <c r="AE89" s="162" t="str">
        <f>IF(AE12="","",AE12)</f>
        <v/>
      </c>
      <c r="AJ89" s="398"/>
      <c r="AL89" s="130"/>
    </row>
    <row r="90" spans="2:47" s="1" customFormat="1" ht="7.05" customHeight="1" x14ac:dyDescent="0.2">
      <c r="B90" s="24"/>
      <c r="C90" s="521"/>
      <c r="I90" s="521"/>
      <c r="L90" s="24"/>
      <c r="W90" s="158"/>
      <c r="X90" s="557"/>
      <c r="Y90" s="557"/>
      <c r="Z90" s="557"/>
      <c r="AA90" s="557"/>
      <c r="AB90" s="557"/>
      <c r="AC90" s="557"/>
      <c r="AD90" s="557"/>
      <c r="AE90" s="159"/>
      <c r="AJ90" s="398"/>
      <c r="AL90" s="130"/>
    </row>
    <row r="91" spans="2:47" s="1" customFormat="1" ht="15.3" customHeight="1" x14ac:dyDescent="0.2">
      <c r="B91" s="24"/>
      <c r="C91" s="528" t="s">
        <v>18</v>
      </c>
      <c r="F91" s="529" t="s">
        <v>6175</v>
      </c>
      <c r="I91" s="528" t="s">
        <v>22</v>
      </c>
      <c r="J91" s="22" t="str">
        <f>E21</f>
        <v xml:space="preserve"> </v>
      </c>
      <c r="L91" s="24"/>
      <c r="W91" s="158"/>
      <c r="X91" s="538" t="s">
        <v>18</v>
      </c>
      <c r="Y91" s="557"/>
      <c r="Z91" s="557"/>
      <c r="AA91" s="576" t="s">
        <v>6175</v>
      </c>
      <c r="AB91" s="557"/>
      <c r="AC91" s="557"/>
      <c r="AD91" s="538" t="s">
        <v>22</v>
      </c>
      <c r="AE91" s="181" t="str">
        <f>Z21</f>
        <v/>
      </c>
      <c r="AJ91" s="398"/>
      <c r="AL91" s="130"/>
    </row>
    <row r="92" spans="2:47" s="1" customFormat="1" ht="15.3" customHeight="1" x14ac:dyDescent="0.2">
      <c r="B92" s="24"/>
      <c r="C92" s="528" t="s">
        <v>21</v>
      </c>
      <c r="F92" s="529" t="s">
        <v>5202</v>
      </c>
      <c r="I92" s="528" t="s">
        <v>24</v>
      </c>
      <c r="J92" s="22" t="str">
        <f>E24</f>
        <v xml:space="preserve"> </v>
      </c>
      <c r="L92" s="24"/>
      <c r="W92" s="158"/>
      <c r="X92" s="538" t="s">
        <v>21</v>
      </c>
      <c r="Y92" s="557"/>
      <c r="Z92" s="557"/>
      <c r="AA92" s="576" t="s">
        <v>5202</v>
      </c>
      <c r="AB92" s="557"/>
      <c r="AC92" s="557"/>
      <c r="AD92" s="538" t="s">
        <v>24</v>
      </c>
      <c r="AE92" s="181" t="str">
        <f>Z24</f>
        <v/>
      </c>
      <c r="AJ92" s="398"/>
      <c r="AL92" s="130"/>
    </row>
    <row r="93" spans="2:47" s="1" customFormat="1" ht="10.199999999999999" customHeight="1" x14ac:dyDescent="0.2">
      <c r="B93" s="24"/>
      <c r="L93" s="24"/>
      <c r="W93" s="158"/>
      <c r="X93" s="557"/>
      <c r="Y93" s="557"/>
      <c r="Z93" s="557"/>
      <c r="AA93" s="557"/>
      <c r="AB93" s="557"/>
      <c r="AC93" s="557"/>
      <c r="AD93" s="557"/>
      <c r="AE93" s="159"/>
      <c r="AJ93" s="398"/>
      <c r="AL93" s="130"/>
    </row>
    <row r="94" spans="2:47" s="1" customFormat="1" ht="29.25" customHeight="1" x14ac:dyDescent="0.2">
      <c r="B94" s="24"/>
      <c r="C94" s="86" t="s">
        <v>189</v>
      </c>
      <c r="D94" s="80"/>
      <c r="E94" s="80"/>
      <c r="F94" s="80"/>
      <c r="G94" s="80"/>
      <c r="H94" s="80"/>
      <c r="I94" s="80"/>
      <c r="J94" s="87" t="s">
        <v>190</v>
      </c>
      <c r="K94" s="80"/>
      <c r="L94" s="24"/>
      <c r="W94" s="158"/>
      <c r="X94" s="182" t="s">
        <v>189</v>
      </c>
      <c r="Y94" s="173"/>
      <c r="Z94" s="173"/>
      <c r="AA94" s="173"/>
      <c r="AB94" s="173"/>
      <c r="AC94" s="173"/>
      <c r="AD94" s="173"/>
      <c r="AE94" s="183" t="s">
        <v>190</v>
      </c>
      <c r="AJ94" s="398"/>
      <c r="AL94" s="130"/>
    </row>
    <row r="95" spans="2:47" s="1" customFormat="1" ht="10.199999999999999" customHeight="1" x14ac:dyDescent="0.2">
      <c r="B95" s="24"/>
      <c r="L95" s="24"/>
      <c r="W95" s="158"/>
      <c r="X95" s="557"/>
      <c r="Y95" s="557"/>
      <c r="Z95" s="557"/>
      <c r="AA95" s="557"/>
      <c r="AB95" s="557"/>
      <c r="AC95" s="557"/>
      <c r="AD95" s="557"/>
      <c r="AE95" s="159"/>
      <c r="AJ95" s="398"/>
      <c r="AL95" s="130"/>
    </row>
    <row r="96" spans="2:47" s="1" customFormat="1" ht="22.95" customHeight="1" x14ac:dyDescent="0.2">
      <c r="B96" s="24"/>
      <c r="C96" s="88" t="s">
        <v>191</v>
      </c>
      <c r="J96" s="53">
        <f>J142</f>
        <v>419853.08999999997</v>
      </c>
      <c r="L96" s="24"/>
      <c r="W96" s="158"/>
      <c r="X96" s="184" t="s">
        <v>191</v>
      </c>
      <c r="Y96" s="557"/>
      <c r="Z96" s="557"/>
      <c r="AA96" s="557"/>
      <c r="AB96" s="557"/>
      <c r="AC96" s="557"/>
      <c r="AD96" s="557"/>
      <c r="AE96" s="168">
        <f>AE142</f>
        <v>540087.55999999994</v>
      </c>
      <c r="AJ96" s="398"/>
      <c r="AL96" s="130"/>
      <c r="AU96" s="13" t="s">
        <v>192</v>
      </c>
    </row>
    <row r="97" spans="2:38" s="8" customFormat="1" ht="25.05" customHeight="1" x14ac:dyDescent="0.2">
      <c r="B97" s="89"/>
      <c r="D97" s="90" t="s">
        <v>3080</v>
      </c>
      <c r="E97" s="91"/>
      <c r="F97" s="91"/>
      <c r="G97" s="91"/>
      <c r="H97" s="91"/>
      <c r="I97" s="91"/>
      <c r="J97" s="92">
        <f>J143</f>
        <v>231444.56</v>
      </c>
      <c r="L97" s="89"/>
      <c r="W97" s="185"/>
      <c r="X97" s="186"/>
      <c r="Y97" s="90" t="s">
        <v>3080</v>
      </c>
      <c r="Z97" s="91"/>
      <c r="AA97" s="91"/>
      <c r="AB97" s="91"/>
      <c r="AC97" s="91"/>
      <c r="AD97" s="91"/>
      <c r="AE97" s="187">
        <f>AE143</f>
        <v>315595.89999999997</v>
      </c>
      <c r="AJ97" s="405"/>
      <c r="AL97" s="328"/>
    </row>
    <row r="98" spans="2:38" s="9" customFormat="1" ht="19.95" customHeight="1" x14ac:dyDescent="0.2">
      <c r="B98" s="93"/>
      <c r="D98" s="94" t="s">
        <v>3081</v>
      </c>
      <c r="E98" s="95"/>
      <c r="F98" s="95"/>
      <c r="G98" s="95"/>
      <c r="H98" s="95"/>
      <c r="I98" s="95"/>
      <c r="J98" s="96">
        <f>J144</f>
        <v>31633.870000000006</v>
      </c>
      <c r="L98" s="93"/>
      <c r="W98" s="188"/>
      <c r="X98" s="189"/>
      <c r="Y98" s="94" t="s">
        <v>3081</v>
      </c>
      <c r="Z98" s="95"/>
      <c r="AA98" s="95"/>
      <c r="AB98" s="95"/>
      <c r="AC98" s="95"/>
      <c r="AD98" s="95"/>
      <c r="AE98" s="190">
        <f>AE144</f>
        <v>57316.56</v>
      </c>
      <c r="AJ98" s="405"/>
      <c r="AL98" s="405"/>
    </row>
    <row r="99" spans="2:38" s="9" customFormat="1" ht="19.95" customHeight="1" x14ac:dyDescent="0.2">
      <c r="B99" s="93"/>
      <c r="D99" s="94" t="s">
        <v>3082</v>
      </c>
      <c r="E99" s="95"/>
      <c r="F99" s="95"/>
      <c r="G99" s="95"/>
      <c r="H99" s="95"/>
      <c r="I99" s="95"/>
      <c r="J99" s="96">
        <f>J168</f>
        <v>61360.14</v>
      </c>
      <c r="L99" s="93"/>
      <c r="W99" s="188"/>
      <c r="X99" s="189"/>
      <c r="Y99" s="94" t="s">
        <v>3082</v>
      </c>
      <c r="Z99" s="95"/>
      <c r="AA99" s="95"/>
      <c r="AB99" s="95"/>
      <c r="AC99" s="95"/>
      <c r="AD99" s="95"/>
      <c r="AE99" s="190">
        <f>AE168</f>
        <v>77735.66</v>
      </c>
      <c r="AJ99" s="405"/>
      <c r="AL99" s="405"/>
    </row>
    <row r="100" spans="2:38" s="9" customFormat="1" ht="19.95" customHeight="1" x14ac:dyDescent="0.2">
      <c r="B100" s="93"/>
      <c r="D100" s="94" t="s">
        <v>3083</v>
      </c>
      <c r="E100" s="95"/>
      <c r="F100" s="95"/>
      <c r="G100" s="95"/>
      <c r="H100" s="95"/>
      <c r="I100" s="95"/>
      <c r="J100" s="96">
        <f>J180</f>
        <v>33236.129999999997</v>
      </c>
      <c r="L100" s="93"/>
      <c r="W100" s="188"/>
      <c r="X100" s="189"/>
      <c r="Y100" s="94" t="s">
        <v>3083</v>
      </c>
      <c r="Z100" s="95"/>
      <c r="AA100" s="95"/>
      <c r="AB100" s="95"/>
      <c r="AC100" s="95"/>
      <c r="AD100" s="95"/>
      <c r="AE100" s="190">
        <f>AE180</f>
        <v>37562.25</v>
      </c>
      <c r="AJ100" s="405"/>
      <c r="AL100" s="405"/>
    </row>
    <row r="101" spans="2:38" s="9" customFormat="1" ht="19.95" customHeight="1" x14ac:dyDescent="0.2">
      <c r="B101" s="93"/>
      <c r="D101" s="94" t="s">
        <v>3084</v>
      </c>
      <c r="E101" s="95"/>
      <c r="F101" s="95"/>
      <c r="G101" s="95"/>
      <c r="H101" s="95"/>
      <c r="I101" s="95"/>
      <c r="J101" s="96">
        <f>J203</f>
        <v>33534.28</v>
      </c>
      <c r="L101" s="93"/>
      <c r="W101" s="188"/>
      <c r="X101" s="189"/>
      <c r="Y101" s="94" t="s">
        <v>3084</v>
      </c>
      <c r="Z101" s="95"/>
      <c r="AA101" s="95"/>
      <c r="AB101" s="95"/>
      <c r="AC101" s="95"/>
      <c r="AD101" s="95"/>
      <c r="AE101" s="190">
        <f>AE203</f>
        <v>37879.30999999999</v>
      </c>
      <c r="AJ101" s="405"/>
      <c r="AL101" s="405"/>
    </row>
    <row r="102" spans="2:38" s="9" customFormat="1" ht="19.95" customHeight="1" x14ac:dyDescent="0.2">
      <c r="B102" s="93"/>
      <c r="D102" s="94" t="s">
        <v>3085</v>
      </c>
      <c r="E102" s="95"/>
      <c r="F102" s="95"/>
      <c r="G102" s="95"/>
      <c r="H102" s="95"/>
      <c r="I102" s="95"/>
      <c r="J102" s="96">
        <f>J218</f>
        <v>3339.68</v>
      </c>
      <c r="L102" s="93"/>
      <c r="W102" s="188"/>
      <c r="X102" s="189"/>
      <c r="Y102" s="94" t="s">
        <v>3085</v>
      </c>
      <c r="Z102" s="95"/>
      <c r="AA102" s="95"/>
      <c r="AB102" s="95"/>
      <c r="AC102" s="95"/>
      <c r="AD102" s="95"/>
      <c r="AE102" s="190">
        <f>AE218</f>
        <v>3466.23</v>
      </c>
      <c r="AJ102" s="405"/>
      <c r="AL102" s="405"/>
    </row>
    <row r="103" spans="2:38" s="9" customFormat="1" ht="19.95" customHeight="1" x14ac:dyDescent="0.2">
      <c r="B103" s="93"/>
      <c r="D103" s="94" t="s">
        <v>3086</v>
      </c>
      <c r="E103" s="95"/>
      <c r="F103" s="95"/>
      <c r="G103" s="95"/>
      <c r="H103" s="95"/>
      <c r="I103" s="95"/>
      <c r="J103" s="96">
        <f>J225</f>
        <v>47162.95</v>
      </c>
      <c r="L103" s="93"/>
      <c r="W103" s="188"/>
      <c r="X103" s="189"/>
      <c r="Y103" s="94" t="s">
        <v>3086</v>
      </c>
      <c r="Z103" s="95"/>
      <c r="AA103" s="95"/>
      <c r="AB103" s="95"/>
      <c r="AC103" s="95"/>
      <c r="AD103" s="95"/>
      <c r="AE103" s="190">
        <f>AE225</f>
        <v>49903.930000000008</v>
      </c>
      <c r="AJ103" s="405"/>
      <c r="AL103" s="405"/>
    </row>
    <row r="104" spans="2:38" s="9" customFormat="1" ht="19.95" customHeight="1" x14ac:dyDescent="0.2">
      <c r="B104" s="93"/>
      <c r="D104" s="94" t="s">
        <v>3087</v>
      </c>
      <c r="E104" s="95"/>
      <c r="F104" s="95"/>
      <c r="G104" s="95"/>
      <c r="H104" s="95"/>
      <c r="I104" s="95"/>
      <c r="J104" s="96">
        <f>J241</f>
        <v>6048.8899999999994</v>
      </c>
      <c r="L104" s="93"/>
      <c r="W104" s="188"/>
      <c r="X104" s="189"/>
      <c r="Y104" s="94" t="s">
        <v>3087</v>
      </c>
      <c r="Z104" s="95"/>
      <c r="AA104" s="95"/>
      <c r="AB104" s="95"/>
      <c r="AC104" s="95"/>
      <c r="AD104" s="95"/>
      <c r="AE104" s="190">
        <f>AE241</f>
        <v>30318.42</v>
      </c>
      <c r="AJ104" s="405"/>
      <c r="AL104" s="405"/>
    </row>
    <row r="105" spans="2:38" s="9" customFormat="1" ht="19.95" customHeight="1" x14ac:dyDescent="0.2">
      <c r="B105" s="93"/>
      <c r="D105" s="94" t="s">
        <v>3088</v>
      </c>
      <c r="E105" s="95"/>
      <c r="F105" s="95"/>
      <c r="G105" s="95"/>
      <c r="H105" s="95"/>
      <c r="I105" s="95"/>
      <c r="J105" s="96">
        <f>J266</f>
        <v>15128.62</v>
      </c>
      <c r="L105" s="93"/>
      <c r="W105" s="188"/>
      <c r="X105" s="189"/>
      <c r="Y105" s="94" t="s">
        <v>3088</v>
      </c>
      <c r="Z105" s="95"/>
      <c r="AA105" s="95"/>
      <c r="AB105" s="95"/>
      <c r="AC105" s="95"/>
      <c r="AD105" s="95"/>
      <c r="AE105" s="190">
        <f>AE266</f>
        <v>21413.54</v>
      </c>
      <c r="AJ105" s="405"/>
      <c r="AL105" s="405"/>
    </row>
    <row r="106" spans="2:38" s="8" customFormat="1" ht="25.05" customHeight="1" x14ac:dyDescent="0.2">
      <c r="B106" s="89"/>
      <c r="D106" s="90" t="s">
        <v>3089</v>
      </c>
      <c r="E106" s="91"/>
      <c r="F106" s="91"/>
      <c r="G106" s="91"/>
      <c r="H106" s="91"/>
      <c r="I106" s="91"/>
      <c r="J106" s="92">
        <f>J268</f>
        <v>149438</v>
      </c>
      <c r="L106" s="89"/>
      <c r="W106" s="185"/>
      <c r="X106" s="186"/>
      <c r="Y106" s="90" t="s">
        <v>3089</v>
      </c>
      <c r="Z106" s="91"/>
      <c r="AA106" s="91"/>
      <c r="AB106" s="91"/>
      <c r="AC106" s="91"/>
      <c r="AD106" s="91"/>
      <c r="AE106" s="1154">
        <f>AE268</f>
        <v>173954.74</v>
      </c>
      <c r="AF106" s="328"/>
      <c r="AJ106" s="405"/>
      <c r="AK106" s="328"/>
      <c r="AL106" s="328"/>
    </row>
    <row r="107" spans="2:38" s="9" customFormat="1" ht="19.95" customHeight="1" x14ac:dyDescent="0.2">
      <c r="B107" s="93"/>
      <c r="D107" s="94" t="s">
        <v>203</v>
      </c>
      <c r="E107" s="95"/>
      <c r="F107" s="95"/>
      <c r="G107" s="95"/>
      <c r="H107" s="95"/>
      <c r="I107" s="95"/>
      <c r="J107" s="96">
        <f>J269</f>
        <v>14528.769999999999</v>
      </c>
      <c r="L107" s="93"/>
      <c r="W107" s="188"/>
      <c r="X107" s="189"/>
      <c r="Y107" s="94" t="s">
        <v>203</v>
      </c>
      <c r="Z107" s="95"/>
      <c r="AA107" s="95"/>
      <c r="AB107" s="95"/>
      <c r="AC107" s="95"/>
      <c r="AD107" s="95"/>
      <c r="AE107" s="1156">
        <f>AE269</f>
        <v>21664.829999999998</v>
      </c>
      <c r="AJ107" s="405"/>
      <c r="AL107" s="405"/>
    </row>
    <row r="108" spans="2:38" s="9" customFormat="1" ht="19.95" customHeight="1" x14ac:dyDescent="0.2">
      <c r="B108" s="93"/>
      <c r="D108" s="94" t="s">
        <v>3090</v>
      </c>
      <c r="E108" s="95"/>
      <c r="F108" s="95"/>
      <c r="G108" s="95"/>
      <c r="H108" s="95"/>
      <c r="I108" s="95"/>
      <c r="J108" s="96">
        <f>J284</f>
        <v>1902.73</v>
      </c>
      <c r="L108" s="93"/>
      <c r="W108" s="188"/>
      <c r="X108" s="189"/>
      <c r="Y108" s="94" t="s">
        <v>3090</v>
      </c>
      <c r="Z108" s="95"/>
      <c r="AA108" s="95"/>
      <c r="AB108" s="95"/>
      <c r="AC108" s="95"/>
      <c r="AD108" s="95"/>
      <c r="AE108" s="1156">
        <f>AE284</f>
        <v>2108.69</v>
      </c>
      <c r="AJ108" s="405"/>
      <c r="AL108" s="405"/>
    </row>
    <row r="109" spans="2:38" s="9" customFormat="1" ht="19.95" customHeight="1" x14ac:dyDescent="0.2">
      <c r="B109" s="93"/>
      <c r="D109" s="94" t="s">
        <v>896</v>
      </c>
      <c r="E109" s="95"/>
      <c r="F109" s="95"/>
      <c r="G109" s="95"/>
      <c r="H109" s="95"/>
      <c r="I109" s="95"/>
      <c r="J109" s="96">
        <f>J293</f>
        <v>14192.14</v>
      </c>
      <c r="L109" s="93"/>
      <c r="W109" s="188"/>
      <c r="X109" s="189"/>
      <c r="Y109" s="94" t="s">
        <v>896</v>
      </c>
      <c r="Z109" s="95"/>
      <c r="AA109" s="95"/>
      <c r="AB109" s="95"/>
      <c r="AC109" s="95"/>
      <c r="AD109" s="95"/>
      <c r="AE109" s="1156">
        <f>AE293</f>
        <v>14941.369999999999</v>
      </c>
      <c r="AJ109" s="405"/>
      <c r="AL109" s="405"/>
    </row>
    <row r="110" spans="2:38" s="9" customFormat="1" ht="19.95" customHeight="1" x14ac:dyDescent="0.2">
      <c r="B110" s="93"/>
      <c r="D110" s="1234" t="s">
        <v>5205</v>
      </c>
      <c r="E110" s="1235"/>
      <c r="F110" s="1235"/>
      <c r="G110" s="1235"/>
      <c r="H110" s="1235"/>
      <c r="I110" s="1235"/>
      <c r="J110" s="1235"/>
      <c r="K110" s="1236"/>
      <c r="L110" s="93"/>
      <c r="W110" s="188"/>
      <c r="X110" s="189"/>
      <c r="Y110" s="94" t="s">
        <v>6822</v>
      </c>
      <c r="Z110" s="95"/>
      <c r="AA110" s="95"/>
      <c r="AB110" s="95"/>
      <c r="AC110" s="95"/>
      <c r="AD110" s="95"/>
      <c r="AE110" s="1156">
        <f>AE304</f>
        <v>367.15</v>
      </c>
      <c r="AJ110" s="405"/>
      <c r="AL110" s="405"/>
    </row>
    <row r="111" spans="2:38" s="9" customFormat="1" ht="19.95" customHeight="1" x14ac:dyDescent="0.2">
      <c r="B111" s="93"/>
      <c r="D111" s="94" t="s">
        <v>3091</v>
      </c>
      <c r="E111" s="95"/>
      <c r="F111" s="95"/>
      <c r="G111" s="95"/>
      <c r="H111" s="95"/>
      <c r="I111" s="95"/>
      <c r="J111" s="96">
        <f>J308</f>
        <v>3005.57</v>
      </c>
      <c r="L111" s="93"/>
      <c r="W111" s="188"/>
      <c r="X111" s="189"/>
      <c r="Y111" s="94" t="s">
        <v>3091</v>
      </c>
      <c r="Z111" s="95"/>
      <c r="AA111" s="95"/>
      <c r="AB111" s="95"/>
      <c r="AC111" s="95"/>
      <c r="AD111" s="95"/>
      <c r="AE111" s="1156">
        <f>AE308</f>
        <v>7132.8099999999995</v>
      </c>
      <c r="AJ111" s="405"/>
      <c r="AL111" s="405"/>
    </row>
    <row r="112" spans="2:38" s="9" customFormat="1" ht="19.95" customHeight="1" x14ac:dyDescent="0.2">
      <c r="B112" s="93"/>
      <c r="D112" s="94" t="s">
        <v>208</v>
      </c>
      <c r="E112" s="95"/>
      <c r="F112" s="95"/>
      <c r="G112" s="95"/>
      <c r="H112" s="95"/>
      <c r="I112" s="95"/>
      <c r="J112" s="96">
        <f>J316</f>
        <v>27692.590000000004</v>
      </c>
      <c r="L112" s="93"/>
      <c r="W112" s="188"/>
      <c r="X112" s="189"/>
      <c r="Y112" s="94" t="s">
        <v>208</v>
      </c>
      <c r="Z112" s="95"/>
      <c r="AA112" s="95"/>
      <c r="AB112" s="95"/>
      <c r="AC112" s="95"/>
      <c r="AD112" s="95"/>
      <c r="AE112" s="1156">
        <f>AE316</f>
        <v>25688.060000000005</v>
      </c>
      <c r="AJ112" s="405"/>
      <c r="AL112" s="405"/>
    </row>
    <row r="113" spans="2:38" s="9" customFormat="1" ht="19.95" customHeight="1" x14ac:dyDescent="0.2">
      <c r="B113" s="93"/>
      <c r="D113" s="1234" t="s">
        <v>5205</v>
      </c>
      <c r="E113" s="1235"/>
      <c r="F113" s="1235"/>
      <c r="G113" s="1235"/>
      <c r="H113" s="1235"/>
      <c r="I113" s="1235"/>
      <c r="J113" s="1235"/>
      <c r="K113" s="1236"/>
      <c r="L113" s="93"/>
      <c r="W113" s="188"/>
      <c r="X113" s="189"/>
      <c r="Y113" s="94" t="s">
        <v>6821</v>
      </c>
      <c r="Z113" s="95"/>
      <c r="AA113" s="95"/>
      <c r="AB113" s="95"/>
      <c r="AC113" s="95"/>
      <c r="AD113" s="95"/>
      <c r="AE113" s="1156">
        <f>AE340</f>
        <v>4824.54</v>
      </c>
      <c r="AJ113" s="405"/>
      <c r="AL113" s="405"/>
    </row>
    <row r="114" spans="2:38" s="9" customFormat="1" ht="19.95" customHeight="1" x14ac:dyDescent="0.2">
      <c r="B114" s="93"/>
      <c r="D114" s="94" t="s">
        <v>3092</v>
      </c>
      <c r="E114" s="95"/>
      <c r="F114" s="95"/>
      <c r="G114" s="95"/>
      <c r="H114" s="95"/>
      <c r="I114" s="95"/>
      <c r="J114" s="96">
        <f>J353</f>
        <v>67137.210000000006</v>
      </c>
      <c r="L114" s="93"/>
      <c r="W114" s="188"/>
      <c r="X114" s="189"/>
      <c r="Y114" s="94" t="s">
        <v>3092</v>
      </c>
      <c r="Z114" s="95"/>
      <c r="AA114" s="95"/>
      <c r="AB114" s="95"/>
      <c r="AC114" s="95"/>
      <c r="AD114" s="95"/>
      <c r="AE114" s="1156">
        <f>AE353</f>
        <v>75544.540000000008</v>
      </c>
      <c r="AJ114" s="405"/>
      <c r="AL114" s="405"/>
    </row>
    <row r="115" spans="2:38" s="9" customFormat="1" ht="19.95" customHeight="1" x14ac:dyDescent="0.2">
      <c r="B115" s="93"/>
      <c r="D115" s="94" t="s">
        <v>3093</v>
      </c>
      <c r="E115" s="95"/>
      <c r="F115" s="95"/>
      <c r="G115" s="95"/>
      <c r="H115" s="95"/>
      <c r="I115" s="95"/>
      <c r="J115" s="96">
        <f>J372</f>
        <v>4875.21</v>
      </c>
      <c r="L115" s="93"/>
      <c r="W115" s="188"/>
      <c r="X115" s="189"/>
      <c r="Y115" s="94" t="s">
        <v>3093</v>
      </c>
      <c r="Z115" s="95"/>
      <c r="AA115" s="95"/>
      <c r="AB115" s="95"/>
      <c r="AC115" s="95"/>
      <c r="AD115" s="95"/>
      <c r="AE115" s="1156">
        <f>AE372</f>
        <v>4412.2400000000007</v>
      </c>
      <c r="AJ115" s="405"/>
      <c r="AL115" s="405"/>
    </row>
    <row r="116" spans="2:38" s="9" customFormat="1" ht="19.95" customHeight="1" x14ac:dyDescent="0.2">
      <c r="B116" s="93"/>
      <c r="D116" s="94" t="s">
        <v>211</v>
      </c>
      <c r="E116" s="95"/>
      <c r="F116" s="95"/>
      <c r="G116" s="95"/>
      <c r="H116" s="95"/>
      <c r="I116" s="95"/>
      <c r="J116" s="96">
        <f>J376</f>
        <v>6018.3</v>
      </c>
      <c r="L116" s="93"/>
      <c r="W116" s="188"/>
      <c r="X116" s="189"/>
      <c r="Y116" s="94" t="s">
        <v>211</v>
      </c>
      <c r="Z116" s="95"/>
      <c r="AA116" s="95"/>
      <c r="AB116" s="95"/>
      <c r="AC116" s="95"/>
      <c r="AD116" s="95"/>
      <c r="AE116" s="1156">
        <f>AE376</f>
        <v>5919.21</v>
      </c>
      <c r="AJ116" s="405"/>
      <c r="AL116" s="405"/>
    </row>
    <row r="117" spans="2:38" s="9" customFormat="1" ht="19.95" customHeight="1" x14ac:dyDescent="0.2">
      <c r="B117" s="93"/>
      <c r="D117" s="94" t="s">
        <v>3094</v>
      </c>
      <c r="E117" s="95"/>
      <c r="F117" s="95"/>
      <c r="G117" s="95"/>
      <c r="H117" s="95"/>
      <c r="I117" s="95"/>
      <c r="J117" s="96">
        <f>J380</f>
        <v>2320.5100000000002</v>
      </c>
      <c r="L117" s="93"/>
      <c r="W117" s="188"/>
      <c r="X117" s="189"/>
      <c r="Y117" s="94" t="s">
        <v>3094</v>
      </c>
      <c r="Z117" s="95"/>
      <c r="AA117" s="95"/>
      <c r="AB117" s="95"/>
      <c r="AC117" s="95"/>
      <c r="AD117" s="95"/>
      <c r="AE117" s="1156">
        <f>AE380</f>
        <v>2320.5100000000002</v>
      </c>
      <c r="AJ117" s="405"/>
      <c r="AL117" s="405"/>
    </row>
    <row r="118" spans="2:38" s="9" customFormat="1" ht="19.95" customHeight="1" x14ac:dyDescent="0.2">
      <c r="B118" s="93"/>
      <c r="D118" s="94" t="s">
        <v>3095</v>
      </c>
      <c r="E118" s="95"/>
      <c r="F118" s="95"/>
      <c r="G118" s="95"/>
      <c r="H118" s="95"/>
      <c r="I118" s="95"/>
      <c r="J118" s="96">
        <f>J383</f>
        <v>5356.32</v>
      </c>
      <c r="L118" s="93"/>
      <c r="W118" s="188"/>
      <c r="X118" s="189"/>
      <c r="Y118" s="94" t="s">
        <v>3095</v>
      </c>
      <c r="Z118" s="95"/>
      <c r="AA118" s="95"/>
      <c r="AB118" s="95"/>
      <c r="AC118" s="95"/>
      <c r="AD118" s="95"/>
      <c r="AE118" s="1156">
        <f>AE383</f>
        <v>5248.0499999999993</v>
      </c>
      <c r="AJ118" s="405"/>
      <c r="AL118" s="405"/>
    </row>
    <row r="119" spans="2:38" s="9" customFormat="1" ht="19.95" customHeight="1" x14ac:dyDescent="0.2">
      <c r="B119" s="93"/>
      <c r="D119" s="94" t="s">
        <v>3096</v>
      </c>
      <c r="E119" s="95"/>
      <c r="F119" s="95"/>
      <c r="G119" s="95"/>
      <c r="H119" s="95"/>
      <c r="I119" s="95"/>
      <c r="J119" s="96">
        <f>J387</f>
        <v>2408.65</v>
      </c>
      <c r="L119" s="93"/>
      <c r="W119" s="188"/>
      <c r="X119" s="189"/>
      <c r="Y119" s="94" t="s">
        <v>3096</v>
      </c>
      <c r="Z119" s="95"/>
      <c r="AA119" s="95"/>
      <c r="AB119" s="95"/>
      <c r="AC119" s="95"/>
      <c r="AD119" s="95"/>
      <c r="AE119" s="1156">
        <f>AE387</f>
        <v>2196.0700000000002</v>
      </c>
      <c r="AJ119" s="405"/>
      <c r="AL119" s="405"/>
    </row>
    <row r="120" spans="2:38" s="9" customFormat="1" ht="19.95" customHeight="1" x14ac:dyDescent="0.2">
      <c r="B120" s="93"/>
      <c r="D120" s="1234" t="s">
        <v>5205</v>
      </c>
      <c r="E120" s="1235"/>
      <c r="F120" s="1235"/>
      <c r="G120" s="1235"/>
      <c r="H120" s="1235"/>
      <c r="I120" s="1235"/>
      <c r="J120" s="1235"/>
      <c r="K120" s="1236"/>
      <c r="L120" s="93"/>
      <c r="W120" s="188"/>
      <c r="X120" s="189"/>
      <c r="Y120" s="94" t="s">
        <v>213</v>
      </c>
      <c r="Z120" s="95"/>
      <c r="AA120" s="95"/>
      <c r="AB120" s="95"/>
      <c r="AC120" s="95"/>
      <c r="AD120" s="95"/>
      <c r="AE120" s="1156">
        <f>AE389</f>
        <v>1586.67</v>
      </c>
      <c r="AJ120" s="405"/>
      <c r="AL120" s="405"/>
    </row>
    <row r="121" spans="2:38" s="8" customFormat="1" ht="25.05" customHeight="1" x14ac:dyDescent="0.2">
      <c r="B121" s="89"/>
      <c r="D121" s="90" t="s">
        <v>3097</v>
      </c>
      <c r="E121" s="91"/>
      <c r="F121" s="91"/>
      <c r="G121" s="91"/>
      <c r="H121" s="91"/>
      <c r="I121" s="91"/>
      <c r="J121" s="92">
        <f>J391</f>
        <v>38970.53</v>
      </c>
      <c r="L121" s="89"/>
      <c r="W121" s="185"/>
      <c r="X121" s="186"/>
      <c r="Y121" s="90" t="s">
        <v>3097</v>
      </c>
      <c r="Z121" s="91"/>
      <c r="AA121" s="91"/>
      <c r="AB121" s="91"/>
      <c r="AC121" s="91"/>
      <c r="AD121" s="91"/>
      <c r="AE121" s="187">
        <f>AE391</f>
        <v>50536.92</v>
      </c>
      <c r="AJ121" s="405"/>
      <c r="AL121" s="328"/>
    </row>
    <row r="122" spans="2:38" s="9" customFormat="1" ht="19.95" customHeight="1" x14ac:dyDescent="0.2">
      <c r="B122" s="93"/>
      <c r="D122" s="94" t="s">
        <v>3098</v>
      </c>
      <c r="E122" s="95"/>
      <c r="F122" s="95"/>
      <c r="G122" s="95"/>
      <c r="H122" s="95"/>
      <c r="I122" s="95"/>
      <c r="J122" s="96">
        <f>J392</f>
        <v>38970.53</v>
      </c>
      <c r="L122" s="93"/>
      <c r="W122" s="188"/>
      <c r="X122" s="189"/>
      <c r="Y122" s="94" t="s">
        <v>3098</v>
      </c>
      <c r="Z122" s="95"/>
      <c r="AA122" s="95"/>
      <c r="AB122" s="95"/>
      <c r="AC122" s="95"/>
      <c r="AD122" s="95"/>
      <c r="AE122" s="190">
        <f>AE392</f>
        <v>50536.92</v>
      </c>
      <c r="AJ122" s="405"/>
      <c r="AL122" s="405"/>
    </row>
    <row r="123" spans="2:38" s="1" customFormat="1" ht="21.75" customHeight="1" x14ac:dyDescent="0.2">
      <c r="B123" s="24"/>
      <c r="L123" s="24"/>
      <c r="W123" s="158"/>
      <c r="X123" s="557"/>
      <c r="Y123" s="557"/>
      <c r="Z123" s="557"/>
      <c r="AA123" s="557"/>
      <c r="AB123" s="557"/>
      <c r="AC123" s="557"/>
      <c r="AD123" s="557"/>
      <c r="AE123" s="159"/>
      <c r="AJ123" s="398"/>
      <c r="AL123" s="130"/>
    </row>
    <row r="124" spans="2:38" s="1" customFormat="1" ht="7.05" customHeight="1" x14ac:dyDescent="0.2">
      <c r="B124" s="33"/>
      <c r="C124" s="34"/>
      <c r="D124" s="34"/>
      <c r="E124" s="34"/>
      <c r="F124" s="34"/>
      <c r="G124" s="34"/>
      <c r="H124" s="34"/>
      <c r="I124" s="34"/>
      <c r="J124" s="34"/>
      <c r="K124" s="34"/>
      <c r="L124" s="24"/>
      <c r="W124" s="175"/>
      <c r="X124" s="176"/>
      <c r="Y124" s="176"/>
      <c r="Z124" s="176"/>
      <c r="AA124" s="176"/>
      <c r="AB124" s="176"/>
      <c r="AC124" s="176"/>
      <c r="AD124" s="176"/>
      <c r="AE124" s="177"/>
      <c r="AJ124" s="398"/>
      <c r="AL124" s="130"/>
    </row>
    <row r="128" spans="2:38" s="1" customFormat="1" ht="7.05" customHeight="1" x14ac:dyDescent="0.2">
      <c r="B128" s="35"/>
      <c r="C128" s="36"/>
      <c r="D128" s="36"/>
      <c r="E128" s="36"/>
      <c r="F128" s="36"/>
      <c r="G128" s="36"/>
      <c r="H128" s="36"/>
      <c r="I128" s="36"/>
      <c r="J128" s="36"/>
      <c r="K128" s="36"/>
      <c r="L128" s="24"/>
      <c r="W128" s="178"/>
      <c r="X128" s="179"/>
      <c r="Y128" s="179"/>
      <c r="Z128" s="179"/>
      <c r="AA128" s="179"/>
      <c r="AB128" s="179"/>
      <c r="AC128" s="179"/>
      <c r="AD128" s="179"/>
      <c r="AE128" s="180"/>
      <c r="AJ128" s="398"/>
      <c r="AL128" s="130"/>
    </row>
    <row r="129" spans="2:63" s="1" customFormat="1" ht="25.05" customHeight="1" x14ac:dyDescent="0.2">
      <c r="B129" s="1256" t="s">
        <v>214</v>
      </c>
      <c r="C129" s="1165"/>
      <c r="D129" s="1165"/>
      <c r="E129" s="1165"/>
      <c r="F129" s="1165"/>
      <c r="G129" s="1165"/>
      <c r="H129" s="1165"/>
      <c r="I129" s="1165"/>
      <c r="J129" s="1165"/>
      <c r="L129" s="24"/>
      <c r="W129" s="158"/>
      <c r="X129" s="1237" t="s">
        <v>214</v>
      </c>
      <c r="Y129" s="1237"/>
      <c r="Z129" s="1237"/>
      <c r="AA129" s="1237"/>
      <c r="AB129" s="1237"/>
      <c r="AC129" s="1237"/>
      <c r="AD129" s="1237"/>
      <c r="AE129" s="1238"/>
      <c r="AJ129" s="398"/>
      <c r="AL129" s="130"/>
    </row>
    <row r="130" spans="2:63" s="1" customFormat="1" ht="7.05" customHeight="1" x14ac:dyDescent="0.2">
      <c r="B130" s="24"/>
      <c r="L130" s="24"/>
      <c r="W130" s="158"/>
      <c r="X130" s="557"/>
      <c r="Y130" s="557"/>
      <c r="Z130" s="557"/>
      <c r="AA130" s="557"/>
      <c r="AB130" s="557"/>
      <c r="AC130" s="557"/>
      <c r="AD130" s="557"/>
      <c r="AE130" s="159"/>
      <c r="AJ130" s="398"/>
      <c r="AL130" s="130"/>
    </row>
    <row r="131" spans="2:63" s="1" customFormat="1" ht="12" customHeight="1" x14ac:dyDescent="0.2">
      <c r="B131" s="24"/>
      <c r="C131" s="528" t="s">
        <v>12</v>
      </c>
      <c r="E131" s="1242" t="s">
        <v>6177</v>
      </c>
      <c r="F131" s="1242"/>
      <c r="G131" s="1242"/>
      <c r="H131" s="1242"/>
      <c r="I131" s="1242"/>
      <c r="J131" s="1242"/>
      <c r="L131" s="24"/>
      <c r="W131" s="158"/>
      <c r="X131" s="538" t="s">
        <v>12</v>
      </c>
      <c r="Y131" s="557"/>
      <c r="Z131" s="1163" t="s">
        <v>6177</v>
      </c>
      <c r="AA131" s="1163"/>
      <c r="AB131" s="1163"/>
      <c r="AC131" s="1163"/>
      <c r="AD131" s="1163"/>
      <c r="AE131" s="1241"/>
      <c r="AJ131" s="398"/>
      <c r="AL131" s="130"/>
    </row>
    <row r="132" spans="2:63" s="1" customFormat="1" ht="22.95" customHeight="1" x14ac:dyDescent="0.2">
      <c r="B132" s="24"/>
      <c r="C132" s="521"/>
      <c r="E132" s="1243"/>
      <c r="F132" s="1244"/>
      <c r="G132" s="1244"/>
      <c r="H132" s="1244"/>
      <c r="L132" s="24"/>
      <c r="W132" s="158"/>
      <c r="X132" s="557"/>
      <c r="Y132" s="557"/>
      <c r="Z132" s="245"/>
      <c r="AA132" s="537"/>
      <c r="AB132" s="537"/>
      <c r="AC132" s="537"/>
      <c r="AD132" s="557"/>
      <c r="AE132" s="159"/>
      <c r="AJ132" s="398"/>
      <c r="AL132" s="130"/>
    </row>
    <row r="133" spans="2:63" s="1" customFormat="1" ht="12" customHeight="1" x14ac:dyDescent="0.2">
      <c r="B133" s="24"/>
      <c r="C133" s="528" t="s">
        <v>186</v>
      </c>
      <c r="F133" s="532" t="s">
        <v>3079</v>
      </c>
      <c r="L133" s="24"/>
      <c r="W133" s="158"/>
      <c r="X133" s="538" t="s">
        <v>186</v>
      </c>
      <c r="Y133" s="557"/>
      <c r="Z133" s="557"/>
      <c r="AA133" s="555" t="s">
        <v>3079</v>
      </c>
      <c r="AB133" s="557"/>
      <c r="AC133" s="557"/>
      <c r="AD133" s="557"/>
      <c r="AE133" s="159"/>
      <c r="AJ133" s="398"/>
      <c r="AL133" s="130"/>
    </row>
    <row r="134" spans="2:63" s="1" customFormat="1" ht="16.5" customHeight="1" x14ac:dyDescent="0.2">
      <c r="B134" s="24"/>
      <c r="C134" s="521"/>
      <c r="E134" s="1251"/>
      <c r="F134" s="1252"/>
      <c r="G134" s="1252"/>
      <c r="H134" s="1252"/>
      <c r="L134" s="24"/>
      <c r="W134" s="158"/>
      <c r="X134" s="557"/>
      <c r="Y134" s="557"/>
      <c r="Z134" s="1245"/>
      <c r="AA134" s="1246"/>
      <c r="AB134" s="1246"/>
      <c r="AC134" s="1246"/>
      <c r="AD134" s="557"/>
      <c r="AE134" s="159"/>
      <c r="AJ134" s="398"/>
      <c r="AL134" s="130"/>
    </row>
    <row r="135" spans="2:63" s="1" customFormat="1" ht="7.05" customHeight="1" x14ac:dyDescent="0.2">
      <c r="B135" s="24"/>
      <c r="C135" s="521"/>
      <c r="L135" s="24"/>
      <c r="W135" s="158"/>
      <c r="X135" s="557"/>
      <c r="Y135" s="557"/>
      <c r="Z135" s="557"/>
      <c r="AA135" s="557"/>
      <c r="AB135" s="557"/>
      <c r="AC135" s="557"/>
      <c r="AD135" s="557"/>
      <c r="AE135" s="159"/>
      <c r="AJ135" s="398"/>
      <c r="AL135" s="130"/>
    </row>
    <row r="136" spans="2:63" s="1" customFormat="1" ht="12" customHeight="1" x14ac:dyDescent="0.2">
      <c r="B136" s="24"/>
      <c r="C136" s="528" t="s">
        <v>15</v>
      </c>
      <c r="F136" s="19" t="str">
        <f>F12</f>
        <v>Kuzmányho nábrežie 28, 960 01 Zvolen</v>
      </c>
      <c r="I136" s="528" t="s">
        <v>17</v>
      </c>
      <c r="J136" s="39" t="str">
        <f>IF(J12="","",J12)</f>
        <v/>
      </c>
      <c r="L136" s="24"/>
      <c r="W136" s="158"/>
      <c r="X136" s="538" t="s">
        <v>15</v>
      </c>
      <c r="Y136" s="557"/>
      <c r="Z136" s="557"/>
      <c r="AA136" s="558" t="s">
        <v>6173</v>
      </c>
      <c r="AB136" s="557"/>
      <c r="AC136" s="557"/>
      <c r="AD136" s="538" t="s">
        <v>17</v>
      </c>
      <c r="AE136" s="162" t="str">
        <f>IF(AE12="","",AE12)</f>
        <v/>
      </c>
      <c r="AJ136" s="398"/>
      <c r="AK136" s="407"/>
      <c r="AL136" s="406"/>
      <c r="AM136" s="407"/>
      <c r="AN136" s="407"/>
      <c r="AO136" s="407"/>
      <c r="AP136" s="407"/>
      <c r="AQ136" s="407"/>
    </row>
    <row r="137" spans="2:63" s="1" customFormat="1" ht="7.05" customHeight="1" x14ac:dyDescent="0.2">
      <c r="B137" s="24"/>
      <c r="C137" s="521"/>
      <c r="I137" s="521"/>
      <c r="L137" s="24"/>
      <c r="W137" s="158"/>
      <c r="X137" s="557"/>
      <c r="Y137" s="557"/>
      <c r="Z137" s="557"/>
      <c r="AA137" s="557"/>
      <c r="AB137" s="557"/>
      <c r="AC137" s="557"/>
      <c r="AD137" s="557"/>
      <c r="AE137" s="159"/>
      <c r="AJ137" s="398"/>
      <c r="AK137" s="407"/>
      <c r="AL137" s="406"/>
      <c r="AM137" s="407"/>
      <c r="AN137" s="407"/>
      <c r="AO137" s="407"/>
      <c r="AP137" s="407"/>
      <c r="AQ137" s="407"/>
    </row>
    <row r="138" spans="2:63" s="1" customFormat="1" ht="15.3" customHeight="1" x14ac:dyDescent="0.2">
      <c r="B138" s="24"/>
      <c r="C138" s="528" t="s">
        <v>18</v>
      </c>
      <c r="F138" s="529" t="s">
        <v>6175</v>
      </c>
      <c r="I138" s="528" t="s">
        <v>22</v>
      </c>
      <c r="J138" s="22" t="str">
        <f>E21</f>
        <v xml:space="preserve"> </v>
      </c>
      <c r="L138" s="24"/>
      <c r="W138" s="158"/>
      <c r="X138" s="538" t="s">
        <v>18</v>
      </c>
      <c r="Y138" s="557"/>
      <c r="Z138" s="557"/>
      <c r="AA138" s="576" t="s">
        <v>6175</v>
      </c>
      <c r="AB138" s="557"/>
      <c r="AC138" s="557"/>
      <c r="AD138" s="538" t="s">
        <v>22</v>
      </c>
      <c r="AE138" s="181" t="str">
        <f>Z21</f>
        <v/>
      </c>
      <c r="AJ138" s="398"/>
      <c r="AK138" s="407"/>
      <c r="AL138" s="406"/>
      <c r="AM138" s="407"/>
      <c r="AN138" s="407"/>
      <c r="AO138" s="407"/>
      <c r="AP138" s="407"/>
      <c r="AQ138" s="407"/>
    </row>
    <row r="139" spans="2:63" s="1" customFormat="1" ht="15.3" customHeight="1" x14ac:dyDescent="0.2">
      <c r="B139" s="24"/>
      <c r="C139" s="528" t="s">
        <v>21</v>
      </c>
      <c r="F139" s="529" t="s">
        <v>5202</v>
      </c>
      <c r="I139" s="528" t="s">
        <v>24</v>
      </c>
      <c r="J139" s="22" t="str">
        <f>E24</f>
        <v xml:space="preserve"> </v>
      </c>
      <c r="L139" s="24"/>
      <c r="W139" s="158"/>
      <c r="X139" s="538" t="s">
        <v>21</v>
      </c>
      <c r="Y139" s="557"/>
      <c r="Z139" s="557"/>
      <c r="AA139" s="576" t="s">
        <v>5202</v>
      </c>
      <c r="AB139" s="557"/>
      <c r="AC139" s="557"/>
      <c r="AD139" s="538" t="s">
        <v>24</v>
      </c>
      <c r="AE139" s="181" t="str">
        <f>Z24</f>
        <v/>
      </c>
      <c r="AJ139" s="398"/>
      <c r="AK139" s="407"/>
      <c r="AL139" s="406"/>
      <c r="AM139" s="407"/>
      <c r="AN139" s="407"/>
      <c r="AO139" s="407"/>
      <c r="AP139" s="407"/>
      <c r="AQ139" s="407"/>
    </row>
    <row r="140" spans="2:63" s="1" customFormat="1" ht="10.199999999999999" customHeight="1" x14ac:dyDescent="0.2">
      <c r="B140" s="24"/>
      <c r="L140" s="24"/>
      <c r="W140" s="158"/>
      <c r="X140" s="557"/>
      <c r="Y140" s="557"/>
      <c r="Z140" s="557"/>
      <c r="AA140" s="557"/>
      <c r="AB140" s="557"/>
      <c r="AC140" s="557"/>
      <c r="AD140" s="557"/>
      <c r="AE140" s="159"/>
      <c r="AJ140" s="398"/>
      <c r="AK140" s="407"/>
      <c r="AL140" s="406"/>
      <c r="AM140" s="407"/>
      <c r="AN140" s="407"/>
      <c r="AO140" s="407"/>
      <c r="AP140" s="407"/>
      <c r="AQ140" s="407"/>
    </row>
    <row r="141" spans="2:63" s="10" customFormat="1" ht="29.25" customHeight="1" x14ac:dyDescent="0.2">
      <c r="B141" s="97"/>
      <c r="C141" s="98" t="s">
        <v>215</v>
      </c>
      <c r="D141" s="99" t="s">
        <v>43</v>
      </c>
      <c r="E141" s="99" t="s">
        <v>41</v>
      </c>
      <c r="F141" s="99" t="s">
        <v>42</v>
      </c>
      <c r="G141" s="99" t="s">
        <v>216</v>
      </c>
      <c r="H141" s="99" t="s">
        <v>217</v>
      </c>
      <c r="I141" s="99" t="s">
        <v>218</v>
      </c>
      <c r="J141" s="100" t="s">
        <v>190</v>
      </c>
      <c r="K141" s="101" t="s">
        <v>219</v>
      </c>
      <c r="L141" s="97"/>
      <c r="M141" s="46" t="s">
        <v>1</v>
      </c>
      <c r="N141" s="47" t="s">
        <v>30</v>
      </c>
      <c r="O141" s="47" t="s">
        <v>220</v>
      </c>
      <c r="P141" s="47" t="s">
        <v>221</v>
      </c>
      <c r="Q141" s="47" t="s">
        <v>222</v>
      </c>
      <c r="R141" s="47" t="s">
        <v>223</v>
      </c>
      <c r="S141" s="47" t="s">
        <v>224</v>
      </c>
      <c r="T141" s="48" t="s">
        <v>225</v>
      </c>
      <c r="W141" s="191"/>
      <c r="X141" s="98" t="s">
        <v>215</v>
      </c>
      <c r="Y141" s="99" t="s">
        <v>43</v>
      </c>
      <c r="Z141" s="99" t="s">
        <v>41</v>
      </c>
      <c r="AA141" s="99" t="s">
        <v>42</v>
      </c>
      <c r="AB141" s="99" t="s">
        <v>216</v>
      </c>
      <c r="AC141" s="99" t="s">
        <v>217</v>
      </c>
      <c r="AD141" s="99" t="s">
        <v>218</v>
      </c>
      <c r="AE141" s="192" t="s">
        <v>190</v>
      </c>
      <c r="AF141" s="228" t="s">
        <v>5220</v>
      </c>
      <c r="AJ141" s="400"/>
      <c r="AK141" s="524"/>
      <c r="AL141" s="525"/>
      <c r="AM141" s="524"/>
      <c r="AN141" s="525"/>
      <c r="AO141" s="524"/>
      <c r="AP141" s="410"/>
      <c r="AQ141" s="524"/>
    </row>
    <row r="142" spans="2:63" s="1" customFormat="1" ht="22.95" customHeight="1" x14ac:dyDescent="0.3">
      <c r="B142" s="24"/>
      <c r="C142" s="51" t="s">
        <v>191</v>
      </c>
      <c r="J142" s="102">
        <f>BK142</f>
        <v>419853.08999999997</v>
      </c>
      <c r="L142" s="24"/>
      <c r="M142" s="49"/>
      <c r="N142" s="40"/>
      <c r="O142" s="40"/>
      <c r="P142" s="103">
        <f>P143+P268+P391</f>
        <v>1124.69768881</v>
      </c>
      <c r="Q142" s="40"/>
      <c r="R142" s="103">
        <f>R143+R268+R391</f>
        <v>24.138062269999999</v>
      </c>
      <c r="S142" s="40"/>
      <c r="T142" s="104">
        <f>T143+T268+T391</f>
        <v>35.7485</v>
      </c>
      <c r="W142" s="158"/>
      <c r="X142" s="193" t="s">
        <v>191</v>
      </c>
      <c r="Y142" s="557"/>
      <c r="Z142" s="557"/>
      <c r="AA142" s="557"/>
      <c r="AB142" s="557"/>
      <c r="AC142" s="557"/>
      <c r="AD142" s="557"/>
      <c r="AE142" s="194">
        <f>AE143+AE268+AE391</f>
        <v>540087.55999999994</v>
      </c>
      <c r="AH142" s="130"/>
      <c r="AJ142" s="398"/>
      <c r="AK142" s="407"/>
      <c r="AL142" s="406"/>
      <c r="AM142" s="406"/>
      <c r="AN142" s="406"/>
      <c r="AO142" s="407"/>
      <c r="AP142" s="407"/>
      <c r="AQ142" s="407"/>
      <c r="AT142" s="13" t="s">
        <v>57</v>
      </c>
      <c r="AU142" s="13" t="s">
        <v>192</v>
      </c>
      <c r="BK142" s="105">
        <f>BK143+BK268+BK391</f>
        <v>419853.08999999997</v>
      </c>
    </row>
    <row r="143" spans="2:63" s="11" customFormat="1" ht="25.95" customHeight="1" x14ac:dyDescent="0.25">
      <c r="B143" s="106"/>
      <c r="D143" s="107" t="s">
        <v>57</v>
      </c>
      <c r="E143" s="108" t="s">
        <v>226</v>
      </c>
      <c r="F143" s="108" t="s">
        <v>3099</v>
      </c>
      <c r="J143" s="109">
        <f>BK143</f>
        <v>231444.56</v>
      </c>
      <c r="L143" s="106"/>
      <c r="M143" s="110"/>
      <c r="N143" s="111"/>
      <c r="O143" s="111"/>
      <c r="P143" s="112">
        <f>P144+P168+P180+P203+P218+P225+P241+P266</f>
        <v>1124.69768881</v>
      </c>
      <c r="Q143" s="111"/>
      <c r="R143" s="112">
        <f>R144+R168+R180+R203+R218+R225+R241+R266</f>
        <v>24.138062269999999</v>
      </c>
      <c r="S143" s="111"/>
      <c r="T143" s="113">
        <f>T144+T168+T180+T203+T218+T225+T241+T266</f>
        <v>35.7485</v>
      </c>
      <c r="W143" s="195"/>
      <c r="X143" s="111"/>
      <c r="Y143" s="196" t="s">
        <v>57</v>
      </c>
      <c r="Z143" s="197" t="s">
        <v>226</v>
      </c>
      <c r="AA143" s="197" t="s">
        <v>3099</v>
      </c>
      <c r="AB143" s="111"/>
      <c r="AC143" s="111"/>
      <c r="AD143" s="111"/>
      <c r="AE143" s="198">
        <f>AE144+AE168+AE180+AE203+AE218+AE225+AE241+AE266</f>
        <v>315595.89999999997</v>
      </c>
      <c r="AH143" s="130"/>
      <c r="AJ143" s="117"/>
      <c r="AK143" s="292"/>
      <c r="AL143" s="408"/>
      <c r="AM143" s="292"/>
      <c r="AN143" s="292"/>
      <c r="AO143" s="292"/>
      <c r="AP143" s="292"/>
      <c r="AQ143" s="292"/>
      <c r="AR143" s="107" t="s">
        <v>63</v>
      </c>
      <c r="AT143" s="114" t="s">
        <v>57</v>
      </c>
      <c r="AU143" s="114" t="s">
        <v>58</v>
      </c>
      <c r="AY143" s="107" t="s">
        <v>228</v>
      </c>
      <c r="BK143" s="115">
        <f>BK144+BK168+BK180+BK203+BK218+BK225+BK241+BK266</f>
        <v>231444.56</v>
      </c>
    </row>
    <row r="144" spans="2:63" s="11" customFormat="1" ht="22.95" customHeight="1" x14ac:dyDescent="0.3">
      <c r="B144" s="106"/>
      <c r="D144" s="107" t="s">
        <v>57</v>
      </c>
      <c r="E144" s="116" t="s">
        <v>63</v>
      </c>
      <c r="F144" s="116" t="s">
        <v>3100</v>
      </c>
      <c r="J144" s="117">
        <f>BK144</f>
        <v>31633.870000000006</v>
      </c>
      <c r="L144" s="106"/>
      <c r="M144" s="110"/>
      <c r="N144" s="111"/>
      <c r="O144" s="111"/>
      <c r="P144" s="112">
        <f>SUM(P146:P167)</f>
        <v>607.21100000000001</v>
      </c>
      <c r="Q144" s="111"/>
      <c r="R144" s="112">
        <f>SUM(R146:R167)</f>
        <v>0</v>
      </c>
      <c r="S144" s="111"/>
      <c r="T144" s="113">
        <f>SUM(T146:T167)</f>
        <v>35.7485</v>
      </c>
      <c r="W144" s="195"/>
      <c r="X144" s="111"/>
      <c r="Y144" s="196" t="s">
        <v>57</v>
      </c>
      <c r="Z144" s="201" t="s">
        <v>63</v>
      </c>
      <c r="AA144" s="201" t="s">
        <v>3100</v>
      </c>
      <c r="AB144" s="111"/>
      <c r="AC144" s="111"/>
      <c r="AD144" s="111"/>
      <c r="AE144" s="202">
        <f>SUM(AE145:AE167)</f>
        <v>57316.56</v>
      </c>
      <c r="AH144" s="130"/>
      <c r="AJ144" s="442">
        <f>SUM(AJ150:AJ395)</f>
        <v>76541.649603999977</v>
      </c>
      <c r="AK144" s="292"/>
      <c r="AL144" s="408"/>
      <c r="AM144" s="292"/>
      <c r="AN144" s="292"/>
      <c r="AO144" s="292"/>
      <c r="AP144" s="292"/>
      <c r="AQ144" s="292"/>
      <c r="AR144" s="107" t="s">
        <v>63</v>
      </c>
      <c r="AT144" s="114" t="s">
        <v>57</v>
      </c>
      <c r="AU144" s="114" t="s">
        <v>63</v>
      </c>
      <c r="AY144" s="107" t="s">
        <v>228</v>
      </c>
      <c r="BK144" s="115">
        <f>SUM(BK146:BK167)</f>
        <v>31633.870000000006</v>
      </c>
    </row>
    <row r="145" spans="2:65" s="11" customFormat="1" ht="22.95" customHeight="1" x14ac:dyDescent="0.3">
      <c r="B145" s="106"/>
      <c r="C145" s="1234" t="s">
        <v>5205</v>
      </c>
      <c r="D145" s="1235"/>
      <c r="E145" s="1235"/>
      <c r="F145" s="1235"/>
      <c r="G145" s="1235"/>
      <c r="H145" s="1235"/>
      <c r="I145" s="1235"/>
      <c r="J145" s="1236"/>
      <c r="L145" s="106"/>
      <c r="M145" s="110"/>
      <c r="N145" s="111"/>
      <c r="O145" s="111"/>
      <c r="P145" s="112"/>
      <c r="Q145" s="111"/>
      <c r="R145" s="112"/>
      <c r="S145" s="111"/>
      <c r="T145" s="113"/>
      <c r="W145" s="195"/>
      <c r="X145" s="341" t="s">
        <v>5323</v>
      </c>
      <c r="Y145" s="341" t="s">
        <v>231</v>
      </c>
      <c r="Z145" s="342" t="s">
        <v>6157</v>
      </c>
      <c r="AA145" s="343" t="s">
        <v>6158</v>
      </c>
      <c r="AB145" s="344" t="s">
        <v>1172</v>
      </c>
      <c r="AC145" s="345">
        <v>1</v>
      </c>
      <c r="AD145" s="346">
        <v>490</v>
      </c>
      <c r="AE145" s="355">
        <v>490</v>
      </c>
      <c r="AF145" s="227">
        <v>1</v>
      </c>
      <c r="AH145" s="130"/>
      <c r="AJ145" s="442"/>
      <c r="AK145" s="409"/>
      <c r="AL145" s="408"/>
      <c r="AM145" s="292"/>
      <c r="AN145" s="292"/>
      <c r="AO145" s="292"/>
      <c r="AP145" s="292"/>
      <c r="AQ145" s="292"/>
      <c r="AR145" s="107"/>
      <c r="AT145" s="114"/>
      <c r="AU145" s="114"/>
      <c r="AY145" s="107"/>
      <c r="BK145" s="115"/>
    </row>
    <row r="146" spans="2:65" s="1" customFormat="1" ht="24" customHeight="1" x14ac:dyDescent="0.2">
      <c r="B146" s="118"/>
      <c r="C146" s="119" t="s">
        <v>63</v>
      </c>
      <c r="D146" s="119" t="s">
        <v>231</v>
      </c>
      <c r="E146" s="120" t="s">
        <v>3101</v>
      </c>
      <c r="F146" s="121" t="s">
        <v>3102</v>
      </c>
      <c r="G146" s="122" t="s">
        <v>284</v>
      </c>
      <c r="H146" s="123">
        <v>59.5</v>
      </c>
      <c r="I146" s="124">
        <v>4.6399999999999997</v>
      </c>
      <c r="J146" s="124">
        <f t="shared" ref="J146:J167" si="0">ROUND(I146*H146,2)</f>
        <v>276.08</v>
      </c>
      <c r="K146" s="121" t="s">
        <v>1</v>
      </c>
      <c r="L146" s="24"/>
      <c r="M146" s="125" t="s">
        <v>1</v>
      </c>
      <c r="N146" s="126" t="s">
        <v>32</v>
      </c>
      <c r="O146" s="127">
        <v>0.19</v>
      </c>
      <c r="P146" s="127">
        <f t="shared" ref="P146:P167" si="1">O146*H146</f>
        <v>11.305</v>
      </c>
      <c r="Q146" s="127">
        <v>0</v>
      </c>
      <c r="R146" s="127">
        <f t="shared" ref="R146:R167" si="2">Q146*H146</f>
        <v>0</v>
      </c>
      <c r="S146" s="127">
        <v>9.8000000000000004E-2</v>
      </c>
      <c r="T146" s="128">
        <f t="shared" ref="T146:T167" si="3">S146*H146</f>
        <v>5.8310000000000004</v>
      </c>
      <c r="W146" s="199"/>
      <c r="X146" s="119" t="s">
        <v>63</v>
      </c>
      <c r="Y146" s="119" t="s">
        <v>231</v>
      </c>
      <c r="Z146" s="120" t="s">
        <v>3101</v>
      </c>
      <c r="AA146" s="121" t="s">
        <v>3102</v>
      </c>
      <c r="AB146" s="122" t="s">
        <v>284</v>
      </c>
      <c r="AC146" s="123">
        <v>59.5</v>
      </c>
      <c r="AD146" s="124">
        <v>4.6399999999999997</v>
      </c>
      <c r="AE146" s="200">
        <f t="shared" ref="AE146:AE167" si="4">ROUND(AD146*AC146,2)</f>
        <v>276.08</v>
      </c>
      <c r="AF146" s="227"/>
      <c r="AH146" s="130"/>
      <c r="AJ146" s="398"/>
      <c r="AK146" s="409"/>
      <c r="AL146" s="408"/>
      <c r="AM146" s="407"/>
      <c r="AN146" s="407"/>
      <c r="AO146" s="407"/>
      <c r="AP146" s="407"/>
      <c r="AQ146" s="407"/>
      <c r="AR146" s="129" t="s">
        <v>235</v>
      </c>
      <c r="AT146" s="129" t="s">
        <v>231</v>
      </c>
      <c r="AU146" s="129" t="s">
        <v>76</v>
      </c>
      <c r="AY146" s="13" t="s">
        <v>228</v>
      </c>
      <c r="BE146" s="130">
        <f t="shared" ref="BE146:BE167" si="5">IF(N146="základná",J146,0)</f>
        <v>0</v>
      </c>
      <c r="BF146" s="130">
        <f t="shared" ref="BF146:BF167" si="6">IF(N146="znížená",J146,0)</f>
        <v>276.08</v>
      </c>
      <c r="BG146" s="130">
        <f t="shared" ref="BG146:BG167" si="7">IF(N146="zákl. prenesená",J146,0)</f>
        <v>0</v>
      </c>
      <c r="BH146" s="130">
        <f t="shared" ref="BH146:BH167" si="8">IF(N146="zníž. prenesená",J146,0)</f>
        <v>0</v>
      </c>
      <c r="BI146" s="130">
        <f t="shared" ref="BI146:BI167" si="9">IF(N146="nulová",J146,0)</f>
        <v>0</v>
      </c>
      <c r="BJ146" s="13" t="s">
        <v>76</v>
      </c>
      <c r="BK146" s="130">
        <f t="shared" ref="BK146:BK167" si="10">ROUND(I146*H146,2)</f>
        <v>276.08</v>
      </c>
      <c r="BL146" s="13" t="s">
        <v>235</v>
      </c>
      <c r="BM146" s="129" t="s">
        <v>76</v>
      </c>
    </row>
    <row r="147" spans="2:65" s="1" customFormat="1" ht="24" customHeight="1" x14ac:dyDescent="0.2">
      <c r="B147" s="118"/>
      <c r="C147" s="119" t="s">
        <v>76</v>
      </c>
      <c r="D147" s="119" t="s">
        <v>231</v>
      </c>
      <c r="E147" s="120" t="s">
        <v>3103</v>
      </c>
      <c r="F147" s="121" t="s">
        <v>3104</v>
      </c>
      <c r="G147" s="122" t="s">
        <v>284</v>
      </c>
      <c r="H147" s="123">
        <v>59.5</v>
      </c>
      <c r="I147" s="124">
        <v>3.48</v>
      </c>
      <c r="J147" s="124">
        <f t="shared" si="0"/>
        <v>207.06</v>
      </c>
      <c r="K147" s="121" t="s">
        <v>1</v>
      </c>
      <c r="L147" s="24"/>
      <c r="M147" s="125" t="s">
        <v>1</v>
      </c>
      <c r="N147" s="126" t="s">
        <v>32</v>
      </c>
      <c r="O147" s="127">
        <v>0.35499999999999998</v>
      </c>
      <c r="P147" s="127">
        <f t="shared" si="1"/>
        <v>21.122499999999999</v>
      </c>
      <c r="Q147" s="127">
        <v>0</v>
      </c>
      <c r="R147" s="127">
        <f t="shared" si="2"/>
        <v>0</v>
      </c>
      <c r="S147" s="127">
        <v>0.24</v>
      </c>
      <c r="T147" s="128">
        <f t="shared" si="3"/>
        <v>14.28</v>
      </c>
      <c r="W147" s="199"/>
      <c r="X147" s="119" t="s">
        <v>76</v>
      </c>
      <c r="Y147" s="119" t="s">
        <v>231</v>
      </c>
      <c r="Z147" s="120" t="s">
        <v>3103</v>
      </c>
      <c r="AA147" s="121" t="s">
        <v>3104</v>
      </c>
      <c r="AB147" s="122" t="s">
        <v>284</v>
      </c>
      <c r="AC147" s="123">
        <v>59.5</v>
      </c>
      <c r="AD147" s="124">
        <v>3.48</v>
      </c>
      <c r="AE147" s="200">
        <f t="shared" si="4"/>
        <v>207.06</v>
      </c>
      <c r="AF147" s="227"/>
      <c r="AH147" s="130"/>
      <c r="AJ147" s="398"/>
      <c r="AK147" s="409"/>
      <c r="AL147" s="408"/>
      <c r="AM147" s="407"/>
      <c r="AN147" s="407"/>
      <c r="AO147" s="407"/>
      <c r="AP147" s="407"/>
      <c r="AQ147" s="407"/>
      <c r="AR147" s="129" t="s">
        <v>235</v>
      </c>
      <c r="AT147" s="129" t="s">
        <v>231</v>
      </c>
      <c r="AU147" s="129" t="s">
        <v>76</v>
      </c>
      <c r="AY147" s="13" t="s">
        <v>228</v>
      </c>
      <c r="BE147" s="130">
        <f t="shared" si="5"/>
        <v>0</v>
      </c>
      <c r="BF147" s="130">
        <f t="shared" si="6"/>
        <v>207.06</v>
      </c>
      <c r="BG147" s="130">
        <f t="shared" si="7"/>
        <v>0</v>
      </c>
      <c r="BH147" s="130">
        <f t="shared" si="8"/>
        <v>0</v>
      </c>
      <c r="BI147" s="130">
        <f t="shared" si="9"/>
        <v>0</v>
      </c>
      <c r="BJ147" s="13" t="s">
        <v>76</v>
      </c>
      <c r="BK147" s="130">
        <f t="shared" si="10"/>
        <v>207.06</v>
      </c>
      <c r="BL147" s="13" t="s">
        <v>235</v>
      </c>
      <c r="BM147" s="129" t="s">
        <v>235</v>
      </c>
    </row>
    <row r="148" spans="2:65" s="1" customFormat="1" ht="24" customHeight="1" x14ac:dyDescent="0.2">
      <c r="B148" s="118"/>
      <c r="C148" s="119" t="s">
        <v>229</v>
      </c>
      <c r="D148" s="119" t="s">
        <v>231</v>
      </c>
      <c r="E148" s="120" t="s">
        <v>3105</v>
      </c>
      <c r="F148" s="121" t="s">
        <v>3106</v>
      </c>
      <c r="G148" s="122" t="s">
        <v>284</v>
      </c>
      <c r="H148" s="123">
        <v>69.5</v>
      </c>
      <c r="I148" s="124">
        <v>17.420000000000002</v>
      </c>
      <c r="J148" s="124">
        <f t="shared" si="0"/>
        <v>1210.69</v>
      </c>
      <c r="K148" s="121" t="s">
        <v>1</v>
      </c>
      <c r="L148" s="24"/>
      <c r="M148" s="125" t="s">
        <v>1</v>
      </c>
      <c r="N148" s="126" t="s">
        <v>32</v>
      </c>
      <c r="O148" s="127">
        <v>1.169</v>
      </c>
      <c r="P148" s="127">
        <f t="shared" si="1"/>
        <v>81.245500000000007</v>
      </c>
      <c r="Q148" s="127">
        <v>0</v>
      </c>
      <c r="R148" s="127">
        <f t="shared" si="2"/>
        <v>0</v>
      </c>
      <c r="S148" s="127">
        <v>0.22500000000000001</v>
      </c>
      <c r="T148" s="128">
        <f t="shared" si="3"/>
        <v>15.637500000000001</v>
      </c>
      <c r="W148" s="199"/>
      <c r="X148" s="119" t="s">
        <v>229</v>
      </c>
      <c r="Y148" s="119" t="s">
        <v>231</v>
      </c>
      <c r="Z148" s="120" t="s">
        <v>3105</v>
      </c>
      <c r="AA148" s="121" t="s">
        <v>3106</v>
      </c>
      <c r="AB148" s="122" t="s">
        <v>284</v>
      </c>
      <c r="AC148" s="123">
        <v>69.5</v>
      </c>
      <c r="AD148" s="124">
        <v>17.420000000000002</v>
      </c>
      <c r="AE148" s="200">
        <f t="shared" si="4"/>
        <v>1210.69</v>
      </c>
      <c r="AF148" s="956"/>
      <c r="AH148" s="130"/>
      <c r="AJ148" s="398"/>
      <c r="AK148" s="409"/>
      <c r="AL148" s="408"/>
      <c r="AM148" s="407"/>
      <c r="AN148" s="407"/>
      <c r="AO148" s="407"/>
      <c r="AP148" s="407"/>
      <c r="AQ148" s="407"/>
      <c r="AR148" s="129" t="s">
        <v>235</v>
      </c>
      <c r="AT148" s="129" t="s">
        <v>231</v>
      </c>
      <c r="AU148" s="129" t="s">
        <v>76</v>
      </c>
      <c r="AY148" s="13" t="s">
        <v>228</v>
      </c>
      <c r="BE148" s="130">
        <f t="shared" si="5"/>
        <v>0</v>
      </c>
      <c r="BF148" s="130">
        <f t="shared" si="6"/>
        <v>1210.69</v>
      </c>
      <c r="BG148" s="130">
        <f t="shared" si="7"/>
        <v>0</v>
      </c>
      <c r="BH148" s="130">
        <f t="shared" si="8"/>
        <v>0</v>
      </c>
      <c r="BI148" s="130">
        <f t="shared" si="9"/>
        <v>0</v>
      </c>
      <c r="BJ148" s="13" t="s">
        <v>76</v>
      </c>
      <c r="BK148" s="130">
        <f t="shared" si="10"/>
        <v>1210.69</v>
      </c>
      <c r="BL148" s="13" t="s">
        <v>235</v>
      </c>
      <c r="BM148" s="129" t="s">
        <v>240</v>
      </c>
    </row>
    <row r="149" spans="2:65" s="1" customFormat="1" ht="33" customHeight="1" x14ac:dyDescent="0.2">
      <c r="B149" s="118"/>
      <c r="C149" s="119" t="s">
        <v>235</v>
      </c>
      <c r="D149" s="119" t="s">
        <v>231</v>
      </c>
      <c r="E149" s="120" t="s">
        <v>3107</v>
      </c>
      <c r="F149" s="121" t="s">
        <v>3108</v>
      </c>
      <c r="G149" s="122" t="s">
        <v>234</v>
      </c>
      <c r="H149" s="123">
        <v>96</v>
      </c>
      <c r="I149" s="124">
        <v>1.1499999999999999</v>
      </c>
      <c r="J149" s="124">
        <f t="shared" si="0"/>
        <v>110.4</v>
      </c>
      <c r="K149" s="121" t="s">
        <v>1</v>
      </c>
      <c r="L149" s="24"/>
      <c r="M149" s="125" t="s">
        <v>1</v>
      </c>
      <c r="N149" s="126" t="s">
        <v>32</v>
      </c>
      <c r="O149" s="127">
        <v>1.2999999999999999E-2</v>
      </c>
      <c r="P149" s="127">
        <f t="shared" si="1"/>
        <v>1.248</v>
      </c>
      <c r="Q149" s="127">
        <v>0</v>
      </c>
      <c r="R149" s="127">
        <f t="shared" si="2"/>
        <v>0</v>
      </c>
      <c r="S149" s="127">
        <v>0</v>
      </c>
      <c r="T149" s="128">
        <f t="shared" si="3"/>
        <v>0</v>
      </c>
      <c r="W149" s="199"/>
      <c r="X149" s="119" t="s">
        <v>235</v>
      </c>
      <c r="Y149" s="119" t="s">
        <v>231</v>
      </c>
      <c r="Z149" s="120" t="s">
        <v>3107</v>
      </c>
      <c r="AA149" s="121" t="s">
        <v>3108</v>
      </c>
      <c r="AB149" s="122" t="s">
        <v>234</v>
      </c>
      <c r="AC149" s="123">
        <v>96</v>
      </c>
      <c r="AD149" s="124">
        <v>1.1499999999999999</v>
      </c>
      <c r="AE149" s="200">
        <f t="shared" si="4"/>
        <v>110.4</v>
      </c>
      <c r="AF149" s="956"/>
      <c r="AH149" s="130"/>
      <c r="AJ149" s="398"/>
      <c r="AK149" s="409"/>
      <c r="AL149" s="408"/>
      <c r="AM149" s="407"/>
      <c r="AN149" s="407"/>
      <c r="AO149" s="407"/>
      <c r="AP149" s="407"/>
      <c r="AQ149" s="407"/>
      <c r="AR149" s="129" t="s">
        <v>235</v>
      </c>
      <c r="AT149" s="129" t="s">
        <v>231</v>
      </c>
      <c r="AU149" s="129" t="s">
        <v>76</v>
      </c>
      <c r="AY149" s="13" t="s">
        <v>228</v>
      </c>
      <c r="BE149" s="130">
        <f t="shared" si="5"/>
        <v>0</v>
      </c>
      <c r="BF149" s="130">
        <f t="shared" si="6"/>
        <v>110.4</v>
      </c>
      <c r="BG149" s="130">
        <f t="shared" si="7"/>
        <v>0</v>
      </c>
      <c r="BH149" s="130">
        <f t="shared" si="8"/>
        <v>0</v>
      </c>
      <c r="BI149" s="130">
        <f t="shared" si="9"/>
        <v>0</v>
      </c>
      <c r="BJ149" s="13" t="s">
        <v>76</v>
      </c>
      <c r="BK149" s="130">
        <f t="shared" si="10"/>
        <v>110.4</v>
      </c>
      <c r="BL149" s="13" t="s">
        <v>235</v>
      </c>
      <c r="BM149" s="129" t="s">
        <v>244</v>
      </c>
    </row>
    <row r="150" spans="2:65" s="1" customFormat="1" ht="24" customHeight="1" x14ac:dyDescent="0.2">
      <c r="B150" s="118"/>
      <c r="C150" s="205" t="s">
        <v>245</v>
      </c>
      <c r="D150" s="119" t="s">
        <v>231</v>
      </c>
      <c r="E150" s="120" t="s">
        <v>3109</v>
      </c>
      <c r="F150" s="121" t="s">
        <v>3110</v>
      </c>
      <c r="G150" s="122" t="s">
        <v>234</v>
      </c>
      <c r="H150" s="206">
        <v>680</v>
      </c>
      <c r="I150" s="124">
        <v>5.81</v>
      </c>
      <c r="J150" s="124">
        <f t="shared" si="0"/>
        <v>3950.8</v>
      </c>
      <c r="K150" s="121" t="s">
        <v>1</v>
      </c>
      <c r="L150" s="24"/>
      <c r="M150" s="125" t="s">
        <v>1</v>
      </c>
      <c r="N150" s="126" t="s">
        <v>32</v>
      </c>
      <c r="O150" s="127">
        <v>0.433</v>
      </c>
      <c r="P150" s="127">
        <f t="shared" si="1"/>
        <v>294.44</v>
      </c>
      <c r="Q150" s="127">
        <v>0</v>
      </c>
      <c r="R150" s="127">
        <f t="shared" si="2"/>
        <v>0</v>
      </c>
      <c r="S150" s="127">
        <v>0</v>
      </c>
      <c r="T150" s="128">
        <f t="shared" si="3"/>
        <v>0</v>
      </c>
      <c r="W150" s="199"/>
      <c r="X150" s="205" t="s">
        <v>245</v>
      </c>
      <c r="Y150" s="119" t="s">
        <v>231</v>
      </c>
      <c r="Z150" s="120" t="s">
        <v>3109</v>
      </c>
      <c r="AA150" s="121" t="s">
        <v>3110</v>
      </c>
      <c r="AB150" s="122" t="s">
        <v>234</v>
      </c>
      <c r="AC150" s="206">
        <f>1439.45+82.43</f>
        <v>1521.88</v>
      </c>
      <c r="AD150" s="124">
        <v>5.81</v>
      </c>
      <c r="AE150" s="200">
        <f t="shared" si="4"/>
        <v>8842.1200000000008</v>
      </c>
      <c r="AF150" s="956" t="s">
        <v>6316</v>
      </c>
      <c r="AH150" s="130">
        <f>AC150-H150</f>
        <v>841.88000000000011</v>
      </c>
      <c r="AJ150" s="398">
        <f>AH150*AD150</f>
        <v>4891.3227999999999</v>
      </c>
      <c r="AK150" s="409"/>
      <c r="AL150" s="408"/>
      <c r="AM150" s="407"/>
      <c r="AN150" s="407"/>
      <c r="AO150" s="407"/>
      <c r="AP150" s="407"/>
      <c r="AQ150" s="407"/>
      <c r="AR150" s="129" t="s">
        <v>235</v>
      </c>
      <c r="AT150" s="129" t="s">
        <v>231</v>
      </c>
      <c r="AU150" s="129" t="s">
        <v>76</v>
      </c>
      <c r="AY150" s="13" t="s">
        <v>228</v>
      </c>
      <c r="BE150" s="130">
        <f t="shared" si="5"/>
        <v>0</v>
      </c>
      <c r="BF150" s="130">
        <f t="shared" si="6"/>
        <v>3950.8</v>
      </c>
      <c r="BG150" s="130">
        <f t="shared" si="7"/>
        <v>0</v>
      </c>
      <c r="BH150" s="130">
        <f t="shared" si="8"/>
        <v>0</v>
      </c>
      <c r="BI150" s="130">
        <f t="shared" si="9"/>
        <v>0</v>
      </c>
      <c r="BJ150" s="13" t="s">
        <v>76</v>
      </c>
      <c r="BK150" s="130">
        <f t="shared" si="10"/>
        <v>3950.8</v>
      </c>
      <c r="BL150" s="13" t="s">
        <v>235</v>
      </c>
      <c r="BM150" s="129" t="s">
        <v>248</v>
      </c>
    </row>
    <row r="151" spans="2:65" s="1" customFormat="1" ht="24" customHeight="1" x14ac:dyDescent="0.2">
      <c r="B151" s="118"/>
      <c r="C151" s="205" t="s">
        <v>240</v>
      </c>
      <c r="D151" s="119" t="s">
        <v>231</v>
      </c>
      <c r="E151" s="120" t="s">
        <v>3111</v>
      </c>
      <c r="F151" s="121" t="s">
        <v>3112</v>
      </c>
      <c r="G151" s="122" t="s">
        <v>234</v>
      </c>
      <c r="H151" s="206">
        <v>680</v>
      </c>
      <c r="I151" s="124">
        <v>0.57999999999999996</v>
      </c>
      <c r="J151" s="124">
        <f t="shared" si="0"/>
        <v>394.4</v>
      </c>
      <c r="K151" s="121" t="s">
        <v>1</v>
      </c>
      <c r="L151" s="24"/>
      <c r="M151" s="125" t="s">
        <v>1</v>
      </c>
      <c r="N151" s="126" t="s">
        <v>32</v>
      </c>
      <c r="O151" s="127">
        <v>4.2000000000000003E-2</v>
      </c>
      <c r="P151" s="127">
        <f t="shared" si="1"/>
        <v>28.560000000000002</v>
      </c>
      <c r="Q151" s="127">
        <v>0</v>
      </c>
      <c r="R151" s="127">
        <f t="shared" si="2"/>
        <v>0</v>
      </c>
      <c r="S151" s="127">
        <v>0</v>
      </c>
      <c r="T151" s="128">
        <f t="shared" si="3"/>
        <v>0</v>
      </c>
      <c r="W151" s="199"/>
      <c r="X151" s="205" t="s">
        <v>240</v>
      </c>
      <c r="Y151" s="119" t="s">
        <v>231</v>
      </c>
      <c r="Z151" s="120" t="s">
        <v>3111</v>
      </c>
      <c r="AA151" s="121" t="s">
        <v>3112</v>
      </c>
      <c r="AB151" s="122" t="s">
        <v>234</v>
      </c>
      <c r="AC151" s="206">
        <f>1439.45+82.43</f>
        <v>1521.88</v>
      </c>
      <c r="AD151" s="124">
        <v>0.57999999999999996</v>
      </c>
      <c r="AE151" s="200">
        <f t="shared" si="4"/>
        <v>882.69</v>
      </c>
      <c r="AF151" s="956" t="s">
        <v>6316</v>
      </c>
      <c r="AH151" s="130">
        <f t="shared" ref="AH151:AH216" si="11">AC151-H151</f>
        <v>841.88000000000011</v>
      </c>
      <c r="AJ151" s="398">
        <f t="shared" ref="AJ151:AJ217" si="12">AH151*AD151</f>
        <v>488.29040000000003</v>
      </c>
      <c r="AK151" s="409"/>
      <c r="AL151" s="408"/>
      <c r="AM151" s="407"/>
      <c r="AN151" s="407"/>
      <c r="AO151" s="407"/>
      <c r="AP151" s="407"/>
      <c r="AQ151" s="407"/>
      <c r="AR151" s="129" t="s">
        <v>235</v>
      </c>
      <c r="AT151" s="129" t="s">
        <v>231</v>
      </c>
      <c r="AU151" s="129" t="s">
        <v>76</v>
      </c>
      <c r="AY151" s="13" t="s">
        <v>228</v>
      </c>
      <c r="BE151" s="130">
        <f t="shared" si="5"/>
        <v>0</v>
      </c>
      <c r="BF151" s="130">
        <f t="shared" si="6"/>
        <v>394.4</v>
      </c>
      <c r="BG151" s="130">
        <f t="shared" si="7"/>
        <v>0</v>
      </c>
      <c r="BH151" s="130">
        <f t="shared" si="8"/>
        <v>0</v>
      </c>
      <c r="BI151" s="130">
        <f t="shared" si="9"/>
        <v>0</v>
      </c>
      <c r="BJ151" s="13" t="s">
        <v>76</v>
      </c>
      <c r="BK151" s="130">
        <f t="shared" si="10"/>
        <v>394.4</v>
      </c>
      <c r="BL151" s="13" t="s">
        <v>235</v>
      </c>
      <c r="BM151" s="129" t="s">
        <v>251</v>
      </c>
    </row>
    <row r="152" spans="2:65" s="518" customFormat="1" ht="24" customHeight="1" x14ac:dyDescent="0.2">
      <c r="B152" s="118"/>
      <c r="C152" s="1234" t="s">
        <v>5205</v>
      </c>
      <c r="D152" s="1235"/>
      <c r="E152" s="1235"/>
      <c r="F152" s="1235"/>
      <c r="G152" s="1235"/>
      <c r="H152" s="1235"/>
      <c r="I152" s="1235"/>
      <c r="J152" s="1236"/>
      <c r="K152" s="121"/>
      <c r="L152" s="24"/>
      <c r="M152" s="125"/>
      <c r="N152" s="126"/>
      <c r="O152" s="127"/>
      <c r="P152" s="127"/>
      <c r="Q152" s="127"/>
      <c r="R152" s="127"/>
      <c r="S152" s="127"/>
      <c r="T152" s="128"/>
      <c r="W152" s="199"/>
      <c r="X152" s="341" t="s">
        <v>5964</v>
      </c>
      <c r="Y152" s="341"/>
      <c r="Z152" s="342" t="s">
        <v>899</v>
      </c>
      <c r="AA152" s="343" t="s">
        <v>6159</v>
      </c>
      <c r="AB152" s="344" t="s">
        <v>234</v>
      </c>
      <c r="AC152" s="345">
        <v>15</v>
      </c>
      <c r="AD152" s="346">
        <v>17.420000000000002</v>
      </c>
      <c r="AE152" s="355">
        <v>261.3</v>
      </c>
      <c r="AF152" s="956">
        <v>1</v>
      </c>
      <c r="AH152" s="130"/>
      <c r="AJ152" s="398"/>
      <c r="AK152" s="409"/>
      <c r="AL152" s="408"/>
      <c r="AM152" s="407"/>
      <c r="AN152" s="407"/>
      <c r="AO152" s="407"/>
      <c r="AP152" s="407"/>
      <c r="AQ152" s="407"/>
      <c r="AR152" s="129"/>
      <c r="AT152" s="129"/>
      <c r="AU152" s="129"/>
      <c r="AY152" s="13"/>
      <c r="BE152" s="130"/>
      <c r="BF152" s="130"/>
      <c r="BG152" s="130"/>
      <c r="BH152" s="130"/>
      <c r="BI152" s="130"/>
      <c r="BJ152" s="13"/>
      <c r="BK152" s="130"/>
      <c r="BL152" s="13"/>
      <c r="BM152" s="129"/>
    </row>
    <row r="153" spans="2:65" s="1" customFormat="1" ht="24" customHeight="1" x14ac:dyDescent="0.2">
      <c r="B153" s="118"/>
      <c r="C153" s="285" t="s">
        <v>252</v>
      </c>
      <c r="D153" s="119" t="s">
        <v>231</v>
      </c>
      <c r="E153" s="120" t="s">
        <v>3113</v>
      </c>
      <c r="F153" s="121" t="s">
        <v>3114</v>
      </c>
      <c r="G153" s="122" t="s">
        <v>234</v>
      </c>
      <c r="H153" s="288">
        <v>190</v>
      </c>
      <c r="I153" s="124">
        <v>6.97</v>
      </c>
      <c r="J153" s="124">
        <f t="shared" si="0"/>
        <v>1324.3</v>
      </c>
      <c r="K153" s="121" t="s">
        <v>1</v>
      </c>
      <c r="L153" s="24"/>
      <c r="M153" s="125" t="s">
        <v>1</v>
      </c>
      <c r="N153" s="126" t="s">
        <v>32</v>
      </c>
      <c r="O153" s="127">
        <v>0.81100000000000005</v>
      </c>
      <c r="P153" s="127">
        <f t="shared" si="1"/>
        <v>154.09</v>
      </c>
      <c r="Q153" s="127">
        <v>0</v>
      </c>
      <c r="R153" s="127">
        <f t="shared" si="2"/>
        <v>0</v>
      </c>
      <c r="S153" s="127">
        <v>0</v>
      </c>
      <c r="T153" s="128">
        <f t="shared" si="3"/>
        <v>0</v>
      </c>
      <c r="W153" s="199"/>
      <c r="X153" s="285" t="s">
        <v>252</v>
      </c>
      <c r="Y153" s="119" t="s">
        <v>231</v>
      </c>
      <c r="Z153" s="120" t="s">
        <v>3113</v>
      </c>
      <c r="AA153" s="121" t="s">
        <v>3114</v>
      </c>
      <c r="AB153" s="122" t="s">
        <v>234</v>
      </c>
      <c r="AC153" s="288">
        <v>190</v>
      </c>
      <c r="AD153" s="124">
        <v>6.97</v>
      </c>
      <c r="AE153" s="200">
        <f t="shared" si="4"/>
        <v>1324.3</v>
      </c>
      <c r="AF153" s="956"/>
      <c r="AH153" s="130"/>
      <c r="AJ153" s="398">
        <f t="shared" si="12"/>
        <v>0</v>
      </c>
      <c r="AK153" s="409"/>
      <c r="AL153" s="408"/>
      <c r="AM153" s="407"/>
      <c r="AN153" s="407"/>
      <c r="AO153" s="407"/>
      <c r="AP153" s="407"/>
      <c r="AQ153" s="407"/>
      <c r="AR153" s="129" t="s">
        <v>235</v>
      </c>
      <c r="AT153" s="129" t="s">
        <v>231</v>
      </c>
      <c r="AU153" s="129" t="s">
        <v>76</v>
      </c>
      <c r="AY153" s="13" t="s">
        <v>228</v>
      </c>
      <c r="BE153" s="130">
        <f t="shared" si="5"/>
        <v>0</v>
      </c>
      <c r="BF153" s="130">
        <f t="shared" si="6"/>
        <v>1324.3</v>
      </c>
      <c r="BG153" s="130">
        <f t="shared" si="7"/>
        <v>0</v>
      </c>
      <c r="BH153" s="130">
        <f t="shared" si="8"/>
        <v>0</v>
      </c>
      <c r="BI153" s="130">
        <f t="shared" si="9"/>
        <v>0</v>
      </c>
      <c r="BJ153" s="13" t="s">
        <v>76</v>
      </c>
      <c r="BK153" s="130">
        <f t="shared" si="10"/>
        <v>1324.3</v>
      </c>
      <c r="BL153" s="13" t="s">
        <v>235</v>
      </c>
      <c r="BM153" s="129" t="s">
        <v>255</v>
      </c>
    </row>
    <row r="154" spans="2:65" s="1" customFormat="1" ht="36" customHeight="1" x14ac:dyDescent="0.2">
      <c r="B154" s="118"/>
      <c r="C154" s="285" t="s">
        <v>244</v>
      </c>
      <c r="D154" s="119" t="s">
        <v>231</v>
      </c>
      <c r="E154" s="120" t="s">
        <v>3115</v>
      </c>
      <c r="F154" s="121" t="s">
        <v>3116</v>
      </c>
      <c r="G154" s="122" t="s">
        <v>234</v>
      </c>
      <c r="H154" s="288">
        <v>190</v>
      </c>
      <c r="I154" s="124">
        <v>0.57999999999999996</v>
      </c>
      <c r="J154" s="124">
        <f t="shared" si="0"/>
        <v>110.2</v>
      </c>
      <c r="K154" s="121" t="s">
        <v>1</v>
      </c>
      <c r="L154" s="24"/>
      <c r="M154" s="125" t="s">
        <v>1</v>
      </c>
      <c r="N154" s="126" t="s">
        <v>32</v>
      </c>
      <c r="O154" s="127">
        <v>0.08</v>
      </c>
      <c r="P154" s="127">
        <f t="shared" si="1"/>
        <v>15.200000000000001</v>
      </c>
      <c r="Q154" s="127">
        <v>0</v>
      </c>
      <c r="R154" s="127">
        <f t="shared" si="2"/>
        <v>0</v>
      </c>
      <c r="S154" s="127">
        <v>0</v>
      </c>
      <c r="T154" s="128">
        <f t="shared" si="3"/>
        <v>0</v>
      </c>
      <c r="W154" s="199"/>
      <c r="X154" s="285" t="s">
        <v>244</v>
      </c>
      <c r="Y154" s="119" t="s">
        <v>231</v>
      </c>
      <c r="Z154" s="120" t="s">
        <v>3115</v>
      </c>
      <c r="AA154" s="121" t="s">
        <v>3116</v>
      </c>
      <c r="AB154" s="122" t="s">
        <v>234</v>
      </c>
      <c r="AC154" s="288">
        <v>190</v>
      </c>
      <c r="AD154" s="124">
        <v>0.57999999999999996</v>
      </c>
      <c r="AE154" s="200">
        <f t="shared" si="4"/>
        <v>110.2</v>
      </c>
      <c r="AF154" s="956"/>
      <c r="AH154" s="130"/>
      <c r="AJ154" s="398">
        <f t="shared" si="12"/>
        <v>0</v>
      </c>
      <c r="AK154" s="409"/>
      <c r="AL154" s="408"/>
      <c r="AM154" s="407"/>
      <c r="AN154" s="407"/>
      <c r="AO154" s="407"/>
      <c r="AP154" s="407"/>
      <c r="AQ154" s="407"/>
      <c r="AR154" s="129" t="s">
        <v>235</v>
      </c>
      <c r="AT154" s="129" t="s">
        <v>231</v>
      </c>
      <c r="AU154" s="129" t="s">
        <v>76</v>
      </c>
      <c r="AY154" s="13" t="s">
        <v>228</v>
      </c>
      <c r="BE154" s="130">
        <f t="shared" si="5"/>
        <v>0</v>
      </c>
      <c r="BF154" s="130">
        <f t="shared" si="6"/>
        <v>110.2</v>
      </c>
      <c r="BG154" s="130">
        <f t="shared" si="7"/>
        <v>0</v>
      </c>
      <c r="BH154" s="130">
        <f t="shared" si="8"/>
        <v>0</v>
      </c>
      <c r="BI154" s="130">
        <f t="shared" si="9"/>
        <v>0</v>
      </c>
      <c r="BJ154" s="13" t="s">
        <v>76</v>
      </c>
      <c r="BK154" s="130">
        <f t="shared" si="10"/>
        <v>110.2</v>
      </c>
      <c r="BL154" s="13" t="s">
        <v>235</v>
      </c>
      <c r="BM154" s="129" t="s">
        <v>258</v>
      </c>
    </row>
    <row r="155" spans="2:65" s="1" customFormat="1" ht="24" customHeight="1" x14ac:dyDescent="0.2">
      <c r="B155" s="118"/>
      <c r="C155" s="205" t="s">
        <v>259</v>
      </c>
      <c r="D155" s="119" t="s">
        <v>231</v>
      </c>
      <c r="E155" s="120" t="s">
        <v>3117</v>
      </c>
      <c r="F155" s="121" t="s">
        <v>3118</v>
      </c>
      <c r="G155" s="122" t="s">
        <v>234</v>
      </c>
      <c r="H155" s="206">
        <v>96</v>
      </c>
      <c r="I155" s="124">
        <v>4.0599999999999996</v>
      </c>
      <c r="J155" s="124">
        <f t="shared" si="0"/>
        <v>389.76</v>
      </c>
      <c r="K155" s="121" t="s">
        <v>1</v>
      </c>
      <c r="L155" s="24"/>
      <c r="M155" s="125" t="s">
        <v>1</v>
      </c>
      <c r="N155" s="126" t="s">
        <v>32</v>
      </c>
      <c r="O155" s="127">
        <v>0</v>
      </c>
      <c r="P155" s="127">
        <f t="shared" si="1"/>
        <v>0</v>
      </c>
      <c r="Q155" s="127">
        <v>0</v>
      </c>
      <c r="R155" s="127">
        <f t="shared" si="2"/>
        <v>0</v>
      </c>
      <c r="S155" s="127">
        <v>0</v>
      </c>
      <c r="T155" s="128">
        <f t="shared" si="3"/>
        <v>0</v>
      </c>
      <c r="W155" s="199"/>
      <c r="X155" s="205" t="s">
        <v>259</v>
      </c>
      <c r="Y155" s="119" t="s">
        <v>231</v>
      </c>
      <c r="Z155" s="120" t="s">
        <v>3117</v>
      </c>
      <c r="AA155" s="121" t="s">
        <v>3118</v>
      </c>
      <c r="AB155" s="122" t="s">
        <v>234</v>
      </c>
      <c r="AC155" s="206">
        <v>141</v>
      </c>
      <c r="AD155" s="124">
        <v>4.0599999999999996</v>
      </c>
      <c r="AE155" s="200">
        <f t="shared" si="4"/>
        <v>572.46</v>
      </c>
      <c r="AF155" s="956">
        <v>1</v>
      </c>
      <c r="AH155" s="130">
        <f t="shared" si="11"/>
        <v>45</v>
      </c>
      <c r="AJ155" s="398">
        <f t="shared" si="12"/>
        <v>182.7</v>
      </c>
      <c r="AK155" s="409"/>
      <c r="AL155" s="408"/>
      <c r="AM155" s="407"/>
      <c r="AN155" s="407"/>
      <c r="AO155" s="407"/>
      <c r="AP155" s="407"/>
      <c r="AQ155" s="407"/>
      <c r="AR155" s="129" t="s">
        <v>235</v>
      </c>
      <c r="AT155" s="129" t="s">
        <v>231</v>
      </c>
      <c r="AU155" s="129" t="s">
        <v>76</v>
      </c>
      <c r="AY155" s="13" t="s">
        <v>228</v>
      </c>
      <c r="BE155" s="130">
        <f t="shared" si="5"/>
        <v>0</v>
      </c>
      <c r="BF155" s="130">
        <f t="shared" si="6"/>
        <v>389.76</v>
      </c>
      <c r="BG155" s="130">
        <f t="shared" si="7"/>
        <v>0</v>
      </c>
      <c r="BH155" s="130">
        <f t="shared" si="8"/>
        <v>0</v>
      </c>
      <c r="BI155" s="130">
        <f t="shared" si="9"/>
        <v>0</v>
      </c>
      <c r="BJ155" s="13" t="s">
        <v>76</v>
      </c>
      <c r="BK155" s="130">
        <f t="shared" si="10"/>
        <v>389.76</v>
      </c>
      <c r="BL155" s="13" t="s">
        <v>235</v>
      </c>
      <c r="BM155" s="129" t="s">
        <v>262</v>
      </c>
    </row>
    <row r="156" spans="2:65" s="1" customFormat="1" ht="24" customHeight="1" x14ac:dyDescent="0.2">
      <c r="B156" s="118"/>
      <c r="C156" s="205" t="s">
        <v>248</v>
      </c>
      <c r="D156" s="119" t="s">
        <v>231</v>
      </c>
      <c r="E156" s="120" t="s">
        <v>3119</v>
      </c>
      <c r="F156" s="121" t="s">
        <v>3120</v>
      </c>
      <c r="G156" s="122" t="s">
        <v>234</v>
      </c>
      <c r="H156" s="206">
        <v>870</v>
      </c>
      <c r="I156" s="124">
        <v>6.97</v>
      </c>
      <c r="J156" s="124">
        <f t="shared" si="0"/>
        <v>6063.9</v>
      </c>
      <c r="K156" s="121" t="s">
        <v>1</v>
      </c>
      <c r="L156" s="24"/>
      <c r="M156" s="125" t="s">
        <v>1</v>
      </c>
      <c r="N156" s="126" t="s">
        <v>32</v>
      </c>
      <c r="O156" s="127">
        <v>0</v>
      </c>
      <c r="P156" s="127">
        <f t="shared" si="1"/>
        <v>0</v>
      </c>
      <c r="Q156" s="127">
        <v>0</v>
      </c>
      <c r="R156" s="127">
        <f t="shared" si="2"/>
        <v>0</v>
      </c>
      <c r="S156" s="127">
        <v>0</v>
      </c>
      <c r="T156" s="128">
        <f t="shared" si="3"/>
        <v>0</v>
      </c>
      <c r="W156" s="199"/>
      <c r="X156" s="205" t="s">
        <v>248</v>
      </c>
      <c r="Y156" s="119" t="s">
        <v>231</v>
      </c>
      <c r="Z156" s="120" t="s">
        <v>3119</v>
      </c>
      <c r="AA156" s="121" t="s">
        <v>3120</v>
      </c>
      <c r="AB156" s="122" t="s">
        <v>234</v>
      </c>
      <c r="AC156" s="206">
        <f>870+759.45+82.43</f>
        <v>1711.88</v>
      </c>
      <c r="AD156" s="124">
        <v>6.97</v>
      </c>
      <c r="AE156" s="200">
        <f t="shared" si="4"/>
        <v>11931.8</v>
      </c>
      <c r="AF156" s="956" t="s">
        <v>6316</v>
      </c>
      <c r="AH156" s="130">
        <f t="shared" si="11"/>
        <v>841.88000000000011</v>
      </c>
      <c r="AJ156" s="398">
        <f t="shared" si="12"/>
        <v>5867.9036000000006</v>
      </c>
      <c r="AK156" s="409"/>
      <c r="AL156" s="408"/>
      <c r="AM156" s="407"/>
      <c r="AN156" s="407"/>
      <c r="AO156" s="407"/>
      <c r="AP156" s="407"/>
      <c r="AQ156" s="407"/>
      <c r="AR156" s="129" t="s">
        <v>235</v>
      </c>
      <c r="AT156" s="129" t="s">
        <v>231</v>
      </c>
      <c r="AU156" s="129" t="s">
        <v>76</v>
      </c>
      <c r="AY156" s="13" t="s">
        <v>228</v>
      </c>
      <c r="BE156" s="130">
        <f t="shared" si="5"/>
        <v>0</v>
      </c>
      <c r="BF156" s="130">
        <f t="shared" si="6"/>
        <v>6063.9</v>
      </c>
      <c r="BG156" s="130">
        <f t="shared" si="7"/>
        <v>0</v>
      </c>
      <c r="BH156" s="130">
        <f t="shared" si="8"/>
        <v>0</v>
      </c>
      <c r="BI156" s="130">
        <f t="shared" si="9"/>
        <v>0</v>
      </c>
      <c r="BJ156" s="13" t="s">
        <v>76</v>
      </c>
      <c r="BK156" s="130">
        <f t="shared" si="10"/>
        <v>6063.9</v>
      </c>
      <c r="BL156" s="13" t="s">
        <v>235</v>
      </c>
      <c r="BM156" s="129" t="s">
        <v>7</v>
      </c>
    </row>
    <row r="157" spans="2:65" s="340" customFormat="1" ht="24" customHeight="1" x14ac:dyDescent="0.2">
      <c r="B157" s="118"/>
      <c r="C157" s="1234" t="s">
        <v>5205</v>
      </c>
      <c r="D157" s="1235"/>
      <c r="E157" s="1235"/>
      <c r="F157" s="1235"/>
      <c r="G157" s="1235"/>
      <c r="H157" s="1235"/>
      <c r="I157" s="1235"/>
      <c r="J157" s="1236"/>
      <c r="K157" s="121"/>
      <c r="L157" s="24"/>
      <c r="M157" s="125"/>
      <c r="N157" s="126"/>
      <c r="O157" s="127"/>
      <c r="P157" s="127"/>
      <c r="Q157" s="127"/>
      <c r="R157" s="127"/>
      <c r="S157" s="127"/>
      <c r="T157" s="128"/>
      <c r="W157" s="199"/>
      <c r="X157" s="341" t="s">
        <v>252</v>
      </c>
      <c r="Y157" s="341" t="s">
        <v>231</v>
      </c>
      <c r="Z157" s="342" t="s">
        <v>3447</v>
      </c>
      <c r="AA157" s="343" t="s">
        <v>3448</v>
      </c>
      <c r="AB157" s="344" t="s">
        <v>234</v>
      </c>
      <c r="AC157" s="345">
        <v>45</v>
      </c>
      <c r="AD157" s="346">
        <v>5.81</v>
      </c>
      <c r="AE157" s="355">
        <f>ROUND(AD157*AC157,2)</f>
        <v>261.45</v>
      </c>
      <c r="AF157" s="956">
        <v>1</v>
      </c>
      <c r="AH157" s="130">
        <f t="shared" si="11"/>
        <v>45</v>
      </c>
      <c r="AJ157" s="398">
        <f t="shared" si="12"/>
        <v>261.45</v>
      </c>
      <c r="AK157" s="409"/>
      <c r="AL157" s="408"/>
      <c r="AM157" s="407"/>
      <c r="AN157" s="407"/>
      <c r="AO157" s="407"/>
      <c r="AP157" s="407"/>
      <c r="AQ157" s="407"/>
      <c r="AR157" s="129"/>
      <c r="AT157" s="129"/>
      <c r="AU157" s="129"/>
      <c r="AY157" s="13"/>
      <c r="BE157" s="130"/>
      <c r="BF157" s="130"/>
      <c r="BG157" s="130"/>
      <c r="BH157" s="130"/>
      <c r="BI157" s="130"/>
      <c r="BJ157" s="13"/>
      <c r="BK157" s="130"/>
      <c r="BL157" s="13"/>
      <c r="BM157" s="129"/>
    </row>
    <row r="158" spans="2:65" s="1" customFormat="1" ht="24" customHeight="1" x14ac:dyDescent="0.2">
      <c r="B158" s="118"/>
      <c r="C158" s="205" t="s">
        <v>265</v>
      </c>
      <c r="D158" s="119" t="s">
        <v>231</v>
      </c>
      <c r="E158" s="120" t="s">
        <v>3121</v>
      </c>
      <c r="F158" s="121" t="s">
        <v>3122</v>
      </c>
      <c r="G158" s="122" t="s">
        <v>234</v>
      </c>
      <c r="H158" s="206">
        <v>870</v>
      </c>
      <c r="I158" s="124">
        <v>13.93</v>
      </c>
      <c r="J158" s="124">
        <f t="shared" si="0"/>
        <v>12119.1</v>
      </c>
      <c r="K158" s="121" t="s">
        <v>1</v>
      </c>
      <c r="L158" s="24"/>
      <c r="M158" s="125" t="s">
        <v>1</v>
      </c>
      <c r="N158" s="126" t="s">
        <v>32</v>
      </c>
      <c r="O158" s="127">
        <v>0</v>
      </c>
      <c r="P158" s="127">
        <f t="shared" si="1"/>
        <v>0</v>
      </c>
      <c r="Q158" s="127">
        <v>0</v>
      </c>
      <c r="R158" s="127">
        <f t="shared" si="2"/>
        <v>0</v>
      </c>
      <c r="S158" s="127">
        <v>0</v>
      </c>
      <c r="T158" s="128">
        <f t="shared" si="3"/>
        <v>0</v>
      </c>
      <c r="W158" s="199"/>
      <c r="X158" s="205" t="s">
        <v>265</v>
      </c>
      <c r="Y158" s="119" t="s">
        <v>231</v>
      </c>
      <c r="Z158" s="120" t="s">
        <v>3121</v>
      </c>
      <c r="AA158" s="121" t="s">
        <v>3122</v>
      </c>
      <c r="AB158" s="122" t="s">
        <v>234</v>
      </c>
      <c r="AC158" s="206">
        <f>870+759.45+82.43</f>
        <v>1711.88</v>
      </c>
      <c r="AD158" s="124">
        <v>13.93</v>
      </c>
      <c r="AE158" s="200">
        <f t="shared" si="4"/>
        <v>23846.49</v>
      </c>
      <c r="AF158" s="956">
        <v>1</v>
      </c>
      <c r="AH158" s="130"/>
      <c r="AJ158" s="398">
        <f t="shared" si="12"/>
        <v>0</v>
      </c>
      <c r="AK158" s="409"/>
      <c r="AL158" s="408"/>
      <c r="AM158" s="407"/>
      <c r="AN158" s="407"/>
      <c r="AO158" s="407"/>
      <c r="AP158" s="407"/>
      <c r="AQ158" s="407"/>
      <c r="AR158" s="129" t="s">
        <v>235</v>
      </c>
      <c r="AT158" s="129" t="s">
        <v>231</v>
      </c>
      <c r="AU158" s="129" t="s">
        <v>76</v>
      </c>
      <c r="AY158" s="13" t="s">
        <v>228</v>
      </c>
      <c r="BE158" s="130">
        <f t="shared" si="5"/>
        <v>0</v>
      </c>
      <c r="BF158" s="130">
        <f t="shared" si="6"/>
        <v>12119.1</v>
      </c>
      <c r="BG158" s="130">
        <f t="shared" si="7"/>
        <v>0</v>
      </c>
      <c r="BH158" s="130">
        <f t="shared" si="8"/>
        <v>0</v>
      </c>
      <c r="BI158" s="130">
        <f t="shared" si="9"/>
        <v>0</v>
      </c>
      <c r="BJ158" s="13" t="s">
        <v>76</v>
      </c>
      <c r="BK158" s="130">
        <f t="shared" si="10"/>
        <v>12119.1</v>
      </c>
      <c r="BL158" s="13" t="s">
        <v>235</v>
      </c>
      <c r="BM158" s="129" t="s">
        <v>268</v>
      </c>
    </row>
    <row r="159" spans="2:65" s="1" customFormat="1" ht="24" customHeight="1" x14ac:dyDescent="0.2">
      <c r="B159" s="118"/>
      <c r="C159" s="119" t="s">
        <v>251</v>
      </c>
      <c r="D159" s="119" t="s">
        <v>231</v>
      </c>
      <c r="E159" s="120" t="s">
        <v>3123</v>
      </c>
      <c r="F159" s="121" t="s">
        <v>3124</v>
      </c>
      <c r="G159" s="122" t="s">
        <v>234</v>
      </c>
      <c r="H159" s="123">
        <v>155.096</v>
      </c>
      <c r="I159" s="124">
        <v>9.2899999999999991</v>
      </c>
      <c r="J159" s="124">
        <f t="shared" si="0"/>
        <v>1440.84</v>
      </c>
      <c r="K159" s="121" t="s">
        <v>1</v>
      </c>
      <c r="L159" s="24"/>
      <c r="M159" s="125" t="s">
        <v>1</v>
      </c>
      <c r="N159" s="126" t="s">
        <v>32</v>
      </c>
      <c r="O159" s="127">
        <v>0</v>
      </c>
      <c r="P159" s="127">
        <f t="shared" si="1"/>
        <v>0</v>
      </c>
      <c r="Q159" s="127">
        <v>0</v>
      </c>
      <c r="R159" s="127">
        <f t="shared" si="2"/>
        <v>0</v>
      </c>
      <c r="S159" s="127">
        <v>0</v>
      </c>
      <c r="T159" s="128">
        <f t="shared" si="3"/>
        <v>0</v>
      </c>
      <c r="W159" s="199"/>
      <c r="X159" s="119" t="s">
        <v>251</v>
      </c>
      <c r="Y159" s="119" t="s">
        <v>231</v>
      </c>
      <c r="Z159" s="120" t="s">
        <v>3123</v>
      </c>
      <c r="AA159" s="121" t="s">
        <v>3124</v>
      </c>
      <c r="AB159" s="122" t="s">
        <v>234</v>
      </c>
      <c r="AC159" s="123">
        <v>155.096</v>
      </c>
      <c r="AD159" s="124">
        <v>9.2899999999999991</v>
      </c>
      <c r="AE159" s="200">
        <f t="shared" si="4"/>
        <v>1440.84</v>
      </c>
      <c r="AF159" s="956"/>
      <c r="AH159" s="130"/>
      <c r="AJ159" s="398">
        <f t="shared" si="12"/>
        <v>0</v>
      </c>
      <c r="AK159" s="409"/>
      <c r="AL159" s="408"/>
      <c r="AM159" s="407"/>
      <c r="AN159" s="407"/>
      <c r="AO159" s="407"/>
      <c r="AP159" s="407"/>
      <c r="AQ159" s="407"/>
      <c r="AR159" s="129" t="s">
        <v>235</v>
      </c>
      <c r="AT159" s="129" t="s">
        <v>231</v>
      </c>
      <c r="AU159" s="129" t="s">
        <v>76</v>
      </c>
      <c r="AY159" s="13" t="s">
        <v>228</v>
      </c>
      <c r="BE159" s="130">
        <f t="shared" si="5"/>
        <v>0</v>
      </c>
      <c r="BF159" s="130">
        <f t="shared" si="6"/>
        <v>1440.84</v>
      </c>
      <c r="BG159" s="130">
        <f t="shared" si="7"/>
        <v>0</v>
      </c>
      <c r="BH159" s="130">
        <f t="shared" si="8"/>
        <v>0</v>
      </c>
      <c r="BI159" s="130">
        <f t="shared" si="9"/>
        <v>0</v>
      </c>
      <c r="BJ159" s="13" t="s">
        <v>76</v>
      </c>
      <c r="BK159" s="130">
        <f t="shared" si="10"/>
        <v>1440.84</v>
      </c>
      <c r="BL159" s="13" t="s">
        <v>235</v>
      </c>
      <c r="BM159" s="129" t="s">
        <v>272</v>
      </c>
    </row>
    <row r="160" spans="2:65" s="1" customFormat="1" ht="16.5" customHeight="1" x14ac:dyDescent="0.2">
      <c r="B160" s="118"/>
      <c r="C160" s="242" t="s">
        <v>273</v>
      </c>
      <c r="D160" s="131" t="s">
        <v>277</v>
      </c>
      <c r="E160" s="132" t="s">
        <v>3125</v>
      </c>
      <c r="F160" s="133" t="s">
        <v>3126</v>
      </c>
      <c r="G160" s="134" t="s">
        <v>271</v>
      </c>
      <c r="H160" s="241">
        <v>155.096</v>
      </c>
      <c r="I160" s="136">
        <v>13.93</v>
      </c>
      <c r="J160" s="136">
        <f t="shared" si="0"/>
        <v>2160.4899999999998</v>
      </c>
      <c r="K160" s="133" t="s">
        <v>1</v>
      </c>
      <c r="L160" s="137"/>
      <c r="M160" s="138" t="s">
        <v>1</v>
      </c>
      <c r="N160" s="139" t="s">
        <v>32</v>
      </c>
      <c r="O160" s="127">
        <v>0</v>
      </c>
      <c r="P160" s="127">
        <f t="shared" si="1"/>
        <v>0</v>
      </c>
      <c r="Q160" s="127">
        <v>0</v>
      </c>
      <c r="R160" s="127">
        <f t="shared" si="2"/>
        <v>0</v>
      </c>
      <c r="S160" s="127">
        <v>0</v>
      </c>
      <c r="T160" s="128">
        <f t="shared" si="3"/>
        <v>0</v>
      </c>
      <c r="W160" s="199"/>
      <c r="X160" s="242" t="s">
        <v>273</v>
      </c>
      <c r="Y160" s="131" t="s">
        <v>277</v>
      </c>
      <c r="Z160" s="132" t="s">
        <v>3125</v>
      </c>
      <c r="AA160" s="133" t="s">
        <v>3126</v>
      </c>
      <c r="AB160" s="134" t="s">
        <v>271</v>
      </c>
      <c r="AC160" s="241">
        <v>263.66300000000001</v>
      </c>
      <c r="AD160" s="136">
        <v>13.93</v>
      </c>
      <c r="AE160" s="229">
        <f t="shared" si="4"/>
        <v>3672.83</v>
      </c>
      <c r="AF160" s="956">
        <v>1</v>
      </c>
      <c r="AH160" s="130">
        <f t="shared" si="11"/>
        <v>108.56700000000001</v>
      </c>
      <c r="AJ160" s="398">
        <f t="shared" si="12"/>
        <v>1512.3383100000001</v>
      </c>
      <c r="AK160" s="409"/>
      <c r="AL160" s="408"/>
      <c r="AM160" s="407"/>
      <c r="AN160" s="407"/>
      <c r="AO160" s="407"/>
      <c r="AP160" s="407"/>
      <c r="AQ160" s="407"/>
      <c r="AR160" s="129" t="s">
        <v>244</v>
      </c>
      <c r="AT160" s="129" t="s">
        <v>277</v>
      </c>
      <c r="AU160" s="129" t="s">
        <v>76</v>
      </c>
      <c r="AY160" s="13" t="s">
        <v>228</v>
      </c>
      <c r="BE160" s="130">
        <f t="shared" si="5"/>
        <v>0</v>
      </c>
      <c r="BF160" s="130">
        <f t="shared" si="6"/>
        <v>2160.4899999999998</v>
      </c>
      <c r="BG160" s="130">
        <f t="shared" si="7"/>
        <v>0</v>
      </c>
      <c r="BH160" s="130">
        <f t="shared" si="8"/>
        <v>0</v>
      </c>
      <c r="BI160" s="130">
        <f t="shared" si="9"/>
        <v>0</v>
      </c>
      <c r="BJ160" s="13" t="s">
        <v>76</v>
      </c>
      <c r="BK160" s="130">
        <f t="shared" si="10"/>
        <v>2160.4899999999998</v>
      </c>
      <c r="BL160" s="13" t="s">
        <v>235</v>
      </c>
      <c r="BM160" s="129" t="s">
        <v>276</v>
      </c>
    </row>
    <row r="161" spans="2:65" s="1" customFormat="1" ht="16.5" customHeight="1" x14ac:dyDescent="0.2">
      <c r="B161" s="118"/>
      <c r="C161" s="119" t="s">
        <v>255</v>
      </c>
      <c r="D161" s="119" t="s">
        <v>231</v>
      </c>
      <c r="E161" s="120" t="s">
        <v>3127</v>
      </c>
      <c r="F161" s="121" t="s">
        <v>3128</v>
      </c>
      <c r="G161" s="122" t="s">
        <v>284</v>
      </c>
      <c r="H161" s="123">
        <v>150</v>
      </c>
      <c r="I161" s="124">
        <v>1.1599999999999999</v>
      </c>
      <c r="J161" s="124">
        <f t="shared" si="0"/>
        <v>174</v>
      </c>
      <c r="K161" s="121" t="s">
        <v>1</v>
      </c>
      <c r="L161" s="24"/>
      <c r="M161" s="125" t="s">
        <v>1</v>
      </c>
      <c r="N161" s="126" t="s">
        <v>32</v>
      </c>
      <c r="O161" s="127">
        <v>0</v>
      </c>
      <c r="P161" s="127">
        <f t="shared" si="1"/>
        <v>0</v>
      </c>
      <c r="Q161" s="127">
        <v>0</v>
      </c>
      <c r="R161" s="127">
        <f t="shared" si="2"/>
        <v>0</v>
      </c>
      <c r="S161" s="127">
        <v>0</v>
      </c>
      <c r="T161" s="128">
        <f t="shared" si="3"/>
        <v>0</v>
      </c>
      <c r="W161" s="199"/>
      <c r="X161" s="119" t="s">
        <v>255</v>
      </c>
      <c r="Y161" s="119" t="s">
        <v>231</v>
      </c>
      <c r="Z161" s="120" t="s">
        <v>3127</v>
      </c>
      <c r="AA161" s="121" t="s">
        <v>3128</v>
      </c>
      <c r="AB161" s="122" t="s">
        <v>284</v>
      </c>
      <c r="AC161" s="123">
        <v>150</v>
      </c>
      <c r="AD161" s="124">
        <v>1.1599999999999999</v>
      </c>
      <c r="AE161" s="200">
        <f t="shared" si="4"/>
        <v>174</v>
      </c>
      <c r="AF161" s="956"/>
      <c r="AH161" s="130"/>
      <c r="AJ161" s="398">
        <f t="shared" si="12"/>
        <v>0</v>
      </c>
      <c r="AK161" s="409"/>
      <c r="AL161" s="408"/>
      <c r="AM161" s="407"/>
      <c r="AN161" s="407"/>
      <c r="AO161" s="407"/>
      <c r="AP161" s="407"/>
      <c r="AQ161" s="407"/>
      <c r="AR161" s="129" t="s">
        <v>235</v>
      </c>
      <c r="AT161" s="129" t="s">
        <v>231</v>
      </c>
      <c r="AU161" s="129" t="s">
        <v>76</v>
      </c>
      <c r="AY161" s="13" t="s">
        <v>228</v>
      </c>
      <c r="BE161" s="130">
        <f t="shared" si="5"/>
        <v>0</v>
      </c>
      <c r="BF161" s="130">
        <f t="shared" si="6"/>
        <v>174</v>
      </c>
      <c r="BG161" s="130">
        <f t="shared" si="7"/>
        <v>0</v>
      </c>
      <c r="BH161" s="130">
        <f t="shared" si="8"/>
        <v>0</v>
      </c>
      <c r="BI161" s="130">
        <f t="shared" si="9"/>
        <v>0</v>
      </c>
      <c r="BJ161" s="13" t="s">
        <v>76</v>
      </c>
      <c r="BK161" s="130">
        <f t="shared" si="10"/>
        <v>174</v>
      </c>
      <c r="BL161" s="13" t="s">
        <v>235</v>
      </c>
      <c r="BM161" s="129" t="s">
        <v>280</v>
      </c>
    </row>
    <row r="162" spans="2:65" s="1" customFormat="1" ht="16.5" customHeight="1" x14ac:dyDescent="0.2">
      <c r="B162" s="118"/>
      <c r="C162" s="131" t="s">
        <v>281</v>
      </c>
      <c r="D162" s="131" t="s">
        <v>277</v>
      </c>
      <c r="E162" s="132" t="s">
        <v>3129</v>
      </c>
      <c r="F162" s="133" t="s">
        <v>3130</v>
      </c>
      <c r="G162" s="134" t="s">
        <v>1035</v>
      </c>
      <c r="H162" s="135">
        <v>4.6349999999999998</v>
      </c>
      <c r="I162" s="136">
        <v>9.2899999999999991</v>
      </c>
      <c r="J162" s="136">
        <f t="shared" si="0"/>
        <v>43.06</v>
      </c>
      <c r="K162" s="133" t="s">
        <v>1</v>
      </c>
      <c r="L162" s="137"/>
      <c r="M162" s="138" t="s">
        <v>1</v>
      </c>
      <c r="N162" s="139" t="s">
        <v>32</v>
      </c>
      <c r="O162" s="127">
        <v>0</v>
      </c>
      <c r="P162" s="127">
        <f t="shared" si="1"/>
        <v>0</v>
      </c>
      <c r="Q162" s="127">
        <v>0</v>
      </c>
      <c r="R162" s="127">
        <f t="shared" si="2"/>
        <v>0</v>
      </c>
      <c r="S162" s="127">
        <v>0</v>
      </c>
      <c r="T162" s="128">
        <f t="shared" si="3"/>
        <v>0</v>
      </c>
      <c r="W162" s="199"/>
      <c r="X162" s="131" t="s">
        <v>281</v>
      </c>
      <c r="Y162" s="131" t="s">
        <v>277</v>
      </c>
      <c r="Z162" s="132" t="s">
        <v>3129</v>
      </c>
      <c r="AA162" s="133" t="s">
        <v>3130</v>
      </c>
      <c r="AB162" s="134" t="s">
        <v>1035</v>
      </c>
      <c r="AC162" s="135">
        <v>4.6349999999999998</v>
      </c>
      <c r="AD162" s="136">
        <v>9.2899999999999991</v>
      </c>
      <c r="AE162" s="229">
        <f t="shared" si="4"/>
        <v>43.06</v>
      </c>
      <c r="AF162" s="956"/>
      <c r="AH162" s="130"/>
      <c r="AJ162" s="398">
        <f t="shared" si="12"/>
        <v>0</v>
      </c>
      <c r="AK162" s="409"/>
      <c r="AL162" s="408"/>
      <c r="AM162" s="407"/>
      <c r="AN162" s="407"/>
      <c r="AO162" s="407"/>
      <c r="AP162" s="407"/>
      <c r="AQ162" s="407"/>
      <c r="AR162" s="129" t="s">
        <v>244</v>
      </c>
      <c r="AT162" s="129" t="s">
        <v>277</v>
      </c>
      <c r="AU162" s="129" t="s">
        <v>76</v>
      </c>
      <c r="AY162" s="13" t="s">
        <v>228</v>
      </c>
      <c r="BE162" s="130">
        <f t="shared" si="5"/>
        <v>0</v>
      </c>
      <c r="BF162" s="130">
        <f t="shared" si="6"/>
        <v>43.06</v>
      </c>
      <c r="BG162" s="130">
        <f t="shared" si="7"/>
        <v>0</v>
      </c>
      <c r="BH162" s="130">
        <f t="shared" si="8"/>
        <v>0</v>
      </c>
      <c r="BI162" s="130">
        <f t="shared" si="9"/>
        <v>0</v>
      </c>
      <c r="BJ162" s="13" t="s">
        <v>76</v>
      </c>
      <c r="BK162" s="130">
        <f t="shared" si="10"/>
        <v>43.06</v>
      </c>
      <c r="BL162" s="13" t="s">
        <v>235</v>
      </c>
      <c r="BM162" s="129" t="s">
        <v>285</v>
      </c>
    </row>
    <row r="163" spans="2:65" s="1" customFormat="1" ht="24" customHeight="1" x14ac:dyDescent="0.2">
      <c r="B163" s="118"/>
      <c r="C163" s="119" t="s">
        <v>258</v>
      </c>
      <c r="D163" s="119" t="s">
        <v>231</v>
      </c>
      <c r="E163" s="120" t="s">
        <v>3131</v>
      </c>
      <c r="F163" s="121" t="s">
        <v>3132</v>
      </c>
      <c r="G163" s="122" t="s">
        <v>284</v>
      </c>
      <c r="H163" s="123">
        <v>150</v>
      </c>
      <c r="I163" s="124">
        <v>1.74</v>
      </c>
      <c r="J163" s="124">
        <f t="shared" si="0"/>
        <v>261</v>
      </c>
      <c r="K163" s="121" t="s">
        <v>1</v>
      </c>
      <c r="L163" s="24"/>
      <c r="M163" s="125" t="s">
        <v>1</v>
      </c>
      <c r="N163" s="126" t="s">
        <v>32</v>
      </c>
      <c r="O163" s="127">
        <v>0</v>
      </c>
      <c r="P163" s="127">
        <f t="shared" si="1"/>
        <v>0</v>
      </c>
      <c r="Q163" s="127">
        <v>0</v>
      </c>
      <c r="R163" s="127">
        <f t="shared" si="2"/>
        <v>0</v>
      </c>
      <c r="S163" s="127">
        <v>0</v>
      </c>
      <c r="T163" s="128">
        <f t="shared" si="3"/>
        <v>0</v>
      </c>
      <c r="W163" s="199"/>
      <c r="X163" s="119" t="s">
        <v>258</v>
      </c>
      <c r="Y163" s="119" t="s">
        <v>231</v>
      </c>
      <c r="Z163" s="120" t="s">
        <v>3131</v>
      </c>
      <c r="AA163" s="121" t="s">
        <v>3132</v>
      </c>
      <c r="AB163" s="122" t="s">
        <v>284</v>
      </c>
      <c r="AC163" s="123">
        <v>150</v>
      </c>
      <c r="AD163" s="124">
        <v>1.74</v>
      </c>
      <c r="AE163" s="200">
        <f t="shared" si="4"/>
        <v>261</v>
      </c>
      <c r="AF163" s="956"/>
      <c r="AH163" s="130"/>
      <c r="AJ163" s="398">
        <f t="shared" si="12"/>
        <v>0</v>
      </c>
      <c r="AK163" s="409"/>
      <c r="AL163" s="408"/>
      <c r="AM163" s="407"/>
      <c r="AN163" s="407"/>
      <c r="AO163" s="407"/>
      <c r="AP163" s="407"/>
      <c r="AQ163" s="407"/>
      <c r="AR163" s="129" t="s">
        <v>235</v>
      </c>
      <c r="AT163" s="129" t="s">
        <v>231</v>
      </c>
      <c r="AU163" s="129" t="s">
        <v>76</v>
      </c>
      <c r="AY163" s="13" t="s">
        <v>228</v>
      </c>
      <c r="BE163" s="130">
        <f t="shared" si="5"/>
        <v>0</v>
      </c>
      <c r="BF163" s="130">
        <f t="shared" si="6"/>
        <v>261</v>
      </c>
      <c r="BG163" s="130">
        <f t="shared" si="7"/>
        <v>0</v>
      </c>
      <c r="BH163" s="130">
        <f t="shared" si="8"/>
        <v>0</v>
      </c>
      <c r="BI163" s="130">
        <f t="shared" si="9"/>
        <v>0</v>
      </c>
      <c r="BJ163" s="13" t="s">
        <v>76</v>
      </c>
      <c r="BK163" s="130">
        <f t="shared" si="10"/>
        <v>261</v>
      </c>
      <c r="BL163" s="13" t="s">
        <v>235</v>
      </c>
      <c r="BM163" s="129" t="s">
        <v>288</v>
      </c>
    </row>
    <row r="164" spans="2:65" s="1" customFormat="1" ht="16.5" customHeight="1" x14ac:dyDescent="0.2">
      <c r="B164" s="118"/>
      <c r="C164" s="119" t="s">
        <v>289</v>
      </c>
      <c r="D164" s="119" t="s">
        <v>231</v>
      </c>
      <c r="E164" s="120" t="s">
        <v>3133</v>
      </c>
      <c r="F164" s="121" t="s">
        <v>3134</v>
      </c>
      <c r="G164" s="122" t="s">
        <v>284</v>
      </c>
      <c r="H164" s="123">
        <v>150</v>
      </c>
      <c r="I164" s="124">
        <v>1.04</v>
      </c>
      <c r="J164" s="124">
        <f t="shared" si="0"/>
        <v>156</v>
      </c>
      <c r="K164" s="121" t="s">
        <v>1</v>
      </c>
      <c r="L164" s="24"/>
      <c r="M164" s="125" t="s">
        <v>1</v>
      </c>
      <c r="N164" s="126" t="s">
        <v>32</v>
      </c>
      <c r="O164" s="127">
        <v>0</v>
      </c>
      <c r="P164" s="127">
        <f t="shared" si="1"/>
        <v>0</v>
      </c>
      <c r="Q164" s="127">
        <v>0</v>
      </c>
      <c r="R164" s="127">
        <f t="shared" si="2"/>
        <v>0</v>
      </c>
      <c r="S164" s="127">
        <v>0</v>
      </c>
      <c r="T164" s="128">
        <f t="shared" si="3"/>
        <v>0</v>
      </c>
      <c r="W164" s="199"/>
      <c r="X164" s="119" t="s">
        <v>289</v>
      </c>
      <c r="Y164" s="119" t="s">
        <v>231</v>
      </c>
      <c r="Z164" s="120" t="s">
        <v>3133</v>
      </c>
      <c r="AA164" s="121" t="s">
        <v>3134</v>
      </c>
      <c r="AB164" s="122" t="s">
        <v>284</v>
      </c>
      <c r="AC164" s="123">
        <v>150</v>
      </c>
      <c r="AD164" s="124">
        <v>1.04</v>
      </c>
      <c r="AE164" s="200">
        <f t="shared" si="4"/>
        <v>156</v>
      </c>
      <c r="AF164" s="956"/>
      <c r="AH164" s="130"/>
      <c r="AJ164" s="398">
        <f t="shared" si="12"/>
        <v>0</v>
      </c>
      <c r="AK164" s="409"/>
      <c r="AL164" s="408"/>
      <c r="AM164" s="407"/>
      <c r="AN164" s="407"/>
      <c r="AO164" s="407"/>
      <c r="AP164" s="407"/>
      <c r="AQ164" s="407"/>
      <c r="AR164" s="129" t="s">
        <v>235</v>
      </c>
      <c r="AT164" s="129" t="s">
        <v>231</v>
      </c>
      <c r="AU164" s="129" t="s">
        <v>76</v>
      </c>
      <c r="AY164" s="13" t="s">
        <v>228</v>
      </c>
      <c r="BE164" s="130">
        <f t="shared" si="5"/>
        <v>0</v>
      </c>
      <c r="BF164" s="130">
        <f t="shared" si="6"/>
        <v>156</v>
      </c>
      <c r="BG164" s="130">
        <f t="shared" si="7"/>
        <v>0</v>
      </c>
      <c r="BH164" s="130">
        <f t="shared" si="8"/>
        <v>0</v>
      </c>
      <c r="BI164" s="130">
        <f t="shared" si="9"/>
        <v>0</v>
      </c>
      <c r="BJ164" s="13" t="s">
        <v>76</v>
      </c>
      <c r="BK164" s="130">
        <f t="shared" si="10"/>
        <v>156</v>
      </c>
      <c r="BL164" s="13" t="s">
        <v>235</v>
      </c>
      <c r="BM164" s="129" t="s">
        <v>293</v>
      </c>
    </row>
    <row r="165" spans="2:65" s="1" customFormat="1" ht="24" customHeight="1" x14ac:dyDescent="0.2">
      <c r="B165" s="118"/>
      <c r="C165" s="119" t="s">
        <v>262</v>
      </c>
      <c r="D165" s="119" t="s">
        <v>231</v>
      </c>
      <c r="E165" s="120" t="s">
        <v>3135</v>
      </c>
      <c r="F165" s="121" t="s">
        <v>3136</v>
      </c>
      <c r="G165" s="122" t="s">
        <v>1194</v>
      </c>
      <c r="H165" s="123">
        <v>96</v>
      </c>
      <c r="I165" s="124">
        <v>4.6399999999999997</v>
      </c>
      <c r="J165" s="124">
        <f t="shared" si="0"/>
        <v>445.44</v>
      </c>
      <c r="K165" s="121" t="s">
        <v>1</v>
      </c>
      <c r="L165" s="24"/>
      <c r="M165" s="125" t="s">
        <v>1</v>
      </c>
      <c r="N165" s="126" t="s">
        <v>32</v>
      </c>
      <c r="O165" s="127">
        <v>0</v>
      </c>
      <c r="P165" s="127">
        <f t="shared" si="1"/>
        <v>0</v>
      </c>
      <c r="Q165" s="127">
        <v>0</v>
      </c>
      <c r="R165" s="127">
        <f t="shared" si="2"/>
        <v>0</v>
      </c>
      <c r="S165" s="127">
        <v>0</v>
      </c>
      <c r="T165" s="128">
        <f t="shared" si="3"/>
        <v>0</v>
      </c>
      <c r="W165" s="199"/>
      <c r="X165" s="119" t="s">
        <v>262</v>
      </c>
      <c r="Y165" s="119" t="s">
        <v>231</v>
      </c>
      <c r="Z165" s="120" t="s">
        <v>3135</v>
      </c>
      <c r="AA165" s="121" t="s">
        <v>3136</v>
      </c>
      <c r="AB165" s="122" t="s">
        <v>1194</v>
      </c>
      <c r="AC165" s="123">
        <v>96</v>
      </c>
      <c r="AD165" s="124">
        <v>4.6399999999999997</v>
      </c>
      <c r="AE165" s="200">
        <f t="shared" si="4"/>
        <v>445.44</v>
      </c>
      <c r="AF165" s="956"/>
      <c r="AH165" s="130"/>
      <c r="AJ165" s="398">
        <f t="shared" si="12"/>
        <v>0</v>
      </c>
      <c r="AK165" s="409"/>
      <c r="AL165" s="408"/>
      <c r="AM165" s="407"/>
      <c r="AN165" s="407"/>
      <c r="AO165" s="407"/>
      <c r="AP165" s="407"/>
      <c r="AQ165" s="407"/>
      <c r="AR165" s="129" t="s">
        <v>235</v>
      </c>
      <c r="AT165" s="129" t="s">
        <v>231</v>
      </c>
      <c r="AU165" s="129" t="s">
        <v>76</v>
      </c>
      <c r="AY165" s="13" t="s">
        <v>228</v>
      </c>
      <c r="BE165" s="130">
        <f t="shared" si="5"/>
        <v>0</v>
      </c>
      <c r="BF165" s="130">
        <f t="shared" si="6"/>
        <v>445.44</v>
      </c>
      <c r="BG165" s="130">
        <f t="shared" si="7"/>
        <v>0</v>
      </c>
      <c r="BH165" s="130">
        <f t="shared" si="8"/>
        <v>0</v>
      </c>
      <c r="BI165" s="130">
        <f t="shared" si="9"/>
        <v>0</v>
      </c>
      <c r="BJ165" s="13" t="s">
        <v>76</v>
      </c>
      <c r="BK165" s="130">
        <f t="shared" si="10"/>
        <v>445.44</v>
      </c>
      <c r="BL165" s="13" t="s">
        <v>235</v>
      </c>
      <c r="BM165" s="129" t="s">
        <v>296</v>
      </c>
    </row>
    <row r="166" spans="2:65" s="1" customFormat="1" ht="16.5" customHeight="1" x14ac:dyDescent="0.2">
      <c r="B166" s="118"/>
      <c r="C166" s="131" t="s">
        <v>297</v>
      </c>
      <c r="D166" s="131" t="s">
        <v>277</v>
      </c>
      <c r="E166" s="132" t="s">
        <v>3137</v>
      </c>
      <c r="F166" s="133" t="s">
        <v>3138</v>
      </c>
      <c r="G166" s="134" t="s">
        <v>1194</v>
      </c>
      <c r="H166" s="135">
        <v>61.8</v>
      </c>
      <c r="I166" s="136">
        <v>10.45</v>
      </c>
      <c r="J166" s="136">
        <f t="shared" si="0"/>
        <v>645.80999999999995</v>
      </c>
      <c r="K166" s="133" t="s">
        <v>1</v>
      </c>
      <c r="L166" s="137"/>
      <c r="M166" s="138" t="s">
        <v>1</v>
      </c>
      <c r="N166" s="139" t="s">
        <v>32</v>
      </c>
      <c r="O166" s="127">
        <v>0</v>
      </c>
      <c r="P166" s="127">
        <f t="shared" si="1"/>
        <v>0</v>
      </c>
      <c r="Q166" s="127">
        <v>0</v>
      </c>
      <c r="R166" s="127">
        <f t="shared" si="2"/>
        <v>0</v>
      </c>
      <c r="S166" s="127">
        <v>0</v>
      </c>
      <c r="T166" s="128">
        <f t="shared" si="3"/>
        <v>0</v>
      </c>
      <c r="W166" s="199"/>
      <c r="X166" s="131" t="s">
        <v>297</v>
      </c>
      <c r="Y166" s="131" t="s">
        <v>277</v>
      </c>
      <c r="Z166" s="132" t="s">
        <v>3137</v>
      </c>
      <c r="AA166" s="133" t="s">
        <v>3138</v>
      </c>
      <c r="AB166" s="134" t="s">
        <v>1194</v>
      </c>
      <c r="AC166" s="135">
        <v>61.8</v>
      </c>
      <c r="AD166" s="136">
        <v>10.45</v>
      </c>
      <c r="AE166" s="229">
        <f t="shared" si="4"/>
        <v>645.80999999999995</v>
      </c>
      <c r="AF166" s="956"/>
      <c r="AH166" s="130"/>
      <c r="AJ166" s="398">
        <f t="shared" si="12"/>
        <v>0</v>
      </c>
      <c r="AK166" s="409"/>
      <c r="AL166" s="408"/>
      <c r="AM166" s="407"/>
      <c r="AN166" s="407"/>
      <c r="AO166" s="407"/>
      <c r="AP166" s="407"/>
      <c r="AQ166" s="407"/>
      <c r="AR166" s="129" t="s">
        <v>244</v>
      </c>
      <c r="AT166" s="129" t="s">
        <v>277</v>
      </c>
      <c r="AU166" s="129" t="s">
        <v>76</v>
      </c>
      <c r="AY166" s="13" t="s">
        <v>228</v>
      </c>
      <c r="BE166" s="130">
        <f t="shared" si="5"/>
        <v>0</v>
      </c>
      <c r="BF166" s="130">
        <f t="shared" si="6"/>
        <v>645.80999999999995</v>
      </c>
      <c r="BG166" s="130">
        <f t="shared" si="7"/>
        <v>0</v>
      </c>
      <c r="BH166" s="130">
        <f t="shared" si="8"/>
        <v>0</v>
      </c>
      <c r="BI166" s="130">
        <f t="shared" si="9"/>
        <v>0</v>
      </c>
      <c r="BJ166" s="13" t="s">
        <v>76</v>
      </c>
      <c r="BK166" s="130">
        <f t="shared" si="10"/>
        <v>645.80999999999995</v>
      </c>
      <c r="BL166" s="13" t="s">
        <v>235</v>
      </c>
      <c r="BM166" s="129" t="s">
        <v>300</v>
      </c>
    </row>
    <row r="167" spans="2:65" s="1" customFormat="1" ht="24" customHeight="1" x14ac:dyDescent="0.2">
      <c r="B167" s="118"/>
      <c r="C167" s="131" t="s">
        <v>7</v>
      </c>
      <c r="D167" s="131" t="s">
        <v>277</v>
      </c>
      <c r="E167" s="132" t="s">
        <v>3139</v>
      </c>
      <c r="F167" s="133" t="s">
        <v>3140</v>
      </c>
      <c r="G167" s="134" t="s">
        <v>1194</v>
      </c>
      <c r="H167" s="135">
        <v>37.08</v>
      </c>
      <c r="I167" s="136">
        <v>4.0599999999999996</v>
      </c>
      <c r="J167" s="136">
        <f t="shared" si="0"/>
        <v>150.54</v>
      </c>
      <c r="K167" s="133" t="s">
        <v>1</v>
      </c>
      <c r="L167" s="137"/>
      <c r="M167" s="138" t="s">
        <v>1</v>
      </c>
      <c r="N167" s="139" t="s">
        <v>32</v>
      </c>
      <c r="O167" s="127">
        <v>0</v>
      </c>
      <c r="P167" s="127">
        <f t="shared" si="1"/>
        <v>0</v>
      </c>
      <c r="Q167" s="127">
        <v>0</v>
      </c>
      <c r="R167" s="127">
        <f t="shared" si="2"/>
        <v>0</v>
      </c>
      <c r="S167" s="127">
        <v>0</v>
      </c>
      <c r="T167" s="128">
        <f t="shared" si="3"/>
        <v>0</v>
      </c>
      <c r="W167" s="199"/>
      <c r="X167" s="131" t="s">
        <v>7</v>
      </c>
      <c r="Y167" s="131" t="s">
        <v>277</v>
      </c>
      <c r="Z167" s="132" t="s">
        <v>3139</v>
      </c>
      <c r="AA167" s="133" t="s">
        <v>3140</v>
      </c>
      <c r="AB167" s="134" t="s">
        <v>1194</v>
      </c>
      <c r="AC167" s="135">
        <v>37.08</v>
      </c>
      <c r="AD167" s="136">
        <v>4.0599999999999996</v>
      </c>
      <c r="AE167" s="229">
        <f t="shared" si="4"/>
        <v>150.54</v>
      </c>
      <c r="AF167" s="956"/>
      <c r="AH167" s="130"/>
      <c r="AJ167" s="398">
        <f t="shared" si="12"/>
        <v>0</v>
      </c>
      <c r="AK167" s="409"/>
      <c r="AL167" s="408"/>
      <c r="AM167" s="407"/>
      <c r="AN167" s="407"/>
      <c r="AO167" s="407"/>
      <c r="AP167" s="407"/>
      <c r="AQ167" s="407"/>
      <c r="AR167" s="129" t="s">
        <v>244</v>
      </c>
      <c r="AT167" s="129" t="s">
        <v>277</v>
      </c>
      <c r="AU167" s="129" t="s">
        <v>76</v>
      </c>
      <c r="AY167" s="13" t="s">
        <v>228</v>
      </c>
      <c r="BE167" s="130">
        <f t="shared" si="5"/>
        <v>0</v>
      </c>
      <c r="BF167" s="130">
        <f t="shared" si="6"/>
        <v>150.54</v>
      </c>
      <c r="BG167" s="130">
        <f t="shared" si="7"/>
        <v>0</v>
      </c>
      <c r="BH167" s="130">
        <f t="shared" si="8"/>
        <v>0</v>
      </c>
      <c r="BI167" s="130">
        <f t="shared" si="9"/>
        <v>0</v>
      </c>
      <c r="BJ167" s="13" t="s">
        <v>76</v>
      </c>
      <c r="BK167" s="130">
        <f t="shared" si="10"/>
        <v>150.54</v>
      </c>
      <c r="BL167" s="13" t="s">
        <v>235</v>
      </c>
      <c r="BM167" s="129" t="s">
        <v>303</v>
      </c>
    </row>
    <row r="168" spans="2:65" s="11" customFormat="1" ht="22.95" customHeight="1" x14ac:dyDescent="0.25">
      <c r="B168" s="106"/>
      <c r="D168" s="107" t="s">
        <v>57</v>
      </c>
      <c r="E168" s="116" t="s">
        <v>76</v>
      </c>
      <c r="F168" s="116" t="s">
        <v>3141</v>
      </c>
      <c r="J168" s="117">
        <f>BK168</f>
        <v>61360.14</v>
      </c>
      <c r="L168" s="106"/>
      <c r="M168" s="110"/>
      <c r="N168" s="111"/>
      <c r="O168" s="111"/>
      <c r="P168" s="112">
        <f>SUM(P169:P179)</f>
        <v>0</v>
      </c>
      <c r="Q168" s="111"/>
      <c r="R168" s="112">
        <f>SUM(R169:R179)</f>
        <v>0</v>
      </c>
      <c r="S168" s="111"/>
      <c r="T168" s="113">
        <f>SUM(T169:T179)</f>
        <v>0</v>
      </c>
      <c r="W168" s="195"/>
      <c r="X168" s="111"/>
      <c r="Y168" s="196" t="s">
        <v>57</v>
      </c>
      <c r="Z168" s="201" t="s">
        <v>76</v>
      </c>
      <c r="AA168" s="201" t="s">
        <v>3141</v>
      </c>
      <c r="AB168" s="111"/>
      <c r="AC168" s="111"/>
      <c r="AD168" s="111"/>
      <c r="AE168" s="202">
        <f>SUM(AE169:AE179)</f>
        <v>77735.66</v>
      </c>
      <c r="AF168" s="956"/>
      <c r="AH168" s="130"/>
      <c r="AJ168" s="398">
        <f t="shared" si="12"/>
        <v>0</v>
      </c>
      <c r="AK168" s="409"/>
      <c r="AL168" s="408"/>
      <c r="AM168" s="292"/>
      <c r="AN168" s="292"/>
      <c r="AO168" s="292"/>
      <c r="AP168" s="292"/>
      <c r="AQ168" s="292"/>
      <c r="AR168" s="107" t="s">
        <v>63</v>
      </c>
      <c r="AT168" s="114" t="s">
        <v>57</v>
      </c>
      <c r="AU168" s="114" t="s">
        <v>63</v>
      </c>
      <c r="AY168" s="107" t="s">
        <v>228</v>
      </c>
      <c r="BK168" s="115">
        <f>SUM(BK169:BK179)</f>
        <v>61360.14</v>
      </c>
    </row>
    <row r="169" spans="2:65" s="1" customFormat="1" ht="16.5" customHeight="1" x14ac:dyDescent="0.2">
      <c r="B169" s="118"/>
      <c r="C169" s="285" t="s">
        <v>305</v>
      </c>
      <c r="D169" s="285" t="s">
        <v>231</v>
      </c>
      <c r="E169" s="286" t="s">
        <v>3142</v>
      </c>
      <c r="F169" s="240" t="s">
        <v>3143</v>
      </c>
      <c r="G169" s="287" t="s">
        <v>292</v>
      </c>
      <c r="H169" s="288">
        <v>55.8</v>
      </c>
      <c r="I169" s="289">
        <v>6.97</v>
      </c>
      <c r="J169" s="124">
        <f t="shared" ref="J169:J179" si="13">ROUND(I169*H169,2)</f>
        <v>388.93</v>
      </c>
      <c r="K169" s="121" t="s">
        <v>1</v>
      </c>
      <c r="L169" s="24"/>
      <c r="M169" s="125" t="s">
        <v>1</v>
      </c>
      <c r="N169" s="126" t="s">
        <v>32</v>
      </c>
      <c r="O169" s="127">
        <v>0</v>
      </c>
      <c r="P169" s="127">
        <f t="shared" ref="P169:P179" si="14">O169*H169</f>
        <v>0</v>
      </c>
      <c r="Q169" s="127">
        <v>0</v>
      </c>
      <c r="R169" s="127">
        <f t="shared" ref="R169:R179" si="15">Q169*H169</f>
        <v>0</v>
      </c>
      <c r="S169" s="127">
        <v>0</v>
      </c>
      <c r="T169" s="128">
        <f t="shared" ref="T169:T179" si="16">S169*H169</f>
        <v>0</v>
      </c>
      <c r="W169" s="199"/>
      <c r="X169" s="285" t="s">
        <v>305</v>
      </c>
      <c r="Y169" s="285" t="s">
        <v>231</v>
      </c>
      <c r="Z169" s="286" t="s">
        <v>3142</v>
      </c>
      <c r="AA169" s="240" t="s">
        <v>3143</v>
      </c>
      <c r="AB169" s="287" t="s">
        <v>292</v>
      </c>
      <c r="AC169" s="288">
        <v>55.8</v>
      </c>
      <c r="AD169" s="124">
        <v>6.97</v>
      </c>
      <c r="AE169" s="200">
        <f t="shared" ref="AE169:AE179" si="17">ROUND(AD169*AC169,2)</f>
        <v>388.93</v>
      </c>
      <c r="AF169" s="956"/>
      <c r="AH169" s="130">
        <f t="shared" si="11"/>
        <v>0</v>
      </c>
      <c r="AJ169" s="398">
        <f t="shared" si="12"/>
        <v>0</v>
      </c>
      <c r="AK169" s="409"/>
      <c r="AL169" s="408"/>
      <c r="AM169" s="407"/>
      <c r="AN169" s="407"/>
      <c r="AO169" s="407"/>
      <c r="AP169" s="407"/>
      <c r="AQ169" s="407"/>
      <c r="AR169" s="129" t="s">
        <v>235</v>
      </c>
      <c r="AT169" s="129" t="s">
        <v>231</v>
      </c>
      <c r="AU169" s="129" t="s">
        <v>76</v>
      </c>
      <c r="AY169" s="13" t="s">
        <v>228</v>
      </c>
      <c r="BE169" s="130">
        <f t="shared" ref="BE169:BE179" si="18">IF(N169="základná",J169,0)</f>
        <v>0</v>
      </c>
      <c r="BF169" s="130">
        <f t="shared" ref="BF169:BF179" si="19">IF(N169="znížená",J169,0)</f>
        <v>388.93</v>
      </c>
      <c r="BG169" s="130">
        <f t="shared" ref="BG169:BG179" si="20">IF(N169="zákl. prenesená",J169,0)</f>
        <v>0</v>
      </c>
      <c r="BH169" s="130">
        <f t="shared" ref="BH169:BH179" si="21">IF(N169="zníž. prenesená",J169,0)</f>
        <v>0</v>
      </c>
      <c r="BI169" s="130">
        <f t="shared" ref="BI169:BI179" si="22">IF(N169="nulová",J169,0)</f>
        <v>0</v>
      </c>
      <c r="BJ169" s="13" t="s">
        <v>76</v>
      </c>
      <c r="BK169" s="130">
        <f t="shared" ref="BK169:BK179" si="23">ROUND(I169*H169,2)</f>
        <v>388.93</v>
      </c>
      <c r="BL169" s="13" t="s">
        <v>235</v>
      </c>
      <c r="BM169" s="129" t="s">
        <v>308</v>
      </c>
    </row>
    <row r="170" spans="2:65" s="1" customFormat="1" ht="24" customHeight="1" x14ac:dyDescent="0.2">
      <c r="B170" s="118"/>
      <c r="C170" s="205" t="s">
        <v>268</v>
      </c>
      <c r="D170" s="119" t="s">
        <v>231</v>
      </c>
      <c r="E170" s="120" t="s">
        <v>3144</v>
      </c>
      <c r="F170" s="121" t="s">
        <v>3145</v>
      </c>
      <c r="G170" s="122" t="s">
        <v>234</v>
      </c>
      <c r="H170" s="206">
        <v>115.2</v>
      </c>
      <c r="I170" s="124">
        <v>32.51</v>
      </c>
      <c r="J170" s="124">
        <f t="shared" si="13"/>
        <v>3745.15</v>
      </c>
      <c r="K170" s="121" t="s">
        <v>1</v>
      </c>
      <c r="L170" s="24"/>
      <c r="M170" s="125" t="s">
        <v>1</v>
      </c>
      <c r="N170" s="126" t="s">
        <v>32</v>
      </c>
      <c r="O170" s="127">
        <v>0</v>
      </c>
      <c r="P170" s="127">
        <f t="shared" si="14"/>
        <v>0</v>
      </c>
      <c r="Q170" s="127">
        <v>0</v>
      </c>
      <c r="R170" s="127">
        <f t="shared" si="15"/>
        <v>0</v>
      </c>
      <c r="S170" s="127">
        <v>0</v>
      </c>
      <c r="T170" s="128">
        <f t="shared" si="16"/>
        <v>0</v>
      </c>
      <c r="W170" s="199"/>
      <c r="X170" s="205" t="s">
        <v>268</v>
      </c>
      <c r="Y170" s="119" t="s">
        <v>231</v>
      </c>
      <c r="Z170" s="120" t="s">
        <v>3144</v>
      </c>
      <c r="AA170" s="121" t="s">
        <v>3145</v>
      </c>
      <c r="AB170" s="122" t="s">
        <v>234</v>
      </c>
      <c r="AC170" s="206">
        <f>H170+55.6</f>
        <v>170.8</v>
      </c>
      <c r="AD170" s="124">
        <v>32.51</v>
      </c>
      <c r="AE170" s="200">
        <f t="shared" si="17"/>
        <v>5552.71</v>
      </c>
      <c r="AF170" s="956">
        <v>1</v>
      </c>
      <c r="AH170" s="130">
        <f t="shared" si="11"/>
        <v>55.600000000000009</v>
      </c>
      <c r="AJ170" s="398">
        <f t="shared" si="12"/>
        <v>1807.5560000000003</v>
      </c>
      <c r="AK170" s="409"/>
      <c r="AL170" s="408"/>
      <c r="AM170" s="407"/>
      <c r="AN170" s="407"/>
      <c r="AO170" s="407"/>
      <c r="AP170" s="407"/>
      <c r="AQ170" s="407"/>
      <c r="AR170" s="129" t="s">
        <v>235</v>
      </c>
      <c r="AT170" s="129" t="s">
        <v>231</v>
      </c>
      <c r="AU170" s="129" t="s">
        <v>76</v>
      </c>
      <c r="AY170" s="13" t="s">
        <v>228</v>
      </c>
      <c r="BE170" s="130">
        <f t="shared" si="18"/>
        <v>0</v>
      </c>
      <c r="BF170" s="130">
        <f t="shared" si="19"/>
        <v>3745.15</v>
      </c>
      <c r="BG170" s="130">
        <f t="shared" si="20"/>
        <v>0</v>
      </c>
      <c r="BH170" s="130">
        <f t="shared" si="21"/>
        <v>0</v>
      </c>
      <c r="BI170" s="130">
        <f t="shared" si="22"/>
        <v>0</v>
      </c>
      <c r="BJ170" s="13" t="s">
        <v>76</v>
      </c>
      <c r="BK170" s="130">
        <f t="shared" si="23"/>
        <v>3745.15</v>
      </c>
      <c r="BL170" s="13" t="s">
        <v>235</v>
      </c>
      <c r="BM170" s="129" t="s">
        <v>312</v>
      </c>
    </row>
    <row r="171" spans="2:65" s="1" customFormat="1" ht="24" customHeight="1" x14ac:dyDescent="0.2">
      <c r="B171" s="118"/>
      <c r="C171" s="205" t="s">
        <v>313</v>
      </c>
      <c r="D171" s="119" t="s">
        <v>231</v>
      </c>
      <c r="E171" s="120" t="s">
        <v>3146</v>
      </c>
      <c r="F171" s="121" t="s">
        <v>3147</v>
      </c>
      <c r="G171" s="122" t="s">
        <v>234</v>
      </c>
      <c r="H171" s="206">
        <v>46.08</v>
      </c>
      <c r="I171" s="124">
        <v>98.69</v>
      </c>
      <c r="J171" s="124">
        <f t="shared" si="13"/>
        <v>4547.6400000000003</v>
      </c>
      <c r="K171" s="121" t="s">
        <v>1</v>
      </c>
      <c r="L171" s="24"/>
      <c r="M171" s="125" t="s">
        <v>1</v>
      </c>
      <c r="N171" s="126" t="s">
        <v>32</v>
      </c>
      <c r="O171" s="127">
        <v>0</v>
      </c>
      <c r="P171" s="127">
        <f t="shared" si="14"/>
        <v>0</v>
      </c>
      <c r="Q171" s="127">
        <v>0</v>
      </c>
      <c r="R171" s="127">
        <f t="shared" si="15"/>
        <v>0</v>
      </c>
      <c r="S171" s="127">
        <v>0</v>
      </c>
      <c r="T171" s="128">
        <f t="shared" si="16"/>
        <v>0</v>
      </c>
      <c r="W171" s="199"/>
      <c r="X171" s="205" t="s">
        <v>313</v>
      </c>
      <c r="Y171" s="119" t="s">
        <v>231</v>
      </c>
      <c r="Z171" s="120" t="s">
        <v>3146</v>
      </c>
      <c r="AA171" s="121" t="s">
        <v>3147</v>
      </c>
      <c r="AB171" s="122" t="s">
        <v>234</v>
      </c>
      <c r="AC171" s="206">
        <v>48.76</v>
      </c>
      <c r="AD171" s="124">
        <v>98.69</v>
      </c>
      <c r="AE171" s="200">
        <f t="shared" si="17"/>
        <v>4812.12</v>
      </c>
      <c r="AF171" s="956">
        <v>1</v>
      </c>
      <c r="AH171" s="130">
        <f t="shared" si="11"/>
        <v>2.6799999999999997</v>
      </c>
      <c r="AJ171" s="398">
        <f t="shared" si="12"/>
        <v>264.48919999999998</v>
      </c>
      <c r="AK171" s="409"/>
      <c r="AL171" s="408"/>
      <c r="AM171" s="407"/>
      <c r="AN171" s="407"/>
      <c r="AO171" s="407"/>
      <c r="AP171" s="407"/>
      <c r="AQ171" s="407"/>
      <c r="AR171" s="129" t="s">
        <v>235</v>
      </c>
      <c r="AT171" s="129" t="s">
        <v>231</v>
      </c>
      <c r="AU171" s="129" t="s">
        <v>76</v>
      </c>
      <c r="AY171" s="13" t="s">
        <v>228</v>
      </c>
      <c r="BE171" s="130">
        <f t="shared" si="18"/>
        <v>0</v>
      </c>
      <c r="BF171" s="130">
        <f t="shared" si="19"/>
        <v>4547.6400000000003</v>
      </c>
      <c r="BG171" s="130">
        <f t="shared" si="20"/>
        <v>0</v>
      </c>
      <c r="BH171" s="130">
        <f t="shared" si="21"/>
        <v>0</v>
      </c>
      <c r="BI171" s="130">
        <f t="shared" si="22"/>
        <v>0</v>
      </c>
      <c r="BJ171" s="13" t="s">
        <v>76</v>
      </c>
      <c r="BK171" s="130">
        <f t="shared" si="23"/>
        <v>4547.6400000000003</v>
      </c>
      <c r="BL171" s="13" t="s">
        <v>235</v>
      </c>
      <c r="BM171" s="129" t="s">
        <v>316</v>
      </c>
    </row>
    <row r="172" spans="2:65" s="1" customFormat="1" ht="24" customHeight="1" x14ac:dyDescent="0.2">
      <c r="B172" s="118"/>
      <c r="C172" s="285" t="s">
        <v>272</v>
      </c>
      <c r="D172" s="119" t="s">
        <v>231</v>
      </c>
      <c r="E172" s="120" t="s">
        <v>3148</v>
      </c>
      <c r="F172" s="121" t="s">
        <v>3149</v>
      </c>
      <c r="G172" s="122" t="s">
        <v>284</v>
      </c>
      <c r="H172" s="288">
        <v>322.56</v>
      </c>
      <c r="I172" s="124">
        <v>3.02</v>
      </c>
      <c r="J172" s="124">
        <f t="shared" si="13"/>
        <v>974.13</v>
      </c>
      <c r="K172" s="121" t="s">
        <v>1</v>
      </c>
      <c r="L172" s="24"/>
      <c r="M172" s="125" t="s">
        <v>1</v>
      </c>
      <c r="N172" s="126" t="s">
        <v>32</v>
      </c>
      <c r="O172" s="127">
        <v>0</v>
      </c>
      <c r="P172" s="127">
        <f t="shared" si="14"/>
        <v>0</v>
      </c>
      <c r="Q172" s="127">
        <v>0</v>
      </c>
      <c r="R172" s="127">
        <f t="shared" si="15"/>
        <v>0</v>
      </c>
      <c r="S172" s="127">
        <v>0</v>
      </c>
      <c r="T172" s="128">
        <f t="shared" si="16"/>
        <v>0</v>
      </c>
      <c r="W172" s="199"/>
      <c r="X172" s="285" t="s">
        <v>272</v>
      </c>
      <c r="Y172" s="119" t="s">
        <v>231</v>
      </c>
      <c r="Z172" s="120" t="s">
        <v>3148</v>
      </c>
      <c r="AA172" s="121" t="s">
        <v>3149</v>
      </c>
      <c r="AB172" s="122" t="s">
        <v>284</v>
      </c>
      <c r="AC172" s="288">
        <v>322.56</v>
      </c>
      <c r="AD172" s="124">
        <v>3.02</v>
      </c>
      <c r="AE172" s="200">
        <f t="shared" si="17"/>
        <v>974.13</v>
      </c>
      <c r="AF172" s="956"/>
      <c r="AH172" s="130"/>
      <c r="AJ172" s="398">
        <f t="shared" si="12"/>
        <v>0</v>
      </c>
      <c r="AK172" s="409"/>
      <c r="AL172" s="408"/>
      <c r="AM172" s="407"/>
      <c r="AN172" s="407"/>
      <c r="AO172" s="407"/>
      <c r="AP172" s="407"/>
      <c r="AQ172" s="407"/>
      <c r="AR172" s="129" t="s">
        <v>235</v>
      </c>
      <c r="AT172" s="129" t="s">
        <v>231</v>
      </c>
      <c r="AU172" s="129" t="s">
        <v>76</v>
      </c>
      <c r="AY172" s="13" t="s">
        <v>228</v>
      </c>
      <c r="BE172" s="130">
        <f t="shared" si="18"/>
        <v>0</v>
      </c>
      <c r="BF172" s="130">
        <f t="shared" si="19"/>
        <v>974.13</v>
      </c>
      <c r="BG172" s="130">
        <f t="shared" si="20"/>
        <v>0</v>
      </c>
      <c r="BH172" s="130">
        <f t="shared" si="21"/>
        <v>0</v>
      </c>
      <c r="BI172" s="130">
        <f t="shared" si="22"/>
        <v>0</v>
      </c>
      <c r="BJ172" s="13" t="s">
        <v>76</v>
      </c>
      <c r="BK172" s="130">
        <f t="shared" si="23"/>
        <v>974.13</v>
      </c>
      <c r="BL172" s="13" t="s">
        <v>235</v>
      </c>
      <c r="BM172" s="129" t="s">
        <v>319</v>
      </c>
    </row>
    <row r="173" spans="2:65" s="1" customFormat="1" ht="24" customHeight="1" x14ac:dyDescent="0.2">
      <c r="B173" s="118"/>
      <c r="C173" s="205" t="s">
        <v>320</v>
      </c>
      <c r="D173" s="119" t="s">
        <v>231</v>
      </c>
      <c r="E173" s="120" t="s">
        <v>3150</v>
      </c>
      <c r="F173" s="121" t="s">
        <v>3151</v>
      </c>
      <c r="G173" s="122" t="s">
        <v>234</v>
      </c>
      <c r="H173" s="206">
        <v>177.00299999999999</v>
      </c>
      <c r="I173" s="124">
        <v>102.17</v>
      </c>
      <c r="J173" s="124">
        <f t="shared" si="13"/>
        <v>18084.400000000001</v>
      </c>
      <c r="K173" s="121" t="s">
        <v>1</v>
      </c>
      <c r="L173" s="24"/>
      <c r="M173" s="125" t="s">
        <v>1</v>
      </c>
      <c r="N173" s="126" t="s">
        <v>32</v>
      </c>
      <c r="O173" s="127">
        <v>0</v>
      </c>
      <c r="P173" s="127">
        <f t="shared" si="14"/>
        <v>0</v>
      </c>
      <c r="Q173" s="127">
        <v>0</v>
      </c>
      <c r="R173" s="127">
        <f t="shared" si="15"/>
        <v>0</v>
      </c>
      <c r="S173" s="127">
        <v>0</v>
      </c>
      <c r="T173" s="128">
        <f t="shared" si="16"/>
        <v>0</v>
      </c>
      <c r="W173" s="199"/>
      <c r="X173" s="205" t="s">
        <v>320</v>
      </c>
      <c r="Y173" s="119" t="s">
        <v>231</v>
      </c>
      <c r="Z173" s="120" t="s">
        <v>3150</v>
      </c>
      <c r="AA173" s="121" t="s">
        <v>3151</v>
      </c>
      <c r="AB173" s="122" t="s">
        <v>234</v>
      </c>
      <c r="AC173" s="206">
        <f>29.41+165.12</f>
        <v>194.53</v>
      </c>
      <c r="AD173" s="124">
        <v>102.17</v>
      </c>
      <c r="AE173" s="200">
        <f t="shared" si="17"/>
        <v>19875.13</v>
      </c>
      <c r="AF173" s="956">
        <v>1</v>
      </c>
      <c r="AH173" s="130">
        <f t="shared" si="11"/>
        <v>17.527000000000015</v>
      </c>
      <c r="AJ173" s="398">
        <f t="shared" si="12"/>
        <v>1790.7335900000016</v>
      </c>
      <c r="AK173" s="409"/>
      <c r="AL173" s="408"/>
      <c r="AM173" s="407"/>
      <c r="AN173" s="407"/>
      <c r="AO173" s="407"/>
      <c r="AP173" s="407"/>
      <c r="AQ173" s="407"/>
      <c r="AR173" s="129" t="s">
        <v>235</v>
      </c>
      <c r="AT173" s="129" t="s">
        <v>231</v>
      </c>
      <c r="AU173" s="129" t="s">
        <v>76</v>
      </c>
      <c r="AY173" s="13" t="s">
        <v>228</v>
      </c>
      <c r="BE173" s="130">
        <f t="shared" si="18"/>
        <v>0</v>
      </c>
      <c r="BF173" s="130">
        <f t="shared" si="19"/>
        <v>18084.400000000001</v>
      </c>
      <c r="BG173" s="130">
        <f t="shared" si="20"/>
        <v>0</v>
      </c>
      <c r="BH173" s="130">
        <f t="shared" si="21"/>
        <v>0</v>
      </c>
      <c r="BI173" s="130">
        <f t="shared" si="22"/>
        <v>0</v>
      </c>
      <c r="BJ173" s="13" t="s">
        <v>76</v>
      </c>
      <c r="BK173" s="130">
        <f t="shared" si="23"/>
        <v>18084.400000000001</v>
      </c>
      <c r="BL173" s="13" t="s">
        <v>235</v>
      </c>
      <c r="BM173" s="129" t="s">
        <v>323</v>
      </c>
    </row>
    <row r="174" spans="2:65" s="518" customFormat="1" ht="30.75" customHeight="1" x14ac:dyDescent="0.2">
      <c r="B174" s="118"/>
      <c r="C174" s="1234" t="s">
        <v>5205</v>
      </c>
      <c r="D174" s="1235"/>
      <c r="E174" s="1235"/>
      <c r="F174" s="1235"/>
      <c r="G174" s="1235"/>
      <c r="H174" s="1235"/>
      <c r="I174" s="1235"/>
      <c r="J174" s="1236"/>
      <c r="K174" s="121"/>
      <c r="L174" s="24"/>
      <c r="M174" s="125"/>
      <c r="N174" s="126"/>
      <c r="O174" s="127"/>
      <c r="P174" s="127"/>
      <c r="Q174" s="127"/>
      <c r="R174" s="127"/>
      <c r="S174" s="127"/>
      <c r="T174" s="128"/>
      <c r="W174" s="199"/>
      <c r="X174" s="341" t="s">
        <v>6162</v>
      </c>
      <c r="Y174" s="341" t="s">
        <v>231</v>
      </c>
      <c r="Z174" s="342" t="s">
        <v>6160</v>
      </c>
      <c r="AA174" s="343" t="s">
        <v>6161</v>
      </c>
      <c r="AB174" s="344" t="s">
        <v>284</v>
      </c>
      <c r="AC174" s="345">
        <v>108</v>
      </c>
      <c r="AD174" s="346">
        <v>2.1800000000000002</v>
      </c>
      <c r="AE174" s="355">
        <v>235.44</v>
      </c>
      <c r="AF174" s="956">
        <v>1</v>
      </c>
      <c r="AH174" s="130"/>
      <c r="AJ174" s="398"/>
      <c r="AK174" s="409"/>
      <c r="AL174" s="408"/>
      <c r="AM174" s="407"/>
      <c r="AN174" s="407"/>
      <c r="AO174" s="407"/>
      <c r="AP174" s="407"/>
      <c r="AQ174" s="407"/>
      <c r="AR174" s="129"/>
      <c r="AT174" s="129"/>
      <c r="AU174" s="129"/>
      <c r="AY174" s="13"/>
      <c r="BE174" s="130"/>
      <c r="BF174" s="130"/>
      <c r="BG174" s="130"/>
      <c r="BH174" s="130"/>
      <c r="BI174" s="130"/>
      <c r="BJ174" s="13"/>
      <c r="BK174" s="130"/>
      <c r="BL174" s="13"/>
      <c r="BM174" s="129"/>
    </row>
    <row r="175" spans="2:65" s="339" customFormat="1" ht="24" customHeight="1" x14ac:dyDescent="0.2">
      <c r="B175" s="118"/>
      <c r="C175" s="1234" t="s">
        <v>5205</v>
      </c>
      <c r="D175" s="1235"/>
      <c r="E175" s="1235"/>
      <c r="F175" s="1235"/>
      <c r="G175" s="1235"/>
      <c r="H175" s="1235"/>
      <c r="I175" s="1235"/>
      <c r="J175" s="1236"/>
      <c r="K175" s="121"/>
      <c r="L175" s="24"/>
      <c r="M175" s="125"/>
      <c r="N175" s="126"/>
      <c r="O175" s="127"/>
      <c r="P175" s="127"/>
      <c r="Q175" s="127"/>
      <c r="R175" s="127"/>
      <c r="S175" s="127"/>
      <c r="T175" s="128"/>
      <c r="W175" s="199"/>
      <c r="X175" s="341" t="s">
        <v>5694</v>
      </c>
      <c r="Y175" s="341" t="s">
        <v>231</v>
      </c>
      <c r="Z175" s="342" t="s">
        <v>5692</v>
      </c>
      <c r="AA175" s="343" t="s">
        <v>5693</v>
      </c>
      <c r="AB175" s="344" t="s">
        <v>234</v>
      </c>
      <c r="AC175" s="345">
        <v>171.63300000000001</v>
      </c>
      <c r="AD175" s="346">
        <v>89.25</v>
      </c>
      <c r="AE175" s="355">
        <f>ROUND(AD175*AC175,2)</f>
        <v>15318.25</v>
      </c>
      <c r="AF175" s="956">
        <v>1</v>
      </c>
      <c r="AH175" s="130">
        <f t="shared" si="11"/>
        <v>171.63300000000001</v>
      </c>
      <c r="AJ175" s="398">
        <f t="shared" si="12"/>
        <v>15318.245250000002</v>
      </c>
      <c r="AK175" s="409"/>
      <c r="AL175" s="408"/>
      <c r="AM175" s="407"/>
      <c r="AN175" s="407"/>
      <c r="AO175" s="407"/>
      <c r="AP175" s="407"/>
      <c r="AQ175" s="407"/>
      <c r="AR175" s="129"/>
      <c r="AT175" s="129"/>
      <c r="AU175" s="129"/>
      <c r="AY175" s="13"/>
      <c r="BE175" s="130"/>
      <c r="BF175" s="130"/>
      <c r="BG175" s="130"/>
      <c r="BH175" s="130"/>
      <c r="BI175" s="130"/>
      <c r="BJ175" s="13"/>
      <c r="BK175" s="130"/>
      <c r="BL175" s="13"/>
      <c r="BM175" s="129"/>
    </row>
    <row r="176" spans="2:65" s="1" customFormat="1" ht="24" customHeight="1" x14ac:dyDescent="0.2">
      <c r="B176" s="118"/>
      <c r="C176" s="205" t="s">
        <v>276</v>
      </c>
      <c r="D176" s="119" t="s">
        <v>231</v>
      </c>
      <c r="E176" s="120" t="s">
        <v>3152</v>
      </c>
      <c r="F176" s="121" t="s">
        <v>3153</v>
      </c>
      <c r="G176" s="122" t="s">
        <v>284</v>
      </c>
      <c r="H176" s="206">
        <v>581.41</v>
      </c>
      <c r="I176" s="124">
        <v>2.9</v>
      </c>
      <c r="J176" s="124">
        <f t="shared" si="13"/>
        <v>1686.09</v>
      </c>
      <c r="K176" s="121" t="s">
        <v>1</v>
      </c>
      <c r="L176" s="24"/>
      <c r="M176" s="125" t="s">
        <v>1</v>
      </c>
      <c r="N176" s="126" t="s">
        <v>32</v>
      </c>
      <c r="O176" s="127">
        <v>0</v>
      </c>
      <c r="P176" s="127">
        <f t="shared" si="14"/>
        <v>0</v>
      </c>
      <c r="Q176" s="127">
        <v>0</v>
      </c>
      <c r="R176" s="127">
        <f t="shared" si="15"/>
        <v>0</v>
      </c>
      <c r="S176" s="127">
        <v>0</v>
      </c>
      <c r="T176" s="128">
        <f t="shared" si="16"/>
        <v>0</v>
      </c>
      <c r="W176" s="199"/>
      <c r="X176" s="205" t="s">
        <v>276</v>
      </c>
      <c r="Y176" s="119" t="s">
        <v>231</v>
      </c>
      <c r="Z176" s="120" t="s">
        <v>3152</v>
      </c>
      <c r="AA176" s="121" t="s">
        <v>3153</v>
      </c>
      <c r="AB176" s="122" t="s">
        <v>284</v>
      </c>
      <c r="AC176" s="206">
        <f>H176+12.23</f>
        <v>593.64</v>
      </c>
      <c r="AD176" s="124">
        <v>2.9</v>
      </c>
      <c r="AE176" s="200">
        <f t="shared" si="17"/>
        <v>1721.56</v>
      </c>
      <c r="AF176" s="956">
        <v>1</v>
      </c>
      <c r="AH176" s="130"/>
      <c r="AJ176" s="398">
        <f t="shared" si="12"/>
        <v>0</v>
      </c>
      <c r="AK176" s="409"/>
      <c r="AL176" s="408"/>
      <c r="AM176" s="407"/>
      <c r="AN176" s="407"/>
      <c r="AO176" s="407"/>
      <c r="AP176" s="407"/>
      <c r="AQ176" s="407"/>
      <c r="AR176" s="129" t="s">
        <v>235</v>
      </c>
      <c r="AT176" s="129" t="s">
        <v>231</v>
      </c>
      <c r="AU176" s="129" t="s">
        <v>76</v>
      </c>
      <c r="AY176" s="13" t="s">
        <v>228</v>
      </c>
      <c r="BE176" s="130">
        <f t="shared" si="18"/>
        <v>0</v>
      </c>
      <c r="BF176" s="130">
        <f t="shared" si="19"/>
        <v>1686.09</v>
      </c>
      <c r="BG176" s="130">
        <f t="shared" si="20"/>
        <v>0</v>
      </c>
      <c r="BH176" s="130">
        <f t="shared" si="21"/>
        <v>0</v>
      </c>
      <c r="BI176" s="130">
        <f t="shared" si="22"/>
        <v>0</v>
      </c>
      <c r="BJ176" s="13" t="s">
        <v>76</v>
      </c>
      <c r="BK176" s="130">
        <f t="shared" si="23"/>
        <v>1686.09</v>
      </c>
      <c r="BL176" s="13" t="s">
        <v>235</v>
      </c>
      <c r="BM176" s="129" t="s">
        <v>326</v>
      </c>
    </row>
    <row r="177" spans="2:65" s="1" customFormat="1" ht="24" customHeight="1" x14ac:dyDescent="0.2">
      <c r="B177" s="118"/>
      <c r="C177" s="205" t="s">
        <v>327</v>
      </c>
      <c r="D177" s="119" t="s">
        <v>231</v>
      </c>
      <c r="E177" s="120" t="s">
        <v>3154</v>
      </c>
      <c r="F177" s="121" t="s">
        <v>3155</v>
      </c>
      <c r="G177" s="122" t="s">
        <v>284</v>
      </c>
      <c r="H177" s="206">
        <v>581.41</v>
      </c>
      <c r="I177" s="124">
        <v>20.32</v>
      </c>
      <c r="J177" s="124">
        <f t="shared" si="13"/>
        <v>11814.25</v>
      </c>
      <c r="K177" s="121" t="s">
        <v>1</v>
      </c>
      <c r="L177" s="24"/>
      <c r="M177" s="125" t="s">
        <v>1</v>
      </c>
      <c r="N177" s="126" t="s">
        <v>32</v>
      </c>
      <c r="O177" s="127">
        <v>0</v>
      </c>
      <c r="P177" s="127">
        <f t="shared" si="14"/>
        <v>0</v>
      </c>
      <c r="Q177" s="127">
        <v>0</v>
      </c>
      <c r="R177" s="127">
        <f t="shared" si="15"/>
        <v>0</v>
      </c>
      <c r="S177" s="127">
        <v>0</v>
      </c>
      <c r="T177" s="128">
        <f t="shared" si="16"/>
        <v>0</v>
      </c>
      <c r="W177" s="199"/>
      <c r="X177" s="205" t="s">
        <v>327</v>
      </c>
      <c r="Y177" s="119" t="s">
        <v>231</v>
      </c>
      <c r="Z177" s="120" t="s">
        <v>3154</v>
      </c>
      <c r="AA177" s="121" t="s">
        <v>3155</v>
      </c>
      <c r="AB177" s="122" t="s">
        <v>284</v>
      </c>
      <c r="AC177" s="206">
        <v>593.64</v>
      </c>
      <c r="AD177" s="124">
        <v>20.32</v>
      </c>
      <c r="AE177" s="200">
        <f t="shared" si="17"/>
        <v>12062.76</v>
      </c>
      <c r="AF177" s="956">
        <v>1</v>
      </c>
      <c r="AH177" s="130"/>
      <c r="AJ177" s="398">
        <f t="shared" si="12"/>
        <v>0</v>
      </c>
      <c r="AK177" s="409"/>
      <c r="AL177" s="408"/>
      <c r="AM177" s="407"/>
      <c r="AN177" s="407"/>
      <c r="AO177" s="407"/>
      <c r="AP177" s="407"/>
      <c r="AQ177" s="407"/>
      <c r="AR177" s="129" t="s">
        <v>235</v>
      </c>
      <c r="AT177" s="129" t="s">
        <v>231</v>
      </c>
      <c r="AU177" s="129" t="s">
        <v>76</v>
      </c>
      <c r="AY177" s="13" t="s">
        <v>228</v>
      </c>
      <c r="BE177" s="130">
        <f t="shared" si="18"/>
        <v>0</v>
      </c>
      <c r="BF177" s="130">
        <f t="shared" si="19"/>
        <v>11814.25</v>
      </c>
      <c r="BG177" s="130">
        <f t="shared" si="20"/>
        <v>0</v>
      </c>
      <c r="BH177" s="130">
        <f t="shared" si="21"/>
        <v>0</v>
      </c>
      <c r="BI177" s="130">
        <f t="shared" si="22"/>
        <v>0</v>
      </c>
      <c r="BJ177" s="13" t="s">
        <v>76</v>
      </c>
      <c r="BK177" s="130">
        <f t="shared" si="23"/>
        <v>11814.25</v>
      </c>
      <c r="BL177" s="13" t="s">
        <v>235</v>
      </c>
      <c r="BM177" s="129" t="s">
        <v>330</v>
      </c>
    </row>
    <row r="178" spans="2:65" s="518" customFormat="1" ht="29.25" customHeight="1" x14ac:dyDescent="0.2">
      <c r="B178" s="118"/>
      <c r="C178" s="1234" t="s">
        <v>5205</v>
      </c>
      <c r="D178" s="1235"/>
      <c r="E178" s="1235"/>
      <c r="F178" s="1235"/>
      <c r="G178" s="1235"/>
      <c r="H178" s="1235"/>
      <c r="I178" s="1235"/>
      <c r="J178" s="1236"/>
      <c r="K178" s="121"/>
      <c r="L178" s="24"/>
      <c r="M178" s="125"/>
      <c r="N178" s="126"/>
      <c r="O178" s="127"/>
      <c r="P178" s="127"/>
      <c r="Q178" s="127"/>
      <c r="R178" s="127"/>
      <c r="S178" s="127"/>
      <c r="T178" s="128"/>
      <c r="W178" s="199"/>
      <c r="X178" s="341" t="s">
        <v>6165</v>
      </c>
      <c r="Y178" s="341"/>
      <c r="Z178" s="342" t="s">
        <v>6163</v>
      </c>
      <c r="AA178" s="343" t="s">
        <v>6164</v>
      </c>
      <c r="AB178" s="344" t="s">
        <v>284</v>
      </c>
      <c r="AC178" s="345">
        <v>15</v>
      </c>
      <c r="AD178" s="346">
        <v>7.59</v>
      </c>
      <c r="AE178" s="355">
        <v>113.85</v>
      </c>
      <c r="AF178" s="956">
        <v>1</v>
      </c>
      <c r="AH178" s="130"/>
      <c r="AJ178" s="398"/>
      <c r="AK178" s="409"/>
      <c r="AL178" s="408"/>
      <c r="AM178" s="407"/>
      <c r="AN178" s="407"/>
      <c r="AO178" s="407"/>
      <c r="AP178" s="407"/>
      <c r="AQ178" s="407"/>
      <c r="AR178" s="129"/>
      <c r="AT178" s="129"/>
      <c r="AU178" s="129"/>
      <c r="AY178" s="13"/>
      <c r="BE178" s="130"/>
      <c r="BF178" s="130"/>
      <c r="BG178" s="130"/>
      <c r="BH178" s="130"/>
      <c r="BI178" s="130"/>
      <c r="BJ178" s="13"/>
      <c r="BK178" s="130"/>
      <c r="BL178" s="13"/>
      <c r="BM178" s="129"/>
    </row>
    <row r="179" spans="2:65" s="1" customFormat="1" ht="24" customHeight="1" x14ac:dyDescent="0.2">
      <c r="B179" s="118"/>
      <c r="C179" s="205" t="s">
        <v>280</v>
      </c>
      <c r="D179" s="119" t="s">
        <v>231</v>
      </c>
      <c r="E179" s="120" t="s">
        <v>3156</v>
      </c>
      <c r="F179" s="121" t="s">
        <v>3157</v>
      </c>
      <c r="G179" s="122" t="s">
        <v>271</v>
      </c>
      <c r="H179" s="206">
        <v>19.254999999999999</v>
      </c>
      <c r="I179" s="124">
        <v>1044.9000000000001</v>
      </c>
      <c r="J179" s="124">
        <f t="shared" si="13"/>
        <v>20119.55</v>
      </c>
      <c r="K179" s="121" t="s">
        <v>1</v>
      </c>
      <c r="L179" s="24"/>
      <c r="M179" s="125" t="s">
        <v>1</v>
      </c>
      <c r="N179" s="126" t="s">
        <v>32</v>
      </c>
      <c r="O179" s="127">
        <v>0</v>
      </c>
      <c r="P179" s="127">
        <f t="shared" si="14"/>
        <v>0</v>
      </c>
      <c r="Q179" s="127">
        <v>0</v>
      </c>
      <c r="R179" s="127">
        <f t="shared" si="15"/>
        <v>0</v>
      </c>
      <c r="S179" s="127">
        <v>0</v>
      </c>
      <c r="T179" s="128">
        <f t="shared" si="16"/>
        <v>0</v>
      </c>
      <c r="W179" s="199"/>
      <c r="X179" s="205" t="s">
        <v>280</v>
      </c>
      <c r="Y179" s="119" t="s">
        <v>231</v>
      </c>
      <c r="Z179" s="120" t="s">
        <v>3156</v>
      </c>
      <c r="AA179" s="121" t="s">
        <v>3157</v>
      </c>
      <c r="AB179" s="122" t="s">
        <v>271</v>
      </c>
      <c r="AC179" s="206">
        <f>H179-3.291</f>
        <v>15.963999999999999</v>
      </c>
      <c r="AD179" s="124">
        <v>1044.9000000000001</v>
      </c>
      <c r="AE179" s="200">
        <f t="shared" si="17"/>
        <v>16680.78</v>
      </c>
      <c r="AF179" s="956">
        <v>1</v>
      </c>
      <c r="AH179" s="130">
        <f t="shared" si="11"/>
        <v>-3.2910000000000004</v>
      </c>
      <c r="AJ179" s="398">
        <f t="shared" si="12"/>
        <v>-3438.7659000000008</v>
      </c>
      <c r="AK179" s="409"/>
      <c r="AL179" s="408"/>
      <c r="AM179" s="407"/>
      <c r="AN179" s="407"/>
      <c r="AO179" s="407"/>
      <c r="AP179" s="407"/>
      <c r="AQ179" s="407"/>
      <c r="AR179" s="129" t="s">
        <v>235</v>
      </c>
      <c r="AT179" s="129" t="s">
        <v>231</v>
      </c>
      <c r="AU179" s="129" t="s">
        <v>76</v>
      </c>
      <c r="AY179" s="13" t="s">
        <v>228</v>
      </c>
      <c r="BE179" s="130">
        <f t="shared" si="18"/>
        <v>0</v>
      </c>
      <c r="BF179" s="130">
        <f t="shared" si="19"/>
        <v>20119.55</v>
      </c>
      <c r="BG179" s="130">
        <f t="shared" si="20"/>
        <v>0</v>
      </c>
      <c r="BH179" s="130">
        <f t="shared" si="21"/>
        <v>0</v>
      </c>
      <c r="BI179" s="130">
        <f t="shared" si="22"/>
        <v>0</v>
      </c>
      <c r="BJ179" s="13" t="s">
        <v>76</v>
      </c>
      <c r="BK179" s="130">
        <f t="shared" si="23"/>
        <v>20119.55</v>
      </c>
      <c r="BL179" s="13" t="s">
        <v>235</v>
      </c>
      <c r="BM179" s="129" t="s">
        <v>333</v>
      </c>
    </row>
    <row r="180" spans="2:65" s="11" customFormat="1" ht="22.95" customHeight="1" x14ac:dyDescent="0.25">
      <c r="B180" s="106"/>
      <c r="D180" s="107" t="s">
        <v>57</v>
      </c>
      <c r="E180" s="116" t="s">
        <v>229</v>
      </c>
      <c r="F180" s="116" t="s">
        <v>3158</v>
      </c>
      <c r="J180" s="117">
        <f>BK180</f>
        <v>33236.129999999997</v>
      </c>
      <c r="L180" s="106"/>
      <c r="M180" s="110"/>
      <c r="N180" s="111"/>
      <c r="O180" s="111"/>
      <c r="P180" s="112">
        <f>SUM(P181:P202)</f>
        <v>0</v>
      </c>
      <c r="Q180" s="111"/>
      <c r="R180" s="112">
        <f>SUM(R181:R202)</f>
        <v>0</v>
      </c>
      <c r="S180" s="111"/>
      <c r="T180" s="113">
        <f>SUM(T181:T202)</f>
        <v>0</v>
      </c>
      <c r="W180" s="195"/>
      <c r="X180" s="111"/>
      <c r="Y180" s="196" t="s">
        <v>57</v>
      </c>
      <c r="Z180" s="201" t="s">
        <v>229</v>
      </c>
      <c r="AA180" s="201" t="s">
        <v>3158</v>
      </c>
      <c r="AB180" s="111"/>
      <c r="AC180" s="111"/>
      <c r="AD180" s="111"/>
      <c r="AE180" s="202">
        <f>SUM(AE181:AE202)</f>
        <v>37562.25</v>
      </c>
      <c r="AF180" s="956"/>
      <c r="AH180" s="130"/>
      <c r="AJ180" s="398">
        <f t="shared" si="12"/>
        <v>0</v>
      </c>
      <c r="AK180" s="409"/>
      <c r="AL180" s="408"/>
      <c r="AM180" s="292"/>
      <c r="AN180" s="292"/>
      <c r="AO180" s="292"/>
      <c r="AP180" s="292"/>
      <c r="AQ180" s="292"/>
      <c r="AR180" s="107" t="s">
        <v>63</v>
      </c>
      <c r="AT180" s="114" t="s">
        <v>57</v>
      </c>
      <c r="AU180" s="114" t="s">
        <v>63</v>
      </c>
      <c r="AY180" s="107" t="s">
        <v>228</v>
      </c>
      <c r="BK180" s="115">
        <f>SUM(BK181:BK202)</f>
        <v>33236.129999999997</v>
      </c>
    </row>
    <row r="181" spans="2:65" s="1" customFormat="1" ht="16.5" customHeight="1" x14ac:dyDescent="0.2">
      <c r="B181" s="118"/>
      <c r="C181" s="205" t="s">
        <v>334</v>
      </c>
      <c r="D181" s="119" t="s">
        <v>231</v>
      </c>
      <c r="E181" s="120" t="s">
        <v>3159</v>
      </c>
      <c r="F181" s="121" t="s">
        <v>3160</v>
      </c>
      <c r="G181" s="122" t="s">
        <v>234</v>
      </c>
      <c r="H181" s="206">
        <v>3.4529999999999998</v>
      </c>
      <c r="I181" s="124">
        <v>171.83</v>
      </c>
      <c r="J181" s="124">
        <f t="shared" ref="J181:J202" si="24">ROUND(I181*H181,2)</f>
        <v>593.33000000000004</v>
      </c>
      <c r="K181" s="121" t="s">
        <v>1</v>
      </c>
      <c r="L181" s="24"/>
      <c r="M181" s="125" t="s">
        <v>1</v>
      </c>
      <c r="N181" s="126" t="s">
        <v>32</v>
      </c>
      <c r="O181" s="127">
        <v>0</v>
      </c>
      <c r="P181" s="127">
        <f t="shared" ref="P181:P202" si="25">O181*H181</f>
        <v>0</v>
      </c>
      <c r="Q181" s="127">
        <v>0</v>
      </c>
      <c r="R181" s="127">
        <f t="shared" ref="R181:R202" si="26">Q181*H181</f>
        <v>0</v>
      </c>
      <c r="S181" s="127">
        <v>0</v>
      </c>
      <c r="T181" s="128">
        <f t="shared" ref="T181:T202" si="27">S181*H181</f>
        <v>0</v>
      </c>
      <c r="W181" s="199"/>
      <c r="X181" s="205" t="s">
        <v>334</v>
      </c>
      <c r="Y181" s="119" t="s">
        <v>231</v>
      </c>
      <c r="Z181" s="120" t="s">
        <v>3159</v>
      </c>
      <c r="AA181" s="121" t="s">
        <v>3160</v>
      </c>
      <c r="AB181" s="122" t="s">
        <v>234</v>
      </c>
      <c r="AC181" s="206">
        <v>4.49</v>
      </c>
      <c r="AD181" s="124">
        <v>171.83</v>
      </c>
      <c r="AE181" s="200">
        <f t="shared" ref="AE181:AE202" si="28">ROUND(AD181*AC181,2)</f>
        <v>771.52</v>
      </c>
      <c r="AF181" s="956">
        <v>1</v>
      </c>
      <c r="AH181" s="130">
        <f t="shared" si="11"/>
        <v>1.0370000000000004</v>
      </c>
      <c r="AJ181" s="398">
        <f t="shared" si="12"/>
        <v>178.18771000000007</v>
      </c>
      <c r="AK181" s="409"/>
      <c r="AL181" s="408"/>
      <c r="AM181" s="407"/>
      <c r="AN181" s="407"/>
      <c r="AO181" s="407"/>
      <c r="AP181" s="407"/>
      <c r="AQ181" s="407"/>
      <c r="AR181" s="129" t="s">
        <v>235</v>
      </c>
      <c r="AT181" s="129" t="s">
        <v>231</v>
      </c>
      <c r="AU181" s="129" t="s">
        <v>76</v>
      </c>
      <c r="AY181" s="13" t="s">
        <v>228</v>
      </c>
      <c r="BE181" s="130">
        <f t="shared" ref="BE181:BE202" si="29">IF(N181="základná",J181,0)</f>
        <v>0</v>
      </c>
      <c r="BF181" s="130">
        <f t="shared" ref="BF181:BF202" si="30">IF(N181="znížená",J181,0)</f>
        <v>593.33000000000004</v>
      </c>
      <c r="BG181" s="130">
        <f t="shared" ref="BG181:BG202" si="31">IF(N181="zákl. prenesená",J181,0)</f>
        <v>0</v>
      </c>
      <c r="BH181" s="130">
        <f t="shared" ref="BH181:BH202" si="32">IF(N181="zníž. prenesená",J181,0)</f>
        <v>0</v>
      </c>
      <c r="BI181" s="130">
        <f t="shared" ref="BI181:BI202" si="33">IF(N181="nulová",J181,0)</f>
        <v>0</v>
      </c>
      <c r="BJ181" s="13" t="s">
        <v>76</v>
      </c>
      <c r="BK181" s="130">
        <f t="shared" ref="BK181:BK202" si="34">ROUND(I181*H181,2)</f>
        <v>593.33000000000004</v>
      </c>
      <c r="BL181" s="13" t="s">
        <v>235</v>
      </c>
      <c r="BM181" s="129" t="s">
        <v>337</v>
      </c>
    </row>
    <row r="182" spans="2:65" s="1" customFormat="1" ht="16.5" customHeight="1" x14ac:dyDescent="0.2">
      <c r="B182" s="118"/>
      <c r="C182" s="285" t="s">
        <v>285</v>
      </c>
      <c r="D182" s="119" t="s">
        <v>231</v>
      </c>
      <c r="E182" s="120" t="s">
        <v>3161</v>
      </c>
      <c r="F182" s="121" t="s">
        <v>3162</v>
      </c>
      <c r="G182" s="122" t="s">
        <v>234</v>
      </c>
      <c r="H182" s="288">
        <v>77.3</v>
      </c>
      <c r="I182" s="124">
        <v>162.54</v>
      </c>
      <c r="J182" s="124">
        <f t="shared" si="24"/>
        <v>12564.34</v>
      </c>
      <c r="K182" s="121" t="s">
        <v>1</v>
      </c>
      <c r="L182" s="24"/>
      <c r="M182" s="125" t="s">
        <v>1</v>
      </c>
      <c r="N182" s="126" t="s">
        <v>32</v>
      </c>
      <c r="O182" s="127">
        <v>0</v>
      </c>
      <c r="P182" s="127">
        <f t="shared" si="25"/>
        <v>0</v>
      </c>
      <c r="Q182" s="127">
        <v>0</v>
      </c>
      <c r="R182" s="127">
        <f t="shared" si="26"/>
        <v>0</v>
      </c>
      <c r="S182" s="127">
        <v>0</v>
      </c>
      <c r="T182" s="128">
        <f t="shared" si="27"/>
        <v>0</v>
      </c>
      <c r="W182" s="199"/>
      <c r="X182" s="285" t="s">
        <v>285</v>
      </c>
      <c r="Y182" s="119" t="s">
        <v>231</v>
      </c>
      <c r="Z182" s="120" t="s">
        <v>3161</v>
      </c>
      <c r="AA182" s="121" t="s">
        <v>3162</v>
      </c>
      <c r="AB182" s="122" t="s">
        <v>234</v>
      </c>
      <c r="AC182" s="288">
        <v>77.3</v>
      </c>
      <c r="AD182" s="124">
        <v>162.54</v>
      </c>
      <c r="AE182" s="200">
        <f t="shared" si="28"/>
        <v>12564.34</v>
      </c>
      <c r="AF182" s="956"/>
      <c r="AH182" s="130">
        <f t="shared" si="11"/>
        <v>0</v>
      </c>
      <c r="AJ182" s="398">
        <f t="shared" si="12"/>
        <v>0</v>
      </c>
      <c r="AK182" s="409"/>
      <c r="AL182" s="408"/>
      <c r="AM182" s="407"/>
      <c r="AN182" s="407"/>
      <c r="AO182" s="407"/>
      <c r="AP182" s="407"/>
      <c r="AQ182" s="407"/>
      <c r="AR182" s="129" t="s">
        <v>235</v>
      </c>
      <c r="AT182" s="129" t="s">
        <v>231</v>
      </c>
      <c r="AU182" s="129" t="s">
        <v>76</v>
      </c>
      <c r="AY182" s="13" t="s">
        <v>228</v>
      </c>
      <c r="BE182" s="130">
        <f t="shared" si="29"/>
        <v>0</v>
      </c>
      <c r="BF182" s="130">
        <f t="shared" si="30"/>
        <v>12564.34</v>
      </c>
      <c r="BG182" s="130">
        <f t="shared" si="31"/>
        <v>0</v>
      </c>
      <c r="BH182" s="130">
        <f t="shared" si="32"/>
        <v>0</v>
      </c>
      <c r="BI182" s="130">
        <f t="shared" si="33"/>
        <v>0</v>
      </c>
      <c r="BJ182" s="13" t="s">
        <v>76</v>
      </c>
      <c r="BK182" s="130">
        <f t="shared" si="34"/>
        <v>12564.34</v>
      </c>
      <c r="BL182" s="13" t="s">
        <v>235</v>
      </c>
      <c r="BM182" s="129" t="s">
        <v>340</v>
      </c>
    </row>
    <row r="183" spans="2:65" s="1" customFormat="1" ht="24" customHeight="1" x14ac:dyDescent="0.2">
      <c r="B183" s="118"/>
      <c r="C183" s="285" t="s">
        <v>341</v>
      </c>
      <c r="D183" s="119" t="s">
        <v>231</v>
      </c>
      <c r="E183" s="120" t="s">
        <v>3163</v>
      </c>
      <c r="F183" s="121" t="s">
        <v>3164</v>
      </c>
      <c r="G183" s="122" t="s">
        <v>234</v>
      </c>
      <c r="H183" s="288">
        <v>3.9430000000000001</v>
      </c>
      <c r="I183" s="124">
        <v>191.57</v>
      </c>
      <c r="J183" s="124">
        <f t="shared" si="24"/>
        <v>755.36</v>
      </c>
      <c r="K183" s="121" t="s">
        <v>1</v>
      </c>
      <c r="L183" s="24"/>
      <c r="M183" s="125" t="s">
        <v>1</v>
      </c>
      <c r="N183" s="126" t="s">
        <v>32</v>
      </c>
      <c r="O183" s="127">
        <v>0</v>
      </c>
      <c r="P183" s="127">
        <f t="shared" si="25"/>
        <v>0</v>
      </c>
      <c r="Q183" s="127">
        <v>0</v>
      </c>
      <c r="R183" s="127">
        <f t="shared" si="26"/>
        <v>0</v>
      </c>
      <c r="S183" s="127">
        <v>0</v>
      </c>
      <c r="T183" s="128">
        <f t="shared" si="27"/>
        <v>0</v>
      </c>
      <c r="W183" s="199"/>
      <c r="X183" s="285" t="s">
        <v>341</v>
      </c>
      <c r="Y183" s="119" t="s">
        <v>231</v>
      </c>
      <c r="Z183" s="120" t="s">
        <v>3163</v>
      </c>
      <c r="AA183" s="121" t="s">
        <v>3164</v>
      </c>
      <c r="AB183" s="122" t="s">
        <v>234</v>
      </c>
      <c r="AC183" s="288">
        <v>3.9430000000000001</v>
      </c>
      <c r="AD183" s="124">
        <v>191.57</v>
      </c>
      <c r="AE183" s="200">
        <f t="shared" si="28"/>
        <v>755.36</v>
      </c>
      <c r="AF183" s="956"/>
      <c r="AH183" s="130">
        <f t="shared" si="11"/>
        <v>0</v>
      </c>
      <c r="AJ183" s="398">
        <f t="shared" si="12"/>
        <v>0</v>
      </c>
      <c r="AK183" s="409"/>
      <c r="AL183" s="408"/>
      <c r="AM183" s="407"/>
      <c r="AN183" s="407"/>
      <c r="AO183" s="407"/>
      <c r="AP183" s="407"/>
      <c r="AQ183" s="407"/>
      <c r="AR183" s="129" t="s">
        <v>235</v>
      </c>
      <c r="AT183" s="129" t="s">
        <v>231</v>
      </c>
      <c r="AU183" s="129" t="s">
        <v>76</v>
      </c>
      <c r="AY183" s="13" t="s">
        <v>228</v>
      </c>
      <c r="BE183" s="130">
        <f t="shared" si="29"/>
        <v>0</v>
      </c>
      <c r="BF183" s="130">
        <f t="shared" si="30"/>
        <v>755.36</v>
      </c>
      <c r="BG183" s="130">
        <f t="shared" si="31"/>
        <v>0</v>
      </c>
      <c r="BH183" s="130">
        <f t="shared" si="32"/>
        <v>0</v>
      </c>
      <c r="BI183" s="130">
        <f t="shared" si="33"/>
        <v>0</v>
      </c>
      <c r="BJ183" s="13" t="s">
        <v>76</v>
      </c>
      <c r="BK183" s="130">
        <f t="shared" si="34"/>
        <v>755.36</v>
      </c>
      <c r="BL183" s="13" t="s">
        <v>235</v>
      </c>
      <c r="BM183" s="129" t="s">
        <v>344</v>
      </c>
    </row>
    <row r="184" spans="2:65" s="670" customFormat="1" ht="24" customHeight="1" x14ac:dyDescent="0.2">
      <c r="B184" s="118"/>
      <c r="C184" s="1234" t="s">
        <v>5205</v>
      </c>
      <c r="D184" s="1235"/>
      <c r="E184" s="1235"/>
      <c r="F184" s="1235"/>
      <c r="G184" s="1235"/>
      <c r="H184" s="1235"/>
      <c r="I184" s="1235"/>
      <c r="J184" s="1236"/>
      <c r="K184" s="121"/>
      <c r="L184" s="24"/>
      <c r="M184" s="125"/>
      <c r="N184" s="126"/>
      <c r="O184" s="127"/>
      <c r="P184" s="127"/>
      <c r="Q184" s="127"/>
      <c r="R184" s="127"/>
      <c r="S184" s="127"/>
      <c r="T184" s="128"/>
      <c r="W184" s="199"/>
      <c r="X184" s="207" t="s">
        <v>6424</v>
      </c>
      <c r="Y184" s="341"/>
      <c r="Z184" s="342" t="s">
        <v>6422</v>
      </c>
      <c r="AA184" s="343" t="s">
        <v>6423</v>
      </c>
      <c r="AB184" s="344" t="s">
        <v>1194</v>
      </c>
      <c r="AC184" s="345">
        <v>4</v>
      </c>
      <c r="AD184" s="346">
        <v>28.03</v>
      </c>
      <c r="AE184" s="355">
        <f t="shared" si="28"/>
        <v>112.12</v>
      </c>
      <c r="AF184" s="956" t="s">
        <v>6425</v>
      </c>
      <c r="AH184" s="130"/>
      <c r="AJ184" s="398"/>
      <c r="AK184" s="409"/>
      <c r="AL184" s="408"/>
      <c r="AM184" s="407"/>
      <c r="AN184" s="407"/>
      <c r="AO184" s="407"/>
      <c r="AP184" s="407"/>
      <c r="AQ184" s="407"/>
      <c r="AR184" s="129"/>
      <c r="AT184" s="129"/>
      <c r="AU184" s="129"/>
      <c r="AY184" s="13"/>
      <c r="BE184" s="130"/>
      <c r="BF184" s="130"/>
      <c r="BG184" s="130"/>
      <c r="BH184" s="130"/>
      <c r="BI184" s="130"/>
      <c r="BJ184" s="13"/>
      <c r="BK184" s="130"/>
      <c r="BL184" s="13"/>
      <c r="BM184" s="129"/>
    </row>
    <row r="185" spans="2:65" s="339" customFormat="1" ht="24" customHeight="1" x14ac:dyDescent="0.2">
      <c r="B185" s="118"/>
      <c r="C185" s="1234" t="s">
        <v>5205</v>
      </c>
      <c r="D185" s="1235"/>
      <c r="E185" s="1235"/>
      <c r="F185" s="1235"/>
      <c r="G185" s="1235"/>
      <c r="H185" s="1235"/>
      <c r="I185" s="1235"/>
      <c r="J185" s="1236"/>
      <c r="K185" s="121"/>
      <c r="L185" s="24"/>
      <c r="M185" s="125"/>
      <c r="N185" s="126"/>
      <c r="O185" s="127"/>
      <c r="P185" s="127"/>
      <c r="Q185" s="127"/>
      <c r="R185" s="127"/>
      <c r="S185" s="127"/>
      <c r="T185" s="128"/>
      <c r="W185" s="199"/>
      <c r="X185" s="341" t="s">
        <v>5383</v>
      </c>
      <c r="Y185" s="341" t="s">
        <v>231</v>
      </c>
      <c r="Z185" s="342" t="s">
        <v>5695</v>
      </c>
      <c r="AA185" s="343" t="s">
        <v>5696</v>
      </c>
      <c r="AB185" s="344" t="s">
        <v>1194</v>
      </c>
      <c r="AC185" s="345">
        <v>3</v>
      </c>
      <c r="AD185" s="346">
        <v>22.7</v>
      </c>
      <c r="AE185" s="355">
        <f t="shared" si="28"/>
        <v>68.099999999999994</v>
      </c>
      <c r="AF185" s="956">
        <v>1</v>
      </c>
      <c r="AH185" s="130">
        <f t="shared" si="11"/>
        <v>3</v>
      </c>
      <c r="AJ185" s="398">
        <f t="shared" si="12"/>
        <v>68.099999999999994</v>
      </c>
      <c r="AK185" s="409"/>
      <c r="AL185" s="408"/>
      <c r="AM185" s="407"/>
      <c r="AN185" s="407"/>
      <c r="AO185" s="407"/>
      <c r="AP185" s="407"/>
      <c r="AQ185" s="407"/>
      <c r="AR185" s="129"/>
      <c r="AT185" s="129"/>
      <c r="AU185" s="129"/>
      <c r="AY185" s="13"/>
      <c r="BE185" s="130"/>
      <c r="BF185" s="130"/>
      <c r="BG185" s="130"/>
      <c r="BH185" s="130"/>
      <c r="BI185" s="130"/>
      <c r="BJ185" s="13"/>
      <c r="BK185" s="130"/>
      <c r="BL185" s="13"/>
      <c r="BM185" s="129"/>
    </row>
    <row r="186" spans="2:65" s="339" customFormat="1" ht="24" customHeight="1" x14ac:dyDescent="0.2">
      <c r="B186" s="118"/>
      <c r="C186" s="1234" t="s">
        <v>5205</v>
      </c>
      <c r="D186" s="1235"/>
      <c r="E186" s="1235"/>
      <c r="F186" s="1235"/>
      <c r="G186" s="1235"/>
      <c r="H186" s="1235"/>
      <c r="I186" s="1235"/>
      <c r="J186" s="1236"/>
      <c r="K186" s="121"/>
      <c r="L186" s="24"/>
      <c r="M186" s="125"/>
      <c r="N186" s="126"/>
      <c r="O186" s="127"/>
      <c r="P186" s="127"/>
      <c r="Q186" s="127"/>
      <c r="R186" s="127"/>
      <c r="S186" s="127"/>
      <c r="T186" s="128"/>
      <c r="W186" s="199"/>
      <c r="X186" s="341" t="s">
        <v>5384</v>
      </c>
      <c r="Y186" s="341" t="s">
        <v>231</v>
      </c>
      <c r="Z186" s="342" t="s">
        <v>5697</v>
      </c>
      <c r="AA186" s="343" t="s">
        <v>5698</v>
      </c>
      <c r="AB186" s="344" t="s">
        <v>1194</v>
      </c>
      <c r="AC186" s="345">
        <v>12</v>
      </c>
      <c r="AD186" s="346">
        <v>28.4</v>
      </c>
      <c r="AE186" s="355">
        <f t="shared" si="28"/>
        <v>340.8</v>
      </c>
      <c r="AF186" s="956">
        <v>1</v>
      </c>
      <c r="AH186" s="130">
        <f t="shared" si="11"/>
        <v>12</v>
      </c>
      <c r="AJ186" s="398">
        <f t="shared" si="12"/>
        <v>340.79999999999995</v>
      </c>
      <c r="AK186" s="409"/>
      <c r="AL186" s="408"/>
      <c r="AM186" s="407"/>
      <c r="AN186" s="407"/>
      <c r="AO186" s="407"/>
      <c r="AP186" s="407"/>
      <c r="AQ186" s="407"/>
      <c r="AR186" s="129"/>
      <c r="AT186" s="129"/>
      <c r="AU186" s="129"/>
      <c r="AY186" s="13"/>
      <c r="BE186" s="130"/>
      <c r="BF186" s="130"/>
      <c r="BG186" s="130"/>
      <c r="BH186" s="130"/>
      <c r="BI186" s="130"/>
      <c r="BJ186" s="13"/>
      <c r="BK186" s="130"/>
      <c r="BL186" s="13"/>
      <c r="BM186" s="129"/>
    </row>
    <row r="187" spans="2:65" s="339" customFormat="1" ht="24" customHeight="1" x14ac:dyDescent="0.2">
      <c r="B187" s="118"/>
      <c r="C187" s="1234" t="s">
        <v>5205</v>
      </c>
      <c r="D187" s="1235"/>
      <c r="E187" s="1235"/>
      <c r="F187" s="1235"/>
      <c r="G187" s="1235"/>
      <c r="H187" s="1235"/>
      <c r="I187" s="1235"/>
      <c r="J187" s="1236"/>
      <c r="K187" s="121"/>
      <c r="L187" s="24"/>
      <c r="M187" s="125"/>
      <c r="N187" s="126"/>
      <c r="O187" s="127"/>
      <c r="P187" s="127"/>
      <c r="Q187" s="127"/>
      <c r="R187" s="127"/>
      <c r="S187" s="127"/>
      <c r="T187" s="128"/>
      <c r="W187" s="199"/>
      <c r="X187" s="341" t="s">
        <v>5705</v>
      </c>
      <c r="Y187" s="341" t="s">
        <v>231</v>
      </c>
      <c r="Z187" s="342" t="s">
        <v>5699</v>
      </c>
      <c r="AA187" s="343" t="s">
        <v>5700</v>
      </c>
      <c r="AB187" s="344" t="s">
        <v>1194</v>
      </c>
      <c r="AC187" s="345">
        <v>9</v>
      </c>
      <c r="AD187" s="346">
        <v>31.78</v>
      </c>
      <c r="AE187" s="355">
        <f t="shared" si="28"/>
        <v>286.02</v>
      </c>
      <c r="AF187" s="956">
        <v>1</v>
      </c>
      <c r="AH187" s="130">
        <f t="shared" si="11"/>
        <v>9</v>
      </c>
      <c r="AJ187" s="398">
        <f t="shared" si="12"/>
        <v>286.02</v>
      </c>
      <c r="AK187" s="409"/>
      <c r="AL187" s="408"/>
      <c r="AM187" s="407"/>
      <c r="AN187" s="407"/>
      <c r="AO187" s="407"/>
      <c r="AP187" s="407"/>
      <c r="AQ187" s="407"/>
      <c r="AR187" s="129"/>
      <c r="AT187" s="129"/>
      <c r="AU187" s="129"/>
      <c r="AY187" s="13"/>
      <c r="BE187" s="130"/>
      <c r="BF187" s="130"/>
      <c r="BG187" s="130"/>
      <c r="BH187" s="130"/>
      <c r="BI187" s="130"/>
      <c r="BJ187" s="13"/>
      <c r="BK187" s="130"/>
      <c r="BL187" s="13"/>
      <c r="BM187" s="129"/>
    </row>
    <row r="188" spans="2:65" s="339" customFormat="1" ht="24" customHeight="1" x14ac:dyDescent="0.2">
      <c r="B188" s="118"/>
      <c r="C188" s="1234" t="s">
        <v>5205</v>
      </c>
      <c r="D188" s="1235"/>
      <c r="E188" s="1235"/>
      <c r="F188" s="1235"/>
      <c r="G188" s="1235"/>
      <c r="H188" s="1235"/>
      <c r="I188" s="1235"/>
      <c r="J188" s="1236"/>
      <c r="K188" s="121"/>
      <c r="L188" s="24"/>
      <c r="M188" s="125"/>
      <c r="N188" s="126"/>
      <c r="O188" s="127"/>
      <c r="P188" s="127"/>
      <c r="Q188" s="127"/>
      <c r="R188" s="127"/>
      <c r="S188" s="127"/>
      <c r="T188" s="128"/>
      <c r="W188" s="199"/>
      <c r="X188" s="341" t="s">
        <v>5706</v>
      </c>
      <c r="Y188" s="341" t="s">
        <v>231</v>
      </c>
      <c r="Z188" s="342" t="s">
        <v>5701</v>
      </c>
      <c r="AA188" s="343" t="s">
        <v>5702</v>
      </c>
      <c r="AB188" s="344" t="s">
        <v>1194</v>
      </c>
      <c r="AC188" s="345">
        <v>9</v>
      </c>
      <c r="AD188" s="346">
        <v>38.619999999999997</v>
      </c>
      <c r="AE188" s="355">
        <f t="shared" si="28"/>
        <v>347.58</v>
      </c>
      <c r="AF188" s="956">
        <v>1</v>
      </c>
      <c r="AH188" s="130">
        <f t="shared" si="11"/>
        <v>9</v>
      </c>
      <c r="AJ188" s="398">
        <f t="shared" si="12"/>
        <v>347.58</v>
      </c>
      <c r="AK188" s="409"/>
      <c r="AL188" s="408"/>
      <c r="AM188" s="407"/>
      <c r="AN188" s="407"/>
      <c r="AO188" s="407"/>
      <c r="AP188" s="407"/>
      <c r="AQ188" s="407"/>
      <c r="AR188" s="129"/>
      <c r="AT188" s="129"/>
      <c r="AU188" s="129"/>
      <c r="AY188" s="13"/>
      <c r="BE188" s="130"/>
      <c r="BF188" s="130"/>
      <c r="BG188" s="130"/>
      <c r="BH188" s="130"/>
      <c r="BI188" s="130"/>
      <c r="BJ188" s="13"/>
      <c r="BK188" s="130"/>
      <c r="BL188" s="13"/>
      <c r="BM188" s="129"/>
    </row>
    <row r="189" spans="2:65" s="339" customFormat="1" ht="24" customHeight="1" x14ac:dyDescent="0.2">
      <c r="B189" s="118"/>
      <c r="C189" s="1234" t="s">
        <v>5205</v>
      </c>
      <c r="D189" s="1235"/>
      <c r="E189" s="1235"/>
      <c r="F189" s="1235"/>
      <c r="G189" s="1235"/>
      <c r="H189" s="1235"/>
      <c r="I189" s="1235"/>
      <c r="J189" s="1236"/>
      <c r="K189" s="121"/>
      <c r="L189" s="24"/>
      <c r="M189" s="125"/>
      <c r="N189" s="126"/>
      <c r="O189" s="127"/>
      <c r="P189" s="127"/>
      <c r="Q189" s="127"/>
      <c r="R189" s="127"/>
      <c r="S189" s="127"/>
      <c r="T189" s="128"/>
      <c r="W189" s="199"/>
      <c r="X189" s="341" t="s">
        <v>5707</v>
      </c>
      <c r="Y189" s="341" t="s">
        <v>231</v>
      </c>
      <c r="Z189" s="342" t="s">
        <v>5703</v>
      </c>
      <c r="AA189" s="343" t="s">
        <v>5704</v>
      </c>
      <c r="AB189" s="344" t="s">
        <v>1194</v>
      </c>
      <c r="AC189" s="345">
        <v>24</v>
      </c>
      <c r="AD189" s="346">
        <v>43.47</v>
      </c>
      <c r="AE189" s="355">
        <f t="shared" si="28"/>
        <v>1043.28</v>
      </c>
      <c r="AF189" s="956">
        <v>1</v>
      </c>
      <c r="AH189" s="130">
        <f t="shared" si="11"/>
        <v>24</v>
      </c>
      <c r="AJ189" s="398">
        <f t="shared" si="12"/>
        <v>1043.28</v>
      </c>
      <c r="AK189" s="409"/>
      <c r="AL189" s="408"/>
      <c r="AM189" s="407"/>
      <c r="AN189" s="407"/>
      <c r="AO189" s="407"/>
      <c r="AP189" s="407"/>
      <c r="AQ189" s="407"/>
      <c r="AR189" s="129"/>
      <c r="AT189" s="129"/>
      <c r="AU189" s="129"/>
      <c r="AY189" s="13"/>
      <c r="BE189" s="130"/>
      <c r="BF189" s="130"/>
      <c r="BG189" s="130"/>
      <c r="BH189" s="130"/>
      <c r="BI189" s="130"/>
      <c r="BJ189" s="13"/>
      <c r="BK189" s="130"/>
      <c r="BL189" s="13"/>
      <c r="BM189" s="129"/>
    </row>
    <row r="190" spans="2:65" s="1" customFormat="1" ht="24" customHeight="1" x14ac:dyDescent="0.2">
      <c r="B190" s="118"/>
      <c r="C190" s="285" t="s">
        <v>288</v>
      </c>
      <c r="D190" s="285" t="s">
        <v>231</v>
      </c>
      <c r="E190" s="286" t="s">
        <v>3165</v>
      </c>
      <c r="F190" s="240" t="s">
        <v>3166</v>
      </c>
      <c r="G190" s="287" t="s">
        <v>284</v>
      </c>
      <c r="H190" s="288">
        <v>41.341999999999999</v>
      </c>
      <c r="I190" s="124">
        <v>25.54</v>
      </c>
      <c r="J190" s="124">
        <f t="shared" si="24"/>
        <v>1055.8699999999999</v>
      </c>
      <c r="K190" s="121" t="s">
        <v>1</v>
      </c>
      <c r="L190" s="24"/>
      <c r="M190" s="125" t="s">
        <v>1</v>
      </c>
      <c r="N190" s="126" t="s">
        <v>32</v>
      </c>
      <c r="O190" s="127">
        <v>0</v>
      </c>
      <c r="P190" s="127">
        <f t="shared" si="25"/>
        <v>0</v>
      </c>
      <c r="Q190" s="127">
        <v>0</v>
      </c>
      <c r="R190" s="127">
        <f t="shared" si="26"/>
        <v>0</v>
      </c>
      <c r="S190" s="127">
        <v>0</v>
      </c>
      <c r="T190" s="128">
        <f t="shared" si="27"/>
        <v>0</v>
      </c>
      <c r="W190" s="199"/>
      <c r="X190" s="285" t="s">
        <v>288</v>
      </c>
      <c r="Y190" s="285" t="s">
        <v>231</v>
      </c>
      <c r="Z190" s="286" t="s">
        <v>3165</v>
      </c>
      <c r="AA190" s="240" t="s">
        <v>3166</v>
      </c>
      <c r="AB190" s="287" t="s">
        <v>284</v>
      </c>
      <c r="AC190" s="288">
        <v>41.341999999999999</v>
      </c>
      <c r="AD190" s="124">
        <v>25.54</v>
      </c>
      <c r="AE190" s="200">
        <f t="shared" si="28"/>
        <v>1055.8699999999999</v>
      </c>
      <c r="AF190" s="956"/>
      <c r="AH190" s="130">
        <f t="shared" si="11"/>
        <v>0</v>
      </c>
      <c r="AJ190" s="398">
        <f t="shared" si="12"/>
        <v>0</v>
      </c>
      <c r="AK190" s="409"/>
      <c r="AL190" s="408"/>
      <c r="AM190" s="407"/>
      <c r="AN190" s="407"/>
      <c r="AO190" s="407"/>
      <c r="AP190" s="407"/>
      <c r="AQ190" s="407"/>
      <c r="AR190" s="129" t="s">
        <v>235</v>
      </c>
      <c r="AT190" s="129" t="s">
        <v>231</v>
      </c>
      <c r="AU190" s="129" t="s">
        <v>76</v>
      </c>
      <c r="AY190" s="13" t="s">
        <v>228</v>
      </c>
      <c r="BE190" s="130">
        <f t="shared" si="29"/>
        <v>0</v>
      </c>
      <c r="BF190" s="130">
        <f t="shared" si="30"/>
        <v>1055.8699999999999</v>
      </c>
      <c r="BG190" s="130">
        <f t="shared" si="31"/>
        <v>0</v>
      </c>
      <c r="BH190" s="130">
        <f t="shared" si="32"/>
        <v>0</v>
      </c>
      <c r="BI190" s="130">
        <f t="shared" si="33"/>
        <v>0</v>
      </c>
      <c r="BJ190" s="13" t="s">
        <v>76</v>
      </c>
      <c r="BK190" s="130">
        <f t="shared" si="34"/>
        <v>1055.8699999999999</v>
      </c>
      <c r="BL190" s="13" t="s">
        <v>235</v>
      </c>
      <c r="BM190" s="129" t="s">
        <v>347</v>
      </c>
    </row>
    <row r="191" spans="2:65" s="1" customFormat="1" ht="24" customHeight="1" x14ac:dyDescent="0.2">
      <c r="B191" s="118"/>
      <c r="C191" s="285" t="s">
        <v>348</v>
      </c>
      <c r="D191" s="285" t="s">
        <v>231</v>
      </c>
      <c r="E191" s="286" t="s">
        <v>3167</v>
      </c>
      <c r="F191" s="240" t="s">
        <v>3168</v>
      </c>
      <c r="G191" s="287" t="s">
        <v>284</v>
      </c>
      <c r="H191" s="288">
        <v>41.341999999999999</v>
      </c>
      <c r="I191" s="124">
        <v>5.81</v>
      </c>
      <c r="J191" s="124">
        <f t="shared" si="24"/>
        <v>240.2</v>
      </c>
      <c r="K191" s="121" t="s">
        <v>1</v>
      </c>
      <c r="L191" s="24"/>
      <c r="M191" s="125" t="s">
        <v>1</v>
      </c>
      <c r="N191" s="126" t="s">
        <v>32</v>
      </c>
      <c r="O191" s="127">
        <v>0</v>
      </c>
      <c r="P191" s="127">
        <f t="shared" si="25"/>
        <v>0</v>
      </c>
      <c r="Q191" s="127">
        <v>0</v>
      </c>
      <c r="R191" s="127">
        <f t="shared" si="26"/>
        <v>0</v>
      </c>
      <c r="S191" s="127">
        <v>0</v>
      </c>
      <c r="T191" s="128">
        <f t="shared" si="27"/>
        <v>0</v>
      </c>
      <c r="W191" s="199"/>
      <c r="X191" s="285" t="s">
        <v>348</v>
      </c>
      <c r="Y191" s="285" t="s">
        <v>231</v>
      </c>
      <c r="Z191" s="286" t="s">
        <v>3167</v>
      </c>
      <c r="AA191" s="240" t="s">
        <v>3168</v>
      </c>
      <c r="AB191" s="287" t="s">
        <v>284</v>
      </c>
      <c r="AC191" s="288">
        <v>41.341999999999999</v>
      </c>
      <c r="AD191" s="124">
        <v>5.81</v>
      </c>
      <c r="AE191" s="200">
        <f t="shared" si="28"/>
        <v>240.2</v>
      </c>
      <c r="AF191" s="956"/>
      <c r="AH191" s="130">
        <f t="shared" si="11"/>
        <v>0</v>
      </c>
      <c r="AJ191" s="398">
        <f t="shared" si="12"/>
        <v>0</v>
      </c>
      <c r="AK191" s="409"/>
      <c r="AL191" s="408"/>
      <c r="AM191" s="407"/>
      <c r="AN191" s="407"/>
      <c r="AO191" s="407"/>
      <c r="AP191" s="407"/>
      <c r="AQ191" s="407"/>
      <c r="AR191" s="129" t="s">
        <v>235</v>
      </c>
      <c r="AT191" s="129" t="s">
        <v>231</v>
      </c>
      <c r="AU191" s="129" t="s">
        <v>76</v>
      </c>
      <c r="AY191" s="13" t="s">
        <v>228</v>
      </c>
      <c r="BE191" s="130">
        <f t="shared" si="29"/>
        <v>0</v>
      </c>
      <c r="BF191" s="130">
        <f t="shared" si="30"/>
        <v>240.2</v>
      </c>
      <c r="BG191" s="130">
        <f t="shared" si="31"/>
        <v>0</v>
      </c>
      <c r="BH191" s="130">
        <f t="shared" si="32"/>
        <v>0</v>
      </c>
      <c r="BI191" s="130">
        <f t="shared" si="33"/>
        <v>0</v>
      </c>
      <c r="BJ191" s="13" t="s">
        <v>76</v>
      </c>
      <c r="BK191" s="130">
        <f t="shared" si="34"/>
        <v>240.2</v>
      </c>
      <c r="BL191" s="13" t="s">
        <v>235</v>
      </c>
      <c r="BM191" s="129" t="s">
        <v>351</v>
      </c>
    </row>
    <row r="192" spans="2:65" s="1" customFormat="1" ht="16.5" customHeight="1" x14ac:dyDescent="0.2">
      <c r="B192" s="118"/>
      <c r="C192" s="285" t="s">
        <v>293</v>
      </c>
      <c r="D192" s="119" t="s">
        <v>231</v>
      </c>
      <c r="E192" s="120" t="s">
        <v>3169</v>
      </c>
      <c r="F192" s="121" t="s">
        <v>3170</v>
      </c>
      <c r="G192" s="122" t="s">
        <v>271</v>
      </c>
      <c r="H192" s="288">
        <v>0.77</v>
      </c>
      <c r="I192" s="124">
        <v>1044.9000000000001</v>
      </c>
      <c r="J192" s="124">
        <f t="shared" si="24"/>
        <v>804.57</v>
      </c>
      <c r="K192" s="121" t="s">
        <v>1</v>
      </c>
      <c r="L192" s="24"/>
      <c r="M192" s="125" t="s">
        <v>1</v>
      </c>
      <c r="N192" s="126" t="s">
        <v>32</v>
      </c>
      <c r="O192" s="127">
        <v>0</v>
      </c>
      <c r="P192" s="127">
        <f t="shared" si="25"/>
        <v>0</v>
      </c>
      <c r="Q192" s="127">
        <v>0</v>
      </c>
      <c r="R192" s="127">
        <f t="shared" si="26"/>
        <v>0</v>
      </c>
      <c r="S192" s="127">
        <v>0</v>
      </c>
      <c r="T192" s="128">
        <f t="shared" si="27"/>
        <v>0</v>
      </c>
      <c r="W192" s="199"/>
      <c r="X192" s="285" t="s">
        <v>293</v>
      </c>
      <c r="Y192" s="119" t="s">
        <v>231</v>
      </c>
      <c r="Z192" s="120" t="s">
        <v>3169</v>
      </c>
      <c r="AA192" s="121" t="s">
        <v>3170</v>
      </c>
      <c r="AB192" s="122" t="s">
        <v>271</v>
      </c>
      <c r="AC192" s="288">
        <v>0.77</v>
      </c>
      <c r="AD192" s="124">
        <v>1044.9000000000001</v>
      </c>
      <c r="AE192" s="200">
        <f t="shared" si="28"/>
        <v>804.57</v>
      </c>
      <c r="AF192" s="956"/>
      <c r="AH192" s="130"/>
      <c r="AJ192" s="398">
        <f t="shared" si="12"/>
        <v>0</v>
      </c>
      <c r="AK192" s="409"/>
      <c r="AL192" s="408"/>
      <c r="AM192" s="407"/>
      <c r="AN192" s="407"/>
      <c r="AO192" s="407"/>
      <c r="AP192" s="407"/>
      <c r="AQ192" s="407"/>
      <c r="AR192" s="129" t="s">
        <v>235</v>
      </c>
      <c r="AT192" s="129" t="s">
        <v>231</v>
      </c>
      <c r="AU192" s="129" t="s">
        <v>76</v>
      </c>
      <c r="AY192" s="13" t="s">
        <v>228</v>
      </c>
      <c r="BE192" s="130">
        <f t="shared" si="29"/>
        <v>0</v>
      </c>
      <c r="BF192" s="130">
        <f t="shared" si="30"/>
        <v>804.57</v>
      </c>
      <c r="BG192" s="130">
        <f t="shared" si="31"/>
        <v>0</v>
      </c>
      <c r="BH192" s="130">
        <f t="shared" si="32"/>
        <v>0</v>
      </c>
      <c r="BI192" s="130">
        <f t="shared" si="33"/>
        <v>0</v>
      </c>
      <c r="BJ192" s="13" t="s">
        <v>76</v>
      </c>
      <c r="BK192" s="130">
        <f t="shared" si="34"/>
        <v>804.57</v>
      </c>
      <c r="BL192" s="13" t="s">
        <v>235</v>
      </c>
      <c r="BM192" s="129" t="s">
        <v>354</v>
      </c>
    </row>
    <row r="193" spans="2:65" s="1" customFormat="1" ht="33" customHeight="1" x14ac:dyDescent="0.2">
      <c r="B193" s="118"/>
      <c r="C193" s="285" t="s">
        <v>355</v>
      </c>
      <c r="D193" s="285" t="s">
        <v>231</v>
      </c>
      <c r="E193" s="286" t="s">
        <v>3171</v>
      </c>
      <c r="F193" s="240" t="s">
        <v>3172</v>
      </c>
      <c r="G193" s="287" t="s">
        <v>234</v>
      </c>
      <c r="H193" s="288">
        <v>6.85</v>
      </c>
      <c r="I193" s="289">
        <v>191.57</v>
      </c>
      <c r="J193" s="289">
        <f t="shared" si="24"/>
        <v>1312.25</v>
      </c>
      <c r="K193" s="240" t="s">
        <v>1</v>
      </c>
      <c r="L193" s="447"/>
      <c r="M193" s="448" t="s">
        <v>1</v>
      </c>
      <c r="N193" s="449" t="s">
        <v>32</v>
      </c>
      <c r="O193" s="450">
        <v>0</v>
      </c>
      <c r="P193" s="450">
        <f t="shared" si="25"/>
        <v>0</v>
      </c>
      <c r="Q193" s="450">
        <v>0</v>
      </c>
      <c r="R193" s="450">
        <f t="shared" si="26"/>
        <v>0</v>
      </c>
      <c r="S193" s="450">
        <v>0</v>
      </c>
      <c r="T193" s="451">
        <f t="shared" si="27"/>
        <v>0</v>
      </c>
      <c r="U193" s="407"/>
      <c r="V193" s="407"/>
      <c r="W193" s="452"/>
      <c r="X193" s="285" t="s">
        <v>355</v>
      </c>
      <c r="Y193" s="285" t="s">
        <v>231</v>
      </c>
      <c r="Z193" s="286" t="s">
        <v>3171</v>
      </c>
      <c r="AA193" s="240" t="s">
        <v>3172</v>
      </c>
      <c r="AB193" s="287" t="s">
        <v>234</v>
      </c>
      <c r="AC193" s="288">
        <v>6.85</v>
      </c>
      <c r="AD193" s="289">
        <v>191.57</v>
      </c>
      <c r="AE193" s="200">
        <f t="shared" si="28"/>
        <v>1312.25</v>
      </c>
      <c r="AF193" s="956"/>
      <c r="AH193" s="130">
        <f t="shared" si="11"/>
        <v>0</v>
      </c>
      <c r="AJ193" s="398">
        <f t="shared" si="12"/>
        <v>0</v>
      </c>
      <c r="AK193" s="409"/>
      <c r="AL193" s="408"/>
      <c r="AM193" s="407"/>
      <c r="AN193" s="407"/>
      <c r="AO193" s="407"/>
      <c r="AP193" s="407"/>
      <c r="AQ193" s="407"/>
      <c r="AR193" s="129" t="s">
        <v>235</v>
      </c>
      <c r="AT193" s="129" t="s">
        <v>231</v>
      </c>
      <c r="AU193" s="129" t="s">
        <v>76</v>
      </c>
      <c r="AY193" s="13" t="s">
        <v>228</v>
      </c>
      <c r="BE193" s="130">
        <f t="shared" si="29"/>
        <v>0</v>
      </c>
      <c r="BF193" s="130">
        <f t="shared" si="30"/>
        <v>1312.25</v>
      </c>
      <c r="BG193" s="130">
        <f t="shared" si="31"/>
        <v>0</v>
      </c>
      <c r="BH193" s="130">
        <f t="shared" si="32"/>
        <v>0</v>
      </c>
      <c r="BI193" s="130">
        <f t="shared" si="33"/>
        <v>0</v>
      </c>
      <c r="BJ193" s="13" t="s">
        <v>76</v>
      </c>
      <c r="BK193" s="130">
        <f t="shared" si="34"/>
        <v>1312.25</v>
      </c>
      <c r="BL193" s="13" t="s">
        <v>235</v>
      </c>
      <c r="BM193" s="129" t="s">
        <v>358</v>
      </c>
    </row>
    <row r="194" spans="2:65" s="1" customFormat="1" ht="24" customHeight="1" x14ac:dyDescent="0.2">
      <c r="B194" s="118"/>
      <c r="C194" s="285" t="s">
        <v>296</v>
      </c>
      <c r="D194" s="285" t="s">
        <v>231</v>
      </c>
      <c r="E194" s="286" t="s">
        <v>3173</v>
      </c>
      <c r="F194" s="240" t="s">
        <v>3174</v>
      </c>
      <c r="G194" s="287" t="s">
        <v>284</v>
      </c>
      <c r="H194" s="288">
        <v>88.27</v>
      </c>
      <c r="I194" s="289">
        <v>19.739999999999998</v>
      </c>
      <c r="J194" s="289">
        <f t="shared" si="24"/>
        <v>1742.45</v>
      </c>
      <c r="K194" s="240" t="s">
        <v>1</v>
      </c>
      <c r="L194" s="447"/>
      <c r="M194" s="448" t="s">
        <v>1</v>
      </c>
      <c r="N194" s="449" t="s">
        <v>32</v>
      </c>
      <c r="O194" s="450">
        <v>0</v>
      </c>
      <c r="P194" s="450">
        <f t="shared" si="25"/>
        <v>0</v>
      </c>
      <c r="Q194" s="450">
        <v>0</v>
      </c>
      <c r="R194" s="450">
        <f t="shared" si="26"/>
        <v>0</v>
      </c>
      <c r="S194" s="450">
        <v>0</v>
      </c>
      <c r="T194" s="451">
        <f t="shared" si="27"/>
        <v>0</v>
      </c>
      <c r="U194" s="407"/>
      <c r="V194" s="407"/>
      <c r="W194" s="452"/>
      <c r="X194" s="285" t="s">
        <v>296</v>
      </c>
      <c r="Y194" s="285" t="s">
        <v>231</v>
      </c>
      <c r="Z194" s="286" t="s">
        <v>3173</v>
      </c>
      <c r="AA194" s="240" t="s">
        <v>3174</v>
      </c>
      <c r="AB194" s="287" t="s">
        <v>284</v>
      </c>
      <c r="AC194" s="288">
        <v>88.27</v>
      </c>
      <c r="AD194" s="289">
        <v>19.739999999999998</v>
      </c>
      <c r="AE194" s="200">
        <f t="shared" si="28"/>
        <v>1742.45</v>
      </c>
      <c r="AF194" s="956"/>
      <c r="AH194" s="130">
        <f t="shared" si="11"/>
        <v>0</v>
      </c>
      <c r="AJ194" s="398">
        <f t="shared" si="12"/>
        <v>0</v>
      </c>
      <c r="AK194" s="409"/>
      <c r="AL194" s="408"/>
      <c r="AM194" s="407"/>
      <c r="AN194" s="407"/>
      <c r="AO194" s="407"/>
      <c r="AP194" s="407"/>
      <c r="AQ194" s="407"/>
      <c r="AR194" s="129" t="s">
        <v>235</v>
      </c>
      <c r="AT194" s="129" t="s">
        <v>231</v>
      </c>
      <c r="AU194" s="129" t="s">
        <v>76</v>
      </c>
      <c r="AY194" s="13" t="s">
        <v>228</v>
      </c>
      <c r="BE194" s="130">
        <f t="shared" si="29"/>
        <v>0</v>
      </c>
      <c r="BF194" s="130">
        <f t="shared" si="30"/>
        <v>1742.45</v>
      </c>
      <c r="BG194" s="130">
        <f t="shared" si="31"/>
        <v>0</v>
      </c>
      <c r="BH194" s="130">
        <f t="shared" si="32"/>
        <v>0</v>
      </c>
      <c r="BI194" s="130">
        <f t="shared" si="33"/>
        <v>0</v>
      </c>
      <c r="BJ194" s="13" t="s">
        <v>76</v>
      </c>
      <c r="BK194" s="130">
        <f t="shared" si="34"/>
        <v>1742.45</v>
      </c>
      <c r="BL194" s="13" t="s">
        <v>235</v>
      </c>
      <c r="BM194" s="129" t="s">
        <v>361</v>
      </c>
    </row>
    <row r="195" spans="2:65" s="1" customFormat="1" ht="24" customHeight="1" x14ac:dyDescent="0.2">
      <c r="B195" s="118"/>
      <c r="C195" s="285" t="s">
        <v>362</v>
      </c>
      <c r="D195" s="285" t="s">
        <v>231</v>
      </c>
      <c r="E195" s="286" t="s">
        <v>3175</v>
      </c>
      <c r="F195" s="240" t="s">
        <v>3176</v>
      </c>
      <c r="G195" s="287" t="s">
        <v>284</v>
      </c>
      <c r="H195" s="288">
        <v>88.27</v>
      </c>
      <c r="I195" s="289">
        <v>4.6399999999999997</v>
      </c>
      <c r="J195" s="289">
        <f t="shared" si="24"/>
        <v>409.57</v>
      </c>
      <c r="K195" s="240" t="s">
        <v>1</v>
      </c>
      <c r="L195" s="447"/>
      <c r="M195" s="448" t="s">
        <v>1</v>
      </c>
      <c r="N195" s="449" t="s">
        <v>32</v>
      </c>
      <c r="O195" s="450">
        <v>0</v>
      </c>
      <c r="P195" s="450">
        <f t="shared" si="25"/>
        <v>0</v>
      </c>
      <c r="Q195" s="450">
        <v>0</v>
      </c>
      <c r="R195" s="450">
        <f t="shared" si="26"/>
        <v>0</v>
      </c>
      <c r="S195" s="450">
        <v>0</v>
      </c>
      <c r="T195" s="451">
        <f t="shared" si="27"/>
        <v>0</v>
      </c>
      <c r="U195" s="407"/>
      <c r="V195" s="407"/>
      <c r="W195" s="452"/>
      <c r="X195" s="285" t="s">
        <v>362</v>
      </c>
      <c r="Y195" s="285" t="s">
        <v>231</v>
      </c>
      <c r="Z195" s="286" t="s">
        <v>3175</v>
      </c>
      <c r="AA195" s="240" t="s">
        <v>3176</v>
      </c>
      <c r="AB195" s="287" t="s">
        <v>284</v>
      </c>
      <c r="AC195" s="288">
        <v>88.27</v>
      </c>
      <c r="AD195" s="289">
        <v>4.6399999999999997</v>
      </c>
      <c r="AE195" s="200">
        <f t="shared" si="28"/>
        <v>409.57</v>
      </c>
      <c r="AF195" s="956"/>
      <c r="AH195" s="130">
        <f t="shared" si="11"/>
        <v>0</v>
      </c>
      <c r="AJ195" s="398">
        <f t="shared" si="12"/>
        <v>0</v>
      </c>
      <c r="AK195" s="409"/>
      <c r="AL195" s="408"/>
      <c r="AM195" s="407"/>
      <c r="AN195" s="407"/>
      <c r="AO195" s="407"/>
      <c r="AP195" s="407"/>
      <c r="AQ195" s="407"/>
      <c r="AR195" s="129" t="s">
        <v>235</v>
      </c>
      <c r="AT195" s="129" t="s">
        <v>231</v>
      </c>
      <c r="AU195" s="129" t="s">
        <v>76</v>
      </c>
      <c r="AY195" s="13" t="s">
        <v>228</v>
      </c>
      <c r="BE195" s="130">
        <f t="shared" si="29"/>
        <v>0</v>
      </c>
      <c r="BF195" s="130">
        <f t="shared" si="30"/>
        <v>409.57</v>
      </c>
      <c r="BG195" s="130">
        <f t="shared" si="31"/>
        <v>0</v>
      </c>
      <c r="BH195" s="130">
        <f t="shared" si="32"/>
        <v>0</v>
      </c>
      <c r="BI195" s="130">
        <f t="shared" si="33"/>
        <v>0</v>
      </c>
      <c r="BJ195" s="13" t="s">
        <v>76</v>
      </c>
      <c r="BK195" s="130">
        <f t="shared" si="34"/>
        <v>409.57</v>
      </c>
      <c r="BL195" s="13" t="s">
        <v>235</v>
      </c>
      <c r="BM195" s="129" t="s">
        <v>365</v>
      </c>
    </row>
    <row r="196" spans="2:65" s="1" customFormat="1" ht="24" customHeight="1" x14ac:dyDescent="0.2">
      <c r="B196" s="118"/>
      <c r="C196" s="205" t="s">
        <v>300</v>
      </c>
      <c r="D196" s="119" t="s">
        <v>231</v>
      </c>
      <c r="E196" s="120" t="s">
        <v>3177</v>
      </c>
      <c r="F196" s="121" t="s">
        <v>3178</v>
      </c>
      <c r="G196" s="122" t="s">
        <v>271</v>
      </c>
      <c r="H196" s="206">
        <v>1.37</v>
      </c>
      <c r="I196" s="124">
        <v>1044.9000000000001</v>
      </c>
      <c r="J196" s="124">
        <f t="shared" si="24"/>
        <v>1431.51</v>
      </c>
      <c r="K196" s="121" t="s">
        <v>1</v>
      </c>
      <c r="L196" s="24"/>
      <c r="M196" s="125" t="s">
        <v>1</v>
      </c>
      <c r="N196" s="126" t="s">
        <v>32</v>
      </c>
      <c r="O196" s="127">
        <v>0</v>
      </c>
      <c r="P196" s="127">
        <f t="shared" si="25"/>
        <v>0</v>
      </c>
      <c r="Q196" s="127">
        <v>0</v>
      </c>
      <c r="R196" s="127">
        <f t="shared" si="26"/>
        <v>0</v>
      </c>
      <c r="S196" s="127">
        <v>0</v>
      </c>
      <c r="T196" s="128">
        <f t="shared" si="27"/>
        <v>0</v>
      </c>
      <c r="W196" s="199"/>
      <c r="X196" s="205" t="s">
        <v>300</v>
      </c>
      <c r="Y196" s="119" t="s">
        <v>231</v>
      </c>
      <c r="Z196" s="120" t="s">
        <v>3177</v>
      </c>
      <c r="AA196" s="121" t="s">
        <v>3178</v>
      </c>
      <c r="AB196" s="122" t="s">
        <v>271</v>
      </c>
      <c r="AC196" s="206">
        <v>2.222</v>
      </c>
      <c r="AD196" s="124">
        <v>1044.9000000000001</v>
      </c>
      <c r="AE196" s="200">
        <f t="shared" si="28"/>
        <v>2321.77</v>
      </c>
      <c r="AF196" s="956">
        <v>1</v>
      </c>
      <c r="AH196" s="130">
        <f t="shared" si="11"/>
        <v>0.85199999999999987</v>
      </c>
      <c r="AJ196" s="398">
        <f t="shared" si="12"/>
        <v>890.25479999999993</v>
      </c>
      <c r="AK196" s="409"/>
      <c r="AL196" s="408"/>
      <c r="AM196" s="407"/>
      <c r="AN196" s="407"/>
      <c r="AO196" s="407"/>
      <c r="AP196" s="407"/>
      <c r="AQ196" s="407"/>
      <c r="AR196" s="129" t="s">
        <v>235</v>
      </c>
      <c r="AT196" s="129" t="s">
        <v>231</v>
      </c>
      <c r="AU196" s="129" t="s">
        <v>76</v>
      </c>
      <c r="AY196" s="13" t="s">
        <v>228</v>
      </c>
      <c r="BE196" s="130">
        <f t="shared" si="29"/>
        <v>0</v>
      </c>
      <c r="BF196" s="130">
        <f t="shared" si="30"/>
        <v>1431.51</v>
      </c>
      <c r="BG196" s="130">
        <f t="shared" si="31"/>
        <v>0</v>
      </c>
      <c r="BH196" s="130">
        <f t="shared" si="32"/>
        <v>0</v>
      </c>
      <c r="BI196" s="130">
        <f t="shared" si="33"/>
        <v>0</v>
      </c>
      <c r="BJ196" s="13" t="s">
        <v>76</v>
      </c>
      <c r="BK196" s="130">
        <f t="shared" si="34"/>
        <v>1431.51</v>
      </c>
      <c r="BL196" s="13" t="s">
        <v>235</v>
      </c>
      <c r="BM196" s="129" t="s">
        <v>368</v>
      </c>
    </row>
    <row r="197" spans="2:65" s="1" customFormat="1" ht="25.5" customHeight="1" x14ac:dyDescent="0.2">
      <c r="B197" s="118"/>
      <c r="C197" s="205" t="s">
        <v>369</v>
      </c>
      <c r="D197" s="119" t="s">
        <v>231</v>
      </c>
      <c r="E197" s="120" t="s">
        <v>3179</v>
      </c>
      <c r="F197" s="121" t="s">
        <v>3180</v>
      </c>
      <c r="G197" s="122" t="s">
        <v>234</v>
      </c>
      <c r="H197" s="206">
        <v>13.94</v>
      </c>
      <c r="I197" s="124">
        <v>102.17</v>
      </c>
      <c r="J197" s="124">
        <f t="shared" si="24"/>
        <v>1424.25</v>
      </c>
      <c r="K197" s="121" t="s">
        <v>1</v>
      </c>
      <c r="L197" s="24"/>
      <c r="M197" s="125" t="s">
        <v>1</v>
      </c>
      <c r="N197" s="126" t="s">
        <v>32</v>
      </c>
      <c r="O197" s="127">
        <v>0</v>
      </c>
      <c r="P197" s="127">
        <f t="shared" si="25"/>
        <v>0</v>
      </c>
      <c r="Q197" s="127">
        <v>0</v>
      </c>
      <c r="R197" s="127">
        <f t="shared" si="26"/>
        <v>0</v>
      </c>
      <c r="S197" s="127">
        <v>0</v>
      </c>
      <c r="T197" s="128">
        <f t="shared" si="27"/>
        <v>0</v>
      </c>
      <c r="W197" s="199"/>
      <c r="X197" s="205" t="s">
        <v>369</v>
      </c>
      <c r="Y197" s="119" t="s">
        <v>231</v>
      </c>
      <c r="Z197" s="120" t="s">
        <v>3179</v>
      </c>
      <c r="AA197" s="121" t="s">
        <v>3180</v>
      </c>
      <c r="AB197" s="122" t="s">
        <v>234</v>
      </c>
      <c r="AC197" s="206">
        <v>17.45</v>
      </c>
      <c r="AD197" s="124">
        <v>102.17</v>
      </c>
      <c r="AE197" s="200">
        <f t="shared" si="28"/>
        <v>1782.87</v>
      </c>
      <c r="AF197" s="956">
        <v>1</v>
      </c>
      <c r="AH197" s="130">
        <f t="shared" si="11"/>
        <v>3.51</v>
      </c>
      <c r="AJ197" s="398">
        <f t="shared" si="12"/>
        <v>358.61669999999998</v>
      </c>
      <c r="AK197" s="409"/>
      <c r="AL197" s="408"/>
      <c r="AM197" s="407"/>
      <c r="AN197" s="407"/>
      <c r="AO197" s="407"/>
      <c r="AP197" s="407"/>
      <c r="AQ197" s="407"/>
      <c r="AR197" s="129" t="s">
        <v>235</v>
      </c>
      <c r="AT197" s="129" t="s">
        <v>231</v>
      </c>
      <c r="AU197" s="129" t="s">
        <v>76</v>
      </c>
      <c r="AY197" s="13" t="s">
        <v>228</v>
      </c>
      <c r="BE197" s="130">
        <f t="shared" si="29"/>
        <v>0</v>
      </c>
      <c r="BF197" s="130">
        <f t="shared" si="30"/>
        <v>1424.25</v>
      </c>
      <c r="BG197" s="130">
        <f t="shared" si="31"/>
        <v>0</v>
      </c>
      <c r="BH197" s="130">
        <f t="shared" si="32"/>
        <v>0</v>
      </c>
      <c r="BI197" s="130">
        <f t="shared" si="33"/>
        <v>0</v>
      </c>
      <c r="BJ197" s="13" t="s">
        <v>76</v>
      </c>
      <c r="BK197" s="130">
        <f t="shared" si="34"/>
        <v>1424.25</v>
      </c>
      <c r="BL197" s="13" t="s">
        <v>235</v>
      </c>
      <c r="BM197" s="129" t="s">
        <v>372</v>
      </c>
    </row>
    <row r="198" spans="2:65" s="1" customFormat="1" ht="24" customHeight="1" x14ac:dyDescent="0.2">
      <c r="B198" s="118"/>
      <c r="C198" s="205" t="s">
        <v>303</v>
      </c>
      <c r="D198" s="119" t="s">
        <v>231</v>
      </c>
      <c r="E198" s="120" t="s">
        <v>3181</v>
      </c>
      <c r="F198" s="121" t="s">
        <v>3182</v>
      </c>
      <c r="G198" s="122" t="s">
        <v>284</v>
      </c>
      <c r="H198" s="206">
        <v>128.88999999999999</v>
      </c>
      <c r="I198" s="124">
        <v>18.579999999999998</v>
      </c>
      <c r="J198" s="124">
        <f t="shared" si="24"/>
        <v>2394.7800000000002</v>
      </c>
      <c r="K198" s="121" t="s">
        <v>1</v>
      </c>
      <c r="L198" s="24"/>
      <c r="M198" s="125" t="s">
        <v>1</v>
      </c>
      <c r="N198" s="126" t="s">
        <v>32</v>
      </c>
      <c r="O198" s="127">
        <v>0</v>
      </c>
      <c r="P198" s="127">
        <f t="shared" si="25"/>
        <v>0</v>
      </c>
      <c r="Q198" s="127">
        <v>0</v>
      </c>
      <c r="R198" s="127">
        <f t="shared" si="26"/>
        <v>0</v>
      </c>
      <c r="S198" s="127">
        <v>0</v>
      </c>
      <c r="T198" s="128">
        <f t="shared" si="27"/>
        <v>0</v>
      </c>
      <c r="W198" s="199"/>
      <c r="X198" s="205" t="s">
        <v>303</v>
      </c>
      <c r="Y198" s="119" t="s">
        <v>231</v>
      </c>
      <c r="Z198" s="120" t="s">
        <v>3181</v>
      </c>
      <c r="AA198" s="121" t="s">
        <v>3182</v>
      </c>
      <c r="AB198" s="122" t="s">
        <v>284</v>
      </c>
      <c r="AC198" s="206">
        <v>154.63999999999999</v>
      </c>
      <c r="AD198" s="124">
        <v>18.579999999999998</v>
      </c>
      <c r="AE198" s="200">
        <f t="shared" si="28"/>
        <v>2873.21</v>
      </c>
      <c r="AF198" s="956">
        <v>1</v>
      </c>
      <c r="AH198" s="130">
        <f t="shared" si="11"/>
        <v>25.75</v>
      </c>
      <c r="AJ198" s="398">
        <f t="shared" si="12"/>
        <v>478.43499999999995</v>
      </c>
      <c r="AK198" s="409"/>
      <c r="AL198" s="408"/>
      <c r="AM198" s="407"/>
      <c r="AN198" s="407"/>
      <c r="AO198" s="407"/>
      <c r="AP198" s="407"/>
      <c r="AQ198" s="407"/>
      <c r="AR198" s="129" t="s">
        <v>235</v>
      </c>
      <c r="AT198" s="129" t="s">
        <v>231</v>
      </c>
      <c r="AU198" s="129" t="s">
        <v>76</v>
      </c>
      <c r="AY198" s="13" t="s">
        <v>228</v>
      </c>
      <c r="BE198" s="130">
        <f t="shared" si="29"/>
        <v>0</v>
      </c>
      <c r="BF198" s="130">
        <f t="shared" si="30"/>
        <v>2394.7800000000002</v>
      </c>
      <c r="BG198" s="130">
        <f t="shared" si="31"/>
        <v>0</v>
      </c>
      <c r="BH198" s="130">
        <f t="shared" si="32"/>
        <v>0</v>
      </c>
      <c r="BI198" s="130">
        <f t="shared" si="33"/>
        <v>0</v>
      </c>
      <c r="BJ198" s="13" t="s">
        <v>76</v>
      </c>
      <c r="BK198" s="130">
        <f t="shared" si="34"/>
        <v>2394.7800000000002</v>
      </c>
      <c r="BL198" s="13" t="s">
        <v>235</v>
      </c>
      <c r="BM198" s="129" t="s">
        <v>375</v>
      </c>
    </row>
    <row r="199" spans="2:65" s="1" customFormat="1" ht="24" customHeight="1" x14ac:dyDescent="0.2">
      <c r="B199" s="118"/>
      <c r="C199" s="205" t="s">
        <v>376</v>
      </c>
      <c r="D199" s="119" t="s">
        <v>231</v>
      </c>
      <c r="E199" s="120" t="s">
        <v>3183</v>
      </c>
      <c r="F199" s="121" t="s">
        <v>3184</v>
      </c>
      <c r="G199" s="122" t="s">
        <v>284</v>
      </c>
      <c r="H199" s="206">
        <v>128.88999999999999</v>
      </c>
      <c r="I199" s="124">
        <v>3.48</v>
      </c>
      <c r="J199" s="124">
        <f t="shared" si="24"/>
        <v>448.54</v>
      </c>
      <c r="K199" s="121" t="s">
        <v>1</v>
      </c>
      <c r="L199" s="24"/>
      <c r="M199" s="125" t="s">
        <v>1</v>
      </c>
      <c r="N199" s="126" t="s">
        <v>32</v>
      </c>
      <c r="O199" s="127">
        <v>0</v>
      </c>
      <c r="P199" s="127">
        <f t="shared" si="25"/>
        <v>0</v>
      </c>
      <c r="Q199" s="127">
        <v>0</v>
      </c>
      <c r="R199" s="127">
        <f t="shared" si="26"/>
        <v>0</v>
      </c>
      <c r="S199" s="127">
        <v>0</v>
      </c>
      <c r="T199" s="128">
        <f t="shared" si="27"/>
        <v>0</v>
      </c>
      <c r="W199" s="199"/>
      <c r="X199" s="205" t="s">
        <v>376</v>
      </c>
      <c r="Y199" s="119" t="s">
        <v>231</v>
      </c>
      <c r="Z199" s="120" t="s">
        <v>3183</v>
      </c>
      <c r="AA199" s="121" t="s">
        <v>3184</v>
      </c>
      <c r="AB199" s="122" t="s">
        <v>284</v>
      </c>
      <c r="AC199" s="206">
        <v>154.63999999999999</v>
      </c>
      <c r="AD199" s="124">
        <v>3.48</v>
      </c>
      <c r="AE199" s="200">
        <f t="shared" si="28"/>
        <v>538.15</v>
      </c>
      <c r="AF199" s="956">
        <v>1</v>
      </c>
      <c r="AH199" s="130">
        <f t="shared" si="11"/>
        <v>25.75</v>
      </c>
      <c r="AJ199" s="398">
        <f t="shared" si="12"/>
        <v>89.61</v>
      </c>
      <c r="AK199" s="409"/>
      <c r="AL199" s="408"/>
      <c r="AM199" s="407"/>
      <c r="AN199" s="407"/>
      <c r="AO199" s="407"/>
      <c r="AP199" s="407"/>
      <c r="AQ199" s="407"/>
      <c r="AR199" s="129" t="s">
        <v>235</v>
      </c>
      <c r="AT199" s="129" t="s">
        <v>231</v>
      </c>
      <c r="AU199" s="129" t="s">
        <v>76</v>
      </c>
      <c r="AY199" s="13" t="s">
        <v>228</v>
      </c>
      <c r="BE199" s="130">
        <f t="shared" si="29"/>
        <v>0</v>
      </c>
      <c r="BF199" s="130">
        <f t="shared" si="30"/>
        <v>448.54</v>
      </c>
      <c r="BG199" s="130">
        <f t="shared" si="31"/>
        <v>0</v>
      </c>
      <c r="BH199" s="130">
        <f t="shared" si="32"/>
        <v>0</v>
      </c>
      <c r="BI199" s="130">
        <f t="shared" si="33"/>
        <v>0</v>
      </c>
      <c r="BJ199" s="13" t="s">
        <v>76</v>
      </c>
      <c r="BK199" s="130">
        <f t="shared" si="34"/>
        <v>448.54</v>
      </c>
      <c r="BL199" s="13" t="s">
        <v>235</v>
      </c>
      <c r="BM199" s="129" t="s">
        <v>379</v>
      </c>
    </row>
    <row r="200" spans="2:65" s="1" customFormat="1" ht="16.5" customHeight="1" x14ac:dyDescent="0.2">
      <c r="B200" s="118"/>
      <c r="C200" s="285" t="s">
        <v>308</v>
      </c>
      <c r="D200" s="285" t="s">
        <v>231</v>
      </c>
      <c r="E200" s="286" t="s">
        <v>3185</v>
      </c>
      <c r="F200" s="240" t="s">
        <v>3186</v>
      </c>
      <c r="G200" s="287" t="s">
        <v>271</v>
      </c>
      <c r="H200" s="288">
        <v>2.0910000000000002</v>
      </c>
      <c r="I200" s="289">
        <v>1044.9000000000001</v>
      </c>
      <c r="J200" s="289">
        <f t="shared" si="24"/>
        <v>2184.89</v>
      </c>
      <c r="K200" s="240" t="s">
        <v>1</v>
      </c>
      <c r="L200" s="447"/>
      <c r="M200" s="448" t="s">
        <v>1</v>
      </c>
      <c r="N200" s="449" t="s">
        <v>32</v>
      </c>
      <c r="O200" s="450">
        <v>0</v>
      </c>
      <c r="P200" s="450">
        <f t="shared" si="25"/>
        <v>0</v>
      </c>
      <c r="Q200" s="450">
        <v>0</v>
      </c>
      <c r="R200" s="450">
        <f t="shared" si="26"/>
        <v>0</v>
      </c>
      <c r="S200" s="450">
        <v>0</v>
      </c>
      <c r="T200" s="451">
        <f t="shared" si="27"/>
        <v>0</v>
      </c>
      <c r="U200" s="407"/>
      <c r="V200" s="407"/>
      <c r="W200" s="452"/>
      <c r="X200" s="285" t="s">
        <v>308</v>
      </c>
      <c r="Y200" s="285" t="s">
        <v>231</v>
      </c>
      <c r="Z200" s="286" t="s">
        <v>3185</v>
      </c>
      <c r="AA200" s="240" t="s">
        <v>3186</v>
      </c>
      <c r="AB200" s="287" t="s">
        <v>271</v>
      </c>
      <c r="AC200" s="288">
        <v>2.0910000000000002</v>
      </c>
      <c r="AD200" s="124">
        <v>1044.9000000000001</v>
      </c>
      <c r="AE200" s="200">
        <f t="shared" si="28"/>
        <v>2184.89</v>
      </c>
      <c r="AF200" s="956"/>
      <c r="AH200" s="130">
        <f t="shared" si="11"/>
        <v>0</v>
      </c>
      <c r="AJ200" s="398">
        <f t="shared" si="12"/>
        <v>0</v>
      </c>
      <c r="AK200" s="409"/>
      <c r="AL200" s="408"/>
      <c r="AM200" s="407"/>
      <c r="AN200" s="407"/>
      <c r="AO200" s="407"/>
      <c r="AP200" s="407"/>
      <c r="AQ200" s="407"/>
      <c r="AR200" s="129" t="s">
        <v>235</v>
      </c>
      <c r="AT200" s="129" t="s">
        <v>231</v>
      </c>
      <c r="AU200" s="129" t="s">
        <v>76</v>
      </c>
      <c r="AY200" s="13" t="s">
        <v>228</v>
      </c>
      <c r="BE200" s="130">
        <f t="shared" si="29"/>
        <v>0</v>
      </c>
      <c r="BF200" s="130">
        <f t="shared" si="30"/>
        <v>2184.89</v>
      </c>
      <c r="BG200" s="130">
        <f t="shared" si="31"/>
        <v>0</v>
      </c>
      <c r="BH200" s="130">
        <f t="shared" si="32"/>
        <v>0</v>
      </c>
      <c r="BI200" s="130">
        <f t="shared" si="33"/>
        <v>0</v>
      </c>
      <c r="BJ200" s="13" t="s">
        <v>76</v>
      </c>
      <c r="BK200" s="130">
        <f t="shared" si="34"/>
        <v>2184.89</v>
      </c>
      <c r="BL200" s="13" t="s">
        <v>235</v>
      </c>
      <c r="BM200" s="129" t="s">
        <v>382</v>
      </c>
    </row>
    <row r="201" spans="2:65" s="1" customFormat="1" ht="16.5" customHeight="1" x14ac:dyDescent="0.2">
      <c r="B201" s="118"/>
      <c r="C201" s="285" t="s">
        <v>383</v>
      </c>
      <c r="D201" s="285" t="s">
        <v>231</v>
      </c>
      <c r="E201" s="286" t="s">
        <v>3187</v>
      </c>
      <c r="F201" s="240" t="s">
        <v>3188</v>
      </c>
      <c r="G201" s="287" t="s">
        <v>284</v>
      </c>
      <c r="H201" s="288">
        <v>191.255</v>
      </c>
      <c r="I201" s="289">
        <v>20.9</v>
      </c>
      <c r="J201" s="289">
        <f t="shared" si="24"/>
        <v>3997.23</v>
      </c>
      <c r="K201" s="240" t="s">
        <v>1</v>
      </c>
      <c r="L201" s="447"/>
      <c r="M201" s="448" t="s">
        <v>1</v>
      </c>
      <c r="N201" s="449" t="s">
        <v>32</v>
      </c>
      <c r="O201" s="450">
        <v>0</v>
      </c>
      <c r="P201" s="450">
        <f t="shared" si="25"/>
        <v>0</v>
      </c>
      <c r="Q201" s="450">
        <v>0</v>
      </c>
      <c r="R201" s="450">
        <f t="shared" si="26"/>
        <v>0</v>
      </c>
      <c r="S201" s="450">
        <v>0</v>
      </c>
      <c r="T201" s="451">
        <f t="shared" si="27"/>
        <v>0</v>
      </c>
      <c r="U201" s="407"/>
      <c r="V201" s="407"/>
      <c r="W201" s="452"/>
      <c r="X201" s="285" t="s">
        <v>383</v>
      </c>
      <c r="Y201" s="285" t="s">
        <v>231</v>
      </c>
      <c r="Z201" s="286" t="s">
        <v>3187</v>
      </c>
      <c r="AA201" s="240" t="s">
        <v>3188</v>
      </c>
      <c r="AB201" s="287" t="s">
        <v>284</v>
      </c>
      <c r="AC201" s="288">
        <v>191.255</v>
      </c>
      <c r="AD201" s="124">
        <v>20.9</v>
      </c>
      <c r="AE201" s="200">
        <f t="shared" si="28"/>
        <v>3997.23</v>
      </c>
      <c r="AF201" s="956"/>
      <c r="AH201" s="130">
        <f t="shared" si="11"/>
        <v>0</v>
      </c>
      <c r="AJ201" s="398">
        <f t="shared" si="12"/>
        <v>0</v>
      </c>
      <c r="AK201" s="409"/>
      <c r="AL201" s="408"/>
      <c r="AM201" s="407"/>
      <c r="AN201" s="407"/>
      <c r="AO201" s="407"/>
      <c r="AP201" s="407"/>
      <c r="AQ201" s="407"/>
      <c r="AR201" s="129" t="s">
        <v>235</v>
      </c>
      <c r="AT201" s="129" t="s">
        <v>231</v>
      </c>
      <c r="AU201" s="129" t="s">
        <v>76</v>
      </c>
      <c r="AY201" s="13" t="s">
        <v>228</v>
      </c>
      <c r="BE201" s="130">
        <f t="shared" si="29"/>
        <v>0</v>
      </c>
      <c r="BF201" s="130">
        <f t="shared" si="30"/>
        <v>3997.23</v>
      </c>
      <c r="BG201" s="130">
        <f t="shared" si="31"/>
        <v>0</v>
      </c>
      <c r="BH201" s="130">
        <f t="shared" si="32"/>
        <v>0</v>
      </c>
      <c r="BI201" s="130">
        <f t="shared" si="33"/>
        <v>0</v>
      </c>
      <c r="BJ201" s="13" t="s">
        <v>76</v>
      </c>
      <c r="BK201" s="130">
        <f t="shared" si="34"/>
        <v>3997.23</v>
      </c>
      <c r="BL201" s="13" t="s">
        <v>235</v>
      </c>
      <c r="BM201" s="129" t="s">
        <v>386</v>
      </c>
    </row>
    <row r="202" spans="2:65" s="1" customFormat="1" ht="16.5" customHeight="1" x14ac:dyDescent="0.2">
      <c r="B202" s="118"/>
      <c r="C202" s="205" t="s">
        <v>312</v>
      </c>
      <c r="D202" s="119" t="s">
        <v>231</v>
      </c>
      <c r="E202" s="120" t="s">
        <v>3189</v>
      </c>
      <c r="F202" s="121" t="s">
        <v>3190</v>
      </c>
      <c r="G202" s="122" t="s">
        <v>284</v>
      </c>
      <c r="H202" s="206">
        <v>75.2</v>
      </c>
      <c r="I202" s="124">
        <v>24.96</v>
      </c>
      <c r="J202" s="124">
        <f t="shared" si="24"/>
        <v>1876.99</v>
      </c>
      <c r="K202" s="121" t="s">
        <v>1</v>
      </c>
      <c r="L202" s="24"/>
      <c r="M202" s="125" t="s">
        <v>1</v>
      </c>
      <c r="N202" s="126" t="s">
        <v>32</v>
      </c>
      <c r="O202" s="127">
        <v>0</v>
      </c>
      <c r="P202" s="127">
        <f t="shared" si="25"/>
        <v>0</v>
      </c>
      <c r="Q202" s="127">
        <v>0</v>
      </c>
      <c r="R202" s="127">
        <f t="shared" si="26"/>
        <v>0</v>
      </c>
      <c r="S202" s="127">
        <v>0</v>
      </c>
      <c r="T202" s="128">
        <f t="shared" si="27"/>
        <v>0</v>
      </c>
      <c r="W202" s="199"/>
      <c r="X202" s="205" t="s">
        <v>312</v>
      </c>
      <c r="Y202" s="119" t="s">
        <v>231</v>
      </c>
      <c r="Z202" s="120" t="s">
        <v>3189</v>
      </c>
      <c r="AA202" s="121" t="s">
        <v>3190</v>
      </c>
      <c r="AB202" s="122" t="s">
        <v>284</v>
      </c>
      <c r="AC202" s="206">
        <v>80.533000000000001</v>
      </c>
      <c r="AD202" s="124">
        <v>24.96</v>
      </c>
      <c r="AE202" s="200">
        <f t="shared" si="28"/>
        <v>2010.1</v>
      </c>
      <c r="AF202" s="956">
        <v>1</v>
      </c>
      <c r="AH202" s="130">
        <f t="shared" si="11"/>
        <v>5.3329999999999984</v>
      </c>
      <c r="AJ202" s="398">
        <f t="shared" si="12"/>
        <v>133.11167999999998</v>
      </c>
      <c r="AK202" s="409"/>
      <c r="AL202" s="408"/>
      <c r="AM202" s="407"/>
      <c r="AN202" s="407"/>
      <c r="AO202" s="407"/>
      <c r="AP202" s="407"/>
      <c r="AQ202" s="407"/>
      <c r="AR202" s="129" t="s">
        <v>235</v>
      </c>
      <c r="AT202" s="129" t="s">
        <v>231</v>
      </c>
      <c r="AU202" s="129" t="s">
        <v>76</v>
      </c>
      <c r="AY202" s="13" t="s">
        <v>228</v>
      </c>
      <c r="BE202" s="130">
        <f t="shared" si="29"/>
        <v>0</v>
      </c>
      <c r="BF202" s="130">
        <f t="shared" si="30"/>
        <v>1876.99</v>
      </c>
      <c r="BG202" s="130">
        <f t="shared" si="31"/>
        <v>0</v>
      </c>
      <c r="BH202" s="130">
        <f t="shared" si="32"/>
        <v>0</v>
      </c>
      <c r="BI202" s="130">
        <f t="shared" si="33"/>
        <v>0</v>
      </c>
      <c r="BJ202" s="13" t="s">
        <v>76</v>
      </c>
      <c r="BK202" s="130">
        <f t="shared" si="34"/>
        <v>1876.99</v>
      </c>
      <c r="BL202" s="13" t="s">
        <v>235</v>
      </c>
      <c r="BM202" s="129" t="s">
        <v>389</v>
      </c>
    </row>
    <row r="203" spans="2:65" s="11" customFormat="1" ht="22.95" customHeight="1" x14ac:dyDescent="0.25">
      <c r="B203" s="106"/>
      <c r="D203" s="107" t="s">
        <v>57</v>
      </c>
      <c r="E203" s="116" t="s">
        <v>235</v>
      </c>
      <c r="F203" s="116" t="s">
        <v>3191</v>
      </c>
      <c r="J203" s="117">
        <f>BK203</f>
        <v>33534.28</v>
      </c>
      <c r="L203" s="106"/>
      <c r="M203" s="110"/>
      <c r="N203" s="111"/>
      <c r="O203" s="111"/>
      <c r="P203" s="112">
        <f>SUM(P204:P209)</f>
        <v>460.82146480999995</v>
      </c>
      <c r="Q203" s="111"/>
      <c r="R203" s="112">
        <f>SUM(R204:R209)</f>
        <v>13.096929229999999</v>
      </c>
      <c r="S203" s="111"/>
      <c r="T203" s="113">
        <f>SUM(T204:T209)</f>
        <v>0</v>
      </c>
      <c r="W203" s="195"/>
      <c r="X203" s="111"/>
      <c r="Y203" s="196" t="s">
        <v>57</v>
      </c>
      <c r="Z203" s="201" t="s">
        <v>235</v>
      </c>
      <c r="AA203" s="201" t="s">
        <v>3191</v>
      </c>
      <c r="AB203" s="111"/>
      <c r="AC203" s="111"/>
      <c r="AD203" s="111"/>
      <c r="AE203" s="202">
        <f>SUM(AE204:AE217)</f>
        <v>37879.30999999999</v>
      </c>
      <c r="AF203" s="956"/>
      <c r="AH203" s="130"/>
      <c r="AJ203" s="398">
        <f t="shared" si="12"/>
        <v>0</v>
      </c>
      <c r="AK203" s="409"/>
      <c r="AL203" s="408"/>
      <c r="AM203" s="292"/>
      <c r="AN203" s="292"/>
      <c r="AO203" s="292"/>
      <c r="AP203" s="292"/>
      <c r="AQ203" s="292"/>
      <c r="AR203" s="107" t="s">
        <v>63</v>
      </c>
      <c r="AT203" s="114" t="s">
        <v>57</v>
      </c>
      <c r="AU203" s="114" t="s">
        <v>63</v>
      </c>
      <c r="AY203" s="107" t="s">
        <v>228</v>
      </c>
      <c r="BK203" s="115">
        <f>SUM(BK204:BK209)</f>
        <v>33534.28</v>
      </c>
    </row>
    <row r="204" spans="2:65" s="1" customFormat="1" ht="24" customHeight="1" x14ac:dyDescent="0.2">
      <c r="B204" s="118"/>
      <c r="C204" s="205" t="s">
        <v>390</v>
      </c>
      <c r="D204" s="119" t="s">
        <v>231</v>
      </c>
      <c r="E204" s="120" t="s">
        <v>3192</v>
      </c>
      <c r="F204" s="121" t="s">
        <v>3193</v>
      </c>
      <c r="G204" s="122" t="s">
        <v>234</v>
      </c>
      <c r="H204" s="206">
        <v>99.134</v>
      </c>
      <c r="I204" s="124">
        <v>104.49</v>
      </c>
      <c r="J204" s="124">
        <f t="shared" ref="J204:J209" si="35">ROUND(I204*H204,2)</f>
        <v>10358.51</v>
      </c>
      <c r="K204" s="121" t="s">
        <v>1</v>
      </c>
      <c r="L204" s="24"/>
      <c r="M204" s="125" t="s">
        <v>1</v>
      </c>
      <c r="N204" s="126" t="s">
        <v>32</v>
      </c>
      <c r="O204" s="127">
        <v>0</v>
      </c>
      <c r="P204" s="127">
        <f t="shared" ref="P204:P209" si="36">O204*H204</f>
        <v>0</v>
      </c>
      <c r="Q204" s="127">
        <v>0</v>
      </c>
      <c r="R204" s="127">
        <f t="shared" ref="R204:R209" si="37">Q204*H204</f>
        <v>0</v>
      </c>
      <c r="S204" s="127">
        <v>0</v>
      </c>
      <c r="T204" s="128">
        <f t="shared" ref="T204:T209" si="38">S204*H204</f>
        <v>0</v>
      </c>
      <c r="W204" s="199"/>
      <c r="X204" s="205" t="s">
        <v>390</v>
      </c>
      <c r="Y204" s="119" t="s">
        <v>231</v>
      </c>
      <c r="Z204" s="120" t="s">
        <v>3192</v>
      </c>
      <c r="AA204" s="121" t="s">
        <v>3193</v>
      </c>
      <c r="AB204" s="122" t="s">
        <v>234</v>
      </c>
      <c r="AC204" s="206">
        <v>102.69</v>
      </c>
      <c r="AD204" s="124">
        <v>104.49</v>
      </c>
      <c r="AE204" s="200">
        <f t="shared" ref="AE204:AE217" si="39">ROUND(AD204*AC204,2)</f>
        <v>10730.08</v>
      </c>
      <c r="AF204" s="956">
        <v>1</v>
      </c>
      <c r="AH204" s="130">
        <f t="shared" si="11"/>
        <v>3.5559999999999974</v>
      </c>
      <c r="AJ204" s="398">
        <f t="shared" si="12"/>
        <v>371.56643999999972</v>
      </c>
      <c r="AK204" s="409"/>
      <c r="AL204" s="408"/>
      <c r="AM204" s="407"/>
      <c r="AN204" s="407"/>
      <c r="AO204" s="407"/>
      <c r="AP204" s="407"/>
      <c r="AQ204" s="407"/>
      <c r="AR204" s="129" t="s">
        <v>235</v>
      </c>
      <c r="AT204" s="129" t="s">
        <v>231</v>
      </c>
      <c r="AU204" s="129" t="s">
        <v>76</v>
      </c>
      <c r="AY204" s="13" t="s">
        <v>228</v>
      </c>
      <c r="BE204" s="130">
        <f t="shared" ref="BE204:BE209" si="40">IF(N204="základná",J204,0)</f>
        <v>0</v>
      </c>
      <c r="BF204" s="130">
        <f t="shared" ref="BF204:BF209" si="41">IF(N204="znížená",J204,0)</f>
        <v>10358.51</v>
      </c>
      <c r="BG204" s="130">
        <f t="shared" ref="BG204:BG209" si="42">IF(N204="zákl. prenesená",J204,0)</f>
        <v>0</v>
      </c>
      <c r="BH204" s="130">
        <f t="shared" ref="BH204:BH209" si="43">IF(N204="zníž. prenesená",J204,0)</f>
        <v>0</v>
      </c>
      <c r="BI204" s="130">
        <f t="shared" ref="BI204:BI209" si="44">IF(N204="nulová",J204,0)</f>
        <v>0</v>
      </c>
      <c r="BJ204" s="13" t="s">
        <v>76</v>
      </c>
      <c r="BK204" s="130">
        <f t="shared" ref="BK204:BK209" si="45">ROUND(I204*H204,2)</f>
        <v>10358.51</v>
      </c>
      <c r="BL204" s="13" t="s">
        <v>235</v>
      </c>
      <c r="BM204" s="129" t="s">
        <v>393</v>
      </c>
    </row>
    <row r="205" spans="2:65" s="1" customFormat="1" ht="16.5" customHeight="1" x14ac:dyDescent="0.2">
      <c r="B205" s="118"/>
      <c r="C205" s="205" t="s">
        <v>316</v>
      </c>
      <c r="D205" s="119" t="s">
        <v>231</v>
      </c>
      <c r="E205" s="120" t="s">
        <v>3194</v>
      </c>
      <c r="F205" s="121" t="s">
        <v>3195</v>
      </c>
      <c r="G205" s="122" t="s">
        <v>284</v>
      </c>
      <c r="H205" s="206">
        <v>413.50799999999998</v>
      </c>
      <c r="I205" s="124">
        <v>13.93</v>
      </c>
      <c r="J205" s="124">
        <f t="shared" si="35"/>
        <v>5760.17</v>
      </c>
      <c r="K205" s="121" t="s">
        <v>1</v>
      </c>
      <c r="L205" s="24"/>
      <c r="M205" s="125" t="s">
        <v>1</v>
      </c>
      <c r="N205" s="126" t="s">
        <v>32</v>
      </c>
      <c r="O205" s="127">
        <v>0</v>
      </c>
      <c r="P205" s="127">
        <f t="shared" si="36"/>
        <v>0</v>
      </c>
      <c r="Q205" s="127">
        <v>0</v>
      </c>
      <c r="R205" s="127">
        <f t="shared" si="37"/>
        <v>0</v>
      </c>
      <c r="S205" s="127">
        <v>0</v>
      </c>
      <c r="T205" s="128">
        <f t="shared" si="38"/>
        <v>0</v>
      </c>
      <c r="W205" s="199"/>
      <c r="X205" s="205" t="s">
        <v>316</v>
      </c>
      <c r="Y205" s="119" t="s">
        <v>231</v>
      </c>
      <c r="Z205" s="120" t="s">
        <v>3194</v>
      </c>
      <c r="AA205" s="121" t="s">
        <v>3195</v>
      </c>
      <c r="AB205" s="122" t="s">
        <v>284</v>
      </c>
      <c r="AC205" s="206">
        <v>453.9708</v>
      </c>
      <c r="AD205" s="124">
        <v>13.93</v>
      </c>
      <c r="AE205" s="200">
        <f t="shared" si="39"/>
        <v>6323.81</v>
      </c>
      <c r="AF205" s="956">
        <v>1</v>
      </c>
      <c r="AH205" s="130">
        <f t="shared" si="11"/>
        <v>40.462800000000016</v>
      </c>
      <c r="AJ205" s="398">
        <f t="shared" si="12"/>
        <v>563.6468040000002</v>
      </c>
      <c r="AK205" s="409"/>
      <c r="AL205" s="408"/>
      <c r="AM205" s="407"/>
      <c r="AN205" s="407"/>
      <c r="AO205" s="407"/>
      <c r="AP205" s="407"/>
      <c r="AQ205" s="407"/>
      <c r="AR205" s="129" t="s">
        <v>235</v>
      </c>
      <c r="AT205" s="129" t="s">
        <v>231</v>
      </c>
      <c r="AU205" s="129" t="s">
        <v>76</v>
      </c>
      <c r="AY205" s="13" t="s">
        <v>228</v>
      </c>
      <c r="BE205" s="130">
        <f t="shared" si="40"/>
        <v>0</v>
      </c>
      <c r="BF205" s="130">
        <f t="shared" si="41"/>
        <v>5760.17</v>
      </c>
      <c r="BG205" s="130">
        <f t="shared" si="42"/>
        <v>0</v>
      </c>
      <c r="BH205" s="130">
        <f t="shared" si="43"/>
        <v>0</v>
      </c>
      <c r="BI205" s="130">
        <f t="shared" si="44"/>
        <v>0</v>
      </c>
      <c r="BJ205" s="13" t="s">
        <v>76</v>
      </c>
      <c r="BK205" s="130">
        <f t="shared" si="45"/>
        <v>5760.17</v>
      </c>
      <c r="BL205" s="13" t="s">
        <v>235</v>
      </c>
      <c r="BM205" s="129" t="s">
        <v>396</v>
      </c>
    </row>
    <row r="206" spans="2:65" s="1" customFormat="1" ht="16.5" customHeight="1" x14ac:dyDescent="0.2">
      <c r="B206" s="118"/>
      <c r="C206" s="205" t="s">
        <v>397</v>
      </c>
      <c r="D206" s="119" t="s">
        <v>231</v>
      </c>
      <c r="E206" s="120" t="s">
        <v>3196</v>
      </c>
      <c r="F206" s="121" t="s">
        <v>3197</v>
      </c>
      <c r="G206" s="122" t="s">
        <v>284</v>
      </c>
      <c r="H206" s="206">
        <v>413.50799999999998</v>
      </c>
      <c r="I206" s="124">
        <v>2.9</v>
      </c>
      <c r="J206" s="124">
        <f t="shared" si="35"/>
        <v>1199.17</v>
      </c>
      <c r="K206" s="121" t="s">
        <v>1</v>
      </c>
      <c r="L206" s="24"/>
      <c r="M206" s="125" t="s">
        <v>1</v>
      </c>
      <c r="N206" s="126" t="s">
        <v>32</v>
      </c>
      <c r="O206" s="127">
        <v>0</v>
      </c>
      <c r="P206" s="127">
        <f t="shared" si="36"/>
        <v>0</v>
      </c>
      <c r="Q206" s="127">
        <v>0</v>
      </c>
      <c r="R206" s="127">
        <f t="shared" si="37"/>
        <v>0</v>
      </c>
      <c r="S206" s="127">
        <v>0</v>
      </c>
      <c r="T206" s="128">
        <f t="shared" si="38"/>
        <v>0</v>
      </c>
      <c r="W206" s="199"/>
      <c r="X206" s="205" t="s">
        <v>397</v>
      </c>
      <c r="Y206" s="119" t="s">
        <v>231</v>
      </c>
      <c r="Z206" s="120" t="s">
        <v>3196</v>
      </c>
      <c r="AA206" s="121" t="s">
        <v>3197</v>
      </c>
      <c r="AB206" s="122" t="s">
        <v>284</v>
      </c>
      <c r="AC206" s="206">
        <v>453.9708</v>
      </c>
      <c r="AD206" s="124">
        <v>2.9</v>
      </c>
      <c r="AE206" s="200">
        <f t="shared" si="39"/>
        <v>1316.52</v>
      </c>
      <c r="AF206" s="956">
        <v>1</v>
      </c>
      <c r="AH206" s="130">
        <f t="shared" si="11"/>
        <v>40.462800000000016</v>
      </c>
      <c r="AJ206" s="398">
        <f t="shared" si="12"/>
        <v>117.34212000000004</v>
      </c>
      <c r="AK206" s="409"/>
      <c r="AL206" s="408"/>
      <c r="AM206" s="407"/>
      <c r="AN206" s="407"/>
      <c r="AO206" s="407"/>
      <c r="AP206" s="407"/>
      <c r="AQ206" s="407"/>
      <c r="AR206" s="129" t="s">
        <v>235</v>
      </c>
      <c r="AT206" s="129" t="s">
        <v>231</v>
      </c>
      <c r="AU206" s="129" t="s">
        <v>76</v>
      </c>
      <c r="AY206" s="13" t="s">
        <v>228</v>
      </c>
      <c r="BE206" s="130">
        <f t="shared" si="40"/>
        <v>0</v>
      </c>
      <c r="BF206" s="130">
        <f t="shared" si="41"/>
        <v>1199.17</v>
      </c>
      <c r="BG206" s="130">
        <f t="shared" si="42"/>
        <v>0</v>
      </c>
      <c r="BH206" s="130">
        <f t="shared" si="43"/>
        <v>0</v>
      </c>
      <c r="BI206" s="130">
        <f t="shared" si="44"/>
        <v>0</v>
      </c>
      <c r="BJ206" s="13" t="s">
        <v>76</v>
      </c>
      <c r="BK206" s="130">
        <f t="shared" si="45"/>
        <v>1199.17</v>
      </c>
      <c r="BL206" s="13" t="s">
        <v>235</v>
      </c>
      <c r="BM206" s="129" t="s">
        <v>400</v>
      </c>
    </row>
    <row r="207" spans="2:65" s="1" customFormat="1" ht="24" customHeight="1" x14ac:dyDescent="0.2">
      <c r="B207" s="118"/>
      <c r="C207" s="205" t="s">
        <v>319</v>
      </c>
      <c r="D207" s="119" t="s">
        <v>231</v>
      </c>
      <c r="E207" s="120" t="s">
        <v>3198</v>
      </c>
      <c r="F207" s="121" t="s">
        <v>3199</v>
      </c>
      <c r="G207" s="122" t="s">
        <v>284</v>
      </c>
      <c r="H207" s="206">
        <v>338.35199999999998</v>
      </c>
      <c r="I207" s="124">
        <v>6.39</v>
      </c>
      <c r="J207" s="124">
        <f t="shared" si="35"/>
        <v>2162.0700000000002</v>
      </c>
      <c r="K207" s="121" t="s">
        <v>1</v>
      </c>
      <c r="L207" s="24"/>
      <c r="M207" s="125" t="s">
        <v>1</v>
      </c>
      <c r="N207" s="126" t="s">
        <v>32</v>
      </c>
      <c r="O207" s="127">
        <v>0</v>
      </c>
      <c r="P207" s="127">
        <f t="shared" si="36"/>
        <v>0</v>
      </c>
      <c r="Q207" s="127">
        <v>0</v>
      </c>
      <c r="R207" s="127">
        <f t="shared" si="37"/>
        <v>0</v>
      </c>
      <c r="S207" s="127">
        <v>0</v>
      </c>
      <c r="T207" s="128">
        <f t="shared" si="38"/>
        <v>0</v>
      </c>
      <c r="W207" s="199"/>
      <c r="X207" s="205" t="s">
        <v>319</v>
      </c>
      <c r="Y207" s="119" t="s">
        <v>231</v>
      </c>
      <c r="Z207" s="120" t="s">
        <v>3198</v>
      </c>
      <c r="AA207" s="121" t="s">
        <v>3199</v>
      </c>
      <c r="AB207" s="122" t="s">
        <v>284</v>
      </c>
      <c r="AC207" s="206">
        <v>366.7</v>
      </c>
      <c r="AD207" s="124">
        <v>6.39</v>
      </c>
      <c r="AE207" s="200">
        <f t="shared" si="39"/>
        <v>2343.21</v>
      </c>
      <c r="AF207" s="956">
        <v>1</v>
      </c>
      <c r="AH207" s="130">
        <f t="shared" si="11"/>
        <v>28.348000000000013</v>
      </c>
      <c r="AJ207" s="398">
        <f t="shared" si="12"/>
        <v>181.14372000000009</v>
      </c>
      <c r="AK207" s="409"/>
      <c r="AL207" s="408"/>
      <c r="AM207" s="407"/>
      <c r="AN207" s="407"/>
      <c r="AO207" s="407"/>
      <c r="AP207" s="407"/>
      <c r="AQ207" s="407"/>
      <c r="AR207" s="129" t="s">
        <v>235</v>
      </c>
      <c r="AT207" s="129" t="s">
        <v>231</v>
      </c>
      <c r="AU207" s="129" t="s">
        <v>76</v>
      </c>
      <c r="AY207" s="13" t="s">
        <v>228</v>
      </c>
      <c r="BE207" s="130">
        <f t="shared" si="40"/>
        <v>0</v>
      </c>
      <c r="BF207" s="130">
        <f t="shared" si="41"/>
        <v>2162.0700000000002</v>
      </c>
      <c r="BG207" s="130">
        <f t="shared" si="42"/>
        <v>0</v>
      </c>
      <c r="BH207" s="130">
        <f t="shared" si="43"/>
        <v>0</v>
      </c>
      <c r="BI207" s="130">
        <f t="shared" si="44"/>
        <v>0</v>
      </c>
      <c r="BJ207" s="13" t="s">
        <v>76</v>
      </c>
      <c r="BK207" s="130">
        <f t="shared" si="45"/>
        <v>2162.0700000000002</v>
      </c>
      <c r="BL207" s="13" t="s">
        <v>235</v>
      </c>
      <c r="BM207" s="129" t="s">
        <v>404</v>
      </c>
    </row>
    <row r="208" spans="2:65" s="1" customFormat="1" ht="24" customHeight="1" x14ac:dyDescent="0.2">
      <c r="B208" s="118"/>
      <c r="C208" s="205" t="s">
        <v>407</v>
      </c>
      <c r="D208" s="119" t="s">
        <v>231</v>
      </c>
      <c r="E208" s="120" t="s">
        <v>3200</v>
      </c>
      <c r="F208" s="121" t="s">
        <v>3201</v>
      </c>
      <c r="G208" s="122" t="s">
        <v>284</v>
      </c>
      <c r="H208" s="206">
        <v>338.35199999999998</v>
      </c>
      <c r="I208" s="124">
        <v>1.74</v>
      </c>
      <c r="J208" s="124">
        <f t="shared" si="35"/>
        <v>588.73</v>
      </c>
      <c r="K208" s="121" t="s">
        <v>1</v>
      </c>
      <c r="L208" s="24"/>
      <c r="M208" s="125" t="s">
        <v>1</v>
      </c>
      <c r="N208" s="126" t="s">
        <v>32</v>
      </c>
      <c r="O208" s="127">
        <v>0</v>
      </c>
      <c r="P208" s="127">
        <f t="shared" si="36"/>
        <v>0</v>
      </c>
      <c r="Q208" s="127">
        <v>0</v>
      </c>
      <c r="R208" s="127">
        <f t="shared" si="37"/>
        <v>0</v>
      </c>
      <c r="S208" s="127">
        <v>0</v>
      </c>
      <c r="T208" s="128">
        <f t="shared" si="38"/>
        <v>0</v>
      </c>
      <c r="W208" s="199"/>
      <c r="X208" s="205" t="s">
        <v>407</v>
      </c>
      <c r="Y208" s="119" t="s">
        <v>231</v>
      </c>
      <c r="Z208" s="120" t="s">
        <v>3200</v>
      </c>
      <c r="AA208" s="121" t="s">
        <v>3201</v>
      </c>
      <c r="AB208" s="122" t="s">
        <v>284</v>
      </c>
      <c r="AC208" s="206">
        <v>366.7</v>
      </c>
      <c r="AD208" s="124">
        <v>1.74</v>
      </c>
      <c r="AE208" s="200">
        <f t="shared" si="39"/>
        <v>638.05999999999995</v>
      </c>
      <c r="AF208" s="956">
        <v>1</v>
      </c>
      <c r="AH208" s="130">
        <f t="shared" si="11"/>
        <v>28.348000000000013</v>
      </c>
      <c r="AJ208" s="398">
        <f t="shared" si="12"/>
        <v>49.325520000000026</v>
      </c>
      <c r="AK208" s="409"/>
      <c r="AL208" s="408"/>
      <c r="AM208" s="407"/>
      <c r="AN208" s="407"/>
      <c r="AO208" s="407"/>
      <c r="AP208" s="407"/>
      <c r="AQ208" s="407"/>
      <c r="AR208" s="129" t="s">
        <v>235</v>
      </c>
      <c r="AT208" s="129" t="s">
        <v>231</v>
      </c>
      <c r="AU208" s="129" t="s">
        <v>76</v>
      </c>
      <c r="AY208" s="13" t="s">
        <v>228</v>
      </c>
      <c r="BE208" s="130">
        <f t="shared" si="40"/>
        <v>0</v>
      </c>
      <c r="BF208" s="130">
        <f t="shared" si="41"/>
        <v>588.73</v>
      </c>
      <c r="BG208" s="130">
        <f t="shared" si="42"/>
        <v>0</v>
      </c>
      <c r="BH208" s="130">
        <f t="shared" si="43"/>
        <v>0</v>
      </c>
      <c r="BI208" s="130">
        <f t="shared" si="44"/>
        <v>0</v>
      </c>
      <c r="BJ208" s="13" t="s">
        <v>76</v>
      </c>
      <c r="BK208" s="130">
        <f t="shared" si="45"/>
        <v>588.73</v>
      </c>
      <c r="BL208" s="13" t="s">
        <v>235</v>
      </c>
      <c r="BM208" s="129" t="s">
        <v>410</v>
      </c>
    </row>
    <row r="209" spans="2:65" s="1" customFormat="1" ht="24" customHeight="1" x14ac:dyDescent="0.2">
      <c r="B209" s="118"/>
      <c r="C209" s="119" t="s">
        <v>323</v>
      </c>
      <c r="D209" s="285" t="s">
        <v>231</v>
      </c>
      <c r="E209" s="286" t="s">
        <v>3202</v>
      </c>
      <c r="F209" s="240" t="s">
        <v>3203</v>
      </c>
      <c r="G209" s="287" t="s">
        <v>271</v>
      </c>
      <c r="H209" s="288">
        <v>12.887</v>
      </c>
      <c r="I209" s="289">
        <v>1044.9000000000001</v>
      </c>
      <c r="J209" s="289">
        <f t="shared" si="35"/>
        <v>13465.63</v>
      </c>
      <c r="K209" s="240" t="s">
        <v>3204</v>
      </c>
      <c r="L209" s="447"/>
      <c r="M209" s="448" t="s">
        <v>1</v>
      </c>
      <c r="N209" s="449" t="s">
        <v>32</v>
      </c>
      <c r="O209" s="450">
        <v>35.758629999999997</v>
      </c>
      <c r="P209" s="450">
        <f t="shared" si="36"/>
        <v>460.82146480999995</v>
      </c>
      <c r="Q209" s="450">
        <v>1.0162899999999999</v>
      </c>
      <c r="R209" s="450">
        <f t="shared" si="37"/>
        <v>13.096929229999999</v>
      </c>
      <c r="S209" s="450">
        <v>0</v>
      </c>
      <c r="T209" s="451">
        <f t="shared" si="38"/>
        <v>0</v>
      </c>
      <c r="U209" s="407"/>
      <c r="V209" s="407"/>
      <c r="W209" s="452"/>
      <c r="X209" s="285" t="s">
        <v>323</v>
      </c>
      <c r="Y209" s="285" t="s">
        <v>231</v>
      </c>
      <c r="Z209" s="286" t="s">
        <v>3202</v>
      </c>
      <c r="AA209" s="240" t="s">
        <v>3203</v>
      </c>
      <c r="AB209" s="287" t="s">
        <v>271</v>
      </c>
      <c r="AC209" s="288">
        <v>12.887</v>
      </c>
      <c r="AD209" s="124">
        <v>1044.9000000000001</v>
      </c>
      <c r="AE209" s="200">
        <f t="shared" si="39"/>
        <v>13465.63</v>
      </c>
      <c r="AF209" s="956"/>
      <c r="AH209" s="130">
        <f t="shared" si="11"/>
        <v>0</v>
      </c>
      <c r="AJ209" s="398">
        <f t="shared" si="12"/>
        <v>0</v>
      </c>
      <c r="AK209" s="409"/>
      <c r="AL209" s="408"/>
      <c r="AM209" s="407"/>
      <c r="AN209" s="407"/>
      <c r="AO209" s="407"/>
      <c r="AP209" s="407"/>
      <c r="AQ209" s="407"/>
      <c r="AR209" s="129" t="s">
        <v>235</v>
      </c>
      <c r="AT209" s="129" t="s">
        <v>231</v>
      </c>
      <c r="AU209" s="129" t="s">
        <v>76</v>
      </c>
      <c r="AY209" s="13" t="s">
        <v>228</v>
      </c>
      <c r="BE209" s="130">
        <f t="shared" si="40"/>
        <v>0</v>
      </c>
      <c r="BF209" s="130">
        <f t="shared" si="41"/>
        <v>13465.63</v>
      </c>
      <c r="BG209" s="130">
        <f t="shared" si="42"/>
        <v>0</v>
      </c>
      <c r="BH209" s="130">
        <f t="shared" si="43"/>
        <v>0</v>
      </c>
      <c r="BI209" s="130">
        <f t="shared" si="44"/>
        <v>0</v>
      </c>
      <c r="BJ209" s="13" t="s">
        <v>76</v>
      </c>
      <c r="BK209" s="130">
        <f t="shared" si="45"/>
        <v>13465.63</v>
      </c>
      <c r="BL209" s="13" t="s">
        <v>235</v>
      </c>
      <c r="BM209" s="129" t="s">
        <v>3205</v>
      </c>
    </row>
    <row r="210" spans="2:65" s="339" customFormat="1" ht="24" customHeight="1" x14ac:dyDescent="0.2">
      <c r="B210" s="118"/>
      <c r="C210" s="1234" t="s">
        <v>5205</v>
      </c>
      <c r="D210" s="1235"/>
      <c r="E210" s="1235"/>
      <c r="F210" s="1235"/>
      <c r="G210" s="1235"/>
      <c r="H210" s="1235"/>
      <c r="I210" s="1235"/>
      <c r="J210" s="1236"/>
      <c r="K210" s="222"/>
      <c r="L210" s="24"/>
      <c r="M210" s="125"/>
      <c r="N210" s="126"/>
      <c r="O210" s="127"/>
      <c r="P210" s="127"/>
      <c r="Q210" s="127"/>
      <c r="R210" s="127"/>
      <c r="S210" s="127"/>
      <c r="T210" s="128"/>
      <c r="W210" s="199"/>
      <c r="X210" s="341" t="s">
        <v>5724</v>
      </c>
      <c r="Y210" s="341" t="s">
        <v>231</v>
      </c>
      <c r="Z210" s="342" t="s">
        <v>5708</v>
      </c>
      <c r="AA210" s="343" t="s">
        <v>5709</v>
      </c>
      <c r="AB210" s="344" t="s">
        <v>1194</v>
      </c>
      <c r="AC210" s="345">
        <v>10</v>
      </c>
      <c r="AD210" s="346">
        <v>13.25</v>
      </c>
      <c r="AE210" s="355">
        <f t="shared" si="39"/>
        <v>132.5</v>
      </c>
      <c r="AF210" s="956">
        <v>1</v>
      </c>
      <c r="AH210" s="130">
        <f t="shared" si="11"/>
        <v>10</v>
      </c>
      <c r="AJ210" s="398">
        <f t="shared" si="12"/>
        <v>132.5</v>
      </c>
      <c r="AK210" s="409"/>
      <c r="AL210" s="408"/>
      <c r="AM210" s="407"/>
      <c r="AN210" s="407"/>
      <c r="AO210" s="407"/>
      <c r="AP210" s="407"/>
      <c r="AQ210" s="407"/>
      <c r="AR210" s="129"/>
      <c r="AT210" s="129"/>
      <c r="AU210" s="129"/>
      <c r="AY210" s="13"/>
      <c r="BE210" s="130"/>
      <c r="BF210" s="130"/>
      <c r="BG210" s="130"/>
      <c r="BH210" s="130"/>
      <c r="BI210" s="130"/>
      <c r="BJ210" s="13"/>
      <c r="BK210" s="130"/>
      <c r="BL210" s="13"/>
      <c r="BM210" s="129"/>
    </row>
    <row r="211" spans="2:65" s="339" customFormat="1" ht="24" customHeight="1" x14ac:dyDescent="0.2">
      <c r="B211" s="118"/>
      <c r="C211" s="1234" t="s">
        <v>5205</v>
      </c>
      <c r="D211" s="1235"/>
      <c r="E211" s="1235"/>
      <c r="F211" s="1235"/>
      <c r="G211" s="1235"/>
      <c r="H211" s="1235"/>
      <c r="I211" s="1235"/>
      <c r="J211" s="1236"/>
      <c r="K211" s="222"/>
      <c r="L211" s="24"/>
      <c r="M211" s="125"/>
      <c r="N211" s="126"/>
      <c r="O211" s="127"/>
      <c r="P211" s="127"/>
      <c r="Q211" s="127"/>
      <c r="R211" s="127"/>
      <c r="S211" s="127"/>
      <c r="T211" s="128"/>
      <c r="W211" s="199"/>
      <c r="X211" s="341" t="s">
        <v>5725</v>
      </c>
      <c r="Y211" s="341" t="s">
        <v>231</v>
      </c>
      <c r="Z211" s="342" t="s">
        <v>5710</v>
      </c>
      <c r="AA211" s="343" t="s">
        <v>5711</v>
      </c>
      <c r="AB211" s="344" t="s">
        <v>1194</v>
      </c>
      <c r="AC211" s="345">
        <v>40</v>
      </c>
      <c r="AD211" s="346">
        <v>9.83</v>
      </c>
      <c r="AE211" s="355">
        <f t="shared" si="39"/>
        <v>393.2</v>
      </c>
      <c r="AF211" s="956">
        <v>1</v>
      </c>
      <c r="AH211" s="130">
        <f t="shared" si="11"/>
        <v>40</v>
      </c>
      <c r="AJ211" s="398">
        <f t="shared" si="12"/>
        <v>393.2</v>
      </c>
      <c r="AK211" s="409"/>
      <c r="AL211" s="408"/>
      <c r="AM211" s="407"/>
      <c r="AN211" s="407"/>
      <c r="AO211" s="407"/>
      <c r="AP211" s="407"/>
      <c r="AQ211" s="407"/>
      <c r="AR211" s="129"/>
      <c r="AT211" s="129"/>
      <c r="AU211" s="129"/>
      <c r="AY211" s="13"/>
      <c r="BE211" s="130"/>
      <c r="BF211" s="130"/>
      <c r="BG211" s="130"/>
      <c r="BH211" s="130"/>
      <c r="BI211" s="130"/>
      <c r="BJ211" s="13"/>
      <c r="BK211" s="130"/>
      <c r="BL211" s="13"/>
      <c r="BM211" s="129"/>
    </row>
    <row r="212" spans="2:65" s="339" customFormat="1" ht="24" customHeight="1" x14ac:dyDescent="0.2">
      <c r="B212" s="118"/>
      <c r="C212" s="1234" t="s">
        <v>5205</v>
      </c>
      <c r="D212" s="1235"/>
      <c r="E212" s="1235"/>
      <c r="F212" s="1235"/>
      <c r="G212" s="1235"/>
      <c r="H212" s="1235"/>
      <c r="I212" s="1235"/>
      <c r="J212" s="1236"/>
      <c r="K212" s="222"/>
      <c r="L212" s="24"/>
      <c r="M212" s="125"/>
      <c r="N212" s="126"/>
      <c r="O212" s="127"/>
      <c r="P212" s="127"/>
      <c r="Q212" s="127"/>
      <c r="R212" s="127"/>
      <c r="S212" s="127"/>
      <c r="T212" s="128"/>
      <c r="W212" s="199"/>
      <c r="X212" s="341" t="s">
        <v>5726</v>
      </c>
      <c r="Y212" s="341" t="s">
        <v>231</v>
      </c>
      <c r="Z212" s="342" t="s">
        <v>5712</v>
      </c>
      <c r="AA212" s="343" t="s">
        <v>5713</v>
      </c>
      <c r="AB212" s="344" t="s">
        <v>1194</v>
      </c>
      <c r="AC212" s="345">
        <v>5</v>
      </c>
      <c r="AD212" s="346">
        <v>33.450000000000003</v>
      </c>
      <c r="AE212" s="355">
        <f t="shared" si="39"/>
        <v>167.25</v>
      </c>
      <c r="AF212" s="956">
        <v>1</v>
      </c>
      <c r="AH212" s="130">
        <f t="shared" si="11"/>
        <v>5</v>
      </c>
      <c r="AJ212" s="398">
        <f t="shared" si="12"/>
        <v>167.25</v>
      </c>
      <c r="AK212" s="409"/>
      <c r="AL212" s="408"/>
      <c r="AM212" s="407"/>
      <c r="AN212" s="407"/>
      <c r="AO212" s="407"/>
      <c r="AP212" s="407"/>
      <c r="AQ212" s="407"/>
      <c r="AR212" s="129"/>
      <c r="AT212" s="129"/>
      <c r="AU212" s="129"/>
      <c r="AY212" s="13"/>
      <c r="BE212" s="130"/>
      <c r="BF212" s="130"/>
      <c r="BG212" s="130"/>
      <c r="BH212" s="130"/>
      <c r="BI212" s="130"/>
      <c r="BJ212" s="13"/>
      <c r="BK212" s="130"/>
      <c r="BL212" s="13"/>
      <c r="BM212" s="129"/>
    </row>
    <row r="213" spans="2:65" s="339" customFormat="1" ht="24" customHeight="1" x14ac:dyDescent="0.2">
      <c r="B213" s="118"/>
      <c r="C213" s="1234" t="s">
        <v>5205</v>
      </c>
      <c r="D213" s="1235"/>
      <c r="E213" s="1235"/>
      <c r="F213" s="1235"/>
      <c r="G213" s="1235"/>
      <c r="H213" s="1235"/>
      <c r="I213" s="1235"/>
      <c r="J213" s="1236"/>
      <c r="K213" s="222"/>
      <c r="L213" s="24"/>
      <c r="M213" s="125"/>
      <c r="N213" s="126"/>
      <c r="O213" s="127"/>
      <c r="P213" s="127"/>
      <c r="Q213" s="127"/>
      <c r="R213" s="127"/>
      <c r="S213" s="127"/>
      <c r="T213" s="128"/>
      <c r="W213" s="199"/>
      <c r="X213" s="341" t="s">
        <v>5727</v>
      </c>
      <c r="Y213" s="341" t="s">
        <v>231</v>
      </c>
      <c r="Z213" s="342" t="s">
        <v>5714</v>
      </c>
      <c r="AA213" s="343" t="s">
        <v>5715</v>
      </c>
      <c r="AB213" s="344" t="s">
        <v>292</v>
      </c>
      <c r="AC213" s="345">
        <v>3</v>
      </c>
      <c r="AD213" s="346">
        <v>210.9</v>
      </c>
      <c r="AE213" s="355">
        <f t="shared" si="39"/>
        <v>632.70000000000005</v>
      </c>
      <c r="AF213" s="956">
        <v>1</v>
      </c>
      <c r="AH213" s="130">
        <f t="shared" si="11"/>
        <v>3</v>
      </c>
      <c r="AJ213" s="398">
        <f t="shared" si="12"/>
        <v>632.70000000000005</v>
      </c>
      <c r="AK213" s="409"/>
      <c r="AL213" s="408"/>
      <c r="AM213" s="407"/>
      <c r="AN213" s="407"/>
      <c r="AO213" s="407"/>
      <c r="AP213" s="407"/>
      <c r="AQ213" s="407"/>
      <c r="AR213" s="129"/>
      <c r="AT213" s="129"/>
      <c r="AU213" s="129"/>
      <c r="AY213" s="13"/>
      <c r="BE213" s="130"/>
      <c r="BF213" s="130"/>
      <c r="BG213" s="130"/>
      <c r="BH213" s="130"/>
      <c r="BI213" s="130"/>
      <c r="BJ213" s="13"/>
      <c r="BK213" s="130"/>
      <c r="BL213" s="13"/>
      <c r="BM213" s="129"/>
    </row>
    <row r="214" spans="2:65" s="339" customFormat="1" ht="24" customHeight="1" x14ac:dyDescent="0.2">
      <c r="B214" s="118"/>
      <c r="C214" s="1234" t="s">
        <v>5205</v>
      </c>
      <c r="D214" s="1235"/>
      <c r="E214" s="1235"/>
      <c r="F214" s="1235"/>
      <c r="G214" s="1235"/>
      <c r="H214" s="1235"/>
      <c r="I214" s="1235"/>
      <c r="J214" s="1236"/>
      <c r="K214" s="222"/>
      <c r="L214" s="24"/>
      <c r="M214" s="125"/>
      <c r="N214" s="126"/>
      <c r="O214" s="127"/>
      <c r="P214" s="127"/>
      <c r="Q214" s="127"/>
      <c r="R214" s="127"/>
      <c r="S214" s="127"/>
      <c r="T214" s="128"/>
      <c r="W214" s="199"/>
      <c r="X214" s="341" t="s">
        <v>5728</v>
      </c>
      <c r="Y214" s="341" t="s">
        <v>231</v>
      </c>
      <c r="Z214" s="342" t="s">
        <v>5716</v>
      </c>
      <c r="AA214" s="343" t="s">
        <v>5717</v>
      </c>
      <c r="AB214" s="344" t="s">
        <v>292</v>
      </c>
      <c r="AC214" s="345">
        <v>0.5</v>
      </c>
      <c r="AD214" s="346">
        <v>210.9</v>
      </c>
      <c r="AE214" s="355">
        <f t="shared" si="39"/>
        <v>105.45</v>
      </c>
      <c r="AF214" s="956">
        <v>1</v>
      </c>
      <c r="AH214" s="130">
        <f t="shared" si="11"/>
        <v>0.5</v>
      </c>
      <c r="AJ214" s="398">
        <f t="shared" si="12"/>
        <v>105.45</v>
      </c>
      <c r="AK214" s="409"/>
      <c r="AL214" s="408"/>
      <c r="AM214" s="407"/>
      <c r="AN214" s="407"/>
      <c r="AO214" s="407"/>
      <c r="AP214" s="407"/>
      <c r="AQ214" s="407"/>
      <c r="AR214" s="129"/>
      <c r="AT214" s="129"/>
      <c r="AU214" s="129"/>
      <c r="AY214" s="13"/>
      <c r="BE214" s="130"/>
      <c r="BF214" s="130"/>
      <c r="BG214" s="130"/>
      <c r="BH214" s="130"/>
      <c r="BI214" s="130"/>
      <c r="BJ214" s="13"/>
      <c r="BK214" s="130"/>
      <c r="BL214" s="13"/>
      <c r="BM214" s="129"/>
    </row>
    <row r="215" spans="2:65" s="339" customFormat="1" ht="24" customHeight="1" x14ac:dyDescent="0.2">
      <c r="B215" s="118"/>
      <c r="C215" s="1234" t="s">
        <v>5205</v>
      </c>
      <c r="D215" s="1235"/>
      <c r="E215" s="1235"/>
      <c r="F215" s="1235"/>
      <c r="G215" s="1235"/>
      <c r="H215" s="1235"/>
      <c r="I215" s="1235"/>
      <c r="J215" s="1236"/>
      <c r="K215" s="222"/>
      <c r="L215" s="24"/>
      <c r="M215" s="125"/>
      <c r="N215" s="126"/>
      <c r="O215" s="127"/>
      <c r="P215" s="127"/>
      <c r="Q215" s="127"/>
      <c r="R215" s="127"/>
      <c r="S215" s="127"/>
      <c r="T215" s="128"/>
      <c r="W215" s="199"/>
      <c r="X215" s="341" t="s">
        <v>5729</v>
      </c>
      <c r="Y215" s="341" t="s">
        <v>231</v>
      </c>
      <c r="Z215" s="342" t="s">
        <v>5718</v>
      </c>
      <c r="AA215" s="343" t="s">
        <v>5719</v>
      </c>
      <c r="AB215" s="344" t="s">
        <v>292</v>
      </c>
      <c r="AC215" s="345">
        <v>3</v>
      </c>
      <c r="AD215" s="346">
        <v>408.02</v>
      </c>
      <c r="AE215" s="355">
        <f t="shared" si="39"/>
        <v>1224.06</v>
      </c>
      <c r="AF215" s="956">
        <v>1</v>
      </c>
      <c r="AH215" s="130">
        <f t="shared" si="11"/>
        <v>3</v>
      </c>
      <c r="AJ215" s="398">
        <f t="shared" si="12"/>
        <v>1224.06</v>
      </c>
      <c r="AK215" s="409"/>
      <c r="AL215" s="408"/>
      <c r="AM215" s="407"/>
      <c r="AN215" s="407"/>
      <c r="AO215" s="407"/>
      <c r="AP215" s="407"/>
      <c r="AQ215" s="407"/>
      <c r="AR215" s="129"/>
      <c r="AT215" s="129"/>
      <c r="AU215" s="129"/>
      <c r="AY215" s="13"/>
      <c r="BE215" s="130"/>
      <c r="BF215" s="130"/>
      <c r="BG215" s="130"/>
      <c r="BH215" s="130"/>
      <c r="BI215" s="130"/>
      <c r="BJ215" s="13"/>
      <c r="BK215" s="130"/>
      <c r="BL215" s="13"/>
      <c r="BM215" s="129"/>
    </row>
    <row r="216" spans="2:65" s="339" customFormat="1" ht="24" customHeight="1" x14ac:dyDescent="0.2">
      <c r="B216" s="118"/>
      <c r="C216" s="1234" t="s">
        <v>5205</v>
      </c>
      <c r="D216" s="1235"/>
      <c r="E216" s="1235"/>
      <c r="F216" s="1235"/>
      <c r="G216" s="1235"/>
      <c r="H216" s="1235"/>
      <c r="I216" s="1235"/>
      <c r="J216" s="1236"/>
      <c r="K216" s="222"/>
      <c r="L216" s="24"/>
      <c r="M216" s="125"/>
      <c r="N216" s="126"/>
      <c r="O216" s="127"/>
      <c r="P216" s="127"/>
      <c r="Q216" s="127"/>
      <c r="R216" s="127"/>
      <c r="S216" s="127"/>
      <c r="T216" s="128"/>
      <c r="W216" s="199"/>
      <c r="X216" s="341" t="s">
        <v>5730</v>
      </c>
      <c r="Y216" s="341" t="s">
        <v>231</v>
      </c>
      <c r="Z216" s="342" t="s">
        <v>5720</v>
      </c>
      <c r="AA216" s="343" t="s">
        <v>5721</v>
      </c>
      <c r="AB216" s="344" t="s">
        <v>292</v>
      </c>
      <c r="AC216" s="345">
        <v>1</v>
      </c>
      <c r="AD216" s="346">
        <v>237.26</v>
      </c>
      <c r="AE216" s="355">
        <f t="shared" si="39"/>
        <v>237.26</v>
      </c>
      <c r="AF216" s="956">
        <v>1</v>
      </c>
      <c r="AH216" s="130">
        <f t="shared" si="11"/>
        <v>1</v>
      </c>
      <c r="AJ216" s="398">
        <f t="shared" si="12"/>
        <v>237.26</v>
      </c>
      <c r="AK216" s="409"/>
      <c r="AL216" s="408"/>
      <c r="AM216" s="407"/>
      <c r="AN216" s="407"/>
      <c r="AO216" s="407"/>
      <c r="AP216" s="407"/>
      <c r="AQ216" s="407"/>
      <c r="AR216" s="129"/>
      <c r="AT216" s="129"/>
      <c r="AU216" s="129"/>
      <c r="AY216" s="13"/>
      <c r="BE216" s="130"/>
      <c r="BF216" s="130"/>
      <c r="BG216" s="130"/>
      <c r="BH216" s="130"/>
      <c r="BI216" s="130"/>
      <c r="BJ216" s="13"/>
      <c r="BK216" s="130"/>
      <c r="BL216" s="13"/>
      <c r="BM216" s="129"/>
    </row>
    <row r="217" spans="2:65" s="339" customFormat="1" ht="24" customHeight="1" x14ac:dyDescent="0.2">
      <c r="B217" s="118"/>
      <c r="C217" s="1234" t="s">
        <v>5205</v>
      </c>
      <c r="D217" s="1235"/>
      <c r="E217" s="1235"/>
      <c r="F217" s="1235"/>
      <c r="G217" s="1235"/>
      <c r="H217" s="1235"/>
      <c r="I217" s="1235"/>
      <c r="J217" s="1236"/>
      <c r="K217" s="222"/>
      <c r="L217" s="24"/>
      <c r="M217" s="125"/>
      <c r="N217" s="126"/>
      <c r="O217" s="127"/>
      <c r="P217" s="127"/>
      <c r="Q217" s="127"/>
      <c r="R217" s="127"/>
      <c r="S217" s="127"/>
      <c r="T217" s="128"/>
      <c r="W217" s="199"/>
      <c r="X217" s="341" t="s">
        <v>5731</v>
      </c>
      <c r="Y217" s="341" t="s">
        <v>231</v>
      </c>
      <c r="Z217" s="342" t="s">
        <v>5722</v>
      </c>
      <c r="AA217" s="343" t="s">
        <v>5723</v>
      </c>
      <c r="AB217" s="344" t="s">
        <v>292</v>
      </c>
      <c r="AC217" s="345">
        <v>1</v>
      </c>
      <c r="AD217" s="346">
        <v>169.58</v>
      </c>
      <c r="AE217" s="355">
        <f t="shared" si="39"/>
        <v>169.58</v>
      </c>
      <c r="AF217" s="956">
        <v>1</v>
      </c>
      <c r="AH217" s="130">
        <f t="shared" ref="AH217:AH280" si="46">AC217-H217</f>
        <v>1</v>
      </c>
      <c r="AJ217" s="398">
        <f t="shared" si="12"/>
        <v>169.58</v>
      </c>
      <c r="AK217" s="409"/>
      <c r="AL217" s="408"/>
      <c r="AM217" s="407"/>
      <c r="AN217" s="407"/>
      <c r="AO217" s="407"/>
      <c r="AP217" s="407"/>
      <c r="AQ217" s="407"/>
      <c r="AR217" s="129"/>
      <c r="AT217" s="129"/>
      <c r="AU217" s="129"/>
      <c r="AY217" s="13"/>
      <c r="BE217" s="130"/>
      <c r="BF217" s="130"/>
      <c r="BG217" s="130"/>
      <c r="BH217" s="130"/>
      <c r="BI217" s="130"/>
      <c r="BJ217" s="13"/>
      <c r="BK217" s="130"/>
      <c r="BL217" s="13"/>
      <c r="BM217" s="129"/>
    </row>
    <row r="218" spans="2:65" s="11" customFormat="1" ht="22.95" customHeight="1" x14ac:dyDescent="0.25">
      <c r="B218" s="106"/>
      <c r="D218" s="107" t="s">
        <v>57</v>
      </c>
      <c r="E218" s="116" t="s">
        <v>245</v>
      </c>
      <c r="F218" s="116" t="s">
        <v>3206</v>
      </c>
      <c r="J218" s="117">
        <f>BK218</f>
        <v>3339.68</v>
      </c>
      <c r="L218" s="106"/>
      <c r="M218" s="110"/>
      <c r="N218" s="111"/>
      <c r="O218" s="111"/>
      <c r="P218" s="112">
        <f>SUM(P219:P224)</f>
        <v>0</v>
      </c>
      <c r="Q218" s="111"/>
      <c r="R218" s="112">
        <f>SUM(R219:R224)</f>
        <v>0</v>
      </c>
      <c r="S218" s="111"/>
      <c r="T218" s="113">
        <f>SUM(T219:T224)</f>
        <v>0</v>
      </c>
      <c r="W218" s="195"/>
      <c r="X218" s="111"/>
      <c r="Y218" s="196" t="s">
        <v>57</v>
      </c>
      <c r="Z218" s="201" t="s">
        <v>245</v>
      </c>
      <c r="AA218" s="201" t="s">
        <v>3206</v>
      </c>
      <c r="AB218" s="111"/>
      <c r="AC218" s="347"/>
      <c r="AD218" s="111"/>
      <c r="AE218" s="202">
        <f>SUM(AE219:AE224)</f>
        <v>3466.23</v>
      </c>
      <c r="AF218" s="956"/>
      <c r="AH218" s="130"/>
      <c r="AJ218" s="398">
        <f t="shared" ref="AJ218:AJ285" si="47">AH218*AD218</f>
        <v>0</v>
      </c>
      <c r="AK218" s="409"/>
      <c r="AL218" s="408"/>
      <c r="AM218" s="292"/>
      <c r="AN218" s="292"/>
      <c r="AO218" s="292"/>
      <c r="AP218" s="292"/>
      <c r="AQ218" s="292"/>
      <c r="AR218" s="107" t="s">
        <v>63</v>
      </c>
      <c r="AT218" s="114" t="s">
        <v>57</v>
      </c>
      <c r="AU218" s="114" t="s">
        <v>63</v>
      </c>
      <c r="AY218" s="107" t="s">
        <v>228</v>
      </c>
      <c r="BK218" s="115">
        <f>SUM(BK219:BK224)</f>
        <v>3339.68</v>
      </c>
    </row>
    <row r="219" spans="2:65" s="1" customFormat="1" ht="24" customHeight="1" x14ac:dyDescent="0.2">
      <c r="B219" s="118"/>
      <c r="C219" s="119" t="s">
        <v>415</v>
      </c>
      <c r="D219" s="119" t="s">
        <v>231</v>
      </c>
      <c r="E219" s="120" t="s">
        <v>3207</v>
      </c>
      <c r="F219" s="121" t="s">
        <v>3208</v>
      </c>
      <c r="G219" s="122" t="s">
        <v>284</v>
      </c>
      <c r="H219" s="123">
        <v>71.5</v>
      </c>
      <c r="I219" s="124">
        <v>2.5499999999999998</v>
      </c>
      <c r="J219" s="124">
        <f>ROUND(I219*H219,2)</f>
        <v>182.33</v>
      </c>
      <c r="K219" s="121" t="s">
        <v>1</v>
      </c>
      <c r="L219" s="24"/>
      <c r="M219" s="125" t="s">
        <v>1</v>
      </c>
      <c r="N219" s="126" t="s">
        <v>32</v>
      </c>
      <c r="O219" s="127">
        <v>0</v>
      </c>
      <c r="P219" s="127">
        <f>O219*H219</f>
        <v>0</v>
      </c>
      <c r="Q219" s="127">
        <v>0</v>
      </c>
      <c r="R219" s="127">
        <f>Q219*H219</f>
        <v>0</v>
      </c>
      <c r="S219" s="127">
        <v>0</v>
      </c>
      <c r="T219" s="128">
        <f>S219*H219</f>
        <v>0</v>
      </c>
      <c r="W219" s="199"/>
      <c r="X219" s="119" t="s">
        <v>415</v>
      </c>
      <c r="Y219" s="119" t="s">
        <v>231</v>
      </c>
      <c r="Z219" s="120" t="s">
        <v>3207</v>
      </c>
      <c r="AA219" s="121" t="s">
        <v>3208</v>
      </c>
      <c r="AB219" s="122" t="s">
        <v>284</v>
      </c>
      <c r="AC219" s="288">
        <v>71.5</v>
      </c>
      <c r="AD219" s="124">
        <v>2.5499999999999998</v>
      </c>
      <c r="AE219" s="200">
        <f t="shared" ref="AE219:AE224" si="48">ROUND(AD219*AC219,2)</f>
        <v>182.33</v>
      </c>
      <c r="AF219" s="956"/>
      <c r="AH219" s="130"/>
      <c r="AJ219" s="398">
        <f t="shared" si="47"/>
        <v>0</v>
      </c>
      <c r="AK219" s="409"/>
      <c r="AL219" s="408"/>
      <c r="AM219" s="407"/>
      <c r="AN219" s="407"/>
      <c r="AO219" s="407"/>
      <c r="AP219" s="407"/>
      <c r="AQ219" s="407"/>
      <c r="AR219" s="129" t="s">
        <v>235</v>
      </c>
      <c r="AT219" s="129" t="s">
        <v>231</v>
      </c>
      <c r="AU219" s="129" t="s">
        <v>76</v>
      </c>
      <c r="AY219" s="13" t="s">
        <v>228</v>
      </c>
      <c r="BE219" s="130">
        <f>IF(N219="základná",J219,0)</f>
        <v>0</v>
      </c>
      <c r="BF219" s="130">
        <f>IF(N219="znížená",J219,0)</f>
        <v>182.33</v>
      </c>
      <c r="BG219" s="130">
        <f>IF(N219="zákl. prenesená",J219,0)</f>
        <v>0</v>
      </c>
      <c r="BH219" s="130">
        <f>IF(N219="zníž. prenesená",J219,0)</f>
        <v>0</v>
      </c>
      <c r="BI219" s="130">
        <f>IF(N219="nulová",J219,0)</f>
        <v>0</v>
      </c>
      <c r="BJ219" s="13" t="s">
        <v>76</v>
      </c>
      <c r="BK219" s="130">
        <f>ROUND(I219*H219,2)</f>
        <v>182.33</v>
      </c>
      <c r="BL219" s="13" t="s">
        <v>235</v>
      </c>
      <c r="BM219" s="129" t="s">
        <v>414</v>
      </c>
    </row>
    <row r="220" spans="2:65" s="1" customFormat="1" ht="24" customHeight="1" x14ac:dyDescent="0.2">
      <c r="B220" s="118"/>
      <c r="C220" s="205" t="s">
        <v>326</v>
      </c>
      <c r="D220" s="119" t="s">
        <v>231</v>
      </c>
      <c r="E220" s="120" t="s">
        <v>3209</v>
      </c>
      <c r="F220" s="121" t="s">
        <v>3210</v>
      </c>
      <c r="G220" s="122" t="s">
        <v>284</v>
      </c>
      <c r="H220" s="206">
        <v>71.5</v>
      </c>
      <c r="I220" s="124">
        <v>6.73</v>
      </c>
      <c r="J220" s="124">
        <f>ROUND(I220*H220,2)</f>
        <v>481.2</v>
      </c>
      <c r="K220" s="121" t="s">
        <v>1</v>
      </c>
      <c r="L220" s="24"/>
      <c r="M220" s="125" t="s">
        <v>1</v>
      </c>
      <c r="N220" s="126" t="s">
        <v>32</v>
      </c>
      <c r="O220" s="127">
        <v>0</v>
      </c>
      <c r="P220" s="127">
        <f>O220*H220</f>
        <v>0</v>
      </c>
      <c r="Q220" s="127">
        <v>0</v>
      </c>
      <c r="R220" s="127">
        <f>Q220*H220</f>
        <v>0</v>
      </c>
      <c r="S220" s="127">
        <v>0</v>
      </c>
      <c r="T220" s="128">
        <f>S220*H220</f>
        <v>0</v>
      </c>
      <c r="W220" s="199"/>
      <c r="X220" s="205" t="s">
        <v>326</v>
      </c>
      <c r="Y220" s="119" t="s">
        <v>231</v>
      </c>
      <c r="Z220" s="120" t="s">
        <v>3209</v>
      </c>
      <c r="AA220" s="121" t="s">
        <v>3210</v>
      </c>
      <c r="AB220" s="122" t="s">
        <v>284</v>
      </c>
      <c r="AC220" s="206">
        <v>0</v>
      </c>
      <c r="AD220" s="124">
        <v>6.73</v>
      </c>
      <c r="AE220" s="200">
        <f t="shared" si="48"/>
        <v>0</v>
      </c>
      <c r="AF220" s="956">
        <v>1</v>
      </c>
      <c r="AH220" s="130">
        <f t="shared" si="46"/>
        <v>-71.5</v>
      </c>
      <c r="AJ220" s="398">
        <f t="shared" si="47"/>
        <v>-481.19500000000005</v>
      </c>
      <c r="AK220" s="409"/>
      <c r="AL220" s="408"/>
      <c r="AM220" s="407"/>
      <c r="AN220" s="407"/>
      <c r="AO220" s="407"/>
      <c r="AP220" s="407"/>
      <c r="AQ220" s="407"/>
      <c r="AR220" s="129" t="s">
        <v>235</v>
      </c>
      <c r="AT220" s="129" t="s">
        <v>231</v>
      </c>
      <c r="AU220" s="129" t="s">
        <v>76</v>
      </c>
      <c r="AY220" s="13" t="s">
        <v>228</v>
      </c>
      <c r="BE220" s="130">
        <f>IF(N220="základná",J220,0)</f>
        <v>0</v>
      </c>
      <c r="BF220" s="130">
        <f>IF(N220="znížená",J220,0)</f>
        <v>481.2</v>
      </c>
      <c r="BG220" s="130">
        <f>IF(N220="zákl. prenesená",J220,0)</f>
        <v>0</v>
      </c>
      <c r="BH220" s="130">
        <f>IF(N220="zníž. prenesená",J220,0)</f>
        <v>0</v>
      </c>
      <c r="BI220" s="130">
        <f>IF(N220="nulová",J220,0)</f>
        <v>0</v>
      </c>
      <c r="BJ220" s="13" t="s">
        <v>76</v>
      </c>
      <c r="BK220" s="130">
        <f>ROUND(I220*H220,2)</f>
        <v>481.2</v>
      </c>
      <c r="BL220" s="13" t="s">
        <v>235</v>
      </c>
      <c r="BM220" s="129" t="s">
        <v>418</v>
      </c>
    </row>
    <row r="221" spans="2:65" s="339" customFormat="1" ht="24" customHeight="1" x14ac:dyDescent="0.2">
      <c r="B221" s="118"/>
      <c r="C221" s="1234" t="s">
        <v>5205</v>
      </c>
      <c r="D221" s="1235"/>
      <c r="E221" s="1235"/>
      <c r="F221" s="1235"/>
      <c r="G221" s="1235"/>
      <c r="H221" s="1235"/>
      <c r="I221" s="1235"/>
      <c r="J221" s="1236"/>
      <c r="K221" s="121"/>
      <c r="L221" s="24"/>
      <c r="M221" s="125"/>
      <c r="N221" s="126"/>
      <c r="O221" s="127"/>
      <c r="P221" s="127"/>
      <c r="Q221" s="127"/>
      <c r="R221" s="127"/>
      <c r="S221" s="127"/>
      <c r="T221" s="128"/>
      <c r="W221" s="199"/>
      <c r="X221" s="341" t="s">
        <v>5734</v>
      </c>
      <c r="Y221" s="341" t="s">
        <v>231</v>
      </c>
      <c r="Z221" s="342" t="s">
        <v>5732</v>
      </c>
      <c r="AA221" s="343" t="s">
        <v>5733</v>
      </c>
      <c r="AB221" s="344" t="s">
        <v>284</v>
      </c>
      <c r="AC221" s="345">
        <v>71.5</v>
      </c>
      <c r="AD221" s="346">
        <v>8.5</v>
      </c>
      <c r="AE221" s="355">
        <f t="shared" si="48"/>
        <v>607.75</v>
      </c>
      <c r="AF221" s="956">
        <v>1</v>
      </c>
      <c r="AH221" s="130">
        <f t="shared" si="46"/>
        <v>71.5</v>
      </c>
      <c r="AJ221" s="398">
        <f t="shared" si="47"/>
        <v>607.75</v>
      </c>
      <c r="AK221" s="409"/>
      <c r="AL221" s="408"/>
      <c r="AM221" s="407"/>
      <c r="AN221" s="407"/>
      <c r="AO221" s="407"/>
      <c r="AP221" s="407"/>
      <c r="AQ221" s="407"/>
      <c r="AR221" s="129"/>
      <c r="AT221" s="129"/>
      <c r="AU221" s="129"/>
      <c r="AY221" s="13"/>
      <c r="BE221" s="130"/>
      <c r="BF221" s="130"/>
      <c r="BG221" s="130"/>
      <c r="BH221" s="130"/>
      <c r="BI221" s="130"/>
      <c r="BJ221" s="13"/>
      <c r="BK221" s="130"/>
      <c r="BL221" s="13"/>
      <c r="BM221" s="129"/>
    </row>
    <row r="222" spans="2:65" s="1" customFormat="1" ht="36" customHeight="1" x14ac:dyDescent="0.2">
      <c r="B222" s="118"/>
      <c r="C222" s="119" t="s">
        <v>422</v>
      </c>
      <c r="D222" s="119" t="s">
        <v>231</v>
      </c>
      <c r="E222" s="120" t="s">
        <v>3211</v>
      </c>
      <c r="F222" s="121" t="s">
        <v>3212</v>
      </c>
      <c r="G222" s="122" t="s">
        <v>284</v>
      </c>
      <c r="H222" s="123">
        <v>71.5</v>
      </c>
      <c r="I222" s="124">
        <v>11.61</v>
      </c>
      <c r="J222" s="124">
        <f>ROUND(I222*H222,2)</f>
        <v>830.12</v>
      </c>
      <c r="K222" s="121" t="s">
        <v>1</v>
      </c>
      <c r="L222" s="24"/>
      <c r="M222" s="125" t="s">
        <v>1</v>
      </c>
      <c r="N222" s="126" t="s">
        <v>32</v>
      </c>
      <c r="O222" s="127">
        <v>0</v>
      </c>
      <c r="P222" s="127">
        <f>O222*H222</f>
        <v>0</v>
      </c>
      <c r="Q222" s="127">
        <v>0</v>
      </c>
      <c r="R222" s="127">
        <f>Q222*H222</f>
        <v>0</v>
      </c>
      <c r="S222" s="127">
        <v>0</v>
      </c>
      <c r="T222" s="128">
        <f>S222*H222</f>
        <v>0</v>
      </c>
      <c r="W222" s="199"/>
      <c r="X222" s="119" t="s">
        <v>422</v>
      </c>
      <c r="Y222" s="119" t="s">
        <v>231</v>
      </c>
      <c r="Z222" s="120" t="s">
        <v>3211</v>
      </c>
      <c r="AA222" s="121" t="s">
        <v>3212</v>
      </c>
      <c r="AB222" s="122" t="s">
        <v>284</v>
      </c>
      <c r="AC222" s="123">
        <v>71.5</v>
      </c>
      <c r="AD222" s="124">
        <v>11.61</v>
      </c>
      <c r="AE222" s="200">
        <f t="shared" si="48"/>
        <v>830.12</v>
      </c>
      <c r="AF222" s="956"/>
      <c r="AH222" s="130"/>
      <c r="AJ222" s="398">
        <f t="shared" si="47"/>
        <v>0</v>
      </c>
      <c r="AK222" s="409"/>
      <c r="AL222" s="408"/>
      <c r="AM222" s="407"/>
      <c r="AN222" s="407"/>
      <c r="AO222" s="407"/>
      <c r="AP222" s="407"/>
      <c r="AQ222" s="407"/>
      <c r="AR222" s="129" t="s">
        <v>235</v>
      </c>
      <c r="AT222" s="129" t="s">
        <v>231</v>
      </c>
      <c r="AU222" s="129" t="s">
        <v>76</v>
      </c>
      <c r="AY222" s="13" t="s">
        <v>228</v>
      </c>
      <c r="BE222" s="130">
        <f>IF(N222="základná",J222,0)</f>
        <v>0</v>
      </c>
      <c r="BF222" s="130">
        <f>IF(N222="znížená",J222,0)</f>
        <v>830.12</v>
      </c>
      <c r="BG222" s="130">
        <f>IF(N222="zákl. prenesená",J222,0)</f>
        <v>0</v>
      </c>
      <c r="BH222" s="130">
        <f>IF(N222="zníž. prenesená",J222,0)</f>
        <v>0</v>
      </c>
      <c r="BI222" s="130">
        <f>IF(N222="nulová",J222,0)</f>
        <v>0</v>
      </c>
      <c r="BJ222" s="13" t="s">
        <v>76</v>
      </c>
      <c r="BK222" s="130">
        <f>ROUND(I222*H222,2)</f>
        <v>830.12</v>
      </c>
      <c r="BL222" s="13" t="s">
        <v>235</v>
      </c>
      <c r="BM222" s="129" t="s">
        <v>421</v>
      </c>
    </row>
    <row r="223" spans="2:65" s="1" customFormat="1" ht="24" customHeight="1" x14ac:dyDescent="0.2">
      <c r="B223" s="118"/>
      <c r="C223" s="119" t="s">
        <v>330</v>
      </c>
      <c r="D223" s="119" t="s">
        <v>231</v>
      </c>
      <c r="E223" s="120" t="s">
        <v>3213</v>
      </c>
      <c r="F223" s="121" t="s">
        <v>3214</v>
      </c>
      <c r="G223" s="122" t="s">
        <v>284</v>
      </c>
      <c r="H223" s="123">
        <v>71.5</v>
      </c>
      <c r="I223" s="124">
        <v>11.61</v>
      </c>
      <c r="J223" s="124">
        <f>ROUND(I223*H223,2)</f>
        <v>830.12</v>
      </c>
      <c r="K223" s="121" t="s">
        <v>1</v>
      </c>
      <c r="L223" s="24"/>
      <c r="M223" s="125" t="s">
        <v>1</v>
      </c>
      <c r="N223" s="126" t="s">
        <v>32</v>
      </c>
      <c r="O223" s="127">
        <v>0</v>
      </c>
      <c r="P223" s="127">
        <f>O223*H223</f>
        <v>0</v>
      </c>
      <c r="Q223" s="127">
        <v>0</v>
      </c>
      <c r="R223" s="127">
        <f>Q223*H223</f>
        <v>0</v>
      </c>
      <c r="S223" s="127">
        <v>0</v>
      </c>
      <c r="T223" s="128">
        <f>S223*H223</f>
        <v>0</v>
      </c>
      <c r="W223" s="199"/>
      <c r="X223" s="119" t="s">
        <v>330</v>
      </c>
      <c r="Y223" s="119" t="s">
        <v>231</v>
      </c>
      <c r="Z223" s="120" t="s">
        <v>3213</v>
      </c>
      <c r="AA223" s="121" t="s">
        <v>3214</v>
      </c>
      <c r="AB223" s="122" t="s">
        <v>284</v>
      </c>
      <c r="AC223" s="123">
        <v>71.5</v>
      </c>
      <c r="AD223" s="124">
        <v>11.61</v>
      </c>
      <c r="AE223" s="200">
        <f t="shared" si="48"/>
        <v>830.12</v>
      </c>
      <c r="AF223" s="956"/>
      <c r="AH223" s="130"/>
      <c r="AJ223" s="398">
        <f t="shared" si="47"/>
        <v>0</v>
      </c>
      <c r="AK223" s="409"/>
      <c r="AL223" s="408"/>
      <c r="AM223" s="407"/>
      <c r="AN223" s="407"/>
      <c r="AO223" s="407"/>
      <c r="AP223" s="407"/>
      <c r="AQ223" s="407"/>
      <c r="AR223" s="129" t="s">
        <v>235</v>
      </c>
      <c r="AT223" s="129" t="s">
        <v>231</v>
      </c>
      <c r="AU223" s="129" t="s">
        <v>76</v>
      </c>
      <c r="AY223" s="13" t="s">
        <v>228</v>
      </c>
      <c r="BE223" s="130">
        <f>IF(N223="základná",J223,0)</f>
        <v>0</v>
      </c>
      <c r="BF223" s="130">
        <f>IF(N223="znížená",J223,0)</f>
        <v>830.12</v>
      </c>
      <c r="BG223" s="130">
        <f>IF(N223="zákl. prenesená",J223,0)</f>
        <v>0</v>
      </c>
      <c r="BH223" s="130">
        <f>IF(N223="zníž. prenesená",J223,0)</f>
        <v>0</v>
      </c>
      <c r="BI223" s="130">
        <f>IF(N223="nulová",J223,0)</f>
        <v>0</v>
      </c>
      <c r="BJ223" s="13" t="s">
        <v>76</v>
      </c>
      <c r="BK223" s="130">
        <f>ROUND(I223*H223,2)</f>
        <v>830.12</v>
      </c>
      <c r="BL223" s="13" t="s">
        <v>235</v>
      </c>
      <c r="BM223" s="129" t="s">
        <v>425</v>
      </c>
    </row>
    <row r="224" spans="2:65" s="1" customFormat="1" ht="16.5" customHeight="1" x14ac:dyDescent="0.2">
      <c r="B224" s="118"/>
      <c r="C224" s="131" t="s">
        <v>429</v>
      </c>
      <c r="D224" s="131" t="s">
        <v>277</v>
      </c>
      <c r="E224" s="132" t="s">
        <v>3215</v>
      </c>
      <c r="F224" s="133" t="s">
        <v>3216</v>
      </c>
      <c r="G224" s="134" t="s">
        <v>284</v>
      </c>
      <c r="H224" s="135">
        <v>72.930000000000007</v>
      </c>
      <c r="I224" s="136">
        <v>13.93</v>
      </c>
      <c r="J224" s="136">
        <f>ROUND(I224*H224,2)</f>
        <v>1015.91</v>
      </c>
      <c r="K224" s="133" t="s">
        <v>1</v>
      </c>
      <c r="L224" s="137"/>
      <c r="M224" s="138" t="s">
        <v>1</v>
      </c>
      <c r="N224" s="139" t="s">
        <v>32</v>
      </c>
      <c r="O224" s="127">
        <v>0</v>
      </c>
      <c r="P224" s="127">
        <f>O224*H224</f>
        <v>0</v>
      </c>
      <c r="Q224" s="127">
        <v>0</v>
      </c>
      <c r="R224" s="127">
        <f>Q224*H224</f>
        <v>0</v>
      </c>
      <c r="S224" s="127">
        <v>0</v>
      </c>
      <c r="T224" s="128">
        <f>S224*H224</f>
        <v>0</v>
      </c>
      <c r="W224" s="199"/>
      <c r="X224" s="131" t="s">
        <v>429</v>
      </c>
      <c r="Y224" s="131" t="s">
        <v>277</v>
      </c>
      <c r="Z224" s="132" t="s">
        <v>3215</v>
      </c>
      <c r="AA224" s="133" t="s">
        <v>3216</v>
      </c>
      <c r="AB224" s="134" t="s">
        <v>284</v>
      </c>
      <c r="AC224" s="135">
        <v>72.930000000000007</v>
      </c>
      <c r="AD224" s="136">
        <v>13.93</v>
      </c>
      <c r="AE224" s="229">
        <f t="shared" si="48"/>
        <v>1015.91</v>
      </c>
      <c r="AF224" s="956"/>
      <c r="AH224" s="130"/>
      <c r="AJ224" s="398">
        <f t="shared" si="47"/>
        <v>0</v>
      </c>
      <c r="AK224" s="409"/>
      <c r="AL224" s="408"/>
      <c r="AM224" s="407"/>
      <c r="AN224" s="407"/>
      <c r="AO224" s="407"/>
      <c r="AP224" s="407"/>
      <c r="AQ224" s="407"/>
      <c r="AR224" s="129" t="s">
        <v>244</v>
      </c>
      <c r="AT224" s="129" t="s">
        <v>277</v>
      </c>
      <c r="AU224" s="129" t="s">
        <v>76</v>
      </c>
      <c r="AY224" s="13" t="s">
        <v>228</v>
      </c>
      <c r="BE224" s="130">
        <f>IF(N224="základná",J224,0)</f>
        <v>0</v>
      </c>
      <c r="BF224" s="130">
        <f>IF(N224="znížená",J224,0)</f>
        <v>1015.91</v>
      </c>
      <c r="BG224" s="130">
        <f>IF(N224="zákl. prenesená",J224,0)</f>
        <v>0</v>
      </c>
      <c r="BH224" s="130">
        <f>IF(N224="zníž. prenesená",J224,0)</f>
        <v>0</v>
      </c>
      <c r="BI224" s="130">
        <f>IF(N224="nulová",J224,0)</f>
        <v>0</v>
      </c>
      <c r="BJ224" s="13" t="s">
        <v>76</v>
      </c>
      <c r="BK224" s="130">
        <f>ROUND(I224*H224,2)</f>
        <v>1015.91</v>
      </c>
      <c r="BL224" s="13" t="s">
        <v>235</v>
      </c>
      <c r="BM224" s="129" t="s">
        <v>428</v>
      </c>
    </row>
    <row r="225" spans="2:65" s="11" customFormat="1" ht="22.95" customHeight="1" x14ac:dyDescent="0.25">
      <c r="B225" s="106"/>
      <c r="D225" s="107" t="s">
        <v>57</v>
      </c>
      <c r="E225" s="116" t="s">
        <v>240</v>
      </c>
      <c r="F225" s="116" t="s">
        <v>3217</v>
      </c>
      <c r="J225" s="117">
        <f>BK225</f>
        <v>47162.95</v>
      </c>
      <c r="L225" s="106"/>
      <c r="M225" s="110"/>
      <c r="N225" s="111"/>
      <c r="O225" s="111"/>
      <c r="P225" s="112">
        <f>SUM(P226:P240)</f>
        <v>0</v>
      </c>
      <c r="Q225" s="111"/>
      <c r="R225" s="112">
        <f>SUM(R226:R240)</f>
        <v>0</v>
      </c>
      <c r="S225" s="111"/>
      <c r="T225" s="113">
        <f>SUM(T226:T240)</f>
        <v>0</v>
      </c>
      <c r="W225" s="195"/>
      <c r="X225" s="111"/>
      <c r="Y225" s="196" t="s">
        <v>57</v>
      </c>
      <c r="Z225" s="201" t="s">
        <v>240</v>
      </c>
      <c r="AA225" s="201" t="s">
        <v>3217</v>
      </c>
      <c r="AB225" s="111"/>
      <c r="AC225" s="111"/>
      <c r="AD225" s="111"/>
      <c r="AE225" s="202">
        <f>SUM(AE226:AE240)</f>
        <v>49903.930000000008</v>
      </c>
      <c r="AF225" s="956"/>
      <c r="AH225" s="130"/>
      <c r="AJ225" s="398">
        <f t="shared" si="47"/>
        <v>0</v>
      </c>
      <c r="AK225" s="409"/>
      <c r="AL225" s="408"/>
      <c r="AM225" s="292"/>
      <c r="AN225" s="292"/>
      <c r="AO225" s="292"/>
      <c r="AP225" s="292"/>
      <c r="AQ225" s="292"/>
      <c r="AR225" s="107" t="s">
        <v>63</v>
      </c>
      <c r="AT225" s="114" t="s">
        <v>57</v>
      </c>
      <c r="AU225" s="114" t="s">
        <v>63</v>
      </c>
      <c r="AY225" s="107" t="s">
        <v>228</v>
      </c>
      <c r="BK225" s="115">
        <f>SUM(BK226:BK240)</f>
        <v>47162.95</v>
      </c>
    </row>
    <row r="226" spans="2:65" s="1" customFormat="1" ht="16.5" customHeight="1" x14ac:dyDescent="0.2">
      <c r="B226" s="118"/>
      <c r="C226" s="205" t="s">
        <v>333</v>
      </c>
      <c r="D226" s="119" t="s">
        <v>231</v>
      </c>
      <c r="E226" s="120" t="s">
        <v>3218</v>
      </c>
      <c r="F226" s="121" t="s">
        <v>3219</v>
      </c>
      <c r="G226" s="122" t="s">
        <v>284</v>
      </c>
      <c r="H226" s="206">
        <v>909.64099999999996</v>
      </c>
      <c r="I226" s="124">
        <v>2.09</v>
      </c>
      <c r="J226" s="124">
        <f t="shared" ref="J226:J240" si="49">ROUND(I226*H226,2)</f>
        <v>1901.15</v>
      </c>
      <c r="K226" s="121" t="s">
        <v>1</v>
      </c>
      <c r="L226" s="24"/>
      <c r="M226" s="125" t="s">
        <v>1</v>
      </c>
      <c r="N226" s="126" t="s">
        <v>32</v>
      </c>
      <c r="O226" s="127">
        <v>0</v>
      </c>
      <c r="P226" s="127">
        <f t="shared" ref="P226:P240" si="50">O226*H226</f>
        <v>0</v>
      </c>
      <c r="Q226" s="127">
        <v>0</v>
      </c>
      <c r="R226" s="127">
        <f t="shared" ref="R226:R240" si="51">Q226*H226</f>
        <v>0</v>
      </c>
      <c r="S226" s="127">
        <v>0</v>
      </c>
      <c r="T226" s="128">
        <f t="shared" ref="T226:T240" si="52">S226*H226</f>
        <v>0</v>
      </c>
      <c r="W226" s="199"/>
      <c r="X226" s="205" t="s">
        <v>333</v>
      </c>
      <c r="Y226" s="119" t="s">
        <v>231</v>
      </c>
      <c r="Z226" s="120" t="s">
        <v>3218</v>
      </c>
      <c r="AA226" s="121" t="s">
        <v>3219</v>
      </c>
      <c r="AB226" s="122" t="s">
        <v>284</v>
      </c>
      <c r="AC226" s="206">
        <v>1112.856</v>
      </c>
      <c r="AD226" s="124">
        <v>2.09</v>
      </c>
      <c r="AE226" s="200">
        <f t="shared" ref="AE226:AE240" si="53">ROUND(AD226*AC226,2)</f>
        <v>2325.87</v>
      </c>
      <c r="AF226" s="956">
        <v>1</v>
      </c>
      <c r="AH226" s="130">
        <f t="shared" si="46"/>
        <v>203.21500000000003</v>
      </c>
      <c r="AJ226" s="398">
        <f t="shared" si="47"/>
        <v>424.71935000000002</v>
      </c>
      <c r="AK226" s="409"/>
      <c r="AL226" s="408"/>
      <c r="AM226" s="407"/>
      <c r="AN226" s="407"/>
      <c r="AO226" s="407"/>
      <c r="AP226" s="407"/>
      <c r="AQ226" s="407"/>
      <c r="AR226" s="129" t="s">
        <v>235</v>
      </c>
      <c r="AT226" s="129" t="s">
        <v>231</v>
      </c>
      <c r="AU226" s="129" t="s">
        <v>76</v>
      </c>
      <c r="AY226" s="13" t="s">
        <v>228</v>
      </c>
      <c r="BE226" s="130">
        <f t="shared" ref="BE226:BE240" si="54">IF(N226="základná",J226,0)</f>
        <v>0</v>
      </c>
      <c r="BF226" s="130">
        <f t="shared" ref="BF226:BF240" si="55">IF(N226="znížená",J226,0)</f>
        <v>1901.15</v>
      </c>
      <c r="BG226" s="130">
        <f t="shared" ref="BG226:BG240" si="56">IF(N226="zákl. prenesená",J226,0)</f>
        <v>0</v>
      </c>
      <c r="BH226" s="130">
        <f t="shared" ref="BH226:BH240" si="57">IF(N226="zníž. prenesená",J226,0)</f>
        <v>0</v>
      </c>
      <c r="BI226" s="130">
        <f t="shared" ref="BI226:BI240" si="58">IF(N226="nulová",J226,0)</f>
        <v>0</v>
      </c>
      <c r="BJ226" s="13" t="s">
        <v>76</v>
      </c>
      <c r="BK226" s="130">
        <f t="shared" ref="BK226:BK240" si="59">ROUND(I226*H226,2)</f>
        <v>1901.15</v>
      </c>
      <c r="BL226" s="13" t="s">
        <v>235</v>
      </c>
      <c r="BM226" s="129" t="s">
        <v>432</v>
      </c>
    </row>
    <row r="227" spans="2:65" s="1" customFormat="1" ht="16.5" customHeight="1" x14ac:dyDescent="0.2">
      <c r="B227" s="118"/>
      <c r="C227" s="205" t="s">
        <v>438</v>
      </c>
      <c r="D227" s="119" t="s">
        <v>231</v>
      </c>
      <c r="E227" s="120" t="s">
        <v>3220</v>
      </c>
      <c r="F227" s="121" t="s">
        <v>3221</v>
      </c>
      <c r="G227" s="122" t="s">
        <v>284</v>
      </c>
      <c r="H227" s="206">
        <v>909.64099999999996</v>
      </c>
      <c r="I227" s="124">
        <v>11.61</v>
      </c>
      <c r="J227" s="124">
        <f t="shared" si="49"/>
        <v>10560.93</v>
      </c>
      <c r="K227" s="121" t="s">
        <v>1</v>
      </c>
      <c r="L227" s="24"/>
      <c r="M227" s="125" t="s">
        <v>1</v>
      </c>
      <c r="N227" s="126" t="s">
        <v>32</v>
      </c>
      <c r="O227" s="127">
        <v>0</v>
      </c>
      <c r="P227" s="127">
        <f t="shared" si="50"/>
        <v>0</v>
      </c>
      <c r="Q227" s="127">
        <v>0</v>
      </c>
      <c r="R227" s="127">
        <f t="shared" si="51"/>
        <v>0</v>
      </c>
      <c r="S227" s="127">
        <v>0</v>
      </c>
      <c r="T227" s="128">
        <f t="shared" si="52"/>
        <v>0</v>
      </c>
      <c r="W227" s="199"/>
      <c r="X227" s="205" t="s">
        <v>438</v>
      </c>
      <c r="Y227" s="119" t="s">
        <v>231</v>
      </c>
      <c r="Z227" s="120" t="s">
        <v>3220</v>
      </c>
      <c r="AA227" s="121" t="s">
        <v>3221</v>
      </c>
      <c r="AB227" s="122" t="s">
        <v>284</v>
      </c>
      <c r="AC227" s="206">
        <v>1112.856</v>
      </c>
      <c r="AD227" s="124">
        <v>11.61</v>
      </c>
      <c r="AE227" s="200">
        <f t="shared" si="53"/>
        <v>12920.26</v>
      </c>
      <c r="AF227" s="956">
        <v>1</v>
      </c>
      <c r="AH227" s="130">
        <f t="shared" si="46"/>
        <v>203.21500000000003</v>
      </c>
      <c r="AJ227" s="398">
        <f t="shared" si="47"/>
        <v>2359.3261500000003</v>
      </c>
      <c r="AK227" s="409"/>
      <c r="AL227" s="408"/>
      <c r="AM227" s="407"/>
      <c r="AN227" s="407"/>
      <c r="AO227" s="407"/>
      <c r="AP227" s="407"/>
      <c r="AQ227" s="407"/>
      <c r="AR227" s="129" t="s">
        <v>235</v>
      </c>
      <c r="AT227" s="129" t="s">
        <v>231</v>
      </c>
      <c r="AU227" s="129" t="s">
        <v>76</v>
      </c>
      <c r="AY227" s="13" t="s">
        <v>228</v>
      </c>
      <c r="BE227" s="130">
        <f t="shared" si="54"/>
        <v>0</v>
      </c>
      <c r="BF227" s="130">
        <f t="shared" si="55"/>
        <v>10560.93</v>
      </c>
      <c r="BG227" s="130">
        <f t="shared" si="56"/>
        <v>0</v>
      </c>
      <c r="BH227" s="130">
        <f t="shared" si="57"/>
        <v>0</v>
      </c>
      <c r="BI227" s="130">
        <f t="shared" si="58"/>
        <v>0</v>
      </c>
      <c r="BJ227" s="13" t="s">
        <v>76</v>
      </c>
      <c r="BK227" s="130">
        <f t="shared" si="59"/>
        <v>10560.93</v>
      </c>
      <c r="BL227" s="13" t="s">
        <v>235</v>
      </c>
      <c r="BM227" s="129" t="s">
        <v>435</v>
      </c>
    </row>
    <row r="228" spans="2:65" s="1" customFormat="1" ht="16.5" customHeight="1" x14ac:dyDescent="0.2">
      <c r="B228" s="118"/>
      <c r="C228" s="285" t="s">
        <v>337</v>
      </c>
      <c r="D228" s="285" t="s">
        <v>231</v>
      </c>
      <c r="E228" s="286" t="s">
        <v>3222</v>
      </c>
      <c r="F228" s="240" t="s">
        <v>3223</v>
      </c>
      <c r="G228" s="287" t="s">
        <v>284</v>
      </c>
      <c r="H228" s="288">
        <v>320.596</v>
      </c>
      <c r="I228" s="289">
        <v>14.51</v>
      </c>
      <c r="J228" s="289">
        <f t="shared" si="49"/>
        <v>4651.8500000000004</v>
      </c>
      <c r="K228" s="240" t="s">
        <v>1</v>
      </c>
      <c r="L228" s="447"/>
      <c r="M228" s="448" t="s">
        <v>1</v>
      </c>
      <c r="N228" s="449" t="s">
        <v>32</v>
      </c>
      <c r="O228" s="450">
        <v>0</v>
      </c>
      <c r="P228" s="450">
        <f t="shared" si="50"/>
        <v>0</v>
      </c>
      <c r="Q228" s="450">
        <v>0</v>
      </c>
      <c r="R228" s="450">
        <f t="shared" si="51"/>
        <v>0</v>
      </c>
      <c r="S228" s="450">
        <v>0</v>
      </c>
      <c r="T228" s="451">
        <f t="shared" si="52"/>
        <v>0</v>
      </c>
      <c r="U228" s="407"/>
      <c r="V228" s="407"/>
      <c r="W228" s="452"/>
      <c r="X228" s="285" t="s">
        <v>337</v>
      </c>
      <c r="Y228" s="285" t="s">
        <v>231</v>
      </c>
      <c r="Z228" s="286" t="s">
        <v>3222</v>
      </c>
      <c r="AA228" s="240" t="s">
        <v>3223</v>
      </c>
      <c r="AB228" s="287" t="s">
        <v>284</v>
      </c>
      <c r="AC228" s="288">
        <v>320.596</v>
      </c>
      <c r="AD228" s="124">
        <v>14.51</v>
      </c>
      <c r="AE228" s="200">
        <f t="shared" si="53"/>
        <v>4651.8500000000004</v>
      </c>
      <c r="AF228" s="956"/>
      <c r="AH228" s="130">
        <f t="shared" si="46"/>
        <v>0</v>
      </c>
      <c r="AJ228" s="398">
        <f t="shared" si="47"/>
        <v>0</v>
      </c>
      <c r="AK228" s="409"/>
      <c r="AL228" s="408"/>
      <c r="AM228" s="407"/>
      <c r="AN228" s="407"/>
      <c r="AO228" s="407"/>
      <c r="AP228" s="407"/>
      <c r="AQ228" s="407"/>
      <c r="AR228" s="129" t="s">
        <v>235</v>
      </c>
      <c r="AT228" s="129" t="s">
        <v>231</v>
      </c>
      <c r="AU228" s="129" t="s">
        <v>76</v>
      </c>
      <c r="AY228" s="13" t="s">
        <v>228</v>
      </c>
      <c r="BE228" s="130">
        <f t="shared" si="54"/>
        <v>0</v>
      </c>
      <c r="BF228" s="130">
        <f t="shared" si="55"/>
        <v>4651.8500000000004</v>
      </c>
      <c r="BG228" s="130">
        <f t="shared" si="56"/>
        <v>0</v>
      </c>
      <c r="BH228" s="130">
        <f t="shared" si="57"/>
        <v>0</v>
      </c>
      <c r="BI228" s="130">
        <f t="shared" si="58"/>
        <v>0</v>
      </c>
      <c r="BJ228" s="13" t="s">
        <v>76</v>
      </c>
      <c r="BK228" s="130">
        <f t="shared" si="59"/>
        <v>4651.8500000000004</v>
      </c>
      <c r="BL228" s="13" t="s">
        <v>235</v>
      </c>
      <c r="BM228" s="129" t="s">
        <v>441</v>
      </c>
    </row>
    <row r="229" spans="2:65" s="1" customFormat="1" ht="24" customHeight="1" x14ac:dyDescent="0.2">
      <c r="B229" s="118"/>
      <c r="C229" s="285" t="s">
        <v>445</v>
      </c>
      <c r="D229" s="285" t="s">
        <v>231</v>
      </c>
      <c r="E229" s="286" t="s">
        <v>3224</v>
      </c>
      <c r="F229" s="240" t="s">
        <v>3225</v>
      </c>
      <c r="G229" s="287" t="s">
        <v>284</v>
      </c>
      <c r="H229" s="288">
        <v>30.663</v>
      </c>
      <c r="I229" s="289">
        <v>17.420000000000002</v>
      </c>
      <c r="J229" s="289">
        <f t="shared" si="49"/>
        <v>534.15</v>
      </c>
      <c r="K229" s="240" t="s">
        <v>1</v>
      </c>
      <c r="L229" s="447"/>
      <c r="M229" s="448" t="s">
        <v>1</v>
      </c>
      <c r="N229" s="449" t="s">
        <v>32</v>
      </c>
      <c r="O229" s="450">
        <v>0</v>
      </c>
      <c r="P229" s="450">
        <f t="shared" si="50"/>
        <v>0</v>
      </c>
      <c r="Q229" s="450">
        <v>0</v>
      </c>
      <c r="R229" s="450">
        <f t="shared" si="51"/>
        <v>0</v>
      </c>
      <c r="S229" s="450">
        <v>0</v>
      </c>
      <c r="T229" s="451">
        <f t="shared" si="52"/>
        <v>0</v>
      </c>
      <c r="U229" s="407"/>
      <c r="V229" s="407"/>
      <c r="W229" s="452"/>
      <c r="X229" s="285" t="s">
        <v>445</v>
      </c>
      <c r="Y229" s="285" t="s">
        <v>231</v>
      </c>
      <c r="Z229" s="286" t="s">
        <v>3224</v>
      </c>
      <c r="AA229" s="240" t="s">
        <v>3225</v>
      </c>
      <c r="AB229" s="287" t="s">
        <v>284</v>
      </c>
      <c r="AC229" s="288">
        <v>30.663</v>
      </c>
      <c r="AD229" s="124">
        <v>17.420000000000002</v>
      </c>
      <c r="AE229" s="200">
        <f t="shared" si="53"/>
        <v>534.15</v>
      </c>
      <c r="AF229" s="956"/>
      <c r="AH229" s="130"/>
      <c r="AJ229" s="398">
        <f t="shared" si="47"/>
        <v>0</v>
      </c>
      <c r="AK229" s="409"/>
      <c r="AL229" s="408"/>
      <c r="AM229" s="407"/>
      <c r="AN229" s="407"/>
      <c r="AO229" s="407"/>
      <c r="AP229" s="407"/>
      <c r="AQ229" s="407"/>
      <c r="AR229" s="129" t="s">
        <v>235</v>
      </c>
      <c r="AT229" s="129" t="s">
        <v>231</v>
      </c>
      <c r="AU229" s="129" t="s">
        <v>76</v>
      </c>
      <c r="AY229" s="13" t="s">
        <v>228</v>
      </c>
      <c r="BE229" s="130">
        <f t="shared" si="54"/>
        <v>0</v>
      </c>
      <c r="BF229" s="130">
        <f t="shared" si="55"/>
        <v>534.15</v>
      </c>
      <c r="BG229" s="130">
        <f t="shared" si="56"/>
        <v>0</v>
      </c>
      <c r="BH229" s="130">
        <f t="shared" si="57"/>
        <v>0</v>
      </c>
      <c r="BI229" s="130">
        <f t="shared" si="58"/>
        <v>0</v>
      </c>
      <c r="BJ229" s="13" t="s">
        <v>76</v>
      </c>
      <c r="BK229" s="130">
        <f t="shared" si="59"/>
        <v>534.15</v>
      </c>
      <c r="BL229" s="13" t="s">
        <v>235</v>
      </c>
      <c r="BM229" s="129" t="s">
        <v>444</v>
      </c>
    </row>
    <row r="230" spans="2:65" s="1" customFormat="1" ht="24" customHeight="1" x14ac:dyDescent="0.2">
      <c r="B230" s="118"/>
      <c r="C230" s="119" t="s">
        <v>340</v>
      </c>
      <c r="D230" s="119" t="s">
        <v>231</v>
      </c>
      <c r="E230" s="120" t="s">
        <v>3226</v>
      </c>
      <c r="F230" s="121" t="s">
        <v>3227</v>
      </c>
      <c r="G230" s="122" t="s">
        <v>284</v>
      </c>
      <c r="H230" s="123">
        <v>320.596</v>
      </c>
      <c r="I230" s="124">
        <v>1.96</v>
      </c>
      <c r="J230" s="124">
        <f t="shared" si="49"/>
        <v>628.37</v>
      </c>
      <c r="K230" s="121" t="s">
        <v>1</v>
      </c>
      <c r="L230" s="24"/>
      <c r="M230" s="125" t="s">
        <v>1</v>
      </c>
      <c r="N230" s="126" t="s">
        <v>32</v>
      </c>
      <c r="O230" s="127">
        <v>0</v>
      </c>
      <c r="P230" s="127">
        <f t="shared" si="50"/>
        <v>0</v>
      </c>
      <c r="Q230" s="127">
        <v>0</v>
      </c>
      <c r="R230" s="127">
        <f t="shared" si="51"/>
        <v>0</v>
      </c>
      <c r="S230" s="127">
        <v>0</v>
      </c>
      <c r="T230" s="128">
        <f t="shared" si="52"/>
        <v>0</v>
      </c>
      <c r="W230" s="199"/>
      <c r="X230" s="119" t="s">
        <v>340</v>
      </c>
      <c r="Y230" s="119" t="s">
        <v>231</v>
      </c>
      <c r="Z230" s="120" t="s">
        <v>3226</v>
      </c>
      <c r="AA230" s="121" t="s">
        <v>3227</v>
      </c>
      <c r="AB230" s="122" t="s">
        <v>284</v>
      </c>
      <c r="AC230" s="123">
        <v>320.596</v>
      </c>
      <c r="AD230" s="124">
        <v>1.96</v>
      </c>
      <c r="AE230" s="200">
        <f t="shared" si="53"/>
        <v>628.37</v>
      </c>
      <c r="AF230" s="956"/>
      <c r="AH230" s="130"/>
      <c r="AJ230" s="398">
        <f t="shared" si="47"/>
        <v>0</v>
      </c>
      <c r="AK230" s="409"/>
      <c r="AL230" s="408"/>
      <c r="AM230" s="407"/>
      <c r="AN230" s="407"/>
      <c r="AO230" s="407"/>
      <c r="AP230" s="407"/>
      <c r="AQ230" s="407"/>
      <c r="AR230" s="129" t="s">
        <v>235</v>
      </c>
      <c r="AT230" s="129" t="s">
        <v>231</v>
      </c>
      <c r="AU230" s="129" t="s">
        <v>76</v>
      </c>
      <c r="AY230" s="13" t="s">
        <v>228</v>
      </c>
      <c r="BE230" s="130">
        <f t="shared" si="54"/>
        <v>0</v>
      </c>
      <c r="BF230" s="130">
        <f t="shared" si="55"/>
        <v>628.37</v>
      </c>
      <c r="BG230" s="130">
        <f t="shared" si="56"/>
        <v>0</v>
      </c>
      <c r="BH230" s="130">
        <f t="shared" si="57"/>
        <v>0</v>
      </c>
      <c r="BI230" s="130">
        <f t="shared" si="58"/>
        <v>0</v>
      </c>
      <c r="BJ230" s="13" t="s">
        <v>76</v>
      </c>
      <c r="BK230" s="130">
        <f t="shared" si="59"/>
        <v>628.37</v>
      </c>
      <c r="BL230" s="13" t="s">
        <v>235</v>
      </c>
      <c r="BM230" s="129" t="s">
        <v>448</v>
      </c>
    </row>
    <row r="231" spans="2:65" s="1" customFormat="1" ht="24" customHeight="1" x14ac:dyDescent="0.2">
      <c r="B231" s="118"/>
      <c r="C231" s="285" t="s">
        <v>452</v>
      </c>
      <c r="D231" s="285" t="s">
        <v>231</v>
      </c>
      <c r="E231" s="286" t="s">
        <v>3228</v>
      </c>
      <c r="F231" s="240" t="s">
        <v>3229</v>
      </c>
      <c r="G231" s="287" t="s">
        <v>284</v>
      </c>
      <c r="H231" s="288">
        <v>300.596</v>
      </c>
      <c r="I231" s="289">
        <v>44.12</v>
      </c>
      <c r="J231" s="289">
        <f t="shared" si="49"/>
        <v>13262.3</v>
      </c>
      <c r="K231" s="240" t="s">
        <v>1</v>
      </c>
      <c r="L231" s="447"/>
      <c r="M231" s="448" t="s">
        <v>1</v>
      </c>
      <c r="N231" s="449" t="s">
        <v>32</v>
      </c>
      <c r="O231" s="450">
        <v>0</v>
      </c>
      <c r="P231" s="450">
        <f t="shared" si="50"/>
        <v>0</v>
      </c>
      <c r="Q231" s="450">
        <v>0</v>
      </c>
      <c r="R231" s="450">
        <f t="shared" si="51"/>
        <v>0</v>
      </c>
      <c r="S231" s="450">
        <v>0</v>
      </c>
      <c r="T231" s="451">
        <f t="shared" si="52"/>
        <v>0</v>
      </c>
      <c r="U231" s="407"/>
      <c r="V231" s="407"/>
      <c r="W231" s="452"/>
      <c r="X231" s="285" t="s">
        <v>452</v>
      </c>
      <c r="Y231" s="285" t="s">
        <v>231</v>
      </c>
      <c r="Z231" s="286" t="s">
        <v>3228</v>
      </c>
      <c r="AA231" s="240" t="s">
        <v>3229</v>
      </c>
      <c r="AB231" s="287" t="s">
        <v>284</v>
      </c>
      <c r="AC231" s="288">
        <v>300.596</v>
      </c>
      <c r="AD231" s="289">
        <v>44.12</v>
      </c>
      <c r="AE231" s="290">
        <f t="shared" si="53"/>
        <v>13262.3</v>
      </c>
      <c r="AF231" s="956"/>
      <c r="AH231" s="130">
        <f t="shared" si="46"/>
        <v>0</v>
      </c>
      <c r="AJ231" s="398">
        <f t="shared" si="47"/>
        <v>0</v>
      </c>
      <c r="AK231" s="409"/>
      <c r="AL231" s="408"/>
      <c r="AM231" s="407"/>
      <c r="AN231" s="407"/>
      <c r="AO231" s="407"/>
      <c r="AP231" s="407"/>
      <c r="AQ231" s="407"/>
      <c r="AR231" s="129" t="s">
        <v>235</v>
      </c>
      <c r="AT231" s="129" t="s">
        <v>231</v>
      </c>
      <c r="AU231" s="129" t="s">
        <v>76</v>
      </c>
      <c r="AY231" s="13" t="s">
        <v>228</v>
      </c>
      <c r="BE231" s="130">
        <f t="shared" si="54"/>
        <v>0</v>
      </c>
      <c r="BF231" s="130">
        <f t="shared" si="55"/>
        <v>13262.3</v>
      </c>
      <c r="BG231" s="130">
        <f t="shared" si="56"/>
        <v>0</v>
      </c>
      <c r="BH231" s="130">
        <f t="shared" si="57"/>
        <v>0</v>
      </c>
      <c r="BI231" s="130">
        <f t="shared" si="58"/>
        <v>0</v>
      </c>
      <c r="BJ231" s="13" t="s">
        <v>76</v>
      </c>
      <c r="BK231" s="130">
        <f t="shared" si="59"/>
        <v>13262.3</v>
      </c>
      <c r="BL231" s="13" t="s">
        <v>235</v>
      </c>
      <c r="BM231" s="129" t="s">
        <v>451</v>
      </c>
    </row>
    <row r="232" spans="2:65" s="1" customFormat="1" ht="24" customHeight="1" x14ac:dyDescent="0.2">
      <c r="B232" s="118"/>
      <c r="C232" s="285" t="s">
        <v>344</v>
      </c>
      <c r="D232" s="285" t="s">
        <v>231</v>
      </c>
      <c r="E232" s="286" t="s">
        <v>3230</v>
      </c>
      <c r="F232" s="240" t="s">
        <v>3231</v>
      </c>
      <c r="G232" s="287" t="s">
        <v>284</v>
      </c>
      <c r="H232" s="288">
        <v>82.5</v>
      </c>
      <c r="I232" s="289">
        <v>40.64</v>
      </c>
      <c r="J232" s="289">
        <f t="shared" si="49"/>
        <v>3352.8</v>
      </c>
      <c r="K232" s="240" t="s">
        <v>1</v>
      </c>
      <c r="L232" s="447"/>
      <c r="M232" s="448" t="s">
        <v>1</v>
      </c>
      <c r="N232" s="449" t="s">
        <v>32</v>
      </c>
      <c r="O232" s="450">
        <v>0</v>
      </c>
      <c r="P232" s="450">
        <f t="shared" si="50"/>
        <v>0</v>
      </c>
      <c r="Q232" s="450">
        <v>0</v>
      </c>
      <c r="R232" s="450">
        <f t="shared" si="51"/>
        <v>0</v>
      </c>
      <c r="S232" s="450">
        <v>0</v>
      </c>
      <c r="T232" s="451">
        <f t="shared" si="52"/>
        <v>0</v>
      </c>
      <c r="U232" s="407"/>
      <c r="V232" s="407"/>
      <c r="W232" s="452"/>
      <c r="X232" s="285" t="s">
        <v>344</v>
      </c>
      <c r="Y232" s="285" t="s">
        <v>231</v>
      </c>
      <c r="Z232" s="286" t="s">
        <v>3230</v>
      </c>
      <c r="AA232" s="240" t="s">
        <v>3231</v>
      </c>
      <c r="AB232" s="287" t="s">
        <v>284</v>
      </c>
      <c r="AC232" s="288">
        <v>82.5</v>
      </c>
      <c r="AD232" s="289">
        <v>40.64</v>
      </c>
      <c r="AE232" s="200">
        <f t="shared" si="53"/>
        <v>3352.8</v>
      </c>
      <c r="AF232" s="956"/>
      <c r="AH232" s="130">
        <f t="shared" si="46"/>
        <v>0</v>
      </c>
      <c r="AJ232" s="398">
        <f t="shared" si="47"/>
        <v>0</v>
      </c>
      <c r="AK232" s="409"/>
      <c r="AL232" s="408"/>
      <c r="AM232" s="407"/>
      <c r="AN232" s="407"/>
      <c r="AO232" s="407"/>
      <c r="AP232" s="407"/>
      <c r="AQ232" s="407"/>
      <c r="AR232" s="129" t="s">
        <v>235</v>
      </c>
      <c r="AT232" s="129" t="s">
        <v>231</v>
      </c>
      <c r="AU232" s="129" t="s">
        <v>76</v>
      </c>
      <c r="AY232" s="13" t="s">
        <v>228</v>
      </c>
      <c r="BE232" s="130">
        <f t="shared" si="54"/>
        <v>0</v>
      </c>
      <c r="BF232" s="130">
        <f t="shared" si="55"/>
        <v>3352.8</v>
      </c>
      <c r="BG232" s="130">
        <f t="shared" si="56"/>
        <v>0</v>
      </c>
      <c r="BH232" s="130">
        <f t="shared" si="57"/>
        <v>0</v>
      </c>
      <c r="BI232" s="130">
        <f t="shared" si="58"/>
        <v>0</v>
      </c>
      <c r="BJ232" s="13" t="s">
        <v>76</v>
      </c>
      <c r="BK232" s="130">
        <f t="shared" si="59"/>
        <v>3352.8</v>
      </c>
      <c r="BL232" s="13" t="s">
        <v>235</v>
      </c>
      <c r="BM232" s="129" t="s">
        <v>455</v>
      </c>
    </row>
    <row r="233" spans="2:65" s="339" customFormat="1" ht="24" customHeight="1" x14ac:dyDescent="0.2">
      <c r="B233" s="118"/>
      <c r="C233" s="1234" t="s">
        <v>5205</v>
      </c>
      <c r="D233" s="1235"/>
      <c r="E233" s="1235"/>
      <c r="F233" s="1235"/>
      <c r="G233" s="1235"/>
      <c r="H233" s="1235"/>
      <c r="I233" s="1235"/>
      <c r="J233" s="1236"/>
      <c r="K233" s="121"/>
      <c r="L233" s="24"/>
      <c r="M233" s="125"/>
      <c r="N233" s="126"/>
      <c r="O233" s="127"/>
      <c r="P233" s="127"/>
      <c r="Q233" s="127"/>
      <c r="R233" s="127"/>
      <c r="S233" s="127"/>
      <c r="T233" s="128"/>
      <c r="W233" s="199"/>
      <c r="X233" s="341" t="s">
        <v>5411</v>
      </c>
      <c r="Y233" s="341" t="s">
        <v>231</v>
      </c>
      <c r="Z233" s="342" t="s">
        <v>5735</v>
      </c>
      <c r="AA233" s="343" t="s">
        <v>5736</v>
      </c>
      <c r="AB233" s="344" t="s">
        <v>292</v>
      </c>
      <c r="AC233" s="345">
        <v>8.9849999999999994</v>
      </c>
      <c r="AD233" s="346">
        <v>43</v>
      </c>
      <c r="AE233" s="355">
        <f>ROUND(AD233*AC233,2)</f>
        <v>386.36</v>
      </c>
      <c r="AF233" s="956">
        <v>1</v>
      </c>
      <c r="AH233" s="130">
        <f t="shared" si="46"/>
        <v>8.9849999999999994</v>
      </c>
      <c r="AJ233" s="398">
        <f t="shared" si="47"/>
        <v>386.35499999999996</v>
      </c>
      <c r="AK233" s="409"/>
      <c r="AL233" s="408"/>
      <c r="AM233" s="407"/>
      <c r="AN233" s="407"/>
      <c r="AO233" s="407"/>
      <c r="AP233" s="407"/>
      <c r="AQ233" s="407"/>
      <c r="AR233" s="129"/>
      <c r="AT233" s="129"/>
      <c r="AU233" s="129"/>
      <c r="AY233" s="13"/>
      <c r="BE233" s="130"/>
      <c r="BF233" s="130"/>
      <c r="BG233" s="130"/>
      <c r="BH233" s="130"/>
      <c r="BI233" s="130"/>
      <c r="BJ233" s="13"/>
      <c r="BK233" s="130"/>
      <c r="BL233" s="13"/>
      <c r="BM233" s="129"/>
    </row>
    <row r="234" spans="2:65" s="1" customFormat="1" ht="36" customHeight="1" x14ac:dyDescent="0.2">
      <c r="B234" s="118"/>
      <c r="C234" s="205" t="s">
        <v>459</v>
      </c>
      <c r="D234" s="119" t="s">
        <v>231</v>
      </c>
      <c r="E234" s="120" t="s">
        <v>3232</v>
      </c>
      <c r="F234" s="121" t="s">
        <v>3233</v>
      </c>
      <c r="G234" s="122" t="s">
        <v>284</v>
      </c>
      <c r="H234" s="206">
        <v>497.43799999999999</v>
      </c>
      <c r="I234" s="124">
        <v>2.79</v>
      </c>
      <c r="J234" s="124">
        <f t="shared" si="49"/>
        <v>1387.85</v>
      </c>
      <c r="K234" s="121" t="s">
        <v>1</v>
      </c>
      <c r="L234" s="24"/>
      <c r="M234" s="125" t="s">
        <v>1</v>
      </c>
      <c r="N234" s="126" t="s">
        <v>32</v>
      </c>
      <c r="O234" s="127">
        <v>0</v>
      </c>
      <c r="P234" s="127">
        <f t="shared" si="50"/>
        <v>0</v>
      </c>
      <c r="Q234" s="127">
        <v>0</v>
      </c>
      <c r="R234" s="127">
        <f t="shared" si="51"/>
        <v>0</v>
      </c>
      <c r="S234" s="127">
        <v>0</v>
      </c>
      <c r="T234" s="128">
        <f t="shared" si="52"/>
        <v>0</v>
      </c>
      <c r="W234" s="199"/>
      <c r="X234" s="205" t="s">
        <v>459</v>
      </c>
      <c r="Y234" s="119" t="s">
        <v>231</v>
      </c>
      <c r="Z234" s="120" t="s">
        <v>3232</v>
      </c>
      <c r="AA234" s="121" t="s">
        <v>3233</v>
      </c>
      <c r="AB234" s="122" t="s">
        <v>284</v>
      </c>
      <c r="AC234" s="206">
        <v>898.20500000000004</v>
      </c>
      <c r="AD234" s="124">
        <v>2.79</v>
      </c>
      <c r="AE234" s="200">
        <f t="shared" si="53"/>
        <v>2505.9899999999998</v>
      </c>
      <c r="AF234" s="956">
        <v>1</v>
      </c>
      <c r="AH234" s="130">
        <f t="shared" si="46"/>
        <v>400.76700000000005</v>
      </c>
      <c r="AJ234" s="398">
        <f t="shared" si="47"/>
        <v>1118.13993</v>
      </c>
      <c r="AK234" s="409"/>
      <c r="AL234" s="408"/>
      <c r="AM234" s="407"/>
      <c r="AN234" s="407"/>
      <c r="AO234" s="407"/>
      <c r="AP234" s="407"/>
      <c r="AQ234" s="407"/>
      <c r="AR234" s="129" t="s">
        <v>235</v>
      </c>
      <c r="AT234" s="129" t="s">
        <v>231</v>
      </c>
      <c r="AU234" s="129" t="s">
        <v>76</v>
      </c>
      <c r="AY234" s="13" t="s">
        <v>228</v>
      </c>
      <c r="BE234" s="130">
        <f t="shared" si="54"/>
        <v>0</v>
      </c>
      <c r="BF234" s="130">
        <f t="shared" si="55"/>
        <v>1387.85</v>
      </c>
      <c r="BG234" s="130">
        <f t="shared" si="56"/>
        <v>0</v>
      </c>
      <c r="BH234" s="130">
        <f t="shared" si="57"/>
        <v>0</v>
      </c>
      <c r="BI234" s="130">
        <f t="shared" si="58"/>
        <v>0</v>
      </c>
      <c r="BJ234" s="13" t="s">
        <v>76</v>
      </c>
      <c r="BK234" s="130">
        <f t="shared" si="59"/>
        <v>1387.85</v>
      </c>
      <c r="BL234" s="13" t="s">
        <v>235</v>
      </c>
      <c r="BM234" s="129" t="s">
        <v>458</v>
      </c>
    </row>
    <row r="235" spans="2:65" s="1" customFormat="1" ht="27" customHeight="1" x14ac:dyDescent="0.2">
      <c r="B235" s="118"/>
      <c r="C235" s="205" t="s">
        <v>347</v>
      </c>
      <c r="D235" s="119" t="s">
        <v>231</v>
      </c>
      <c r="E235" s="120" t="s">
        <v>3234</v>
      </c>
      <c r="F235" s="121" t="s">
        <v>3235</v>
      </c>
      <c r="G235" s="122" t="s">
        <v>234</v>
      </c>
      <c r="H235" s="206">
        <v>81.28</v>
      </c>
      <c r="I235" s="124">
        <v>32.51</v>
      </c>
      <c r="J235" s="124">
        <f t="shared" si="49"/>
        <v>2642.41</v>
      </c>
      <c r="K235" s="121" t="s">
        <v>1</v>
      </c>
      <c r="L235" s="24"/>
      <c r="M235" s="125" t="s">
        <v>1</v>
      </c>
      <c r="N235" s="126" t="s">
        <v>32</v>
      </c>
      <c r="O235" s="127">
        <v>0</v>
      </c>
      <c r="P235" s="127">
        <f t="shared" si="50"/>
        <v>0</v>
      </c>
      <c r="Q235" s="127">
        <v>0</v>
      </c>
      <c r="R235" s="127">
        <f t="shared" si="51"/>
        <v>0</v>
      </c>
      <c r="S235" s="127">
        <v>0</v>
      </c>
      <c r="T235" s="128">
        <f t="shared" si="52"/>
        <v>0</v>
      </c>
      <c r="W235" s="199"/>
      <c r="X235" s="205" t="s">
        <v>347</v>
      </c>
      <c r="Y235" s="119" t="s">
        <v>231</v>
      </c>
      <c r="Z235" s="120" t="s">
        <v>3234</v>
      </c>
      <c r="AA235" s="121" t="s">
        <v>3235</v>
      </c>
      <c r="AB235" s="122" t="s">
        <v>234</v>
      </c>
      <c r="AC235" s="206">
        <v>0</v>
      </c>
      <c r="AD235" s="124">
        <v>32.51</v>
      </c>
      <c r="AE235" s="200">
        <f t="shared" si="53"/>
        <v>0</v>
      </c>
      <c r="AF235" s="956">
        <v>1</v>
      </c>
      <c r="AH235" s="130">
        <f t="shared" si="46"/>
        <v>-81.28</v>
      </c>
      <c r="AJ235" s="398">
        <f t="shared" si="47"/>
        <v>-2642.4128000000001</v>
      </c>
      <c r="AK235" s="409"/>
      <c r="AL235" s="408"/>
      <c r="AM235" s="407"/>
      <c r="AN235" s="407"/>
      <c r="AO235" s="407"/>
      <c r="AP235" s="407"/>
      <c r="AQ235" s="407"/>
      <c r="AR235" s="129" t="s">
        <v>235</v>
      </c>
      <c r="AT235" s="129" t="s">
        <v>231</v>
      </c>
      <c r="AU235" s="129" t="s">
        <v>76</v>
      </c>
      <c r="AY235" s="13" t="s">
        <v>228</v>
      </c>
      <c r="BE235" s="130">
        <f t="shared" si="54"/>
        <v>0</v>
      </c>
      <c r="BF235" s="130">
        <f t="shared" si="55"/>
        <v>2642.41</v>
      </c>
      <c r="BG235" s="130">
        <f t="shared" si="56"/>
        <v>0</v>
      </c>
      <c r="BH235" s="130">
        <f t="shared" si="57"/>
        <v>0</v>
      </c>
      <c r="BI235" s="130">
        <f t="shared" si="58"/>
        <v>0</v>
      </c>
      <c r="BJ235" s="13" t="s">
        <v>76</v>
      </c>
      <c r="BK235" s="130">
        <f t="shared" si="59"/>
        <v>2642.41</v>
      </c>
      <c r="BL235" s="13" t="s">
        <v>235</v>
      </c>
      <c r="BM235" s="129" t="s">
        <v>462</v>
      </c>
    </row>
    <row r="236" spans="2:65" s="1" customFormat="1" ht="36" customHeight="1" x14ac:dyDescent="0.2">
      <c r="B236" s="118"/>
      <c r="C236" s="205" t="s">
        <v>466</v>
      </c>
      <c r="D236" s="119" t="s">
        <v>231</v>
      </c>
      <c r="E236" s="120" t="s">
        <v>3236</v>
      </c>
      <c r="F236" s="121" t="s">
        <v>3237</v>
      </c>
      <c r="G236" s="122" t="s">
        <v>234</v>
      </c>
      <c r="H236" s="206">
        <v>2.323</v>
      </c>
      <c r="I236" s="124">
        <v>32.51</v>
      </c>
      <c r="J236" s="124">
        <f t="shared" si="49"/>
        <v>75.52</v>
      </c>
      <c r="K236" s="121" t="s">
        <v>1</v>
      </c>
      <c r="L236" s="24"/>
      <c r="M236" s="125" t="s">
        <v>1</v>
      </c>
      <c r="N236" s="126" t="s">
        <v>32</v>
      </c>
      <c r="O236" s="127">
        <v>0</v>
      </c>
      <c r="P236" s="127">
        <f t="shared" si="50"/>
        <v>0</v>
      </c>
      <c r="Q236" s="127">
        <v>0</v>
      </c>
      <c r="R236" s="127">
        <f t="shared" si="51"/>
        <v>0</v>
      </c>
      <c r="S236" s="127">
        <v>0</v>
      </c>
      <c r="T236" s="128">
        <f t="shared" si="52"/>
        <v>0</v>
      </c>
      <c r="W236" s="199"/>
      <c r="X236" s="205" t="s">
        <v>466</v>
      </c>
      <c r="Y236" s="119" t="s">
        <v>231</v>
      </c>
      <c r="Z236" s="120" t="s">
        <v>3236</v>
      </c>
      <c r="AA236" s="121" t="s">
        <v>3237</v>
      </c>
      <c r="AB236" s="122" t="s">
        <v>234</v>
      </c>
      <c r="AC236" s="206">
        <v>2.4660000000000002</v>
      </c>
      <c r="AD236" s="124">
        <v>32.51</v>
      </c>
      <c r="AE236" s="200">
        <f t="shared" si="53"/>
        <v>80.17</v>
      </c>
      <c r="AF236" s="956">
        <v>1</v>
      </c>
      <c r="AH236" s="130">
        <f t="shared" si="46"/>
        <v>0.14300000000000024</v>
      </c>
      <c r="AJ236" s="398">
        <f t="shared" si="47"/>
        <v>4.6489300000000071</v>
      </c>
      <c r="AK236" s="409"/>
      <c r="AL236" s="408"/>
      <c r="AM236" s="407"/>
      <c r="AN236" s="407"/>
      <c r="AO236" s="407"/>
      <c r="AP236" s="407"/>
      <c r="AQ236" s="407"/>
      <c r="AR236" s="129" t="s">
        <v>235</v>
      </c>
      <c r="AT236" s="129" t="s">
        <v>231</v>
      </c>
      <c r="AU236" s="129" t="s">
        <v>76</v>
      </c>
      <c r="AY236" s="13" t="s">
        <v>228</v>
      </c>
      <c r="BE236" s="130">
        <f t="shared" si="54"/>
        <v>0</v>
      </c>
      <c r="BF236" s="130">
        <f t="shared" si="55"/>
        <v>75.52</v>
      </c>
      <c r="BG236" s="130">
        <f t="shared" si="56"/>
        <v>0</v>
      </c>
      <c r="BH236" s="130">
        <f t="shared" si="57"/>
        <v>0</v>
      </c>
      <c r="BI236" s="130">
        <f t="shared" si="58"/>
        <v>0</v>
      </c>
      <c r="BJ236" s="13" t="s">
        <v>76</v>
      </c>
      <c r="BK236" s="130">
        <f t="shared" si="59"/>
        <v>75.52</v>
      </c>
      <c r="BL236" s="13" t="s">
        <v>235</v>
      </c>
      <c r="BM236" s="129" t="s">
        <v>465</v>
      </c>
    </row>
    <row r="237" spans="2:65" s="1" customFormat="1" ht="16.5" customHeight="1" x14ac:dyDescent="0.2">
      <c r="B237" s="118"/>
      <c r="C237" s="205" t="s">
        <v>351</v>
      </c>
      <c r="D237" s="119" t="s">
        <v>231</v>
      </c>
      <c r="E237" s="120" t="s">
        <v>3238</v>
      </c>
      <c r="F237" s="121" t="s">
        <v>3239</v>
      </c>
      <c r="G237" s="122" t="s">
        <v>284</v>
      </c>
      <c r="H237" s="206">
        <v>203.88</v>
      </c>
      <c r="I237" s="124">
        <v>12.77</v>
      </c>
      <c r="J237" s="124">
        <f t="shared" si="49"/>
        <v>2603.5500000000002</v>
      </c>
      <c r="K237" s="121" t="s">
        <v>1</v>
      </c>
      <c r="L237" s="24"/>
      <c r="M237" s="125" t="s">
        <v>1</v>
      </c>
      <c r="N237" s="126" t="s">
        <v>32</v>
      </c>
      <c r="O237" s="127">
        <v>0</v>
      </c>
      <c r="P237" s="127">
        <f t="shared" si="50"/>
        <v>0</v>
      </c>
      <c r="Q237" s="127">
        <v>0</v>
      </c>
      <c r="R237" s="127">
        <f t="shared" si="51"/>
        <v>0</v>
      </c>
      <c r="S237" s="127">
        <v>0</v>
      </c>
      <c r="T237" s="128">
        <f t="shared" si="52"/>
        <v>0</v>
      </c>
      <c r="W237" s="199"/>
      <c r="X237" s="205" t="s">
        <v>351</v>
      </c>
      <c r="Y237" s="119" t="s">
        <v>231</v>
      </c>
      <c r="Z237" s="120" t="s">
        <v>3238</v>
      </c>
      <c r="AA237" s="121" t="s">
        <v>3239</v>
      </c>
      <c r="AB237" s="122" t="s">
        <v>284</v>
      </c>
      <c r="AC237" s="206">
        <v>212.95500000000001</v>
      </c>
      <c r="AD237" s="124">
        <v>12.77</v>
      </c>
      <c r="AE237" s="200">
        <f t="shared" si="53"/>
        <v>2719.44</v>
      </c>
      <c r="AF237" s="956">
        <v>1</v>
      </c>
      <c r="AH237" s="130">
        <f t="shared" si="46"/>
        <v>9.0750000000000171</v>
      </c>
      <c r="AJ237" s="398">
        <f t="shared" si="47"/>
        <v>115.88775000000021</v>
      </c>
      <c r="AK237" s="409"/>
      <c r="AL237" s="408"/>
      <c r="AM237" s="407"/>
      <c r="AN237" s="407"/>
      <c r="AO237" s="407"/>
      <c r="AP237" s="407"/>
      <c r="AQ237" s="407"/>
      <c r="AR237" s="129" t="s">
        <v>235</v>
      </c>
      <c r="AT237" s="129" t="s">
        <v>231</v>
      </c>
      <c r="AU237" s="129" t="s">
        <v>76</v>
      </c>
      <c r="AY237" s="13" t="s">
        <v>228</v>
      </c>
      <c r="BE237" s="130">
        <f t="shared" si="54"/>
        <v>0</v>
      </c>
      <c r="BF237" s="130">
        <f t="shared" si="55"/>
        <v>2603.5500000000002</v>
      </c>
      <c r="BG237" s="130">
        <f t="shared" si="56"/>
        <v>0</v>
      </c>
      <c r="BH237" s="130">
        <f t="shared" si="57"/>
        <v>0</v>
      </c>
      <c r="BI237" s="130">
        <f t="shared" si="58"/>
        <v>0</v>
      </c>
      <c r="BJ237" s="13" t="s">
        <v>76</v>
      </c>
      <c r="BK237" s="130">
        <f t="shared" si="59"/>
        <v>2603.5500000000002</v>
      </c>
      <c r="BL237" s="13" t="s">
        <v>235</v>
      </c>
      <c r="BM237" s="129" t="s">
        <v>469</v>
      </c>
    </row>
    <row r="238" spans="2:65" s="1" customFormat="1" ht="16.5" customHeight="1" x14ac:dyDescent="0.2">
      <c r="B238" s="118"/>
      <c r="C238" s="205" t="s">
        <v>473</v>
      </c>
      <c r="D238" s="119" t="s">
        <v>231</v>
      </c>
      <c r="E238" s="120" t="s">
        <v>3240</v>
      </c>
      <c r="F238" s="121" t="s">
        <v>3241</v>
      </c>
      <c r="G238" s="122" t="s">
        <v>284</v>
      </c>
      <c r="H238" s="206">
        <v>110.46</v>
      </c>
      <c r="I238" s="124">
        <v>10.45</v>
      </c>
      <c r="J238" s="124">
        <f t="shared" si="49"/>
        <v>1154.31</v>
      </c>
      <c r="K238" s="121" t="s">
        <v>1</v>
      </c>
      <c r="L238" s="24"/>
      <c r="M238" s="125" t="s">
        <v>1</v>
      </c>
      <c r="N238" s="126" t="s">
        <v>32</v>
      </c>
      <c r="O238" s="127">
        <v>0</v>
      </c>
      <c r="P238" s="127">
        <f t="shared" si="50"/>
        <v>0</v>
      </c>
      <c r="Q238" s="127">
        <v>0</v>
      </c>
      <c r="R238" s="127">
        <f t="shared" si="51"/>
        <v>0</v>
      </c>
      <c r="S238" s="127">
        <v>0</v>
      </c>
      <c r="T238" s="128">
        <f t="shared" si="52"/>
        <v>0</v>
      </c>
      <c r="W238" s="199"/>
      <c r="X238" s="205" t="s">
        <v>473</v>
      </c>
      <c r="Y238" s="119" t="s">
        <v>231</v>
      </c>
      <c r="Z238" s="120" t="s">
        <v>3240</v>
      </c>
      <c r="AA238" s="121" t="s">
        <v>3241</v>
      </c>
      <c r="AB238" s="122" t="s">
        <v>284</v>
      </c>
      <c r="AC238" s="206">
        <v>212.95500000000001</v>
      </c>
      <c r="AD238" s="124">
        <v>10.45</v>
      </c>
      <c r="AE238" s="200">
        <f t="shared" si="53"/>
        <v>2225.38</v>
      </c>
      <c r="AF238" s="956">
        <v>1</v>
      </c>
      <c r="AH238" s="130">
        <f t="shared" si="46"/>
        <v>102.49500000000002</v>
      </c>
      <c r="AJ238" s="398">
        <f t="shared" si="47"/>
        <v>1071.07275</v>
      </c>
      <c r="AK238" s="409"/>
      <c r="AL238" s="408"/>
      <c r="AM238" s="407"/>
      <c r="AN238" s="407"/>
      <c r="AO238" s="407"/>
      <c r="AP238" s="407"/>
      <c r="AQ238" s="407"/>
      <c r="AR238" s="129" t="s">
        <v>235</v>
      </c>
      <c r="AT238" s="129" t="s">
        <v>231</v>
      </c>
      <c r="AU238" s="129" t="s">
        <v>76</v>
      </c>
      <c r="AY238" s="13" t="s">
        <v>228</v>
      </c>
      <c r="BE238" s="130">
        <f t="shared" si="54"/>
        <v>0</v>
      </c>
      <c r="BF238" s="130">
        <f t="shared" si="55"/>
        <v>1154.31</v>
      </c>
      <c r="BG238" s="130">
        <f t="shared" si="56"/>
        <v>0</v>
      </c>
      <c r="BH238" s="130">
        <f t="shared" si="57"/>
        <v>0</v>
      </c>
      <c r="BI238" s="130">
        <f t="shared" si="58"/>
        <v>0</v>
      </c>
      <c r="BJ238" s="13" t="s">
        <v>76</v>
      </c>
      <c r="BK238" s="130">
        <f t="shared" si="59"/>
        <v>1154.31</v>
      </c>
      <c r="BL238" s="13" t="s">
        <v>235</v>
      </c>
      <c r="BM238" s="129" t="s">
        <v>472</v>
      </c>
    </row>
    <row r="239" spans="2:65" s="1" customFormat="1" ht="16.5" customHeight="1" x14ac:dyDescent="0.2">
      <c r="B239" s="118"/>
      <c r="C239" s="205" t="s">
        <v>354</v>
      </c>
      <c r="D239" s="119" t="s">
        <v>231</v>
      </c>
      <c r="E239" s="120" t="s">
        <v>3242</v>
      </c>
      <c r="F239" s="121" t="s">
        <v>3243</v>
      </c>
      <c r="G239" s="122" t="s">
        <v>284</v>
      </c>
      <c r="H239" s="206">
        <v>105</v>
      </c>
      <c r="I239" s="124">
        <v>10.8</v>
      </c>
      <c r="J239" s="124">
        <f t="shared" si="49"/>
        <v>1134</v>
      </c>
      <c r="K239" s="121" t="s">
        <v>1</v>
      </c>
      <c r="L239" s="24"/>
      <c r="M239" s="125" t="s">
        <v>1</v>
      </c>
      <c r="N239" s="126" t="s">
        <v>32</v>
      </c>
      <c r="O239" s="127">
        <v>0</v>
      </c>
      <c r="P239" s="127">
        <f t="shared" si="50"/>
        <v>0</v>
      </c>
      <c r="Q239" s="127">
        <v>0</v>
      </c>
      <c r="R239" s="127">
        <f t="shared" si="51"/>
        <v>0</v>
      </c>
      <c r="S239" s="127">
        <v>0</v>
      </c>
      <c r="T239" s="128">
        <f t="shared" si="52"/>
        <v>0</v>
      </c>
      <c r="W239" s="199"/>
      <c r="X239" s="205" t="s">
        <v>354</v>
      </c>
      <c r="Y239" s="119" t="s">
        <v>231</v>
      </c>
      <c r="Z239" s="120" t="s">
        <v>3242</v>
      </c>
      <c r="AA239" s="121" t="s">
        <v>3243</v>
      </c>
      <c r="AB239" s="122" t="s">
        <v>284</v>
      </c>
      <c r="AC239" s="206">
        <f>H239-8.96</f>
        <v>96.039999999999992</v>
      </c>
      <c r="AD239" s="124">
        <v>10.8</v>
      </c>
      <c r="AE239" s="200">
        <f t="shared" si="53"/>
        <v>1037.23</v>
      </c>
      <c r="AF239" s="956">
        <v>1</v>
      </c>
      <c r="AH239" s="130">
        <f t="shared" si="46"/>
        <v>-8.960000000000008</v>
      </c>
      <c r="AJ239" s="398">
        <f t="shared" si="47"/>
        <v>-96.768000000000086</v>
      </c>
      <c r="AK239" s="409"/>
      <c r="AL239" s="408"/>
      <c r="AM239" s="407"/>
      <c r="AN239" s="407"/>
      <c r="AO239" s="407"/>
      <c r="AP239" s="407"/>
      <c r="AQ239" s="407"/>
      <c r="AR239" s="129" t="s">
        <v>235</v>
      </c>
      <c r="AT239" s="129" t="s">
        <v>231</v>
      </c>
      <c r="AU239" s="129" t="s">
        <v>76</v>
      </c>
      <c r="AY239" s="13" t="s">
        <v>228</v>
      </c>
      <c r="BE239" s="130">
        <f t="shared" si="54"/>
        <v>0</v>
      </c>
      <c r="BF239" s="130">
        <f t="shared" si="55"/>
        <v>1134</v>
      </c>
      <c r="BG239" s="130">
        <f t="shared" si="56"/>
        <v>0</v>
      </c>
      <c r="BH239" s="130">
        <f t="shared" si="57"/>
        <v>0</v>
      </c>
      <c r="BI239" s="130">
        <f t="shared" si="58"/>
        <v>0</v>
      </c>
      <c r="BJ239" s="13" t="s">
        <v>76</v>
      </c>
      <c r="BK239" s="130">
        <f t="shared" si="59"/>
        <v>1134</v>
      </c>
      <c r="BL239" s="13" t="s">
        <v>235</v>
      </c>
      <c r="BM239" s="129" t="s">
        <v>476</v>
      </c>
    </row>
    <row r="240" spans="2:65" s="1" customFormat="1" ht="16.5" customHeight="1" x14ac:dyDescent="0.2">
      <c r="B240" s="118"/>
      <c r="C240" s="119" t="s">
        <v>480</v>
      </c>
      <c r="D240" s="119" t="s">
        <v>231</v>
      </c>
      <c r="E240" s="120" t="s">
        <v>3244</v>
      </c>
      <c r="F240" s="121" t="s">
        <v>3245</v>
      </c>
      <c r="G240" s="122" t="s">
        <v>284</v>
      </c>
      <c r="H240" s="123">
        <v>281.97800000000001</v>
      </c>
      <c r="I240" s="124">
        <v>11.61</v>
      </c>
      <c r="J240" s="124">
        <f t="shared" si="49"/>
        <v>3273.76</v>
      </c>
      <c r="K240" s="121" t="s">
        <v>1</v>
      </c>
      <c r="L240" s="24"/>
      <c r="M240" s="125" t="s">
        <v>1</v>
      </c>
      <c r="N240" s="126" t="s">
        <v>32</v>
      </c>
      <c r="O240" s="127">
        <v>0</v>
      </c>
      <c r="P240" s="127">
        <f t="shared" si="50"/>
        <v>0</v>
      </c>
      <c r="Q240" s="127">
        <v>0</v>
      </c>
      <c r="R240" s="127">
        <f t="shared" si="51"/>
        <v>0</v>
      </c>
      <c r="S240" s="127">
        <v>0</v>
      </c>
      <c r="T240" s="128">
        <f t="shared" si="52"/>
        <v>0</v>
      </c>
      <c r="W240" s="199"/>
      <c r="X240" s="119" t="s">
        <v>480</v>
      </c>
      <c r="Y240" s="119" t="s">
        <v>231</v>
      </c>
      <c r="Z240" s="120" t="s">
        <v>3244</v>
      </c>
      <c r="AA240" s="121" t="s">
        <v>3245</v>
      </c>
      <c r="AB240" s="122" t="s">
        <v>284</v>
      </c>
      <c r="AC240" s="123">
        <v>281.97800000000001</v>
      </c>
      <c r="AD240" s="124">
        <v>11.61</v>
      </c>
      <c r="AE240" s="200">
        <f t="shared" si="53"/>
        <v>3273.76</v>
      </c>
      <c r="AF240" s="956"/>
      <c r="AH240" s="130"/>
      <c r="AJ240" s="398">
        <f t="shared" si="47"/>
        <v>0</v>
      </c>
      <c r="AK240" s="409"/>
      <c r="AL240" s="408"/>
      <c r="AM240" s="407"/>
      <c r="AN240" s="407"/>
      <c r="AO240" s="407"/>
      <c r="AP240" s="407"/>
      <c r="AQ240" s="407"/>
      <c r="AR240" s="129" t="s">
        <v>235</v>
      </c>
      <c r="AT240" s="129" t="s">
        <v>231</v>
      </c>
      <c r="AU240" s="129" t="s">
        <v>76</v>
      </c>
      <c r="AY240" s="13" t="s">
        <v>228</v>
      </c>
      <c r="BE240" s="130">
        <f t="shared" si="54"/>
        <v>0</v>
      </c>
      <c r="BF240" s="130">
        <f t="shared" si="55"/>
        <v>3273.76</v>
      </c>
      <c r="BG240" s="130">
        <f t="shared" si="56"/>
        <v>0</v>
      </c>
      <c r="BH240" s="130">
        <f t="shared" si="57"/>
        <v>0</v>
      </c>
      <c r="BI240" s="130">
        <f t="shared" si="58"/>
        <v>0</v>
      </c>
      <c r="BJ240" s="13" t="s">
        <v>76</v>
      </c>
      <c r="BK240" s="130">
        <f t="shared" si="59"/>
        <v>3273.76</v>
      </c>
      <c r="BL240" s="13" t="s">
        <v>235</v>
      </c>
      <c r="BM240" s="129" t="s">
        <v>479</v>
      </c>
    </row>
    <row r="241" spans="2:65" s="11" customFormat="1" ht="28.5" customHeight="1" x14ac:dyDescent="0.25">
      <c r="B241" s="106"/>
      <c r="D241" s="107" t="s">
        <v>57</v>
      </c>
      <c r="E241" s="116" t="s">
        <v>259</v>
      </c>
      <c r="F241" s="116" t="s">
        <v>3246</v>
      </c>
      <c r="J241" s="117">
        <f>BK241</f>
        <v>6048.8899999999994</v>
      </c>
      <c r="L241" s="106"/>
      <c r="M241" s="110"/>
      <c r="N241" s="111"/>
      <c r="O241" s="111"/>
      <c r="P241" s="112">
        <f>SUM(P244:P265)</f>
        <v>56.665224000000002</v>
      </c>
      <c r="Q241" s="111"/>
      <c r="R241" s="112">
        <f>SUM(R244:R265)</f>
        <v>11.04113304</v>
      </c>
      <c r="S241" s="111"/>
      <c r="T241" s="113">
        <f>SUM(T244:T265)</f>
        <v>0</v>
      </c>
      <c r="W241" s="195"/>
      <c r="X241" s="111"/>
      <c r="Y241" s="196" t="s">
        <v>57</v>
      </c>
      <c r="Z241" s="201" t="s">
        <v>259</v>
      </c>
      <c r="AA241" s="201" t="s">
        <v>3246</v>
      </c>
      <c r="AB241" s="111"/>
      <c r="AC241" s="111"/>
      <c r="AD241" s="111"/>
      <c r="AE241" s="202">
        <f>SUM(AE242:AE265)</f>
        <v>30318.42</v>
      </c>
      <c r="AF241" s="956"/>
      <c r="AH241" s="130"/>
      <c r="AJ241" s="398">
        <f t="shared" si="47"/>
        <v>0</v>
      </c>
      <c r="AK241" s="409"/>
      <c r="AL241" s="408"/>
      <c r="AM241" s="292"/>
      <c r="AN241" s="292"/>
      <c r="AO241" s="292"/>
      <c r="AP241" s="292"/>
      <c r="AQ241" s="292"/>
      <c r="AR241" s="107" t="s">
        <v>63</v>
      </c>
      <c r="AT241" s="114" t="s">
        <v>57</v>
      </c>
      <c r="AU241" s="114" t="s">
        <v>63</v>
      </c>
      <c r="AY241" s="107" t="s">
        <v>228</v>
      </c>
      <c r="BK241" s="115">
        <f>SUM(BK244:BK265)</f>
        <v>6048.8899999999994</v>
      </c>
    </row>
    <row r="242" spans="2:65" s="11" customFormat="1" ht="38.25" customHeight="1" x14ac:dyDescent="0.2">
      <c r="B242" s="106"/>
      <c r="C242" s="1234" t="s">
        <v>5205</v>
      </c>
      <c r="D242" s="1235"/>
      <c r="E242" s="1235"/>
      <c r="F242" s="1235"/>
      <c r="G242" s="1235"/>
      <c r="H242" s="1235"/>
      <c r="I242" s="1235"/>
      <c r="J242" s="1236"/>
      <c r="L242" s="106"/>
      <c r="M242" s="110"/>
      <c r="N242" s="111"/>
      <c r="O242" s="111"/>
      <c r="P242" s="112"/>
      <c r="Q242" s="111"/>
      <c r="R242" s="112"/>
      <c r="S242" s="111"/>
      <c r="T242" s="113"/>
      <c r="W242" s="195"/>
      <c r="X242" s="341" t="s">
        <v>5797</v>
      </c>
      <c r="Y242" s="341" t="s">
        <v>231</v>
      </c>
      <c r="Z242" s="342" t="s">
        <v>5737</v>
      </c>
      <c r="AA242" s="343" t="s">
        <v>5738</v>
      </c>
      <c r="AB242" s="344" t="s">
        <v>292</v>
      </c>
      <c r="AC242" s="345">
        <v>100.75</v>
      </c>
      <c r="AD242" s="346">
        <v>4.79</v>
      </c>
      <c r="AE242" s="355">
        <f>ROUND(AD242*AC242,2)</f>
        <v>482.59</v>
      </c>
      <c r="AF242" s="956">
        <v>1</v>
      </c>
      <c r="AH242" s="130">
        <f t="shared" si="46"/>
        <v>100.75</v>
      </c>
      <c r="AJ242" s="398">
        <f t="shared" si="47"/>
        <v>482.59250000000003</v>
      </c>
      <c r="AK242" s="409"/>
      <c r="AL242" s="408"/>
      <c r="AM242" s="292"/>
      <c r="AN242" s="292"/>
      <c r="AO242" s="292"/>
      <c r="AP242" s="292"/>
      <c r="AQ242" s="292"/>
      <c r="AR242" s="107"/>
      <c r="AT242" s="114"/>
      <c r="AU242" s="114"/>
      <c r="AY242" s="107"/>
      <c r="BK242" s="115"/>
    </row>
    <row r="243" spans="2:65" s="11" customFormat="1" ht="22.95" customHeight="1" x14ac:dyDescent="0.2">
      <c r="B243" s="106"/>
      <c r="C243" s="1234" t="s">
        <v>5205</v>
      </c>
      <c r="D243" s="1235"/>
      <c r="E243" s="1235"/>
      <c r="F243" s="1235"/>
      <c r="G243" s="1235"/>
      <c r="H243" s="1235"/>
      <c r="I243" s="1235"/>
      <c r="J243" s="1236"/>
      <c r="L243" s="106"/>
      <c r="M243" s="110"/>
      <c r="N243" s="111"/>
      <c r="O243" s="111"/>
      <c r="P243" s="112"/>
      <c r="Q243" s="111"/>
      <c r="R243" s="112"/>
      <c r="S243" s="111"/>
      <c r="T243" s="113"/>
      <c r="W243" s="195"/>
      <c r="X243" s="348" t="s">
        <v>5798</v>
      </c>
      <c r="Y243" s="348" t="s">
        <v>277</v>
      </c>
      <c r="Z243" s="349" t="s">
        <v>5739</v>
      </c>
      <c r="AA243" s="350" t="s">
        <v>5740</v>
      </c>
      <c r="AB243" s="351" t="s">
        <v>1194</v>
      </c>
      <c r="AC243" s="352">
        <v>101.758</v>
      </c>
      <c r="AD243" s="353">
        <v>2.17</v>
      </c>
      <c r="AE243" s="356">
        <f>ROUND(AD243*AC243,2)</f>
        <v>220.81</v>
      </c>
      <c r="AF243" s="956">
        <v>1</v>
      </c>
      <c r="AH243" s="130">
        <f t="shared" si="46"/>
        <v>101.758</v>
      </c>
      <c r="AJ243" s="398">
        <f t="shared" si="47"/>
        <v>220.81485999999998</v>
      </c>
      <c r="AK243" s="409"/>
      <c r="AL243" s="408"/>
      <c r="AM243" s="292"/>
      <c r="AN243" s="292"/>
      <c r="AO243" s="292"/>
      <c r="AP243" s="292"/>
      <c r="AQ243" s="292"/>
      <c r="AR243" s="107"/>
      <c r="AT243" s="114"/>
      <c r="AU243" s="114"/>
      <c r="AY243" s="107"/>
      <c r="BK243" s="115"/>
    </row>
    <row r="244" spans="2:65" s="1" customFormat="1" ht="24" customHeight="1" x14ac:dyDescent="0.2">
      <c r="B244" s="118"/>
      <c r="C244" s="119" t="s">
        <v>358</v>
      </c>
      <c r="D244" s="119" t="s">
        <v>231</v>
      </c>
      <c r="E244" s="120" t="s">
        <v>3247</v>
      </c>
      <c r="F244" s="121" t="s">
        <v>3248</v>
      </c>
      <c r="G244" s="122" t="s">
        <v>284</v>
      </c>
      <c r="H244" s="123">
        <v>429.28199999999998</v>
      </c>
      <c r="I244" s="124">
        <v>3.48</v>
      </c>
      <c r="J244" s="124">
        <f t="shared" ref="J244:J265" si="60">ROUND(I244*H244,2)</f>
        <v>1493.9</v>
      </c>
      <c r="K244" s="121" t="s">
        <v>3204</v>
      </c>
      <c r="L244" s="24"/>
      <c r="M244" s="125" t="s">
        <v>1</v>
      </c>
      <c r="N244" s="126" t="s">
        <v>32</v>
      </c>
      <c r="O244" s="127">
        <v>0.13200000000000001</v>
      </c>
      <c r="P244" s="127">
        <f t="shared" ref="P244:P265" si="61">O244*H244</f>
        <v>56.665224000000002</v>
      </c>
      <c r="Q244" s="127">
        <v>2.572E-2</v>
      </c>
      <c r="R244" s="127">
        <f t="shared" ref="R244:R265" si="62">Q244*H244</f>
        <v>11.04113304</v>
      </c>
      <c r="S244" s="127">
        <v>0</v>
      </c>
      <c r="T244" s="128">
        <f t="shared" ref="T244:T265" si="63">S244*H244</f>
        <v>0</v>
      </c>
      <c r="W244" s="199"/>
      <c r="X244" s="119" t="s">
        <v>358</v>
      </c>
      <c r="Y244" s="119" t="s">
        <v>231</v>
      </c>
      <c r="Z244" s="120" t="s">
        <v>3247</v>
      </c>
      <c r="AA244" s="121" t="s">
        <v>3248</v>
      </c>
      <c r="AB244" s="122" t="s">
        <v>284</v>
      </c>
      <c r="AC244" s="123">
        <v>429.28199999999998</v>
      </c>
      <c r="AD244" s="124">
        <v>3.48</v>
      </c>
      <c r="AE244" s="200">
        <f t="shared" ref="AE244:AE265" si="64">ROUND(AD244*AC244,2)</f>
        <v>1493.9</v>
      </c>
      <c r="AF244" s="956"/>
      <c r="AH244" s="130"/>
      <c r="AJ244" s="398">
        <f t="shared" si="47"/>
        <v>0</v>
      </c>
      <c r="AK244" s="409"/>
      <c r="AL244" s="408"/>
      <c r="AM244" s="407"/>
      <c r="AN244" s="407"/>
      <c r="AO244" s="407"/>
      <c r="AP244" s="407"/>
      <c r="AQ244" s="407"/>
      <c r="AR244" s="129" t="s">
        <v>235</v>
      </c>
      <c r="AT244" s="129" t="s">
        <v>231</v>
      </c>
      <c r="AU244" s="129" t="s">
        <v>76</v>
      </c>
      <c r="AY244" s="13" t="s">
        <v>228</v>
      </c>
      <c r="BE244" s="130">
        <f t="shared" ref="BE244:BE265" si="65">IF(N244="základná",J244,0)</f>
        <v>0</v>
      </c>
      <c r="BF244" s="130">
        <f t="shared" ref="BF244:BF265" si="66">IF(N244="znížená",J244,0)</f>
        <v>1493.9</v>
      </c>
      <c r="BG244" s="130">
        <f t="shared" ref="BG244:BG265" si="67">IF(N244="zákl. prenesená",J244,0)</f>
        <v>0</v>
      </c>
      <c r="BH244" s="130">
        <f t="shared" ref="BH244:BH265" si="68">IF(N244="zníž. prenesená",J244,0)</f>
        <v>0</v>
      </c>
      <c r="BI244" s="130">
        <f t="shared" ref="BI244:BI265" si="69">IF(N244="nulová",J244,0)</f>
        <v>0</v>
      </c>
      <c r="BJ244" s="13" t="s">
        <v>76</v>
      </c>
      <c r="BK244" s="130">
        <f t="shared" ref="BK244:BK265" si="70">ROUND(I244*H244,2)</f>
        <v>1493.9</v>
      </c>
      <c r="BL244" s="13" t="s">
        <v>235</v>
      </c>
      <c r="BM244" s="129" t="s">
        <v>483</v>
      </c>
    </row>
    <row r="245" spans="2:65" s="1" customFormat="1" ht="36" customHeight="1" x14ac:dyDescent="0.2">
      <c r="B245" s="118"/>
      <c r="C245" s="119" t="s">
        <v>487</v>
      </c>
      <c r="D245" s="119" t="s">
        <v>231</v>
      </c>
      <c r="E245" s="120" t="s">
        <v>3249</v>
      </c>
      <c r="F245" s="121" t="s">
        <v>3250</v>
      </c>
      <c r="G245" s="122" t="s">
        <v>284</v>
      </c>
      <c r="H245" s="123">
        <v>429.28199999999998</v>
      </c>
      <c r="I245" s="124">
        <v>1.1599999999999999</v>
      </c>
      <c r="J245" s="124">
        <f t="shared" si="60"/>
        <v>497.97</v>
      </c>
      <c r="K245" s="121" t="s">
        <v>1</v>
      </c>
      <c r="L245" s="24"/>
      <c r="M245" s="125" t="s">
        <v>1</v>
      </c>
      <c r="N245" s="126" t="s">
        <v>32</v>
      </c>
      <c r="O245" s="127">
        <v>0</v>
      </c>
      <c r="P245" s="127">
        <f t="shared" si="61"/>
        <v>0</v>
      </c>
      <c r="Q245" s="127">
        <v>0</v>
      </c>
      <c r="R245" s="127">
        <f t="shared" si="62"/>
        <v>0</v>
      </c>
      <c r="S245" s="127">
        <v>0</v>
      </c>
      <c r="T245" s="128">
        <f t="shared" si="63"/>
        <v>0</v>
      </c>
      <c r="W245" s="199"/>
      <c r="X245" s="119" t="s">
        <v>487</v>
      </c>
      <c r="Y245" s="119" t="s">
        <v>231</v>
      </c>
      <c r="Z245" s="120" t="s">
        <v>3249</v>
      </c>
      <c r="AA245" s="121" t="s">
        <v>3250</v>
      </c>
      <c r="AB245" s="122" t="s">
        <v>284</v>
      </c>
      <c r="AC245" s="123">
        <v>429.28199999999998</v>
      </c>
      <c r="AD245" s="124">
        <v>1.1599999999999999</v>
      </c>
      <c r="AE245" s="200">
        <f t="shared" si="64"/>
        <v>497.97</v>
      </c>
      <c r="AF245" s="956"/>
      <c r="AH245" s="130"/>
      <c r="AJ245" s="398">
        <f t="shared" si="47"/>
        <v>0</v>
      </c>
      <c r="AK245" s="409"/>
      <c r="AL245" s="408"/>
      <c r="AM245" s="407"/>
      <c r="AN245" s="407"/>
      <c r="AO245" s="407"/>
      <c r="AP245" s="407"/>
      <c r="AQ245" s="407"/>
      <c r="AR245" s="129" t="s">
        <v>235</v>
      </c>
      <c r="AT245" s="129" t="s">
        <v>231</v>
      </c>
      <c r="AU245" s="129" t="s">
        <v>76</v>
      </c>
      <c r="AY245" s="13" t="s">
        <v>228</v>
      </c>
      <c r="BE245" s="130">
        <f t="shared" si="65"/>
        <v>0</v>
      </c>
      <c r="BF245" s="130">
        <f t="shared" si="66"/>
        <v>497.97</v>
      </c>
      <c r="BG245" s="130">
        <f t="shared" si="67"/>
        <v>0</v>
      </c>
      <c r="BH245" s="130">
        <f t="shared" si="68"/>
        <v>0</v>
      </c>
      <c r="BI245" s="130">
        <f t="shared" si="69"/>
        <v>0</v>
      </c>
      <c r="BJ245" s="13" t="s">
        <v>76</v>
      </c>
      <c r="BK245" s="130">
        <f t="shared" si="70"/>
        <v>497.97</v>
      </c>
      <c r="BL245" s="13" t="s">
        <v>235</v>
      </c>
      <c r="BM245" s="129" t="s">
        <v>486</v>
      </c>
    </row>
    <row r="246" spans="2:65" s="1" customFormat="1" ht="24" customHeight="1" x14ac:dyDescent="0.2">
      <c r="B246" s="118"/>
      <c r="C246" s="119" t="s">
        <v>361</v>
      </c>
      <c r="D246" s="119" t="s">
        <v>231</v>
      </c>
      <c r="E246" s="120" t="s">
        <v>3251</v>
      </c>
      <c r="F246" s="121" t="s">
        <v>3252</v>
      </c>
      <c r="G246" s="122" t="s">
        <v>284</v>
      </c>
      <c r="H246" s="123">
        <v>429.28199999999998</v>
      </c>
      <c r="I246" s="124">
        <v>1.45</v>
      </c>
      <c r="J246" s="124">
        <f t="shared" si="60"/>
        <v>622.46</v>
      </c>
      <c r="K246" s="121" t="s">
        <v>1</v>
      </c>
      <c r="L246" s="24"/>
      <c r="M246" s="125" t="s">
        <v>1</v>
      </c>
      <c r="N246" s="126" t="s">
        <v>32</v>
      </c>
      <c r="O246" s="127">
        <v>0</v>
      </c>
      <c r="P246" s="127">
        <f t="shared" si="61"/>
        <v>0</v>
      </c>
      <c r="Q246" s="127">
        <v>0</v>
      </c>
      <c r="R246" s="127">
        <f t="shared" si="62"/>
        <v>0</v>
      </c>
      <c r="S246" s="127">
        <v>0</v>
      </c>
      <c r="T246" s="128">
        <f t="shared" si="63"/>
        <v>0</v>
      </c>
      <c r="W246" s="199"/>
      <c r="X246" s="119" t="s">
        <v>361</v>
      </c>
      <c r="Y246" s="119" t="s">
        <v>231</v>
      </c>
      <c r="Z246" s="120" t="s">
        <v>3251</v>
      </c>
      <c r="AA246" s="121" t="s">
        <v>3252</v>
      </c>
      <c r="AB246" s="122" t="s">
        <v>284</v>
      </c>
      <c r="AC246" s="123">
        <v>429.28199999999998</v>
      </c>
      <c r="AD246" s="124">
        <v>1.45</v>
      </c>
      <c r="AE246" s="200">
        <f t="shared" si="64"/>
        <v>622.46</v>
      </c>
      <c r="AF246" s="956"/>
      <c r="AH246" s="130"/>
      <c r="AJ246" s="398">
        <f t="shared" si="47"/>
        <v>0</v>
      </c>
      <c r="AK246" s="409"/>
      <c r="AL246" s="408"/>
      <c r="AM246" s="407"/>
      <c r="AN246" s="407"/>
      <c r="AO246" s="407"/>
      <c r="AP246" s="407"/>
      <c r="AQ246" s="407"/>
      <c r="AR246" s="129" t="s">
        <v>235</v>
      </c>
      <c r="AT246" s="129" t="s">
        <v>231</v>
      </c>
      <c r="AU246" s="129" t="s">
        <v>76</v>
      </c>
      <c r="AY246" s="13" t="s">
        <v>228</v>
      </c>
      <c r="BE246" s="130">
        <f t="shared" si="65"/>
        <v>0</v>
      </c>
      <c r="BF246" s="130">
        <f t="shared" si="66"/>
        <v>622.46</v>
      </c>
      <c r="BG246" s="130">
        <f t="shared" si="67"/>
        <v>0</v>
      </c>
      <c r="BH246" s="130">
        <f t="shared" si="68"/>
        <v>0</v>
      </c>
      <c r="BI246" s="130">
        <f t="shared" si="69"/>
        <v>0</v>
      </c>
      <c r="BJ246" s="13" t="s">
        <v>76</v>
      </c>
      <c r="BK246" s="130">
        <f t="shared" si="70"/>
        <v>622.46</v>
      </c>
      <c r="BL246" s="13" t="s">
        <v>235</v>
      </c>
      <c r="BM246" s="129" t="s">
        <v>490</v>
      </c>
    </row>
    <row r="247" spans="2:65" s="1" customFormat="1" ht="24" customHeight="1" x14ac:dyDescent="0.2">
      <c r="B247" s="118"/>
      <c r="C247" s="205" t="s">
        <v>494</v>
      </c>
      <c r="D247" s="119" t="s">
        <v>231</v>
      </c>
      <c r="E247" s="120" t="s">
        <v>3253</v>
      </c>
      <c r="F247" s="121" t="s">
        <v>3254</v>
      </c>
      <c r="G247" s="122" t="s">
        <v>284</v>
      </c>
      <c r="H247" s="206">
        <v>101.16</v>
      </c>
      <c r="I247" s="124">
        <v>3.48</v>
      </c>
      <c r="J247" s="124">
        <f t="shared" si="60"/>
        <v>352.04</v>
      </c>
      <c r="K247" s="121" t="s">
        <v>1</v>
      </c>
      <c r="L247" s="24"/>
      <c r="M247" s="125" t="s">
        <v>1</v>
      </c>
      <c r="N247" s="126" t="s">
        <v>32</v>
      </c>
      <c r="O247" s="127">
        <v>0</v>
      </c>
      <c r="P247" s="127">
        <f t="shared" si="61"/>
        <v>0</v>
      </c>
      <c r="Q247" s="127">
        <v>0</v>
      </c>
      <c r="R247" s="127">
        <f t="shared" si="62"/>
        <v>0</v>
      </c>
      <c r="S247" s="127">
        <v>0</v>
      </c>
      <c r="T247" s="128">
        <f t="shared" si="63"/>
        <v>0</v>
      </c>
      <c r="W247" s="199"/>
      <c r="X247" s="205" t="s">
        <v>494</v>
      </c>
      <c r="Y247" s="119" t="s">
        <v>231</v>
      </c>
      <c r="Z247" s="120" t="s">
        <v>3253</v>
      </c>
      <c r="AA247" s="121" t="s">
        <v>3254</v>
      </c>
      <c r="AB247" s="122" t="s">
        <v>284</v>
      </c>
      <c r="AC247" s="206">
        <v>193.63499999999999</v>
      </c>
      <c r="AD247" s="124">
        <v>3.48</v>
      </c>
      <c r="AE247" s="200">
        <f t="shared" si="64"/>
        <v>673.85</v>
      </c>
      <c r="AF247" s="956">
        <v>1</v>
      </c>
      <c r="AH247" s="130">
        <f t="shared" si="46"/>
        <v>92.474999999999994</v>
      </c>
      <c r="AJ247" s="398">
        <f t="shared" si="47"/>
        <v>321.81299999999999</v>
      </c>
      <c r="AK247" s="409"/>
      <c r="AL247" s="408"/>
      <c r="AM247" s="407"/>
      <c r="AN247" s="407"/>
      <c r="AO247" s="407"/>
      <c r="AP247" s="407"/>
      <c r="AQ247" s="407"/>
      <c r="AR247" s="129" t="s">
        <v>235</v>
      </c>
      <c r="AT247" s="129" t="s">
        <v>231</v>
      </c>
      <c r="AU247" s="129" t="s">
        <v>76</v>
      </c>
      <c r="AY247" s="13" t="s">
        <v>228</v>
      </c>
      <c r="BE247" s="130">
        <f t="shared" si="65"/>
        <v>0</v>
      </c>
      <c r="BF247" s="130">
        <f t="shared" si="66"/>
        <v>352.04</v>
      </c>
      <c r="BG247" s="130">
        <f t="shared" si="67"/>
        <v>0</v>
      </c>
      <c r="BH247" s="130">
        <f t="shared" si="68"/>
        <v>0</v>
      </c>
      <c r="BI247" s="130">
        <f t="shared" si="69"/>
        <v>0</v>
      </c>
      <c r="BJ247" s="13" t="s">
        <v>76</v>
      </c>
      <c r="BK247" s="130">
        <f t="shared" si="70"/>
        <v>352.04</v>
      </c>
      <c r="BL247" s="13" t="s">
        <v>235</v>
      </c>
      <c r="BM247" s="129" t="s">
        <v>493</v>
      </c>
    </row>
    <row r="248" spans="2:65" s="1" customFormat="1" ht="16.5" customHeight="1" x14ac:dyDescent="0.2">
      <c r="B248" s="118"/>
      <c r="C248" s="205" t="s">
        <v>365</v>
      </c>
      <c r="D248" s="119" t="s">
        <v>231</v>
      </c>
      <c r="E248" s="120" t="s">
        <v>3255</v>
      </c>
      <c r="F248" s="121" t="s">
        <v>3256</v>
      </c>
      <c r="G248" s="122" t="s">
        <v>284</v>
      </c>
      <c r="H248" s="206">
        <v>428.26</v>
      </c>
      <c r="I248" s="124">
        <v>1.74</v>
      </c>
      <c r="J248" s="124">
        <f t="shared" si="60"/>
        <v>745.17</v>
      </c>
      <c r="K248" s="121" t="s">
        <v>1</v>
      </c>
      <c r="L248" s="24"/>
      <c r="M248" s="125" t="s">
        <v>1</v>
      </c>
      <c r="N248" s="126" t="s">
        <v>32</v>
      </c>
      <c r="O248" s="127">
        <v>0</v>
      </c>
      <c r="P248" s="127">
        <f t="shared" si="61"/>
        <v>0</v>
      </c>
      <c r="Q248" s="127">
        <v>0</v>
      </c>
      <c r="R248" s="127">
        <f t="shared" si="62"/>
        <v>0</v>
      </c>
      <c r="S248" s="127">
        <v>0</v>
      </c>
      <c r="T248" s="128">
        <f t="shared" si="63"/>
        <v>0</v>
      </c>
      <c r="W248" s="199"/>
      <c r="X248" s="205" t="s">
        <v>365</v>
      </c>
      <c r="Y248" s="119" t="s">
        <v>231</v>
      </c>
      <c r="Z248" s="120" t="s">
        <v>3255</v>
      </c>
      <c r="AA248" s="121" t="s">
        <v>3256</v>
      </c>
      <c r="AB248" s="122" t="s">
        <v>284</v>
      </c>
      <c r="AC248" s="206">
        <v>590.88</v>
      </c>
      <c r="AD248" s="124">
        <v>1.74</v>
      </c>
      <c r="AE248" s="200">
        <f t="shared" si="64"/>
        <v>1028.1300000000001</v>
      </c>
      <c r="AF248" s="956">
        <v>1</v>
      </c>
      <c r="AH248" s="130">
        <f t="shared" si="46"/>
        <v>162.62</v>
      </c>
      <c r="AJ248" s="398">
        <f t="shared" si="47"/>
        <v>282.9588</v>
      </c>
      <c r="AK248" s="409"/>
      <c r="AL248" s="408"/>
      <c r="AM248" s="407"/>
      <c r="AN248" s="407"/>
      <c r="AO248" s="407"/>
      <c r="AP248" s="407"/>
      <c r="AQ248" s="407"/>
      <c r="AR248" s="129" t="s">
        <v>235</v>
      </c>
      <c r="AT248" s="129" t="s">
        <v>231</v>
      </c>
      <c r="AU248" s="129" t="s">
        <v>76</v>
      </c>
      <c r="AY248" s="13" t="s">
        <v>228</v>
      </c>
      <c r="BE248" s="130">
        <f t="shared" si="65"/>
        <v>0</v>
      </c>
      <c r="BF248" s="130">
        <f t="shared" si="66"/>
        <v>745.17</v>
      </c>
      <c r="BG248" s="130">
        <f t="shared" si="67"/>
        <v>0</v>
      </c>
      <c r="BH248" s="130">
        <f t="shared" si="68"/>
        <v>0</v>
      </c>
      <c r="BI248" s="130">
        <f t="shared" si="69"/>
        <v>0</v>
      </c>
      <c r="BJ248" s="13" t="s">
        <v>76</v>
      </c>
      <c r="BK248" s="130">
        <f t="shared" si="70"/>
        <v>745.17</v>
      </c>
      <c r="BL248" s="13" t="s">
        <v>235</v>
      </c>
      <c r="BM248" s="129" t="s">
        <v>497</v>
      </c>
    </row>
    <row r="249" spans="2:65" s="417" customFormat="1" ht="28.5" customHeight="1" x14ac:dyDescent="0.2">
      <c r="B249" s="118"/>
      <c r="C249" s="1234" t="s">
        <v>5205</v>
      </c>
      <c r="D249" s="1235"/>
      <c r="E249" s="1235"/>
      <c r="F249" s="1235"/>
      <c r="G249" s="1235"/>
      <c r="H249" s="1235"/>
      <c r="I249" s="1235"/>
      <c r="J249" s="1236"/>
      <c r="K249" s="121"/>
      <c r="L249" s="24"/>
      <c r="M249" s="125"/>
      <c r="N249" s="126"/>
      <c r="O249" s="127"/>
      <c r="P249" s="127"/>
      <c r="Q249" s="127"/>
      <c r="R249" s="127"/>
      <c r="S249" s="127"/>
      <c r="T249" s="128"/>
      <c r="W249" s="199"/>
      <c r="X249" s="341" t="s">
        <v>5851</v>
      </c>
      <c r="Y249" s="341" t="s">
        <v>231</v>
      </c>
      <c r="Z249" s="342" t="s">
        <v>412</v>
      </c>
      <c r="AA249" s="343" t="s">
        <v>413</v>
      </c>
      <c r="AB249" s="344" t="s">
        <v>284</v>
      </c>
      <c r="AC249" s="345">
        <f>89.95+14.7</f>
        <v>104.65</v>
      </c>
      <c r="AD249" s="346">
        <v>2.21</v>
      </c>
      <c r="AE249" s="355">
        <f>ROUND(AD249*AC249,2)</f>
        <v>231.28</v>
      </c>
      <c r="AF249" s="956" t="s">
        <v>6317</v>
      </c>
      <c r="AH249" s="440">
        <f t="shared" si="46"/>
        <v>104.65</v>
      </c>
      <c r="AJ249" s="398"/>
      <c r="AK249" s="409"/>
      <c r="AL249" s="408"/>
      <c r="AM249" s="407"/>
      <c r="AN249" s="407"/>
      <c r="AO249" s="407"/>
      <c r="AP249" s="407"/>
      <c r="AQ249" s="407"/>
      <c r="AR249" s="129"/>
      <c r="AT249" s="129"/>
      <c r="AU249" s="129"/>
      <c r="AY249" s="13"/>
      <c r="BE249" s="130"/>
      <c r="BF249" s="130"/>
      <c r="BG249" s="130"/>
      <c r="BH249" s="130"/>
      <c r="BI249" s="130"/>
      <c r="BJ249" s="13"/>
      <c r="BK249" s="130"/>
      <c r="BL249" s="13"/>
      <c r="BM249" s="129"/>
    </row>
    <row r="250" spans="2:65" s="1" customFormat="1" ht="36.450000000000003" customHeight="1" x14ac:dyDescent="0.2">
      <c r="B250" s="118"/>
      <c r="C250" s="119" t="s">
        <v>501</v>
      </c>
      <c r="D250" s="119" t="s">
        <v>231</v>
      </c>
      <c r="E250" s="120" t="s">
        <v>3257</v>
      </c>
      <c r="F250" s="121" t="s">
        <v>3258</v>
      </c>
      <c r="G250" s="122" t="s">
        <v>234</v>
      </c>
      <c r="H250" s="123">
        <v>8.25</v>
      </c>
      <c r="I250" s="124">
        <v>17.420000000000002</v>
      </c>
      <c r="J250" s="124">
        <f t="shared" si="60"/>
        <v>143.72</v>
      </c>
      <c r="K250" s="121" t="s">
        <v>1</v>
      </c>
      <c r="L250" s="24"/>
      <c r="M250" s="125" t="s">
        <v>1</v>
      </c>
      <c r="N250" s="126" t="s">
        <v>32</v>
      </c>
      <c r="O250" s="127">
        <v>0</v>
      </c>
      <c r="P250" s="127">
        <f t="shared" si="61"/>
        <v>0</v>
      </c>
      <c r="Q250" s="127">
        <v>0</v>
      </c>
      <c r="R250" s="127">
        <f t="shared" si="62"/>
        <v>0</v>
      </c>
      <c r="S250" s="127">
        <v>0</v>
      </c>
      <c r="T250" s="128">
        <f t="shared" si="63"/>
        <v>0</v>
      </c>
      <c r="W250" s="199"/>
      <c r="X250" s="119" t="s">
        <v>501</v>
      </c>
      <c r="Y250" s="119" t="s">
        <v>231</v>
      </c>
      <c r="Z250" s="120" t="s">
        <v>3257</v>
      </c>
      <c r="AA250" s="121" t="s">
        <v>3258</v>
      </c>
      <c r="AB250" s="122" t="s">
        <v>234</v>
      </c>
      <c r="AC250" s="123">
        <v>8.25</v>
      </c>
      <c r="AD250" s="124">
        <v>17.420000000000002</v>
      </c>
      <c r="AE250" s="200">
        <f t="shared" si="64"/>
        <v>143.72</v>
      </c>
      <c r="AF250" s="956"/>
      <c r="AH250" s="440">
        <f t="shared" si="46"/>
        <v>0</v>
      </c>
      <c r="AJ250" s="398"/>
      <c r="AK250" s="409"/>
      <c r="AL250" s="408"/>
      <c r="AM250" s="407"/>
      <c r="AN250" s="407"/>
      <c r="AO250" s="407"/>
      <c r="AP250" s="407"/>
      <c r="AQ250" s="407"/>
      <c r="AR250" s="129" t="s">
        <v>235</v>
      </c>
      <c r="AT250" s="129" t="s">
        <v>231</v>
      </c>
      <c r="AU250" s="129" t="s">
        <v>76</v>
      </c>
      <c r="AY250" s="13" t="s">
        <v>228</v>
      </c>
      <c r="BE250" s="130">
        <f t="shared" si="65"/>
        <v>0</v>
      </c>
      <c r="BF250" s="130">
        <f t="shared" si="66"/>
        <v>143.72</v>
      </c>
      <c r="BG250" s="130">
        <f t="shared" si="67"/>
        <v>0</v>
      </c>
      <c r="BH250" s="130">
        <f t="shared" si="68"/>
        <v>0</v>
      </c>
      <c r="BI250" s="130">
        <f t="shared" si="69"/>
        <v>0</v>
      </c>
      <c r="BJ250" s="13" t="s">
        <v>76</v>
      </c>
      <c r="BK250" s="130">
        <f t="shared" si="70"/>
        <v>143.72</v>
      </c>
      <c r="BL250" s="13" t="s">
        <v>235</v>
      </c>
      <c r="BM250" s="129" t="s">
        <v>500</v>
      </c>
    </row>
    <row r="251" spans="2:65" s="1" customFormat="1" ht="24" customHeight="1" x14ac:dyDescent="0.2">
      <c r="B251" s="118"/>
      <c r="C251" s="119" t="s">
        <v>368</v>
      </c>
      <c r="D251" s="119" t="s">
        <v>231</v>
      </c>
      <c r="E251" s="120" t="s">
        <v>3259</v>
      </c>
      <c r="F251" s="121" t="s">
        <v>3260</v>
      </c>
      <c r="G251" s="122" t="s">
        <v>234</v>
      </c>
      <c r="H251" s="123">
        <v>1.2769999999999999</v>
      </c>
      <c r="I251" s="124">
        <v>34.83</v>
      </c>
      <c r="J251" s="124">
        <f t="shared" si="60"/>
        <v>44.48</v>
      </c>
      <c r="K251" s="121" t="s">
        <v>1</v>
      </c>
      <c r="L251" s="24"/>
      <c r="M251" s="125" t="s">
        <v>1</v>
      </c>
      <c r="N251" s="126" t="s">
        <v>32</v>
      </c>
      <c r="O251" s="127">
        <v>0</v>
      </c>
      <c r="P251" s="127">
        <f t="shared" si="61"/>
        <v>0</v>
      </c>
      <c r="Q251" s="127">
        <v>0</v>
      </c>
      <c r="R251" s="127">
        <f t="shared" si="62"/>
        <v>0</v>
      </c>
      <c r="S251" s="127">
        <v>0</v>
      </c>
      <c r="T251" s="128">
        <f t="shared" si="63"/>
        <v>0</v>
      </c>
      <c r="W251" s="199"/>
      <c r="X251" s="119" t="s">
        <v>368</v>
      </c>
      <c r="Y251" s="119" t="s">
        <v>231</v>
      </c>
      <c r="Z251" s="120" t="s">
        <v>3259</v>
      </c>
      <c r="AA251" s="121" t="s">
        <v>3260</v>
      </c>
      <c r="AB251" s="122" t="s">
        <v>234</v>
      </c>
      <c r="AC251" s="123">
        <v>1.2769999999999999</v>
      </c>
      <c r="AD251" s="124">
        <v>34.83</v>
      </c>
      <c r="AE251" s="200">
        <f t="shared" si="64"/>
        <v>44.48</v>
      </c>
      <c r="AF251" s="956"/>
      <c r="AH251" s="440">
        <f t="shared" si="46"/>
        <v>0</v>
      </c>
      <c r="AJ251" s="398"/>
      <c r="AK251" s="409"/>
      <c r="AL251" s="408"/>
      <c r="AM251" s="407"/>
      <c r="AN251" s="407"/>
      <c r="AO251" s="407"/>
      <c r="AP251" s="407"/>
      <c r="AQ251" s="407"/>
      <c r="AR251" s="129" t="s">
        <v>235</v>
      </c>
      <c r="AT251" s="129" t="s">
        <v>231</v>
      </c>
      <c r="AU251" s="129" t="s">
        <v>76</v>
      </c>
      <c r="AY251" s="13" t="s">
        <v>228</v>
      </c>
      <c r="BE251" s="130">
        <f t="shared" si="65"/>
        <v>0</v>
      </c>
      <c r="BF251" s="130">
        <f t="shared" si="66"/>
        <v>44.48</v>
      </c>
      <c r="BG251" s="130">
        <f t="shared" si="67"/>
        <v>0</v>
      </c>
      <c r="BH251" s="130">
        <f t="shared" si="68"/>
        <v>0</v>
      </c>
      <c r="BI251" s="130">
        <f t="shared" si="69"/>
        <v>0</v>
      </c>
      <c r="BJ251" s="13" t="s">
        <v>76</v>
      </c>
      <c r="BK251" s="130">
        <f t="shared" si="70"/>
        <v>44.48</v>
      </c>
      <c r="BL251" s="13" t="s">
        <v>235</v>
      </c>
      <c r="BM251" s="129" t="s">
        <v>504</v>
      </c>
    </row>
    <row r="252" spans="2:65" s="417" customFormat="1" ht="24" customHeight="1" x14ac:dyDescent="0.2">
      <c r="B252" s="118"/>
      <c r="C252" s="1234" t="s">
        <v>5205</v>
      </c>
      <c r="D252" s="1235"/>
      <c r="E252" s="1235"/>
      <c r="F252" s="1235"/>
      <c r="G252" s="1235"/>
      <c r="H252" s="1235"/>
      <c r="I252" s="1235"/>
      <c r="J252" s="1236"/>
      <c r="K252" s="121"/>
      <c r="L252" s="24"/>
      <c r="M252" s="125"/>
      <c r="N252" s="126"/>
      <c r="O252" s="127"/>
      <c r="P252" s="127"/>
      <c r="Q252" s="127"/>
      <c r="R252" s="127"/>
      <c r="S252" s="127"/>
      <c r="T252" s="128"/>
      <c r="W252" s="199"/>
      <c r="X252" s="341" t="s">
        <v>6072</v>
      </c>
      <c r="Y252" s="341" t="s">
        <v>231</v>
      </c>
      <c r="Z252" s="342" t="s">
        <v>915</v>
      </c>
      <c r="AA252" s="343" t="s">
        <v>916</v>
      </c>
      <c r="AB252" s="344" t="s">
        <v>234</v>
      </c>
      <c r="AC252" s="345">
        <f>80.423+20.825+0.2</f>
        <v>101.44800000000001</v>
      </c>
      <c r="AD252" s="346">
        <v>109.69</v>
      </c>
      <c r="AE252" s="355">
        <f>ROUND(AD252*AC252,2)</f>
        <v>11127.83</v>
      </c>
      <c r="AF252" s="956" t="s">
        <v>6426</v>
      </c>
      <c r="AH252" s="440">
        <f t="shared" si="46"/>
        <v>101.44800000000001</v>
      </c>
      <c r="AJ252" s="398"/>
      <c r="AK252" s="409"/>
      <c r="AL252" s="408"/>
      <c r="AM252" s="407"/>
      <c r="AN252" s="407"/>
      <c r="AO252" s="407"/>
      <c r="AP252" s="407"/>
      <c r="AQ252" s="407"/>
      <c r="AR252" s="129"/>
      <c r="AT252" s="129"/>
      <c r="AU252" s="129"/>
      <c r="AY252" s="13"/>
      <c r="BE252" s="130"/>
      <c r="BF252" s="130"/>
      <c r="BG252" s="130"/>
      <c r="BH252" s="130"/>
      <c r="BI252" s="130"/>
      <c r="BJ252" s="13"/>
      <c r="BK252" s="130"/>
      <c r="BL252" s="13"/>
      <c r="BM252" s="129"/>
    </row>
    <row r="253" spans="2:65" s="1" customFormat="1" ht="24" customHeight="1" x14ac:dyDescent="0.2">
      <c r="B253" s="118"/>
      <c r="C253" s="119" t="s">
        <v>508</v>
      </c>
      <c r="D253" s="119" t="s">
        <v>231</v>
      </c>
      <c r="E253" s="120" t="s">
        <v>3261</v>
      </c>
      <c r="F253" s="121" t="s">
        <v>3262</v>
      </c>
      <c r="G253" s="122" t="s">
        <v>234</v>
      </c>
      <c r="H253" s="123">
        <v>1.2769999999999999</v>
      </c>
      <c r="I253" s="124">
        <v>34.83</v>
      </c>
      <c r="J253" s="124">
        <f t="shared" si="60"/>
        <v>44.48</v>
      </c>
      <c r="K253" s="121" t="s">
        <v>1</v>
      </c>
      <c r="L253" s="24"/>
      <c r="M253" s="125" t="s">
        <v>1</v>
      </c>
      <c r="N253" s="126" t="s">
        <v>32</v>
      </c>
      <c r="O253" s="127">
        <v>0</v>
      </c>
      <c r="P253" s="127">
        <f t="shared" si="61"/>
        <v>0</v>
      </c>
      <c r="Q253" s="127">
        <v>0</v>
      </c>
      <c r="R253" s="127">
        <f t="shared" si="62"/>
        <v>0</v>
      </c>
      <c r="S253" s="127">
        <v>0</v>
      </c>
      <c r="T253" s="128">
        <f t="shared" si="63"/>
        <v>0</v>
      </c>
      <c r="W253" s="199"/>
      <c r="X253" s="119" t="s">
        <v>508</v>
      </c>
      <c r="Y253" s="119" t="s">
        <v>231</v>
      </c>
      <c r="Z253" s="120" t="s">
        <v>3261</v>
      </c>
      <c r="AA253" s="121" t="s">
        <v>3262</v>
      </c>
      <c r="AB253" s="122" t="s">
        <v>234</v>
      </c>
      <c r="AC253" s="123">
        <v>1.2769999999999999</v>
      </c>
      <c r="AD253" s="124">
        <v>34.83</v>
      </c>
      <c r="AE253" s="200">
        <f t="shared" si="64"/>
        <v>44.48</v>
      </c>
      <c r="AF253" s="956"/>
      <c r="AH253" s="440">
        <f t="shared" si="46"/>
        <v>0</v>
      </c>
      <c r="AJ253" s="398"/>
      <c r="AK253" s="409"/>
      <c r="AL253" s="408"/>
      <c r="AM253" s="407"/>
      <c r="AN253" s="407"/>
      <c r="AO253" s="407"/>
      <c r="AP253" s="407"/>
      <c r="AQ253" s="407"/>
      <c r="AR253" s="129" t="s">
        <v>235</v>
      </c>
      <c r="AT253" s="129" t="s">
        <v>231</v>
      </c>
      <c r="AU253" s="129" t="s">
        <v>76</v>
      </c>
      <c r="AY253" s="13" t="s">
        <v>228</v>
      </c>
      <c r="BE253" s="130">
        <f t="shared" si="65"/>
        <v>0</v>
      </c>
      <c r="BF253" s="130">
        <f t="shared" si="66"/>
        <v>44.48</v>
      </c>
      <c r="BG253" s="130">
        <f t="shared" si="67"/>
        <v>0</v>
      </c>
      <c r="BH253" s="130">
        <f t="shared" si="68"/>
        <v>0</v>
      </c>
      <c r="BI253" s="130">
        <f t="shared" si="69"/>
        <v>0</v>
      </c>
      <c r="BJ253" s="13" t="s">
        <v>76</v>
      </c>
      <c r="BK253" s="130">
        <f t="shared" si="70"/>
        <v>44.48</v>
      </c>
      <c r="BL253" s="13" t="s">
        <v>235</v>
      </c>
      <c r="BM253" s="129" t="s">
        <v>507</v>
      </c>
    </row>
    <row r="254" spans="2:65" s="1" customFormat="1" ht="24" customHeight="1" x14ac:dyDescent="0.2">
      <c r="B254" s="118"/>
      <c r="C254" s="119" t="s">
        <v>372</v>
      </c>
      <c r="D254" s="119" t="s">
        <v>231</v>
      </c>
      <c r="E254" s="120" t="s">
        <v>3263</v>
      </c>
      <c r="F254" s="121" t="s">
        <v>3264</v>
      </c>
      <c r="G254" s="122" t="s">
        <v>284</v>
      </c>
      <c r="H254" s="123">
        <v>3.6</v>
      </c>
      <c r="I254" s="124">
        <v>9.17</v>
      </c>
      <c r="J254" s="124">
        <f t="shared" si="60"/>
        <v>33.01</v>
      </c>
      <c r="K254" s="121" t="s">
        <v>1</v>
      </c>
      <c r="L254" s="24"/>
      <c r="M254" s="125" t="s">
        <v>1</v>
      </c>
      <c r="N254" s="126" t="s">
        <v>32</v>
      </c>
      <c r="O254" s="127">
        <v>0</v>
      </c>
      <c r="P254" s="127">
        <f t="shared" si="61"/>
        <v>0</v>
      </c>
      <c r="Q254" s="127">
        <v>0</v>
      </c>
      <c r="R254" s="127">
        <f t="shared" si="62"/>
        <v>0</v>
      </c>
      <c r="S254" s="127">
        <v>0</v>
      </c>
      <c r="T254" s="128">
        <f t="shared" si="63"/>
        <v>0</v>
      </c>
      <c r="W254" s="199"/>
      <c r="X254" s="119" t="s">
        <v>372</v>
      </c>
      <c r="Y254" s="119" t="s">
        <v>231</v>
      </c>
      <c r="Z254" s="120" t="s">
        <v>3263</v>
      </c>
      <c r="AA254" s="121" t="s">
        <v>3264</v>
      </c>
      <c r="AB254" s="122" t="s">
        <v>284</v>
      </c>
      <c r="AC254" s="123">
        <v>3.6</v>
      </c>
      <c r="AD254" s="124">
        <v>9.17</v>
      </c>
      <c r="AE254" s="200">
        <f t="shared" si="64"/>
        <v>33.01</v>
      </c>
      <c r="AF254" s="956"/>
      <c r="AH254" s="440">
        <f t="shared" si="46"/>
        <v>0</v>
      </c>
      <c r="AJ254" s="398"/>
      <c r="AK254" s="409"/>
      <c r="AL254" s="408"/>
      <c r="AM254" s="407"/>
      <c r="AN254" s="407"/>
      <c r="AO254" s="407"/>
      <c r="AP254" s="407"/>
      <c r="AQ254" s="407"/>
      <c r="AR254" s="129" t="s">
        <v>235</v>
      </c>
      <c r="AT254" s="129" t="s">
        <v>231</v>
      </c>
      <c r="AU254" s="129" t="s">
        <v>76</v>
      </c>
      <c r="AY254" s="13" t="s">
        <v>228</v>
      </c>
      <c r="BE254" s="130">
        <f t="shared" si="65"/>
        <v>0</v>
      </c>
      <c r="BF254" s="130">
        <f t="shared" si="66"/>
        <v>33.01</v>
      </c>
      <c r="BG254" s="130">
        <f t="shared" si="67"/>
        <v>0</v>
      </c>
      <c r="BH254" s="130">
        <f t="shared" si="68"/>
        <v>0</v>
      </c>
      <c r="BI254" s="130">
        <f t="shared" si="69"/>
        <v>0</v>
      </c>
      <c r="BJ254" s="13" t="s">
        <v>76</v>
      </c>
      <c r="BK254" s="130">
        <f t="shared" si="70"/>
        <v>33.01</v>
      </c>
      <c r="BL254" s="13" t="s">
        <v>235</v>
      </c>
      <c r="BM254" s="129" t="s">
        <v>511</v>
      </c>
    </row>
    <row r="255" spans="2:65" s="417" customFormat="1" ht="24" customHeight="1" x14ac:dyDescent="0.2">
      <c r="B255" s="118"/>
      <c r="C255" s="1234" t="s">
        <v>5205</v>
      </c>
      <c r="D255" s="1235"/>
      <c r="E255" s="1235"/>
      <c r="F255" s="1235"/>
      <c r="G255" s="1235"/>
      <c r="H255" s="1235"/>
      <c r="I255" s="1235"/>
      <c r="J255" s="1236"/>
      <c r="K255" s="121"/>
      <c r="L255" s="24"/>
      <c r="M255" s="125"/>
      <c r="N255" s="126"/>
      <c r="O255" s="127"/>
      <c r="P255" s="127"/>
      <c r="Q255" s="127"/>
      <c r="R255" s="127"/>
      <c r="S255" s="127"/>
      <c r="T255" s="128"/>
      <c r="W255" s="199"/>
      <c r="X255" s="341" t="s">
        <v>5429</v>
      </c>
      <c r="Y255" s="341" t="s">
        <v>231</v>
      </c>
      <c r="Z255" s="342" t="s">
        <v>917</v>
      </c>
      <c r="AA255" s="343" t="s">
        <v>918</v>
      </c>
      <c r="AB255" s="344" t="s">
        <v>292</v>
      </c>
      <c r="AC255" s="345">
        <f>153+30</f>
        <v>183</v>
      </c>
      <c r="AD255" s="346">
        <v>0.89</v>
      </c>
      <c r="AE255" s="355">
        <f>ROUND(AD255*AC255,2)</f>
        <v>162.87</v>
      </c>
      <c r="AF255" s="956" t="s">
        <v>6317</v>
      </c>
      <c r="AH255" s="440">
        <f t="shared" si="46"/>
        <v>183</v>
      </c>
      <c r="AJ255" s="398"/>
      <c r="AK255" s="409"/>
      <c r="AL255" s="408"/>
      <c r="AM255" s="407"/>
      <c r="AN255" s="407"/>
      <c r="AO255" s="407"/>
      <c r="AP255" s="407"/>
      <c r="AQ255" s="407"/>
      <c r="AR255" s="129"/>
      <c r="AT255" s="129"/>
      <c r="AU255" s="129"/>
      <c r="AY255" s="13"/>
      <c r="BE255" s="130"/>
      <c r="BF255" s="130"/>
      <c r="BG255" s="130"/>
      <c r="BH255" s="130"/>
      <c r="BI255" s="130"/>
      <c r="BJ255" s="13"/>
      <c r="BK255" s="130"/>
      <c r="BL255" s="13"/>
      <c r="BM255" s="129"/>
    </row>
    <row r="256" spans="2:65" s="417" customFormat="1" ht="24" customHeight="1" x14ac:dyDescent="0.2">
      <c r="B256" s="118"/>
      <c r="C256" s="1234" t="s">
        <v>5205</v>
      </c>
      <c r="D256" s="1235"/>
      <c r="E256" s="1235"/>
      <c r="F256" s="1235"/>
      <c r="G256" s="1235"/>
      <c r="H256" s="1235"/>
      <c r="I256" s="1235"/>
      <c r="J256" s="1236"/>
      <c r="K256" s="121"/>
      <c r="L256" s="24"/>
      <c r="M256" s="125"/>
      <c r="N256" s="126"/>
      <c r="O256" s="127"/>
      <c r="P256" s="127"/>
      <c r="Q256" s="127"/>
      <c r="R256" s="127"/>
      <c r="S256" s="127"/>
      <c r="T256" s="128"/>
      <c r="W256" s="199"/>
      <c r="X256" s="341" t="s">
        <v>5430</v>
      </c>
      <c r="Y256" s="341" t="s">
        <v>231</v>
      </c>
      <c r="Z256" s="342" t="s">
        <v>6073</v>
      </c>
      <c r="AA256" s="343" t="s">
        <v>6074</v>
      </c>
      <c r="AB256" s="344" t="s">
        <v>292</v>
      </c>
      <c r="AC256" s="345">
        <v>180</v>
      </c>
      <c r="AD256" s="346">
        <v>0.92</v>
      </c>
      <c r="AE256" s="355">
        <f>ROUND(AD256*AC256,2)</f>
        <v>165.6</v>
      </c>
      <c r="AF256" s="956">
        <v>8</v>
      </c>
      <c r="AH256" s="440">
        <f t="shared" si="46"/>
        <v>180</v>
      </c>
      <c r="AJ256" s="398"/>
      <c r="AK256" s="409"/>
      <c r="AL256" s="408"/>
      <c r="AM256" s="407"/>
      <c r="AN256" s="407"/>
      <c r="AO256" s="407"/>
      <c r="AP256" s="407"/>
      <c r="AQ256" s="407"/>
      <c r="AR256" s="129"/>
      <c r="AT256" s="129"/>
      <c r="AU256" s="129"/>
      <c r="AY256" s="13"/>
      <c r="BE256" s="130"/>
      <c r="BF256" s="130"/>
      <c r="BG256" s="130"/>
      <c r="BH256" s="130"/>
      <c r="BI256" s="130"/>
      <c r="BJ256" s="13"/>
      <c r="BK256" s="130"/>
      <c r="BL256" s="13"/>
      <c r="BM256" s="129"/>
    </row>
    <row r="257" spans="2:65" s="417" customFormat="1" ht="24" customHeight="1" x14ac:dyDescent="0.2">
      <c r="B257" s="118"/>
      <c r="C257" s="1234" t="s">
        <v>5205</v>
      </c>
      <c r="D257" s="1235"/>
      <c r="E257" s="1235"/>
      <c r="F257" s="1235"/>
      <c r="G257" s="1235"/>
      <c r="H257" s="1235"/>
      <c r="I257" s="1235"/>
      <c r="J257" s="1236"/>
      <c r="K257" s="121"/>
      <c r="L257" s="24"/>
      <c r="M257" s="125"/>
      <c r="N257" s="126"/>
      <c r="O257" s="127"/>
      <c r="P257" s="127"/>
      <c r="Q257" s="127"/>
      <c r="R257" s="127"/>
      <c r="S257" s="127"/>
      <c r="T257" s="128"/>
      <c r="W257" s="199"/>
      <c r="X257" s="341" t="s">
        <v>5431</v>
      </c>
      <c r="Y257" s="341" t="s">
        <v>231</v>
      </c>
      <c r="Z257" s="342" t="s">
        <v>6075</v>
      </c>
      <c r="AA257" s="343" t="s">
        <v>6076</v>
      </c>
      <c r="AB257" s="344" t="s">
        <v>292</v>
      </c>
      <c r="AC257" s="345">
        <f>182+30</f>
        <v>212</v>
      </c>
      <c r="AD257" s="346">
        <v>0.92</v>
      </c>
      <c r="AE257" s="355">
        <f>ROUND(AD257*AC257,2)</f>
        <v>195.04</v>
      </c>
      <c r="AF257" s="956" t="s">
        <v>6317</v>
      </c>
      <c r="AH257" s="440">
        <f t="shared" si="46"/>
        <v>212</v>
      </c>
      <c r="AJ257" s="398"/>
      <c r="AK257" s="409"/>
      <c r="AL257" s="408"/>
      <c r="AM257" s="407"/>
      <c r="AN257" s="407"/>
      <c r="AO257" s="407"/>
      <c r="AP257" s="407"/>
      <c r="AQ257" s="407"/>
      <c r="AR257" s="129"/>
      <c r="AT257" s="129"/>
      <c r="AU257" s="129"/>
      <c r="AY257" s="13"/>
      <c r="BE257" s="130"/>
      <c r="BF257" s="130"/>
      <c r="BG257" s="130"/>
      <c r="BH257" s="130"/>
      <c r="BI257" s="130"/>
      <c r="BJ257" s="13"/>
      <c r="BK257" s="130"/>
      <c r="BL257" s="13"/>
      <c r="BM257" s="129"/>
    </row>
    <row r="258" spans="2:65" s="670" customFormat="1" ht="27" customHeight="1" x14ac:dyDescent="0.2">
      <c r="B258" s="118"/>
      <c r="C258" s="1234" t="s">
        <v>5205</v>
      </c>
      <c r="D258" s="1235"/>
      <c r="E258" s="1235"/>
      <c r="F258" s="1235"/>
      <c r="G258" s="1235"/>
      <c r="H258" s="1235"/>
      <c r="I258" s="1235"/>
      <c r="J258" s="1236"/>
      <c r="K258" s="121"/>
      <c r="L258" s="24"/>
      <c r="M258" s="125"/>
      <c r="N258" s="126"/>
      <c r="O258" s="127"/>
      <c r="P258" s="127"/>
      <c r="Q258" s="127"/>
      <c r="R258" s="127"/>
      <c r="S258" s="127"/>
      <c r="T258" s="128"/>
      <c r="W258" s="199"/>
      <c r="X258" s="207" t="s">
        <v>6428</v>
      </c>
      <c r="Y258" s="207" t="s">
        <v>231</v>
      </c>
      <c r="Z258" s="342" t="s">
        <v>4290</v>
      </c>
      <c r="AA258" s="343" t="s">
        <v>6427</v>
      </c>
      <c r="AB258" s="344" t="s">
        <v>234</v>
      </c>
      <c r="AC258" s="345">
        <v>0.442</v>
      </c>
      <c r="AD258" s="346">
        <v>69.66</v>
      </c>
      <c r="AE258" s="355">
        <f>ROUND(AD258*AC258,2)</f>
        <v>30.79</v>
      </c>
      <c r="AF258" s="956" t="s">
        <v>6425</v>
      </c>
      <c r="AH258" s="440"/>
      <c r="AJ258" s="398"/>
      <c r="AK258" s="409"/>
      <c r="AL258" s="408"/>
      <c r="AM258" s="407"/>
      <c r="AN258" s="407"/>
      <c r="AO258" s="407"/>
      <c r="AP258" s="407"/>
      <c r="AQ258" s="407"/>
      <c r="AR258" s="129"/>
      <c r="AT258" s="129"/>
      <c r="AU258" s="129"/>
      <c r="AY258" s="13"/>
      <c r="BE258" s="130"/>
      <c r="BF258" s="130"/>
      <c r="BG258" s="130"/>
      <c r="BH258" s="130"/>
      <c r="BI258" s="130"/>
      <c r="BJ258" s="13"/>
      <c r="BK258" s="130"/>
      <c r="BL258" s="13"/>
      <c r="BM258" s="129"/>
    </row>
    <row r="259" spans="2:65" s="670" customFormat="1" ht="27" customHeight="1" x14ac:dyDescent="0.2">
      <c r="B259" s="118"/>
      <c r="C259" s="1234" t="s">
        <v>5205</v>
      </c>
      <c r="D259" s="1235"/>
      <c r="E259" s="1235"/>
      <c r="F259" s="1235"/>
      <c r="G259" s="1235"/>
      <c r="H259" s="1235"/>
      <c r="I259" s="1235"/>
      <c r="J259" s="1236"/>
      <c r="K259" s="121"/>
      <c r="L259" s="24"/>
      <c r="M259" s="125"/>
      <c r="N259" s="126"/>
      <c r="O259" s="127"/>
      <c r="P259" s="127"/>
      <c r="Q259" s="127"/>
      <c r="R259" s="127"/>
      <c r="S259" s="127"/>
      <c r="T259" s="128"/>
      <c r="W259" s="199"/>
      <c r="X259" s="207" t="s">
        <v>6430</v>
      </c>
      <c r="Y259" s="207" t="s">
        <v>231</v>
      </c>
      <c r="Z259" s="342" t="s">
        <v>502</v>
      </c>
      <c r="AA259" s="343" t="s">
        <v>6429</v>
      </c>
      <c r="AB259" s="344" t="s">
        <v>292</v>
      </c>
      <c r="AC259" s="345">
        <v>6.28</v>
      </c>
      <c r="AD259" s="346">
        <v>40.64</v>
      </c>
      <c r="AE259" s="355">
        <f>ROUND(AD259*AC259,2)</f>
        <v>255.22</v>
      </c>
      <c r="AF259" s="956" t="s">
        <v>6425</v>
      </c>
      <c r="AH259" s="440"/>
      <c r="AJ259" s="398"/>
      <c r="AK259" s="409"/>
      <c r="AL259" s="408"/>
      <c r="AM259" s="407"/>
      <c r="AN259" s="407"/>
      <c r="AO259" s="407"/>
      <c r="AP259" s="407"/>
      <c r="AQ259" s="407"/>
      <c r="AR259" s="129"/>
      <c r="AT259" s="129"/>
      <c r="AU259" s="129"/>
      <c r="AY259" s="13"/>
      <c r="BE259" s="130"/>
      <c r="BF259" s="130"/>
      <c r="BG259" s="130"/>
      <c r="BH259" s="130"/>
      <c r="BI259" s="130"/>
      <c r="BJ259" s="13"/>
      <c r="BK259" s="130"/>
      <c r="BL259" s="13"/>
      <c r="BM259" s="129"/>
    </row>
    <row r="260" spans="2:65" s="1" customFormat="1" ht="22.95" customHeight="1" x14ac:dyDescent="0.2">
      <c r="B260" s="118"/>
      <c r="C260" s="285" t="s">
        <v>515</v>
      </c>
      <c r="D260" s="119" t="s">
        <v>231</v>
      </c>
      <c r="E260" s="120" t="s">
        <v>3265</v>
      </c>
      <c r="F260" s="121" t="s">
        <v>3266</v>
      </c>
      <c r="G260" s="122" t="s">
        <v>271</v>
      </c>
      <c r="H260" s="288">
        <v>57.561999999999998</v>
      </c>
      <c r="I260" s="124">
        <v>4.6399999999999997</v>
      </c>
      <c r="J260" s="124">
        <f t="shared" si="60"/>
        <v>267.08999999999997</v>
      </c>
      <c r="K260" s="121" t="s">
        <v>1</v>
      </c>
      <c r="L260" s="24"/>
      <c r="M260" s="125" t="s">
        <v>1</v>
      </c>
      <c r="N260" s="126" t="s">
        <v>32</v>
      </c>
      <c r="O260" s="127">
        <v>0</v>
      </c>
      <c r="P260" s="127">
        <f t="shared" si="61"/>
        <v>0</v>
      </c>
      <c r="Q260" s="127">
        <v>0</v>
      </c>
      <c r="R260" s="127">
        <f t="shared" si="62"/>
        <v>0</v>
      </c>
      <c r="S260" s="127">
        <v>0</v>
      </c>
      <c r="T260" s="128">
        <f t="shared" si="63"/>
        <v>0</v>
      </c>
      <c r="W260" s="199"/>
      <c r="X260" s="285" t="s">
        <v>515</v>
      </c>
      <c r="Y260" s="119" t="s">
        <v>231</v>
      </c>
      <c r="Z260" s="120" t="s">
        <v>3265</v>
      </c>
      <c r="AA260" s="121" t="s">
        <v>3266</v>
      </c>
      <c r="AB260" s="122" t="s">
        <v>271</v>
      </c>
      <c r="AC260" s="288">
        <v>57.561999999999998</v>
      </c>
      <c r="AD260" s="124">
        <v>4.6399999999999997</v>
      </c>
      <c r="AE260" s="200">
        <f t="shared" si="64"/>
        <v>267.08999999999997</v>
      </c>
      <c r="AF260" s="956"/>
      <c r="AH260" s="130">
        <f t="shared" si="46"/>
        <v>0</v>
      </c>
      <c r="AJ260" s="398"/>
      <c r="AK260" s="409"/>
      <c r="AL260" s="408"/>
      <c r="AM260" s="407"/>
      <c r="AN260" s="407"/>
      <c r="AO260" s="407"/>
      <c r="AP260" s="407"/>
      <c r="AQ260" s="407"/>
      <c r="AR260" s="129" t="s">
        <v>235</v>
      </c>
      <c r="AT260" s="129" t="s">
        <v>231</v>
      </c>
      <c r="AU260" s="129" t="s">
        <v>76</v>
      </c>
      <c r="AY260" s="13" t="s">
        <v>228</v>
      </c>
      <c r="BE260" s="130">
        <f t="shared" si="65"/>
        <v>0</v>
      </c>
      <c r="BF260" s="130">
        <f t="shared" si="66"/>
        <v>267.08999999999997</v>
      </c>
      <c r="BG260" s="130">
        <f t="shared" si="67"/>
        <v>0</v>
      </c>
      <c r="BH260" s="130">
        <f t="shared" si="68"/>
        <v>0</v>
      </c>
      <c r="BI260" s="130">
        <f t="shared" si="69"/>
        <v>0</v>
      </c>
      <c r="BJ260" s="13" t="s">
        <v>76</v>
      </c>
      <c r="BK260" s="130">
        <f t="shared" si="70"/>
        <v>267.08999999999997</v>
      </c>
      <c r="BL260" s="13" t="s">
        <v>235</v>
      </c>
      <c r="BM260" s="129" t="s">
        <v>514</v>
      </c>
    </row>
    <row r="261" spans="2:65" s="417" customFormat="1" ht="24.75" customHeight="1" x14ac:dyDescent="0.2">
      <c r="B261" s="118"/>
      <c r="C261" s="1234" t="s">
        <v>5205</v>
      </c>
      <c r="D261" s="1235"/>
      <c r="E261" s="1235"/>
      <c r="F261" s="1235"/>
      <c r="G261" s="1235"/>
      <c r="H261" s="1235"/>
      <c r="I261" s="1235"/>
      <c r="J261" s="1236"/>
      <c r="K261" s="121"/>
      <c r="L261" s="24"/>
      <c r="M261" s="125"/>
      <c r="N261" s="126"/>
      <c r="O261" s="127"/>
      <c r="P261" s="127"/>
      <c r="Q261" s="127"/>
      <c r="R261" s="127"/>
      <c r="S261" s="127"/>
      <c r="T261" s="128"/>
      <c r="W261" s="199"/>
      <c r="X261" s="341" t="s">
        <v>6077</v>
      </c>
      <c r="Y261" s="341" t="s">
        <v>231</v>
      </c>
      <c r="Z261" s="342" t="s">
        <v>533</v>
      </c>
      <c r="AA261" s="343" t="s">
        <v>534</v>
      </c>
      <c r="AB261" s="344" t="s">
        <v>271</v>
      </c>
      <c r="AC261" s="345">
        <f>212.52+50.415+1.269</f>
        <v>264.20400000000001</v>
      </c>
      <c r="AD261" s="346">
        <v>2.3199999999999998</v>
      </c>
      <c r="AE261" s="355">
        <f>ROUND(AD261*AC261,2)</f>
        <v>612.95000000000005</v>
      </c>
      <c r="AF261" s="956" t="s">
        <v>6426</v>
      </c>
      <c r="AH261" s="440">
        <f t="shared" si="46"/>
        <v>264.20400000000001</v>
      </c>
      <c r="AJ261" s="398"/>
      <c r="AK261" s="409"/>
      <c r="AL261" s="408"/>
      <c r="AM261" s="407"/>
      <c r="AN261" s="407"/>
      <c r="AO261" s="407"/>
      <c r="AP261" s="407"/>
      <c r="AQ261" s="407"/>
      <c r="AR261" s="129"/>
      <c r="AT261" s="129"/>
      <c r="AU261" s="129"/>
      <c r="AY261" s="13"/>
      <c r="BE261" s="130"/>
      <c r="BF261" s="130"/>
      <c r="BG261" s="130"/>
      <c r="BH261" s="130"/>
      <c r="BI261" s="130"/>
      <c r="BJ261" s="13"/>
      <c r="BK261" s="130"/>
      <c r="BL261" s="13"/>
      <c r="BM261" s="129"/>
    </row>
    <row r="262" spans="2:65" s="417" customFormat="1" ht="24.75" customHeight="1" x14ac:dyDescent="0.2">
      <c r="B262" s="118"/>
      <c r="C262" s="1234" t="s">
        <v>5205</v>
      </c>
      <c r="D262" s="1235"/>
      <c r="E262" s="1235"/>
      <c r="F262" s="1235"/>
      <c r="G262" s="1235"/>
      <c r="H262" s="1235"/>
      <c r="I262" s="1235"/>
      <c r="J262" s="1236"/>
      <c r="K262" s="121"/>
      <c r="L262" s="24"/>
      <c r="M262" s="125"/>
      <c r="N262" s="126"/>
      <c r="O262" s="127"/>
      <c r="P262" s="127"/>
      <c r="Q262" s="127"/>
      <c r="R262" s="127"/>
      <c r="S262" s="127"/>
      <c r="T262" s="128"/>
      <c r="W262" s="199"/>
      <c r="X262" s="341" t="s">
        <v>6078</v>
      </c>
      <c r="Y262" s="341" t="s">
        <v>231</v>
      </c>
      <c r="Z262" s="342" t="s">
        <v>537</v>
      </c>
      <c r="AA262" s="343" t="s">
        <v>538</v>
      </c>
      <c r="AB262" s="344" t="s">
        <v>271</v>
      </c>
      <c r="AC262" s="345">
        <f>2125.2+504.15+12.69</f>
        <v>2642.04</v>
      </c>
      <c r="AD262" s="346">
        <v>0.23</v>
      </c>
      <c r="AE262" s="355">
        <f>ROUND(AD262*AC262,2)</f>
        <v>607.66999999999996</v>
      </c>
      <c r="AF262" s="956" t="s">
        <v>6426</v>
      </c>
      <c r="AH262" s="440">
        <f t="shared" si="46"/>
        <v>2642.04</v>
      </c>
      <c r="AJ262" s="398"/>
      <c r="AK262" s="409"/>
      <c r="AL262" s="408"/>
      <c r="AM262" s="407"/>
      <c r="AN262" s="407"/>
      <c r="AO262" s="407"/>
      <c r="AP262" s="407"/>
      <c r="AQ262" s="407"/>
      <c r="AR262" s="129"/>
      <c r="AT262" s="129"/>
      <c r="AU262" s="129"/>
      <c r="AY262" s="13"/>
      <c r="BE262" s="130"/>
      <c r="BF262" s="130"/>
      <c r="BG262" s="130"/>
      <c r="BH262" s="130"/>
      <c r="BI262" s="130"/>
      <c r="BJ262" s="13"/>
      <c r="BK262" s="130"/>
      <c r="BL262" s="13"/>
      <c r="BM262" s="129"/>
    </row>
    <row r="263" spans="2:65" s="417" customFormat="1" ht="24.75" customHeight="1" x14ac:dyDescent="0.2">
      <c r="B263" s="118"/>
      <c r="C263" s="1234" t="s">
        <v>5205</v>
      </c>
      <c r="D263" s="1235"/>
      <c r="E263" s="1235"/>
      <c r="F263" s="1235"/>
      <c r="G263" s="1235"/>
      <c r="H263" s="1235"/>
      <c r="I263" s="1235"/>
      <c r="J263" s="1236"/>
      <c r="K263" s="121"/>
      <c r="L263" s="24"/>
      <c r="M263" s="125"/>
      <c r="N263" s="126"/>
      <c r="O263" s="127"/>
      <c r="P263" s="127"/>
      <c r="Q263" s="127"/>
      <c r="R263" s="127"/>
      <c r="S263" s="127"/>
      <c r="T263" s="128"/>
      <c r="W263" s="199"/>
      <c r="X263" s="341" t="s">
        <v>6079</v>
      </c>
      <c r="Y263" s="341" t="s">
        <v>231</v>
      </c>
      <c r="Z263" s="342" t="s">
        <v>540</v>
      </c>
      <c r="AA263" s="343" t="s">
        <v>541</v>
      </c>
      <c r="AB263" s="344" t="s">
        <v>271</v>
      </c>
      <c r="AC263" s="345">
        <f>212.52+50.415+1.269</f>
        <v>264.20400000000001</v>
      </c>
      <c r="AD263" s="346">
        <v>4.0599999999999996</v>
      </c>
      <c r="AE263" s="355">
        <f>ROUND(AD263*AC263,2)</f>
        <v>1072.67</v>
      </c>
      <c r="AF263" s="956" t="s">
        <v>6426</v>
      </c>
      <c r="AH263" s="440">
        <f t="shared" si="46"/>
        <v>264.20400000000001</v>
      </c>
      <c r="AJ263" s="398"/>
      <c r="AK263" s="409"/>
      <c r="AL263" s="408"/>
      <c r="AM263" s="407"/>
      <c r="AN263" s="407"/>
      <c r="AO263" s="407"/>
      <c r="AP263" s="407"/>
      <c r="AQ263" s="407"/>
      <c r="AR263" s="129"/>
      <c r="AT263" s="129"/>
      <c r="AU263" s="129"/>
      <c r="AY263" s="13"/>
      <c r="BE263" s="130"/>
      <c r="BF263" s="130"/>
      <c r="BG263" s="130"/>
      <c r="BH263" s="130"/>
      <c r="BI263" s="130"/>
      <c r="BJ263" s="13"/>
      <c r="BK263" s="130"/>
      <c r="BL263" s="13"/>
      <c r="BM263" s="129"/>
    </row>
    <row r="264" spans="2:65" s="417" customFormat="1" ht="24.75" customHeight="1" x14ac:dyDescent="0.2">
      <c r="B264" s="118"/>
      <c r="C264" s="1234" t="s">
        <v>5205</v>
      </c>
      <c r="D264" s="1235"/>
      <c r="E264" s="1235"/>
      <c r="F264" s="1235"/>
      <c r="G264" s="1235"/>
      <c r="H264" s="1235"/>
      <c r="I264" s="1235"/>
      <c r="J264" s="1236"/>
      <c r="K264" s="121"/>
      <c r="L264" s="24"/>
      <c r="M264" s="125"/>
      <c r="N264" s="126"/>
      <c r="O264" s="127"/>
      <c r="P264" s="127"/>
      <c r="Q264" s="127"/>
      <c r="R264" s="127"/>
      <c r="S264" s="127"/>
      <c r="T264" s="128"/>
      <c r="W264" s="199"/>
      <c r="X264" s="341" t="s">
        <v>6080</v>
      </c>
      <c r="Y264" s="341" t="s">
        <v>231</v>
      </c>
      <c r="Z264" s="342" t="s">
        <v>544</v>
      </c>
      <c r="AA264" s="343" t="s">
        <v>545</v>
      </c>
      <c r="AB264" s="344" t="s">
        <v>271</v>
      </c>
      <c r="AC264" s="345">
        <f>425.04+100.83+2.538</f>
        <v>528.40800000000002</v>
      </c>
      <c r="AD264" s="346">
        <v>0.41</v>
      </c>
      <c r="AE264" s="355">
        <f>ROUND(AD264*AC264,2)</f>
        <v>216.65</v>
      </c>
      <c r="AF264" s="956" t="s">
        <v>6426</v>
      </c>
      <c r="AH264" s="440">
        <f t="shared" si="46"/>
        <v>528.40800000000002</v>
      </c>
      <c r="AJ264" s="398"/>
      <c r="AK264" s="409"/>
      <c r="AL264" s="408"/>
      <c r="AM264" s="407"/>
      <c r="AN264" s="407"/>
      <c r="AO264" s="407"/>
      <c r="AP264" s="407"/>
      <c r="AQ264" s="407"/>
      <c r="AR264" s="129"/>
      <c r="AT264" s="129"/>
      <c r="AU264" s="129"/>
      <c r="AY264" s="13"/>
      <c r="BE264" s="130"/>
      <c r="BF264" s="130"/>
      <c r="BG264" s="130"/>
      <c r="BH264" s="130"/>
      <c r="BI264" s="130"/>
      <c r="BJ264" s="13"/>
      <c r="BK264" s="130"/>
      <c r="BL264" s="13"/>
      <c r="BM264" s="129"/>
    </row>
    <row r="265" spans="2:65" s="1" customFormat="1" ht="24" customHeight="1" x14ac:dyDescent="0.2">
      <c r="B265" s="118"/>
      <c r="C265" s="205" t="s">
        <v>375</v>
      </c>
      <c r="D265" s="119" t="s">
        <v>231</v>
      </c>
      <c r="E265" s="120" t="s">
        <v>3267</v>
      </c>
      <c r="F265" s="121" t="s">
        <v>3268</v>
      </c>
      <c r="G265" s="122" t="s">
        <v>271</v>
      </c>
      <c r="H265" s="206">
        <v>57.561999999999998</v>
      </c>
      <c r="I265" s="124">
        <v>31.35</v>
      </c>
      <c r="J265" s="124">
        <f t="shared" si="60"/>
        <v>1804.57</v>
      </c>
      <c r="K265" s="121" t="s">
        <v>1</v>
      </c>
      <c r="L265" s="24"/>
      <c r="M265" s="125" t="s">
        <v>1</v>
      </c>
      <c r="N265" s="126" t="s">
        <v>32</v>
      </c>
      <c r="O265" s="127">
        <v>0</v>
      </c>
      <c r="P265" s="127">
        <f t="shared" si="61"/>
        <v>0</v>
      </c>
      <c r="Q265" s="127">
        <v>0</v>
      </c>
      <c r="R265" s="127">
        <f t="shared" si="62"/>
        <v>0</v>
      </c>
      <c r="S265" s="127">
        <v>0</v>
      </c>
      <c r="T265" s="128">
        <f t="shared" si="63"/>
        <v>0</v>
      </c>
      <c r="W265" s="199"/>
      <c r="X265" s="205" t="s">
        <v>375</v>
      </c>
      <c r="Y265" s="119" t="s">
        <v>231</v>
      </c>
      <c r="Z265" s="120" t="s">
        <v>3267</v>
      </c>
      <c r="AA265" s="121" t="s">
        <v>3268</v>
      </c>
      <c r="AB265" s="122" t="s">
        <v>271</v>
      </c>
      <c r="AC265" s="206">
        <f>57.562+212.52+50.415+1.269</f>
        <v>321.76600000000002</v>
      </c>
      <c r="AD265" s="124">
        <v>31.35</v>
      </c>
      <c r="AE265" s="200">
        <f t="shared" si="64"/>
        <v>10087.36</v>
      </c>
      <c r="AF265" s="956" t="s">
        <v>6426</v>
      </c>
      <c r="AH265" s="440">
        <f t="shared" si="46"/>
        <v>264.20400000000001</v>
      </c>
      <c r="AJ265" s="398"/>
      <c r="AK265" s="409"/>
      <c r="AL265" s="408"/>
      <c r="AM265" s="407"/>
      <c r="AN265" s="407"/>
      <c r="AO265" s="407"/>
      <c r="AP265" s="407"/>
      <c r="AQ265" s="407"/>
      <c r="AR265" s="129" t="s">
        <v>235</v>
      </c>
      <c r="AT265" s="129" t="s">
        <v>231</v>
      </c>
      <c r="AU265" s="129" t="s">
        <v>76</v>
      </c>
      <c r="AY265" s="13" t="s">
        <v>228</v>
      </c>
      <c r="BE265" s="130">
        <f t="shared" si="65"/>
        <v>0</v>
      </c>
      <c r="BF265" s="130">
        <f t="shared" si="66"/>
        <v>1804.57</v>
      </c>
      <c r="BG265" s="130">
        <f t="shared" si="67"/>
        <v>0</v>
      </c>
      <c r="BH265" s="130">
        <f t="shared" si="68"/>
        <v>0</v>
      </c>
      <c r="BI265" s="130">
        <f t="shared" si="69"/>
        <v>0</v>
      </c>
      <c r="BJ265" s="13" t="s">
        <v>76</v>
      </c>
      <c r="BK265" s="130">
        <f t="shared" si="70"/>
        <v>1804.57</v>
      </c>
      <c r="BL265" s="13" t="s">
        <v>235</v>
      </c>
      <c r="BM265" s="129" t="s">
        <v>518</v>
      </c>
    </row>
    <row r="266" spans="2:65" s="11" customFormat="1" ht="22.95" customHeight="1" x14ac:dyDescent="0.25">
      <c r="B266" s="106"/>
      <c r="D266" s="107" t="s">
        <v>57</v>
      </c>
      <c r="E266" s="116" t="s">
        <v>595</v>
      </c>
      <c r="F266" s="116" t="s">
        <v>3269</v>
      </c>
      <c r="J266" s="117">
        <f>BK266</f>
        <v>15128.62</v>
      </c>
      <c r="L266" s="106"/>
      <c r="M266" s="110"/>
      <c r="N266" s="111"/>
      <c r="O266" s="111"/>
      <c r="P266" s="112">
        <f>P267</f>
        <v>0</v>
      </c>
      <c r="Q266" s="111"/>
      <c r="R266" s="112">
        <f>R267</f>
        <v>0</v>
      </c>
      <c r="S266" s="111"/>
      <c r="T266" s="113">
        <f>T267</f>
        <v>0</v>
      </c>
      <c r="W266" s="195"/>
      <c r="X266" s="111"/>
      <c r="Y266" s="196" t="s">
        <v>57</v>
      </c>
      <c r="Z266" s="201" t="s">
        <v>595</v>
      </c>
      <c r="AA266" s="201" t="s">
        <v>3269</v>
      </c>
      <c r="AB266" s="111"/>
      <c r="AC266" s="111"/>
      <c r="AD266" s="111"/>
      <c r="AE266" s="202">
        <f>SUM(AE267)</f>
        <v>21413.54</v>
      </c>
      <c r="AF266" s="956"/>
      <c r="AH266" s="130">
        <f t="shared" si="46"/>
        <v>0</v>
      </c>
      <c r="AJ266" s="398">
        <f t="shared" si="47"/>
        <v>0</v>
      </c>
      <c r="AK266" s="409"/>
      <c r="AL266" s="408"/>
      <c r="AM266" s="292"/>
      <c r="AN266" s="407"/>
      <c r="AO266" s="292"/>
      <c r="AP266" s="292"/>
      <c r="AQ266" s="292"/>
      <c r="AR266" s="107" t="s">
        <v>63</v>
      </c>
      <c r="AT266" s="114" t="s">
        <v>57</v>
      </c>
      <c r="AU266" s="114" t="s">
        <v>63</v>
      </c>
      <c r="AY266" s="107" t="s">
        <v>228</v>
      </c>
      <c r="BK266" s="115">
        <f>BK267</f>
        <v>15128.62</v>
      </c>
    </row>
    <row r="267" spans="2:65" s="1" customFormat="1" ht="24" customHeight="1" x14ac:dyDescent="0.2">
      <c r="B267" s="118"/>
      <c r="C267" s="205" t="s">
        <v>522</v>
      </c>
      <c r="D267" s="119" t="s">
        <v>231</v>
      </c>
      <c r="E267" s="120" t="s">
        <v>3270</v>
      </c>
      <c r="F267" s="121" t="s">
        <v>3271</v>
      </c>
      <c r="G267" s="122" t="s">
        <v>271</v>
      </c>
      <c r="H267" s="206">
        <v>1628.4839999999999</v>
      </c>
      <c r="I267" s="124">
        <v>9.2899999999999991</v>
      </c>
      <c r="J267" s="124">
        <f>ROUND(I267*H267,2)</f>
        <v>15128.62</v>
      </c>
      <c r="K267" s="121" t="s">
        <v>1</v>
      </c>
      <c r="L267" s="24"/>
      <c r="M267" s="125" t="s">
        <v>1</v>
      </c>
      <c r="N267" s="126" t="s">
        <v>32</v>
      </c>
      <c r="O267" s="127">
        <v>0</v>
      </c>
      <c r="P267" s="127">
        <f>O267*H267</f>
        <v>0</v>
      </c>
      <c r="Q267" s="127">
        <v>0</v>
      </c>
      <c r="R267" s="127">
        <f>Q267*H267</f>
        <v>0</v>
      </c>
      <c r="S267" s="127">
        <v>0</v>
      </c>
      <c r="T267" s="128">
        <f>S267*H267</f>
        <v>0</v>
      </c>
      <c r="W267" s="199"/>
      <c r="X267" s="205" t="s">
        <v>522</v>
      </c>
      <c r="Y267" s="119" t="s">
        <v>231</v>
      </c>
      <c r="Z267" s="120" t="s">
        <v>3270</v>
      </c>
      <c r="AA267" s="121" t="s">
        <v>3271</v>
      </c>
      <c r="AB267" s="122" t="s">
        <v>271</v>
      </c>
      <c r="AC267" s="206">
        <f>H267+676.526</f>
        <v>2305.0099999999998</v>
      </c>
      <c r="AD267" s="124">
        <v>9.2899999999999991</v>
      </c>
      <c r="AE267" s="200">
        <f>ROUND(AD267*AC267,2)</f>
        <v>21413.54</v>
      </c>
      <c r="AF267" s="956">
        <v>1</v>
      </c>
      <c r="AH267" s="130">
        <f t="shared" si="46"/>
        <v>676.52599999999984</v>
      </c>
      <c r="AJ267" s="398">
        <f t="shared" si="47"/>
        <v>6284.9265399999977</v>
      </c>
      <c r="AK267" s="409"/>
      <c r="AL267" s="408"/>
      <c r="AM267" s="407"/>
      <c r="AN267" s="407"/>
      <c r="AO267" s="407"/>
      <c r="AP267" s="407"/>
      <c r="AQ267" s="407"/>
      <c r="AR267" s="129" t="s">
        <v>235</v>
      </c>
      <c r="AT267" s="129" t="s">
        <v>231</v>
      </c>
      <c r="AU267" s="129" t="s">
        <v>76</v>
      </c>
      <c r="AY267" s="13" t="s">
        <v>228</v>
      </c>
      <c r="BE267" s="130">
        <f>IF(N267="základná",J267,0)</f>
        <v>0</v>
      </c>
      <c r="BF267" s="130">
        <f>IF(N267="znížená",J267,0)</f>
        <v>15128.62</v>
      </c>
      <c r="BG267" s="130">
        <f>IF(N267="zákl. prenesená",J267,0)</f>
        <v>0</v>
      </c>
      <c r="BH267" s="130">
        <f>IF(N267="zníž. prenesená",J267,0)</f>
        <v>0</v>
      </c>
      <c r="BI267" s="130">
        <f>IF(N267="nulová",J267,0)</f>
        <v>0</v>
      </c>
      <c r="BJ267" s="13" t="s">
        <v>76</v>
      </c>
      <c r="BK267" s="130">
        <f>ROUND(I267*H267,2)</f>
        <v>15128.62</v>
      </c>
      <c r="BL267" s="13" t="s">
        <v>235</v>
      </c>
      <c r="BM267" s="129" t="s">
        <v>521</v>
      </c>
    </row>
    <row r="268" spans="2:65" s="11" customFormat="1" ht="25.95" customHeight="1" x14ac:dyDescent="0.25">
      <c r="B268" s="106"/>
      <c r="D268" s="107" t="s">
        <v>57</v>
      </c>
      <c r="E268" s="108" t="s">
        <v>556</v>
      </c>
      <c r="F268" s="108" t="s">
        <v>3272</v>
      </c>
      <c r="J268" s="109">
        <f>BK268</f>
        <v>149438</v>
      </c>
      <c r="L268" s="106"/>
      <c r="M268" s="110"/>
      <c r="N268" s="111"/>
      <c r="O268" s="111"/>
      <c r="P268" s="112">
        <f>P269+P284+P293+P308+P316+P353+P372+P376+P380+P383+P387</f>
        <v>0</v>
      </c>
      <c r="Q268" s="111"/>
      <c r="R268" s="112">
        <f>R269+R284+R293+R308+R316+R353+R372+R376+R380+R383+R387</f>
        <v>0</v>
      </c>
      <c r="S268" s="111"/>
      <c r="T268" s="113">
        <f>T269+T284+T293+T308+T316+T353+T372+T376+T380+T383+T387</f>
        <v>0</v>
      </c>
      <c r="W268" s="195"/>
      <c r="X268" s="111"/>
      <c r="Y268" s="196" t="s">
        <v>57</v>
      </c>
      <c r="Z268" s="197" t="s">
        <v>556</v>
      </c>
      <c r="AA268" s="197" t="s">
        <v>3272</v>
      </c>
      <c r="AB268" s="111"/>
      <c r="AC268" s="111"/>
      <c r="AD268" s="111"/>
      <c r="AE268" s="198">
        <f>AE269+AE284+AE293+AE304+AE308+AE316+AE340+AE353+AE372+AE376+AE380+AE383+AE387+AE389</f>
        <v>173954.74</v>
      </c>
      <c r="AF268" s="956"/>
      <c r="AH268" s="130">
        <f t="shared" si="46"/>
        <v>0</v>
      </c>
      <c r="AJ268" s="398">
        <f t="shared" si="47"/>
        <v>0</v>
      </c>
      <c r="AK268" s="409"/>
      <c r="AL268" s="408"/>
      <c r="AM268" s="292"/>
      <c r="AN268" s="407"/>
      <c r="AO268" s="292"/>
      <c r="AP268" s="292"/>
      <c r="AQ268" s="292"/>
      <c r="AR268" s="107" t="s">
        <v>63</v>
      </c>
      <c r="AT268" s="114" t="s">
        <v>57</v>
      </c>
      <c r="AU268" s="114" t="s">
        <v>58</v>
      </c>
      <c r="AY268" s="107" t="s">
        <v>228</v>
      </c>
      <c r="BK268" s="115">
        <f>BK269+BK284+BK293+BK308+BK316+BK353+BK372+BK376+BK380+BK383+BK387</f>
        <v>149438</v>
      </c>
    </row>
    <row r="269" spans="2:65" s="11" customFormat="1" ht="22.95" customHeight="1" x14ac:dyDescent="0.25">
      <c r="B269" s="106"/>
      <c r="D269" s="107" t="s">
        <v>57</v>
      </c>
      <c r="E269" s="116" t="s">
        <v>558</v>
      </c>
      <c r="F269" s="116" t="s">
        <v>559</v>
      </c>
      <c r="J269" s="117">
        <f>BK269</f>
        <v>14528.769999999999</v>
      </c>
      <c r="L269" s="106"/>
      <c r="M269" s="110"/>
      <c r="N269" s="111"/>
      <c r="O269" s="111"/>
      <c r="P269" s="112">
        <f>SUM(P270:P283)</f>
        <v>0</v>
      </c>
      <c r="Q269" s="111"/>
      <c r="R269" s="112">
        <f>SUM(R270:R283)</f>
        <v>0</v>
      </c>
      <c r="S269" s="111"/>
      <c r="T269" s="113">
        <f>SUM(T270:T283)</f>
        <v>0</v>
      </c>
      <c r="W269" s="195"/>
      <c r="X269" s="111"/>
      <c r="Y269" s="196" t="s">
        <v>57</v>
      </c>
      <c r="Z269" s="201" t="s">
        <v>558</v>
      </c>
      <c r="AA269" s="201" t="s">
        <v>559</v>
      </c>
      <c r="AB269" s="111"/>
      <c r="AC269" s="111"/>
      <c r="AD269" s="111"/>
      <c r="AE269" s="202">
        <f>SUM(AE270:AE283)</f>
        <v>21664.829999999998</v>
      </c>
      <c r="AF269" s="956"/>
      <c r="AH269" s="130">
        <f t="shared" si="46"/>
        <v>0</v>
      </c>
      <c r="AJ269" s="398">
        <f t="shared" si="47"/>
        <v>0</v>
      </c>
      <c r="AK269" s="409"/>
      <c r="AL269" s="408"/>
      <c r="AM269" s="292"/>
      <c r="AN269" s="407"/>
      <c r="AO269" s="292"/>
      <c r="AP269" s="292"/>
      <c r="AQ269" s="292"/>
      <c r="AR269" s="107" t="s">
        <v>63</v>
      </c>
      <c r="AT269" s="114" t="s">
        <v>57</v>
      </c>
      <c r="AU269" s="114" t="s">
        <v>63</v>
      </c>
      <c r="AY269" s="107" t="s">
        <v>228</v>
      </c>
      <c r="BK269" s="115">
        <f>SUM(BK270:BK283)</f>
        <v>14528.769999999999</v>
      </c>
    </row>
    <row r="270" spans="2:65" s="1" customFormat="1" ht="24" customHeight="1" x14ac:dyDescent="0.2">
      <c r="B270" s="118"/>
      <c r="C270" s="205" t="s">
        <v>379</v>
      </c>
      <c r="D270" s="119" t="s">
        <v>231</v>
      </c>
      <c r="E270" s="120" t="s">
        <v>3273</v>
      </c>
      <c r="F270" s="121" t="s">
        <v>3274</v>
      </c>
      <c r="G270" s="122" t="s">
        <v>284</v>
      </c>
      <c r="H270" s="206">
        <v>389.44299999999998</v>
      </c>
      <c r="I270" s="124">
        <v>1.39</v>
      </c>
      <c r="J270" s="124">
        <f t="shared" ref="J270:J283" si="71">ROUND(I270*H270,2)</f>
        <v>541.33000000000004</v>
      </c>
      <c r="K270" s="121" t="s">
        <v>1</v>
      </c>
      <c r="L270" s="24"/>
      <c r="M270" s="125" t="s">
        <v>1</v>
      </c>
      <c r="N270" s="126" t="s">
        <v>32</v>
      </c>
      <c r="O270" s="127">
        <v>0</v>
      </c>
      <c r="P270" s="127">
        <f t="shared" ref="P270:P283" si="72">O270*H270</f>
        <v>0</v>
      </c>
      <c r="Q270" s="127">
        <v>0</v>
      </c>
      <c r="R270" s="127">
        <f t="shared" ref="R270:R283" si="73">Q270*H270</f>
        <v>0</v>
      </c>
      <c r="S270" s="127">
        <v>0</v>
      </c>
      <c r="T270" s="128">
        <f t="shared" ref="T270:T283" si="74">S270*H270</f>
        <v>0</v>
      </c>
      <c r="W270" s="199"/>
      <c r="X270" s="205" t="s">
        <v>379</v>
      </c>
      <c r="Y270" s="119" t="s">
        <v>231</v>
      </c>
      <c r="Z270" s="120" t="s">
        <v>3273</v>
      </c>
      <c r="AA270" s="121" t="s">
        <v>3274</v>
      </c>
      <c r="AB270" s="122" t="s">
        <v>284</v>
      </c>
      <c r="AC270" s="206">
        <v>673.65300000000002</v>
      </c>
      <c r="AD270" s="124">
        <v>1.39</v>
      </c>
      <c r="AE270" s="200">
        <f t="shared" ref="AE270:AE283" si="75">ROUND(AD270*AC270,2)</f>
        <v>936.38</v>
      </c>
      <c r="AF270" s="956">
        <v>1</v>
      </c>
      <c r="AH270" s="130">
        <f t="shared" si="46"/>
        <v>284.21000000000004</v>
      </c>
      <c r="AJ270" s="398">
        <f t="shared" si="47"/>
        <v>395.05190000000005</v>
      </c>
      <c r="AK270" s="409"/>
      <c r="AL270" s="408"/>
      <c r="AM270" s="407"/>
      <c r="AN270" s="407"/>
      <c r="AO270" s="407"/>
      <c r="AP270" s="407"/>
      <c r="AQ270" s="407"/>
      <c r="AR270" s="129" t="s">
        <v>235</v>
      </c>
      <c r="AT270" s="129" t="s">
        <v>231</v>
      </c>
      <c r="AU270" s="129" t="s">
        <v>76</v>
      </c>
      <c r="AY270" s="13" t="s">
        <v>228</v>
      </c>
      <c r="BE270" s="130">
        <f t="shared" ref="BE270:BE283" si="76">IF(N270="základná",J270,0)</f>
        <v>0</v>
      </c>
      <c r="BF270" s="130">
        <f t="shared" ref="BF270:BF283" si="77">IF(N270="znížená",J270,0)</f>
        <v>541.33000000000004</v>
      </c>
      <c r="BG270" s="130">
        <f t="shared" ref="BG270:BG283" si="78">IF(N270="zákl. prenesená",J270,0)</f>
        <v>0</v>
      </c>
      <c r="BH270" s="130">
        <f t="shared" ref="BH270:BH283" si="79">IF(N270="zníž. prenesená",J270,0)</f>
        <v>0</v>
      </c>
      <c r="BI270" s="130">
        <f t="shared" ref="BI270:BI283" si="80">IF(N270="nulová",J270,0)</f>
        <v>0</v>
      </c>
      <c r="BJ270" s="13" t="s">
        <v>76</v>
      </c>
      <c r="BK270" s="130">
        <f t="shared" ref="BK270:BK283" si="81">ROUND(I270*H270,2)</f>
        <v>541.33000000000004</v>
      </c>
      <c r="BL270" s="13" t="s">
        <v>235</v>
      </c>
      <c r="BM270" s="129" t="s">
        <v>525</v>
      </c>
    </row>
    <row r="271" spans="2:65" s="1" customFormat="1" ht="16.5" customHeight="1" x14ac:dyDescent="0.2">
      <c r="B271" s="118"/>
      <c r="C271" s="242" t="s">
        <v>529</v>
      </c>
      <c r="D271" s="131" t="s">
        <v>277</v>
      </c>
      <c r="E271" s="132" t="s">
        <v>3275</v>
      </c>
      <c r="F271" s="133" t="s">
        <v>3276</v>
      </c>
      <c r="G271" s="134" t="s">
        <v>271</v>
      </c>
      <c r="H271" s="241">
        <v>0.11700000000000001</v>
      </c>
      <c r="I271" s="136">
        <v>1161</v>
      </c>
      <c r="J271" s="136">
        <f t="shared" si="71"/>
        <v>135.84</v>
      </c>
      <c r="K271" s="133" t="s">
        <v>1</v>
      </c>
      <c r="L271" s="137"/>
      <c r="M271" s="138" t="s">
        <v>1</v>
      </c>
      <c r="N271" s="139" t="s">
        <v>32</v>
      </c>
      <c r="O271" s="127">
        <v>0</v>
      </c>
      <c r="P271" s="127">
        <f t="shared" si="72"/>
        <v>0</v>
      </c>
      <c r="Q271" s="127">
        <v>0</v>
      </c>
      <c r="R271" s="127">
        <f t="shared" si="73"/>
        <v>0</v>
      </c>
      <c r="S271" s="127">
        <v>0</v>
      </c>
      <c r="T271" s="128">
        <f t="shared" si="74"/>
        <v>0</v>
      </c>
      <c r="W271" s="199"/>
      <c r="X271" s="242" t="s">
        <v>529</v>
      </c>
      <c r="Y271" s="131" t="s">
        <v>277</v>
      </c>
      <c r="Z271" s="132" t="s">
        <v>3275</v>
      </c>
      <c r="AA271" s="133" t="s">
        <v>3276</v>
      </c>
      <c r="AB271" s="134" t="s">
        <v>271</v>
      </c>
      <c r="AC271" s="241">
        <v>0.20200000000000001</v>
      </c>
      <c r="AD271" s="136">
        <v>1161</v>
      </c>
      <c r="AE271" s="229">
        <f t="shared" si="75"/>
        <v>234.52</v>
      </c>
      <c r="AF271" s="956">
        <v>1</v>
      </c>
      <c r="AH271" s="130">
        <f t="shared" si="46"/>
        <v>8.5000000000000006E-2</v>
      </c>
      <c r="AJ271" s="398">
        <f t="shared" si="47"/>
        <v>98.685000000000002</v>
      </c>
      <c r="AK271" s="409"/>
      <c r="AL271" s="408"/>
      <c r="AM271" s="407"/>
      <c r="AN271" s="407"/>
      <c r="AO271" s="407"/>
      <c r="AP271" s="407"/>
      <c r="AQ271" s="407"/>
      <c r="AR271" s="129" t="s">
        <v>244</v>
      </c>
      <c r="AT271" s="129" t="s">
        <v>277</v>
      </c>
      <c r="AU271" s="129" t="s">
        <v>76</v>
      </c>
      <c r="AY271" s="13" t="s">
        <v>228</v>
      </c>
      <c r="BE271" s="130">
        <f t="shared" si="76"/>
        <v>0</v>
      </c>
      <c r="BF271" s="130">
        <f t="shared" si="77"/>
        <v>135.84</v>
      </c>
      <c r="BG271" s="130">
        <f t="shared" si="78"/>
        <v>0</v>
      </c>
      <c r="BH271" s="130">
        <f t="shared" si="79"/>
        <v>0</v>
      </c>
      <c r="BI271" s="130">
        <f t="shared" si="80"/>
        <v>0</v>
      </c>
      <c r="BJ271" s="13" t="s">
        <v>76</v>
      </c>
      <c r="BK271" s="130">
        <f t="shared" si="81"/>
        <v>135.84</v>
      </c>
      <c r="BL271" s="13" t="s">
        <v>235</v>
      </c>
      <c r="BM271" s="129" t="s">
        <v>528</v>
      </c>
    </row>
    <row r="272" spans="2:65" s="1" customFormat="1" ht="24" customHeight="1" x14ac:dyDescent="0.2">
      <c r="B272" s="118"/>
      <c r="C272" s="285" t="s">
        <v>382</v>
      </c>
      <c r="D272" s="285" t="s">
        <v>231</v>
      </c>
      <c r="E272" s="286" t="s">
        <v>3277</v>
      </c>
      <c r="F272" s="240" t="s">
        <v>3278</v>
      </c>
      <c r="G272" s="287" t="s">
        <v>284</v>
      </c>
      <c r="H272" s="288">
        <v>193.87</v>
      </c>
      <c r="I272" s="289">
        <v>10.45</v>
      </c>
      <c r="J272" s="289">
        <f t="shared" si="71"/>
        <v>2025.94</v>
      </c>
      <c r="K272" s="240" t="s">
        <v>1</v>
      </c>
      <c r="L272" s="447"/>
      <c r="M272" s="448" t="s">
        <v>1</v>
      </c>
      <c r="N272" s="449" t="s">
        <v>32</v>
      </c>
      <c r="O272" s="450">
        <v>0</v>
      </c>
      <c r="P272" s="450">
        <f t="shared" si="72"/>
        <v>0</v>
      </c>
      <c r="Q272" s="450">
        <v>0</v>
      </c>
      <c r="R272" s="450">
        <f t="shared" si="73"/>
        <v>0</v>
      </c>
      <c r="S272" s="450">
        <v>0</v>
      </c>
      <c r="T272" s="451">
        <f t="shared" si="74"/>
        <v>0</v>
      </c>
      <c r="U272" s="407"/>
      <c r="V272" s="407"/>
      <c r="W272" s="452"/>
      <c r="X272" s="285" t="s">
        <v>382</v>
      </c>
      <c r="Y272" s="285" t="s">
        <v>231</v>
      </c>
      <c r="Z272" s="286" t="s">
        <v>3277</v>
      </c>
      <c r="AA272" s="240" t="s">
        <v>3278</v>
      </c>
      <c r="AB272" s="287" t="s">
        <v>284</v>
      </c>
      <c r="AC272" s="288">
        <v>193.87</v>
      </c>
      <c r="AD272" s="289">
        <v>10.45</v>
      </c>
      <c r="AE272" s="290">
        <f t="shared" si="75"/>
        <v>2025.94</v>
      </c>
      <c r="AF272" s="956"/>
      <c r="AH272" s="130">
        <f t="shared" si="46"/>
        <v>0</v>
      </c>
      <c r="AJ272" s="398">
        <f t="shared" si="47"/>
        <v>0</v>
      </c>
      <c r="AK272" s="409"/>
      <c r="AL272" s="408"/>
      <c r="AM272" s="407"/>
      <c r="AN272" s="407"/>
      <c r="AO272" s="407"/>
      <c r="AP272" s="407"/>
      <c r="AQ272" s="407"/>
      <c r="AR272" s="129" t="s">
        <v>235</v>
      </c>
      <c r="AT272" s="129" t="s">
        <v>231</v>
      </c>
      <c r="AU272" s="129" t="s">
        <v>76</v>
      </c>
      <c r="AY272" s="13" t="s">
        <v>228</v>
      </c>
      <c r="BE272" s="130">
        <f t="shared" si="76"/>
        <v>0</v>
      </c>
      <c r="BF272" s="130">
        <f t="shared" si="77"/>
        <v>2025.94</v>
      </c>
      <c r="BG272" s="130">
        <f t="shared" si="78"/>
        <v>0</v>
      </c>
      <c r="BH272" s="130">
        <f t="shared" si="79"/>
        <v>0</v>
      </c>
      <c r="BI272" s="130">
        <f t="shared" si="80"/>
        <v>0</v>
      </c>
      <c r="BJ272" s="13" t="s">
        <v>76</v>
      </c>
      <c r="BK272" s="130">
        <f t="shared" si="81"/>
        <v>2025.94</v>
      </c>
      <c r="BL272" s="13" t="s">
        <v>235</v>
      </c>
      <c r="BM272" s="129" t="s">
        <v>532</v>
      </c>
    </row>
    <row r="273" spans="2:65" s="1" customFormat="1" ht="24" customHeight="1" x14ac:dyDescent="0.2">
      <c r="B273" s="118"/>
      <c r="C273" s="205" t="s">
        <v>536</v>
      </c>
      <c r="D273" s="119" t="s">
        <v>231</v>
      </c>
      <c r="E273" s="120" t="s">
        <v>3279</v>
      </c>
      <c r="F273" s="121" t="s">
        <v>3280</v>
      </c>
      <c r="G273" s="122" t="s">
        <v>284</v>
      </c>
      <c r="H273" s="206">
        <v>428.26</v>
      </c>
      <c r="I273" s="124">
        <v>0.93</v>
      </c>
      <c r="J273" s="124">
        <f t="shared" si="71"/>
        <v>398.28</v>
      </c>
      <c r="K273" s="121" t="s">
        <v>1</v>
      </c>
      <c r="L273" s="24"/>
      <c r="M273" s="125" t="s">
        <v>1</v>
      </c>
      <c r="N273" s="126" t="s">
        <v>32</v>
      </c>
      <c r="O273" s="127">
        <v>0</v>
      </c>
      <c r="P273" s="127">
        <f t="shared" si="72"/>
        <v>0</v>
      </c>
      <c r="Q273" s="127">
        <v>0</v>
      </c>
      <c r="R273" s="127">
        <f t="shared" si="73"/>
        <v>0</v>
      </c>
      <c r="S273" s="127">
        <v>0</v>
      </c>
      <c r="T273" s="128">
        <f t="shared" si="74"/>
        <v>0</v>
      </c>
      <c r="W273" s="199"/>
      <c r="X273" s="205" t="s">
        <v>536</v>
      </c>
      <c r="Y273" s="119" t="s">
        <v>231</v>
      </c>
      <c r="Z273" s="120" t="s">
        <v>3279</v>
      </c>
      <c r="AA273" s="121" t="s">
        <v>3280</v>
      </c>
      <c r="AB273" s="122" t="s">
        <v>284</v>
      </c>
      <c r="AC273" s="206">
        <v>590.88</v>
      </c>
      <c r="AD273" s="124">
        <v>0.93</v>
      </c>
      <c r="AE273" s="200">
        <f t="shared" si="75"/>
        <v>549.52</v>
      </c>
      <c r="AF273" s="956">
        <v>1</v>
      </c>
      <c r="AH273" s="130">
        <f t="shared" si="46"/>
        <v>162.62</v>
      </c>
      <c r="AJ273" s="398">
        <f t="shared" si="47"/>
        <v>151.23660000000001</v>
      </c>
      <c r="AK273" s="409"/>
      <c r="AL273" s="408"/>
      <c r="AM273" s="407"/>
      <c r="AN273" s="407"/>
      <c r="AO273" s="407"/>
      <c r="AP273" s="407"/>
      <c r="AQ273" s="407"/>
      <c r="AR273" s="129" t="s">
        <v>235</v>
      </c>
      <c r="AT273" s="129" t="s">
        <v>231</v>
      </c>
      <c r="AU273" s="129" t="s">
        <v>76</v>
      </c>
      <c r="AY273" s="13" t="s">
        <v>228</v>
      </c>
      <c r="BE273" s="130">
        <f t="shared" si="76"/>
        <v>0</v>
      </c>
      <c r="BF273" s="130">
        <f t="shared" si="77"/>
        <v>398.28</v>
      </c>
      <c r="BG273" s="130">
        <f t="shared" si="78"/>
        <v>0</v>
      </c>
      <c r="BH273" s="130">
        <f t="shared" si="79"/>
        <v>0</v>
      </c>
      <c r="BI273" s="130">
        <f t="shared" si="80"/>
        <v>0</v>
      </c>
      <c r="BJ273" s="13" t="s">
        <v>76</v>
      </c>
      <c r="BK273" s="130">
        <f t="shared" si="81"/>
        <v>398.28</v>
      </c>
      <c r="BL273" s="13" t="s">
        <v>235</v>
      </c>
      <c r="BM273" s="129" t="s">
        <v>535</v>
      </c>
    </row>
    <row r="274" spans="2:65" s="1" customFormat="1" ht="16.5" customHeight="1" x14ac:dyDescent="0.2">
      <c r="B274" s="118"/>
      <c r="C274" s="242" t="s">
        <v>386</v>
      </c>
      <c r="D274" s="131" t="s">
        <v>277</v>
      </c>
      <c r="E274" s="132" t="s">
        <v>3281</v>
      </c>
      <c r="F274" s="133" t="s">
        <v>3282</v>
      </c>
      <c r="G274" s="134" t="s">
        <v>284</v>
      </c>
      <c r="H274" s="241">
        <v>492.49900000000002</v>
      </c>
      <c r="I274" s="136">
        <v>0.81</v>
      </c>
      <c r="J274" s="136">
        <f t="shared" si="71"/>
        <v>398.92</v>
      </c>
      <c r="K274" s="133" t="s">
        <v>1</v>
      </c>
      <c r="L274" s="137"/>
      <c r="M274" s="138" t="s">
        <v>1</v>
      </c>
      <c r="N274" s="139" t="s">
        <v>32</v>
      </c>
      <c r="O274" s="127">
        <v>0</v>
      </c>
      <c r="P274" s="127">
        <f t="shared" si="72"/>
        <v>0</v>
      </c>
      <c r="Q274" s="127">
        <v>0</v>
      </c>
      <c r="R274" s="127">
        <f t="shared" si="73"/>
        <v>0</v>
      </c>
      <c r="S274" s="127">
        <v>0</v>
      </c>
      <c r="T274" s="128">
        <f t="shared" si="74"/>
        <v>0</v>
      </c>
      <c r="W274" s="199"/>
      <c r="X274" s="242" t="s">
        <v>386</v>
      </c>
      <c r="Y274" s="131" t="s">
        <v>277</v>
      </c>
      <c r="Z274" s="132" t="s">
        <v>3281</v>
      </c>
      <c r="AA274" s="133" t="s">
        <v>3282</v>
      </c>
      <c r="AB274" s="134" t="s">
        <v>284</v>
      </c>
      <c r="AC274" s="241">
        <v>679.51199999999994</v>
      </c>
      <c r="AD274" s="136">
        <v>0.81</v>
      </c>
      <c r="AE274" s="229">
        <f t="shared" si="75"/>
        <v>550.4</v>
      </c>
      <c r="AF274" s="956">
        <v>1</v>
      </c>
      <c r="AH274" s="130">
        <f t="shared" si="46"/>
        <v>187.01299999999992</v>
      </c>
      <c r="AJ274" s="398">
        <f t="shared" si="47"/>
        <v>151.48052999999996</v>
      </c>
      <c r="AK274" s="409"/>
      <c r="AL274" s="408"/>
      <c r="AM274" s="407"/>
      <c r="AN274" s="407"/>
      <c r="AO274" s="407"/>
      <c r="AP274" s="407"/>
      <c r="AQ274" s="407"/>
      <c r="AR274" s="129" t="s">
        <v>244</v>
      </c>
      <c r="AT274" s="129" t="s">
        <v>277</v>
      </c>
      <c r="AU274" s="129" t="s">
        <v>76</v>
      </c>
      <c r="AY274" s="13" t="s">
        <v>228</v>
      </c>
      <c r="BE274" s="130">
        <f t="shared" si="76"/>
        <v>0</v>
      </c>
      <c r="BF274" s="130">
        <f t="shared" si="77"/>
        <v>398.92</v>
      </c>
      <c r="BG274" s="130">
        <f t="shared" si="78"/>
        <v>0</v>
      </c>
      <c r="BH274" s="130">
        <f t="shared" si="79"/>
        <v>0</v>
      </c>
      <c r="BI274" s="130">
        <f t="shared" si="80"/>
        <v>0</v>
      </c>
      <c r="BJ274" s="13" t="s">
        <v>76</v>
      </c>
      <c r="BK274" s="130">
        <f t="shared" si="81"/>
        <v>398.92</v>
      </c>
      <c r="BL274" s="13" t="s">
        <v>235</v>
      </c>
      <c r="BM274" s="129" t="s">
        <v>539</v>
      </c>
    </row>
    <row r="275" spans="2:65" s="518" customFormat="1" ht="23.55" customHeight="1" x14ac:dyDescent="0.2">
      <c r="B275" s="118"/>
      <c r="C275" s="1234" t="s">
        <v>5205</v>
      </c>
      <c r="D275" s="1235"/>
      <c r="E275" s="1235"/>
      <c r="F275" s="1235"/>
      <c r="G275" s="1235"/>
      <c r="H275" s="1235"/>
      <c r="I275" s="1235"/>
      <c r="J275" s="1236"/>
      <c r="K275" s="133"/>
      <c r="L275" s="137"/>
      <c r="M275" s="138"/>
      <c r="N275" s="139"/>
      <c r="O275" s="127"/>
      <c r="P275" s="127"/>
      <c r="Q275" s="127"/>
      <c r="R275" s="127"/>
      <c r="S275" s="127"/>
      <c r="T275" s="128"/>
      <c r="W275" s="199"/>
      <c r="X275" s="341" t="s">
        <v>6170</v>
      </c>
      <c r="Y275" s="341"/>
      <c r="Z275" s="342" t="s">
        <v>6166</v>
      </c>
      <c r="AA275" s="343" t="s">
        <v>6167</v>
      </c>
      <c r="AB275" s="344" t="s">
        <v>284</v>
      </c>
      <c r="AC275" s="345">
        <v>193.87</v>
      </c>
      <c r="AD275" s="346">
        <v>0.41</v>
      </c>
      <c r="AE275" s="355">
        <v>79.489999999999995</v>
      </c>
      <c r="AF275" s="956">
        <v>1</v>
      </c>
      <c r="AH275" s="130"/>
      <c r="AJ275" s="398"/>
      <c r="AK275" s="409"/>
      <c r="AL275" s="408"/>
      <c r="AM275" s="407"/>
      <c r="AN275" s="407"/>
      <c r="AO275" s="407"/>
      <c r="AP275" s="407"/>
      <c r="AQ275" s="407"/>
      <c r="AR275" s="129"/>
      <c r="AT275" s="129"/>
      <c r="AU275" s="129"/>
      <c r="AY275" s="13"/>
      <c r="BE275" s="130"/>
      <c r="BF275" s="130"/>
      <c r="BG275" s="130"/>
      <c r="BH275" s="130"/>
      <c r="BI275" s="130"/>
      <c r="BJ275" s="13"/>
      <c r="BK275" s="130"/>
      <c r="BL275" s="13"/>
      <c r="BM275" s="129"/>
    </row>
    <row r="276" spans="2:65" s="518" customFormat="1" ht="30.75" customHeight="1" x14ac:dyDescent="0.2">
      <c r="B276" s="118"/>
      <c r="C276" s="1234" t="s">
        <v>5205</v>
      </c>
      <c r="D276" s="1235"/>
      <c r="E276" s="1235"/>
      <c r="F276" s="1235"/>
      <c r="G276" s="1235"/>
      <c r="H276" s="1235"/>
      <c r="I276" s="1235"/>
      <c r="J276" s="1236"/>
      <c r="K276" s="133"/>
      <c r="L276" s="137"/>
      <c r="M276" s="138"/>
      <c r="N276" s="139"/>
      <c r="O276" s="127"/>
      <c r="P276" s="127"/>
      <c r="Q276" s="127"/>
      <c r="R276" s="127"/>
      <c r="S276" s="127"/>
      <c r="T276" s="128"/>
      <c r="W276" s="199"/>
      <c r="X276" s="348" t="s">
        <v>6171</v>
      </c>
      <c r="Y276" s="348"/>
      <c r="Z276" s="349" t="s">
        <v>6168</v>
      </c>
      <c r="AA276" s="350" t="s">
        <v>6169</v>
      </c>
      <c r="AB276" s="351" t="s">
        <v>284</v>
      </c>
      <c r="AC276" s="352">
        <v>232.64400000000001</v>
      </c>
      <c r="AD276" s="353">
        <v>1.0900000000000001</v>
      </c>
      <c r="AE276" s="356">
        <v>253.58</v>
      </c>
      <c r="AF276" s="956">
        <v>1</v>
      </c>
      <c r="AH276" s="130"/>
      <c r="AJ276" s="398"/>
      <c r="AK276" s="409"/>
      <c r="AL276" s="408"/>
      <c r="AM276" s="407"/>
      <c r="AN276" s="407"/>
      <c r="AO276" s="407"/>
      <c r="AP276" s="407"/>
      <c r="AQ276" s="407"/>
      <c r="AR276" s="129"/>
      <c r="AT276" s="129"/>
      <c r="AU276" s="129"/>
      <c r="AY276" s="13"/>
      <c r="BE276" s="130"/>
      <c r="BF276" s="130"/>
      <c r="BG276" s="130"/>
      <c r="BH276" s="130"/>
      <c r="BI276" s="130"/>
      <c r="BJ276" s="13"/>
      <c r="BK276" s="130"/>
      <c r="BL276" s="13"/>
      <c r="BM276" s="129"/>
    </row>
    <row r="277" spans="2:65" s="1" customFormat="1" ht="24" customHeight="1" x14ac:dyDescent="0.2">
      <c r="B277" s="118"/>
      <c r="C277" s="205" t="s">
        <v>543</v>
      </c>
      <c r="D277" s="119" t="s">
        <v>231</v>
      </c>
      <c r="E277" s="120" t="s">
        <v>3283</v>
      </c>
      <c r="F277" s="121" t="s">
        <v>3284</v>
      </c>
      <c r="G277" s="122" t="s">
        <v>284</v>
      </c>
      <c r="H277" s="206">
        <v>389.44299999999998</v>
      </c>
      <c r="I277" s="124">
        <v>7.55</v>
      </c>
      <c r="J277" s="124">
        <f t="shared" si="71"/>
        <v>2940.29</v>
      </c>
      <c r="K277" s="121" t="s">
        <v>1</v>
      </c>
      <c r="L277" s="24"/>
      <c r="M277" s="125" t="s">
        <v>1</v>
      </c>
      <c r="N277" s="126" t="s">
        <v>32</v>
      </c>
      <c r="O277" s="127">
        <v>0</v>
      </c>
      <c r="P277" s="127">
        <f t="shared" si="72"/>
        <v>0</v>
      </c>
      <c r="Q277" s="127">
        <v>0</v>
      </c>
      <c r="R277" s="127">
        <f t="shared" si="73"/>
        <v>0</v>
      </c>
      <c r="S277" s="127">
        <v>0</v>
      </c>
      <c r="T277" s="128">
        <f t="shared" si="74"/>
        <v>0</v>
      </c>
      <c r="W277" s="199"/>
      <c r="X277" s="205" t="s">
        <v>543</v>
      </c>
      <c r="Y277" s="119" t="s">
        <v>231</v>
      </c>
      <c r="Z277" s="120" t="s">
        <v>3283</v>
      </c>
      <c r="AA277" s="121" t="s">
        <v>3284</v>
      </c>
      <c r="AB277" s="122" t="s">
        <v>284</v>
      </c>
      <c r="AC277" s="206">
        <v>1065.306</v>
      </c>
      <c r="AD277" s="124">
        <v>7.55</v>
      </c>
      <c r="AE277" s="200">
        <f t="shared" si="75"/>
        <v>8043.06</v>
      </c>
      <c r="AF277" s="956">
        <v>1</v>
      </c>
      <c r="AH277" s="130">
        <f t="shared" si="46"/>
        <v>675.86300000000006</v>
      </c>
      <c r="AJ277" s="398">
        <f t="shared" si="47"/>
        <v>5102.7656500000003</v>
      </c>
      <c r="AK277" s="409"/>
      <c r="AL277" s="408"/>
      <c r="AM277" s="407"/>
      <c r="AN277" s="407"/>
      <c r="AO277" s="407"/>
      <c r="AP277" s="407"/>
      <c r="AQ277" s="407"/>
      <c r="AR277" s="129" t="s">
        <v>235</v>
      </c>
      <c r="AT277" s="129" t="s">
        <v>231</v>
      </c>
      <c r="AU277" s="129" t="s">
        <v>76</v>
      </c>
      <c r="AY277" s="13" t="s">
        <v>228</v>
      </c>
      <c r="BE277" s="130">
        <f t="shared" si="76"/>
        <v>0</v>
      </c>
      <c r="BF277" s="130">
        <f t="shared" si="77"/>
        <v>2940.29</v>
      </c>
      <c r="BG277" s="130">
        <f t="shared" si="78"/>
        <v>0</v>
      </c>
      <c r="BH277" s="130">
        <f t="shared" si="79"/>
        <v>0</v>
      </c>
      <c r="BI277" s="130">
        <f t="shared" si="80"/>
        <v>0</v>
      </c>
      <c r="BJ277" s="13" t="s">
        <v>76</v>
      </c>
      <c r="BK277" s="130">
        <f t="shared" si="81"/>
        <v>2940.29</v>
      </c>
      <c r="BL277" s="13" t="s">
        <v>235</v>
      </c>
      <c r="BM277" s="129" t="s">
        <v>542</v>
      </c>
    </row>
    <row r="278" spans="2:65" s="1" customFormat="1" ht="16.5" customHeight="1" x14ac:dyDescent="0.2">
      <c r="B278" s="118"/>
      <c r="C278" s="131" t="s">
        <v>389</v>
      </c>
      <c r="D278" s="131" t="s">
        <v>277</v>
      </c>
      <c r="E278" s="132" t="s">
        <v>3285</v>
      </c>
      <c r="F278" s="133" t="s">
        <v>937</v>
      </c>
      <c r="G278" s="134" t="s">
        <v>284</v>
      </c>
      <c r="H278" s="135">
        <v>447.85899999999998</v>
      </c>
      <c r="I278" s="136">
        <v>6.85</v>
      </c>
      <c r="J278" s="136">
        <f t="shared" si="71"/>
        <v>3067.83</v>
      </c>
      <c r="K278" s="133" t="s">
        <v>1</v>
      </c>
      <c r="L278" s="137"/>
      <c r="M278" s="138" t="s">
        <v>1</v>
      </c>
      <c r="N278" s="139" t="s">
        <v>32</v>
      </c>
      <c r="O278" s="127">
        <v>0</v>
      </c>
      <c r="P278" s="127">
        <f t="shared" si="72"/>
        <v>0</v>
      </c>
      <c r="Q278" s="127">
        <v>0</v>
      </c>
      <c r="R278" s="127">
        <f t="shared" si="73"/>
        <v>0</v>
      </c>
      <c r="S278" s="127">
        <v>0</v>
      </c>
      <c r="T278" s="128">
        <f t="shared" si="74"/>
        <v>0</v>
      </c>
      <c r="W278" s="199"/>
      <c r="X278" s="131" t="s">
        <v>389</v>
      </c>
      <c r="Y278" s="131" t="s">
        <v>277</v>
      </c>
      <c r="Z278" s="132" t="s">
        <v>3285</v>
      </c>
      <c r="AA278" s="133" t="s">
        <v>937</v>
      </c>
      <c r="AB278" s="134" t="s">
        <v>284</v>
      </c>
      <c r="AC278" s="135">
        <v>447.85899999999998</v>
      </c>
      <c r="AD278" s="136">
        <v>6.85</v>
      </c>
      <c r="AE278" s="229">
        <f t="shared" si="75"/>
        <v>3067.83</v>
      </c>
      <c r="AF278" s="956"/>
      <c r="AH278" s="130"/>
      <c r="AJ278" s="398">
        <f t="shared" si="47"/>
        <v>0</v>
      </c>
      <c r="AK278" s="409"/>
      <c r="AL278" s="408"/>
      <c r="AM278" s="407"/>
      <c r="AN278" s="407"/>
      <c r="AO278" s="407"/>
      <c r="AP278" s="407"/>
      <c r="AQ278" s="407"/>
      <c r="AR278" s="129" t="s">
        <v>244</v>
      </c>
      <c r="AT278" s="129" t="s">
        <v>277</v>
      </c>
      <c r="AU278" s="129" t="s">
        <v>76</v>
      </c>
      <c r="AY278" s="13" t="s">
        <v>228</v>
      </c>
      <c r="BE278" s="130">
        <f t="shared" si="76"/>
        <v>0</v>
      </c>
      <c r="BF278" s="130">
        <f t="shared" si="77"/>
        <v>3067.83</v>
      </c>
      <c r="BG278" s="130">
        <f t="shared" si="78"/>
        <v>0</v>
      </c>
      <c r="BH278" s="130">
        <f t="shared" si="79"/>
        <v>0</v>
      </c>
      <c r="BI278" s="130">
        <f t="shared" si="80"/>
        <v>0</v>
      </c>
      <c r="BJ278" s="13" t="s">
        <v>76</v>
      </c>
      <c r="BK278" s="130">
        <f t="shared" si="81"/>
        <v>3067.83</v>
      </c>
      <c r="BL278" s="13" t="s">
        <v>235</v>
      </c>
      <c r="BM278" s="129" t="s">
        <v>546</v>
      </c>
    </row>
    <row r="279" spans="2:65" s="1" customFormat="1" ht="16.5" customHeight="1" x14ac:dyDescent="0.2">
      <c r="B279" s="118"/>
      <c r="C279" s="131" t="s">
        <v>552</v>
      </c>
      <c r="D279" s="131" t="s">
        <v>277</v>
      </c>
      <c r="E279" s="132" t="s">
        <v>3286</v>
      </c>
      <c r="F279" s="133" t="s">
        <v>937</v>
      </c>
      <c r="G279" s="134" t="s">
        <v>284</v>
      </c>
      <c r="H279" s="135">
        <v>447.85899999999998</v>
      </c>
      <c r="I279" s="136">
        <v>6.85</v>
      </c>
      <c r="J279" s="136">
        <f t="shared" si="71"/>
        <v>3067.83</v>
      </c>
      <c r="K279" s="133" t="s">
        <v>1</v>
      </c>
      <c r="L279" s="137"/>
      <c r="M279" s="138" t="s">
        <v>1</v>
      </c>
      <c r="N279" s="139" t="s">
        <v>32</v>
      </c>
      <c r="O279" s="127">
        <v>0</v>
      </c>
      <c r="P279" s="127">
        <f t="shared" si="72"/>
        <v>0</v>
      </c>
      <c r="Q279" s="127">
        <v>0</v>
      </c>
      <c r="R279" s="127">
        <f t="shared" si="73"/>
        <v>0</v>
      </c>
      <c r="S279" s="127">
        <v>0</v>
      </c>
      <c r="T279" s="128">
        <f t="shared" si="74"/>
        <v>0</v>
      </c>
      <c r="W279" s="199"/>
      <c r="X279" s="131" t="s">
        <v>552</v>
      </c>
      <c r="Y279" s="131" t="s">
        <v>277</v>
      </c>
      <c r="Z279" s="132" t="s">
        <v>3286</v>
      </c>
      <c r="AA279" s="133" t="s">
        <v>937</v>
      </c>
      <c r="AB279" s="134" t="s">
        <v>284</v>
      </c>
      <c r="AC279" s="135">
        <v>447.85899999999998</v>
      </c>
      <c r="AD279" s="136">
        <v>6.85</v>
      </c>
      <c r="AE279" s="229">
        <f t="shared" si="75"/>
        <v>3067.83</v>
      </c>
      <c r="AF279" s="956"/>
      <c r="AH279" s="130"/>
      <c r="AJ279" s="398">
        <f t="shared" si="47"/>
        <v>0</v>
      </c>
      <c r="AK279" s="409"/>
      <c r="AL279" s="408"/>
      <c r="AM279" s="407"/>
      <c r="AN279" s="407"/>
      <c r="AO279" s="407"/>
      <c r="AP279" s="407"/>
      <c r="AQ279" s="407"/>
      <c r="AR279" s="129" t="s">
        <v>244</v>
      </c>
      <c r="AT279" s="129" t="s">
        <v>277</v>
      </c>
      <c r="AU279" s="129" t="s">
        <v>76</v>
      </c>
      <c r="AY279" s="13" t="s">
        <v>228</v>
      </c>
      <c r="BE279" s="130">
        <f t="shared" si="76"/>
        <v>0</v>
      </c>
      <c r="BF279" s="130">
        <f t="shared" si="77"/>
        <v>3067.83</v>
      </c>
      <c r="BG279" s="130">
        <f t="shared" si="78"/>
        <v>0</v>
      </c>
      <c r="BH279" s="130">
        <f t="shared" si="79"/>
        <v>0</v>
      </c>
      <c r="BI279" s="130">
        <f t="shared" si="80"/>
        <v>0</v>
      </c>
      <c r="BJ279" s="13" t="s">
        <v>76</v>
      </c>
      <c r="BK279" s="130">
        <f t="shared" si="81"/>
        <v>3067.83</v>
      </c>
      <c r="BL279" s="13" t="s">
        <v>235</v>
      </c>
      <c r="BM279" s="129" t="s">
        <v>549</v>
      </c>
    </row>
    <row r="280" spans="2:65" s="340" customFormat="1" ht="25.2" customHeight="1" x14ac:dyDescent="0.2">
      <c r="B280" s="118"/>
      <c r="C280" s="1234" t="s">
        <v>5205</v>
      </c>
      <c r="D280" s="1235"/>
      <c r="E280" s="1235"/>
      <c r="F280" s="1235"/>
      <c r="G280" s="1235"/>
      <c r="H280" s="1235"/>
      <c r="I280" s="1235"/>
      <c r="J280" s="1236"/>
      <c r="K280" s="133"/>
      <c r="L280" s="137"/>
      <c r="M280" s="138"/>
      <c r="N280" s="139"/>
      <c r="O280" s="127"/>
      <c r="P280" s="127"/>
      <c r="Q280" s="127"/>
      <c r="R280" s="127"/>
      <c r="S280" s="127"/>
      <c r="T280" s="128"/>
      <c r="W280" s="199"/>
      <c r="X280" s="348" t="s">
        <v>386</v>
      </c>
      <c r="Y280" s="348" t="s">
        <v>277</v>
      </c>
      <c r="Z280" s="349" t="s">
        <v>5741</v>
      </c>
      <c r="AA280" s="350" t="s">
        <v>5742</v>
      </c>
      <c r="AB280" s="351" t="s">
        <v>284</v>
      </c>
      <c r="AC280" s="352">
        <v>324.3</v>
      </c>
      <c r="AD280" s="353">
        <v>2.13</v>
      </c>
      <c r="AE280" s="356">
        <f>ROUND(AD280*AC280,2)</f>
        <v>690.76</v>
      </c>
      <c r="AF280" s="956">
        <v>1</v>
      </c>
      <c r="AH280" s="130">
        <f t="shared" si="46"/>
        <v>324.3</v>
      </c>
      <c r="AJ280" s="398">
        <f t="shared" si="47"/>
        <v>690.75900000000001</v>
      </c>
      <c r="AK280" s="409"/>
      <c r="AL280" s="408"/>
      <c r="AM280" s="407"/>
      <c r="AN280" s="407"/>
      <c r="AO280" s="407"/>
      <c r="AP280" s="407"/>
      <c r="AQ280" s="407"/>
      <c r="AR280" s="129"/>
      <c r="AT280" s="129"/>
      <c r="AU280" s="129"/>
      <c r="AY280" s="13"/>
      <c r="BE280" s="130"/>
      <c r="BF280" s="130"/>
      <c r="BG280" s="130"/>
      <c r="BH280" s="130"/>
      <c r="BI280" s="130"/>
      <c r="BJ280" s="13"/>
      <c r="BK280" s="130"/>
      <c r="BL280" s="13"/>
      <c r="BM280" s="129"/>
    </row>
    <row r="281" spans="2:65" s="1" customFormat="1" ht="24" customHeight="1" x14ac:dyDescent="0.2">
      <c r="B281" s="118"/>
      <c r="C281" s="285" t="s">
        <v>393</v>
      </c>
      <c r="D281" s="119" t="s">
        <v>231</v>
      </c>
      <c r="E281" s="120" t="s">
        <v>3287</v>
      </c>
      <c r="F281" s="121" t="s">
        <v>3288</v>
      </c>
      <c r="G281" s="122" t="s">
        <v>284</v>
      </c>
      <c r="H281" s="288">
        <v>193.87</v>
      </c>
      <c r="I281" s="124">
        <v>4.41</v>
      </c>
      <c r="J281" s="124">
        <f t="shared" si="71"/>
        <v>854.97</v>
      </c>
      <c r="K281" s="121" t="s">
        <v>1</v>
      </c>
      <c r="L281" s="24"/>
      <c r="M281" s="125" t="s">
        <v>1</v>
      </c>
      <c r="N281" s="126" t="s">
        <v>32</v>
      </c>
      <c r="O281" s="127">
        <v>0</v>
      </c>
      <c r="P281" s="127">
        <f t="shared" si="72"/>
        <v>0</v>
      </c>
      <c r="Q281" s="127">
        <v>0</v>
      </c>
      <c r="R281" s="127">
        <f t="shared" si="73"/>
        <v>0</v>
      </c>
      <c r="S281" s="127">
        <v>0</v>
      </c>
      <c r="T281" s="128">
        <f t="shared" si="74"/>
        <v>0</v>
      </c>
      <c r="W281" s="199"/>
      <c r="X281" s="285" t="s">
        <v>393</v>
      </c>
      <c r="Y281" s="119" t="s">
        <v>231</v>
      </c>
      <c r="Z281" s="120" t="s">
        <v>3287</v>
      </c>
      <c r="AA281" s="121" t="s">
        <v>3288</v>
      </c>
      <c r="AB281" s="122" t="s">
        <v>284</v>
      </c>
      <c r="AC281" s="288">
        <v>193.87</v>
      </c>
      <c r="AD281" s="124">
        <v>4.41</v>
      </c>
      <c r="AE281" s="200">
        <f t="shared" si="75"/>
        <v>854.97</v>
      </c>
      <c r="AF281" s="956"/>
      <c r="AH281" s="130"/>
      <c r="AJ281" s="398">
        <f t="shared" si="47"/>
        <v>0</v>
      </c>
      <c r="AK281" s="409"/>
      <c r="AL281" s="408"/>
      <c r="AM281" s="407"/>
      <c r="AN281" s="407"/>
      <c r="AO281" s="407"/>
      <c r="AP281" s="407"/>
      <c r="AQ281" s="407"/>
      <c r="AR281" s="129" t="s">
        <v>235</v>
      </c>
      <c r="AT281" s="129" t="s">
        <v>231</v>
      </c>
      <c r="AU281" s="129" t="s">
        <v>76</v>
      </c>
      <c r="AY281" s="13" t="s">
        <v>228</v>
      </c>
      <c r="BE281" s="130">
        <f t="shared" si="76"/>
        <v>0</v>
      </c>
      <c r="BF281" s="130">
        <f t="shared" si="77"/>
        <v>854.97</v>
      </c>
      <c r="BG281" s="130">
        <f t="shared" si="78"/>
        <v>0</v>
      </c>
      <c r="BH281" s="130">
        <f t="shared" si="79"/>
        <v>0</v>
      </c>
      <c r="BI281" s="130">
        <f t="shared" si="80"/>
        <v>0</v>
      </c>
      <c r="BJ281" s="13" t="s">
        <v>76</v>
      </c>
      <c r="BK281" s="130">
        <f t="shared" si="81"/>
        <v>854.97</v>
      </c>
      <c r="BL281" s="13" t="s">
        <v>235</v>
      </c>
      <c r="BM281" s="129" t="s">
        <v>555</v>
      </c>
    </row>
    <row r="282" spans="2:65" s="1" customFormat="1" ht="16.5" customHeight="1" x14ac:dyDescent="0.2">
      <c r="B282" s="118"/>
      <c r="C282" s="119" t="s">
        <v>563</v>
      </c>
      <c r="D282" s="119" t="s">
        <v>231</v>
      </c>
      <c r="E282" s="120" t="s">
        <v>3289</v>
      </c>
      <c r="F282" s="121" t="s">
        <v>3290</v>
      </c>
      <c r="G282" s="122" t="s">
        <v>284</v>
      </c>
      <c r="H282" s="123">
        <v>85.75</v>
      </c>
      <c r="I282" s="124">
        <v>8.7100000000000009</v>
      </c>
      <c r="J282" s="124">
        <f t="shared" si="71"/>
        <v>746.88</v>
      </c>
      <c r="K282" s="121" t="s">
        <v>1</v>
      </c>
      <c r="L282" s="24"/>
      <c r="M282" s="125" t="s">
        <v>1</v>
      </c>
      <c r="N282" s="126" t="s">
        <v>32</v>
      </c>
      <c r="O282" s="127">
        <v>0</v>
      </c>
      <c r="P282" s="127">
        <f t="shared" si="72"/>
        <v>0</v>
      </c>
      <c r="Q282" s="127">
        <v>0</v>
      </c>
      <c r="R282" s="127">
        <f t="shared" si="73"/>
        <v>0</v>
      </c>
      <c r="S282" s="127">
        <v>0</v>
      </c>
      <c r="T282" s="128">
        <f t="shared" si="74"/>
        <v>0</v>
      </c>
      <c r="W282" s="199"/>
      <c r="X282" s="119" t="s">
        <v>563</v>
      </c>
      <c r="Y282" s="119" t="s">
        <v>231</v>
      </c>
      <c r="Z282" s="120" t="s">
        <v>3289</v>
      </c>
      <c r="AA282" s="121" t="s">
        <v>3290</v>
      </c>
      <c r="AB282" s="122" t="s">
        <v>284</v>
      </c>
      <c r="AC282" s="123">
        <v>85.75</v>
      </c>
      <c r="AD282" s="124">
        <v>8.7100000000000009</v>
      </c>
      <c r="AE282" s="200">
        <f t="shared" si="75"/>
        <v>746.88</v>
      </c>
      <c r="AF282" s="956"/>
      <c r="AH282" s="130"/>
      <c r="AJ282" s="398">
        <f t="shared" si="47"/>
        <v>0</v>
      </c>
      <c r="AK282" s="409"/>
      <c r="AL282" s="408"/>
      <c r="AM282" s="407"/>
      <c r="AN282" s="407"/>
      <c r="AO282" s="407"/>
      <c r="AP282" s="407"/>
      <c r="AQ282" s="407"/>
      <c r="AR282" s="129" t="s">
        <v>235</v>
      </c>
      <c r="AT282" s="129" t="s">
        <v>231</v>
      </c>
      <c r="AU282" s="129" t="s">
        <v>76</v>
      </c>
      <c r="AY282" s="13" t="s">
        <v>228</v>
      </c>
      <c r="BE282" s="130">
        <f t="shared" si="76"/>
        <v>0</v>
      </c>
      <c r="BF282" s="130">
        <f t="shared" si="77"/>
        <v>746.88</v>
      </c>
      <c r="BG282" s="130">
        <f t="shared" si="78"/>
        <v>0</v>
      </c>
      <c r="BH282" s="130">
        <f t="shared" si="79"/>
        <v>0</v>
      </c>
      <c r="BI282" s="130">
        <f t="shared" si="80"/>
        <v>0</v>
      </c>
      <c r="BJ282" s="13" t="s">
        <v>76</v>
      </c>
      <c r="BK282" s="130">
        <f t="shared" si="81"/>
        <v>746.88</v>
      </c>
      <c r="BL282" s="13" t="s">
        <v>235</v>
      </c>
      <c r="BM282" s="129" t="s">
        <v>562</v>
      </c>
    </row>
    <row r="283" spans="2:65" s="1" customFormat="1" ht="24" customHeight="1" x14ac:dyDescent="0.2">
      <c r="B283" s="118"/>
      <c r="C283" s="205" t="s">
        <v>396</v>
      </c>
      <c r="D283" s="119" t="s">
        <v>231</v>
      </c>
      <c r="E283" s="120" t="s">
        <v>3291</v>
      </c>
      <c r="F283" s="121" t="s">
        <v>3292</v>
      </c>
      <c r="G283" s="122" t="s">
        <v>570</v>
      </c>
      <c r="H283" s="206">
        <v>113.85</v>
      </c>
      <c r="I283" s="124">
        <v>3.08</v>
      </c>
      <c r="J283" s="124">
        <f t="shared" si="71"/>
        <v>350.66</v>
      </c>
      <c r="K283" s="121" t="s">
        <v>1</v>
      </c>
      <c r="L283" s="24"/>
      <c r="M283" s="125" t="s">
        <v>1</v>
      </c>
      <c r="N283" s="126" t="s">
        <v>32</v>
      </c>
      <c r="O283" s="127">
        <v>0</v>
      </c>
      <c r="P283" s="127">
        <f t="shared" si="72"/>
        <v>0</v>
      </c>
      <c r="Q283" s="127">
        <v>0</v>
      </c>
      <c r="R283" s="127">
        <f t="shared" si="73"/>
        <v>0</v>
      </c>
      <c r="S283" s="127">
        <v>0</v>
      </c>
      <c r="T283" s="128">
        <f t="shared" si="74"/>
        <v>0</v>
      </c>
      <c r="W283" s="199"/>
      <c r="X283" s="205" t="s">
        <v>396</v>
      </c>
      <c r="Y283" s="119" t="s">
        <v>231</v>
      </c>
      <c r="Z283" s="120" t="s">
        <v>3291</v>
      </c>
      <c r="AA283" s="121" t="s">
        <v>3292</v>
      </c>
      <c r="AB283" s="122" t="s">
        <v>570</v>
      </c>
      <c r="AC283" s="206">
        <f>113.85+69.16</f>
        <v>183.01</v>
      </c>
      <c r="AD283" s="124">
        <v>3.08</v>
      </c>
      <c r="AE283" s="200">
        <f t="shared" si="75"/>
        <v>563.66999999999996</v>
      </c>
      <c r="AF283" s="956">
        <v>1</v>
      </c>
      <c r="AH283" s="130">
        <f t="shared" ref="AH283:AH349" si="82">AC283-H283</f>
        <v>69.16</v>
      </c>
      <c r="AJ283" s="398">
        <f t="shared" si="47"/>
        <v>213.0128</v>
      </c>
      <c r="AK283" s="409"/>
      <c r="AL283" s="408"/>
      <c r="AM283" s="407"/>
      <c r="AN283" s="407"/>
      <c r="AO283" s="407"/>
      <c r="AP283" s="407"/>
      <c r="AQ283" s="407"/>
      <c r="AR283" s="129" t="s">
        <v>235</v>
      </c>
      <c r="AT283" s="129" t="s">
        <v>231</v>
      </c>
      <c r="AU283" s="129" t="s">
        <v>76</v>
      </c>
      <c r="AY283" s="13" t="s">
        <v>228</v>
      </c>
      <c r="BE283" s="130">
        <f t="shared" si="76"/>
        <v>0</v>
      </c>
      <c r="BF283" s="130">
        <f t="shared" si="77"/>
        <v>350.66</v>
      </c>
      <c r="BG283" s="130">
        <f t="shared" si="78"/>
        <v>0</v>
      </c>
      <c r="BH283" s="130">
        <f t="shared" si="79"/>
        <v>0</v>
      </c>
      <c r="BI283" s="130">
        <f t="shared" si="80"/>
        <v>0</v>
      </c>
      <c r="BJ283" s="13" t="s">
        <v>76</v>
      </c>
      <c r="BK283" s="130">
        <f t="shared" si="81"/>
        <v>350.66</v>
      </c>
      <c r="BL283" s="13" t="s">
        <v>235</v>
      </c>
      <c r="BM283" s="129" t="s">
        <v>567</v>
      </c>
    </row>
    <row r="284" spans="2:65" s="11" customFormat="1" ht="22.95" customHeight="1" x14ac:dyDescent="0.25">
      <c r="B284" s="106"/>
      <c r="D284" s="107" t="s">
        <v>57</v>
      </c>
      <c r="E284" s="116" t="s">
        <v>3293</v>
      </c>
      <c r="F284" s="116" t="s">
        <v>3294</v>
      </c>
      <c r="J284" s="117">
        <f>BK284</f>
        <v>1902.73</v>
      </c>
      <c r="L284" s="106"/>
      <c r="M284" s="110"/>
      <c r="N284" s="111"/>
      <c r="O284" s="111"/>
      <c r="P284" s="112">
        <f>SUM(P285:P292)</f>
        <v>0</v>
      </c>
      <c r="Q284" s="111"/>
      <c r="R284" s="112">
        <f>SUM(R285:R292)</f>
        <v>0</v>
      </c>
      <c r="S284" s="111"/>
      <c r="T284" s="113">
        <f>SUM(T285:T292)</f>
        <v>0</v>
      </c>
      <c r="W284" s="195"/>
      <c r="X284" s="111"/>
      <c r="Y284" s="196" t="s">
        <v>57</v>
      </c>
      <c r="Z284" s="201" t="s">
        <v>3293</v>
      </c>
      <c r="AA284" s="201" t="s">
        <v>3294</v>
      </c>
      <c r="AB284" s="111"/>
      <c r="AC284" s="111"/>
      <c r="AD284" s="111"/>
      <c r="AE284" s="202">
        <f>SUM(AE285:AE292)</f>
        <v>2108.69</v>
      </c>
      <c r="AF284" s="956"/>
      <c r="AH284" s="130"/>
      <c r="AJ284" s="398">
        <f t="shared" si="47"/>
        <v>0</v>
      </c>
      <c r="AK284" s="409"/>
      <c r="AL284" s="408"/>
      <c r="AM284" s="292"/>
      <c r="AN284" s="407"/>
      <c r="AO284" s="292"/>
      <c r="AP284" s="292"/>
      <c r="AQ284" s="292"/>
      <c r="AR284" s="107" t="s">
        <v>63</v>
      </c>
      <c r="AT284" s="114" t="s">
        <v>57</v>
      </c>
      <c r="AU284" s="114" t="s">
        <v>63</v>
      </c>
      <c r="AY284" s="107" t="s">
        <v>228</v>
      </c>
      <c r="BK284" s="115">
        <f>SUM(BK285:BK292)</f>
        <v>1902.73</v>
      </c>
    </row>
    <row r="285" spans="2:65" s="1" customFormat="1" ht="16.5" customHeight="1" x14ac:dyDescent="0.2">
      <c r="B285" s="118"/>
      <c r="C285" s="205" t="s">
        <v>574</v>
      </c>
      <c r="D285" s="119" t="s">
        <v>231</v>
      </c>
      <c r="E285" s="120" t="s">
        <v>3295</v>
      </c>
      <c r="F285" s="121" t="s">
        <v>3296</v>
      </c>
      <c r="G285" s="122" t="s">
        <v>284</v>
      </c>
      <c r="H285" s="206">
        <v>53.21</v>
      </c>
      <c r="I285" s="124">
        <v>2.9</v>
      </c>
      <c r="J285" s="124">
        <f t="shared" ref="J285:J292" si="83">ROUND(I285*H285,2)</f>
        <v>154.31</v>
      </c>
      <c r="K285" s="121" t="s">
        <v>1</v>
      </c>
      <c r="L285" s="24"/>
      <c r="M285" s="125" t="s">
        <v>1</v>
      </c>
      <c r="N285" s="126" t="s">
        <v>32</v>
      </c>
      <c r="O285" s="127">
        <v>0</v>
      </c>
      <c r="P285" s="127">
        <f t="shared" ref="P285:P292" si="84">O285*H285</f>
        <v>0</v>
      </c>
      <c r="Q285" s="127">
        <v>0</v>
      </c>
      <c r="R285" s="127">
        <f t="shared" ref="R285:R292" si="85">Q285*H285</f>
        <v>0</v>
      </c>
      <c r="S285" s="127">
        <v>0</v>
      </c>
      <c r="T285" s="128">
        <f t="shared" ref="T285:T292" si="86">S285*H285</f>
        <v>0</v>
      </c>
      <c r="W285" s="199"/>
      <c r="X285" s="205" t="s">
        <v>574</v>
      </c>
      <c r="Y285" s="119" t="s">
        <v>231</v>
      </c>
      <c r="Z285" s="120" t="s">
        <v>3295</v>
      </c>
      <c r="AA285" s="121" t="s">
        <v>3296</v>
      </c>
      <c r="AB285" s="122" t="s">
        <v>284</v>
      </c>
      <c r="AC285" s="206">
        <v>65.489999999999995</v>
      </c>
      <c r="AD285" s="124">
        <v>2.9</v>
      </c>
      <c r="AE285" s="200">
        <f t="shared" ref="AE285:AE292" si="87">ROUND(AD285*AC285,2)</f>
        <v>189.92</v>
      </c>
      <c r="AF285" s="956">
        <v>1</v>
      </c>
      <c r="AH285" s="130">
        <f t="shared" si="82"/>
        <v>12.279999999999994</v>
      </c>
      <c r="AJ285" s="398">
        <f t="shared" si="47"/>
        <v>35.611999999999981</v>
      </c>
      <c r="AK285" s="409"/>
      <c r="AL285" s="408"/>
      <c r="AM285" s="407"/>
      <c r="AN285" s="407"/>
      <c r="AO285" s="407"/>
      <c r="AP285" s="407"/>
      <c r="AQ285" s="407"/>
      <c r="AR285" s="129" t="s">
        <v>235</v>
      </c>
      <c r="AT285" s="129" t="s">
        <v>231</v>
      </c>
      <c r="AU285" s="129" t="s">
        <v>76</v>
      </c>
      <c r="AY285" s="13" t="s">
        <v>228</v>
      </c>
      <c r="BE285" s="130">
        <f t="shared" ref="BE285:BE292" si="88">IF(N285="základná",J285,0)</f>
        <v>0</v>
      </c>
      <c r="BF285" s="130">
        <f t="shared" ref="BF285:BF292" si="89">IF(N285="znížená",J285,0)</f>
        <v>154.31</v>
      </c>
      <c r="BG285" s="130">
        <f t="shared" ref="BG285:BG292" si="90">IF(N285="zákl. prenesená",J285,0)</f>
        <v>0</v>
      </c>
      <c r="BH285" s="130">
        <f t="shared" ref="BH285:BH292" si="91">IF(N285="zníž. prenesená",J285,0)</f>
        <v>0</v>
      </c>
      <c r="BI285" s="130">
        <f t="shared" ref="BI285:BI292" si="92">IF(N285="nulová",J285,0)</f>
        <v>0</v>
      </c>
      <c r="BJ285" s="13" t="s">
        <v>76</v>
      </c>
      <c r="BK285" s="130">
        <f t="shared" ref="BK285:BK292" si="93">ROUND(I285*H285,2)</f>
        <v>154.31</v>
      </c>
      <c r="BL285" s="13" t="s">
        <v>235</v>
      </c>
      <c r="BM285" s="129" t="s">
        <v>571</v>
      </c>
    </row>
    <row r="286" spans="2:65" s="1" customFormat="1" ht="16.5" customHeight="1" x14ac:dyDescent="0.2">
      <c r="B286" s="118"/>
      <c r="C286" s="242" t="s">
        <v>400</v>
      </c>
      <c r="D286" s="131" t="s">
        <v>277</v>
      </c>
      <c r="E286" s="132" t="s">
        <v>3297</v>
      </c>
      <c r="F286" s="133" t="s">
        <v>3298</v>
      </c>
      <c r="G286" s="134" t="s">
        <v>284</v>
      </c>
      <c r="H286" s="241">
        <v>61.192</v>
      </c>
      <c r="I286" s="136">
        <v>4.6399999999999997</v>
      </c>
      <c r="J286" s="136">
        <f t="shared" si="83"/>
        <v>283.93</v>
      </c>
      <c r="K286" s="133" t="s">
        <v>1</v>
      </c>
      <c r="L286" s="137"/>
      <c r="M286" s="138" t="s">
        <v>1</v>
      </c>
      <c r="N286" s="139" t="s">
        <v>32</v>
      </c>
      <c r="O286" s="127">
        <v>0</v>
      </c>
      <c r="P286" s="127">
        <f t="shared" si="84"/>
        <v>0</v>
      </c>
      <c r="Q286" s="127">
        <v>0</v>
      </c>
      <c r="R286" s="127">
        <f t="shared" si="85"/>
        <v>0</v>
      </c>
      <c r="S286" s="127">
        <v>0</v>
      </c>
      <c r="T286" s="128">
        <f t="shared" si="86"/>
        <v>0</v>
      </c>
      <c r="W286" s="199"/>
      <c r="X286" s="242" t="s">
        <v>400</v>
      </c>
      <c r="Y286" s="131" t="s">
        <v>277</v>
      </c>
      <c r="Z286" s="132" t="s">
        <v>3297</v>
      </c>
      <c r="AA286" s="133" t="s">
        <v>3298</v>
      </c>
      <c r="AB286" s="134" t="s">
        <v>284</v>
      </c>
      <c r="AC286" s="241">
        <v>75.313999999999993</v>
      </c>
      <c r="AD286" s="136">
        <v>4.6399999999999997</v>
      </c>
      <c r="AE286" s="229">
        <f t="shared" si="87"/>
        <v>349.46</v>
      </c>
      <c r="AF286" s="956">
        <v>1</v>
      </c>
      <c r="AH286" s="130">
        <f t="shared" si="82"/>
        <v>14.121999999999993</v>
      </c>
      <c r="AJ286" s="398">
        <f t="shared" ref="AJ286:AJ353" si="94">AH286*AD286</f>
        <v>65.526079999999965</v>
      </c>
      <c r="AK286" s="409"/>
      <c r="AL286" s="408"/>
      <c r="AM286" s="407"/>
      <c r="AN286" s="407"/>
      <c r="AO286" s="407"/>
      <c r="AP286" s="407"/>
      <c r="AQ286" s="407"/>
      <c r="AR286" s="129" t="s">
        <v>244</v>
      </c>
      <c r="AT286" s="129" t="s">
        <v>277</v>
      </c>
      <c r="AU286" s="129" t="s">
        <v>76</v>
      </c>
      <c r="AY286" s="13" t="s">
        <v>228</v>
      </c>
      <c r="BE286" s="130">
        <f t="shared" si="88"/>
        <v>0</v>
      </c>
      <c r="BF286" s="130">
        <f t="shared" si="89"/>
        <v>283.93</v>
      </c>
      <c r="BG286" s="130">
        <f t="shared" si="90"/>
        <v>0</v>
      </c>
      <c r="BH286" s="130">
        <f t="shared" si="91"/>
        <v>0</v>
      </c>
      <c r="BI286" s="130">
        <f t="shared" si="92"/>
        <v>0</v>
      </c>
      <c r="BJ286" s="13" t="s">
        <v>76</v>
      </c>
      <c r="BK286" s="130">
        <f t="shared" si="93"/>
        <v>283.93</v>
      </c>
      <c r="BL286" s="13" t="s">
        <v>235</v>
      </c>
      <c r="BM286" s="129" t="s">
        <v>577</v>
      </c>
    </row>
    <row r="287" spans="2:65" s="1" customFormat="1" ht="24" customHeight="1" x14ac:dyDescent="0.2">
      <c r="B287" s="118"/>
      <c r="C287" s="119" t="s">
        <v>405</v>
      </c>
      <c r="D287" s="119" t="s">
        <v>231</v>
      </c>
      <c r="E287" s="120" t="s">
        <v>3299</v>
      </c>
      <c r="F287" s="121" t="s">
        <v>3300</v>
      </c>
      <c r="G287" s="122" t="s">
        <v>284</v>
      </c>
      <c r="H287" s="123">
        <v>53.21</v>
      </c>
      <c r="I287" s="124">
        <v>10.45</v>
      </c>
      <c r="J287" s="124">
        <f t="shared" si="83"/>
        <v>556.04</v>
      </c>
      <c r="K287" s="121" t="s">
        <v>1</v>
      </c>
      <c r="L287" s="24"/>
      <c r="M287" s="125" t="s">
        <v>1</v>
      </c>
      <c r="N287" s="126" t="s">
        <v>32</v>
      </c>
      <c r="O287" s="127">
        <v>0</v>
      </c>
      <c r="P287" s="127">
        <f t="shared" si="84"/>
        <v>0</v>
      </c>
      <c r="Q287" s="127">
        <v>0</v>
      </c>
      <c r="R287" s="127">
        <f t="shared" si="85"/>
        <v>0</v>
      </c>
      <c r="S287" s="127">
        <v>0</v>
      </c>
      <c r="T287" s="128">
        <f t="shared" si="86"/>
        <v>0</v>
      </c>
      <c r="W287" s="199"/>
      <c r="X287" s="119" t="s">
        <v>405</v>
      </c>
      <c r="Y287" s="119" t="s">
        <v>231</v>
      </c>
      <c r="Z287" s="120" t="s">
        <v>3299</v>
      </c>
      <c r="AA287" s="121" t="s">
        <v>3300</v>
      </c>
      <c r="AB287" s="122" t="s">
        <v>284</v>
      </c>
      <c r="AC287" s="123">
        <v>53.21</v>
      </c>
      <c r="AD287" s="124">
        <v>10.45</v>
      </c>
      <c r="AE287" s="200">
        <f t="shared" si="87"/>
        <v>556.04</v>
      </c>
      <c r="AF287" s="956"/>
      <c r="AH287" s="130">
        <f t="shared" si="82"/>
        <v>0</v>
      </c>
      <c r="AJ287" s="398">
        <f t="shared" si="94"/>
        <v>0</v>
      </c>
      <c r="AK287" s="409"/>
      <c r="AL287" s="408"/>
      <c r="AM287" s="407"/>
      <c r="AN287" s="407"/>
      <c r="AO287" s="407"/>
      <c r="AP287" s="407"/>
      <c r="AQ287" s="407"/>
      <c r="AR287" s="129" t="s">
        <v>235</v>
      </c>
      <c r="AT287" s="129" t="s">
        <v>231</v>
      </c>
      <c r="AU287" s="129" t="s">
        <v>76</v>
      </c>
      <c r="AY287" s="13" t="s">
        <v>228</v>
      </c>
      <c r="BE287" s="130">
        <f t="shared" si="88"/>
        <v>0</v>
      </c>
      <c r="BF287" s="130">
        <f t="shared" si="89"/>
        <v>556.04</v>
      </c>
      <c r="BG287" s="130">
        <f t="shared" si="90"/>
        <v>0</v>
      </c>
      <c r="BH287" s="130">
        <f t="shared" si="91"/>
        <v>0</v>
      </c>
      <c r="BI287" s="130">
        <f t="shared" si="92"/>
        <v>0</v>
      </c>
      <c r="BJ287" s="13" t="s">
        <v>76</v>
      </c>
      <c r="BK287" s="130">
        <f t="shared" si="93"/>
        <v>556.04</v>
      </c>
      <c r="BL287" s="13" t="s">
        <v>235</v>
      </c>
      <c r="BM287" s="129" t="s">
        <v>580</v>
      </c>
    </row>
    <row r="288" spans="2:65" s="1" customFormat="1" ht="16.5" customHeight="1" x14ac:dyDescent="0.2">
      <c r="B288" s="118"/>
      <c r="C288" s="131" t="s">
        <v>404</v>
      </c>
      <c r="D288" s="131" t="s">
        <v>277</v>
      </c>
      <c r="E288" s="132" t="s">
        <v>3301</v>
      </c>
      <c r="F288" s="133" t="s">
        <v>3302</v>
      </c>
      <c r="G288" s="134" t="s">
        <v>284</v>
      </c>
      <c r="H288" s="135">
        <v>61.192</v>
      </c>
      <c r="I288" s="136">
        <v>12.19</v>
      </c>
      <c r="J288" s="136">
        <f t="shared" si="83"/>
        <v>745.93</v>
      </c>
      <c r="K288" s="133" t="s">
        <v>1</v>
      </c>
      <c r="L288" s="137"/>
      <c r="M288" s="138" t="s">
        <v>1</v>
      </c>
      <c r="N288" s="139" t="s">
        <v>32</v>
      </c>
      <c r="O288" s="127">
        <v>0</v>
      </c>
      <c r="P288" s="127">
        <f t="shared" si="84"/>
        <v>0</v>
      </c>
      <c r="Q288" s="127">
        <v>0</v>
      </c>
      <c r="R288" s="127">
        <f t="shared" si="85"/>
        <v>0</v>
      </c>
      <c r="S288" s="127">
        <v>0</v>
      </c>
      <c r="T288" s="128">
        <f t="shared" si="86"/>
        <v>0</v>
      </c>
      <c r="W288" s="199"/>
      <c r="X288" s="131" t="s">
        <v>404</v>
      </c>
      <c r="Y288" s="131" t="s">
        <v>277</v>
      </c>
      <c r="Z288" s="132" t="s">
        <v>3301</v>
      </c>
      <c r="AA288" s="133" t="s">
        <v>3302</v>
      </c>
      <c r="AB288" s="134" t="s">
        <v>284</v>
      </c>
      <c r="AC288" s="135">
        <v>61.192</v>
      </c>
      <c r="AD288" s="136">
        <v>12.19</v>
      </c>
      <c r="AE288" s="229">
        <f t="shared" si="87"/>
        <v>745.93</v>
      </c>
      <c r="AF288" s="956"/>
      <c r="AH288" s="130">
        <f t="shared" si="82"/>
        <v>0</v>
      </c>
      <c r="AJ288" s="398">
        <f t="shared" si="94"/>
        <v>0</v>
      </c>
      <c r="AK288" s="409"/>
      <c r="AL288" s="408"/>
      <c r="AM288" s="407"/>
      <c r="AN288" s="407"/>
      <c r="AO288" s="407"/>
      <c r="AP288" s="407"/>
      <c r="AQ288" s="407"/>
      <c r="AR288" s="129" t="s">
        <v>244</v>
      </c>
      <c r="AT288" s="129" t="s">
        <v>277</v>
      </c>
      <c r="AU288" s="129" t="s">
        <v>76</v>
      </c>
      <c r="AY288" s="13" t="s">
        <v>228</v>
      </c>
      <c r="BE288" s="130">
        <f t="shared" si="88"/>
        <v>0</v>
      </c>
      <c r="BF288" s="130">
        <f t="shared" si="89"/>
        <v>745.93</v>
      </c>
      <c r="BG288" s="130">
        <f t="shared" si="90"/>
        <v>0</v>
      </c>
      <c r="BH288" s="130">
        <f t="shared" si="91"/>
        <v>0</v>
      </c>
      <c r="BI288" s="130">
        <f t="shared" si="92"/>
        <v>0</v>
      </c>
      <c r="BJ288" s="13" t="s">
        <v>76</v>
      </c>
      <c r="BK288" s="130">
        <f t="shared" si="93"/>
        <v>745.93</v>
      </c>
      <c r="BL288" s="13" t="s">
        <v>235</v>
      </c>
      <c r="BM288" s="129" t="s">
        <v>585</v>
      </c>
    </row>
    <row r="289" spans="2:65" s="1" customFormat="1" ht="24" customHeight="1" x14ac:dyDescent="0.2">
      <c r="B289" s="118"/>
      <c r="C289" s="1070" t="s">
        <v>436</v>
      </c>
      <c r="D289" s="119" t="s">
        <v>231</v>
      </c>
      <c r="E289" s="120" t="s">
        <v>3303</v>
      </c>
      <c r="F289" s="121" t="s">
        <v>3304</v>
      </c>
      <c r="G289" s="122" t="s">
        <v>284</v>
      </c>
      <c r="H289" s="1071">
        <v>53.21</v>
      </c>
      <c r="I289" s="124">
        <v>1.1599999999999999</v>
      </c>
      <c r="J289" s="124">
        <f t="shared" si="83"/>
        <v>61.72</v>
      </c>
      <c r="K289" s="121" t="s">
        <v>1</v>
      </c>
      <c r="L289" s="24"/>
      <c r="M289" s="125" t="s">
        <v>1</v>
      </c>
      <c r="N289" s="126" t="s">
        <v>32</v>
      </c>
      <c r="O289" s="127">
        <v>0</v>
      </c>
      <c r="P289" s="127">
        <f t="shared" si="84"/>
        <v>0</v>
      </c>
      <c r="Q289" s="127">
        <v>0</v>
      </c>
      <c r="R289" s="127">
        <f t="shared" si="85"/>
        <v>0</v>
      </c>
      <c r="S289" s="127">
        <v>0</v>
      </c>
      <c r="T289" s="128">
        <f t="shared" si="86"/>
        <v>0</v>
      </c>
      <c r="W289" s="199"/>
      <c r="X289" s="1070" t="s">
        <v>436</v>
      </c>
      <c r="Y289" s="119" t="s">
        <v>231</v>
      </c>
      <c r="Z289" s="120" t="s">
        <v>3303</v>
      </c>
      <c r="AA289" s="121" t="s">
        <v>3304</v>
      </c>
      <c r="AB289" s="122" t="s">
        <v>284</v>
      </c>
      <c r="AC289" s="206">
        <v>106.42</v>
      </c>
      <c r="AD289" s="124">
        <v>1.1599999999999999</v>
      </c>
      <c r="AE289" s="200">
        <f t="shared" si="87"/>
        <v>123.45</v>
      </c>
      <c r="AF289" s="956">
        <v>1</v>
      </c>
      <c r="AH289" s="130">
        <f t="shared" si="82"/>
        <v>53.21</v>
      </c>
      <c r="AJ289" s="398">
        <f t="shared" si="94"/>
        <v>61.723599999999998</v>
      </c>
      <c r="AK289" s="409"/>
      <c r="AL289" s="408"/>
      <c r="AM289" s="407"/>
      <c r="AN289" s="407"/>
      <c r="AO289" s="407"/>
      <c r="AP289" s="407"/>
      <c r="AQ289" s="407"/>
      <c r="AR289" s="129" t="s">
        <v>235</v>
      </c>
      <c r="AT289" s="129" t="s">
        <v>231</v>
      </c>
      <c r="AU289" s="129" t="s">
        <v>76</v>
      </c>
      <c r="AY289" s="13" t="s">
        <v>228</v>
      </c>
      <c r="BE289" s="130">
        <f t="shared" si="88"/>
        <v>0</v>
      </c>
      <c r="BF289" s="130">
        <f t="shared" si="89"/>
        <v>61.72</v>
      </c>
      <c r="BG289" s="130">
        <f t="shared" si="90"/>
        <v>0</v>
      </c>
      <c r="BH289" s="130">
        <f t="shared" si="91"/>
        <v>0</v>
      </c>
      <c r="BI289" s="130">
        <f t="shared" si="92"/>
        <v>0</v>
      </c>
      <c r="BJ289" s="13" t="s">
        <v>76</v>
      </c>
      <c r="BK289" s="130">
        <f t="shared" si="93"/>
        <v>61.72</v>
      </c>
      <c r="BL289" s="13" t="s">
        <v>235</v>
      </c>
      <c r="BM289" s="129" t="s">
        <v>588</v>
      </c>
    </row>
    <row r="290" spans="2:65" s="1" customFormat="1" ht="16.5" customHeight="1" x14ac:dyDescent="0.2">
      <c r="B290" s="118"/>
      <c r="C290" s="979" t="s">
        <v>410</v>
      </c>
      <c r="D290" s="131" t="s">
        <v>277</v>
      </c>
      <c r="E290" s="132" t="s">
        <v>3305</v>
      </c>
      <c r="F290" s="133" t="s">
        <v>3306</v>
      </c>
      <c r="G290" s="134" t="s">
        <v>284</v>
      </c>
      <c r="H290" s="978">
        <v>61.192</v>
      </c>
      <c r="I290" s="136">
        <v>1.1599999999999999</v>
      </c>
      <c r="J290" s="136">
        <f t="shared" si="83"/>
        <v>70.98</v>
      </c>
      <c r="K290" s="133" t="s">
        <v>1</v>
      </c>
      <c r="L290" s="137"/>
      <c r="M290" s="138" t="s">
        <v>1</v>
      </c>
      <c r="N290" s="139" t="s">
        <v>32</v>
      </c>
      <c r="O290" s="127">
        <v>0</v>
      </c>
      <c r="P290" s="127">
        <f t="shared" si="84"/>
        <v>0</v>
      </c>
      <c r="Q290" s="127">
        <v>0</v>
      </c>
      <c r="R290" s="127">
        <f t="shared" si="85"/>
        <v>0</v>
      </c>
      <c r="S290" s="127">
        <v>0</v>
      </c>
      <c r="T290" s="128">
        <f t="shared" si="86"/>
        <v>0</v>
      </c>
      <c r="W290" s="199"/>
      <c r="X290" s="979" t="s">
        <v>410</v>
      </c>
      <c r="Y290" s="131" t="s">
        <v>277</v>
      </c>
      <c r="Z290" s="132" t="s">
        <v>3305</v>
      </c>
      <c r="AA290" s="133" t="s">
        <v>3306</v>
      </c>
      <c r="AB290" s="134" t="s">
        <v>284</v>
      </c>
      <c r="AC290" s="241">
        <v>61.192</v>
      </c>
      <c r="AD290" s="136">
        <v>1.1599999999999999</v>
      </c>
      <c r="AE290" s="229">
        <f t="shared" si="87"/>
        <v>70.98</v>
      </c>
      <c r="AF290" s="956">
        <v>1</v>
      </c>
      <c r="AH290" s="130">
        <f t="shared" si="82"/>
        <v>0</v>
      </c>
      <c r="AJ290" s="398">
        <f t="shared" si="94"/>
        <v>0</v>
      </c>
      <c r="AK290" s="409"/>
      <c r="AL290" s="408"/>
      <c r="AM290" s="407"/>
      <c r="AN290" s="407"/>
      <c r="AO290" s="407"/>
      <c r="AP290" s="407"/>
      <c r="AQ290" s="407"/>
      <c r="AR290" s="129" t="s">
        <v>244</v>
      </c>
      <c r="AT290" s="129" t="s">
        <v>277</v>
      </c>
      <c r="AU290" s="129" t="s">
        <v>76</v>
      </c>
      <c r="AY290" s="13" t="s">
        <v>228</v>
      </c>
      <c r="BE290" s="130">
        <f t="shared" si="88"/>
        <v>0</v>
      </c>
      <c r="BF290" s="130">
        <f t="shared" si="89"/>
        <v>70.98</v>
      </c>
      <c r="BG290" s="130">
        <f t="shared" si="90"/>
        <v>0</v>
      </c>
      <c r="BH290" s="130">
        <f t="shared" si="91"/>
        <v>0</v>
      </c>
      <c r="BI290" s="130">
        <f t="shared" si="92"/>
        <v>0</v>
      </c>
      <c r="BJ290" s="13" t="s">
        <v>76</v>
      </c>
      <c r="BK290" s="130">
        <f t="shared" si="93"/>
        <v>70.98</v>
      </c>
      <c r="BL290" s="13" t="s">
        <v>235</v>
      </c>
      <c r="BM290" s="129" t="s">
        <v>591</v>
      </c>
    </row>
    <row r="291" spans="2:65" s="340" customFormat="1" ht="16.5" customHeight="1" x14ac:dyDescent="0.2">
      <c r="B291" s="118"/>
      <c r="C291" s="1234" t="s">
        <v>5205</v>
      </c>
      <c r="D291" s="1235"/>
      <c r="E291" s="1235"/>
      <c r="F291" s="1235"/>
      <c r="G291" s="1235"/>
      <c r="H291" s="1235"/>
      <c r="I291" s="1235"/>
      <c r="J291" s="1236"/>
      <c r="K291" s="133"/>
      <c r="L291" s="137"/>
      <c r="M291" s="138"/>
      <c r="N291" s="139"/>
      <c r="O291" s="127"/>
      <c r="P291" s="127"/>
      <c r="Q291" s="127"/>
      <c r="R291" s="127"/>
      <c r="S291" s="127"/>
      <c r="T291" s="128"/>
      <c r="W291" s="199"/>
      <c r="X291" s="348" t="s">
        <v>5780</v>
      </c>
      <c r="Y291" s="348" t="s">
        <v>277</v>
      </c>
      <c r="Z291" s="349" t="s">
        <v>5778</v>
      </c>
      <c r="AA291" s="350" t="s">
        <v>5779</v>
      </c>
      <c r="AB291" s="351" t="s">
        <v>284</v>
      </c>
      <c r="AC291" s="352">
        <v>61.192</v>
      </c>
      <c r="AD291" s="353">
        <v>0.6</v>
      </c>
      <c r="AE291" s="356">
        <f>ROUND(AD291*AC291,2)</f>
        <v>36.72</v>
      </c>
      <c r="AF291" s="956">
        <v>1</v>
      </c>
      <c r="AH291" s="130">
        <f t="shared" si="82"/>
        <v>61.192</v>
      </c>
      <c r="AJ291" s="398">
        <f t="shared" si="94"/>
        <v>36.715199999999996</v>
      </c>
      <c r="AK291" s="409"/>
      <c r="AL291" s="408"/>
      <c r="AM291" s="407"/>
      <c r="AN291" s="407"/>
      <c r="AO291" s="407"/>
      <c r="AP291" s="407"/>
      <c r="AQ291" s="407"/>
      <c r="AR291" s="129"/>
      <c r="AT291" s="129"/>
      <c r="AU291" s="129"/>
      <c r="AY291" s="13"/>
      <c r="BE291" s="130"/>
      <c r="BF291" s="130"/>
      <c r="BG291" s="130"/>
      <c r="BH291" s="130"/>
      <c r="BI291" s="130"/>
      <c r="BJ291" s="13"/>
      <c r="BK291" s="130"/>
      <c r="BL291" s="13"/>
      <c r="BM291" s="129"/>
    </row>
    <row r="292" spans="2:65" s="1" customFormat="1" ht="24" customHeight="1" x14ac:dyDescent="0.2">
      <c r="B292" s="118"/>
      <c r="C292" s="205" t="s">
        <v>595</v>
      </c>
      <c r="D292" s="119" t="s">
        <v>231</v>
      </c>
      <c r="E292" s="120" t="s">
        <v>3307</v>
      </c>
      <c r="F292" s="121" t="s">
        <v>3308</v>
      </c>
      <c r="G292" s="122" t="s">
        <v>570</v>
      </c>
      <c r="H292" s="206">
        <v>9.3480000000000008</v>
      </c>
      <c r="I292" s="124">
        <v>3.19</v>
      </c>
      <c r="J292" s="124">
        <f t="shared" si="83"/>
        <v>29.82</v>
      </c>
      <c r="K292" s="121" t="s">
        <v>1</v>
      </c>
      <c r="L292" s="24"/>
      <c r="M292" s="125" t="s">
        <v>1</v>
      </c>
      <c r="N292" s="126" t="s">
        <v>32</v>
      </c>
      <c r="O292" s="127">
        <v>0</v>
      </c>
      <c r="P292" s="127">
        <f t="shared" si="84"/>
        <v>0</v>
      </c>
      <c r="Q292" s="127">
        <v>0</v>
      </c>
      <c r="R292" s="127">
        <f t="shared" si="85"/>
        <v>0</v>
      </c>
      <c r="S292" s="127">
        <v>0</v>
      </c>
      <c r="T292" s="128">
        <f t="shared" si="86"/>
        <v>0</v>
      </c>
      <c r="W292" s="199"/>
      <c r="X292" s="205" t="s">
        <v>595</v>
      </c>
      <c r="Y292" s="119" t="s">
        <v>231</v>
      </c>
      <c r="Z292" s="120" t="s">
        <v>3307</v>
      </c>
      <c r="AA292" s="121" t="s">
        <v>3308</v>
      </c>
      <c r="AB292" s="122" t="s">
        <v>570</v>
      </c>
      <c r="AC292" s="206">
        <f>9.348+1.996</f>
        <v>11.344000000000001</v>
      </c>
      <c r="AD292" s="124">
        <v>3.19</v>
      </c>
      <c r="AE292" s="200">
        <f t="shared" si="87"/>
        <v>36.19</v>
      </c>
      <c r="AF292" s="956">
        <v>1</v>
      </c>
      <c r="AH292" s="130">
        <f t="shared" si="82"/>
        <v>1.9960000000000004</v>
      </c>
      <c r="AJ292" s="398">
        <f t="shared" si="94"/>
        <v>6.3672400000000016</v>
      </c>
      <c r="AK292" s="409"/>
      <c r="AL292" s="408"/>
      <c r="AM292" s="407"/>
      <c r="AN292" s="407"/>
      <c r="AO292" s="407"/>
      <c r="AP292" s="407"/>
      <c r="AQ292" s="407"/>
      <c r="AR292" s="129" t="s">
        <v>235</v>
      </c>
      <c r="AT292" s="129" t="s">
        <v>231</v>
      </c>
      <c r="AU292" s="129" t="s">
        <v>76</v>
      </c>
      <c r="AY292" s="13" t="s">
        <v>228</v>
      </c>
      <c r="BE292" s="130">
        <f t="shared" si="88"/>
        <v>0</v>
      </c>
      <c r="BF292" s="130">
        <f t="shared" si="89"/>
        <v>29.82</v>
      </c>
      <c r="BG292" s="130">
        <f t="shared" si="90"/>
        <v>0</v>
      </c>
      <c r="BH292" s="130">
        <f t="shared" si="91"/>
        <v>0</v>
      </c>
      <c r="BI292" s="130">
        <f t="shared" si="92"/>
        <v>0</v>
      </c>
      <c r="BJ292" s="13" t="s">
        <v>76</v>
      </c>
      <c r="BK292" s="130">
        <f t="shared" si="93"/>
        <v>29.82</v>
      </c>
      <c r="BL292" s="13" t="s">
        <v>235</v>
      </c>
      <c r="BM292" s="129" t="s">
        <v>594</v>
      </c>
    </row>
    <row r="293" spans="2:65" s="11" customFormat="1" ht="22.95" customHeight="1" x14ac:dyDescent="0.25">
      <c r="B293" s="106"/>
      <c r="D293" s="107" t="s">
        <v>57</v>
      </c>
      <c r="E293" s="116" t="s">
        <v>939</v>
      </c>
      <c r="F293" s="116" t="s">
        <v>940</v>
      </c>
      <c r="J293" s="117">
        <f>BK293</f>
        <v>14192.14</v>
      </c>
      <c r="L293" s="106"/>
      <c r="M293" s="110"/>
      <c r="N293" s="111"/>
      <c r="O293" s="111"/>
      <c r="P293" s="112">
        <f>SUM(P294:P303)</f>
        <v>0</v>
      </c>
      <c r="Q293" s="111"/>
      <c r="R293" s="112">
        <f>SUM(R294:R303)</f>
        <v>0</v>
      </c>
      <c r="S293" s="111"/>
      <c r="T293" s="113">
        <f>SUM(T294:T303)</f>
        <v>0</v>
      </c>
      <c r="W293" s="195"/>
      <c r="X293" s="111"/>
      <c r="Y293" s="196" t="s">
        <v>57</v>
      </c>
      <c r="Z293" s="201" t="s">
        <v>939</v>
      </c>
      <c r="AA293" s="201" t="s">
        <v>940</v>
      </c>
      <c r="AB293" s="111"/>
      <c r="AC293" s="111"/>
      <c r="AD293" s="111"/>
      <c r="AE293" s="202">
        <f>SUM(AE294:AE303)</f>
        <v>14941.369999999999</v>
      </c>
      <c r="AF293" s="956"/>
      <c r="AH293" s="130">
        <f t="shared" si="82"/>
        <v>0</v>
      </c>
      <c r="AJ293" s="398">
        <f t="shared" si="94"/>
        <v>0</v>
      </c>
      <c r="AK293" s="409"/>
      <c r="AL293" s="408"/>
      <c r="AM293" s="292"/>
      <c r="AN293" s="407"/>
      <c r="AO293" s="292"/>
      <c r="AP293" s="292"/>
      <c r="AQ293" s="292"/>
      <c r="AR293" s="107" t="s">
        <v>63</v>
      </c>
      <c r="AT293" s="114" t="s">
        <v>57</v>
      </c>
      <c r="AU293" s="114" t="s">
        <v>63</v>
      </c>
      <c r="AY293" s="107" t="s">
        <v>228</v>
      </c>
      <c r="BK293" s="115">
        <f>SUM(BK294:BK303)</f>
        <v>14192.14</v>
      </c>
    </row>
    <row r="294" spans="2:65" s="1" customFormat="1" ht="24" customHeight="1" x14ac:dyDescent="0.2">
      <c r="B294" s="118"/>
      <c r="C294" s="119" t="s">
        <v>414</v>
      </c>
      <c r="D294" s="119" t="s">
        <v>231</v>
      </c>
      <c r="E294" s="120" t="s">
        <v>3309</v>
      </c>
      <c r="F294" s="121" t="s">
        <v>3310</v>
      </c>
      <c r="G294" s="122" t="s">
        <v>284</v>
      </c>
      <c r="H294" s="123">
        <v>308.88</v>
      </c>
      <c r="I294" s="124">
        <v>1.04</v>
      </c>
      <c r="J294" s="124">
        <f t="shared" ref="J294:J303" si="95">ROUND(I294*H294,2)</f>
        <v>321.24</v>
      </c>
      <c r="K294" s="121" t="s">
        <v>1</v>
      </c>
      <c r="L294" s="24"/>
      <c r="M294" s="125" t="s">
        <v>1</v>
      </c>
      <c r="N294" s="126" t="s">
        <v>32</v>
      </c>
      <c r="O294" s="127">
        <v>0</v>
      </c>
      <c r="P294" s="127">
        <f t="shared" ref="P294:P303" si="96">O294*H294</f>
        <v>0</v>
      </c>
      <c r="Q294" s="127">
        <v>0</v>
      </c>
      <c r="R294" s="127">
        <f t="shared" ref="R294:R303" si="97">Q294*H294</f>
        <v>0</v>
      </c>
      <c r="S294" s="127">
        <v>0</v>
      </c>
      <c r="T294" s="128">
        <f t="shared" ref="T294:T303" si="98">S294*H294</f>
        <v>0</v>
      </c>
      <c r="W294" s="199"/>
      <c r="X294" s="119" t="s">
        <v>414</v>
      </c>
      <c r="Y294" s="119" t="s">
        <v>231</v>
      </c>
      <c r="Z294" s="120" t="s">
        <v>3309</v>
      </c>
      <c r="AA294" s="121" t="s">
        <v>3310</v>
      </c>
      <c r="AB294" s="122" t="s">
        <v>284</v>
      </c>
      <c r="AC294" s="123">
        <v>308.88</v>
      </c>
      <c r="AD294" s="124">
        <v>1.04</v>
      </c>
      <c r="AE294" s="200">
        <f t="shared" ref="AE294:AE303" si="99">ROUND(AD294*AC294,2)</f>
        <v>321.24</v>
      </c>
      <c r="AF294" s="956"/>
      <c r="AH294" s="130">
        <f t="shared" si="82"/>
        <v>0</v>
      </c>
      <c r="AJ294" s="398">
        <f t="shared" si="94"/>
        <v>0</v>
      </c>
      <c r="AK294" s="409"/>
      <c r="AL294" s="408"/>
      <c r="AM294" s="407"/>
      <c r="AN294" s="407"/>
      <c r="AO294" s="407"/>
      <c r="AP294" s="407"/>
      <c r="AQ294" s="407"/>
      <c r="AR294" s="129" t="s">
        <v>235</v>
      </c>
      <c r="AT294" s="129" t="s">
        <v>231</v>
      </c>
      <c r="AU294" s="129" t="s">
        <v>76</v>
      </c>
      <c r="AY294" s="13" t="s">
        <v>228</v>
      </c>
      <c r="BE294" s="130">
        <f t="shared" ref="BE294:BE303" si="100">IF(N294="základná",J294,0)</f>
        <v>0</v>
      </c>
      <c r="BF294" s="130">
        <f t="shared" ref="BF294:BF303" si="101">IF(N294="znížená",J294,0)</f>
        <v>321.24</v>
      </c>
      <c r="BG294" s="130">
        <f t="shared" ref="BG294:BG303" si="102">IF(N294="zákl. prenesená",J294,0)</f>
        <v>0</v>
      </c>
      <c r="BH294" s="130">
        <f t="shared" ref="BH294:BH303" si="103">IF(N294="zníž. prenesená",J294,0)</f>
        <v>0</v>
      </c>
      <c r="BI294" s="130">
        <f t="shared" ref="BI294:BI303" si="104">IF(N294="nulová",J294,0)</f>
        <v>0</v>
      </c>
      <c r="BJ294" s="13" t="s">
        <v>76</v>
      </c>
      <c r="BK294" s="130">
        <f t="shared" ref="BK294:BK303" si="105">ROUND(I294*H294,2)</f>
        <v>321.24</v>
      </c>
      <c r="BL294" s="13" t="s">
        <v>235</v>
      </c>
      <c r="BM294" s="129" t="s">
        <v>598</v>
      </c>
    </row>
    <row r="295" spans="2:65" s="1" customFormat="1" ht="16.5" customHeight="1" x14ac:dyDescent="0.2">
      <c r="B295" s="118"/>
      <c r="C295" s="131" t="s">
        <v>602</v>
      </c>
      <c r="D295" s="131" t="s">
        <v>277</v>
      </c>
      <c r="E295" s="132" t="s">
        <v>3311</v>
      </c>
      <c r="F295" s="133" t="s">
        <v>3312</v>
      </c>
      <c r="G295" s="134" t="s">
        <v>284</v>
      </c>
      <c r="H295" s="135">
        <v>315.05799999999999</v>
      </c>
      <c r="I295" s="136">
        <v>9.2899999999999991</v>
      </c>
      <c r="J295" s="136">
        <f t="shared" si="95"/>
        <v>2926.89</v>
      </c>
      <c r="K295" s="133" t="s">
        <v>1</v>
      </c>
      <c r="L295" s="137"/>
      <c r="M295" s="138" t="s">
        <v>1</v>
      </c>
      <c r="N295" s="139" t="s">
        <v>32</v>
      </c>
      <c r="O295" s="127">
        <v>0</v>
      </c>
      <c r="P295" s="127">
        <f t="shared" si="96"/>
        <v>0</v>
      </c>
      <c r="Q295" s="127">
        <v>0</v>
      </c>
      <c r="R295" s="127">
        <f t="shared" si="97"/>
        <v>0</v>
      </c>
      <c r="S295" s="127">
        <v>0</v>
      </c>
      <c r="T295" s="128">
        <f t="shared" si="98"/>
        <v>0</v>
      </c>
      <c r="W295" s="199"/>
      <c r="X295" s="131" t="s">
        <v>602</v>
      </c>
      <c r="Y295" s="131" t="s">
        <v>277</v>
      </c>
      <c r="Z295" s="132" t="s">
        <v>3311</v>
      </c>
      <c r="AA295" s="133" t="s">
        <v>3312</v>
      </c>
      <c r="AB295" s="134" t="s">
        <v>284</v>
      </c>
      <c r="AC295" s="135">
        <v>315.05799999999999</v>
      </c>
      <c r="AD295" s="136">
        <v>9.2899999999999991</v>
      </c>
      <c r="AE295" s="229">
        <f t="shared" si="99"/>
        <v>2926.89</v>
      </c>
      <c r="AF295" s="956"/>
      <c r="AH295" s="130">
        <f t="shared" si="82"/>
        <v>0</v>
      </c>
      <c r="AJ295" s="398">
        <f t="shared" si="94"/>
        <v>0</v>
      </c>
      <c r="AK295" s="409"/>
      <c r="AL295" s="408"/>
      <c r="AM295" s="407"/>
      <c r="AN295" s="407"/>
      <c r="AO295" s="407"/>
      <c r="AP295" s="407"/>
      <c r="AQ295" s="407"/>
      <c r="AR295" s="129" t="s">
        <v>244</v>
      </c>
      <c r="AT295" s="129" t="s">
        <v>277</v>
      </c>
      <c r="AU295" s="129" t="s">
        <v>76</v>
      </c>
      <c r="AY295" s="13" t="s">
        <v>228</v>
      </c>
      <c r="BE295" s="130">
        <f t="shared" si="100"/>
        <v>0</v>
      </c>
      <c r="BF295" s="130">
        <f t="shared" si="101"/>
        <v>2926.89</v>
      </c>
      <c r="BG295" s="130">
        <f t="shared" si="102"/>
        <v>0</v>
      </c>
      <c r="BH295" s="130">
        <f t="shared" si="103"/>
        <v>0</v>
      </c>
      <c r="BI295" s="130">
        <f t="shared" si="104"/>
        <v>0</v>
      </c>
      <c r="BJ295" s="13" t="s">
        <v>76</v>
      </c>
      <c r="BK295" s="130">
        <f t="shared" si="105"/>
        <v>2926.89</v>
      </c>
      <c r="BL295" s="13" t="s">
        <v>235</v>
      </c>
      <c r="BM295" s="129" t="s">
        <v>601</v>
      </c>
    </row>
    <row r="296" spans="2:65" s="1" customFormat="1" ht="24" customHeight="1" x14ac:dyDescent="0.2">
      <c r="B296" s="118"/>
      <c r="C296" s="119" t="s">
        <v>418</v>
      </c>
      <c r="D296" s="119" t="s">
        <v>231</v>
      </c>
      <c r="E296" s="120" t="s">
        <v>3313</v>
      </c>
      <c r="F296" s="121" t="s">
        <v>3314</v>
      </c>
      <c r="G296" s="122" t="s">
        <v>284</v>
      </c>
      <c r="H296" s="123">
        <v>281.97800000000001</v>
      </c>
      <c r="I296" s="124">
        <v>2.09</v>
      </c>
      <c r="J296" s="124">
        <f t="shared" si="95"/>
        <v>589.33000000000004</v>
      </c>
      <c r="K296" s="121" t="s">
        <v>1</v>
      </c>
      <c r="L296" s="24"/>
      <c r="M296" s="125" t="s">
        <v>1</v>
      </c>
      <c r="N296" s="126" t="s">
        <v>32</v>
      </c>
      <c r="O296" s="127">
        <v>0</v>
      </c>
      <c r="P296" s="127">
        <f t="shared" si="96"/>
        <v>0</v>
      </c>
      <c r="Q296" s="127">
        <v>0</v>
      </c>
      <c r="R296" s="127">
        <f t="shared" si="97"/>
        <v>0</v>
      </c>
      <c r="S296" s="127">
        <v>0</v>
      </c>
      <c r="T296" s="128">
        <f t="shared" si="98"/>
        <v>0</v>
      </c>
      <c r="W296" s="199"/>
      <c r="X296" s="119" t="s">
        <v>418</v>
      </c>
      <c r="Y296" s="119" t="s">
        <v>231</v>
      </c>
      <c r="Z296" s="120" t="s">
        <v>3313</v>
      </c>
      <c r="AA296" s="121" t="s">
        <v>3314</v>
      </c>
      <c r="AB296" s="122" t="s">
        <v>284</v>
      </c>
      <c r="AC296" s="123">
        <v>281.97800000000001</v>
      </c>
      <c r="AD296" s="124">
        <v>2.09</v>
      </c>
      <c r="AE296" s="200">
        <f t="shared" si="99"/>
        <v>589.33000000000004</v>
      </c>
      <c r="AF296" s="956"/>
      <c r="AH296" s="130">
        <f t="shared" si="82"/>
        <v>0</v>
      </c>
      <c r="AJ296" s="398">
        <f t="shared" si="94"/>
        <v>0</v>
      </c>
      <c r="AK296" s="409"/>
      <c r="AL296" s="408"/>
      <c r="AM296" s="407"/>
      <c r="AN296" s="407"/>
      <c r="AO296" s="407"/>
      <c r="AP296" s="407"/>
      <c r="AQ296" s="407"/>
      <c r="AR296" s="129" t="s">
        <v>235</v>
      </c>
      <c r="AT296" s="129" t="s">
        <v>231</v>
      </c>
      <c r="AU296" s="129" t="s">
        <v>76</v>
      </c>
      <c r="AY296" s="13" t="s">
        <v>228</v>
      </c>
      <c r="BE296" s="130">
        <f t="shared" si="100"/>
        <v>0</v>
      </c>
      <c r="BF296" s="130">
        <f t="shared" si="101"/>
        <v>589.33000000000004</v>
      </c>
      <c r="BG296" s="130">
        <f t="shared" si="102"/>
        <v>0</v>
      </c>
      <c r="BH296" s="130">
        <f t="shared" si="103"/>
        <v>0</v>
      </c>
      <c r="BI296" s="130">
        <f t="shared" si="104"/>
        <v>0</v>
      </c>
      <c r="BJ296" s="13" t="s">
        <v>76</v>
      </c>
      <c r="BK296" s="130">
        <f t="shared" si="105"/>
        <v>589.33000000000004</v>
      </c>
      <c r="BL296" s="13" t="s">
        <v>235</v>
      </c>
      <c r="BM296" s="129" t="s">
        <v>605</v>
      </c>
    </row>
    <row r="297" spans="2:65" s="1" customFormat="1" ht="24" customHeight="1" x14ac:dyDescent="0.2">
      <c r="B297" s="118"/>
      <c r="C297" s="131" t="s">
        <v>613</v>
      </c>
      <c r="D297" s="131" t="s">
        <v>277</v>
      </c>
      <c r="E297" s="132" t="s">
        <v>3315</v>
      </c>
      <c r="F297" s="133" t="s">
        <v>3316</v>
      </c>
      <c r="G297" s="134" t="s">
        <v>284</v>
      </c>
      <c r="H297" s="135">
        <v>575.23500000000001</v>
      </c>
      <c r="I297" s="136">
        <v>13.93</v>
      </c>
      <c r="J297" s="136">
        <f t="shared" si="95"/>
        <v>8013.02</v>
      </c>
      <c r="K297" s="133" t="s">
        <v>1</v>
      </c>
      <c r="L297" s="137"/>
      <c r="M297" s="138" t="s">
        <v>1</v>
      </c>
      <c r="N297" s="139" t="s">
        <v>32</v>
      </c>
      <c r="O297" s="127">
        <v>0</v>
      </c>
      <c r="P297" s="127">
        <f t="shared" si="96"/>
        <v>0</v>
      </c>
      <c r="Q297" s="127">
        <v>0</v>
      </c>
      <c r="R297" s="127">
        <f t="shared" si="97"/>
        <v>0</v>
      </c>
      <c r="S297" s="127">
        <v>0</v>
      </c>
      <c r="T297" s="128">
        <f t="shared" si="98"/>
        <v>0</v>
      </c>
      <c r="W297" s="199"/>
      <c r="X297" s="131" t="s">
        <v>613</v>
      </c>
      <c r="Y297" s="131" t="s">
        <v>277</v>
      </c>
      <c r="Z297" s="132" t="s">
        <v>3315</v>
      </c>
      <c r="AA297" s="133" t="s">
        <v>3316</v>
      </c>
      <c r="AB297" s="134" t="s">
        <v>284</v>
      </c>
      <c r="AC297" s="135">
        <v>575.23500000000001</v>
      </c>
      <c r="AD297" s="136">
        <v>13.93</v>
      </c>
      <c r="AE297" s="229">
        <f t="shared" si="99"/>
        <v>8013.02</v>
      </c>
      <c r="AF297" s="956"/>
      <c r="AH297" s="130">
        <f t="shared" si="82"/>
        <v>0</v>
      </c>
      <c r="AJ297" s="398">
        <f t="shared" si="94"/>
        <v>0</v>
      </c>
      <c r="AK297" s="409"/>
      <c r="AL297" s="408"/>
      <c r="AM297" s="407"/>
      <c r="AN297" s="407"/>
      <c r="AO297" s="407"/>
      <c r="AP297" s="407"/>
      <c r="AQ297" s="407"/>
      <c r="AR297" s="129" t="s">
        <v>244</v>
      </c>
      <c r="AT297" s="129" t="s">
        <v>277</v>
      </c>
      <c r="AU297" s="129" t="s">
        <v>76</v>
      </c>
      <c r="AY297" s="13" t="s">
        <v>228</v>
      </c>
      <c r="BE297" s="130">
        <f t="shared" si="100"/>
        <v>0</v>
      </c>
      <c r="BF297" s="130">
        <f t="shared" si="101"/>
        <v>8013.02</v>
      </c>
      <c r="BG297" s="130">
        <f t="shared" si="102"/>
        <v>0</v>
      </c>
      <c r="BH297" s="130">
        <f t="shared" si="103"/>
        <v>0</v>
      </c>
      <c r="BI297" s="130">
        <f t="shared" si="104"/>
        <v>0</v>
      </c>
      <c r="BJ297" s="13" t="s">
        <v>76</v>
      </c>
      <c r="BK297" s="130">
        <f t="shared" si="105"/>
        <v>8013.02</v>
      </c>
      <c r="BL297" s="13" t="s">
        <v>235</v>
      </c>
      <c r="BM297" s="129" t="s">
        <v>610</v>
      </c>
    </row>
    <row r="298" spans="2:65" s="1" customFormat="1" ht="24" customHeight="1" x14ac:dyDescent="0.2">
      <c r="B298" s="118"/>
      <c r="C298" s="205" t="s">
        <v>421</v>
      </c>
      <c r="D298" s="119" t="s">
        <v>231</v>
      </c>
      <c r="E298" s="120" t="s">
        <v>3317</v>
      </c>
      <c r="F298" s="121" t="s">
        <v>3318</v>
      </c>
      <c r="G298" s="122" t="s">
        <v>284</v>
      </c>
      <c r="H298" s="206">
        <v>38.9</v>
      </c>
      <c r="I298" s="124">
        <v>7.55</v>
      </c>
      <c r="J298" s="124">
        <f t="shared" si="95"/>
        <v>293.7</v>
      </c>
      <c r="K298" s="121" t="s">
        <v>1</v>
      </c>
      <c r="L298" s="24"/>
      <c r="M298" s="125" t="s">
        <v>1</v>
      </c>
      <c r="N298" s="126" t="s">
        <v>32</v>
      </c>
      <c r="O298" s="127">
        <v>0</v>
      </c>
      <c r="P298" s="127">
        <f t="shared" si="96"/>
        <v>0</v>
      </c>
      <c r="Q298" s="127">
        <v>0</v>
      </c>
      <c r="R298" s="127">
        <f t="shared" si="97"/>
        <v>0</v>
      </c>
      <c r="S298" s="127">
        <v>0</v>
      </c>
      <c r="T298" s="128">
        <f t="shared" si="98"/>
        <v>0</v>
      </c>
      <c r="W298" s="199"/>
      <c r="X298" s="205" t="s">
        <v>421</v>
      </c>
      <c r="Y298" s="119" t="s">
        <v>231</v>
      </c>
      <c r="Z298" s="120" t="s">
        <v>3317</v>
      </c>
      <c r="AA298" s="121" t="s">
        <v>3318</v>
      </c>
      <c r="AB298" s="122" t="s">
        <v>284</v>
      </c>
      <c r="AC298" s="206">
        <v>41.1</v>
      </c>
      <c r="AD298" s="124">
        <v>7.55</v>
      </c>
      <c r="AE298" s="200">
        <f t="shared" si="99"/>
        <v>310.31</v>
      </c>
      <c r="AF298" s="956">
        <v>1</v>
      </c>
      <c r="AH298" s="130">
        <f t="shared" si="82"/>
        <v>2.2000000000000028</v>
      </c>
      <c r="AJ298" s="398">
        <f t="shared" si="94"/>
        <v>16.610000000000021</v>
      </c>
      <c r="AK298" s="409"/>
      <c r="AL298" s="408"/>
      <c r="AM298" s="407"/>
      <c r="AN298" s="407"/>
      <c r="AO298" s="407"/>
      <c r="AP298" s="407"/>
      <c r="AQ298" s="407"/>
      <c r="AR298" s="129" t="s">
        <v>235</v>
      </c>
      <c r="AT298" s="129" t="s">
        <v>231</v>
      </c>
      <c r="AU298" s="129" t="s">
        <v>76</v>
      </c>
      <c r="AY298" s="13" t="s">
        <v>228</v>
      </c>
      <c r="BE298" s="130">
        <f t="shared" si="100"/>
        <v>0</v>
      </c>
      <c r="BF298" s="130">
        <f t="shared" si="101"/>
        <v>293.7</v>
      </c>
      <c r="BG298" s="130">
        <f t="shared" si="102"/>
        <v>0</v>
      </c>
      <c r="BH298" s="130">
        <f t="shared" si="103"/>
        <v>0</v>
      </c>
      <c r="BI298" s="130">
        <f t="shared" si="104"/>
        <v>0</v>
      </c>
      <c r="BJ298" s="13" t="s">
        <v>76</v>
      </c>
      <c r="BK298" s="130">
        <f t="shared" si="105"/>
        <v>293.7</v>
      </c>
      <c r="BL298" s="13" t="s">
        <v>235</v>
      </c>
      <c r="BM298" s="129" t="s">
        <v>616</v>
      </c>
    </row>
    <row r="299" spans="2:65" s="1" customFormat="1" ht="22.95" customHeight="1" x14ac:dyDescent="0.2">
      <c r="B299" s="118"/>
      <c r="C299" s="242" t="s">
        <v>620</v>
      </c>
      <c r="D299" s="131" t="s">
        <v>277</v>
      </c>
      <c r="E299" s="132" t="s">
        <v>3319</v>
      </c>
      <c r="F299" s="133" t="s">
        <v>3320</v>
      </c>
      <c r="G299" s="134" t="s">
        <v>234</v>
      </c>
      <c r="H299" s="241">
        <v>3.968</v>
      </c>
      <c r="I299" s="136">
        <v>116.1</v>
      </c>
      <c r="J299" s="136">
        <f t="shared" si="95"/>
        <v>460.68</v>
      </c>
      <c r="K299" s="133" t="s">
        <v>1</v>
      </c>
      <c r="L299" s="137"/>
      <c r="M299" s="138" t="s">
        <v>1</v>
      </c>
      <c r="N299" s="139" t="s">
        <v>32</v>
      </c>
      <c r="O299" s="127">
        <v>0</v>
      </c>
      <c r="P299" s="127">
        <f t="shared" si="96"/>
        <v>0</v>
      </c>
      <c r="Q299" s="127">
        <v>0</v>
      </c>
      <c r="R299" s="127">
        <f t="shared" si="97"/>
        <v>0</v>
      </c>
      <c r="S299" s="127">
        <v>0</v>
      </c>
      <c r="T299" s="128">
        <f t="shared" si="98"/>
        <v>0</v>
      </c>
      <c r="W299" s="199"/>
      <c r="X299" s="242" t="s">
        <v>620</v>
      </c>
      <c r="Y299" s="131" t="s">
        <v>277</v>
      </c>
      <c r="Z299" s="132" t="s">
        <v>3319</v>
      </c>
      <c r="AA299" s="133" t="s">
        <v>3320</v>
      </c>
      <c r="AB299" s="134" t="s">
        <v>234</v>
      </c>
      <c r="AC299" s="241">
        <v>4.1920000000000002</v>
      </c>
      <c r="AD299" s="136">
        <v>116.1</v>
      </c>
      <c r="AE299" s="229">
        <f t="shared" si="99"/>
        <v>486.69</v>
      </c>
      <c r="AF299" s="956">
        <v>1</v>
      </c>
      <c r="AH299" s="130">
        <f t="shared" si="82"/>
        <v>0.2240000000000002</v>
      </c>
      <c r="AJ299" s="398">
        <f t="shared" si="94"/>
        <v>26.006400000000021</v>
      </c>
      <c r="AK299" s="409"/>
      <c r="AL299" s="408"/>
      <c r="AM299" s="407"/>
      <c r="AN299" s="407"/>
      <c r="AO299" s="407"/>
      <c r="AP299" s="407"/>
      <c r="AQ299" s="407"/>
      <c r="AR299" s="129" t="s">
        <v>244</v>
      </c>
      <c r="AT299" s="129" t="s">
        <v>277</v>
      </c>
      <c r="AU299" s="129" t="s">
        <v>76</v>
      </c>
      <c r="AY299" s="13" t="s">
        <v>228</v>
      </c>
      <c r="BE299" s="130">
        <f t="shared" si="100"/>
        <v>0</v>
      </c>
      <c r="BF299" s="130">
        <f t="shared" si="101"/>
        <v>460.68</v>
      </c>
      <c r="BG299" s="130">
        <f t="shared" si="102"/>
        <v>0</v>
      </c>
      <c r="BH299" s="130">
        <f t="shared" si="103"/>
        <v>0</v>
      </c>
      <c r="BI299" s="130">
        <f t="shared" si="104"/>
        <v>0</v>
      </c>
      <c r="BJ299" s="13" t="s">
        <v>76</v>
      </c>
      <c r="BK299" s="130">
        <f t="shared" si="105"/>
        <v>460.68</v>
      </c>
      <c r="BL299" s="13" t="s">
        <v>235</v>
      </c>
      <c r="BM299" s="129" t="s">
        <v>619</v>
      </c>
    </row>
    <row r="300" spans="2:65" s="1" customFormat="1" ht="24" customHeight="1" x14ac:dyDescent="0.2">
      <c r="B300" s="118"/>
      <c r="C300" s="205" t="s">
        <v>425</v>
      </c>
      <c r="D300" s="119" t="s">
        <v>231</v>
      </c>
      <c r="E300" s="120" t="s">
        <v>3321</v>
      </c>
      <c r="F300" s="121" t="s">
        <v>3322</v>
      </c>
      <c r="G300" s="122" t="s">
        <v>284</v>
      </c>
      <c r="H300" s="206">
        <v>38.9</v>
      </c>
      <c r="I300" s="124">
        <v>2.9</v>
      </c>
      <c r="J300" s="124">
        <f t="shared" si="95"/>
        <v>112.81</v>
      </c>
      <c r="K300" s="121" t="s">
        <v>1</v>
      </c>
      <c r="L300" s="24"/>
      <c r="M300" s="125" t="s">
        <v>1</v>
      </c>
      <c r="N300" s="126" t="s">
        <v>32</v>
      </c>
      <c r="O300" s="127">
        <v>0</v>
      </c>
      <c r="P300" s="127">
        <f t="shared" si="96"/>
        <v>0</v>
      </c>
      <c r="Q300" s="127">
        <v>0</v>
      </c>
      <c r="R300" s="127">
        <f t="shared" si="97"/>
        <v>0</v>
      </c>
      <c r="S300" s="127">
        <v>0</v>
      </c>
      <c r="T300" s="128">
        <f t="shared" si="98"/>
        <v>0</v>
      </c>
      <c r="W300" s="199"/>
      <c r="X300" s="205" t="s">
        <v>425</v>
      </c>
      <c r="Y300" s="119" t="s">
        <v>231</v>
      </c>
      <c r="Z300" s="120" t="s">
        <v>3321</v>
      </c>
      <c r="AA300" s="121" t="s">
        <v>3322</v>
      </c>
      <c r="AB300" s="122" t="s">
        <v>284</v>
      </c>
      <c r="AC300" s="206">
        <v>41.1</v>
      </c>
      <c r="AD300" s="124">
        <v>2.9</v>
      </c>
      <c r="AE300" s="200">
        <f t="shared" si="99"/>
        <v>119.19</v>
      </c>
      <c r="AF300" s="956">
        <v>1</v>
      </c>
      <c r="AH300" s="130">
        <f t="shared" si="82"/>
        <v>2.2000000000000028</v>
      </c>
      <c r="AJ300" s="398">
        <f t="shared" si="94"/>
        <v>6.3800000000000079</v>
      </c>
      <c r="AK300" s="409"/>
      <c r="AL300" s="408"/>
      <c r="AM300" s="407"/>
      <c r="AN300" s="407"/>
      <c r="AO300" s="407"/>
      <c r="AP300" s="407"/>
      <c r="AQ300" s="407"/>
      <c r="AR300" s="129" t="s">
        <v>235</v>
      </c>
      <c r="AT300" s="129" t="s">
        <v>231</v>
      </c>
      <c r="AU300" s="129" t="s">
        <v>76</v>
      </c>
      <c r="AY300" s="13" t="s">
        <v>228</v>
      </c>
      <c r="BE300" s="130">
        <f t="shared" si="100"/>
        <v>0</v>
      </c>
      <c r="BF300" s="130">
        <f t="shared" si="101"/>
        <v>112.81</v>
      </c>
      <c r="BG300" s="130">
        <f t="shared" si="102"/>
        <v>0</v>
      </c>
      <c r="BH300" s="130">
        <f t="shared" si="103"/>
        <v>0</v>
      </c>
      <c r="BI300" s="130">
        <f t="shared" si="104"/>
        <v>0</v>
      </c>
      <c r="BJ300" s="13" t="s">
        <v>76</v>
      </c>
      <c r="BK300" s="130">
        <f t="shared" si="105"/>
        <v>112.81</v>
      </c>
      <c r="BL300" s="13" t="s">
        <v>235</v>
      </c>
      <c r="BM300" s="129" t="s">
        <v>623</v>
      </c>
    </row>
    <row r="301" spans="2:65" s="1" customFormat="1" ht="16.5" customHeight="1" x14ac:dyDescent="0.2">
      <c r="B301" s="118"/>
      <c r="C301" s="242" t="s">
        <v>627</v>
      </c>
      <c r="D301" s="131" t="s">
        <v>277</v>
      </c>
      <c r="E301" s="132" t="s">
        <v>3323</v>
      </c>
      <c r="F301" s="133" t="s">
        <v>3324</v>
      </c>
      <c r="G301" s="134" t="s">
        <v>284</v>
      </c>
      <c r="H301" s="241">
        <v>79.355999999999995</v>
      </c>
      <c r="I301" s="136">
        <v>16.25</v>
      </c>
      <c r="J301" s="136">
        <f t="shared" si="95"/>
        <v>1289.54</v>
      </c>
      <c r="K301" s="133" t="s">
        <v>1</v>
      </c>
      <c r="L301" s="137"/>
      <c r="M301" s="138" t="s">
        <v>1</v>
      </c>
      <c r="N301" s="139" t="s">
        <v>32</v>
      </c>
      <c r="O301" s="127">
        <v>0</v>
      </c>
      <c r="P301" s="127">
        <f t="shared" si="96"/>
        <v>0</v>
      </c>
      <c r="Q301" s="127">
        <v>0</v>
      </c>
      <c r="R301" s="127">
        <f t="shared" si="97"/>
        <v>0</v>
      </c>
      <c r="S301" s="127">
        <v>0</v>
      </c>
      <c r="T301" s="128">
        <f t="shared" si="98"/>
        <v>0</v>
      </c>
      <c r="W301" s="199"/>
      <c r="X301" s="242" t="s">
        <v>627</v>
      </c>
      <c r="Y301" s="131" t="s">
        <v>277</v>
      </c>
      <c r="Z301" s="132" t="s">
        <v>3323</v>
      </c>
      <c r="AA301" s="133" t="s">
        <v>3324</v>
      </c>
      <c r="AB301" s="134" t="s">
        <v>284</v>
      </c>
      <c r="AC301" s="241">
        <v>83.843999999999994</v>
      </c>
      <c r="AD301" s="136">
        <v>16.25</v>
      </c>
      <c r="AE301" s="229">
        <f t="shared" si="99"/>
        <v>1362.47</v>
      </c>
      <c r="AF301" s="956">
        <v>1</v>
      </c>
      <c r="AH301" s="130">
        <f t="shared" si="82"/>
        <v>4.4879999999999995</v>
      </c>
      <c r="AJ301" s="398">
        <f t="shared" si="94"/>
        <v>72.929999999999993</v>
      </c>
      <c r="AK301" s="409"/>
      <c r="AL301" s="408"/>
      <c r="AM301" s="407"/>
      <c r="AN301" s="407"/>
      <c r="AO301" s="407"/>
      <c r="AP301" s="407"/>
      <c r="AQ301" s="407"/>
      <c r="AR301" s="129" t="s">
        <v>244</v>
      </c>
      <c r="AT301" s="129" t="s">
        <v>277</v>
      </c>
      <c r="AU301" s="129" t="s">
        <v>76</v>
      </c>
      <c r="AY301" s="13" t="s">
        <v>228</v>
      </c>
      <c r="BE301" s="130">
        <f t="shared" si="100"/>
        <v>0</v>
      </c>
      <c r="BF301" s="130">
        <f t="shared" si="101"/>
        <v>1289.54</v>
      </c>
      <c r="BG301" s="130">
        <f t="shared" si="102"/>
        <v>0</v>
      </c>
      <c r="BH301" s="130">
        <f t="shared" si="103"/>
        <v>0</v>
      </c>
      <c r="BI301" s="130">
        <f t="shared" si="104"/>
        <v>0</v>
      </c>
      <c r="BJ301" s="13" t="s">
        <v>76</v>
      </c>
      <c r="BK301" s="130">
        <f t="shared" si="105"/>
        <v>1289.54</v>
      </c>
      <c r="BL301" s="13" t="s">
        <v>235</v>
      </c>
      <c r="BM301" s="129" t="s">
        <v>626</v>
      </c>
    </row>
    <row r="302" spans="2:65" s="417" customFormat="1" ht="34.200000000000003" x14ac:dyDescent="0.2">
      <c r="B302" s="118"/>
      <c r="C302" s="1234" t="s">
        <v>5205</v>
      </c>
      <c r="D302" s="1235"/>
      <c r="E302" s="1235"/>
      <c r="F302" s="1235"/>
      <c r="G302" s="1235"/>
      <c r="H302" s="1235"/>
      <c r="I302" s="1235"/>
      <c r="J302" s="1236"/>
      <c r="K302" s="133"/>
      <c r="L302" s="137"/>
      <c r="M302" s="138"/>
      <c r="N302" s="139"/>
      <c r="O302" s="127"/>
      <c r="P302" s="127"/>
      <c r="Q302" s="127"/>
      <c r="R302" s="127"/>
      <c r="S302" s="127"/>
      <c r="T302" s="128"/>
      <c r="W302" s="199"/>
      <c r="X302" s="341" t="s">
        <v>6083</v>
      </c>
      <c r="Y302" s="341" t="s">
        <v>231</v>
      </c>
      <c r="Z302" s="342" t="s">
        <v>6081</v>
      </c>
      <c r="AA302" s="343" t="s">
        <v>6082</v>
      </c>
      <c r="AB302" s="344" t="s">
        <v>284</v>
      </c>
      <c r="AC302" s="345">
        <f>128.796+10.958</f>
        <v>139.75399999999999</v>
      </c>
      <c r="AD302" s="346">
        <v>4.4800000000000004</v>
      </c>
      <c r="AE302" s="355">
        <f>ROUND(AD302*AC302,2)</f>
        <v>626.1</v>
      </c>
      <c r="AF302" s="956" t="s">
        <v>6317</v>
      </c>
      <c r="AH302" s="440">
        <f t="shared" si="82"/>
        <v>139.75399999999999</v>
      </c>
      <c r="AJ302" s="398"/>
      <c r="AK302" s="409"/>
      <c r="AL302" s="408"/>
      <c r="AM302" s="407"/>
      <c r="AN302" s="407"/>
      <c r="AO302" s="407"/>
      <c r="AP302" s="407"/>
      <c r="AQ302" s="407"/>
      <c r="AR302" s="129"/>
      <c r="AT302" s="129"/>
      <c r="AU302" s="129"/>
      <c r="AY302" s="13"/>
      <c r="BE302" s="130"/>
      <c r="BF302" s="130"/>
      <c r="BG302" s="130"/>
      <c r="BH302" s="130"/>
      <c r="BI302" s="130"/>
      <c r="BJ302" s="13"/>
      <c r="BK302" s="130"/>
      <c r="BL302" s="13"/>
      <c r="BM302" s="129"/>
    </row>
    <row r="303" spans="2:65" s="1" customFormat="1" ht="24" customHeight="1" x14ac:dyDescent="0.2">
      <c r="B303" s="118"/>
      <c r="C303" s="205" t="s">
        <v>428</v>
      </c>
      <c r="D303" s="119" t="s">
        <v>231</v>
      </c>
      <c r="E303" s="120" t="s">
        <v>3325</v>
      </c>
      <c r="F303" s="121" t="s">
        <v>3326</v>
      </c>
      <c r="G303" s="122" t="s">
        <v>570</v>
      </c>
      <c r="H303" s="206">
        <v>186.79499999999999</v>
      </c>
      <c r="I303" s="124">
        <v>0.99</v>
      </c>
      <c r="J303" s="124">
        <f t="shared" si="95"/>
        <v>184.93</v>
      </c>
      <c r="K303" s="121" t="s">
        <v>1</v>
      </c>
      <c r="L303" s="24"/>
      <c r="M303" s="125" t="s">
        <v>1</v>
      </c>
      <c r="N303" s="126" t="s">
        <v>32</v>
      </c>
      <c r="O303" s="127">
        <v>0</v>
      </c>
      <c r="P303" s="127">
        <f t="shared" si="96"/>
        <v>0</v>
      </c>
      <c r="Q303" s="127">
        <v>0</v>
      </c>
      <c r="R303" s="127">
        <f t="shared" si="97"/>
        <v>0</v>
      </c>
      <c r="S303" s="127">
        <v>0</v>
      </c>
      <c r="T303" s="128">
        <f t="shared" si="98"/>
        <v>0</v>
      </c>
      <c r="W303" s="199"/>
      <c r="X303" s="205" t="s">
        <v>428</v>
      </c>
      <c r="Y303" s="119" t="s">
        <v>231</v>
      </c>
      <c r="Z303" s="120" t="s">
        <v>3325</v>
      </c>
      <c r="AA303" s="121" t="s">
        <v>3326</v>
      </c>
      <c r="AB303" s="122" t="s">
        <v>570</v>
      </c>
      <c r="AC303" s="206">
        <f>186.795+1.219</f>
        <v>188.01399999999998</v>
      </c>
      <c r="AD303" s="124">
        <v>0.99</v>
      </c>
      <c r="AE303" s="200">
        <f t="shared" si="99"/>
        <v>186.13</v>
      </c>
      <c r="AF303" s="956">
        <v>1</v>
      </c>
      <c r="AH303" s="130">
        <f t="shared" si="82"/>
        <v>1.2189999999999941</v>
      </c>
      <c r="AJ303" s="398">
        <f t="shared" si="94"/>
        <v>1.2068099999999942</v>
      </c>
      <c r="AK303" s="409"/>
      <c r="AL303" s="408"/>
      <c r="AM303" s="407"/>
      <c r="AN303" s="407"/>
      <c r="AO303" s="407"/>
      <c r="AP303" s="407"/>
      <c r="AQ303" s="407"/>
      <c r="AR303" s="129" t="s">
        <v>235</v>
      </c>
      <c r="AT303" s="129" t="s">
        <v>231</v>
      </c>
      <c r="AU303" s="129" t="s">
        <v>76</v>
      </c>
      <c r="AY303" s="13" t="s">
        <v>228</v>
      </c>
      <c r="BE303" s="130">
        <f t="shared" si="100"/>
        <v>0</v>
      </c>
      <c r="BF303" s="130">
        <f t="shared" si="101"/>
        <v>184.93</v>
      </c>
      <c r="BG303" s="130">
        <f t="shared" si="102"/>
        <v>0</v>
      </c>
      <c r="BH303" s="130">
        <f t="shared" si="103"/>
        <v>0</v>
      </c>
      <c r="BI303" s="130">
        <f t="shared" si="104"/>
        <v>0</v>
      </c>
      <c r="BJ303" s="13" t="s">
        <v>76</v>
      </c>
      <c r="BK303" s="130">
        <f t="shared" si="105"/>
        <v>184.93</v>
      </c>
      <c r="BL303" s="13" t="s">
        <v>235</v>
      </c>
      <c r="BM303" s="129" t="s">
        <v>630</v>
      </c>
    </row>
    <row r="304" spans="2:65" s="340" customFormat="1" ht="24" customHeight="1" x14ac:dyDescent="0.25">
      <c r="B304" s="118"/>
      <c r="C304" s="254"/>
      <c r="D304" s="254"/>
      <c r="E304" s="255"/>
      <c r="F304" s="222"/>
      <c r="G304" s="256"/>
      <c r="H304" s="257"/>
      <c r="I304" s="258"/>
      <c r="J304" s="258"/>
      <c r="K304" s="222"/>
      <c r="L304" s="24"/>
      <c r="M304" s="125"/>
      <c r="N304" s="126"/>
      <c r="O304" s="127"/>
      <c r="P304" s="127"/>
      <c r="Q304" s="127"/>
      <c r="R304" s="127"/>
      <c r="S304" s="127"/>
      <c r="T304" s="128"/>
      <c r="W304" s="199"/>
      <c r="X304" s="357"/>
      <c r="Y304" s="358" t="s">
        <v>57</v>
      </c>
      <c r="Z304" s="359" t="s">
        <v>945</v>
      </c>
      <c r="AA304" s="201" t="s">
        <v>5743</v>
      </c>
      <c r="AB304" s="357"/>
      <c r="AC304" s="357"/>
      <c r="AD304" s="357"/>
      <c r="AE304" s="360">
        <f>SUM(AE305:AE307)</f>
        <v>367.15</v>
      </c>
      <c r="AF304" s="956"/>
      <c r="AH304" s="130">
        <f t="shared" si="82"/>
        <v>0</v>
      </c>
      <c r="AJ304" s="398">
        <f t="shared" si="94"/>
        <v>0</v>
      </c>
      <c r="AK304" s="409"/>
      <c r="AL304" s="408"/>
      <c r="AM304" s="407"/>
      <c r="AN304" s="407"/>
      <c r="AO304" s="407"/>
      <c r="AP304" s="407"/>
      <c r="AQ304" s="407"/>
      <c r="AR304" s="129"/>
      <c r="AT304" s="129"/>
      <c r="AU304" s="129"/>
      <c r="AY304" s="13"/>
      <c r="BE304" s="130"/>
      <c r="BF304" s="130"/>
      <c r="BG304" s="130"/>
      <c r="BH304" s="130"/>
      <c r="BI304" s="130"/>
      <c r="BJ304" s="13"/>
      <c r="BK304" s="130"/>
      <c r="BL304" s="13"/>
      <c r="BM304" s="129"/>
    </row>
    <row r="305" spans="2:65" s="340" customFormat="1" ht="24" customHeight="1" x14ac:dyDescent="0.2">
      <c r="B305" s="118"/>
      <c r="C305" s="1234" t="s">
        <v>5205</v>
      </c>
      <c r="D305" s="1235"/>
      <c r="E305" s="1235"/>
      <c r="F305" s="1235"/>
      <c r="G305" s="1235"/>
      <c r="H305" s="1235"/>
      <c r="I305" s="1235"/>
      <c r="J305" s="1236"/>
      <c r="K305" s="222"/>
      <c r="L305" s="24"/>
      <c r="M305" s="125"/>
      <c r="N305" s="126"/>
      <c r="O305" s="127"/>
      <c r="P305" s="127"/>
      <c r="Q305" s="127"/>
      <c r="R305" s="127"/>
      <c r="S305" s="127"/>
      <c r="T305" s="128"/>
      <c r="W305" s="199"/>
      <c r="X305" s="341" t="s">
        <v>5795</v>
      </c>
      <c r="Y305" s="341" t="s">
        <v>231</v>
      </c>
      <c r="Z305" s="342" t="s">
        <v>5744</v>
      </c>
      <c r="AA305" s="343" t="s">
        <v>5745</v>
      </c>
      <c r="AB305" s="344" t="s">
        <v>1194</v>
      </c>
      <c r="AC305" s="345">
        <v>5</v>
      </c>
      <c r="AD305" s="346">
        <v>24.4</v>
      </c>
      <c r="AE305" s="355">
        <f>ROUND(AD305*AC305,2)</f>
        <v>122</v>
      </c>
      <c r="AF305" s="956">
        <v>1</v>
      </c>
      <c r="AH305" s="130">
        <f t="shared" si="82"/>
        <v>5</v>
      </c>
      <c r="AJ305" s="398">
        <f t="shared" si="94"/>
        <v>122</v>
      </c>
      <c r="AK305" s="409"/>
      <c r="AL305" s="408"/>
      <c r="AM305" s="407"/>
      <c r="AN305" s="407"/>
      <c r="AO305" s="407"/>
      <c r="AP305" s="407"/>
      <c r="AQ305" s="407"/>
      <c r="AR305" s="129"/>
      <c r="AT305" s="129"/>
      <c r="AU305" s="129"/>
      <c r="AY305" s="13"/>
      <c r="BE305" s="130"/>
      <c r="BF305" s="130"/>
      <c r="BG305" s="130"/>
      <c r="BH305" s="130"/>
      <c r="BI305" s="130"/>
      <c r="BJ305" s="13"/>
      <c r="BK305" s="130"/>
      <c r="BL305" s="13"/>
      <c r="BM305" s="129"/>
    </row>
    <row r="306" spans="2:65" s="1122" customFormat="1" ht="24" customHeight="1" x14ac:dyDescent="0.2">
      <c r="B306" s="1118"/>
      <c r="C306" s="1234" t="s">
        <v>5205</v>
      </c>
      <c r="D306" s="1235"/>
      <c r="E306" s="1235"/>
      <c r="F306" s="1235"/>
      <c r="G306" s="1235"/>
      <c r="H306" s="1235"/>
      <c r="I306" s="1235"/>
      <c r="J306" s="1236"/>
      <c r="K306" s="1000"/>
      <c r="L306" s="1027"/>
      <c r="M306" s="1035"/>
      <c r="N306" s="1036"/>
      <c r="O306" s="1037"/>
      <c r="P306" s="1037"/>
      <c r="Q306" s="1037"/>
      <c r="R306" s="1037"/>
      <c r="S306" s="1037"/>
      <c r="T306" s="1038"/>
      <c r="W306" s="1041"/>
      <c r="X306" s="341" t="s">
        <v>6793</v>
      </c>
      <c r="Y306" s="341"/>
      <c r="Z306" s="342" t="s">
        <v>6351</v>
      </c>
      <c r="AA306" s="343" t="s">
        <v>6352</v>
      </c>
      <c r="AB306" s="344" t="s">
        <v>243</v>
      </c>
      <c r="AC306" s="345">
        <v>2</v>
      </c>
      <c r="AD306" s="346">
        <v>50</v>
      </c>
      <c r="AE306" s="355">
        <v>100</v>
      </c>
      <c r="AF306" s="956" t="s">
        <v>6425</v>
      </c>
      <c r="AH306" s="1119"/>
      <c r="AJ306" s="398"/>
      <c r="AK306" s="409"/>
      <c r="AL306" s="408"/>
      <c r="AM306" s="407"/>
      <c r="AN306" s="407"/>
      <c r="AO306" s="407"/>
      <c r="AP306" s="407"/>
      <c r="AQ306" s="407"/>
      <c r="AR306" s="1039"/>
      <c r="AT306" s="1039"/>
      <c r="AU306" s="1039"/>
      <c r="AY306" s="1117"/>
      <c r="BE306" s="1119"/>
      <c r="BF306" s="1119"/>
      <c r="BG306" s="1119"/>
      <c r="BH306" s="1119"/>
      <c r="BI306" s="1119"/>
      <c r="BJ306" s="1117"/>
      <c r="BK306" s="1119"/>
      <c r="BL306" s="1117"/>
      <c r="BM306" s="1039"/>
    </row>
    <row r="307" spans="2:65" s="1122" customFormat="1" ht="24" customHeight="1" x14ac:dyDescent="0.2">
      <c r="B307" s="1118"/>
      <c r="C307" s="1234" t="s">
        <v>5205</v>
      </c>
      <c r="D307" s="1235"/>
      <c r="E307" s="1235"/>
      <c r="F307" s="1235"/>
      <c r="G307" s="1235"/>
      <c r="H307" s="1235"/>
      <c r="I307" s="1235"/>
      <c r="J307" s="1236"/>
      <c r="K307" s="1000"/>
      <c r="L307" s="1027"/>
      <c r="M307" s="1035"/>
      <c r="N307" s="1036"/>
      <c r="O307" s="1037"/>
      <c r="P307" s="1037"/>
      <c r="Q307" s="1037"/>
      <c r="R307" s="1037"/>
      <c r="S307" s="1037"/>
      <c r="T307" s="1038"/>
      <c r="W307" s="1041"/>
      <c r="X307" s="341" t="s">
        <v>6794</v>
      </c>
      <c r="Y307" s="341"/>
      <c r="Z307" s="342" t="s">
        <v>575</v>
      </c>
      <c r="AA307" s="343" t="s">
        <v>6792</v>
      </c>
      <c r="AB307" s="344" t="s">
        <v>243</v>
      </c>
      <c r="AC307" s="345">
        <v>5</v>
      </c>
      <c r="AD307" s="346">
        <v>29.03</v>
      </c>
      <c r="AE307" s="355">
        <v>145.15</v>
      </c>
      <c r="AF307" s="956" t="s">
        <v>6425</v>
      </c>
      <c r="AH307" s="1119"/>
      <c r="AJ307" s="398"/>
      <c r="AK307" s="409"/>
      <c r="AL307" s="408"/>
      <c r="AM307" s="407"/>
      <c r="AN307" s="407"/>
      <c r="AO307" s="407"/>
      <c r="AP307" s="407"/>
      <c r="AQ307" s="407"/>
      <c r="AR307" s="1039"/>
      <c r="AT307" s="1039"/>
      <c r="AU307" s="1039"/>
      <c r="AY307" s="1117"/>
      <c r="BE307" s="1119"/>
      <c r="BF307" s="1119"/>
      <c r="BG307" s="1119"/>
      <c r="BH307" s="1119"/>
      <c r="BI307" s="1119"/>
      <c r="BJ307" s="1117"/>
      <c r="BK307" s="1119"/>
      <c r="BL307" s="1117"/>
      <c r="BM307" s="1039"/>
    </row>
    <row r="308" spans="2:65" s="11" customFormat="1" ht="22.95" customHeight="1" x14ac:dyDescent="0.25">
      <c r="B308" s="106"/>
      <c r="D308" s="107" t="s">
        <v>57</v>
      </c>
      <c r="E308" s="116" t="s">
        <v>611</v>
      </c>
      <c r="F308" s="116" t="s">
        <v>3327</v>
      </c>
      <c r="J308" s="117">
        <f>BK308</f>
        <v>3005.57</v>
      </c>
      <c r="L308" s="106"/>
      <c r="M308" s="110"/>
      <c r="N308" s="111"/>
      <c r="O308" s="111"/>
      <c r="P308" s="112">
        <f>SUM(P311:P315)</f>
        <v>0</v>
      </c>
      <c r="Q308" s="111"/>
      <c r="R308" s="112">
        <f>SUM(R311:R315)</f>
        <v>0</v>
      </c>
      <c r="S308" s="111"/>
      <c r="T308" s="113">
        <f>SUM(T311:T315)</f>
        <v>0</v>
      </c>
      <c r="W308" s="195"/>
      <c r="X308" s="111"/>
      <c r="Y308" s="196" t="s">
        <v>57</v>
      </c>
      <c r="Z308" s="201" t="s">
        <v>611</v>
      </c>
      <c r="AA308" s="201" t="s">
        <v>3327</v>
      </c>
      <c r="AB308" s="111"/>
      <c r="AC308" s="111"/>
      <c r="AD308" s="111"/>
      <c r="AE308" s="202">
        <f>SUM(AE309:AE315)</f>
        <v>7132.8099999999995</v>
      </c>
      <c r="AF308" s="956"/>
      <c r="AH308" s="130">
        <f t="shared" si="82"/>
        <v>0</v>
      </c>
      <c r="AJ308" s="398">
        <f t="shared" si="94"/>
        <v>0</v>
      </c>
      <c r="AK308" s="409"/>
      <c r="AL308" s="408"/>
      <c r="AM308" s="292"/>
      <c r="AN308" s="407"/>
      <c r="AO308" s="292"/>
      <c r="AP308" s="292"/>
      <c r="AQ308" s="292"/>
      <c r="AR308" s="107" t="s">
        <v>63</v>
      </c>
      <c r="AT308" s="114" t="s">
        <v>57</v>
      </c>
      <c r="AU308" s="114" t="s">
        <v>63</v>
      </c>
      <c r="AY308" s="107" t="s">
        <v>228</v>
      </c>
      <c r="BK308" s="115">
        <f>SUM(BK311:BK315)</f>
        <v>3005.57</v>
      </c>
    </row>
    <row r="309" spans="2:65" s="11" customFormat="1" ht="26.25" customHeight="1" x14ac:dyDescent="0.2">
      <c r="B309" s="106"/>
      <c r="C309" s="1234" t="s">
        <v>5205</v>
      </c>
      <c r="D309" s="1235"/>
      <c r="E309" s="1235"/>
      <c r="F309" s="1235"/>
      <c r="G309" s="1235"/>
      <c r="H309" s="1235"/>
      <c r="I309" s="1235"/>
      <c r="J309" s="1236"/>
      <c r="L309" s="106"/>
      <c r="M309" s="110"/>
      <c r="N309" s="111"/>
      <c r="O309" s="111"/>
      <c r="P309" s="112"/>
      <c r="Q309" s="111"/>
      <c r="R309" s="112"/>
      <c r="S309" s="111"/>
      <c r="T309" s="113"/>
      <c r="W309" s="195"/>
      <c r="X309" s="341" t="s">
        <v>5796</v>
      </c>
      <c r="Y309" s="341" t="s">
        <v>231</v>
      </c>
      <c r="Z309" s="342" t="s">
        <v>5746</v>
      </c>
      <c r="AA309" s="343" t="s">
        <v>5747</v>
      </c>
      <c r="AB309" s="344" t="s">
        <v>284</v>
      </c>
      <c r="AC309" s="345">
        <v>7.02</v>
      </c>
      <c r="AD309" s="346">
        <v>35</v>
      </c>
      <c r="AE309" s="355">
        <f>ROUND(AD309*AC309,2)</f>
        <v>245.7</v>
      </c>
      <c r="AF309" s="956">
        <v>1</v>
      </c>
      <c r="AH309" s="130">
        <f t="shared" si="82"/>
        <v>7.02</v>
      </c>
      <c r="AJ309" s="398">
        <f t="shared" si="94"/>
        <v>245.7</v>
      </c>
      <c r="AK309" s="409"/>
      <c r="AL309" s="408"/>
      <c r="AM309" s="292"/>
      <c r="AN309" s="407"/>
      <c r="AO309" s="292"/>
      <c r="AP309" s="292"/>
      <c r="AQ309" s="292"/>
      <c r="AR309" s="107"/>
      <c r="AT309" s="114"/>
      <c r="AU309" s="114"/>
      <c r="AY309" s="107"/>
      <c r="BK309" s="115"/>
    </row>
    <row r="310" spans="2:65" s="11" customFormat="1" ht="34.950000000000003" customHeight="1" x14ac:dyDescent="0.2">
      <c r="B310" s="106"/>
      <c r="C310" s="1234" t="s">
        <v>5205</v>
      </c>
      <c r="D310" s="1235"/>
      <c r="E310" s="1235"/>
      <c r="F310" s="1235"/>
      <c r="G310" s="1235"/>
      <c r="H310" s="1235"/>
      <c r="I310" s="1235"/>
      <c r="J310" s="1236"/>
      <c r="L310" s="106"/>
      <c r="M310" s="110"/>
      <c r="N310" s="111"/>
      <c r="O310" s="111"/>
      <c r="P310" s="112"/>
      <c r="Q310" s="111"/>
      <c r="R310" s="112"/>
      <c r="S310" s="111"/>
      <c r="T310" s="113"/>
      <c r="W310" s="195"/>
      <c r="X310" s="207" t="s">
        <v>5855</v>
      </c>
      <c r="Y310" s="207" t="s">
        <v>231</v>
      </c>
      <c r="Z310" s="342" t="s">
        <v>617</v>
      </c>
      <c r="AA310" s="343" t="s">
        <v>6431</v>
      </c>
      <c r="AB310" s="344" t="s">
        <v>284</v>
      </c>
      <c r="AC310" s="345">
        <v>27.86</v>
      </c>
      <c r="AD310" s="346">
        <v>36.57</v>
      </c>
      <c r="AE310" s="355">
        <f>ROUND(AD310*AC310,2)</f>
        <v>1018.84</v>
      </c>
      <c r="AF310" s="956" t="s">
        <v>6425</v>
      </c>
      <c r="AH310" s="130"/>
      <c r="AJ310" s="398"/>
      <c r="AK310" s="409"/>
      <c r="AL310" s="408"/>
      <c r="AM310" s="292"/>
      <c r="AN310" s="407"/>
      <c r="AO310" s="292"/>
      <c r="AP310" s="292"/>
      <c r="AQ310" s="292"/>
      <c r="AR310" s="107"/>
      <c r="AT310" s="114"/>
      <c r="AU310" s="114"/>
      <c r="AY310" s="107"/>
      <c r="BK310" s="115"/>
    </row>
    <row r="311" spans="2:65" s="1" customFormat="1" ht="16.5" customHeight="1" x14ac:dyDescent="0.2">
      <c r="B311" s="118"/>
      <c r="C311" s="205" t="s">
        <v>636</v>
      </c>
      <c r="D311" s="119" t="s">
        <v>231</v>
      </c>
      <c r="E311" s="120" t="s">
        <v>3328</v>
      </c>
      <c r="F311" s="121" t="s">
        <v>3329</v>
      </c>
      <c r="G311" s="122" t="s">
        <v>284</v>
      </c>
      <c r="H311" s="206">
        <v>22.59</v>
      </c>
      <c r="I311" s="124">
        <v>27.63</v>
      </c>
      <c r="J311" s="124">
        <f>ROUND(I311*H311,2)</f>
        <v>624.16</v>
      </c>
      <c r="K311" s="121" t="s">
        <v>1</v>
      </c>
      <c r="L311" s="24"/>
      <c r="M311" s="125" t="s">
        <v>1</v>
      </c>
      <c r="N311" s="126" t="s">
        <v>32</v>
      </c>
      <c r="O311" s="127">
        <v>0</v>
      </c>
      <c r="P311" s="127">
        <f>O311*H311</f>
        <v>0</v>
      </c>
      <c r="Q311" s="127">
        <v>0</v>
      </c>
      <c r="R311" s="127">
        <f>Q311*H311</f>
        <v>0</v>
      </c>
      <c r="S311" s="127">
        <v>0</v>
      </c>
      <c r="T311" s="128">
        <f>S311*H311</f>
        <v>0</v>
      </c>
      <c r="W311" s="199"/>
      <c r="X311" s="205" t="s">
        <v>636</v>
      </c>
      <c r="Y311" s="119" t="s">
        <v>231</v>
      </c>
      <c r="Z311" s="120" t="s">
        <v>3328</v>
      </c>
      <c r="AA311" s="121" t="s">
        <v>3329</v>
      </c>
      <c r="AB311" s="122" t="s">
        <v>284</v>
      </c>
      <c r="AC311" s="206">
        <v>87.784999999999997</v>
      </c>
      <c r="AD311" s="124">
        <v>27.63</v>
      </c>
      <c r="AE311" s="200">
        <f>ROUND(AD311*AC311,2)</f>
        <v>2425.5</v>
      </c>
      <c r="AF311" s="956">
        <v>1</v>
      </c>
      <c r="AH311" s="130">
        <f t="shared" si="82"/>
        <v>65.194999999999993</v>
      </c>
      <c r="AJ311" s="398">
        <f t="shared" si="94"/>
        <v>1801.3378499999997</v>
      </c>
      <c r="AK311" s="409"/>
      <c r="AL311" s="408"/>
      <c r="AM311" s="407"/>
      <c r="AN311" s="407"/>
      <c r="AO311" s="407"/>
      <c r="AP311" s="407"/>
      <c r="AQ311" s="407"/>
      <c r="AR311" s="129" t="s">
        <v>235</v>
      </c>
      <c r="AT311" s="129" t="s">
        <v>231</v>
      </c>
      <c r="AU311" s="129" t="s">
        <v>76</v>
      </c>
      <c r="AY311" s="13" t="s">
        <v>228</v>
      </c>
      <c r="BE311" s="130">
        <f>IF(N311="základná",J311,0)</f>
        <v>0</v>
      </c>
      <c r="BF311" s="130">
        <f>IF(N311="znížená",J311,0)</f>
        <v>624.16</v>
      </c>
      <c r="BG311" s="130">
        <f>IF(N311="zákl. prenesená",J311,0)</f>
        <v>0</v>
      </c>
      <c r="BH311" s="130">
        <f>IF(N311="zníž. prenesená",J311,0)</f>
        <v>0</v>
      </c>
      <c r="BI311" s="130">
        <f>IF(N311="nulová",J311,0)</f>
        <v>0</v>
      </c>
      <c r="BJ311" s="13" t="s">
        <v>76</v>
      </c>
      <c r="BK311" s="130">
        <f>ROUND(I311*H311,2)</f>
        <v>624.16</v>
      </c>
      <c r="BL311" s="13" t="s">
        <v>235</v>
      </c>
      <c r="BM311" s="129" t="s">
        <v>635</v>
      </c>
    </row>
    <row r="312" spans="2:65" s="1" customFormat="1" ht="24" customHeight="1" x14ac:dyDescent="0.2">
      <c r="B312" s="118"/>
      <c r="C312" s="205" t="s">
        <v>432</v>
      </c>
      <c r="D312" s="119" t="s">
        <v>231</v>
      </c>
      <c r="E312" s="120" t="s">
        <v>3330</v>
      </c>
      <c r="F312" s="121" t="s">
        <v>3331</v>
      </c>
      <c r="G312" s="122" t="s">
        <v>284</v>
      </c>
      <c r="H312" s="206">
        <v>65.05</v>
      </c>
      <c r="I312" s="124">
        <v>28.79</v>
      </c>
      <c r="J312" s="124">
        <f>ROUND(I312*H312,2)</f>
        <v>1872.79</v>
      </c>
      <c r="K312" s="121" t="s">
        <v>1</v>
      </c>
      <c r="L312" s="24"/>
      <c r="M312" s="125" t="s">
        <v>1</v>
      </c>
      <c r="N312" s="126" t="s">
        <v>32</v>
      </c>
      <c r="O312" s="127">
        <v>0</v>
      </c>
      <c r="P312" s="127">
        <f>O312*H312</f>
        <v>0</v>
      </c>
      <c r="Q312" s="127">
        <v>0</v>
      </c>
      <c r="R312" s="127">
        <f>Q312*H312</f>
        <v>0</v>
      </c>
      <c r="S312" s="127">
        <v>0</v>
      </c>
      <c r="T312" s="128">
        <f>S312*H312</f>
        <v>0</v>
      </c>
      <c r="W312" s="199"/>
      <c r="X312" s="205" t="s">
        <v>432</v>
      </c>
      <c r="Y312" s="119" t="s">
        <v>231</v>
      </c>
      <c r="Z312" s="120" t="s">
        <v>3330</v>
      </c>
      <c r="AA312" s="121" t="s">
        <v>3331</v>
      </c>
      <c r="AB312" s="122" t="s">
        <v>284</v>
      </c>
      <c r="AC312" s="206">
        <v>69.34</v>
      </c>
      <c r="AD312" s="124">
        <v>28.79</v>
      </c>
      <c r="AE312" s="200">
        <f>ROUND(AD312*AC312,2)</f>
        <v>1996.3</v>
      </c>
      <c r="AF312" s="956">
        <v>1</v>
      </c>
      <c r="AH312" s="130">
        <f t="shared" si="82"/>
        <v>4.2900000000000063</v>
      </c>
      <c r="AJ312" s="398">
        <f t="shared" si="94"/>
        <v>123.50910000000017</v>
      </c>
      <c r="AK312" s="409"/>
      <c r="AL312" s="408"/>
      <c r="AM312" s="407"/>
      <c r="AN312" s="407"/>
      <c r="AO312" s="407"/>
      <c r="AP312" s="407"/>
      <c r="AQ312" s="407"/>
      <c r="AR312" s="129" t="s">
        <v>235</v>
      </c>
      <c r="AT312" s="129" t="s">
        <v>231</v>
      </c>
      <c r="AU312" s="129" t="s">
        <v>76</v>
      </c>
      <c r="AY312" s="13" t="s">
        <v>228</v>
      </c>
      <c r="BE312" s="130">
        <f>IF(N312="základná",J312,0)</f>
        <v>0</v>
      </c>
      <c r="BF312" s="130">
        <f>IF(N312="znížená",J312,0)</f>
        <v>1872.79</v>
      </c>
      <c r="BG312" s="130">
        <f>IF(N312="zákl. prenesená",J312,0)</f>
        <v>0</v>
      </c>
      <c r="BH312" s="130">
        <f>IF(N312="zníž. prenesená",J312,0)</f>
        <v>0</v>
      </c>
      <c r="BI312" s="130">
        <f>IF(N312="nulová",J312,0)</f>
        <v>0</v>
      </c>
      <c r="BJ312" s="13" t="s">
        <v>76</v>
      </c>
      <c r="BK312" s="130">
        <f>ROUND(I312*H312,2)</f>
        <v>1872.79</v>
      </c>
      <c r="BL312" s="13" t="s">
        <v>235</v>
      </c>
      <c r="BM312" s="129" t="s">
        <v>639</v>
      </c>
    </row>
    <row r="313" spans="2:65" s="1" customFormat="1" ht="24" customHeight="1" x14ac:dyDescent="0.2">
      <c r="B313" s="118"/>
      <c r="C313" s="205" t="s">
        <v>643</v>
      </c>
      <c r="D313" s="119" t="s">
        <v>231</v>
      </c>
      <c r="E313" s="120" t="s">
        <v>3332</v>
      </c>
      <c r="F313" s="121" t="s">
        <v>3333</v>
      </c>
      <c r="G313" s="122" t="s">
        <v>284</v>
      </c>
      <c r="H313" s="206">
        <v>13.52</v>
      </c>
      <c r="I313" s="124">
        <v>30.07</v>
      </c>
      <c r="J313" s="124">
        <f>ROUND(I313*H313,2)</f>
        <v>406.55</v>
      </c>
      <c r="K313" s="121" t="s">
        <v>1</v>
      </c>
      <c r="L313" s="24"/>
      <c r="M313" s="125" t="s">
        <v>1</v>
      </c>
      <c r="N313" s="126" t="s">
        <v>32</v>
      </c>
      <c r="O313" s="127">
        <v>0</v>
      </c>
      <c r="P313" s="127">
        <f>O313*H313</f>
        <v>0</v>
      </c>
      <c r="Q313" s="127">
        <v>0</v>
      </c>
      <c r="R313" s="127">
        <f>Q313*H313</f>
        <v>0</v>
      </c>
      <c r="S313" s="127">
        <v>0</v>
      </c>
      <c r="T313" s="128">
        <f>S313*H313</f>
        <v>0</v>
      </c>
      <c r="W313" s="199"/>
      <c r="X313" s="205" t="s">
        <v>643</v>
      </c>
      <c r="Y313" s="119" t="s">
        <v>231</v>
      </c>
      <c r="Z313" s="120" t="s">
        <v>3332</v>
      </c>
      <c r="AA313" s="121" t="s">
        <v>3333</v>
      </c>
      <c r="AB313" s="122" t="s">
        <v>284</v>
      </c>
      <c r="AC313" s="206">
        <v>36.51</v>
      </c>
      <c r="AD313" s="124">
        <v>30.07</v>
      </c>
      <c r="AE313" s="200">
        <f>ROUND(AD313*AC313,2)</f>
        <v>1097.8599999999999</v>
      </c>
      <c r="AF313" s="956">
        <v>1</v>
      </c>
      <c r="AH313" s="130">
        <f t="shared" si="82"/>
        <v>22.99</v>
      </c>
      <c r="AJ313" s="398">
        <f t="shared" si="94"/>
        <v>691.30930000000001</v>
      </c>
      <c r="AK313" s="409"/>
      <c r="AL313" s="408"/>
      <c r="AM313" s="407"/>
      <c r="AN313" s="407"/>
      <c r="AO313" s="407"/>
      <c r="AP313" s="407"/>
      <c r="AQ313" s="407"/>
      <c r="AR313" s="129" t="s">
        <v>235</v>
      </c>
      <c r="AT313" s="129" t="s">
        <v>231</v>
      </c>
      <c r="AU313" s="129" t="s">
        <v>76</v>
      </c>
      <c r="AY313" s="13" t="s">
        <v>228</v>
      </c>
      <c r="BE313" s="130">
        <f>IF(N313="základná",J313,0)</f>
        <v>0</v>
      </c>
      <c r="BF313" s="130">
        <f>IF(N313="znížená",J313,0)</f>
        <v>406.55</v>
      </c>
      <c r="BG313" s="130">
        <f>IF(N313="zákl. prenesená",J313,0)</f>
        <v>0</v>
      </c>
      <c r="BH313" s="130">
        <f>IF(N313="zníž. prenesená",J313,0)</f>
        <v>0</v>
      </c>
      <c r="BI313" s="130">
        <f>IF(N313="nulová",J313,0)</f>
        <v>0</v>
      </c>
      <c r="BJ313" s="13" t="s">
        <v>76</v>
      </c>
      <c r="BK313" s="130">
        <f>ROUND(I313*H313,2)</f>
        <v>406.55</v>
      </c>
      <c r="BL313" s="13" t="s">
        <v>235</v>
      </c>
      <c r="BM313" s="129" t="s">
        <v>642</v>
      </c>
    </row>
    <row r="314" spans="2:65" s="670" customFormat="1" ht="24" customHeight="1" x14ac:dyDescent="0.2">
      <c r="B314" s="118"/>
      <c r="C314" s="1234" t="s">
        <v>5205</v>
      </c>
      <c r="D314" s="1235"/>
      <c r="E314" s="1235"/>
      <c r="F314" s="1235"/>
      <c r="G314" s="1235"/>
      <c r="H314" s="1235"/>
      <c r="I314" s="1235"/>
      <c r="J314" s="1236"/>
      <c r="K314" s="121"/>
      <c r="L314" s="24"/>
      <c r="M314" s="125"/>
      <c r="N314" s="126"/>
      <c r="O314" s="127"/>
      <c r="P314" s="127"/>
      <c r="Q314" s="127"/>
      <c r="R314" s="127"/>
      <c r="S314" s="127"/>
      <c r="T314" s="128"/>
      <c r="W314" s="199"/>
      <c r="X314" s="207" t="s">
        <v>5277</v>
      </c>
      <c r="Y314" s="207"/>
      <c r="Z314" s="342" t="s">
        <v>6432</v>
      </c>
      <c r="AA314" s="343" t="s">
        <v>6433</v>
      </c>
      <c r="AB314" s="344" t="s">
        <v>1194</v>
      </c>
      <c r="AC314" s="345">
        <v>2</v>
      </c>
      <c r="AD314" s="346">
        <v>25</v>
      </c>
      <c r="AE314" s="355">
        <f>AC314*AD314</f>
        <v>50</v>
      </c>
      <c r="AF314" s="956" t="s">
        <v>6425</v>
      </c>
      <c r="AH314" s="130"/>
      <c r="AJ314" s="398"/>
      <c r="AK314" s="409"/>
      <c r="AL314" s="408"/>
      <c r="AM314" s="407"/>
      <c r="AN314" s="407"/>
      <c r="AO314" s="407"/>
      <c r="AP314" s="407"/>
      <c r="AQ314" s="407"/>
      <c r="AR314" s="129"/>
      <c r="AT314" s="129"/>
      <c r="AU314" s="129"/>
      <c r="AY314" s="13"/>
      <c r="BE314" s="130"/>
      <c r="BF314" s="130"/>
      <c r="BG314" s="130"/>
      <c r="BH314" s="130"/>
      <c r="BI314" s="130"/>
      <c r="BJ314" s="13"/>
      <c r="BK314" s="130"/>
      <c r="BL314" s="13"/>
      <c r="BM314" s="129"/>
    </row>
    <row r="315" spans="2:65" s="1" customFormat="1" ht="24" customHeight="1" x14ac:dyDescent="0.2">
      <c r="B315" s="118"/>
      <c r="C315" s="205" t="s">
        <v>435</v>
      </c>
      <c r="D315" s="119" t="s">
        <v>231</v>
      </c>
      <c r="E315" s="120" t="s">
        <v>3334</v>
      </c>
      <c r="F315" s="121" t="s">
        <v>3335</v>
      </c>
      <c r="G315" s="122" t="s">
        <v>570</v>
      </c>
      <c r="H315" s="206">
        <v>20.414000000000001</v>
      </c>
      <c r="I315" s="124">
        <v>5</v>
      </c>
      <c r="J315" s="124">
        <f>ROUND(I315*H315,2)</f>
        <v>102.07</v>
      </c>
      <c r="K315" s="121" t="s">
        <v>1</v>
      </c>
      <c r="L315" s="24"/>
      <c r="M315" s="125" t="s">
        <v>1</v>
      </c>
      <c r="N315" s="126" t="s">
        <v>32</v>
      </c>
      <c r="O315" s="127">
        <v>0</v>
      </c>
      <c r="P315" s="127">
        <f>O315*H315</f>
        <v>0</v>
      </c>
      <c r="Q315" s="127">
        <v>0</v>
      </c>
      <c r="R315" s="127">
        <f>Q315*H315</f>
        <v>0</v>
      </c>
      <c r="S315" s="127">
        <v>0</v>
      </c>
      <c r="T315" s="128">
        <f>S315*H315</f>
        <v>0</v>
      </c>
      <c r="W315" s="199"/>
      <c r="X315" s="205" t="s">
        <v>435</v>
      </c>
      <c r="Y315" s="119" t="s">
        <v>231</v>
      </c>
      <c r="Z315" s="120" t="s">
        <v>3334</v>
      </c>
      <c r="AA315" s="121" t="s">
        <v>3335</v>
      </c>
      <c r="AB315" s="122" t="s">
        <v>570</v>
      </c>
      <c r="AC315" s="206">
        <f>20.414+28.619+10.688</f>
        <v>59.721000000000004</v>
      </c>
      <c r="AD315" s="124">
        <v>5</v>
      </c>
      <c r="AE315" s="200">
        <f>ROUND(AD315*AC315,2)</f>
        <v>298.61</v>
      </c>
      <c r="AF315" s="956" t="s">
        <v>6434</v>
      </c>
      <c r="AH315" s="130">
        <f t="shared" si="82"/>
        <v>39.307000000000002</v>
      </c>
      <c r="AJ315" s="398">
        <f t="shared" si="94"/>
        <v>196.53500000000003</v>
      </c>
      <c r="AK315" s="409"/>
      <c r="AL315" s="408"/>
      <c r="AM315" s="407"/>
      <c r="AN315" s="407"/>
      <c r="AO315" s="407"/>
      <c r="AP315" s="407"/>
      <c r="AQ315" s="407"/>
      <c r="AR315" s="129" t="s">
        <v>235</v>
      </c>
      <c r="AT315" s="129" t="s">
        <v>231</v>
      </c>
      <c r="AU315" s="129" t="s">
        <v>76</v>
      </c>
      <c r="AY315" s="13" t="s">
        <v>228</v>
      </c>
      <c r="BE315" s="130">
        <f>IF(N315="základná",J315,0)</f>
        <v>0</v>
      </c>
      <c r="BF315" s="130">
        <f>IF(N315="znížená",J315,0)</f>
        <v>102.07</v>
      </c>
      <c r="BG315" s="130">
        <f>IF(N315="zákl. prenesená",J315,0)</f>
        <v>0</v>
      </c>
      <c r="BH315" s="130">
        <f>IF(N315="zníž. prenesená",J315,0)</f>
        <v>0</v>
      </c>
      <c r="BI315" s="130">
        <f>IF(N315="nulová",J315,0)</f>
        <v>0</v>
      </c>
      <c r="BJ315" s="13" t="s">
        <v>76</v>
      </c>
      <c r="BK315" s="130">
        <f>ROUND(I315*H315,2)</f>
        <v>102.07</v>
      </c>
      <c r="BL315" s="13" t="s">
        <v>235</v>
      </c>
      <c r="BM315" s="129" t="s">
        <v>646</v>
      </c>
    </row>
    <row r="316" spans="2:65" s="11" customFormat="1" ht="22.95" customHeight="1" x14ac:dyDescent="0.25">
      <c r="B316" s="106"/>
      <c r="D316" s="107" t="s">
        <v>57</v>
      </c>
      <c r="E316" s="116" t="s">
        <v>631</v>
      </c>
      <c r="F316" s="116" t="s">
        <v>632</v>
      </c>
      <c r="J316" s="117">
        <f>BK316</f>
        <v>27692.590000000004</v>
      </c>
      <c r="L316" s="106"/>
      <c r="M316" s="110"/>
      <c r="N316" s="111"/>
      <c r="O316" s="111"/>
      <c r="P316" s="112">
        <f>SUM(P317:P339)</f>
        <v>0</v>
      </c>
      <c r="Q316" s="111"/>
      <c r="R316" s="112">
        <f>SUM(R317:R339)</f>
        <v>0</v>
      </c>
      <c r="S316" s="111"/>
      <c r="T316" s="113">
        <f>SUM(T317:T339)</f>
        <v>0</v>
      </c>
      <c r="W316" s="195"/>
      <c r="X316" s="111"/>
      <c r="Y316" s="196" t="s">
        <v>57</v>
      </c>
      <c r="Z316" s="201" t="s">
        <v>631</v>
      </c>
      <c r="AA316" s="201" t="s">
        <v>632</v>
      </c>
      <c r="AB316" s="111"/>
      <c r="AC316" s="111"/>
      <c r="AD316" s="111"/>
      <c r="AE316" s="202">
        <f>SUM(AE317:AE339)</f>
        <v>25688.060000000005</v>
      </c>
      <c r="AF316" s="956"/>
      <c r="AH316" s="130">
        <f t="shared" si="82"/>
        <v>0</v>
      </c>
      <c r="AJ316" s="398">
        <f t="shared" si="94"/>
        <v>0</v>
      </c>
      <c r="AK316" s="409"/>
      <c r="AL316" s="408"/>
      <c r="AM316" s="292"/>
      <c r="AN316" s="407"/>
      <c r="AO316" s="292"/>
      <c r="AP316" s="292"/>
      <c r="AQ316" s="292"/>
      <c r="AR316" s="107" t="s">
        <v>63</v>
      </c>
      <c r="AT316" s="114" t="s">
        <v>57</v>
      </c>
      <c r="AU316" s="114" t="s">
        <v>63</v>
      </c>
      <c r="AY316" s="107" t="s">
        <v>228</v>
      </c>
      <c r="BK316" s="115">
        <f>SUM(BK317:BK339)</f>
        <v>27692.590000000004</v>
      </c>
    </row>
    <row r="317" spans="2:65" s="1" customFormat="1" ht="22.8" x14ac:dyDescent="0.2">
      <c r="B317" s="118"/>
      <c r="C317" s="119" t="s">
        <v>650</v>
      </c>
      <c r="D317" s="119" t="s">
        <v>231</v>
      </c>
      <c r="E317" s="120" t="s">
        <v>3336</v>
      </c>
      <c r="F317" s="121" t="s">
        <v>3337</v>
      </c>
      <c r="G317" s="122" t="s">
        <v>1194</v>
      </c>
      <c r="H317" s="123">
        <v>4</v>
      </c>
      <c r="I317" s="124">
        <v>208.98</v>
      </c>
      <c r="J317" s="124">
        <f t="shared" ref="J317:J339" si="106">ROUND(I317*H317,2)</f>
        <v>835.92</v>
      </c>
      <c r="K317" s="121" t="s">
        <v>1</v>
      </c>
      <c r="L317" s="24"/>
      <c r="M317" s="125" t="s">
        <v>1</v>
      </c>
      <c r="N317" s="126" t="s">
        <v>32</v>
      </c>
      <c r="O317" s="127">
        <v>0</v>
      </c>
      <c r="P317" s="127">
        <f t="shared" ref="P317:P339" si="107">O317*H317</f>
        <v>0</v>
      </c>
      <c r="Q317" s="127">
        <v>0</v>
      </c>
      <c r="R317" s="127">
        <f t="shared" ref="R317:R339" si="108">Q317*H317</f>
        <v>0</v>
      </c>
      <c r="S317" s="127">
        <v>0</v>
      </c>
      <c r="T317" s="128">
        <f t="shared" ref="T317:T339" si="109">S317*H317</f>
        <v>0</v>
      </c>
      <c r="W317" s="199"/>
      <c r="X317" s="119" t="s">
        <v>650</v>
      </c>
      <c r="Y317" s="119" t="s">
        <v>231</v>
      </c>
      <c r="Z317" s="120" t="s">
        <v>3336</v>
      </c>
      <c r="AA317" s="121" t="s">
        <v>3337</v>
      </c>
      <c r="AB317" s="122" t="s">
        <v>1194</v>
      </c>
      <c r="AC317" s="123">
        <v>4</v>
      </c>
      <c r="AD317" s="124">
        <v>208.98</v>
      </c>
      <c r="AE317" s="200">
        <f t="shared" ref="AE317:AE339" si="110">ROUND(AD317*AC317,2)</f>
        <v>835.92</v>
      </c>
      <c r="AF317" s="956"/>
      <c r="AH317" s="130">
        <f t="shared" si="82"/>
        <v>0</v>
      </c>
      <c r="AJ317" s="398">
        <f t="shared" si="94"/>
        <v>0</v>
      </c>
      <c r="AK317" s="409"/>
      <c r="AL317" s="408"/>
      <c r="AM317" s="407"/>
      <c r="AN317" s="407"/>
      <c r="AO317" s="407"/>
      <c r="AP317" s="407"/>
      <c r="AQ317" s="407"/>
      <c r="AR317" s="129" t="s">
        <v>235</v>
      </c>
      <c r="AT317" s="129" t="s">
        <v>231</v>
      </c>
      <c r="AU317" s="129" t="s">
        <v>76</v>
      </c>
      <c r="AY317" s="13" t="s">
        <v>228</v>
      </c>
      <c r="BE317" s="130">
        <f t="shared" ref="BE317:BE339" si="111">IF(N317="základná",J317,0)</f>
        <v>0</v>
      </c>
      <c r="BF317" s="130">
        <f t="shared" ref="BF317:BF339" si="112">IF(N317="znížená",J317,0)</f>
        <v>835.92</v>
      </c>
      <c r="BG317" s="130">
        <f t="shared" ref="BG317:BG339" si="113">IF(N317="zákl. prenesená",J317,0)</f>
        <v>0</v>
      </c>
      <c r="BH317" s="130">
        <f t="shared" ref="BH317:BH339" si="114">IF(N317="zníž. prenesená",J317,0)</f>
        <v>0</v>
      </c>
      <c r="BI317" s="130">
        <f t="shared" ref="BI317:BI339" si="115">IF(N317="nulová",J317,0)</f>
        <v>0</v>
      </c>
      <c r="BJ317" s="13" t="s">
        <v>76</v>
      </c>
      <c r="BK317" s="130">
        <f t="shared" ref="BK317:BK339" si="116">ROUND(I317*H317,2)</f>
        <v>835.92</v>
      </c>
      <c r="BL317" s="13" t="s">
        <v>235</v>
      </c>
      <c r="BM317" s="129" t="s">
        <v>649</v>
      </c>
    </row>
    <row r="318" spans="2:65" s="1" customFormat="1" ht="22.8" x14ac:dyDescent="0.2">
      <c r="B318" s="118"/>
      <c r="C318" s="119" t="s">
        <v>441</v>
      </c>
      <c r="D318" s="119" t="s">
        <v>231</v>
      </c>
      <c r="E318" s="120" t="s">
        <v>3338</v>
      </c>
      <c r="F318" s="121" t="s">
        <v>3339</v>
      </c>
      <c r="G318" s="122" t="s">
        <v>1194</v>
      </c>
      <c r="H318" s="123">
        <v>6</v>
      </c>
      <c r="I318" s="124">
        <v>208.98</v>
      </c>
      <c r="J318" s="124">
        <f t="shared" si="106"/>
        <v>1253.8800000000001</v>
      </c>
      <c r="K318" s="121" t="s">
        <v>1</v>
      </c>
      <c r="L318" s="24"/>
      <c r="M318" s="125" t="s">
        <v>1</v>
      </c>
      <c r="N318" s="126" t="s">
        <v>32</v>
      </c>
      <c r="O318" s="127">
        <v>0</v>
      </c>
      <c r="P318" s="127">
        <f t="shared" si="107"/>
        <v>0</v>
      </c>
      <c r="Q318" s="127">
        <v>0</v>
      </c>
      <c r="R318" s="127">
        <f t="shared" si="108"/>
        <v>0</v>
      </c>
      <c r="S318" s="127">
        <v>0</v>
      </c>
      <c r="T318" s="128">
        <f t="shared" si="109"/>
        <v>0</v>
      </c>
      <c r="W318" s="199"/>
      <c r="X318" s="119" t="s">
        <v>441</v>
      </c>
      <c r="Y318" s="119" t="s">
        <v>231</v>
      </c>
      <c r="Z318" s="120" t="s">
        <v>3338</v>
      </c>
      <c r="AA318" s="121" t="s">
        <v>3339</v>
      </c>
      <c r="AB318" s="122" t="s">
        <v>1194</v>
      </c>
      <c r="AC318" s="123">
        <v>6</v>
      </c>
      <c r="AD318" s="124">
        <v>208.98</v>
      </c>
      <c r="AE318" s="200">
        <f t="shared" si="110"/>
        <v>1253.8800000000001</v>
      </c>
      <c r="AF318" s="956"/>
      <c r="AH318" s="130">
        <f t="shared" si="82"/>
        <v>0</v>
      </c>
      <c r="AJ318" s="398">
        <f t="shared" si="94"/>
        <v>0</v>
      </c>
      <c r="AK318" s="409"/>
      <c r="AL318" s="408"/>
      <c r="AM318" s="407"/>
      <c r="AN318" s="407"/>
      <c r="AO318" s="407"/>
      <c r="AP318" s="407"/>
      <c r="AQ318" s="407"/>
      <c r="AR318" s="129" t="s">
        <v>235</v>
      </c>
      <c r="AT318" s="129" t="s">
        <v>231</v>
      </c>
      <c r="AU318" s="129" t="s">
        <v>76</v>
      </c>
      <c r="AY318" s="13" t="s">
        <v>228</v>
      </c>
      <c r="BE318" s="130">
        <f t="shared" si="111"/>
        <v>0</v>
      </c>
      <c r="BF318" s="130">
        <f t="shared" si="112"/>
        <v>1253.8800000000001</v>
      </c>
      <c r="BG318" s="130">
        <f t="shared" si="113"/>
        <v>0</v>
      </c>
      <c r="BH318" s="130">
        <f t="shared" si="114"/>
        <v>0</v>
      </c>
      <c r="BI318" s="130">
        <f t="shared" si="115"/>
        <v>0</v>
      </c>
      <c r="BJ318" s="13" t="s">
        <v>76</v>
      </c>
      <c r="BK318" s="130">
        <f t="shared" si="116"/>
        <v>1253.8800000000001</v>
      </c>
      <c r="BL318" s="13" t="s">
        <v>235</v>
      </c>
      <c r="BM318" s="129" t="s">
        <v>653</v>
      </c>
    </row>
    <row r="319" spans="2:65" s="1" customFormat="1" ht="22.8" x14ac:dyDescent="0.2">
      <c r="B319" s="118"/>
      <c r="C319" s="119" t="s">
        <v>657</v>
      </c>
      <c r="D319" s="119" t="s">
        <v>231</v>
      </c>
      <c r="E319" s="120" t="s">
        <v>3340</v>
      </c>
      <c r="F319" s="121" t="s">
        <v>3341</v>
      </c>
      <c r="G319" s="122" t="s">
        <v>1194</v>
      </c>
      <c r="H319" s="123">
        <v>4</v>
      </c>
      <c r="I319" s="124">
        <v>208.98</v>
      </c>
      <c r="J319" s="124">
        <f t="shared" si="106"/>
        <v>835.92</v>
      </c>
      <c r="K319" s="121" t="s">
        <v>1</v>
      </c>
      <c r="L319" s="24"/>
      <c r="M319" s="125" t="s">
        <v>1</v>
      </c>
      <c r="N319" s="126" t="s">
        <v>32</v>
      </c>
      <c r="O319" s="127">
        <v>0</v>
      </c>
      <c r="P319" s="127">
        <f t="shared" si="107"/>
        <v>0</v>
      </c>
      <c r="Q319" s="127">
        <v>0</v>
      </c>
      <c r="R319" s="127">
        <f t="shared" si="108"/>
        <v>0</v>
      </c>
      <c r="S319" s="127">
        <v>0</v>
      </c>
      <c r="T319" s="128">
        <f t="shared" si="109"/>
        <v>0</v>
      </c>
      <c r="W319" s="199"/>
      <c r="X319" s="119" t="s">
        <v>657</v>
      </c>
      <c r="Y319" s="119" t="s">
        <v>231</v>
      </c>
      <c r="Z319" s="120" t="s">
        <v>3340</v>
      </c>
      <c r="AA319" s="121" t="s">
        <v>3341</v>
      </c>
      <c r="AB319" s="122" t="s">
        <v>1194</v>
      </c>
      <c r="AC319" s="123">
        <v>4</v>
      </c>
      <c r="AD319" s="124">
        <v>208.98</v>
      </c>
      <c r="AE319" s="200">
        <f t="shared" si="110"/>
        <v>835.92</v>
      </c>
      <c r="AF319" s="956"/>
      <c r="AH319" s="130">
        <f t="shared" si="82"/>
        <v>0</v>
      </c>
      <c r="AJ319" s="398">
        <f t="shared" si="94"/>
        <v>0</v>
      </c>
      <c r="AK319" s="409"/>
      <c r="AL319" s="408"/>
      <c r="AM319" s="407"/>
      <c r="AN319" s="407"/>
      <c r="AO319" s="407"/>
      <c r="AP319" s="407"/>
      <c r="AQ319" s="407"/>
      <c r="AR319" s="129" t="s">
        <v>235</v>
      </c>
      <c r="AT319" s="129" t="s">
        <v>231</v>
      </c>
      <c r="AU319" s="129" t="s">
        <v>76</v>
      </c>
      <c r="AY319" s="13" t="s">
        <v>228</v>
      </c>
      <c r="BE319" s="130">
        <f t="shared" si="111"/>
        <v>0</v>
      </c>
      <c r="BF319" s="130">
        <f t="shared" si="112"/>
        <v>835.92</v>
      </c>
      <c r="BG319" s="130">
        <f t="shared" si="113"/>
        <v>0</v>
      </c>
      <c r="BH319" s="130">
        <f t="shared" si="114"/>
        <v>0</v>
      </c>
      <c r="BI319" s="130">
        <f t="shared" si="115"/>
        <v>0</v>
      </c>
      <c r="BJ319" s="13" t="s">
        <v>76</v>
      </c>
      <c r="BK319" s="130">
        <f t="shared" si="116"/>
        <v>835.92</v>
      </c>
      <c r="BL319" s="13" t="s">
        <v>235</v>
      </c>
      <c r="BM319" s="129" t="s">
        <v>656</v>
      </c>
    </row>
    <row r="320" spans="2:65" s="1" customFormat="1" ht="22.8" x14ac:dyDescent="0.2">
      <c r="B320" s="118"/>
      <c r="C320" s="119" t="s">
        <v>444</v>
      </c>
      <c r="D320" s="119" t="s">
        <v>231</v>
      </c>
      <c r="E320" s="120" t="s">
        <v>3342</v>
      </c>
      <c r="F320" s="121" t="s">
        <v>3343</v>
      </c>
      <c r="G320" s="122" t="s">
        <v>1194</v>
      </c>
      <c r="H320" s="123">
        <v>1</v>
      </c>
      <c r="I320" s="124">
        <v>243.81</v>
      </c>
      <c r="J320" s="124">
        <f t="shared" si="106"/>
        <v>243.81</v>
      </c>
      <c r="K320" s="121" t="s">
        <v>1</v>
      </c>
      <c r="L320" s="24"/>
      <c r="M320" s="125" t="s">
        <v>1</v>
      </c>
      <c r="N320" s="126" t="s">
        <v>32</v>
      </c>
      <c r="O320" s="127">
        <v>0</v>
      </c>
      <c r="P320" s="127">
        <f t="shared" si="107"/>
        <v>0</v>
      </c>
      <c r="Q320" s="127">
        <v>0</v>
      </c>
      <c r="R320" s="127">
        <f t="shared" si="108"/>
        <v>0</v>
      </c>
      <c r="S320" s="127">
        <v>0</v>
      </c>
      <c r="T320" s="128">
        <f t="shared" si="109"/>
        <v>0</v>
      </c>
      <c r="W320" s="199"/>
      <c r="X320" s="119" t="s">
        <v>444</v>
      </c>
      <c r="Y320" s="119" t="s">
        <v>231</v>
      </c>
      <c r="Z320" s="120" t="s">
        <v>3342</v>
      </c>
      <c r="AA320" s="121" t="s">
        <v>3343</v>
      </c>
      <c r="AB320" s="122" t="s">
        <v>1194</v>
      </c>
      <c r="AC320" s="123">
        <v>1</v>
      </c>
      <c r="AD320" s="124">
        <v>243.81</v>
      </c>
      <c r="AE320" s="200">
        <f t="shared" si="110"/>
        <v>243.81</v>
      </c>
      <c r="AF320" s="956"/>
      <c r="AH320" s="130">
        <f t="shared" si="82"/>
        <v>0</v>
      </c>
      <c r="AJ320" s="398">
        <f t="shared" si="94"/>
        <v>0</v>
      </c>
      <c r="AK320" s="409"/>
      <c r="AL320" s="408"/>
      <c r="AM320" s="407"/>
      <c r="AN320" s="407"/>
      <c r="AO320" s="407"/>
      <c r="AP320" s="407"/>
      <c r="AQ320" s="407"/>
      <c r="AR320" s="129" t="s">
        <v>235</v>
      </c>
      <c r="AT320" s="129" t="s">
        <v>231</v>
      </c>
      <c r="AU320" s="129" t="s">
        <v>76</v>
      </c>
      <c r="AY320" s="13" t="s">
        <v>228</v>
      </c>
      <c r="BE320" s="130">
        <f t="shared" si="111"/>
        <v>0</v>
      </c>
      <c r="BF320" s="130">
        <f t="shared" si="112"/>
        <v>243.81</v>
      </c>
      <c r="BG320" s="130">
        <f t="shared" si="113"/>
        <v>0</v>
      </c>
      <c r="BH320" s="130">
        <f t="shared" si="114"/>
        <v>0</v>
      </c>
      <c r="BI320" s="130">
        <f t="shared" si="115"/>
        <v>0</v>
      </c>
      <c r="BJ320" s="13" t="s">
        <v>76</v>
      </c>
      <c r="BK320" s="130">
        <f t="shared" si="116"/>
        <v>243.81</v>
      </c>
      <c r="BL320" s="13" t="s">
        <v>235</v>
      </c>
      <c r="BM320" s="129" t="s">
        <v>660</v>
      </c>
    </row>
    <row r="321" spans="2:65" s="1" customFormat="1" ht="34.200000000000003" x14ac:dyDescent="0.2">
      <c r="B321" s="118"/>
      <c r="C321" s="119" t="s">
        <v>664</v>
      </c>
      <c r="D321" s="119" t="s">
        <v>231</v>
      </c>
      <c r="E321" s="120" t="s">
        <v>3344</v>
      </c>
      <c r="F321" s="121" t="s">
        <v>3345</v>
      </c>
      <c r="G321" s="122" t="s">
        <v>1194</v>
      </c>
      <c r="H321" s="123">
        <v>1</v>
      </c>
      <c r="I321" s="124">
        <v>499.23</v>
      </c>
      <c r="J321" s="124">
        <f t="shared" si="106"/>
        <v>499.23</v>
      </c>
      <c r="K321" s="121" t="s">
        <v>1</v>
      </c>
      <c r="L321" s="24"/>
      <c r="M321" s="125" t="s">
        <v>1</v>
      </c>
      <c r="N321" s="126" t="s">
        <v>32</v>
      </c>
      <c r="O321" s="127">
        <v>0</v>
      </c>
      <c r="P321" s="127">
        <f t="shared" si="107"/>
        <v>0</v>
      </c>
      <c r="Q321" s="127">
        <v>0</v>
      </c>
      <c r="R321" s="127">
        <f t="shared" si="108"/>
        <v>0</v>
      </c>
      <c r="S321" s="127">
        <v>0</v>
      </c>
      <c r="T321" s="128">
        <f t="shared" si="109"/>
        <v>0</v>
      </c>
      <c r="W321" s="199"/>
      <c r="X321" s="119" t="s">
        <v>664</v>
      </c>
      <c r="Y321" s="119" t="s">
        <v>231</v>
      </c>
      <c r="Z321" s="120" t="s">
        <v>3344</v>
      </c>
      <c r="AA321" s="121" t="s">
        <v>3345</v>
      </c>
      <c r="AB321" s="122" t="s">
        <v>1194</v>
      </c>
      <c r="AC321" s="123">
        <v>1</v>
      </c>
      <c r="AD321" s="124">
        <v>499.23</v>
      </c>
      <c r="AE321" s="200">
        <f t="shared" si="110"/>
        <v>499.23</v>
      </c>
      <c r="AF321" s="956"/>
      <c r="AH321" s="130">
        <f t="shared" si="82"/>
        <v>0</v>
      </c>
      <c r="AJ321" s="398">
        <f t="shared" si="94"/>
        <v>0</v>
      </c>
      <c r="AK321" s="409"/>
      <c r="AL321" s="408"/>
      <c r="AM321" s="407"/>
      <c r="AN321" s="407"/>
      <c r="AO321" s="407"/>
      <c r="AP321" s="407"/>
      <c r="AQ321" s="407"/>
      <c r="AR321" s="129" t="s">
        <v>235</v>
      </c>
      <c r="AT321" s="129" t="s">
        <v>231</v>
      </c>
      <c r="AU321" s="129" t="s">
        <v>76</v>
      </c>
      <c r="AY321" s="13" t="s">
        <v>228</v>
      </c>
      <c r="BE321" s="130">
        <f t="shared" si="111"/>
        <v>0</v>
      </c>
      <c r="BF321" s="130">
        <f t="shared" si="112"/>
        <v>499.23</v>
      </c>
      <c r="BG321" s="130">
        <f t="shared" si="113"/>
        <v>0</v>
      </c>
      <c r="BH321" s="130">
        <f t="shared" si="114"/>
        <v>0</v>
      </c>
      <c r="BI321" s="130">
        <f t="shared" si="115"/>
        <v>0</v>
      </c>
      <c r="BJ321" s="13" t="s">
        <v>76</v>
      </c>
      <c r="BK321" s="130">
        <f t="shared" si="116"/>
        <v>499.23</v>
      </c>
      <c r="BL321" s="13" t="s">
        <v>235</v>
      </c>
      <c r="BM321" s="129" t="s">
        <v>663</v>
      </c>
    </row>
    <row r="322" spans="2:65" s="1" customFormat="1" ht="22.8" x14ac:dyDescent="0.2">
      <c r="B322" s="118"/>
      <c r="C322" s="119" t="s">
        <v>448</v>
      </c>
      <c r="D322" s="119" t="s">
        <v>231</v>
      </c>
      <c r="E322" s="120" t="s">
        <v>3346</v>
      </c>
      <c r="F322" s="121" t="s">
        <v>3347</v>
      </c>
      <c r="G322" s="122" t="s">
        <v>1194</v>
      </c>
      <c r="H322" s="123">
        <v>1</v>
      </c>
      <c r="I322" s="124">
        <v>487.62</v>
      </c>
      <c r="J322" s="124">
        <f t="shared" si="106"/>
        <v>487.62</v>
      </c>
      <c r="K322" s="121" t="s">
        <v>1</v>
      </c>
      <c r="L322" s="24"/>
      <c r="M322" s="125" t="s">
        <v>1</v>
      </c>
      <c r="N322" s="126" t="s">
        <v>32</v>
      </c>
      <c r="O322" s="127">
        <v>0</v>
      </c>
      <c r="P322" s="127">
        <f t="shared" si="107"/>
        <v>0</v>
      </c>
      <c r="Q322" s="127">
        <v>0</v>
      </c>
      <c r="R322" s="127">
        <f t="shared" si="108"/>
        <v>0</v>
      </c>
      <c r="S322" s="127">
        <v>0</v>
      </c>
      <c r="T322" s="128">
        <f t="shared" si="109"/>
        <v>0</v>
      </c>
      <c r="W322" s="199"/>
      <c r="X322" s="285">
        <v>118</v>
      </c>
      <c r="Y322" s="285" t="s">
        <v>231</v>
      </c>
      <c r="Z322" s="286" t="s">
        <v>3346</v>
      </c>
      <c r="AA322" s="240" t="s">
        <v>3347</v>
      </c>
      <c r="AB322" s="287" t="s">
        <v>1194</v>
      </c>
      <c r="AC322" s="288">
        <v>1</v>
      </c>
      <c r="AD322" s="289">
        <v>487.62</v>
      </c>
      <c r="AE322" s="200">
        <f t="shared" si="110"/>
        <v>487.62</v>
      </c>
      <c r="AF322" s="956"/>
      <c r="AH322" s="130">
        <f t="shared" si="82"/>
        <v>0</v>
      </c>
      <c r="AJ322" s="398">
        <f t="shared" si="94"/>
        <v>0</v>
      </c>
      <c r="AK322" s="409"/>
      <c r="AL322" s="408"/>
      <c r="AM322" s="407"/>
      <c r="AN322" s="407"/>
      <c r="AO322" s="407"/>
      <c r="AP322" s="407"/>
      <c r="AQ322" s="407"/>
      <c r="AR322" s="129" t="s">
        <v>235</v>
      </c>
      <c r="AT322" s="129" t="s">
        <v>231</v>
      </c>
      <c r="AU322" s="129" t="s">
        <v>76</v>
      </c>
      <c r="AY322" s="13" t="s">
        <v>228</v>
      </c>
      <c r="BE322" s="130">
        <f t="shared" si="111"/>
        <v>0</v>
      </c>
      <c r="BF322" s="130">
        <f t="shared" si="112"/>
        <v>487.62</v>
      </c>
      <c r="BG322" s="130">
        <f t="shared" si="113"/>
        <v>0</v>
      </c>
      <c r="BH322" s="130">
        <f t="shared" si="114"/>
        <v>0</v>
      </c>
      <c r="BI322" s="130">
        <f t="shared" si="115"/>
        <v>0</v>
      </c>
      <c r="BJ322" s="13" t="s">
        <v>76</v>
      </c>
      <c r="BK322" s="130">
        <f t="shared" si="116"/>
        <v>487.62</v>
      </c>
      <c r="BL322" s="13" t="s">
        <v>235</v>
      </c>
      <c r="BM322" s="129" t="s">
        <v>667</v>
      </c>
    </row>
    <row r="323" spans="2:65" s="1" customFormat="1" ht="45.6" x14ac:dyDescent="0.2">
      <c r="B323" s="118"/>
      <c r="C323" s="1070" t="s">
        <v>671</v>
      </c>
      <c r="D323" s="119" t="s">
        <v>231</v>
      </c>
      <c r="E323" s="120" t="s">
        <v>3348</v>
      </c>
      <c r="F323" s="121" t="s">
        <v>3349</v>
      </c>
      <c r="G323" s="122" t="s">
        <v>1194</v>
      </c>
      <c r="H323" s="1071">
        <v>1</v>
      </c>
      <c r="I323" s="124">
        <v>801.09</v>
      </c>
      <c r="J323" s="124">
        <f t="shared" si="106"/>
        <v>801.09</v>
      </c>
      <c r="K323" s="121" t="s">
        <v>1</v>
      </c>
      <c r="L323" s="24"/>
      <c r="M323" s="125" t="s">
        <v>1</v>
      </c>
      <c r="N323" s="126" t="s">
        <v>32</v>
      </c>
      <c r="O323" s="127">
        <v>0</v>
      </c>
      <c r="P323" s="127">
        <f t="shared" si="107"/>
        <v>0</v>
      </c>
      <c r="Q323" s="127">
        <v>0</v>
      </c>
      <c r="R323" s="127">
        <f t="shared" si="108"/>
        <v>0</v>
      </c>
      <c r="S323" s="127">
        <v>0</v>
      </c>
      <c r="T323" s="128">
        <f t="shared" si="109"/>
        <v>0</v>
      </c>
      <c r="W323" s="199"/>
      <c r="X323" s="1070" t="s">
        <v>671</v>
      </c>
      <c r="Y323" s="119" t="s">
        <v>231</v>
      </c>
      <c r="Z323" s="120" t="s">
        <v>3348</v>
      </c>
      <c r="AA323" s="121" t="s">
        <v>3349</v>
      </c>
      <c r="AB323" s="122" t="s">
        <v>1194</v>
      </c>
      <c r="AC323" s="1071">
        <f>1-1</f>
        <v>0</v>
      </c>
      <c r="AD323" s="124">
        <v>801.09</v>
      </c>
      <c r="AE323" s="200">
        <f t="shared" si="110"/>
        <v>0</v>
      </c>
      <c r="AF323" s="956">
        <v>22</v>
      </c>
      <c r="AH323" s="130">
        <f t="shared" si="82"/>
        <v>-1</v>
      </c>
      <c r="AJ323" s="398">
        <f t="shared" si="94"/>
        <v>-801.09</v>
      </c>
      <c r="AK323" s="409"/>
      <c r="AL323" s="408"/>
      <c r="AM323" s="407"/>
      <c r="AN323" s="407"/>
      <c r="AO323" s="407"/>
      <c r="AP323" s="407"/>
      <c r="AQ323" s="407"/>
      <c r="AR323" s="129" t="s">
        <v>235</v>
      </c>
      <c r="AT323" s="129" t="s">
        <v>231</v>
      </c>
      <c r="AU323" s="129" t="s">
        <v>76</v>
      </c>
      <c r="AY323" s="13" t="s">
        <v>228</v>
      </c>
      <c r="BE323" s="130">
        <f t="shared" si="111"/>
        <v>0</v>
      </c>
      <c r="BF323" s="130">
        <f t="shared" si="112"/>
        <v>801.09</v>
      </c>
      <c r="BG323" s="130">
        <f t="shared" si="113"/>
        <v>0</v>
      </c>
      <c r="BH323" s="130">
        <f t="shared" si="114"/>
        <v>0</v>
      </c>
      <c r="BI323" s="130">
        <f t="shared" si="115"/>
        <v>0</v>
      </c>
      <c r="BJ323" s="13" t="s">
        <v>76</v>
      </c>
      <c r="BK323" s="130">
        <f t="shared" si="116"/>
        <v>801.09</v>
      </c>
      <c r="BL323" s="13" t="s">
        <v>235</v>
      </c>
      <c r="BM323" s="129" t="s">
        <v>670</v>
      </c>
    </row>
    <row r="324" spans="2:65" s="1" customFormat="1" ht="22.8" x14ac:dyDescent="0.2">
      <c r="B324" s="118"/>
      <c r="C324" s="119" t="s">
        <v>451</v>
      </c>
      <c r="D324" s="119" t="s">
        <v>231</v>
      </c>
      <c r="E324" s="120" t="s">
        <v>3350</v>
      </c>
      <c r="F324" s="121" t="s">
        <v>3351</v>
      </c>
      <c r="G324" s="122" t="s">
        <v>1194</v>
      </c>
      <c r="H324" s="123">
        <v>4</v>
      </c>
      <c r="I324" s="124">
        <v>110.3</v>
      </c>
      <c r="J324" s="124">
        <f t="shared" si="106"/>
        <v>441.2</v>
      </c>
      <c r="K324" s="121" t="s">
        <v>1</v>
      </c>
      <c r="L324" s="24"/>
      <c r="M324" s="125" t="s">
        <v>1</v>
      </c>
      <c r="N324" s="126" t="s">
        <v>32</v>
      </c>
      <c r="O324" s="127">
        <v>0</v>
      </c>
      <c r="P324" s="127">
        <f t="shared" si="107"/>
        <v>0</v>
      </c>
      <c r="Q324" s="127">
        <v>0</v>
      </c>
      <c r="R324" s="127">
        <f t="shared" si="108"/>
        <v>0</v>
      </c>
      <c r="S324" s="127">
        <v>0</v>
      </c>
      <c r="T324" s="128">
        <f t="shared" si="109"/>
        <v>0</v>
      </c>
      <c r="W324" s="199"/>
      <c r="X324" s="119" t="s">
        <v>451</v>
      </c>
      <c r="Y324" s="119" t="s">
        <v>231</v>
      </c>
      <c r="Z324" s="120" t="s">
        <v>3350</v>
      </c>
      <c r="AA324" s="121" t="s">
        <v>3351</v>
      </c>
      <c r="AB324" s="122" t="s">
        <v>1194</v>
      </c>
      <c r="AC324" s="123">
        <v>4</v>
      </c>
      <c r="AD324" s="124">
        <v>110.3</v>
      </c>
      <c r="AE324" s="200">
        <f t="shared" si="110"/>
        <v>441.2</v>
      </c>
      <c r="AF324" s="956"/>
      <c r="AH324" s="130">
        <f t="shared" si="82"/>
        <v>0</v>
      </c>
      <c r="AJ324" s="398">
        <f t="shared" si="94"/>
        <v>0</v>
      </c>
      <c r="AK324" s="409"/>
      <c r="AL324" s="408"/>
      <c r="AM324" s="407"/>
      <c r="AN324" s="407"/>
      <c r="AO324" s="407"/>
      <c r="AP324" s="407"/>
      <c r="AQ324" s="407"/>
      <c r="AR324" s="129" t="s">
        <v>235</v>
      </c>
      <c r="AT324" s="129" t="s">
        <v>231</v>
      </c>
      <c r="AU324" s="129" t="s">
        <v>76</v>
      </c>
      <c r="AY324" s="13" t="s">
        <v>228</v>
      </c>
      <c r="BE324" s="130">
        <f t="shared" si="111"/>
        <v>0</v>
      </c>
      <c r="BF324" s="130">
        <f t="shared" si="112"/>
        <v>441.2</v>
      </c>
      <c r="BG324" s="130">
        <f t="shared" si="113"/>
        <v>0</v>
      </c>
      <c r="BH324" s="130">
        <f t="shared" si="114"/>
        <v>0</v>
      </c>
      <c r="BI324" s="130">
        <f t="shared" si="115"/>
        <v>0</v>
      </c>
      <c r="BJ324" s="13" t="s">
        <v>76</v>
      </c>
      <c r="BK324" s="130">
        <f t="shared" si="116"/>
        <v>441.2</v>
      </c>
      <c r="BL324" s="13" t="s">
        <v>235</v>
      </c>
      <c r="BM324" s="129" t="s">
        <v>674</v>
      </c>
    </row>
    <row r="325" spans="2:65" s="1" customFormat="1" ht="22.8" x14ac:dyDescent="0.2">
      <c r="B325" s="118"/>
      <c r="C325" s="119" t="s">
        <v>678</v>
      </c>
      <c r="D325" s="119" t="s">
        <v>231</v>
      </c>
      <c r="E325" s="120" t="s">
        <v>3352</v>
      </c>
      <c r="F325" s="121" t="s">
        <v>3353</v>
      </c>
      <c r="G325" s="122" t="s">
        <v>1194</v>
      </c>
      <c r="H325" s="123">
        <v>1</v>
      </c>
      <c r="I325" s="124">
        <v>243.81</v>
      </c>
      <c r="J325" s="124">
        <f t="shared" si="106"/>
        <v>243.81</v>
      </c>
      <c r="K325" s="121" t="s">
        <v>1</v>
      </c>
      <c r="L325" s="24"/>
      <c r="M325" s="125" t="s">
        <v>1</v>
      </c>
      <c r="N325" s="126" t="s">
        <v>32</v>
      </c>
      <c r="O325" s="127">
        <v>0</v>
      </c>
      <c r="P325" s="127">
        <f t="shared" si="107"/>
        <v>0</v>
      </c>
      <c r="Q325" s="127">
        <v>0</v>
      </c>
      <c r="R325" s="127">
        <f t="shared" si="108"/>
        <v>0</v>
      </c>
      <c r="S325" s="127">
        <v>0</v>
      </c>
      <c r="T325" s="128">
        <f t="shared" si="109"/>
        <v>0</v>
      </c>
      <c r="W325" s="199"/>
      <c r="X325" s="119" t="s">
        <v>678</v>
      </c>
      <c r="Y325" s="119" t="s">
        <v>231</v>
      </c>
      <c r="Z325" s="120" t="s">
        <v>3352</v>
      </c>
      <c r="AA325" s="121" t="s">
        <v>3353</v>
      </c>
      <c r="AB325" s="122" t="s">
        <v>1194</v>
      </c>
      <c r="AC325" s="123">
        <v>1</v>
      </c>
      <c r="AD325" s="124">
        <v>243.81</v>
      </c>
      <c r="AE325" s="200">
        <f t="shared" si="110"/>
        <v>243.81</v>
      </c>
      <c r="AF325" s="956"/>
      <c r="AH325" s="130">
        <f t="shared" si="82"/>
        <v>0</v>
      </c>
      <c r="AJ325" s="398">
        <f t="shared" si="94"/>
        <v>0</v>
      </c>
      <c r="AK325" s="409"/>
      <c r="AL325" s="408"/>
      <c r="AM325" s="407"/>
      <c r="AN325" s="407"/>
      <c r="AO325" s="407"/>
      <c r="AP325" s="407"/>
      <c r="AQ325" s="407"/>
      <c r="AR325" s="129" t="s">
        <v>235</v>
      </c>
      <c r="AT325" s="129" t="s">
        <v>231</v>
      </c>
      <c r="AU325" s="129" t="s">
        <v>76</v>
      </c>
      <c r="AY325" s="13" t="s">
        <v>228</v>
      </c>
      <c r="BE325" s="130">
        <f t="shared" si="111"/>
        <v>0</v>
      </c>
      <c r="BF325" s="130">
        <f t="shared" si="112"/>
        <v>243.81</v>
      </c>
      <c r="BG325" s="130">
        <f t="shared" si="113"/>
        <v>0</v>
      </c>
      <c r="BH325" s="130">
        <f t="shared" si="114"/>
        <v>0</v>
      </c>
      <c r="BI325" s="130">
        <f t="shared" si="115"/>
        <v>0</v>
      </c>
      <c r="BJ325" s="13" t="s">
        <v>76</v>
      </c>
      <c r="BK325" s="130">
        <f t="shared" si="116"/>
        <v>243.81</v>
      </c>
      <c r="BL325" s="13" t="s">
        <v>235</v>
      </c>
      <c r="BM325" s="129" t="s">
        <v>677</v>
      </c>
    </row>
    <row r="326" spans="2:65" s="1" customFormat="1" ht="22.8" x14ac:dyDescent="0.2">
      <c r="B326" s="118"/>
      <c r="C326" s="119" t="s">
        <v>455</v>
      </c>
      <c r="D326" s="119" t="s">
        <v>231</v>
      </c>
      <c r="E326" s="120" t="s">
        <v>3354</v>
      </c>
      <c r="F326" s="121" t="s">
        <v>3355</v>
      </c>
      <c r="G326" s="122" t="s">
        <v>1194</v>
      </c>
      <c r="H326" s="123">
        <v>1</v>
      </c>
      <c r="I326" s="124">
        <v>296.06</v>
      </c>
      <c r="J326" s="124">
        <f t="shared" si="106"/>
        <v>296.06</v>
      </c>
      <c r="K326" s="121" t="s">
        <v>1</v>
      </c>
      <c r="L326" s="24"/>
      <c r="M326" s="125" t="s">
        <v>1</v>
      </c>
      <c r="N326" s="126" t="s">
        <v>32</v>
      </c>
      <c r="O326" s="127">
        <v>0</v>
      </c>
      <c r="P326" s="127">
        <f t="shared" si="107"/>
        <v>0</v>
      </c>
      <c r="Q326" s="127">
        <v>0</v>
      </c>
      <c r="R326" s="127">
        <f t="shared" si="108"/>
        <v>0</v>
      </c>
      <c r="S326" s="127">
        <v>0</v>
      </c>
      <c r="T326" s="128">
        <f t="shared" si="109"/>
        <v>0</v>
      </c>
      <c r="W326" s="199"/>
      <c r="X326" s="119" t="s">
        <v>455</v>
      </c>
      <c r="Y326" s="119" t="s">
        <v>231</v>
      </c>
      <c r="Z326" s="120" t="s">
        <v>3354</v>
      </c>
      <c r="AA326" s="121" t="s">
        <v>3355</v>
      </c>
      <c r="AB326" s="122" t="s">
        <v>1194</v>
      </c>
      <c r="AC326" s="123">
        <v>1</v>
      </c>
      <c r="AD326" s="124">
        <v>296.06</v>
      </c>
      <c r="AE326" s="200">
        <f t="shared" si="110"/>
        <v>296.06</v>
      </c>
      <c r="AF326" s="956"/>
      <c r="AH326" s="130">
        <f t="shared" si="82"/>
        <v>0</v>
      </c>
      <c r="AJ326" s="398">
        <f t="shared" si="94"/>
        <v>0</v>
      </c>
      <c r="AK326" s="409"/>
      <c r="AL326" s="408"/>
      <c r="AM326" s="407"/>
      <c r="AN326" s="407"/>
      <c r="AO326" s="407"/>
      <c r="AP326" s="407"/>
      <c r="AQ326" s="407"/>
      <c r="AR326" s="129" t="s">
        <v>235</v>
      </c>
      <c r="AT326" s="129" t="s">
        <v>231</v>
      </c>
      <c r="AU326" s="129" t="s">
        <v>76</v>
      </c>
      <c r="AY326" s="13" t="s">
        <v>228</v>
      </c>
      <c r="BE326" s="130">
        <f t="shared" si="111"/>
        <v>0</v>
      </c>
      <c r="BF326" s="130">
        <f t="shared" si="112"/>
        <v>296.06</v>
      </c>
      <c r="BG326" s="130">
        <f t="shared" si="113"/>
        <v>0</v>
      </c>
      <c r="BH326" s="130">
        <f t="shared" si="114"/>
        <v>0</v>
      </c>
      <c r="BI326" s="130">
        <f t="shared" si="115"/>
        <v>0</v>
      </c>
      <c r="BJ326" s="13" t="s">
        <v>76</v>
      </c>
      <c r="BK326" s="130">
        <f t="shared" si="116"/>
        <v>296.06</v>
      </c>
      <c r="BL326" s="13" t="s">
        <v>235</v>
      </c>
      <c r="BM326" s="129" t="s">
        <v>681</v>
      </c>
    </row>
    <row r="327" spans="2:65" s="1" customFormat="1" ht="22.8" x14ac:dyDescent="0.2">
      <c r="B327" s="118"/>
      <c r="C327" s="119" t="s">
        <v>685</v>
      </c>
      <c r="D327" s="119" t="s">
        <v>231</v>
      </c>
      <c r="E327" s="120" t="s">
        <v>3356</v>
      </c>
      <c r="F327" s="121" t="s">
        <v>3357</v>
      </c>
      <c r="G327" s="122" t="s">
        <v>1194</v>
      </c>
      <c r="H327" s="123">
        <v>1</v>
      </c>
      <c r="I327" s="124">
        <v>441.18</v>
      </c>
      <c r="J327" s="124">
        <f t="shared" si="106"/>
        <v>441.18</v>
      </c>
      <c r="K327" s="121" t="s">
        <v>1</v>
      </c>
      <c r="L327" s="24"/>
      <c r="M327" s="125" t="s">
        <v>1</v>
      </c>
      <c r="N327" s="126" t="s">
        <v>32</v>
      </c>
      <c r="O327" s="127">
        <v>0</v>
      </c>
      <c r="P327" s="127">
        <f t="shared" si="107"/>
        <v>0</v>
      </c>
      <c r="Q327" s="127">
        <v>0</v>
      </c>
      <c r="R327" s="127">
        <f t="shared" si="108"/>
        <v>0</v>
      </c>
      <c r="S327" s="127">
        <v>0</v>
      </c>
      <c r="T327" s="128">
        <f t="shared" si="109"/>
        <v>0</v>
      </c>
      <c r="W327" s="199"/>
      <c r="X327" s="119" t="s">
        <v>685</v>
      </c>
      <c r="Y327" s="119" t="s">
        <v>231</v>
      </c>
      <c r="Z327" s="120" t="s">
        <v>3356</v>
      </c>
      <c r="AA327" s="121" t="s">
        <v>3357</v>
      </c>
      <c r="AB327" s="122" t="s">
        <v>1194</v>
      </c>
      <c r="AC327" s="123">
        <v>1</v>
      </c>
      <c r="AD327" s="124">
        <v>441.18</v>
      </c>
      <c r="AE327" s="200">
        <f t="shared" si="110"/>
        <v>441.18</v>
      </c>
      <c r="AF327" s="956"/>
      <c r="AH327" s="130">
        <f t="shared" si="82"/>
        <v>0</v>
      </c>
      <c r="AJ327" s="398">
        <f t="shared" si="94"/>
        <v>0</v>
      </c>
      <c r="AK327" s="409"/>
      <c r="AL327" s="408"/>
      <c r="AM327" s="407"/>
      <c r="AN327" s="407"/>
      <c r="AO327" s="407"/>
      <c r="AP327" s="407"/>
      <c r="AQ327" s="407"/>
      <c r="AR327" s="129" t="s">
        <v>235</v>
      </c>
      <c r="AT327" s="129" t="s">
        <v>231</v>
      </c>
      <c r="AU327" s="129" t="s">
        <v>76</v>
      </c>
      <c r="AY327" s="13" t="s">
        <v>228</v>
      </c>
      <c r="BE327" s="130">
        <f t="shared" si="111"/>
        <v>0</v>
      </c>
      <c r="BF327" s="130">
        <f t="shared" si="112"/>
        <v>441.18</v>
      </c>
      <c r="BG327" s="130">
        <f t="shared" si="113"/>
        <v>0</v>
      </c>
      <c r="BH327" s="130">
        <f t="shared" si="114"/>
        <v>0</v>
      </c>
      <c r="BI327" s="130">
        <f t="shared" si="115"/>
        <v>0</v>
      </c>
      <c r="BJ327" s="13" t="s">
        <v>76</v>
      </c>
      <c r="BK327" s="130">
        <f t="shared" si="116"/>
        <v>441.18</v>
      </c>
      <c r="BL327" s="13" t="s">
        <v>235</v>
      </c>
      <c r="BM327" s="129" t="s">
        <v>684</v>
      </c>
    </row>
    <row r="328" spans="2:65" s="1" customFormat="1" ht="22.8" x14ac:dyDescent="0.2">
      <c r="B328" s="118"/>
      <c r="C328" s="119" t="s">
        <v>458</v>
      </c>
      <c r="D328" s="119" t="s">
        <v>231</v>
      </c>
      <c r="E328" s="120" t="s">
        <v>3358</v>
      </c>
      <c r="F328" s="121" t="s">
        <v>3359</v>
      </c>
      <c r="G328" s="122" t="s">
        <v>1194</v>
      </c>
      <c r="H328" s="123">
        <v>3</v>
      </c>
      <c r="I328" s="124">
        <v>481.82</v>
      </c>
      <c r="J328" s="124">
        <f t="shared" si="106"/>
        <v>1445.46</v>
      </c>
      <c r="K328" s="121" t="s">
        <v>1</v>
      </c>
      <c r="L328" s="24"/>
      <c r="M328" s="125" t="s">
        <v>1</v>
      </c>
      <c r="N328" s="126" t="s">
        <v>32</v>
      </c>
      <c r="O328" s="127">
        <v>0</v>
      </c>
      <c r="P328" s="127">
        <f t="shared" si="107"/>
        <v>0</v>
      </c>
      <c r="Q328" s="127">
        <v>0</v>
      </c>
      <c r="R328" s="127">
        <f t="shared" si="108"/>
        <v>0</v>
      </c>
      <c r="S328" s="127">
        <v>0</v>
      </c>
      <c r="T328" s="128">
        <f t="shared" si="109"/>
        <v>0</v>
      </c>
      <c r="W328" s="199"/>
      <c r="X328" s="119" t="s">
        <v>458</v>
      </c>
      <c r="Y328" s="119" t="s">
        <v>231</v>
      </c>
      <c r="Z328" s="120" t="s">
        <v>3358</v>
      </c>
      <c r="AA328" s="121" t="s">
        <v>3359</v>
      </c>
      <c r="AB328" s="122" t="s">
        <v>1194</v>
      </c>
      <c r="AC328" s="123">
        <v>3</v>
      </c>
      <c r="AD328" s="124">
        <v>481.82</v>
      </c>
      <c r="AE328" s="200">
        <f t="shared" si="110"/>
        <v>1445.46</v>
      </c>
      <c r="AF328" s="956"/>
      <c r="AH328" s="130">
        <f t="shared" si="82"/>
        <v>0</v>
      </c>
      <c r="AJ328" s="398">
        <f t="shared" si="94"/>
        <v>0</v>
      </c>
      <c r="AK328" s="409"/>
      <c r="AL328" s="408"/>
      <c r="AM328" s="407"/>
      <c r="AN328" s="407"/>
      <c r="AO328" s="407"/>
      <c r="AP328" s="407"/>
      <c r="AQ328" s="407"/>
      <c r="AR328" s="129" t="s">
        <v>235</v>
      </c>
      <c r="AT328" s="129" t="s">
        <v>231</v>
      </c>
      <c r="AU328" s="129" t="s">
        <v>76</v>
      </c>
      <c r="AY328" s="13" t="s">
        <v>228</v>
      </c>
      <c r="BE328" s="130">
        <f t="shared" si="111"/>
        <v>0</v>
      </c>
      <c r="BF328" s="130">
        <f t="shared" si="112"/>
        <v>1445.46</v>
      </c>
      <c r="BG328" s="130">
        <f t="shared" si="113"/>
        <v>0</v>
      </c>
      <c r="BH328" s="130">
        <f t="shared" si="114"/>
        <v>0</v>
      </c>
      <c r="BI328" s="130">
        <f t="shared" si="115"/>
        <v>0</v>
      </c>
      <c r="BJ328" s="13" t="s">
        <v>76</v>
      </c>
      <c r="BK328" s="130">
        <f t="shared" si="116"/>
        <v>1445.46</v>
      </c>
      <c r="BL328" s="13" t="s">
        <v>235</v>
      </c>
      <c r="BM328" s="129" t="s">
        <v>688</v>
      </c>
    </row>
    <row r="329" spans="2:65" s="1" customFormat="1" ht="22.8" x14ac:dyDescent="0.2">
      <c r="B329" s="118"/>
      <c r="C329" s="119" t="s">
        <v>692</v>
      </c>
      <c r="D329" s="119" t="s">
        <v>231</v>
      </c>
      <c r="E329" s="120" t="s">
        <v>3360</v>
      </c>
      <c r="F329" s="121" t="s">
        <v>3361</v>
      </c>
      <c r="G329" s="122" t="s">
        <v>1194</v>
      </c>
      <c r="H329" s="123">
        <v>5</v>
      </c>
      <c r="I329" s="124">
        <v>493.43</v>
      </c>
      <c r="J329" s="124">
        <f t="shared" si="106"/>
        <v>2467.15</v>
      </c>
      <c r="K329" s="121" t="s">
        <v>1</v>
      </c>
      <c r="L329" s="24"/>
      <c r="M329" s="125" t="s">
        <v>1</v>
      </c>
      <c r="N329" s="126" t="s">
        <v>32</v>
      </c>
      <c r="O329" s="127">
        <v>0</v>
      </c>
      <c r="P329" s="127">
        <f t="shared" si="107"/>
        <v>0</v>
      </c>
      <c r="Q329" s="127">
        <v>0</v>
      </c>
      <c r="R329" s="127">
        <f t="shared" si="108"/>
        <v>0</v>
      </c>
      <c r="S329" s="127">
        <v>0</v>
      </c>
      <c r="T329" s="128">
        <f t="shared" si="109"/>
        <v>0</v>
      </c>
      <c r="W329" s="199"/>
      <c r="X329" s="119" t="s">
        <v>692</v>
      </c>
      <c r="Y329" s="119" t="s">
        <v>231</v>
      </c>
      <c r="Z329" s="120" t="s">
        <v>3360</v>
      </c>
      <c r="AA329" s="121" t="s">
        <v>3361</v>
      </c>
      <c r="AB329" s="122" t="s">
        <v>1194</v>
      </c>
      <c r="AC329" s="123">
        <v>5</v>
      </c>
      <c r="AD329" s="124">
        <v>493.43</v>
      </c>
      <c r="AE329" s="200">
        <f t="shared" si="110"/>
        <v>2467.15</v>
      </c>
      <c r="AF329" s="956"/>
      <c r="AH329" s="130">
        <f t="shared" si="82"/>
        <v>0</v>
      </c>
      <c r="AJ329" s="398">
        <f t="shared" si="94"/>
        <v>0</v>
      </c>
      <c r="AK329" s="409"/>
      <c r="AL329" s="408"/>
      <c r="AM329" s="407"/>
      <c r="AN329" s="407"/>
      <c r="AO329" s="407"/>
      <c r="AP329" s="407"/>
      <c r="AQ329" s="407"/>
      <c r="AR329" s="129" t="s">
        <v>235</v>
      </c>
      <c r="AT329" s="129" t="s">
        <v>231</v>
      </c>
      <c r="AU329" s="129" t="s">
        <v>76</v>
      </c>
      <c r="AY329" s="13" t="s">
        <v>228</v>
      </c>
      <c r="BE329" s="130">
        <f t="shared" si="111"/>
        <v>0</v>
      </c>
      <c r="BF329" s="130">
        <f t="shared" si="112"/>
        <v>2467.15</v>
      </c>
      <c r="BG329" s="130">
        <f t="shared" si="113"/>
        <v>0</v>
      </c>
      <c r="BH329" s="130">
        <f t="shared" si="114"/>
        <v>0</v>
      </c>
      <c r="BI329" s="130">
        <f t="shared" si="115"/>
        <v>0</v>
      </c>
      <c r="BJ329" s="13" t="s">
        <v>76</v>
      </c>
      <c r="BK329" s="130">
        <f t="shared" si="116"/>
        <v>2467.15</v>
      </c>
      <c r="BL329" s="13" t="s">
        <v>235</v>
      </c>
      <c r="BM329" s="129" t="s">
        <v>691</v>
      </c>
    </row>
    <row r="330" spans="2:65" s="1" customFormat="1" ht="22.8" x14ac:dyDescent="0.2">
      <c r="B330" s="118"/>
      <c r="C330" s="119" t="s">
        <v>462</v>
      </c>
      <c r="D330" s="119" t="s">
        <v>231</v>
      </c>
      <c r="E330" s="120" t="s">
        <v>3362</v>
      </c>
      <c r="F330" s="121" t="s">
        <v>3363</v>
      </c>
      <c r="G330" s="122" t="s">
        <v>1194</v>
      </c>
      <c r="H330" s="123">
        <v>7</v>
      </c>
      <c r="I330" s="124">
        <v>435.38</v>
      </c>
      <c r="J330" s="124">
        <f t="shared" si="106"/>
        <v>3047.66</v>
      </c>
      <c r="K330" s="121" t="s">
        <v>1</v>
      </c>
      <c r="L330" s="24"/>
      <c r="M330" s="125" t="s">
        <v>1</v>
      </c>
      <c r="N330" s="126" t="s">
        <v>32</v>
      </c>
      <c r="O330" s="127">
        <v>0</v>
      </c>
      <c r="P330" s="127">
        <f t="shared" si="107"/>
        <v>0</v>
      </c>
      <c r="Q330" s="127">
        <v>0</v>
      </c>
      <c r="R330" s="127">
        <f t="shared" si="108"/>
        <v>0</v>
      </c>
      <c r="S330" s="127">
        <v>0</v>
      </c>
      <c r="T330" s="128">
        <f t="shared" si="109"/>
        <v>0</v>
      </c>
      <c r="W330" s="199"/>
      <c r="X330" s="119" t="s">
        <v>462</v>
      </c>
      <c r="Y330" s="119" t="s">
        <v>231</v>
      </c>
      <c r="Z330" s="120" t="s">
        <v>3362</v>
      </c>
      <c r="AA330" s="121" t="s">
        <v>3363</v>
      </c>
      <c r="AB330" s="122" t="s">
        <v>1194</v>
      </c>
      <c r="AC330" s="123">
        <v>7</v>
      </c>
      <c r="AD330" s="124">
        <v>435.38</v>
      </c>
      <c r="AE330" s="200">
        <f t="shared" si="110"/>
        <v>3047.66</v>
      </c>
      <c r="AF330" s="956"/>
      <c r="AH330" s="130">
        <f t="shared" si="82"/>
        <v>0</v>
      </c>
      <c r="AJ330" s="398">
        <f t="shared" si="94"/>
        <v>0</v>
      </c>
      <c r="AK330" s="409"/>
      <c r="AL330" s="408"/>
      <c r="AM330" s="407"/>
      <c r="AN330" s="407"/>
      <c r="AO330" s="407"/>
      <c r="AP330" s="407"/>
      <c r="AQ330" s="407"/>
      <c r="AR330" s="129" t="s">
        <v>235</v>
      </c>
      <c r="AT330" s="129" t="s">
        <v>231</v>
      </c>
      <c r="AU330" s="129" t="s">
        <v>76</v>
      </c>
      <c r="AY330" s="13" t="s">
        <v>228</v>
      </c>
      <c r="BE330" s="130">
        <f t="shared" si="111"/>
        <v>0</v>
      </c>
      <c r="BF330" s="130">
        <f t="shared" si="112"/>
        <v>3047.66</v>
      </c>
      <c r="BG330" s="130">
        <f t="shared" si="113"/>
        <v>0</v>
      </c>
      <c r="BH330" s="130">
        <f t="shared" si="114"/>
        <v>0</v>
      </c>
      <c r="BI330" s="130">
        <f t="shared" si="115"/>
        <v>0</v>
      </c>
      <c r="BJ330" s="13" t="s">
        <v>76</v>
      </c>
      <c r="BK330" s="130">
        <f t="shared" si="116"/>
        <v>3047.66</v>
      </c>
      <c r="BL330" s="13" t="s">
        <v>235</v>
      </c>
      <c r="BM330" s="129" t="s">
        <v>695</v>
      </c>
    </row>
    <row r="331" spans="2:65" s="1" customFormat="1" ht="22.8" x14ac:dyDescent="0.2">
      <c r="B331" s="118"/>
      <c r="C331" s="205" t="s">
        <v>699</v>
      </c>
      <c r="D331" s="119" t="s">
        <v>231</v>
      </c>
      <c r="E331" s="120" t="s">
        <v>3364</v>
      </c>
      <c r="F331" s="121" t="s">
        <v>3365</v>
      </c>
      <c r="G331" s="122" t="s">
        <v>1194</v>
      </c>
      <c r="H331" s="206">
        <v>1</v>
      </c>
      <c r="I331" s="124">
        <v>3308.85</v>
      </c>
      <c r="J331" s="124">
        <f t="shared" si="106"/>
        <v>3308.85</v>
      </c>
      <c r="K331" s="121" t="s">
        <v>1</v>
      </c>
      <c r="L331" s="24"/>
      <c r="M331" s="125" t="s">
        <v>1</v>
      </c>
      <c r="N331" s="126" t="s">
        <v>32</v>
      </c>
      <c r="O331" s="127">
        <v>0</v>
      </c>
      <c r="P331" s="127">
        <f t="shared" si="107"/>
        <v>0</v>
      </c>
      <c r="Q331" s="127">
        <v>0</v>
      </c>
      <c r="R331" s="127">
        <f t="shared" si="108"/>
        <v>0</v>
      </c>
      <c r="S331" s="127">
        <v>0</v>
      </c>
      <c r="T331" s="128">
        <f t="shared" si="109"/>
        <v>0</v>
      </c>
      <c r="W331" s="199"/>
      <c r="X331" s="205" t="s">
        <v>699</v>
      </c>
      <c r="Y331" s="119" t="s">
        <v>231</v>
      </c>
      <c r="Z331" s="120" t="s">
        <v>3364</v>
      </c>
      <c r="AA331" s="121" t="s">
        <v>3365</v>
      </c>
      <c r="AB331" s="122" t="s">
        <v>1194</v>
      </c>
      <c r="AC331" s="206">
        <v>0</v>
      </c>
      <c r="AD331" s="124">
        <v>3308.85</v>
      </c>
      <c r="AE331" s="200">
        <f t="shared" si="110"/>
        <v>0</v>
      </c>
      <c r="AF331" s="956">
        <v>1</v>
      </c>
      <c r="AH331" s="130">
        <f t="shared" si="82"/>
        <v>-1</v>
      </c>
      <c r="AJ331" s="398">
        <f t="shared" si="94"/>
        <v>-3308.85</v>
      </c>
      <c r="AK331" s="409"/>
      <c r="AL331" s="408"/>
      <c r="AM331" s="407"/>
      <c r="AN331" s="407"/>
      <c r="AO331" s="407"/>
      <c r="AP331" s="407"/>
      <c r="AQ331" s="407"/>
      <c r="AR331" s="129" t="s">
        <v>235</v>
      </c>
      <c r="AT331" s="129" t="s">
        <v>231</v>
      </c>
      <c r="AU331" s="129" t="s">
        <v>76</v>
      </c>
      <c r="AY331" s="13" t="s">
        <v>228</v>
      </c>
      <c r="BE331" s="130">
        <f t="shared" si="111"/>
        <v>0</v>
      </c>
      <c r="BF331" s="130">
        <f t="shared" si="112"/>
        <v>3308.85</v>
      </c>
      <c r="BG331" s="130">
        <f t="shared" si="113"/>
        <v>0</v>
      </c>
      <c r="BH331" s="130">
        <f t="shared" si="114"/>
        <v>0</v>
      </c>
      <c r="BI331" s="130">
        <f t="shared" si="115"/>
        <v>0</v>
      </c>
      <c r="BJ331" s="13" t="s">
        <v>76</v>
      </c>
      <c r="BK331" s="130">
        <f t="shared" si="116"/>
        <v>3308.85</v>
      </c>
      <c r="BL331" s="13" t="s">
        <v>235</v>
      </c>
      <c r="BM331" s="129" t="s">
        <v>698</v>
      </c>
    </row>
    <row r="332" spans="2:65" s="1" customFormat="1" ht="22.8" x14ac:dyDescent="0.2">
      <c r="B332" s="118"/>
      <c r="C332" s="119" t="s">
        <v>465</v>
      </c>
      <c r="D332" s="119" t="s">
        <v>231</v>
      </c>
      <c r="E332" s="120" t="s">
        <v>3366</v>
      </c>
      <c r="F332" s="121" t="s">
        <v>3367</v>
      </c>
      <c r="G332" s="122" t="s">
        <v>1194</v>
      </c>
      <c r="H332" s="123">
        <v>37</v>
      </c>
      <c r="I332" s="124">
        <v>20.9</v>
      </c>
      <c r="J332" s="124">
        <f t="shared" si="106"/>
        <v>773.3</v>
      </c>
      <c r="K332" s="121" t="s">
        <v>1</v>
      </c>
      <c r="L332" s="24"/>
      <c r="M332" s="125" t="s">
        <v>1</v>
      </c>
      <c r="N332" s="126" t="s">
        <v>32</v>
      </c>
      <c r="O332" s="127">
        <v>0</v>
      </c>
      <c r="P332" s="127">
        <f t="shared" si="107"/>
        <v>0</v>
      </c>
      <c r="Q332" s="127">
        <v>0</v>
      </c>
      <c r="R332" s="127">
        <f t="shared" si="108"/>
        <v>0</v>
      </c>
      <c r="S332" s="127">
        <v>0</v>
      </c>
      <c r="T332" s="128">
        <f t="shared" si="109"/>
        <v>0</v>
      </c>
      <c r="W332" s="199"/>
      <c r="X332" s="119" t="s">
        <v>465</v>
      </c>
      <c r="Y332" s="119" t="s">
        <v>231</v>
      </c>
      <c r="Z332" s="120" t="s">
        <v>3366</v>
      </c>
      <c r="AA332" s="121" t="s">
        <v>3367</v>
      </c>
      <c r="AB332" s="122" t="s">
        <v>1194</v>
      </c>
      <c r="AC332" s="123">
        <v>37</v>
      </c>
      <c r="AD332" s="124">
        <v>20.9</v>
      </c>
      <c r="AE332" s="200">
        <f t="shared" si="110"/>
        <v>773.3</v>
      </c>
      <c r="AF332" s="956"/>
      <c r="AH332" s="130">
        <f t="shared" si="82"/>
        <v>0</v>
      </c>
      <c r="AJ332" s="398">
        <f t="shared" si="94"/>
        <v>0</v>
      </c>
      <c r="AK332" s="409"/>
      <c r="AL332" s="408"/>
      <c r="AM332" s="407"/>
      <c r="AN332" s="407"/>
      <c r="AO332" s="407"/>
      <c r="AP332" s="407"/>
      <c r="AQ332" s="407"/>
      <c r="AR332" s="129" t="s">
        <v>235</v>
      </c>
      <c r="AT332" s="129" t="s">
        <v>231</v>
      </c>
      <c r="AU332" s="129" t="s">
        <v>76</v>
      </c>
      <c r="AY332" s="13" t="s">
        <v>228</v>
      </c>
      <c r="BE332" s="130">
        <f t="shared" si="111"/>
        <v>0</v>
      </c>
      <c r="BF332" s="130">
        <f t="shared" si="112"/>
        <v>773.3</v>
      </c>
      <c r="BG332" s="130">
        <f t="shared" si="113"/>
        <v>0</v>
      </c>
      <c r="BH332" s="130">
        <f t="shared" si="114"/>
        <v>0</v>
      </c>
      <c r="BI332" s="130">
        <f t="shared" si="115"/>
        <v>0</v>
      </c>
      <c r="BJ332" s="13" t="s">
        <v>76</v>
      </c>
      <c r="BK332" s="130">
        <f t="shared" si="116"/>
        <v>773.3</v>
      </c>
      <c r="BL332" s="13" t="s">
        <v>235</v>
      </c>
      <c r="BM332" s="129" t="s">
        <v>702</v>
      </c>
    </row>
    <row r="333" spans="2:65" s="1" customFormat="1" ht="22.8" x14ac:dyDescent="0.2">
      <c r="B333" s="118"/>
      <c r="C333" s="119" t="s">
        <v>706</v>
      </c>
      <c r="D333" s="119" t="s">
        <v>231</v>
      </c>
      <c r="E333" s="120" t="s">
        <v>3368</v>
      </c>
      <c r="F333" s="121" t="s">
        <v>3369</v>
      </c>
      <c r="G333" s="122" t="s">
        <v>292</v>
      </c>
      <c r="H333" s="123">
        <v>53</v>
      </c>
      <c r="I333" s="124">
        <v>58.05</v>
      </c>
      <c r="J333" s="124">
        <f t="shared" si="106"/>
        <v>3076.65</v>
      </c>
      <c r="K333" s="121" t="s">
        <v>1</v>
      </c>
      <c r="L333" s="24"/>
      <c r="M333" s="125" t="s">
        <v>1</v>
      </c>
      <c r="N333" s="126" t="s">
        <v>32</v>
      </c>
      <c r="O333" s="127">
        <v>0</v>
      </c>
      <c r="P333" s="127">
        <f t="shared" si="107"/>
        <v>0</v>
      </c>
      <c r="Q333" s="127">
        <v>0</v>
      </c>
      <c r="R333" s="127">
        <f t="shared" si="108"/>
        <v>0</v>
      </c>
      <c r="S333" s="127">
        <v>0</v>
      </c>
      <c r="T333" s="128">
        <f t="shared" si="109"/>
        <v>0</v>
      </c>
      <c r="W333" s="199"/>
      <c r="X333" s="119" t="s">
        <v>706</v>
      </c>
      <c r="Y333" s="119" t="s">
        <v>231</v>
      </c>
      <c r="Z333" s="120" t="s">
        <v>3368</v>
      </c>
      <c r="AA333" s="121" t="s">
        <v>3369</v>
      </c>
      <c r="AB333" s="122" t="s">
        <v>292</v>
      </c>
      <c r="AC333" s="123">
        <v>53</v>
      </c>
      <c r="AD333" s="124">
        <v>58.05</v>
      </c>
      <c r="AE333" s="200">
        <f t="shared" si="110"/>
        <v>3076.65</v>
      </c>
      <c r="AF333" s="956"/>
      <c r="AH333" s="130">
        <f t="shared" si="82"/>
        <v>0</v>
      </c>
      <c r="AJ333" s="398">
        <f t="shared" si="94"/>
        <v>0</v>
      </c>
      <c r="AK333" s="409"/>
      <c r="AL333" s="408"/>
      <c r="AM333" s="407"/>
      <c r="AN333" s="407"/>
      <c r="AO333" s="407"/>
      <c r="AP333" s="407"/>
      <c r="AQ333" s="407"/>
      <c r="AR333" s="129" t="s">
        <v>235</v>
      </c>
      <c r="AT333" s="129" t="s">
        <v>231</v>
      </c>
      <c r="AU333" s="129" t="s">
        <v>76</v>
      </c>
      <c r="AY333" s="13" t="s">
        <v>228</v>
      </c>
      <c r="BE333" s="130">
        <f t="shared" si="111"/>
        <v>0</v>
      </c>
      <c r="BF333" s="130">
        <f t="shared" si="112"/>
        <v>3076.65</v>
      </c>
      <c r="BG333" s="130">
        <f t="shared" si="113"/>
        <v>0</v>
      </c>
      <c r="BH333" s="130">
        <f t="shared" si="114"/>
        <v>0</v>
      </c>
      <c r="BI333" s="130">
        <f t="shared" si="115"/>
        <v>0</v>
      </c>
      <c r="BJ333" s="13" t="s">
        <v>76</v>
      </c>
      <c r="BK333" s="130">
        <f t="shared" si="116"/>
        <v>3076.65</v>
      </c>
      <c r="BL333" s="13" t="s">
        <v>235</v>
      </c>
      <c r="BM333" s="129" t="s">
        <v>705</v>
      </c>
    </row>
    <row r="334" spans="2:65" s="1" customFormat="1" ht="22.8" x14ac:dyDescent="0.2">
      <c r="B334" s="118"/>
      <c r="C334" s="119" t="s">
        <v>469</v>
      </c>
      <c r="D334" s="119" t="s">
        <v>231</v>
      </c>
      <c r="E334" s="120" t="s">
        <v>3370</v>
      </c>
      <c r="F334" s="121" t="s">
        <v>3371</v>
      </c>
      <c r="G334" s="122" t="s">
        <v>292</v>
      </c>
      <c r="H334" s="123">
        <v>53</v>
      </c>
      <c r="I334" s="124">
        <v>29.03</v>
      </c>
      <c r="J334" s="124">
        <f t="shared" si="106"/>
        <v>1538.59</v>
      </c>
      <c r="K334" s="121" t="s">
        <v>1</v>
      </c>
      <c r="L334" s="24"/>
      <c r="M334" s="125" t="s">
        <v>1</v>
      </c>
      <c r="N334" s="126" t="s">
        <v>32</v>
      </c>
      <c r="O334" s="127">
        <v>0</v>
      </c>
      <c r="P334" s="127">
        <f t="shared" si="107"/>
        <v>0</v>
      </c>
      <c r="Q334" s="127">
        <v>0</v>
      </c>
      <c r="R334" s="127">
        <f t="shared" si="108"/>
        <v>0</v>
      </c>
      <c r="S334" s="127">
        <v>0</v>
      </c>
      <c r="T334" s="128">
        <f t="shared" si="109"/>
        <v>0</v>
      </c>
      <c r="W334" s="199"/>
      <c r="X334" s="119" t="s">
        <v>469</v>
      </c>
      <c r="Y334" s="119" t="s">
        <v>231</v>
      </c>
      <c r="Z334" s="120" t="s">
        <v>3370</v>
      </c>
      <c r="AA334" s="121" t="s">
        <v>3371</v>
      </c>
      <c r="AB334" s="122" t="s">
        <v>292</v>
      </c>
      <c r="AC334" s="123">
        <v>53</v>
      </c>
      <c r="AD334" s="124">
        <v>29.03</v>
      </c>
      <c r="AE334" s="200">
        <f t="shared" si="110"/>
        <v>1538.59</v>
      </c>
      <c r="AF334" s="956"/>
      <c r="AH334" s="130">
        <f t="shared" si="82"/>
        <v>0</v>
      </c>
      <c r="AJ334" s="398">
        <f t="shared" si="94"/>
        <v>0</v>
      </c>
      <c r="AK334" s="409"/>
      <c r="AL334" s="408"/>
      <c r="AM334" s="407"/>
      <c r="AN334" s="407"/>
      <c r="AO334" s="407"/>
      <c r="AP334" s="407"/>
      <c r="AQ334" s="407"/>
      <c r="AR334" s="129" t="s">
        <v>235</v>
      </c>
      <c r="AT334" s="129" t="s">
        <v>231</v>
      </c>
      <c r="AU334" s="129" t="s">
        <v>76</v>
      </c>
      <c r="AY334" s="13" t="s">
        <v>228</v>
      </c>
      <c r="BE334" s="130">
        <f t="shared" si="111"/>
        <v>0</v>
      </c>
      <c r="BF334" s="130">
        <f t="shared" si="112"/>
        <v>1538.59</v>
      </c>
      <c r="BG334" s="130">
        <f t="shared" si="113"/>
        <v>0</v>
      </c>
      <c r="BH334" s="130">
        <f t="shared" si="114"/>
        <v>0</v>
      </c>
      <c r="BI334" s="130">
        <f t="shared" si="115"/>
        <v>0</v>
      </c>
      <c r="BJ334" s="13" t="s">
        <v>76</v>
      </c>
      <c r="BK334" s="130">
        <f t="shared" si="116"/>
        <v>1538.59</v>
      </c>
      <c r="BL334" s="13" t="s">
        <v>235</v>
      </c>
      <c r="BM334" s="129" t="s">
        <v>709</v>
      </c>
    </row>
    <row r="335" spans="2:65" s="1" customFormat="1" ht="22.8" x14ac:dyDescent="0.2">
      <c r="B335" s="118"/>
      <c r="C335" s="119" t="s">
        <v>713</v>
      </c>
      <c r="D335" s="119" t="s">
        <v>231</v>
      </c>
      <c r="E335" s="120" t="s">
        <v>3372</v>
      </c>
      <c r="F335" s="121" t="s">
        <v>3373</v>
      </c>
      <c r="G335" s="122" t="s">
        <v>292</v>
      </c>
      <c r="H335" s="123">
        <v>63</v>
      </c>
      <c r="I335" s="124">
        <v>29.03</v>
      </c>
      <c r="J335" s="124">
        <f t="shared" si="106"/>
        <v>1828.89</v>
      </c>
      <c r="K335" s="121" t="s">
        <v>1</v>
      </c>
      <c r="L335" s="24"/>
      <c r="M335" s="125" t="s">
        <v>1</v>
      </c>
      <c r="N335" s="126" t="s">
        <v>32</v>
      </c>
      <c r="O335" s="127">
        <v>0</v>
      </c>
      <c r="P335" s="127">
        <f t="shared" si="107"/>
        <v>0</v>
      </c>
      <c r="Q335" s="127">
        <v>0</v>
      </c>
      <c r="R335" s="127">
        <f t="shared" si="108"/>
        <v>0</v>
      </c>
      <c r="S335" s="127">
        <v>0</v>
      </c>
      <c r="T335" s="128">
        <f t="shared" si="109"/>
        <v>0</v>
      </c>
      <c r="W335" s="199"/>
      <c r="X335" s="119" t="s">
        <v>713</v>
      </c>
      <c r="Y335" s="119" t="s">
        <v>231</v>
      </c>
      <c r="Z335" s="120" t="s">
        <v>3372</v>
      </c>
      <c r="AA335" s="121" t="s">
        <v>3373</v>
      </c>
      <c r="AB335" s="122" t="s">
        <v>292</v>
      </c>
      <c r="AC335" s="123">
        <v>63</v>
      </c>
      <c r="AD335" s="124">
        <v>29.03</v>
      </c>
      <c r="AE335" s="200">
        <f t="shared" si="110"/>
        <v>1828.89</v>
      </c>
      <c r="AF335" s="956"/>
      <c r="AH335" s="130">
        <f t="shared" si="82"/>
        <v>0</v>
      </c>
      <c r="AJ335" s="398">
        <f t="shared" si="94"/>
        <v>0</v>
      </c>
      <c r="AK335" s="409"/>
      <c r="AL335" s="408"/>
      <c r="AM335" s="407"/>
      <c r="AN335" s="407"/>
      <c r="AO335" s="407"/>
      <c r="AP335" s="407"/>
      <c r="AQ335" s="407"/>
      <c r="AR335" s="129" t="s">
        <v>235</v>
      </c>
      <c r="AT335" s="129" t="s">
        <v>231</v>
      </c>
      <c r="AU335" s="129" t="s">
        <v>76</v>
      </c>
      <c r="AY335" s="13" t="s">
        <v>228</v>
      </c>
      <c r="BE335" s="130">
        <f t="shared" si="111"/>
        <v>0</v>
      </c>
      <c r="BF335" s="130">
        <f t="shared" si="112"/>
        <v>1828.89</v>
      </c>
      <c r="BG335" s="130">
        <f t="shared" si="113"/>
        <v>0</v>
      </c>
      <c r="BH335" s="130">
        <f t="shared" si="114"/>
        <v>0</v>
      </c>
      <c r="BI335" s="130">
        <f t="shared" si="115"/>
        <v>0</v>
      </c>
      <c r="BJ335" s="13" t="s">
        <v>76</v>
      </c>
      <c r="BK335" s="130">
        <f t="shared" si="116"/>
        <v>1828.89</v>
      </c>
      <c r="BL335" s="13" t="s">
        <v>235</v>
      </c>
      <c r="BM335" s="129" t="s">
        <v>712</v>
      </c>
    </row>
    <row r="336" spans="2:65" s="1" customFormat="1" x14ac:dyDescent="0.2">
      <c r="B336" s="118"/>
      <c r="C336" s="205" t="s">
        <v>472</v>
      </c>
      <c r="D336" s="119" t="s">
        <v>231</v>
      </c>
      <c r="E336" s="120" t="s">
        <v>3374</v>
      </c>
      <c r="F336" s="121" t="s">
        <v>3375</v>
      </c>
      <c r="G336" s="122" t="s">
        <v>1194</v>
      </c>
      <c r="H336" s="206">
        <v>1</v>
      </c>
      <c r="I336" s="124">
        <v>2113.02</v>
      </c>
      <c r="J336" s="124">
        <f t="shared" si="106"/>
        <v>2113.02</v>
      </c>
      <c r="K336" s="121" t="s">
        <v>1</v>
      </c>
      <c r="L336" s="24"/>
      <c r="M336" s="125" t="s">
        <v>1</v>
      </c>
      <c r="N336" s="126" t="s">
        <v>32</v>
      </c>
      <c r="O336" s="127">
        <v>0</v>
      </c>
      <c r="P336" s="127">
        <f t="shared" si="107"/>
        <v>0</v>
      </c>
      <c r="Q336" s="127">
        <v>0</v>
      </c>
      <c r="R336" s="127">
        <f t="shared" si="108"/>
        <v>0</v>
      </c>
      <c r="S336" s="127">
        <v>0</v>
      </c>
      <c r="T336" s="128">
        <f t="shared" si="109"/>
        <v>0</v>
      </c>
      <c r="W336" s="199"/>
      <c r="X336" s="205" t="s">
        <v>472</v>
      </c>
      <c r="Y336" s="119" t="s">
        <v>231</v>
      </c>
      <c r="Z336" s="120" t="s">
        <v>3374</v>
      </c>
      <c r="AA336" s="121" t="s">
        <v>3375</v>
      </c>
      <c r="AB336" s="122" t="s">
        <v>1194</v>
      </c>
      <c r="AC336" s="206">
        <f>1+1</f>
        <v>2</v>
      </c>
      <c r="AD336" s="124">
        <v>2113.02</v>
      </c>
      <c r="AE336" s="200">
        <f t="shared" si="110"/>
        <v>4226.04</v>
      </c>
      <c r="AF336" s="956" t="s">
        <v>5348</v>
      </c>
      <c r="AH336" s="130">
        <f t="shared" si="82"/>
        <v>1</v>
      </c>
      <c r="AJ336" s="398">
        <f t="shared" si="94"/>
        <v>2113.02</v>
      </c>
      <c r="AK336" s="409"/>
      <c r="AL336" s="408"/>
      <c r="AM336" s="407"/>
      <c r="AN336" s="407"/>
      <c r="AO336" s="407"/>
      <c r="AP336" s="407"/>
      <c r="AQ336" s="407"/>
      <c r="AR336" s="129" t="s">
        <v>235</v>
      </c>
      <c r="AT336" s="129" t="s">
        <v>231</v>
      </c>
      <c r="AU336" s="129" t="s">
        <v>76</v>
      </c>
      <c r="AY336" s="13" t="s">
        <v>228</v>
      </c>
      <c r="BE336" s="130">
        <f t="shared" si="111"/>
        <v>0</v>
      </c>
      <c r="BF336" s="130">
        <f t="shared" si="112"/>
        <v>2113.02</v>
      </c>
      <c r="BG336" s="130">
        <f t="shared" si="113"/>
        <v>0</v>
      </c>
      <c r="BH336" s="130">
        <f t="shared" si="114"/>
        <v>0</v>
      </c>
      <c r="BI336" s="130">
        <f t="shared" si="115"/>
        <v>0</v>
      </c>
      <c r="BJ336" s="13" t="s">
        <v>76</v>
      </c>
      <c r="BK336" s="130">
        <f t="shared" si="116"/>
        <v>2113.02</v>
      </c>
      <c r="BL336" s="13" t="s">
        <v>235</v>
      </c>
      <c r="BM336" s="129" t="s">
        <v>716</v>
      </c>
    </row>
    <row r="337" spans="2:65" s="1" customFormat="1" x14ac:dyDescent="0.2">
      <c r="B337" s="118"/>
      <c r="C337" s="119" t="s">
        <v>722</v>
      </c>
      <c r="D337" s="119" t="s">
        <v>231</v>
      </c>
      <c r="E337" s="120" t="s">
        <v>3376</v>
      </c>
      <c r="F337" s="121" t="s">
        <v>3377</v>
      </c>
      <c r="G337" s="122" t="s">
        <v>1194</v>
      </c>
      <c r="H337" s="123">
        <v>1</v>
      </c>
      <c r="I337" s="124">
        <v>1044.9000000000001</v>
      </c>
      <c r="J337" s="124">
        <f t="shared" si="106"/>
        <v>1044.9000000000001</v>
      </c>
      <c r="K337" s="121" t="s">
        <v>1</v>
      </c>
      <c r="L337" s="24"/>
      <c r="M337" s="125" t="s">
        <v>1</v>
      </c>
      <c r="N337" s="126" t="s">
        <v>32</v>
      </c>
      <c r="O337" s="127">
        <v>0</v>
      </c>
      <c r="P337" s="127">
        <f t="shared" si="107"/>
        <v>0</v>
      </c>
      <c r="Q337" s="127">
        <v>0</v>
      </c>
      <c r="R337" s="127">
        <f t="shared" si="108"/>
        <v>0</v>
      </c>
      <c r="S337" s="127">
        <v>0</v>
      </c>
      <c r="T337" s="128">
        <f t="shared" si="109"/>
        <v>0</v>
      </c>
      <c r="W337" s="199"/>
      <c r="X337" s="119" t="s">
        <v>722</v>
      </c>
      <c r="Y337" s="119" t="s">
        <v>231</v>
      </c>
      <c r="Z337" s="120" t="s">
        <v>3376</v>
      </c>
      <c r="AA337" s="121" t="s">
        <v>3377</v>
      </c>
      <c r="AB337" s="122" t="s">
        <v>1194</v>
      </c>
      <c r="AC337" s="123">
        <v>1</v>
      </c>
      <c r="AD337" s="124">
        <v>1044.9000000000001</v>
      </c>
      <c r="AE337" s="200">
        <f t="shared" si="110"/>
        <v>1044.9000000000001</v>
      </c>
      <c r="AF337" s="956"/>
      <c r="AH337" s="130">
        <f t="shared" si="82"/>
        <v>0</v>
      </c>
      <c r="AJ337" s="398">
        <f t="shared" si="94"/>
        <v>0</v>
      </c>
      <c r="AK337" s="409"/>
      <c r="AL337" s="408"/>
      <c r="AM337" s="407"/>
      <c r="AN337" s="407"/>
      <c r="AO337" s="407"/>
      <c r="AP337" s="407"/>
      <c r="AQ337" s="407"/>
      <c r="AR337" s="129" t="s">
        <v>235</v>
      </c>
      <c r="AT337" s="129" t="s">
        <v>231</v>
      </c>
      <c r="AU337" s="129" t="s">
        <v>76</v>
      </c>
      <c r="AY337" s="13" t="s">
        <v>228</v>
      </c>
      <c r="BE337" s="130">
        <f t="shared" si="111"/>
        <v>0</v>
      </c>
      <c r="BF337" s="130">
        <f t="shared" si="112"/>
        <v>1044.9000000000001</v>
      </c>
      <c r="BG337" s="130">
        <f t="shared" si="113"/>
        <v>0</v>
      </c>
      <c r="BH337" s="130">
        <f t="shared" si="114"/>
        <v>0</v>
      </c>
      <c r="BI337" s="130">
        <f t="shared" si="115"/>
        <v>0</v>
      </c>
      <c r="BJ337" s="13" t="s">
        <v>76</v>
      </c>
      <c r="BK337" s="130">
        <f t="shared" si="116"/>
        <v>1044.9000000000001</v>
      </c>
      <c r="BL337" s="13" t="s">
        <v>235</v>
      </c>
      <c r="BM337" s="129" t="s">
        <v>721</v>
      </c>
    </row>
    <row r="338" spans="2:65" s="1" customFormat="1" x14ac:dyDescent="0.2">
      <c r="B338" s="118"/>
      <c r="C338" s="119" t="s">
        <v>476</v>
      </c>
      <c r="D338" s="119" t="s">
        <v>231</v>
      </c>
      <c r="E338" s="120" t="s">
        <v>3378</v>
      </c>
      <c r="F338" s="121" t="s">
        <v>3379</v>
      </c>
      <c r="G338" s="122" t="s">
        <v>1194</v>
      </c>
      <c r="H338" s="123">
        <v>1</v>
      </c>
      <c r="I338" s="124">
        <v>522.45000000000005</v>
      </c>
      <c r="J338" s="124">
        <f t="shared" si="106"/>
        <v>522.45000000000005</v>
      </c>
      <c r="K338" s="121" t="s">
        <v>1</v>
      </c>
      <c r="L338" s="24"/>
      <c r="M338" s="125" t="s">
        <v>1</v>
      </c>
      <c r="N338" s="126" t="s">
        <v>32</v>
      </c>
      <c r="O338" s="127">
        <v>0</v>
      </c>
      <c r="P338" s="127">
        <f t="shared" si="107"/>
        <v>0</v>
      </c>
      <c r="Q338" s="127">
        <v>0</v>
      </c>
      <c r="R338" s="127">
        <f t="shared" si="108"/>
        <v>0</v>
      </c>
      <c r="S338" s="127">
        <v>0</v>
      </c>
      <c r="T338" s="128">
        <f t="shared" si="109"/>
        <v>0</v>
      </c>
      <c r="W338" s="199"/>
      <c r="X338" s="119" t="s">
        <v>476</v>
      </c>
      <c r="Y338" s="119" t="s">
        <v>231</v>
      </c>
      <c r="Z338" s="120" t="s">
        <v>3378</v>
      </c>
      <c r="AA338" s="121" t="s">
        <v>3379</v>
      </c>
      <c r="AB338" s="122" t="s">
        <v>1194</v>
      </c>
      <c r="AC338" s="123">
        <v>1</v>
      </c>
      <c r="AD338" s="124">
        <v>522.45000000000005</v>
      </c>
      <c r="AE338" s="200">
        <f t="shared" si="110"/>
        <v>522.45000000000005</v>
      </c>
      <c r="AF338" s="956"/>
      <c r="AH338" s="130">
        <f t="shared" si="82"/>
        <v>0</v>
      </c>
      <c r="AJ338" s="398">
        <f t="shared" si="94"/>
        <v>0</v>
      </c>
      <c r="AK338" s="409"/>
      <c r="AL338" s="408"/>
      <c r="AM338" s="407"/>
      <c r="AN338" s="407"/>
      <c r="AO338" s="407"/>
      <c r="AP338" s="407"/>
      <c r="AQ338" s="407"/>
      <c r="AR338" s="129" t="s">
        <v>235</v>
      </c>
      <c r="AT338" s="129" t="s">
        <v>231</v>
      </c>
      <c r="AU338" s="129" t="s">
        <v>76</v>
      </c>
      <c r="AY338" s="13" t="s">
        <v>228</v>
      </c>
      <c r="BE338" s="130">
        <f t="shared" si="111"/>
        <v>0</v>
      </c>
      <c r="BF338" s="130">
        <f t="shared" si="112"/>
        <v>522.45000000000005</v>
      </c>
      <c r="BG338" s="130">
        <f t="shared" si="113"/>
        <v>0</v>
      </c>
      <c r="BH338" s="130">
        <f t="shared" si="114"/>
        <v>0</v>
      </c>
      <c r="BI338" s="130">
        <f t="shared" si="115"/>
        <v>0</v>
      </c>
      <c r="BJ338" s="13" t="s">
        <v>76</v>
      </c>
      <c r="BK338" s="130">
        <f t="shared" si="116"/>
        <v>522.45000000000005</v>
      </c>
      <c r="BL338" s="13" t="s">
        <v>235</v>
      </c>
      <c r="BM338" s="129" t="s">
        <v>725</v>
      </c>
    </row>
    <row r="339" spans="2:65" s="1" customFormat="1" ht="22.8" x14ac:dyDescent="0.2">
      <c r="B339" s="118"/>
      <c r="C339" s="205" t="s">
        <v>729</v>
      </c>
      <c r="D339" s="119" t="s">
        <v>231</v>
      </c>
      <c r="E339" s="120" t="s">
        <v>3380</v>
      </c>
      <c r="F339" s="121" t="s">
        <v>3381</v>
      </c>
      <c r="G339" s="122" t="s">
        <v>570</v>
      </c>
      <c r="H339" s="206">
        <v>228.05</v>
      </c>
      <c r="I339" s="124">
        <v>0.64</v>
      </c>
      <c r="J339" s="124">
        <f t="shared" si="106"/>
        <v>145.94999999999999</v>
      </c>
      <c r="K339" s="121" t="s">
        <v>1</v>
      </c>
      <c r="L339" s="24"/>
      <c r="M339" s="125" t="s">
        <v>1</v>
      </c>
      <c r="N339" s="126" t="s">
        <v>32</v>
      </c>
      <c r="O339" s="127">
        <v>0</v>
      </c>
      <c r="P339" s="127">
        <f t="shared" si="107"/>
        <v>0</v>
      </c>
      <c r="Q339" s="127">
        <v>0</v>
      </c>
      <c r="R339" s="127">
        <f t="shared" si="108"/>
        <v>0</v>
      </c>
      <c r="S339" s="127">
        <v>0</v>
      </c>
      <c r="T339" s="128">
        <f t="shared" si="109"/>
        <v>0</v>
      </c>
      <c r="W339" s="199"/>
      <c r="X339" s="205" t="s">
        <v>729</v>
      </c>
      <c r="Y339" s="119" t="s">
        <v>231</v>
      </c>
      <c r="Z339" s="120" t="s">
        <v>3380</v>
      </c>
      <c r="AA339" s="121" t="s">
        <v>3381</v>
      </c>
      <c r="AB339" s="122" t="s">
        <v>570</v>
      </c>
      <c r="AC339" s="206">
        <f>228.05-33.02+21.13</f>
        <v>216.16</v>
      </c>
      <c r="AD339" s="124">
        <v>0.64</v>
      </c>
      <c r="AE339" s="200">
        <f t="shared" si="110"/>
        <v>138.34</v>
      </c>
      <c r="AF339" s="956" t="s">
        <v>6421</v>
      </c>
      <c r="AH339" s="130">
        <f t="shared" si="82"/>
        <v>-11.890000000000015</v>
      </c>
      <c r="AJ339" s="398">
        <f t="shared" si="94"/>
        <v>-7.6096000000000092</v>
      </c>
      <c r="AK339" s="409"/>
      <c r="AL339" s="408"/>
      <c r="AM339" s="407"/>
      <c r="AN339" s="407"/>
      <c r="AO339" s="407"/>
      <c r="AP339" s="407"/>
      <c r="AQ339" s="407"/>
      <c r="AR339" s="129" t="s">
        <v>235</v>
      </c>
      <c r="AT339" s="129" t="s">
        <v>231</v>
      </c>
      <c r="AU339" s="129" t="s">
        <v>76</v>
      </c>
      <c r="AY339" s="13" t="s">
        <v>228</v>
      </c>
      <c r="BE339" s="130">
        <f t="shared" si="111"/>
        <v>0</v>
      </c>
      <c r="BF339" s="130">
        <f t="shared" si="112"/>
        <v>145.94999999999999</v>
      </c>
      <c r="BG339" s="130">
        <f t="shared" si="113"/>
        <v>0</v>
      </c>
      <c r="BH339" s="130">
        <f t="shared" si="114"/>
        <v>0</v>
      </c>
      <c r="BI339" s="130">
        <f t="shared" si="115"/>
        <v>0</v>
      </c>
      <c r="BJ339" s="13" t="s">
        <v>76</v>
      </c>
      <c r="BK339" s="130">
        <f t="shared" si="116"/>
        <v>145.94999999999999</v>
      </c>
      <c r="BL339" s="13" t="s">
        <v>235</v>
      </c>
      <c r="BM339" s="129" t="s">
        <v>728</v>
      </c>
    </row>
    <row r="340" spans="2:65" s="340" customFormat="1" ht="24" customHeight="1" x14ac:dyDescent="0.25">
      <c r="B340" s="118"/>
      <c r="C340" s="254"/>
      <c r="D340" s="254"/>
      <c r="E340" s="255"/>
      <c r="F340" s="222"/>
      <c r="G340" s="256"/>
      <c r="H340" s="257"/>
      <c r="I340" s="258"/>
      <c r="J340" s="258"/>
      <c r="K340" s="222"/>
      <c r="L340" s="24"/>
      <c r="M340" s="125"/>
      <c r="N340" s="126"/>
      <c r="O340" s="127"/>
      <c r="P340" s="127"/>
      <c r="Q340" s="127"/>
      <c r="R340" s="127"/>
      <c r="S340" s="127"/>
      <c r="T340" s="128"/>
      <c r="W340" s="199"/>
      <c r="X340" s="357"/>
      <c r="Y340" s="358" t="s">
        <v>57</v>
      </c>
      <c r="Z340" s="359" t="s">
        <v>5752</v>
      </c>
      <c r="AA340" s="201" t="s">
        <v>5753</v>
      </c>
      <c r="AB340" s="357"/>
      <c r="AC340" s="357"/>
      <c r="AD340" s="357"/>
      <c r="AE340" s="360">
        <f>SUM(AE341:AE352)</f>
        <v>4824.54</v>
      </c>
      <c r="AF340" s="956"/>
      <c r="AH340" s="130">
        <f t="shared" si="82"/>
        <v>0</v>
      </c>
      <c r="AJ340" s="398">
        <f t="shared" si="94"/>
        <v>0</v>
      </c>
      <c r="AK340" s="409"/>
      <c r="AL340" s="408"/>
      <c r="AM340" s="407"/>
      <c r="AN340" s="407"/>
      <c r="AO340" s="407"/>
      <c r="AP340" s="407"/>
      <c r="AQ340" s="407"/>
      <c r="AR340" s="129"/>
      <c r="AT340" s="129"/>
      <c r="AU340" s="129"/>
      <c r="AY340" s="13"/>
      <c r="BE340" s="130"/>
      <c r="BF340" s="130"/>
      <c r="BG340" s="130"/>
      <c r="BH340" s="130"/>
      <c r="BI340" s="130"/>
      <c r="BJ340" s="13"/>
      <c r="BK340" s="130"/>
      <c r="BL340" s="13"/>
      <c r="BM340" s="129"/>
    </row>
    <row r="341" spans="2:65" s="340" customFormat="1" ht="22.8" x14ac:dyDescent="0.2">
      <c r="B341" s="118"/>
      <c r="C341" s="1234" t="s">
        <v>5205</v>
      </c>
      <c r="D341" s="1235"/>
      <c r="E341" s="1235"/>
      <c r="F341" s="1235"/>
      <c r="G341" s="1235"/>
      <c r="H341" s="1235"/>
      <c r="I341" s="1235"/>
      <c r="J341" s="1236"/>
      <c r="K341" s="222"/>
      <c r="L341" s="24"/>
      <c r="M341" s="125"/>
      <c r="N341" s="126"/>
      <c r="O341" s="127"/>
      <c r="P341" s="127"/>
      <c r="Q341" s="127"/>
      <c r="R341" s="127"/>
      <c r="S341" s="127"/>
      <c r="T341" s="128"/>
      <c r="W341" s="199"/>
      <c r="X341" s="341" t="s">
        <v>5783</v>
      </c>
      <c r="Y341" s="341" t="s">
        <v>231</v>
      </c>
      <c r="Z341" s="342" t="s">
        <v>5754</v>
      </c>
      <c r="AA341" s="343" t="s">
        <v>5755</v>
      </c>
      <c r="AB341" s="344" t="s">
        <v>292</v>
      </c>
      <c r="AC341" s="345">
        <v>10.220000000000001</v>
      </c>
      <c r="AD341" s="346">
        <v>35</v>
      </c>
      <c r="AE341" s="355">
        <f t="shared" ref="AE341:AE352" si="117">ROUND(AD341*AC341,2)</f>
        <v>357.7</v>
      </c>
      <c r="AF341" s="956">
        <v>1</v>
      </c>
      <c r="AH341" s="130">
        <f t="shared" si="82"/>
        <v>10.220000000000001</v>
      </c>
      <c r="AJ341" s="398">
        <f t="shared" si="94"/>
        <v>357.70000000000005</v>
      </c>
      <c r="AK341" s="409"/>
      <c r="AL341" s="408"/>
      <c r="AM341" s="407"/>
      <c r="AN341" s="407"/>
      <c r="AO341" s="407"/>
      <c r="AP341" s="407"/>
      <c r="AQ341" s="407"/>
      <c r="AR341" s="129"/>
      <c r="AT341" s="129"/>
      <c r="AU341" s="129"/>
      <c r="AY341" s="13"/>
      <c r="BE341" s="130"/>
      <c r="BF341" s="130"/>
      <c r="BG341" s="130"/>
      <c r="BH341" s="130"/>
      <c r="BI341" s="130"/>
      <c r="BJ341" s="13"/>
      <c r="BK341" s="130"/>
      <c r="BL341" s="13"/>
      <c r="BM341" s="129"/>
    </row>
    <row r="342" spans="2:65" s="340" customFormat="1" ht="34.200000000000003" x14ac:dyDescent="0.2">
      <c r="B342" s="118"/>
      <c r="C342" s="1234" t="s">
        <v>5205</v>
      </c>
      <c r="D342" s="1235"/>
      <c r="E342" s="1235"/>
      <c r="F342" s="1235"/>
      <c r="G342" s="1235"/>
      <c r="H342" s="1235"/>
      <c r="I342" s="1235"/>
      <c r="J342" s="1236"/>
      <c r="K342" s="222"/>
      <c r="L342" s="24"/>
      <c r="M342" s="125"/>
      <c r="N342" s="126"/>
      <c r="O342" s="127"/>
      <c r="P342" s="127"/>
      <c r="Q342" s="127"/>
      <c r="R342" s="127"/>
      <c r="S342" s="127"/>
      <c r="T342" s="128"/>
      <c r="W342" s="199"/>
      <c r="X342" s="341" t="s">
        <v>5784</v>
      </c>
      <c r="Y342" s="341" t="s">
        <v>231</v>
      </c>
      <c r="Z342" s="342" t="s">
        <v>5756</v>
      </c>
      <c r="AA342" s="343" t="s">
        <v>5757</v>
      </c>
      <c r="AB342" s="344" t="s">
        <v>292</v>
      </c>
      <c r="AC342" s="345">
        <v>8.4</v>
      </c>
      <c r="AD342" s="346">
        <v>21.05</v>
      </c>
      <c r="AE342" s="355">
        <f t="shared" si="117"/>
        <v>176.82</v>
      </c>
      <c r="AF342" s="956">
        <v>1</v>
      </c>
      <c r="AH342" s="130">
        <f t="shared" si="82"/>
        <v>8.4</v>
      </c>
      <c r="AJ342" s="398">
        <f t="shared" si="94"/>
        <v>176.82000000000002</v>
      </c>
      <c r="AK342" s="409"/>
      <c r="AL342" s="408"/>
      <c r="AM342" s="407"/>
      <c r="AN342" s="407"/>
      <c r="AO342" s="407"/>
      <c r="AP342" s="407"/>
      <c r="AQ342" s="407"/>
      <c r="AR342" s="129"/>
      <c r="AT342" s="129"/>
      <c r="AU342" s="129"/>
      <c r="AY342" s="13"/>
      <c r="BE342" s="130"/>
      <c r="BF342" s="130"/>
      <c r="BG342" s="130"/>
      <c r="BH342" s="130"/>
      <c r="BI342" s="130"/>
      <c r="BJ342" s="13"/>
      <c r="BK342" s="130"/>
      <c r="BL342" s="13"/>
      <c r="BM342" s="129"/>
    </row>
    <row r="343" spans="2:65" s="340" customFormat="1" ht="34.200000000000003" x14ac:dyDescent="0.2">
      <c r="B343" s="118"/>
      <c r="C343" s="1234" t="s">
        <v>5205</v>
      </c>
      <c r="D343" s="1235"/>
      <c r="E343" s="1235"/>
      <c r="F343" s="1235"/>
      <c r="G343" s="1235"/>
      <c r="H343" s="1235"/>
      <c r="I343" s="1235"/>
      <c r="J343" s="1236"/>
      <c r="K343" s="222"/>
      <c r="L343" s="24"/>
      <c r="M343" s="125"/>
      <c r="N343" s="126"/>
      <c r="O343" s="127"/>
      <c r="P343" s="127"/>
      <c r="Q343" s="127"/>
      <c r="R343" s="127"/>
      <c r="S343" s="127"/>
      <c r="T343" s="128"/>
      <c r="W343" s="199"/>
      <c r="X343" s="341" t="s">
        <v>5785</v>
      </c>
      <c r="Y343" s="341" t="s">
        <v>231</v>
      </c>
      <c r="Z343" s="342" t="s">
        <v>5758</v>
      </c>
      <c r="AA343" s="343" t="s">
        <v>5759</v>
      </c>
      <c r="AB343" s="344" t="s">
        <v>292</v>
      </c>
      <c r="AC343" s="345">
        <v>49.98</v>
      </c>
      <c r="AD343" s="346">
        <v>36.68</v>
      </c>
      <c r="AE343" s="355">
        <f t="shared" si="117"/>
        <v>1833.27</v>
      </c>
      <c r="AF343" s="956">
        <v>1</v>
      </c>
      <c r="AH343" s="130">
        <f t="shared" si="82"/>
        <v>49.98</v>
      </c>
      <c r="AJ343" s="398">
        <f t="shared" si="94"/>
        <v>1833.2664</v>
      </c>
      <c r="AK343" s="409"/>
      <c r="AL343" s="408"/>
      <c r="AM343" s="407"/>
      <c r="AN343" s="407"/>
      <c r="AO343" s="407"/>
      <c r="AP343" s="407"/>
      <c r="AQ343" s="407"/>
      <c r="AR343" s="129"/>
      <c r="AT343" s="129"/>
      <c r="AU343" s="129"/>
      <c r="AY343" s="13"/>
      <c r="BE343" s="130"/>
      <c r="BF343" s="130"/>
      <c r="BG343" s="130"/>
      <c r="BH343" s="130"/>
      <c r="BI343" s="130"/>
      <c r="BJ343" s="13"/>
      <c r="BK343" s="130"/>
      <c r="BL343" s="13"/>
      <c r="BM343" s="129"/>
    </row>
    <row r="344" spans="2:65" s="340" customFormat="1" ht="34.200000000000003" x14ac:dyDescent="0.2">
      <c r="B344" s="118"/>
      <c r="C344" s="1234" t="s">
        <v>5205</v>
      </c>
      <c r="D344" s="1235"/>
      <c r="E344" s="1235"/>
      <c r="F344" s="1235"/>
      <c r="G344" s="1235"/>
      <c r="H344" s="1235"/>
      <c r="I344" s="1235"/>
      <c r="J344" s="1236"/>
      <c r="K344" s="222"/>
      <c r="L344" s="24"/>
      <c r="M344" s="125"/>
      <c r="N344" s="126"/>
      <c r="O344" s="127"/>
      <c r="P344" s="127"/>
      <c r="Q344" s="127"/>
      <c r="R344" s="127"/>
      <c r="S344" s="127"/>
      <c r="T344" s="128"/>
      <c r="W344" s="199"/>
      <c r="X344" s="341" t="s">
        <v>5786</v>
      </c>
      <c r="Y344" s="341" t="s">
        <v>231</v>
      </c>
      <c r="Z344" s="342" t="s">
        <v>5760</v>
      </c>
      <c r="AA344" s="343" t="s">
        <v>5761</v>
      </c>
      <c r="AB344" s="344" t="s">
        <v>1194</v>
      </c>
      <c r="AC344" s="345">
        <v>1</v>
      </c>
      <c r="AD344" s="346">
        <v>19.350000000000001</v>
      </c>
      <c r="AE344" s="355">
        <f t="shared" si="117"/>
        <v>19.350000000000001</v>
      </c>
      <c r="AF344" s="956">
        <v>1</v>
      </c>
      <c r="AH344" s="130">
        <f t="shared" si="82"/>
        <v>1</v>
      </c>
      <c r="AJ344" s="398">
        <f t="shared" si="94"/>
        <v>19.350000000000001</v>
      </c>
      <c r="AK344" s="409"/>
      <c r="AL344" s="408"/>
      <c r="AM344" s="407"/>
      <c r="AN344" s="407"/>
      <c r="AO344" s="407"/>
      <c r="AP344" s="407"/>
      <c r="AQ344" s="407"/>
      <c r="AR344" s="129"/>
      <c r="AT344" s="129"/>
      <c r="AU344" s="129"/>
      <c r="AY344" s="13"/>
      <c r="BE344" s="130"/>
      <c r="BF344" s="130"/>
      <c r="BG344" s="130"/>
      <c r="BH344" s="130"/>
      <c r="BI344" s="130"/>
      <c r="BJ344" s="13"/>
      <c r="BK344" s="130"/>
      <c r="BL344" s="13"/>
      <c r="BM344" s="129"/>
    </row>
    <row r="345" spans="2:65" s="340" customFormat="1" ht="34.200000000000003" x14ac:dyDescent="0.2">
      <c r="B345" s="118"/>
      <c r="C345" s="1234" t="s">
        <v>5205</v>
      </c>
      <c r="D345" s="1235"/>
      <c r="E345" s="1235"/>
      <c r="F345" s="1235"/>
      <c r="G345" s="1235"/>
      <c r="H345" s="1235"/>
      <c r="I345" s="1235"/>
      <c r="J345" s="1236"/>
      <c r="K345" s="222"/>
      <c r="L345" s="24"/>
      <c r="M345" s="125"/>
      <c r="N345" s="126"/>
      <c r="O345" s="127"/>
      <c r="P345" s="127"/>
      <c r="Q345" s="127"/>
      <c r="R345" s="127"/>
      <c r="S345" s="127"/>
      <c r="T345" s="128"/>
      <c r="W345" s="199"/>
      <c r="X345" s="341" t="s">
        <v>5787</v>
      </c>
      <c r="Y345" s="341" t="s">
        <v>231</v>
      </c>
      <c r="Z345" s="342" t="s">
        <v>5762</v>
      </c>
      <c r="AA345" s="343" t="s">
        <v>5763</v>
      </c>
      <c r="AB345" s="344" t="s">
        <v>1194</v>
      </c>
      <c r="AC345" s="345">
        <v>5</v>
      </c>
      <c r="AD345" s="346">
        <v>19.64</v>
      </c>
      <c r="AE345" s="355">
        <f t="shared" si="117"/>
        <v>98.2</v>
      </c>
      <c r="AF345" s="956">
        <v>1</v>
      </c>
      <c r="AH345" s="130">
        <f t="shared" si="82"/>
        <v>5</v>
      </c>
      <c r="AJ345" s="398">
        <f t="shared" si="94"/>
        <v>98.2</v>
      </c>
      <c r="AK345" s="409"/>
      <c r="AL345" s="408"/>
      <c r="AM345" s="407"/>
      <c r="AN345" s="407"/>
      <c r="AO345" s="407"/>
      <c r="AP345" s="407"/>
      <c r="AQ345" s="407"/>
      <c r="AR345" s="129"/>
      <c r="AT345" s="129"/>
      <c r="AU345" s="129"/>
      <c r="AY345" s="13"/>
      <c r="BE345" s="130"/>
      <c r="BF345" s="130"/>
      <c r="BG345" s="130"/>
      <c r="BH345" s="130"/>
      <c r="BI345" s="130"/>
      <c r="BJ345" s="13"/>
      <c r="BK345" s="130"/>
      <c r="BL345" s="13"/>
      <c r="BM345" s="129"/>
    </row>
    <row r="346" spans="2:65" s="340" customFormat="1" ht="34.200000000000003" x14ac:dyDescent="0.2">
      <c r="B346" s="118"/>
      <c r="C346" s="1234" t="s">
        <v>5205</v>
      </c>
      <c r="D346" s="1235"/>
      <c r="E346" s="1235"/>
      <c r="F346" s="1235"/>
      <c r="G346" s="1235"/>
      <c r="H346" s="1235"/>
      <c r="I346" s="1235"/>
      <c r="J346" s="1236"/>
      <c r="K346" s="222"/>
      <c r="L346" s="24"/>
      <c r="M346" s="125"/>
      <c r="N346" s="126"/>
      <c r="O346" s="127"/>
      <c r="P346" s="127"/>
      <c r="Q346" s="127"/>
      <c r="R346" s="127"/>
      <c r="S346" s="127"/>
      <c r="T346" s="128"/>
      <c r="W346" s="199"/>
      <c r="X346" s="341" t="s">
        <v>5788</v>
      </c>
      <c r="Y346" s="341" t="s">
        <v>231</v>
      </c>
      <c r="Z346" s="342" t="s">
        <v>5764</v>
      </c>
      <c r="AA346" s="343" t="s">
        <v>5765</v>
      </c>
      <c r="AB346" s="344" t="s">
        <v>292</v>
      </c>
      <c r="AC346" s="345">
        <v>46.35</v>
      </c>
      <c r="AD346" s="346">
        <v>10.59</v>
      </c>
      <c r="AE346" s="355">
        <f t="shared" si="117"/>
        <v>490.85</v>
      </c>
      <c r="AF346" s="956">
        <v>1</v>
      </c>
      <c r="AH346" s="130">
        <f t="shared" si="82"/>
        <v>46.35</v>
      </c>
      <c r="AJ346" s="398">
        <f t="shared" si="94"/>
        <v>490.84649999999999</v>
      </c>
      <c r="AK346" s="409"/>
      <c r="AL346" s="408"/>
      <c r="AM346" s="407"/>
      <c r="AN346" s="407"/>
      <c r="AO346" s="407"/>
      <c r="AP346" s="407"/>
      <c r="AQ346" s="407"/>
      <c r="AR346" s="129"/>
      <c r="AT346" s="129"/>
      <c r="AU346" s="129"/>
      <c r="AY346" s="13"/>
      <c r="BE346" s="130"/>
      <c r="BF346" s="130"/>
      <c r="BG346" s="130"/>
      <c r="BH346" s="130"/>
      <c r="BI346" s="130"/>
      <c r="BJ346" s="13"/>
      <c r="BK346" s="130"/>
      <c r="BL346" s="13"/>
      <c r="BM346" s="129"/>
    </row>
    <row r="347" spans="2:65" s="340" customFormat="1" ht="34.200000000000003" x14ac:dyDescent="0.2">
      <c r="B347" s="118"/>
      <c r="C347" s="1234" t="s">
        <v>5205</v>
      </c>
      <c r="D347" s="1235"/>
      <c r="E347" s="1235"/>
      <c r="F347" s="1235"/>
      <c r="G347" s="1235"/>
      <c r="H347" s="1235"/>
      <c r="I347" s="1235"/>
      <c r="J347" s="1236"/>
      <c r="K347" s="222"/>
      <c r="L347" s="24"/>
      <c r="M347" s="125"/>
      <c r="N347" s="126"/>
      <c r="O347" s="127"/>
      <c r="P347" s="127"/>
      <c r="Q347" s="127"/>
      <c r="R347" s="127"/>
      <c r="S347" s="127"/>
      <c r="T347" s="128"/>
      <c r="W347" s="199"/>
      <c r="X347" s="341" t="s">
        <v>5789</v>
      </c>
      <c r="Y347" s="341" t="s">
        <v>231</v>
      </c>
      <c r="Z347" s="342" t="s">
        <v>5766</v>
      </c>
      <c r="AA347" s="343" t="s">
        <v>5767</v>
      </c>
      <c r="AB347" s="344" t="s">
        <v>292</v>
      </c>
      <c r="AC347" s="345">
        <v>6.75</v>
      </c>
      <c r="AD347" s="346">
        <v>15.76</v>
      </c>
      <c r="AE347" s="355">
        <f t="shared" si="117"/>
        <v>106.38</v>
      </c>
      <c r="AF347" s="956">
        <v>1</v>
      </c>
      <c r="AH347" s="130">
        <f t="shared" si="82"/>
        <v>6.75</v>
      </c>
      <c r="AJ347" s="398">
        <f t="shared" si="94"/>
        <v>106.38</v>
      </c>
      <c r="AK347" s="409"/>
      <c r="AL347" s="408"/>
      <c r="AM347" s="407"/>
      <c r="AN347" s="407"/>
      <c r="AO347" s="407"/>
      <c r="AP347" s="407"/>
      <c r="AQ347" s="407"/>
      <c r="AR347" s="129"/>
      <c r="AT347" s="129"/>
      <c r="AU347" s="129"/>
      <c r="AY347" s="13"/>
      <c r="BE347" s="130"/>
      <c r="BF347" s="130"/>
      <c r="BG347" s="130"/>
      <c r="BH347" s="130"/>
      <c r="BI347" s="130"/>
      <c r="BJ347" s="13"/>
      <c r="BK347" s="130"/>
      <c r="BL347" s="13"/>
      <c r="BM347" s="129"/>
    </row>
    <row r="348" spans="2:65" s="340" customFormat="1" ht="34.200000000000003" x14ac:dyDescent="0.2">
      <c r="B348" s="118"/>
      <c r="C348" s="1234" t="s">
        <v>5205</v>
      </c>
      <c r="D348" s="1235"/>
      <c r="E348" s="1235"/>
      <c r="F348" s="1235"/>
      <c r="G348" s="1235"/>
      <c r="H348" s="1235"/>
      <c r="I348" s="1235"/>
      <c r="J348" s="1236"/>
      <c r="K348" s="222"/>
      <c r="L348" s="24"/>
      <c r="M348" s="125"/>
      <c r="N348" s="126"/>
      <c r="O348" s="127"/>
      <c r="P348" s="127"/>
      <c r="Q348" s="127"/>
      <c r="R348" s="127"/>
      <c r="S348" s="127"/>
      <c r="T348" s="128"/>
      <c r="W348" s="199"/>
      <c r="X348" s="341" t="s">
        <v>5790</v>
      </c>
      <c r="Y348" s="341" t="s">
        <v>231</v>
      </c>
      <c r="Z348" s="342" t="s">
        <v>5768</v>
      </c>
      <c r="AA348" s="343" t="s">
        <v>5769</v>
      </c>
      <c r="AB348" s="344" t="s">
        <v>292</v>
      </c>
      <c r="AC348" s="345">
        <v>35.78</v>
      </c>
      <c r="AD348" s="346">
        <v>15.78</v>
      </c>
      <c r="AE348" s="355">
        <f t="shared" si="117"/>
        <v>564.61</v>
      </c>
      <c r="AF348" s="956">
        <v>1</v>
      </c>
      <c r="AH348" s="130">
        <f t="shared" si="82"/>
        <v>35.78</v>
      </c>
      <c r="AJ348" s="398">
        <f t="shared" si="94"/>
        <v>564.60839999999996</v>
      </c>
      <c r="AK348" s="409"/>
      <c r="AL348" s="408"/>
      <c r="AM348" s="407"/>
      <c r="AN348" s="407"/>
      <c r="AO348" s="407"/>
      <c r="AP348" s="407"/>
      <c r="AQ348" s="407"/>
      <c r="AR348" s="129"/>
      <c r="AT348" s="129"/>
      <c r="AU348" s="129"/>
      <c r="AY348" s="13"/>
      <c r="BE348" s="130"/>
      <c r="BF348" s="130"/>
      <c r="BG348" s="130"/>
      <c r="BH348" s="130"/>
      <c r="BI348" s="130"/>
      <c r="BJ348" s="13"/>
      <c r="BK348" s="130"/>
      <c r="BL348" s="13"/>
      <c r="BM348" s="129"/>
    </row>
    <row r="349" spans="2:65" s="340" customFormat="1" ht="34.200000000000003" x14ac:dyDescent="0.2">
      <c r="B349" s="118"/>
      <c r="C349" s="1234" t="s">
        <v>5205</v>
      </c>
      <c r="D349" s="1235"/>
      <c r="E349" s="1235"/>
      <c r="F349" s="1235"/>
      <c r="G349" s="1235"/>
      <c r="H349" s="1235"/>
      <c r="I349" s="1235"/>
      <c r="J349" s="1236"/>
      <c r="K349" s="222"/>
      <c r="L349" s="24"/>
      <c r="M349" s="125"/>
      <c r="N349" s="126"/>
      <c r="O349" s="127"/>
      <c r="P349" s="127"/>
      <c r="Q349" s="127"/>
      <c r="R349" s="127"/>
      <c r="S349" s="127"/>
      <c r="T349" s="128"/>
      <c r="W349" s="199"/>
      <c r="X349" s="341" t="s">
        <v>5791</v>
      </c>
      <c r="Y349" s="341" t="s">
        <v>231</v>
      </c>
      <c r="Z349" s="342" t="s">
        <v>5770</v>
      </c>
      <c r="AA349" s="343" t="s">
        <v>5771</v>
      </c>
      <c r="AB349" s="344" t="s">
        <v>292</v>
      </c>
      <c r="AC349" s="345">
        <v>8.9849999999999994</v>
      </c>
      <c r="AD349" s="346">
        <v>22.19</v>
      </c>
      <c r="AE349" s="355">
        <f t="shared" si="117"/>
        <v>199.38</v>
      </c>
      <c r="AF349" s="956">
        <v>1</v>
      </c>
      <c r="AH349" s="130">
        <f t="shared" si="82"/>
        <v>8.9849999999999994</v>
      </c>
      <c r="AJ349" s="398">
        <f t="shared" si="94"/>
        <v>199.37715</v>
      </c>
      <c r="AK349" s="409"/>
      <c r="AL349" s="408"/>
      <c r="AM349" s="407"/>
      <c r="AN349" s="407"/>
      <c r="AO349" s="407"/>
      <c r="AP349" s="407"/>
      <c r="AQ349" s="407"/>
      <c r="AR349" s="129"/>
      <c r="AT349" s="129"/>
      <c r="AU349" s="129"/>
      <c r="AY349" s="13"/>
      <c r="BE349" s="130"/>
      <c r="BF349" s="130"/>
      <c r="BG349" s="130"/>
      <c r="BH349" s="130"/>
      <c r="BI349" s="130"/>
      <c r="BJ349" s="13"/>
      <c r="BK349" s="130"/>
      <c r="BL349" s="13"/>
      <c r="BM349" s="129"/>
    </row>
    <row r="350" spans="2:65" s="340" customFormat="1" ht="34.200000000000003" x14ac:dyDescent="0.2">
      <c r="B350" s="118"/>
      <c r="C350" s="1234" t="s">
        <v>5205</v>
      </c>
      <c r="D350" s="1235"/>
      <c r="E350" s="1235"/>
      <c r="F350" s="1235"/>
      <c r="G350" s="1235"/>
      <c r="H350" s="1235"/>
      <c r="I350" s="1235"/>
      <c r="J350" s="1236"/>
      <c r="K350" s="222"/>
      <c r="L350" s="24"/>
      <c r="M350" s="125"/>
      <c r="N350" s="126"/>
      <c r="O350" s="127"/>
      <c r="P350" s="127"/>
      <c r="Q350" s="127"/>
      <c r="R350" s="127"/>
      <c r="S350" s="127"/>
      <c r="T350" s="128"/>
      <c r="W350" s="199"/>
      <c r="X350" s="341" t="s">
        <v>5792</v>
      </c>
      <c r="Y350" s="341" t="s">
        <v>231</v>
      </c>
      <c r="Z350" s="342" t="s">
        <v>5772</v>
      </c>
      <c r="AA350" s="343" t="s">
        <v>5773</v>
      </c>
      <c r="AB350" s="344" t="s">
        <v>292</v>
      </c>
      <c r="AC350" s="345">
        <v>3.3</v>
      </c>
      <c r="AD350" s="346">
        <v>19.93</v>
      </c>
      <c r="AE350" s="355">
        <f t="shared" si="117"/>
        <v>65.77</v>
      </c>
      <c r="AF350" s="956">
        <v>1</v>
      </c>
      <c r="AH350" s="130">
        <f t="shared" ref="AH350:AH394" si="118">AC350-H350</f>
        <v>3.3</v>
      </c>
      <c r="AJ350" s="398">
        <f t="shared" si="94"/>
        <v>65.768999999999991</v>
      </c>
      <c r="AK350" s="409"/>
      <c r="AL350" s="408"/>
      <c r="AM350" s="407"/>
      <c r="AN350" s="407"/>
      <c r="AO350" s="407"/>
      <c r="AP350" s="407"/>
      <c r="AQ350" s="407"/>
      <c r="AR350" s="129"/>
      <c r="AT350" s="129"/>
      <c r="AU350" s="129"/>
      <c r="AY350" s="13"/>
      <c r="BE350" s="130"/>
      <c r="BF350" s="130"/>
      <c r="BG350" s="130"/>
      <c r="BH350" s="130"/>
      <c r="BI350" s="130"/>
      <c r="BJ350" s="13"/>
      <c r="BK350" s="130"/>
      <c r="BL350" s="13"/>
      <c r="BM350" s="129"/>
    </row>
    <row r="351" spans="2:65" s="340" customFormat="1" ht="34.200000000000003" x14ac:dyDescent="0.2">
      <c r="B351" s="118"/>
      <c r="C351" s="1234" t="s">
        <v>5205</v>
      </c>
      <c r="D351" s="1235"/>
      <c r="E351" s="1235"/>
      <c r="F351" s="1235"/>
      <c r="G351" s="1235"/>
      <c r="H351" s="1235"/>
      <c r="I351" s="1235"/>
      <c r="J351" s="1236"/>
      <c r="K351" s="222"/>
      <c r="L351" s="24"/>
      <c r="M351" s="125"/>
      <c r="N351" s="126"/>
      <c r="O351" s="127"/>
      <c r="P351" s="127"/>
      <c r="Q351" s="127"/>
      <c r="R351" s="127"/>
      <c r="S351" s="127"/>
      <c r="T351" s="128"/>
      <c r="W351" s="199"/>
      <c r="X351" s="341" t="s">
        <v>5793</v>
      </c>
      <c r="Y351" s="341" t="s">
        <v>231</v>
      </c>
      <c r="Z351" s="342" t="s">
        <v>5774</v>
      </c>
      <c r="AA351" s="343" t="s">
        <v>5775</v>
      </c>
      <c r="AB351" s="344" t="s">
        <v>292</v>
      </c>
      <c r="AC351" s="345">
        <v>40.76</v>
      </c>
      <c r="AD351" s="346">
        <v>20.39</v>
      </c>
      <c r="AE351" s="355">
        <f t="shared" si="117"/>
        <v>831.1</v>
      </c>
      <c r="AF351" s="956">
        <v>1</v>
      </c>
      <c r="AH351" s="130">
        <f t="shared" si="118"/>
        <v>40.76</v>
      </c>
      <c r="AJ351" s="398">
        <f t="shared" si="94"/>
        <v>831.09640000000002</v>
      </c>
      <c r="AK351" s="409"/>
      <c r="AL351" s="408"/>
      <c r="AM351" s="407"/>
      <c r="AN351" s="407"/>
      <c r="AO351" s="407"/>
      <c r="AP351" s="407"/>
      <c r="AQ351" s="407"/>
      <c r="AR351" s="129"/>
      <c r="AT351" s="129"/>
      <c r="AU351" s="129"/>
      <c r="AY351" s="13"/>
      <c r="BE351" s="130"/>
      <c r="BF351" s="130"/>
      <c r="BG351" s="130"/>
      <c r="BH351" s="130"/>
      <c r="BI351" s="130"/>
      <c r="BJ351" s="13"/>
      <c r="BK351" s="130"/>
      <c r="BL351" s="13"/>
      <c r="BM351" s="129"/>
    </row>
    <row r="352" spans="2:65" s="340" customFormat="1" ht="22.8" x14ac:dyDescent="0.2">
      <c r="B352" s="118"/>
      <c r="C352" s="1234" t="s">
        <v>5205</v>
      </c>
      <c r="D352" s="1235"/>
      <c r="E352" s="1235"/>
      <c r="F352" s="1235"/>
      <c r="G352" s="1235"/>
      <c r="H352" s="1235"/>
      <c r="I352" s="1235"/>
      <c r="J352" s="1236"/>
      <c r="K352" s="222"/>
      <c r="L352" s="24"/>
      <c r="M352" s="125"/>
      <c r="N352" s="126"/>
      <c r="O352" s="127"/>
      <c r="P352" s="127"/>
      <c r="Q352" s="127"/>
      <c r="R352" s="127"/>
      <c r="S352" s="127"/>
      <c r="T352" s="128"/>
      <c r="W352" s="199"/>
      <c r="X352" s="341" t="s">
        <v>5794</v>
      </c>
      <c r="Y352" s="341" t="s">
        <v>231</v>
      </c>
      <c r="Z352" s="342" t="s">
        <v>5776</v>
      </c>
      <c r="AA352" s="343" t="s">
        <v>5777</v>
      </c>
      <c r="AB352" s="344" t="s">
        <v>570</v>
      </c>
      <c r="AC352" s="345">
        <v>47.433999999999997</v>
      </c>
      <c r="AD352" s="346">
        <v>1.71</v>
      </c>
      <c r="AE352" s="355">
        <f t="shared" si="117"/>
        <v>81.11</v>
      </c>
      <c r="AF352" s="956">
        <v>1</v>
      </c>
      <c r="AH352" s="130">
        <f t="shared" si="118"/>
        <v>47.433999999999997</v>
      </c>
      <c r="AJ352" s="398">
        <f t="shared" si="94"/>
        <v>81.112139999999997</v>
      </c>
      <c r="AK352" s="409"/>
      <c r="AL352" s="408"/>
      <c r="AM352" s="407"/>
      <c r="AN352" s="407"/>
      <c r="AO352" s="407"/>
      <c r="AP352" s="407"/>
      <c r="AQ352" s="407"/>
      <c r="AR352" s="129"/>
      <c r="AT352" s="129"/>
      <c r="AU352" s="129"/>
      <c r="AY352" s="13"/>
      <c r="BE352" s="130"/>
      <c r="BF352" s="130"/>
      <c r="BG352" s="130"/>
      <c r="BH352" s="130"/>
      <c r="BI352" s="130"/>
      <c r="BJ352" s="13"/>
      <c r="BK352" s="130"/>
      <c r="BL352" s="13"/>
      <c r="BM352" s="129"/>
    </row>
    <row r="353" spans="2:65" s="11" customFormat="1" ht="22.95" customHeight="1" x14ac:dyDescent="0.25">
      <c r="B353" s="106"/>
      <c r="D353" s="107" t="s">
        <v>57</v>
      </c>
      <c r="E353" s="116" t="s">
        <v>717</v>
      </c>
      <c r="F353" s="116" t="s">
        <v>3382</v>
      </c>
      <c r="J353" s="117">
        <f>BK353</f>
        <v>67137.210000000006</v>
      </c>
      <c r="L353" s="106"/>
      <c r="M353" s="110"/>
      <c r="N353" s="111"/>
      <c r="O353" s="111"/>
      <c r="P353" s="112">
        <f>SUM(P355:P371)</f>
        <v>0</v>
      </c>
      <c r="Q353" s="111"/>
      <c r="R353" s="112">
        <f>SUM(R355:R371)</f>
        <v>0</v>
      </c>
      <c r="S353" s="111"/>
      <c r="T353" s="113">
        <f>SUM(T355:T371)</f>
        <v>0</v>
      </c>
      <c r="W353" s="195"/>
      <c r="X353" s="111"/>
      <c r="Y353" s="196" t="s">
        <v>57</v>
      </c>
      <c r="Z353" s="201" t="s">
        <v>717</v>
      </c>
      <c r="AA353" s="201" t="s">
        <v>3382</v>
      </c>
      <c r="AB353" s="111"/>
      <c r="AC353" s="347"/>
      <c r="AD353" s="111"/>
      <c r="AE353" s="202">
        <f>SUM(AE354:AE371)</f>
        <v>75544.540000000008</v>
      </c>
      <c r="AF353" s="956"/>
      <c r="AH353" s="130">
        <f t="shared" si="118"/>
        <v>0</v>
      </c>
      <c r="AJ353" s="398">
        <f t="shared" si="94"/>
        <v>0</v>
      </c>
      <c r="AK353" s="409"/>
      <c r="AL353" s="408"/>
      <c r="AM353" s="292"/>
      <c r="AN353" s="292"/>
      <c r="AO353" s="292"/>
      <c r="AP353" s="292"/>
      <c r="AQ353" s="292"/>
      <c r="AR353" s="107" t="s">
        <v>63</v>
      </c>
      <c r="AT353" s="114" t="s">
        <v>57</v>
      </c>
      <c r="AU353" s="114" t="s">
        <v>63</v>
      </c>
      <c r="AY353" s="107" t="s">
        <v>228</v>
      </c>
      <c r="BK353" s="115">
        <f>SUM(BK355:BK371)</f>
        <v>67137.210000000006</v>
      </c>
    </row>
    <row r="354" spans="2:65" s="11" customFormat="1" ht="27.75" customHeight="1" x14ac:dyDescent="0.2">
      <c r="B354" s="106"/>
      <c r="C354" s="1234" t="s">
        <v>5205</v>
      </c>
      <c r="D354" s="1235"/>
      <c r="E354" s="1235"/>
      <c r="F354" s="1235"/>
      <c r="G354" s="1235"/>
      <c r="H354" s="1235"/>
      <c r="I354" s="1235"/>
      <c r="J354" s="1236"/>
      <c r="L354" s="106"/>
      <c r="M354" s="110"/>
      <c r="N354" s="111"/>
      <c r="O354" s="111"/>
      <c r="P354" s="112"/>
      <c r="Q354" s="111"/>
      <c r="R354" s="112"/>
      <c r="S354" s="111"/>
      <c r="T354" s="113"/>
      <c r="W354" s="195"/>
      <c r="X354" s="341" t="s">
        <v>5308</v>
      </c>
      <c r="Y354" s="341" t="s">
        <v>231</v>
      </c>
      <c r="Z354" s="342" t="s">
        <v>5748</v>
      </c>
      <c r="AA354" s="343" t="s">
        <v>5749</v>
      </c>
      <c r="AB354" s="344" t="s">
        <v>1194</v>
      </c>
      <c r="AC354" s="345">
        <v>1</v>
      </c>
      <c r="AD354" s="346">
        <v>3850</v>
      </c>
      <c r="AE354" s="355">
        <f>ROUND(AD354*AC354,2)</f>
        <v>3850</v>
      </c>
      <c r="AF354" s="956">
        <v>1</v>
      </c>
      <c r="AH354" s="130">
        <f t="shared" si="118"/>
        <v>1</v>
      </c>
      <c r="AJ354" s="398">
        <f t="shared" ref="AJ354:AJ394" si="119">AH354*AD354</f>
        <v>3850</v>
      </c>
      <c r="AK354" s="409"/>
      <c r="AL354" s="408"/>
      <c r="AM354" s="292"/>
      <c r="AN354" s="292"/>
      <c r="AO354" s="292"/>
      <c r="AP354" s="292"/>
      <c r="AQ354" s="292"/>
      <c r="AR354" s="107"/>
      <c r="AT354" s="114"/>
      <c r="AU354" s="114"/>
      <c r="AY354" s="107"/>
      <c r="BK354" s="115"/>
    </row>
    <row r="355" spans="2:65" s="1" customFormat="1" ht="22.8" x14ac:dyDescent="0.2">
      <c r="B355" s="118"/>
      <c r="C355" s="119" t="s">
        <v>479</v>
      </c>
      <c r="D355" s="119" t="s">
        <v>231</v>
      </c>
      <c r="E355" s="120" t="s">
        <v>3383</v>
      </c>
      <c r="F355" s="239" t="s">
        <v>3384</v>
      </c>
      <c r="G355" s="122" t="s">
        <v>1194</v>
      </c>
      <c r="H355" s="123">
        <v>1</v>
      </c>
      <c r="I355" s="124">
        <v>1085.54</v>
      </c>
      <c r="J355" s="124">
        <f t="shared" ref="J355:J371" si="120">ROUND(I355*H355,2)</f>
        <v>1085.54</v>
      </c>
      <c r="K355" s="121" t="s">
        <v>1</v>
      </c>
      <c r="L355" s="24"/>
      <c r="M355" s="125" t="s">
        <v>1</v>
      </c>
      <c r="N355" s="126" t="s">
        <v>32</v>
      </c>
      <c r="O355" s="127">
        <v>0</v>
      </c>
      <c r="P355" s="127">
        <f t="shared" ref="P355:P371" si="121">O355*H355</f>
        <v>0</v>
      </c>
      <c r="Q355" s="127">
        <v>0</v>
      </c>
      <c r="R355" s="127">
        <f t="shared" ref="R355:R371" si="122">Q355*H355</f>
        <v>0</v>
      </c>
      <c r="S355" s="127">
        <v>0</v>
      </c>
      <c r="T355" s="128">
        <f t="shared" ref="T355:T371" si="123">S355*H355</f>
        <v>0</v>
      </c>
      <c r="W355" s="199"/>
      <c r="X355" s="119" t="s">
        <v>479</v>
      </c>
      <c r="Y355" s="119" t="s">
        <v>231</v>
      </c>
      <c r="Z355" s="120" t="s">
        <v>3383</v>
      </c>
      <c r="AA355" s="239" t="s">
        <v>6798</v>
      </c>
      <c r="AB355" s="122" t="s">
        <v>1194</v>
      </c>
      <c r="AC355" s="123">
        <v>1</v>
      </c>
      <c r="AD355" s="124">
        <v>1085.54</v>
      </c>
      <c r="AE355" s="200">
        <f t="shared" ref="AE355:AE371" si="124">ROUND(AD355*AC355,2)</f>
        <v>1085.54</v>
      </c>
      <c r="AF355" s="956"/>
      <c r="AH355" s="130">
        <f t="shared" si="118"/>
        <v>0</v>
      </c>
      <c r="AJ355" s="398">
        <f t="shared" si="119"/>
        <v>0</v>
      </c>
      <c r="AK355" s="409"/>
      <c r="AL355" s="408"/>
      <c r="AM355" s="407"/>
      <c r="AN355" s="407"/>
      <c r="AO355" s="407"/>
      <c r="AP355" s="407"/>
      <c r="AQ355" s="407"/>
      <c r="AR355" s="129" t="s">
        <v>235</v>
      </c>
      <c r="AT355" s="129" t="s">
        <v>231</v>
      </c>
      <c r="AU355" s="129" t="s">
        <v>76</v>
      </c>
      <c r="AY355" s="13" t="s">
        <v>228</v>
      </c>
      <c r="BE355" s="130">
        <f t="shared" ref="BE355:BE371" si="125">IF(N355="základná",J355,0)</f>
        <v>0</v>
      </c>
      <c r="BF355" s="130">
        <f t="shared" ref="BF355:BF371" si="126">IF(N355="znížená",J355,0)</f>
        <v>1085.54</v>
      </c>
      <c r="BG355" s="130">
        <f t="shared" ref="BG355:BG371" si="127">IF(N355="zákl. prenesená",J355,0)</f>
        <v>0</v>
      </c>
      <c r="BH355" s="130">
        <f t="shared" ref="BH355:BH371" si="128">IF(N355="zníž. prenesená",J355,0)</f>
        <v>0</v>
      </c>
      <c r="BI355" s="130">
        <f t="shared" ref="BI355:BI371" si="129">IF(N355="nulová",J355,0)</f>
        <v>0</v>
      </c>
      <c r="BJ355" s="13" t="s">
        <v>76</v>
      </c>
      <c r="BK355" s="130">
        <f t="shared" ref="BK355:BK371" si="130">ROUND(I355*H355,2)</f>
        <v>1085.54</v>
      </c>
      <c r="BL355" s="13" t="s">
        <v>235</v>
      </c>
      <c r="BM355" s="129" t="s">
        <v>732</v>
      </c>
    </row>
    <row r="356" spans="2:65" s="1" customFormat="1" ht="34.200000000000003" x14ac:dyDescent="0.2">
      <c r="B356" s="118"/>
      <c r="C356" s="119" t="s">
        <v>736</v>
      </c>
      <c r="D356" s="119" t="s">
        <v>231</v>
      </c>
      <c r="E356" s="120" t="s">
        <v>3385</v>
      </c>
      <c r="F356" s="239" t="s">
        <v>3386</v>
      </c>
      <c r="G356" s="122" t="s">
        <v>1194</v>
      </c>
      <c r="H356" s="123">
        <v>1</v>
      </c>
      <c r="I356" s="124">
        <v>2867.67</v>
      </c>
      <c r="J356" s="124">
        <f t="shared" si="120"/>
        <v>2867.67</v>
      </c>
      <c r="K356" s="121" t="s">
        <v>1</v>
      </c>
      <c r="L356" s="24"/>
      <c r="M356" s="125" t="s">
        <v>1</v>
      </c>
      <c r="N356" s="126" t="s">
        <v>32</v>
      </c>
      <c r="O356" s="127">
        <v>0</v>
      </c>
      <c r="P356" s="127">
        <f t="shared" si="121"/>
        <v>0</v>
      </c>
      <c r="Q356" s="127">
        <v>0</v>
      </c>
      <c r="R356" s="127">
        <f t="shared" si="122"/>
        <v>0</v>
      </c>
      <c r="S356" s="127">
        <v>0</v>
      </c>
      <c r="T356" s="128">
        <f t="shared" si="123"/>
        <v>0</v>
      </c>
      <c r="W356" s="199"/>
      <c r="X356" s="119" t="s">
        <v>736</v>
      </c>
      <c r="Y356" s="119" t="s">
        <v>231</v>
      </c>
      <c r="Z356" s="120" t="s">
        <v>3385</v>
      </c>
      <c r="AA356" s="239" t="s">
        <v>6799</v>
      </c>
      <c r="AB356" s="122" t="s">
        <v>1194</v>
      </c>
      <c r="AC356" s="123">
        <v>1</v>
      </c>
      <c r="AD356" s="124">
        <v>2867.67</v>
      </c>
      <c r="AE356" s="200">
        <f t="shared" si="124"/>
        <v>2867.67</v>
      </c>
      <c r="AF356" s="956"/>
      <c r="AH356" s="130">
        <f t="shared" si="118"/>
        <v>0</v>
      </c>
      <c r="AJ356" s="398">
        <f t="shared" si="119"/>
        <v>0</v>
      </c>
      <c r="AK356" s="409"/>
      <c r="AL356" s="408"/>
      <c r="AM356" s="407"/>
      <c r="AN356" s="407"/>
      <c r="AO356" s="407"/>
      <c r="AP356" s="407"/>
      <c r="AQ356" s="407"/>
      <c r="AR356" s="129" t="s">
        <v>235</v>
      </c>
      <c r="AT356" s="129" t="s">
        <v>231</v>
      </c>
      <c r="AU356" s="129" t="s">
        <v>76</v>
      </c>
      <c r="AY356" s="13" t="s">
        <v>228</v>
      </c>
      <c r="BE356" s="130">
        <f t="shared" si="125"/>
        <v>0</v>
      </c>
      <c r="BF356" s="130">
        <f t="shared" si="126"/>
        <v>2867.67</v>
      </c>
      <c r="BG356" s="130">
        <f t="shared" si="127"/>
        <v>0</v>
      </c>
      <c r="BH356" s="130">
        <f t="shared" si="128"/>
        <v>0</v>
      </c>
      <c r="BI356" s="130">
        <f t="shared" si="129"/>
        <v>0</v>
      </c>
      <c r="BJ356" s="13" t="s">
        <v>76</v>
      </c>
      <c r="BK356" s="130">
        <f t="shared" si="130"/>
        <v>2867.67</v>
      </c>
      <c r="BL356" s="13" t="s">
        <v>235</v>
      </c>
      <c r="BM356" s="129" t="s">
        <v>735</v>
      </c>
    </row>
    <row r="357" spans="2:65" s="1" customFormat="1" ht="22.8" x14ac:dyDescent="0.2">
      <c r="B357" s="118"/>
      <c r="C357" s="1070" t="s">
        <v>483</v>
      </c>
      <c r="D357" s="119" t="s">
        <v>231</v>
      </c>
      <c r="E357" s="120" t="s">
        <v>3387</v>
      </c>
      <c r="F357" s="239" t="s">
        <v>3388</v>
      </c>
      <c r="G357" s="122" t="s">
        <v>1194</v>
      </c>
      <c r="H357" s="1071">
        <v>1</v>
      </c>
      <c r="I357" s="124">
        <v>1416.42</v>
      </c>
      <c r="J357" s="124">
        <f t="shared" si="120"/>
        <v>1416.42</v>
      </c>
      <c r="K357" s="121" t="s">
        <v>1</v>
      </c>
      <c r="L357" s="24"/>
      <c r="M357" s="125" t="s">
        <v>1</v>
      </c>
      <c r="N357" s="126" t="s">
        <v>32</v>
      </c>
      <c r="O357" s="127">
        <v>0</v>
      </c>
      <c r="P357" s="127">
        <f t="shared" si="121"/>
        <v>0</v>
      </c>
      <c r="Q357" s="127">
        <v>0</v>
      </c>
      <c r="R357" s="127">
        <f t="shared" si="122"/>
        <v>0</v>
      </c>
      <c r="S357" s="127">
        <v>0</v>
      </c>
      <c r="T357" s="128">
        <f t="shared" si="123"/>
        <v>0</v>
      </c>
      <c r="W357" s="199"/>
      <c r="X357" s="205" t="s">
        <v>483</v>
      </c>
      <c r="Y357" s="119" t="s">
        <v>231</v>
      </c>
      <c r="Z357" s="120" t="s">
        <v>3387</v>
      </c>
      <c r="AA357" s="239" t="s">
        <v>6800</v>
      </c>
      <c r="AB357" s="122" t="s">
        <v>1194</v>
      </c>
      <c r="AC357" s="206">
        <f>1+1</f>
        <v>2</v>
      </c>
      <c r="AD357" s="124">
        <v>1416.42</v>
      </c>
      <c r="AE357" s="200">
        <f t="shared" si="124"/>
        <v>2832.84</v>
      </c>
      <c r="AF357" s="956">
        <v>20</v>
      </c>
      <c r="AH357" s="130">
        <f t="shared" si="118"/>
        <v>1</v>
      </c>
      <c r="AJ357" s="398">
        <f t="shared" si="119"/>
        <v>1416.42</v>
      </c>
      <c r="AK357" s="409"/>
      <c r="AL357" s="408"/>
      <c r="AM357" s="407"/>
      <c r="AN357" s="407"/>
      <c r="AO357" s="407"/>
      <c r="AP357" s="407"/>
      <c r="AQ357" s="407"/>
      <c r="AR357" s="129" t="s">
        <v>235</v>
      </c>
      <c r="AT357" s="129" t="s">
        <v>231</v>
      </c>
      <c r="AU357" s="129" t="s">
        <v>76</v>
      </c>
      <c r="AY357" s="13" t="s">
        <v>228</v>
      </c>
      <c r="BE357" s="130">
        <f t="shared" si="125"/>
        <v>0</v>
      </c>
      <c r="BF357" s="130">
        <f t="shared" si="126"/>
        <v>1416.42</v>
      </c>
      <c r="BG357" s="130">
        <f t="shared" si="127"/>
        <v>0</v>
      </c>
      <c r="BH357" s="130">
        <f t="shared" si="128"/>
        <v>0</v>
      </c>
      <c r="BI357" s="130">
        <f t="shared" si="129"/>
        <v>0</v>
      </c>
      <c r="BJ357" s="13" t="s">
        <v>76</v>
      </c>
      <c r="BK357" s="130">
        <f t="shared" si="130"/>
        <v>1416.42</v>
      </c>
      <c r="BL357" s="13" t="s">
        <v>235</v>
      </c>
      <c r="BM357" s="129" t="s">
        <v>739</v>
      </c>
    </row>
    <row r="358" spans="2:65" s="1" customFormat="1" ht="34.200000000000003" x14ac:dyDescent="0.2">
      <c r="B358" s="118"/>
      <c r="C358" s="1070" t="s">
        <v>743</v>
      </c>
      <c r="D358" s="119" t="s">
        <v>231</v>
      </c>
      <c r="E358" s="120" t="s">
        <v>3389</v>
      </c>
      <c r="F358" s="121" t="s">
        <v>3390</v>
      </c>
      <c r="G358" s="122" t="s">
        <v>1194</v>
      </c>
      <c r="H358" s="1071">
        <v>1</v>
      </c>
      <c r="I358" s="124">
        <v>4063.5</v>
      </c>
      <c r="J358" s="124">
        <f t="shared" si="120"/>
        <v>4063.5</v>
      </c>
      <c r="K358" s="121" t="s">
        <v>1</v>
      </c>
      <c r="L358" s="24"/>
      <c r="M358" s="125" t="s">
        <v>1</v>
      </c>
      <c r="N358" s="126" t="s">
        <v>32</v>
      </c>
      <c r="O358" s="127">
        <v>0</v>
      </c>
      <c r="P358" s="127">
        <f t="shared" si="121"/>
        <v>0</v>
      </c>
      <c r="Q358" s="127">
        <v>0</v>
      </c>
      <c r="R358" s="127">
        <f t="shared" si="122"/>
        <v>0</v>
      </c>
      <c r="S358" s="127">
        <v>0</v>
      </c>
      <c r="T358" s="128">
        <f t="shared" si="123"/>
        <v>0</v>
      </c>
      <c r="W358" s="199"/>
      <c r="X358" s="205" t="s">
        <v>743</v>
      </c>
      <c r="Y358" s="119" t="s">
        <v>231</v>
      </c>
      <c r="Z358" s="120" t="s">
        <v>3389</v>
      </c>
      <c r="AA358" s="121" t="s">
        <v>3390</v>
      </c>
      <c r="AB358" s="122" t="s">
        <v>1194</v>
      </c>
      <c r="AC358" s="206">
        <f>1-1</f>
        <v>0</v>
      </c>
      <c r="AD358" s="124">
        <v>4063.5</v>
      </c>
      <c r="AE358" s="200">
        <f t="shared" si="124"/>
        <v>0</v>
      </c>
      <c r="AF358" s="956">
        <v>20</v>
      </c>
      <c r="AH358" s="130">
        <f t="shared" si="118"/>
        <v>-1</v>
      </c>
      <c r="AJ358" s="398">
        <f t="shared" si="119"/>
        <v>-4063.5</v>
      </c>
      <c r="AK358" s="409"/>
      <c r="AL358" s="408"/>
      <c r="AM358" s="407"/>
      <c r="AN358" s="407"/>
      <c r="AO358" s="407"/>
      <c r="AP358" s="407"/>
      <c r="AQ358" s="407"/>
      <c r="AR358" s="129" t="s">
        <v>235</v>
      </c>
      <c r="AT358" s="129" t="s">
        <v>231</v>
      </c>
      <c r="AU358" s="129" t="s">
        <v>76</v>
      </c>
      <c r="AY358" s="13" t="s">
        <v>228</v>
      </c>
      <c r="BE358" s="130">
        <f t="shared" si="125"/>
        <v>0</v>
      </c>
      <c r="BF358" s="130">
        <f t="shared" si="126"/>
        <v>4063.5</v>
      </c>
      <c r="BG358" s="130">
        <f t="shared" si="127"/>
        <v>0</v>
      </c>
      <c r="BH358" s="130">
        <f t="shared" si="128"/>
        <v>0</v>
      </c>
      <c r="BI358" s="130">
        <f t="shared" si="129"/>
        <v>0</v>
      </c>
      <c r="BJ358" s="13" t="s">
        <v>76</v>
      </c>
      <c r="BK358" s="130">
        <f t="shared" si="130"/>
        <v>4063.5</v>
      </c>
      <c r="BL358" s="13" t="s">
        <v>235</v>
      </c>
      <c r="BM358" s="129" t="s">
        <v>742</v>
      </c>
    </row>
    <row r="359" spans="2:65" s="1" customFormat="1" ht="22.8" x14ac:dyDescent="0.2">
      <c r="B359" s="118"/>
      <c r="C359" s="1070" t="s">
        <v>486</v>
      </c>
      <c r="D359" s="119" t="s">
        <v>231</v>
      </c>
      <c r="E359" s="120" t="s">
        <v>3391</v>
      </c>
      <c r="F359" s="121" t="s">
        <v>3392</v>
      </c>
      <c r="G359" s="122" t="s">
        <v>1194</v>
      </c>
      <c r="H359" s="1071">
        <v>1</v>
      </c>
      <c r="I359" s="124">
        <v>2554.1999999999998</v>
      </c>
      <c r="J359" s="124">
        <f t="shared" si="120"/>
        <v>2554.1999999999998</v>
      </c>
      <c r="K359" s="121" t="s">
        <v>1</v>
      </c>
      <c r="L359" s="24"/>
      <c r="M359" s="125" t="s">
        <v>1</v>
      </c>
      <c r="N359" s="126" t="s">
        <v>32</v>
      </c>
      <c r="O359" s="127">
        <v>0</v>
      </c>
      <c r="P359" s="127">
        <f t="shared" si="121"/>
        <v>0</v>
      </c>
      <c r="Q359" s="127">
        <v>0</v>
      </c>
      <c r="R359" s="127">
        <f t="shared" si="122"/>
        <v>0</v>
      </c>
      <c r="S359" s="127">
        <v>0</v>
      </c>
      <c r="T359" s="128">
        <f t="shared" si="123"/>
        <v>0</v>
      </c>
      <c r="W359" s="199"/>
      <c r="X359" s="205" t="s">
        <v>486</v>
      </c>
      <c r="Y359" s="119" t="s">
        <v>231</v>
      </c>
      <c r="Z359" s="120" t="s">
        <v>3391</v>
      </c>
      <c r="AA359" s="121" t="s">
        <v>3392</v>
      </c>
      <c r="AB359" s="122" t="s">
        <v>1194</v>
      </c>
      <c r="AC359" s="206">
        <f>1-1</f>
        <v>0</v>
      </c>
      <c r="AD359" s="124">
        <v>2554.1999999999998</v>
      </c>
      <c r="AE359" s="200">
        <f t="shared" si="124"/>
        <v>0</v>
      </c>
      <c r="AF359" s="956">
        <v>20</v>
      </c>
      <c r="AH359" s="130">
        <f t="shared" si="118"/>
        <v>-1</v>
      </c>
      <c r="AJ359" s="398">
        <f t="shared" si="119"/>
        <v>-2554.1999999999998</v>
      </c>
      <c r="AK359" s="409"/>
      <c r="AL359" s="408"/>
      <c r="AM359" s="407"/>
      <c r="AN359" s="407"/>
      <c r="AO359" s="407"/>
      <c r="AP359" s="407"/>
      <c r="AQ359" s="407"/>
      <c r="AR359" s="129" t="s">
        <v>235</v>
      </c>
      <c r="AT359" s="129" t="s">
        <v>231</v>
      </c>
      <c r="AU359" s="129" t="s">
        <v>76</v>
      </c>
      <c r="AY359" s="13" t="s">
        <v>228</v>
      </c>
      <c r="BE359" s="130">
        <f t="shared" si="125"/>
        <v>0</v>
      </c>
      <c r="BF359" s="130">
        <f t="shared" si="126"/>
        <v>2554.1999999999998</v>
      </c>
      <c r="BG359" s="130">
        <f t="shared" si="127"/>
        <v>0</v>
      </c>
      <c r="BH359" s="130">
        <f t="shared" si="128"/>
        <v>0</v>
      </c>
      <c r="BI359" s="130">
        <f t="shared" si="129"/>
        <v>0</v>
      </c>
      <c r="BJ359" s="13" t="s">
        <v>76</v>
      </c>
      <c r="BK359" s="130">
        <f t="shared" si="130"/>
        <v>2554.1999999999998</v>
      </c>
      <c r="BL359" s="13" t="s">
        <v>235</v>
      </c>
      <c r="BM359" s="129" t="s">
        <v>746</v>
      </c>
    </row>
    <row r="360" spans="2:65" s="676" customFormat="1" ht="25.2" customHeight="1" x14ac:dyDescent="0.2">
      <c r="B360" s="118"/>
      <c r="C360" s="1234" t="s">
        <v>5205</v>
      </c>
      <c r="D360" s="1235"/>
      <c r="E360" s="1235"/>
      <c r="F360" s="1235"/>
      <c r="G360" s="1235"/>
      <c r="H360" s="1235"/>
      <c r="I360" s="1235"/>
      <c r="J360" s="1236"/>
      <c r="K360" s="121"/>
      <c r="L360" s="24"/>
      <c r="M360" s="125"/>
      <c r="N360" s="126"/>
      <c r="O360" s="127"/>
      <c r="P360" s="127"/>
      <c r="Q360" s="127"/>
      <c r="R360" s="127"/>
      <c r="S360" s="127"/>
      <c r="T360" s="128"/>
      <c r="W360" s="199"/>
      <c r="X360" s="207" t="s">
        <v>6481</v>
      </c>
      <c r="Y360" s="207" t="s">
        <v>231</v>
      </c>
      <c r="Z360" s="342" t="s">
        <v>6505</v>
      </c>
      <c r="AA360" s="343" t="s">
        <v>6506</v>
      </c>
      <c r="AB360" s="344" t="s">
        <v>1194</v>
      </c>
      <c r="AC360" s="345">
        <v>1</v>
      </c>
      <c r="AD360" s="346">
        <v>5082.8999999999996</v>
      </c>
      <c r="AE360" s="355">
        <f>ROUND(AD360*AC360,2)</f>
        <v>5082.8999999999996</v>
      </c>
      <c r="AF360" s="956">
        <v>20</v>
      </c>
      <c r="AH360" s="130"/>
      <c r="AJ360" s="398"/>
      <c r="AK360" s="409"/>
      <c r="AL360" s="408"/>
      <c r="AM360" s="407"/>
      <c r="AN360" s="407"/>
      <c r="AO360" s="407"/>
      <c r="AP360" s="407"/>
      <c r="AQ360" s="407"/>
      <c r="AR360" s="129"/>
      <c r="AT360" s="129"/>
      <c r="AU360" s="129"/>
      <c r="AY360" s="13"/>
      <c r="BE360" s="130"/>
      <c r="BF360" s="130"/>
      <c r="BG360" s="130"/>
      <c r="BH360" s="130"/>
      <c r="BI360" s="130"/>
      <c r="BJ360" s="13"/>
      <c r="BK360" s="130"/>
      <c r="BL360" s="13"/>
      <c r="BM360" s="129"/>
    </row>
    <row r="361" spans="2:65" s="1" customFormat="1" ht="22.8" x14ac:dyDescent="0.2">
      <c r="B361" s="118"/>
      <c r="C361" s="119" t="s">
        <v>750</v>
      </c>
      <c r="D361" s="119" t="s">
        <v>231</v>
      </c>
      <c r="E361" s="120" t="s">
        <v>3393</v>
      </c>
      <c r="F361" s="239" t="s">
        <v>3394</v>
      </c>
      <c r="G361" s="122" t="s">
        <v>1194</v>
      </c>
      <c r="H361" s="123">
        <v>1</v>
      </c>
      <c r="I361" s="124">
        <v>5921.1</v>
      </c>
      <c r="J361" s="124">
        <f t="shared" si="120"/>
        <v>5921.1</v>
      </c>
      <c r="K361" s="121" t="s">
        <v>1</v>
      </c>
      <c r="L361" s="24"/>
      <c r="M361" s="125" t="s">
        <v>1</v>
      </c>
      <c r="N361" s="126" t="s">
        <v>32</v>
      </c>
      <c r="O361" s="127">
        <v>0</v>
      </c>
      <c r="P361" s="127">
        <f t="shared" si="121"/>
        <v>0</v>
      </c>
      <c r="Q361" s="127">
        <v>0</v>
      </c>
      <c r="R361" s="127">
        <f t="shared" si="122"/>
        <v>0</v>
      </c>
      <c r="S361" s="127">
        <v>0</v>
      </c>
      <c r="T361" s="128">
        <f t="shared" si="123"/>
        <v>0</v>
      </c>
      <c r="W361" s="199"/>
      <c r="X361" s="119" t="s">
        <v>750</v>
      </c>
      <c r="Y361" s="119" t="s">
        <v>231</v>
      </c>
      <c r="Z361" s="120" t="s">
        <v>3393</v>
      </c>
      <c r="AA361" s="239" t="s">
        <v>6801</v>
      </c>
      <c r="AB361" s="122" t="s">
        <v>1194</v>
      </c>
      <c r="AC361" s="123">
        <v>1</v>
      </c>
      <c r="AD361" s="124">
        <v>5921.1</v>
      </c>
      <c r="AE361" s="200">
        <f t="shared" si="124"/>
        <v>5921.1</v>
      </c>
      <c r="AF361" s="956"/>
      <c r="AH361" s="130">
        <f t="shared" si="118"/>
        <v>0</v>
      </c>
      <c r="AJ361" s="398">
        <f t="shared" si="119"/>
        <v>0</v>
      </c>
      <c r="AK361" s="409"/>
      <c r="AL361" s="408"/>
      <c r="AM361" s="407"/>
      <c r="AN361" s="407"/>
      <c r="AO361" s="407"/>
      <c r="AP361" s="407"/>
      <c r="AQ361" s="407"/>
      <c r="AR361" s="129" t="s">
        <v>235</v>
      </c>
      <c r="AT361" s="129" t="s">
        <v>231</v>
      </c>
      <c r="AU361" s="129" t="s">
        <v>76</v>
      </c>
      <c r="AY361" s="13" t="s">
        <v>228</v>
      </c>
      <c r="BE361" s="130">
        <f t="shared" si="125"/>
        <v>0</v>
      </c>
      <c r="BF361" s="130">
        <f t="shared" si="126"/>
        <v>5921.1</v>
      </c>
      <c r="BG361" s="130">
        <f t="shared" si="127"/>
        <v>0</v>
      </c>
      <c r="BH361" s="130">
        <f t="shared" si="128"/>
        <v>0</v>
      </c>
      <c r="BI361" s="130">
        <f t="shared" si="129"/>
        <v>0</v>
      </c>
      <c r="BJ361" s="13" t="s">
        <v>76</v>
      </c>
      <c r="BK361" s="130">
        <f t="shared" si="130"/>
        <v>5921.1</v>
      </c>
      <c r="BL361" s="13" t="s">
        <v>235</v>
      </c>
      <c r="BM361" s="129" t="s">
        <v>749</v>
      </c>
    </row>
    <row r="362" spans="2:65" s="1" customFormat="1" ht="22.8" x14ac:dyDescent="0.2">
      <c r="B362" s="118"/>
      <c r="C362" s="119" t="s">
        <v>490</v>
      </c>
      <c r="D362" s="119" t="s">
        <v>231</v>
      </c>
      <c r="E362" s="120" t="s">
        <v>3395</v>
      </c>
      <c r="F362" s="239" t="s">
        <v>3396</v>
      </c>
      <c r="G362" s="122" t="s">
        <v>1194</v>
      </c>
      <c r="H362" s="123">
        <v>1</v>
      </c>
      <c r="I362" s="124">
        <v>6559.65</v>
      </c>
      <c r="J362" s="124">
        <f t="shared" si="120"/>
        <v>6559.65</v>
      </c>
      <c r="K362" s="121" t="s">
        <v>1</v>
      </c>
      <c r="L362" s="24"/>
      <c r="M362" s="125" t="s">
        <v>1</v>
      </c>
      <c r="N362" s="126" t="s">
        <v>32</v>
      </c>
      <c r="O362" s="127">
        <v>0</v>
      </c>
      <c r="P362" s="127">
        <f t="shared" si="121"/>
        <v>0</v>
      </c>
      <c r="Q362" s="127">
        <v>0</v>
      </c>
      <c r="R362" s="127">
        <f t="shared" si="122"/>
        <v>0</v>
      </c>
      <c r="S362" s="127">
        <v>0</v>
      </c>
      <c r="T362" s="128">
        <f t="shared" si="123"/>
        <v>0</v>
      </c>
      <c r="W362" s="199"/>
      <c r="X362" s="119" t="s">
        <v>490</v>
      </c>
      <c r="Y362" s="119" t="s">
        <v>231</v>
      </c>
      <c r="Z362" s="120" t="s">
        <v>3395</v>
      </c>
      <c r="AA362" s="239" t="s">
        <v>6802</v>
      </c>
      <c r="AB362" s="122" t="s">
        <v>1194</v>
      </c>
      <c r="AC362" s="123">
        <v>1</v>
      </c>
      <c r="AD362" s="124">
        <v>6559.65</v>
      </c>
      <c r="AE362" s="200">
        <f t="shared" si="124"/>
        <v>6559.65</v>
      </c>
      <c r="AF362" s="956"/>
      <c r="AH362" s="130">
        <f t="shared" si="118"/>
        <v>0</v>
      </c>
      <c r="AJ362" s="398">
        <f t="shared" si="119"/>
        <v>0</v>
      </c>
      <c r="AK362" s="409"/>
      <c r="AL362" s="408"/>
      <c r="AM362" s="407"/>
      <c r="AN362" s="407"/>
      <c r="AO362" s="407"/>
      <c r="AP362" s="407"/>
      <c r="AQ362" s="407"/>
      <c r="AR362" s="129" t="s">
        <v>235</v>
      </c>
      <c r="AT362" s="129" t="s">
        <v>231</v>
      </c>
      <c r="AU362" s="129" t="s">
        <v>76</v>
      </c>
      <c r="AY362" s="13" t="s">
        <v>228</v>
      </c>
      <c r="BE362" s="130">
        <f t="shared" si="125"/>
        <v>0</v>
      </c>
      <c r="BF362" s="130">
        <f t="shared" si="126"/>
        <v>6559.65</v>
      </c>
      <c r="BG362" s="130">
        <f t="shared" si="127"/>
        <v>0</v>
      </c>
      <c r="BH362" s="130">
        <f t="shared" si="128"/>
        <v>0</v>
      </c>
      <c r="BI362" s="130">
        <f t="shared" si="129"/>
        <v>0</v>
      </c>
      <c r="BJ362" s="13" t="s">
        <v>76</v>
      </c>
      <c r="BK362" s="130">
        <f t="shared" si="130"/>
        <v>6559.65</v>
      </c>
      <c r="BL362" s="13" t="s">
        <v>235</v>
      </c>
      <c r="BM362" s="129" t="s">
        <v>753</v>
      </c>
    </row>
    <row r="363" spans="2:65" s="1" customFormat="1" ht="22.8" x14ac:dyDescent="0.2">
      <c r="B363" s="118"/>
      <c r="C363" s="119" t="s">
        <v>757</v>
      </c>
      <c r="D363" s="119" t="s">
        <v>231</v>
      </c>
      <c r="E363" s="120" t="s">
        <v>3397</v>
      </c>
      <c r="F363" s="121" t="s">
        <v>3398</v>
      </c>
      <c r="G363" s="122" t="s">
        <v>1194</v>
      </c>
      <c r="H363" s="123">
        <v>1</v>
      </c>
      <c r="I363" s="124">
        <v>2205.9</v>
      </c>
      <c r="J363" s="124">
        <f t="shared" si="120"/>
        <v>2205.9</v>
      </c>
      <c r="K363" s="121" t="s">
        <v>1</v>
      </c>
      <c r="L363" s="24"/>
      <c r="M363" s="125" t="s">
        <v>1</v>
      </c>
      <c r="N363" s="126" t="s">
        <v>32</v>
      </c>
      <c r="O363" s="127">
        <v>0</v>
      </c>
      <c r="P363" s="127">
        <f t="shared" si="121"/>
        <v>0</v>
      </c>
      <c r="Q363" s="127">
        <v>0</v>
      </c>
      <c r="R363" s="127">
        <f t="shared" si="122"/>
        <v>0</v>
      </c>
      <c r="S363" s="127">
        <v>0</v>
      </c>
      <c r="T363" s="128">
        <f t="shared" si="123"/>
        <v>0</v>
      </c>
      <c r="W363" s="199"/>
      <c r="X363" s="119" t="s">
        <v>757</v>
      </c>
      <c r="Y363" s="119" t="s">
        <v>231</v>
      </c>
      <c r="Z363" s="120" t="s">
        <v>3397</v>
      </c>
      <c r="AA363" s="121" t="s">
        <v>3398</v>
      </c>
      <c r="AB363" s="122" t="s">
        <v>1194</v>
      </c>
      <c r="AC363" s="123">
        <v>1</v>
      </c>
      <c r="AD363" s="124">
        <v>2205.9</v>
      </c>
      <c r="AE363" s="200">
        <f t="shared" si="124"/>
        <v>2205.9</v>
      </c>
      <c r="AF363" s="956"/>
      <c r="AH363" s="130">
        <f t="shared" si="118"/>
        <v>0</v>
      </c>
      <c r="AJ363" s="398">
        <f t="shared" si="119"/>
        <v>0</v>
      </c>
      <c r="AK363" s="409"/>
      <c r="AL363" s="408"/>
      <c r="AM363" s="407"/>
      <c r="AN363" s="407"/>
      <c r="AO363" s="407"/>
      <c r="AP363" s="407"/>
      <c r="AQ363" s="407"/>
      <c r="AR363" s="129" t="s">
        <v>235</v>
      </c>
      <c r="AT363" s="129" t="s">
        <v>231</v>
      </c>
      <c r="AU363" s="129" t="s">
        <v>76</v>
      </c>
      <c r="AY363" s="13" t="s">
        <v>228</v>
      </c>
      <c r="BE363" s="130">
        <f t="shared" si="125"/>
        <v>0</v>
      </c>
      <c r="BF363" s="130">
        <f t="shared" si="126"/>
        <v>2205.9</v>
      </c>
      <c r="BG363" s="130">
        <f t="shared" si="127"/>
        <v>0</v>
      </c>
      <c r="BH363" s="130">
        <f t="shared" si="128"/>
        <v>0</v>
      </c>
      <c r="BI363" s="130">
        <f t="shared" si="129"/>
        <v>0</v>
      </c>
      <c r="BJ363" s="13" t="s">
        <v>76</v>
      </c>
      <c r="BK363" s="130">
        <f t="shared" si="130"/>
        <v>2205.9</v>
      </c>
      <c r="BL363" s="13" t="s">
        <v>235</v>
      </c>
      <c r="BM363" s="129" t="s">
        <v>756</v>
      </c>
    </row>
    <row r="364" spans="2:65" s="670" customFormat="1" ht="28.95" customHeight="1" x14ac:dyDescent="0.2">
      <c r="B364" s="118"/>
      <c r="C364" s="1234" t="s">
        <v>5205</v>
      </c>
      <c r="D364" s="1235"/>
      <c r="E364" s="1235"/>
      <c r="F364" s="1235"/>
      <c r="G364" s="1235"/>
      <c r="H364" s="1235"/>
      <c r="I364" s="1235"/>
      <c r="J364" s="1236"/>
      <c r="K364" s="121"/>
      <c r="L364" s="24"/>
      <c r="M364" s="125"/>
      <c r="N364" s="126"/>
      <c r="O364" s="127"/>
      <c r="P364" s="127"/>
      <c r="Q364" s="127"/>
      <c r="R364" s="127"/>
      <c r="S364" s="127"/>
      <c r="T364" s="128"/>
      <c r="W364" s="199"/>
      <c r="X364" s="207" t="s">
        <v>6439</v>
      </c>
      <c r="Y364" s="341"/>
      <c r="Z364" s="342" t="s">
        <v>6264</v>
      </c>
      <c r="AA364" s="343" t="s">
        <v>6265</v>
      </c>
      <c r="AB364" s="344" t="s">
        <v>1194</v>
      </c>
      <c r="AC364" s="345">
        <v>4</v>
      </c>
      <c r="AD364" s="346">
        <v>19</v>
      </c>
      <c r="AE364" s="355">
        <f>AC364*AD364</f>
        <v>76</v>
      </c>
      <c r="AF364" s="956" t="s">
        <v>6425</v>
      </c>
      <c r="AH364" s="130"/>
      <c r="AJ364" s="398"/>
      <c r="AK364" s="409"/>
      <c r="AL364" s="408"/>
      <c r="AM364" s="407"/>
      <c r="AN364" s="407"/>
      <c r="AO364" s="407"/>
      <c r="AP364" s="407"/>
      <c r="AQ364" s="407"/>
      <c r="AR364" s="129"/>
      <c r="AT364" s="129"/>
      <c r="AU364" s="129"/>
      <c r="AY364" s="13"/>
      <c r="BE364" s="130"/>
      <c r="BF364" s="130"/>
      <c r="BG364" s="130"/>
      <c r="BH364" s="130"/>
      <c r="BI364" s="130"/>
      <c r="BJ364" s="13"/>
      <c r="BK364" s="130"/>
      <c r="BL364" s="13"/>
      <c r="BM364" s="129"/>
    </row>
    <row r="365" spans="2:65" s="670" customFormat="1" ht="28.95" customHeight="1" x14ac:dyDescent="0.2">
      <c r="B365" s="118"/>
      <c r="C365" s="1234" t="s">
        <v>5205</v>
      </c>
      <c r="D365" s="1235"/>
      <c r="E365" s="1235"/>
      <c r="F365" s="1235"/>
      <c r="G365" s="1235"/>
      <c r="H365" s="1235"/>
      <c r="I365" s="1235"/>
      <c r="J365" s="1236"/>
      <c r="K365" s="121"/>
      <c r="L365" s="24"/>
      <c r="M365" s="125"/>
      <c r="N365" s="126"/>
      <c r="O365" s="127"/>
      <c r="P365" s="127"/>
      <c r="Q365" s="127"/>
      <c r="R365" s="127"/>
      <c r="S365" s="127"/>
      <c r="T365" s="128"/>
      <c r="W365" s="199"/>
      <c r="X365" s="207" t="s">
        <v>6440</v>
      </c>
      <c r="Y365" s="341"/>
      <c r="Z365" s="342" t="s">
        <v>6435</v>
      </c>
      <c r="AA365" s="343" t="s">
        <v>6436</v>
      </c>
      <c r="AB365" s="344" t="s">
        <v>1194</v>
      </c>
      <c r="AC365" s="345">
        <v>1</v>
      </c>
      <c r="AD365" s="346">
        <v>20</v>
      </c>
      <c r="AE365" s="355">
        <f t="shared" ref="AE365:AE366" si="131">AC365*AD365</f>
        <v>20</v>
      </c>
      <c r="AF365" s="956" t="s">
        <v>6425</v>
      </c>
      <c r="AH365" s="130"/>
      <c r="AJ365" s="398"/>
      <c r="AK365" s="409"/>
      <c r="AL365" s="408"/>
      <c r="AM365" s="407"/>
      <c r="AN365" s="407"/>
      <c r="AO365" s="407"/>
      <c r="AP365" s="407"/>
      <c r="AQ365" s="407"/>
      <c r="AR365" s="129"/>
      <c r="AT365" s="129"/>
      <c r="AU365" s="129"/>
      <c r="AY365" s="13"/>
      <c r="BE365" s="130"/>
      <c r="BF365" s="130"/>
      <c r="BG365" s="130"/>
      <c r="BH365" s="130"/>
      <c r="BI365" s="130"/>
      <c r="BJ365" s="13"/>
      <c r="BK365" s="130"/>
      <c r="BL365" s="13"/>
      <c r="BM365" s="129"/>
    </row>
    <row r="366" spans="2:65" s="670" customFormat="1" ht="28.95" customHeight="1" x14ac:dyDescent="0.2">
      <c r="B366" s="118"/>
      <c r="C366" s="1234" t="s">
        <v>5205</v>
      </c>
      <c r="D366" s="1235"/>
      <c r="E366" s="1235"/>
      <c r="F366" s="1235"/>
      <c r="G366" s="1235"/>
      <c r="H366" s="1235"/>
      <c r="I366" s="1235"/>
      <c r="J366" s="1236"/>
      <c r="K366" s="121"/>
      <c r="L366" s="24"/>
      <c r="M366" s="125"/>
      <c r="N366" s="126"/>
      <c r="O366" s="127"/>
      <c r="P366" s="127"/>
      <c r="Q366" s="127"/>
      <c r="R366" s="127"/>
      <c r="S366" s="127"/>
      <c r="T366" s="128"/>
      <c r="W366" s="199"/>
      <c r="X366" s="207" t="s">
        <v>6441</v>
      </c>
      <c r="Y366" s="341"/>
      <c r="Z366" s="342" t="s">
        <v>6437</v>
      </c>
      <c r="AA366" s="343" t="s">
        <v>6438</v>
      </c>
      <c r="AB366" s="344" t="s">
        <v>1194</v>
      </c>
      <c r="AC366" s="345">
        <v>1</v>
      </c>
      <c r="AD366" s="346">
        <v>55</v>
      </c>
      <c r="AE366" s="355">
        <f t="shared" si="131"/>
        <v>55</v>
      </c>
      <c r="AF366" s="956" t="s">
        <v>6425</v>
      </c>
      <c r="AH366" s="130"/>
      <c r="AJ366" s="398"/>
      <c r="AK366" s="409"/>
      <c r="AL366" s="408"/>
      <c r="AM366" s="407"/>
      <c r="AN366" s="407"/>
      <c r="AO366" s="407"/>
      <c r="AP366" s="407"/>
      <c r="AQ366" s="407"/>
      <c r="AR366" s="129"/>
      <c r="AT366" s="129"/>
      <c r="AU366" s="129"/>
      <c r="AY366" s="13"/>
      <c r="BE366" s="130"/>
      <c r="BF366" s="130"/>
      <c r="BG366" s="130"/>
      <c r="BH366" s="130"/>
      <c r="BI366" s="130"/>
      <c r="BJ366" s="13"/>
      <c r="BK366" s="130"/>
      <c r="BL366" s="13"/>
      <c r="BM366" s="129"/>
    </row>
    <row r="367" spans="2:65" s="1" customFormat="1" ht="45.6" x14ac:dyDescent="0.2">
      <c r="B367" s="118"/>
      <c r="C367" s="205" t="s">
        <v>493</v>
      </c>
      <c r="D367" s="119" t="s">
        <v>231</v>
      </c>
      <c r="E367" s="120" t="s">
        <v>3399</v>
      </c>
      <c r="F367" s="121" t="s">
        <v>3400</v>
      </c>
      <c r="G367" s="122" t="s">
        <v>284</v>
      </c>
      <c r="H367" s="206">
        <v>286.54000000000002</v>
      </c>
      <c r="I367" s="124">
        <v>58.05</v>
      </c>
      <c r="J367" s="124">
        <f t="shared" si="120"/>
        <v>16633.650000000001</v>
      </c>
      <c r="K367" s="121" t="s">
        <v>1</v>
      </c>
      <c r="L367" s="24"/>
      <c r="M367" s="125" t="s">
        <v>1</v>
      </c>
      <c r="N367" s="126" t="s">
        <v>32</v>
      </c>
      <c r="O367" s="127">
        <v>0</v>
      </c>
      <c r="P367" s="127">
        <f t="shared" si="121"/>
        <v>0</v>
      </c>
      <c r="Q367" s="127">
        <v>0</v>
      </c>
      <c r="R367" s="127">
        <f t="shared" si="122"/>
        <v>0</v>
      </c>
      <c r="S367" s="127">
        <v>0</v>
      </c>
      <c r="T367" s="128">
        <f t="shared" si="123"/>
        <v>0</v>
      </c>
      <c r="W367" s="199"/>
      <c r="X367" s="205" t="s">
        <v>493</v>
      </c>
      <c r="Y367" s="119" t="s">
        <v>231</v>
      </c>
      <c r="Z367" s="120" t="s">
        <v>3399</v>
      </c>
      <c r="AA367" s="121" t="s">
        <v>3400</v>
      </c>
      <c r="AB367" s="122" t="s">
        <v>284</v>
      </c>
      <c r="AC367" s="206">
        <v>0</v>
      </c>
      <c r="AD367" s="124">
        <v>58.05</v>
      </c>
      <c r="AE367" s="200">
        <f t="shared" si="124"/>
        <v>0</v>
      </c>
      <c r="AF367" s="956">
        <v>1</v>
      </c>
      <c r="AH367" s="130">
        <f t="shared" si="118"/>
        <v>-286.54000000000002</v>
      </c>
      <c r="AJ367" s="398">
        <f t="shared" si="119"/>
        <v>-16633.647000000001</v>
      </c>
      <c r="AK367" s="409"/>
      <c r="AL367" s="408"/>
      <c r="AM367" s="407"/>
      <c r="AN367" s="407"/>
      <c r="AO367" s="407"/>
      <c r="AP367" s="407"/>
      <c r="AQ367" s="407"/>
      <c r="AR367" s="129" t="s">
        <v>235</v>
      </c>
      <c r="AT367" s="129" t="s">
        <v>231</v>
      </c>
      <c r="AU367" s="129" t="s">
        <v>76</v>
      </c>
      <c r="AY367" s="13" t="s">
        <v>228</v>
      </c>
      <c r="BE367" s="130">
        <f t="shared" si="125"/>
        <v>0</v>
      </c>
      <c r="BF367" s="130">
        <f t="shared" si="126"/>
        <v>16633.650000000001</v>
      </c>
      <c r="BG367" s="130">
        <f t="shared" si="127"/>
        <v>0</v>
      </c>
      <c r="BH367" s="130">
        <f t="shared" si="128"/>
        <v>0</v>
      </c>
      <c r="BI367" s="130">
        <f t="shared" si="129"/>
        <v>0</v>
      </c>
      <c r="BJ367" s="13" t="s">
        <v>76</v>
      </c>
      <c r="BK367" s="130">
        <f t="shared" si="130"/>
        <v>16633.650000000001</v>
      </c>
      <c r="BL367" s="13" t="s">
        <v>235</v>
      </c>
      <c r="BM367" s="129" t="s">
        <v>760</v>
      </c>
    </row>
    <row r="368" spans="2:65" s="340" customFormat="1" ht="40.5" customHeight="1" x14ac:dyDescent="0.2">
      <c r="B368" s="118"/>
      <c r="C368" s="1234" t="s">
        <v>5205</v>
      </c>
      <c r="D368" s="1235"/>
      <c r="E368" s="1235"/>
      <c r="F368" s="1235"/>
      <c r="G368" s="1235"/>
      <c r="H368" s="1235"/>
      <c r="I368" s="1235"/>
      <c r="J368" s="1236"/>
      <c r="K368" s="121"/>
      <c r="L368" s="24"/>
      <c r="M368" s="125"/>
      <c r="N368" s="126"/>
      <c r="O368" s="127"/>
      <c r="P368" s="127"/>
      <c r="Q368" s="127"/>
      <c r="R368" s="127"/>
      <c r="S368" s="127"/>
      <c r="T368" s="128"/>
      <c r="W368" s="199"/>
      <c r="X368" s="341" t="s">
        <v>5782</v>
      </c>
      <c r="Y368" s="341" t="s">
        <v>231</v>
      </c>
      <c r="Z368" s="342" t="s">
        <v>5750</v>
      </c>
      <c r="AA368" s="343" t="s">
        <v>5751</v>
      </c>
      <c r="AB368" s="344" t="s">
        <v>284</v>
      </c>
      <c r="AC368" s="345">
        <v>309.97000000000003</v>
      </c>
      <c r="AD368" s="346">
        <v>64.3</v>
      </c>
      <c r="AE368" s="355">
        <f>ROUND(AD368*AC368,2)</f>
        <v>19931.07</v>
      </c>
      <c r="AF368" s="956">
        <v>1</v>
      </c>
      <c r="AH368" s="130">
        <f t="shared" si="118"/>
        <v>309.97000000000003</v>
      </c>
      <c r="AJ368" s="398">
        <f t="shared" si="119"/>
        <v>19931.071</v>
      </c>
      <c r="AK368" s="409"/>
      <c r="AL368" s="408"/>
      <c r="AM368" s="407"/>
      <c r="AN368" s="407"/>
      <c r="AO368" s="407"/>
      <c r="AP368" s="407"/>
      <c r="AQ368" s="407"/>
      <c r="AR368" s="129"/>
      <c r="AT368" s="129"/>
      <c r="AU368" s="129"/>
      <c r="AY368" s="13"/>
      <c r="BE368" s="130"/>
      <c r="BF368" s="130"/>
      <c r="BG368" s="130"/>
      <c r="BH368" s="130"/>
      <c r="BI368" s="130"/>
      <c r="BJ368" s="13"/>
      <c r="BK368" s="130"/>
      <c r="BL368" s="13"/>
      <c r="BM368" s="129"/>
    </row>
    <row r="369" spans="2:65" s="1" customFormat="1" ht="45.6" x14ac:dyDescent="0.2">
      <c r="B369" s="118"/>
      <c r="C369" s="205" t="s">
        <v>764</v>
      </c>
      <c r="D369" s="119" t="s">
        <v>231</v>
      </c>
      <c r="E369" s="120" t="s">
        <v>3401</v>
      </c>
      <c r="F369" s="121" t="s">
        <v>3402</v>
      </c>
      <c r="G369" s="122" t="s">
        <v>284</v>
      </c>
      <c r="H369" s="206">
        <v>322.99</v>
      </c>
      <c r="I369" s="124">
        <v>65.02</v>
      </c>
      <c r="J369" s="124">
        <f t="shared" si="120"/>
        <v>21000.81</v>
      </c>
      <c r="K369" s="121" t="s">
        <v>1</v>
      </c>
      <c r="L369" s="24"/>
      <c r="M369" s="125" t="s">
        <v>1</v>
      </c>
      <c r="N369" s="126" t="s">
        <v>32</v>
      </c>
      <c r="O369" s="127">
        <v>0</v>
      </c>
      <c r="P369" s="127">
        <f t="shared" si="121"/>
        <v>0</v>
      </c>
      <c r="Q369" s="127">
        <v>0</v>
      </c>
      <c r="R369" s="127">
        <f t="shared" si="122"/>
        <v>0</v>
      </c>
      <c r="S369" s="127">
        <v>0</v>
      </c>
      <c r="T369" s="128">
        <f t="shared" si="123"/>
        <v>0</v>
      </c>
      <c r="W369" s="199"/>
      <c r="X369" s="205" t="s">
        <v>764</v>
      </c>
      <c r="Y369" s="119" t="s">
        <v>231</v>
      </c>
      <c r="Z369" s="120" t="s">
        <v>3401</v>
      </c>
      <c r="AA369" s="121" t="s">
        <v>3402</v>
      </c>
      <c r="AB369" s="122" t="s">
        <v>284</v>
      </c>
      <c r="AC369" s="206">
        <v>324.77999999999997</v>
      </c>
      <c r="AD369" s="124">
        <v>65.02</v>
      </c>
      <c r="AE369" s="200">
        <f t="shared" si="124"/>
        <v>21117.200000000001</v>
      </c>
      <c r="AF369" s="956">
        <v>1</v>
      </c>
      <c r="AH369" s="130">
        <f t="shared" si="118"/>
        <v>1.7899999999999636</v>
      </c>
      <c r="AJ369" s="398">
        <f t="shared" si="119"/>
        <v>116.38579999999763</v>
      </c>
      <c r="AK369" s="409"/>
      <c r="AL369" s="408"/>
      <c r="AM369" s="407"/>
      <c r="AN369" s="407"/>
      <c r="AO369" s="407"/>
      <c r="AP369" s="407"/>
      <c r="AQ369" s="407"/>
      <c r="AR369" s="129" t="s">
        <v>235</v>
      </c>
      <c r="AT369" s="129" t="s">
        <v>231</v>
      </c>
      <c r="AU369" s="129" t="s">
        <v>76</v>
      </c>
      <c r="AY369" s="13" t="s">
        <v>228</v>
      </c>
      <c r="BE369" s="130">
        <f t="shared" si="125"/>
        <v>0</v>
      </c>
      <c r="BF369" s="130">
        <f t="shared" si="126"/>
        <v>21000.81</v>
      </c>
      <c r="BG369" s="130">
        <f t="shared" si="127"/>
        <v>0</v>
      </c>
      <c r="BH369" s="130">
        <f t="shared" si="128"/>
        <v>0</v>
      </c>
      <c r="BI369" s="130">
        <f t="shared" si="129"/>
        <v>0</v>
      </c>
      <c r="BJ369" s="13" t="s">
        <v>76</v>
      </c>
      <c r="BK369" s="130">
        <f t="shared" si="130"/>
        <v>21000.81</v>
      </c>
      <c r="BL369" s="13" t="s">
        <v>235</v>
      </c>
      <c r="BM369" s="129" t="s">
        <v>763</v>
      </c>
    </row>
    <row r="370" spans="2:65" s="1" customFormat="1" x14ac:dyDescent="0.2">
      <c r="B370" s="118"/>
      <c r="C370" s="205" t="s">
        <v>497</v>
      </c>
      <c r="D370" s="119" t="s">
        <v>231</v>
      </c>
      <c r="E370" s="120" t="s">
        <v>3403</v>
      </c>
      <c r="F370" s="121" t="s">
        <v>3404</v>
      </c>
      <c r="G370" s="122" t="s">
        <v>284</v>
      </c>
      <c r="H370" s="206">
        <v>11.63</v>
      </c>
      <c r="I370" s="124">
        <v>174.15</v>
      </c>
      <c r="J370" s="124">
        <f t="shared" si="120"/>
        <v>2025.36</v>
      </c>
      <c r="K370" s="121" t="s">
        <v>1</v>
      </c>
      <c r="L370" s="24"/>
      <c r="M370" s="125" t="s">
        <v>1</v>
      </c>
      <c r="N370" s="126" t="s">
        <v>32</v>
      </c>
      <c r="O370" s="127">
        <v>0</v>
      </c>
      <c r="P370" s="127">
        <f t="shared" si="121"/>
        <v>0</v>
      </c>
      <c r="Q370" s="127">
        <v>0</v>
      </c>
      <c r="R370" s="127">
        <f t="shared" si="122"/>
        <v>0</v>
      </c>
      <c r="S370" s="127">
        <v>0</v>
      </c>
      <c r="T370" s="128">
        <f t="shared" si="123"/>
        <v>0</v>
      </c>
      <c r="W370" s="199"/>
      <c r="X370" s="205" t="s">
        <v>497</v>
      </c>
      <c r="Y370" s="119" t="s">
        <v>231</v>
      </c>
      <c r="Z370" s="120" t="s">
        <v>3403</v>
      </c>
      <c r="AA370" s="121" t="s">
        <v>3404</v>
      </c>
      <c r="AB370" s="122" t="s">
        <v>284</v>
      </c>
      <c r="AC370" s="206">
        <v>17.399999999999999</v>
      </c>
      <c r="AD370" s="124">
        <v>174.15</v>
      </c>
      <c r="AE370" s="200">
        <f t="shared" si="124"/>
        <v>3030.21</v>
      </c>
      <c r="AF370" s="956">
        <v>1</v>
      </c>
      <c r="AH370" s="130">
        <f t="shared" si="118"/>
        <v>5.7699999999999978</v>
      </c>
      <c r="AJ370" s="398">
        <f t="shared" si="119"/>
        <v>1004.8454999999997</v>
      </c>
      <c r="AK370" s="409"/>
      <c r="AL370" s="408"/>
      <c r="AM370" s="407"/>
      <c r="AN370" s="407"/>
      <c r="AO370" s="407"/>
      <c r="AP370" s="407"/>
      <c r="AQ370" s="407"/>
      <c r="AR370" s="129" t="s">
        <v>235</v>
      </c>
      <c r="AT370" s="129" t="s">
        <v>231</v>
      </c>
      <c r="AU370" s="129" t="s">
        <v>76</v>
      </c>
      <c r="AY370" s="13" t="s">
        <v>228</v>
      </c>
      <c r="BE370" s="130">
        <f t="shared" si="125"/>
        <v>0</v>
      </c>
      <c r="BF370" s="130">
        <f t="shared" si="126"/>
        <v>2025.36</v>
      </c>
      <c r="BG370" s="130">
        <f t="shared" si="127"/>
        <v>0</v>
      </c>
      <c r="BH370" s="130">
        <f t="shared" si="128"/>
        <v>0</v>
      </c>
      <c r="BI370" s="130">
        <f t="shared" si="129"/>
        <v>0</v>
      </c>
      <c r="BJ370" s="13" t="s">
        <v>76</v>
      </c>
      <c r="BK370" s="130">
        <f t="shared" si="130"/>
        <v>2025.36</v>
      </c>
      <c r="BL370" s="13" t="s">
        <v>235</v>
      </c>
      <c r="BM370" s="129" t="s">
        <v>767</v>
      </c>
    </row>
    <row r="371" spans="2:65" s="1" customFormat="1" ht="22.8" x14ac:dyDescent="0.2">
      <c r="B371" s="118"/>
      <c r="C371" s="205" t="s">
        <v>771</v>
      </c>
      <c r="D371" s="119" t="s">
        <v>231</v>
      </c>
      <c r="E371" s="120" t="s">
        <v>3405</v>
      </c>
      <c r="F371" s="121" t="s">
        <v>3406</v>
      </c>
      <c r="G371" s="122" t="s">
        <v>570</v>
      </c>
      <c r="H371" s="206">
        <v>627.66300000000001</v>
      </c>
      <c r="I371" s="124">
        <v>1.28</v>
      </c>
      <c r="J371" s="124">
        <f t="shared" si="120"/>
        <v>803.41</v>
      </c>
      <c r="K371" s="121" t="s">
        <v>1</v>
      </c>
      <c r="L371" s="24"/>
      <c r="M371" s="125" t="s">
        <v>1</v>
      </c>
      <c r="N371" s="126" t="s">
        <v>32</v>
      </c>
      <c r="O371" s="127">
        <v>0</v>
      </c>
      <c r="P371" s="127">
        <f t="shared" si="121"/>
        <v>0</v>
      </c>
      <c r="Q371" s="127">
        <v>0</v>
      </c>
      <c r="R371" s="127">
        <f t="shared" si="122"/>
        <v>0</v>
      </c>
      <c r="S371" s="127">
        <v>0</v>
      </c>
      <c r="T371" s="128">
        <f t="shared" si="123"/>
        <v>0</v>
      </c>
      <c r="W371" s="199"/>
      <c r="X371" s="205" t="s">
        <v>771</v>
      </c>
      <c r="Y371" s="119" t="s">
        <v>231</v>
      </c>
      <c r="Z371" s="120" t="s">
        <v>3405</v>
      </c>
      <c r="AA371" s="121" t="s">
        <v>3406</v>
      </c>
      <c r="AB371" s="122" t="s">
        <v>570</v>
      </c>
      <c r="AC371" s="206">
        <f>627.663+82.52+1.51-1.18</f>
        <v>710.51300000000003</v>
      </c>
      <c r="AD371" s="124">
        <v>1.28</v>
      </c>
      <c r="AE371" s="200">
        <f t="shared" si="124"/>
        <v>909.46</v>
      </c>
      <c r="AF371" s="956" t="s">
        <v>6507</v>
      </c>
      <c r="AH371" s="130">
        <f t="shared" si="118"/>
        <v>82.850000000000023</v>
      </c>
      <c r="AJ371" s="398">
        <f t="shared" si="119"/>
        <v>106.04800000000003</v>
      </c>
      <c r="AK371" s="409"/>
      <c r="AL371" s="408"/>
      <c r="AM371" s="407"/>
      <c r="AN371" s="407"/>
      <c r="AO371" s="407"/>
      <c r="AP371" s="407"/>
      <c r="AQ371" s="407"/>
      <c r="AR371" s="129" t="s">
        <v>235</v>
      </c>
      <c r="AT371" s="129" t="s">
        <v>231</v>
      </c>
      <c r="AU371" s="129" t="s">
        <v>76</v>
      </c>
      <c r="AY371" s="13" t="s">
        <v>228</v>
      </c>
      <c r="BE371" s="130">
        <f t="shared" si="125"/>
        <v>0</v>
      </c>
      <c r="BF371" s="130">
        <f t="shared" si="126"/>
        <v>803.41</v>
      </c>
      <c r="BG371" s="130">
        <f t="shared" si="127"/>
        <v>0</v>
      </c>
      <c r="BH371" s="130">
        <f t="shared" si="128"/>
        <v>0</v>
      </c>
      <c r="BI371" s="130">
        <f t="shared" si="129"/>
        <v>0</v>
      </c>
      <c r="BJ371" s="13" t="s">
        <v>76</v>
      </c>
      <c r="BK371" s="130">
        <f t="shared" si="130"/>
        <v>803.41</v>
      </c>
      <c r="BL371" s="13" t="s">
        <v>235</v>
      </c>
      <c r="BM371" s="129" t="s">
        <v>770</v>
      </c>
    </row>
    <row r="372" spans="2:65" s="11" customFormat="1" ht="24" customHeight="1" x14ac:dyDescent="0.25">
      <c r="B372" s="106"/>
      <c r="D372" s="107" t="s">
        <v>57</v>
      </c>
      <c r="E372" s="116" t="s">
        <v>785</v>
      </c>
      <c r="F372" s="116" t="s">
        <v>3407</v>
      </c>
      <c r="J372" s="117">
        <f>BK372</f>
        <v>4875.21</v>
      </c>
      <c r="L372" s="106"/>
      <c r="M372" s="110"/>
      <c r="N372" s="111"/>
      <c r="O372" s="111"/>
      <c r="P372" s="112">
        <f>SUM(P373:P375)</f>
        <v>0</v>
      </c>
      <c r="Q372" s="111"/>
      <c r="R372" s="112">
        <f>SUM(R373:R375)</f>
        <v>0</v>
      </c>
      <c r="S372" s="111"/>
      <c r="T372" s="113">
        <f>SUM(T373:T375)</f>
        <v>0</v>
      </c>
      <c r="W372" s="195"/>
      <c r="X372" s="111"/>
      <c r="Y372" s="196" t="s">
        <v>57</v>
      </c>
      <c r="Z372" s="201" t="s">
        <v>785</v>
      </c>
      <c r="AA372" s="201" t="s">
        <v>3407</v>
      </c>
      <c r="AB372" s="111"/>
      <c r="AC372" s="111"/>
      <c r="AD372" s="111"/>
      <c r="AE372" s="202">
        <f>SUM(AE373:AE375)</f>
        <v>4412.2400000000007</v>
      </c>
      <c r="AF372" s="956"/>
      <c r="AH372" s="130">
        <f t="shared" si="118"/>
        <v>0</v>
      </c>
      <c r="AJ372" s="398">
        <f t="shared" si="119"/>
        <v>0</v>
      </c>
      <c r="AK372" s="409"/>
      <c r="AL372" s="408"/>
      <c r="AM372" s="292"/>
      <c r="AN372" s="292"/>
      <c r="AO372" s="292"/>
      <c r="AP372" s="292"/>
      <c r="AQ372" s="292"/>
      <c r="AR372" s="107" t="s">
        <v>63</v>
      </c>
      <c r="AT372" s="114" t="s">
        <v>57</v>
      </c>
      <c r="AU372" s="114" t="s">
        <v>63</v>
      </c>
      <c r="AY372" s="107" t="s">
        <v>228</v>
      </c>
      <c r="BK372" s="115">
        <f>SUM(BK373:BK375)</f>
        <v>4875.21</v>
      </c>
    </row>
    <row r="373" spans="2:65" s="1" customFormat="1" ht="22.8" x14ac:dyDescent="0.2">
      <c r="B373" s="118"/>
      <c r="C373" s="205" t="s">
        <v>500</v>
      </c>
      <c r="D373" s="119" t="s">
        <v>231</v>
      </c>
      <c r="E373" s="120" t="s">
        <v>3408</v>
      </c>
      <c r="F373" s="121" t="s">
        <v>3409</v>
      </c>
      <c r="G373" s="122" t="s">
        <v>284</v>
      </c>
      <c r="H373" s="206">
        <v>115</v>
      </c>
      <c r="I373" s="124">
        <v>26.7</v>
      </c>
      <c r="J373" s="124">
        <f>ROUND(I373*H373,2)</f>
        <v>3070.5</v>
      </c>
      <c r="K373" s="121" t="s">
        <v>1</v>
      </c>
      <c r="L373" s="24"/>
      <c r="M373" s="125" t="s">
        <v>1</v>
      </c>
      <c r="N373" s="126" t="s">
        <v>32</v>
      </c>
      <c r="O373" s="127">
        <v>0</v>
      </c>
      <c r="P373" s="127">
        <f>O373*H373</f>
        <v>0</v>
      </c>
      <c r="Q373" s="127">
        <v>0</v>
      </c>
      <c r="R373" s="127">
        <f>Q373*H373</f>
        <v>0</v>
      </c>
      <c r="S373" s="127">
        <v>0</v>
      </c>
      <c r="T373" s="128">
        <f>S373*H373</f>
        <v>0</v>
      </c>
      <c r="W373" s="199"/>
      <c r="X373" s="205" t="s">
        <v>500</v>
      </c>
      <c r="Y373" s="119" t="s">
        <v>231</v>
      </c>
      <c r="Z373" s="120" t="s">
        <v>3408</v>
      </c>
      <c r="AA373" s="121" t="s">
        <v>3409</v>
      </c>
      <c r="AB373" s="122" t="s">
        <v>284</v>
      </c>
      <c r="AC373" s="206">
        <v>103.723</v>
      </c>
      <c r="AD373" s="124">
        <v>26.7</v>
      </c>
      <c r="AE373" s="200">
        <f>ROUND(AD373*AC373,2)</f>
        <v>2769.4</v>
      </c>
      <c r="AF373" s="956">
        <v>1</v>
      </c>
      <c r="AH373" s="130">
        <f t="shared" si="118"/>
        <v>-11.277000000000001</v>
      </c>
      <c r="AJ373" s="398">
        <f t="shared" si="119"/>
        <v>-301.09590000000003</v>
      </c>
      <c r="AK373" s="409"/>
      <c r="AL373" s="408"/>
      <c r="AM373" s="407"/>
      <c r="AN373" s="407"/>
      <c r="AO373" s="407"/>
      <c r="AP373" s="407"/>
      <c r="AQ373" s="407"/>
      <c r="AR373" s="129" t="s">
        <v>235</v>
      </c>
      <c r="AT373" s="129" t="s">
        <v>231</v>
      </c>
      <c r="AU373" s="129" t="s">
        <v>76</v>
      </c>
      <c r="AY373" s="13" t="s">
        <v>228</v>
      </c>
      <c r="BE373" s="130">
        <f>IF(N373="základná",J373,0)</f>
        <v>0</v>
      </c>
      <c r="BF373" s="130">
        <f>IF(N373="znížená",J373,0)</f>
        <v>3070.5</v>
      </c>
      <c r="BG373" s="130">
        <f>IF(N373="zákl. prenesená",J373,0)</f>
        <v>0</v>
      </c>
      <c r="BH373" s="130">
        <f>IF(N373="zníž. prenesená",J373,0)</f>
        <v>0</v>
      </c>
      <c r="BI373" s="130">
        <f>IF(N373="nulová",J373,0)</f>
        <v>0</v>
      </c>
      <c r="BJ373" s="13" t="s">
        <v>76</v>
      </c>
      <c r="BK373" s="130">
        <f>ROUND(I373*H373,2)</f>
        <v>3070.5</v>
      </c>
      <c r="BL373" s="13" t="s">
        <v>235</v>
      </c>
      <c r="BM373" s="129" t="s">
        <v>774</v>
      </c>
    </row>
    <row r="374" spans="2:65" s="1" customFormat="1" x14ac:dyDescent="0.2">
      <c r="B374" s="118"/>
      <c r="C374" s="242" t="s">
        <v>778</v>
      </c>
      <c r="D374" s="131" t="s">
        <v>277</v>
      </c>
      <c r="E374" s="132" t="s">
        <v>3410</v>
      </c>
      <c r="F374" s="133" t="s">
        <v>3411</v>
      </c>
      <c r="G374" s="134" t="s">
        <v>284</v>
      </c>
      <c r="H374" s="241">
        <v>120.75</v>
      </c>
      <c r="I374" s="136">
        <v>13.93</v>
      </c>
      <c r="J374" s="136">
        <f>ROUND(I374*H374,2)</f>
        <v>1682.05</v>
      </c>
      <c r="K374" s="133" t="s">
        <v>1</v>
      </c>
      <c r="L374" s="137"/>
      <c r="M374" s="138" t="s">
        <v>1</v>
      </c>
      <c r="N374" s="139" t="s">
        <v>32</v>
      </c>
      <c r="O374" s="127">
        <v>0</v>
      </c>
      <c r="P374" s="127">
        <f>O374*H374</f>
        <v>0</v>
      </c>
      <c r="Q374" s="127">
        <v>0</v>
      </c>
      <c r="R374" s="127">
        <f>Q374*H374</f>
        <v>0</v>
      </c>
      <c r="S374" s="127">
        <v>0</v>
      </c>
      <c r="T374" s="128">
        <f>S374*H374</f>
        <v>0</v>
      </c>
      <c r="W374" s="199"/>
      <c r="X374" s="242" t="s">
        <v>778</v>
      </c>
      <c r="Y374" s="131" t="s">
        <v>277</v>
      </c>
      <c r="Z374" s="132" t="s">
        <v>3410</v>
      </c>
      <c r="AA374" s="133" t="s">
        <v>3411</v>
      </c>
      <c r="AB374" s="134" t="s">
        <v>284</v>
      </c>
      <c r="AC374" s="241">
        <v>110.447</v>
      </c>
      <c r="AD374" s="136">
        <v>13.93</v>
      </c>
      <c r="AE374" s="229">
        <f>ROUND(AD374*AC374,2)</f>
        <v>1538.53</v>
      </c>
      <c r="AF374" s="956">
        <v>1</v>
      </c>
      <c r="AH374" s="130">
        <f t="shared" si="118"/>
        <v>-10.302999999999997</v>
      </c>
      <c r="AJ374" s="398">
        <f t="shared" si="119"/>
        <v>-143.52078999999995</v>
      </c>
      <c r="AK374" s="409"/>
      <c r="AL374" s="408"/>
      <c r="AM374" s="407"/>
      <c r="AN374" s="407"/>
      <c r="AO374" s="407"/>
      <c r="AP374" s="407"/>
      <c r="AQ374" s="407"/>
      <c r="AR374" s="129" t="s">
        <v>244</v>
      </c>
      <c r="AT374" s="129" t="s">
        <v>277</v>
      </c>
      <c r="AU374" s="129" t="s">
        <v>76</v>
      </c>
      <c r="AY374" s="13" t="s">
        <v>228</v>
      </c>
      <c r="BE374" s="130">
        <f>IF(N374="základná",J374,0)</f>
        <v>0</v>
      </c>
      <c r="BF374" s="130">
        <f>IF(N374="znížená",J374,0)</f>
        <v>1682.05</v>
      </c>
      <c r="BG374" s="130">
        <f>IF(N374="zákl. prenesená",J374,0)</f>
        <v>0</v>
      </c>
      <c r="BH374" s="130">
        <f>IF(N374="zníž. prenesená",J374,0)</f>
        <v>0</v>
      </c>
      <c r="BI374" s="130">
        <f>IF(N374="nulová",J374,0)</f>
        <v>0</v>
      </c>
      <c r="BJ374" s="13" t="s">
        <v>76</v>
      </c>
      <c r="BK374" s="130">
        <f>ROUND(I374*H374,2)</f>
        <v>1682.05</v>
      </c>
      <c r="BL374" s="13" t="s">
        <v>235</v>
      </c>
      <c r="BM374" s="129" t="s">
        <v>777</v>
      </c>
    </row>
    <row r="375" spans="2:65" s="1" customFormat="1" ht="22.8" x14ac:dyDescent="0.2">
      <c r="B375" s="118"/>
      <c r="C375" s="205" t="s">
        <v>504</v>
      </c>
      <c r="D375" s="119" t="s">
        <v>231</v>
      </c>
      <c r="E375" s="120" t="s">
        <v>3412</v>
      </c>
      <c r="F375" s="121" t="s">
        <v>3413</v>
      </c>
      <c r="G375" s="122" t="s">
        <v>570</v>
      </c>
      <c r="H375" s="206">
        <v>29.771999999999998</v>
      </c>
      <c r="I375" s="124">
        <v>4.12</v>
      </c>
      <c r="J375" s="124">
        <f>ROUND(I375*H375,2)</f>
        <v>122.66</v>
      </c>
      <c r="K375" s="121" t="s">
        <v>1</v>
      </c>
      <c r="L375" s="24"/>
      <c r="M375" s="125" t="s">
        <v>1</v>
      </c>
      <c r="N375" s="126" t="s">
        <v>32</v>
      </c>
      <c r="O375" s="127">
        <v>0</v>
      </c>
      <c r="P375" s="127">
        <f>O375*H375</f>
        <v>0</v>
      </c>
      <c r="Q375" s="127">
        <v>0</v>
      </c>
      <c r="R375" s="127">
        <f>Q375*H375</f>
        <v>0</v>
      </c>
      <c r="S375" s="127">
        <v>0</v>
      </c>
      <c r="T375" s="128">
        <f>S375*H375</f>
        <v>0</v>
      </c>
      <c r="W375" s="199"/>
      <c r="X375" s="205" t="s">
        <v>504</v>
      </c>
      <c r="Y375" s="119" t="s">
        <v>231</v>
      </c>
      <c r="Z375" s="120" t="s">
        <v>3412</v>
      </c>
      <c r="AA375" s="121" t="s">
        <v>3413</v>
      </c>
      <c r="AB375" s="122" t="s">
        <v>570</v>
      </c>
      <c r="AC375" s="206">
        <f>29.772-4.515</f>
        <v>25.256999999999998</v>
      </c>
      <c r="AD375" s="124">
        <v>4.13</v>
      </c>
      <c r="AE375" s="200">
        <f>ROUND(AD375*AC375,2)</f>
        <v>104.31</v>
      </c>
      <c r="AF375" s="956">
        <v>1</v>
      </c>
      <c r="AH375" s="130">
        <f t="shared" si="118"/>
        <v>-4.5150000000000006</v>
      </c>
      <c r="AJ375" s="398">
        <f t="shared" si="119"/>
        <v>-18.64695</v>
      </c>
      <c r="AK375" s="409"/>
      <c r="AL375" s="408"/>
      <c r="AM375" s="407"/>
      <c r="AN375" s="407"/>
      <c r="AO375" s="407"/>
      <c r="AP375" s="407"/>
      <c r="AQ375" s="407"/>
      <c r="AR375" s="129" t="s">
        <v>235</v>
      </c>
      <c r="AT375" s="129" t="s">
        <v>231</v>
      </c>
      <c r="AU375" s="129" t="s">
        <v>76</v>
      </c>
      <c r="AY375" s="13" t="s">
        <v>228</v>
      </c>
      <c r="BE375" s="130">
        <f>IF(N375="základná",J375,0)</f>
        <v>0</v>
      </c>
      <c r="BF375" s="130">
        <f>IF(N375="znížená",J375,0)</f>
        <v>122.66</v>
      </c>
      <c r="BG375" s="130">
        <f>IF(N375="zákl. prenesená",J375,0)</f>
        <v>0</v>
      </c>
      <c r="BH375" s="130">
        <f>IF(N375="zníž. prenesená",J375,0)</f>
        <v>0</v>
      </c>
      <c r="BI375" s="130">
        <f>IF(N375="nulová",J375,0)</f>
        <v>0</v>
      </c>
      <c r="BJ375" s="13" t="s">
        <v>76</v>
      </c>
      <c r="BK375" s="130">
        <f>ROUND(I375*H375,2)</f>
        <v>122.66</v>
      </c>
      <c r="BL375" s="13" t="s">
        <v>235</v>
      </c>
      <c r="BM375" s="129" t="s">
        <v>781</v>
      </c>
    </row>
    <row r="376" spans="2:65" s="11" customFormat="1" ht="22.95" customHeight="1" x14ac:dyDescent="0.25">
      <c r="B376" s="106"/>
      <c r="D376" s="107" t="s">
        <v>57</v>
      </c>
      <c r="E376" s="116" t="s">
        <v>822</v>
      </c>
      <c r="F376" s="116" t="s">
        <v>823</v>
      </c>
      <c r="J376" s="117">
        <f>BK376</f>
        <v>6018.3</v>
      </c>
      <c r="L376" s="106"/>
      <c r="M376" s="110"/>
      <c r="N376" s="111"/>
      <c r="O376" s="111"/>
      <c r="P376" s="112">
        <f>SUM(P377:P379)</f>
        <v>0</v>
      </c>
      <c r="Q376" s="111"/>
      <c r="R376" s="112">
        <f>SUM(R377:R379)</f>
        <v>0</v>
      </c>
      <c r="S376" s="111"/>
      <c r="T376" s="113">
        <f>SUM(T377:T379)</f>
        <v>0</v>
      </c>
      <c r="W376" s="195"/>
      <c r="X376" s="111"/>
      <c r="Y376" s="196" t="s">
        <v>57</v>
      </c>
      <c r="Z376" s="201" t="s">
        <v>822</v>
      </c>
      <c r="AA376" s="201" t="s">
        <v>823</v>
      </c>
      <c r="AB376" s="111"/>
      <c r="AC376" s="111"/>
      <c r="AD376" s="111"/>
      <c r="AE376" s="202">
        <f>SUM(AE377:AE379)</f>
        <v>5919.21</v>
      </c>
      <c r="AF376" s="956"/>
      <c r="AH376" s="130">
        <f t="shared" si="118"/>
        <v>0</v>
      </c>
      <c r="AJ376" s="398">
        <f t="shared" si="119"/>
        <v>0</v>
      </c>
      <c r="AK376" s="409"/>
      <c r="AL376" s="408"/>
      <c r="AM376" s="292"/>
      <c r="AN376" s="292"/>
      <c r="AO376" s="292"/>
      <c r="AP376" s="292"/>
      <c r="AQ376" s="292"/>
      <c r="AR376" s="107" t="s">
        <v>63</v>
      </c>
      <c r="AT376" s="114" t="s">
        <v>57</v>
      </c>
      <c r="AU376" s="114" t="s">
        <v>63</v>
      </c>
      <c r="AY376" s="107" t="s">
        <v>228</v>
      </c>
      <c r="BK376" s="115">
        <f>SUM(BK377:BK379)</f>
        <v>6018.3</v>
      </c>
    </row>
    <row r="377" spans="2:65" s="1" customFormat="1" ht="24" customHeight="1" x14ac:dyDescent="0.2">
      <c r="B377" s="118"/>
      <c r="C377" s="205" t="s">
        <v>787</v>
      </c>
      <c r="D377" s="119" t="s">
        <v>231</v>
      </c>
      <c r="E377" s="120" t="s">
        <v>3414</v>
      </c>
      <c r="F377" s="121" t="s">
        <v>3415</v>
      </c>
      <c r="G377" s="122" t="s">
        <v>284</v>
      </c>
      <c r="H377" s="206">
        <v>121.46</v>
      </c>
      <c r="I377" s="124">
        <v>12.77</v>
      </c>
      <c r="J377" s="124">
        <f>ROUND(I377*H377,2)</f>
        <v>1551.04</v>
      </c>
      <c r="K377" s="121" t="s">
        <v>1</v>
      </c>
      <c r="L377" s="24"/>
      <c r="M377" s="125" t="s">
        <v>1</v>
      </c>
      <c r="N377" s="126" t="s">
        <v>32</v>
      </c>
      <c r="O377" s="127">
        <v>0</v>
      </c>
      <c r="P377" s="127">
        <f>O377*H377</f>
        <v>0</v>
      </c>
      <c r="Q377" s="127">
        <v>0</v>
      </c>
      <c r="R377" s="127">
        <f>Q377*H377</f>
        <v>0</v>
      </c>
      <c r="S377" s="127">
        <v>0</v>
      </c>
      <c r="T377" s="128">
        <f>S377*H377</f>
        <v>0</v>
      </c>
      <c r="W377" s="199"/>
      <c r="X377" s="205" t="s">
        <v>787</v>
      </c>
      <c r="Y377" s="119" t="s">
        <v>231</v>
      </c>
      <c r="Z377" s="120" t="s">
        <v>3414</v>
      </c>
      <c r="AA377" s="121" t="s">
        <v>3415</v>
      </c>
      <c r="AB377" s="122" t="s">
        <v>284</v>
      </c>
      <c r="AC377" s="206">
        <v>119.535</v>
      </c>
      <c r="AD377" s="124">
        <v>12.77</v>
      </c>
      <c r="AE377" s="200">
        <f>ROUND(AD377*AC377,2)</f>
        <v>1526.46</v>
      </c>
      <c r="AF377" s="956"/>
      <c r="AH377" s="130">
        <f t="shared" si="118"/>
        <v>-1.9249999999999972</v>
      </c>
      <c r="AJ377" s="398">
        <f t="shared" si="119"/>
        <v>-24.582249999999963</v>
      </c>
      <c r="AK377" s="409"/>
      <c r="AL377" s="408"/>
      <c r="AM377" s="407"/>
      <c r="AN377" s="407"/>
      <c r="AO377" s="407"/>
      <c r="AP377" s="407"/>
      <c r="AQ377" s="407"/>
      <c r="AR377" s="129" t="s">
        <v>235</v>
      </c>
      <c r="AT377" s="129" t="s">
        <v>231</v>
      </c>
      <c r="AU377" s="129" t="s">
        <v>76</v>
      </c>
      <c r="AY377" s="13" t="s">
        <v>228</v>
      </c>
      <c r="BE377" s="130">
        <f>IF(N377="základná",J377,0)</f>
        <v>0</v>
      </c>
      <c r="BF377" s="130">
        <f>IF(N377="znížená",J377,0)</f>
        <v>1551.04</v>
      </c>
      <c r="BG377" s="130">
        <f>IF(N377="zákl. prenesená",J377,0)</f>
        <v>0</v>
      </c>
      <c r="BH377" s="130">
        <f>IF(N377="zníž. prenesená",J377,0)</f>
        <v>0</v>
      </c>
      <c r="BI377" s="130">
        <f>IF(N377="nulová",J377,0)</f>
        <v>0</v>
      </c>
      <c r="BJ377" s="13" t="s">
        <v>76</v>
      </c>
      <c r="BK377" s="130">
        <f>ROUND(I377*H377,2)</f>
        <v>1551.04</v>
      </c>
      <c r="BL377" s="13" t="s">
        <v>235</v>
      </c>
      <c r="BM377" s="129" t="s">
        <v>784</v>
      </c>
    </row>
    <row r="378" spans="2:65" s="1" customFormat="1" ht="16.5" customHeight="1" x14ac:dyDescent="0.2">
      <c r="B378" s="118"/>
      <c r="C378" s="242" t="s">
        <v>507</v>
      </c>
      <c r="D378" s="131" t="s">
        <v>277</v>
      </c>
      <c r="E378" s="132" t="s">
        <v>3416</v>
      </c>
      <c r="F378" s="133" t="s">
        <v>3417</v>
      </c>
      <c r="G378" s="134" t="s">
        <v>284</v>
      </c>
      <c r="H378" s="241">
        <v>125.104</v>
      </c>
      <c r="I378" s="136">
        <v>34.83</v>
      </c>
      <c r="J378" s="136">
        <f>ROUND(I378*H378,2)</f>
        <v>4357.37</v>
      </c>
      <c r="K378" s="133" t="s">
        <v>1</v>
      </c>
      <c r="L378" s="137"/>
      <c r="M378" s="138" t="s">
        <v>1</v>
      </c>
      <c r="N378" s="139" t="s">
        <v>32</v>
      </c>
      <c r="O378" s="127">
        <v>0</v>
      </c>
      <c r="P378" s="127">
        <f>O378*H378</f>
        <v>0</v>
      </c>
      <c r="Q378" s="127">
        <v>0</v>
      </c>
      <c r="R378" s="127">
        <f>Q378*H378</f>
        <v>0</v>
      </c>
      <c r="S378" s="127">
        <v>0</v>
      </c>
      <c r="T378" s="128">
        <f>S378*H378</f>
        <v>0</v>
      </c>
      <c r="W378" s="199"/>
      <c r="X378" s="242" t="s">
        <v>507</v>
      </c>
      <c r="Y378" s="131" t="s">
        <v>277</v>
      </c>
      <c r="Z378" s="132" t="s">
        <v>3416</v>
      </c>
      <c r="AA378" s="133" t="s">
        <v>3417</v>
      </c>
      <c r="AB378" s="134" t="s">
        <v>284</v>
      </c>
      <c r="AC378" s="241">
        <v>123.121</v>
      </c>
      <c r="AD378" s="136">
        <v>34.83</v>
      </c>
      <c r="AE378" s="229">
        <f>ROUND(AD378*AC378,2)</f>
        <v>4288.3</v>
      </c>
      <c r="AF378" s="956"/>
      <c r="AH378" s="130">
        <f t="shared" si="118"/>
        <v>-1.9830000000000041</v>
      </c>
      <c r="AJ378" s="398">
        <f t="shared" si="119"/>
        <v>-69.067890000000133</v>
      </c>
      <c r="AK378" s="409"/>
      <c r="AL378" s="408"/>
      <c r="AM378" s="407"/>
      <c r="AN378" s="407"/>
      <c r="AO378" s="407"/>
      <c r="AP378" s="407"/>
      <c r="AQ378" s="407"/>
      <c r="AR378" s="129" t="s">
        <v>244</v>
      </c>
      <c r="AT378" s="129" t="s">
        <v>277</v>
      </c>
      <c r="AU378" s="129" t="s">
        <v>76</v>
      </c>
      <c r="AY378" s="13" t="s">
        <v>228</v>
      </c>
      <c r="BE378" s="130">
        <f>IF(N378="základná",J378,0)</f>
        <v>0</v>
      </c>
      <c r="BF378" s="130">
        <f>IF(N378="znížená",J378,0)</f>
        <v>4357.37</v>
      </c>
      <c r="BG378" s="130">
        <f>IF(N378="zákl. prenesená",J378,0)</f>
        <v>0</v>
      </c>
      <c r="BH378" s="130">
        <f>IF(N378="zníž. prenesená",J378,0)</f>
        <v>0</v>
      </c>
      <c r="BI378" s="130">
        <f>IF(N378="nulová",J378,0)</f>
        <v>0</v>
      </c>
      <c r="BJ378" s="13" t="s">
        <v>76</v>
      </c>
      <c r="BK378" s="130">
        <f>ROUND(I378*H378,2)</f>
        <v>4357.37</v>
      </c>
      <c r="BL378" s="13" t="s">
        <v>235</v>
      </c>
      <c r="BM378" s="129" t="s">
        <v>790</v>
      </c>
    </row>
    <row r="379" spans="2:65" s="1" customFormat="1" ht="24" customHeight="1" x14ac:dyDescent="0.2">
      <c r="B379" s="118"/>
      <c r="C379" s="205" t="s">
        <v>794</v>
      </c>
      <c r="D379" s="119" t="s">
        <v>231</v>
      </c>
      <c r="E379" s="120" t="s">
        <v>3418</v>
      </c>
      <c r="F379" s="121" t="s">
        <v>3419</v>
      </c>
      <c r="G379" s="122" t="s">
        <v>570</v>
      </c>
      <c r="H379" s="206">
        <v>18.914000000000001</v>
      </c>
      <c r="I379" s="124">
        <v>5.81</v>
      </c>
      <c r="J379" s="124">
        <f>ROUND(I379*H379,2)</f>
        <v>109.89</v>
      </c>
      <c r="K379" s="121" t="s">
        <v>1</v>
      </c>
      <c r="L379" s="24"/>
      <c r="M379" s="125" t="s">
        <v>1</v>
      </c>
      <c r="N379" s="126" t="s">
        <v>32</v>
      </c>
      <c r="O379" s="127">
        <v>0</v>
      </c>
      <c r="P379" s="127">
        <f>O379*H379</f>
        <v>0</v>
      </c>
      <c r="Q379" s="127">
        <v>0</v>
      </c>
      <c r="R379" s="127">
        <f>Q379*H379</f>
        <v>0</v>
      </c>
      <c r="S379" s="127">
        <v>0</v>
      </c>
      <c r="T379" s="128">
        <f>S379*H379</f>
        <v>0</v>
      </c>
      <c r="W379" s="199"/>
      <c r="X379" s="205" t="s">
        <v>794</v>
      </c>
      <c r="Y379" s="119" t="s">
        <v>231</v>
      </c>
      <c r="Z379" s="120" t="s">
        <v>3418</v>
      </c>
      <c r="AA379" s="121" t="s">
        <v>3419</v>
      </c>
      <c r="AB379" s="122" t="s">
        <v>570</v>
      </c>
      <c r="AC379" s="206">
        <f>18.914-0.937</f>
        <v>17.977</v>
      </c>
      <c r="AD379" s="124">
        <v>5.81</v>
      </c>
      <c r="AE379" s="200">
        <f>ROUND(AD379*AC379,2)</f>
        <v>104.45</v>
      </c>
      <c r="AF379" s="956">
        <v>1</v>
      </c>
      <c r="AH379" s="130">
        <f t="shared" si="118"/>
        <v>-0.93700000000000117</v>
      </c>
      <c r="AJ379" s="398">
        <f t="shared" si="119"/>
        <v>-5.4439700000000064</v>
      </c>
      <c r="AK379" s="409"/>
      <c r="AL379" s="408"/>
      <c r="AM379" s="407"/>
      <c r="AN379" s="407"/>
      <c r="AO379" s="407"/>
      <c r="AP379" s="407"/>
      <c r="AQ379" s="407"/>
      <c r="AR379" s="129" t="s">
        <v>235</v>
      </c>
      <c r="AT379" s="129" t="s">
        <v>231</v>
      </c>
      <c r="AU379" s="129" t="s">
        <v>76</v>
      </c>
      <c r="AY379" s="13" t="s">
        <v>228</v>
      </c>
      <c r="BE379" s="130">
        <f>IF(N379="základná",J379,0)</f>
        <v>0</v>
      </c>
      <c r="BF379" s="130">
        <f>IF(N379="znížená",J379,0)</f>
        <v>109.89</v>
      </c>
      <c r="BG379" s="130">
        <f>IF(N379="zákl. prenesená",J379,0)</f>
        <v>0</v>
      </c>
      <c r="BH379" s="130">
        <f>IF(N379="zníž. prenesená",J379,0)</f>
        <v>0</v>
      </c>
      <c r="BI379" s="130">
        <f>IF(N379="nulová",J379,0)</f>
        <v>0</v>
      </c>
      <c r="BJ379" s="13" t="s">
        <v>76</v>
      </c>
      <c r="BK379" s="130">
        <f>ROUND(I379*H379,2)</f>
        <v>109.89</v>
      </c>
      <c r="BL379" s="13" t="s">
        <v>235</v>
      </c>
      <c r="BM379" s="129" t="s">
        <v>793</v>
      </c>
    </row>
    <row r="380" spans="2:65" s="11" customFormat="1" ht="22.95" customHeight="1" x14ac:dyDescent="0.25">
      <c r="B380" s="106"/>
      <c r="D380" s="107" t="s">
        <v>57</v>
      </c>
      <c r="E380" s="116" t="s">
        <v>3420</v>
      </c>
      <c r="F380" s="116" t="s">
        <v>3421</v>
      </c>
      <c r="J380" s="117">
        <f>BK380</f>
        <v>2320.5100000000002</v>
      </c>
      <c r="L380" s="106"/>
      <c r="M380" s="110"/>
      <c r="N380" s="111"/>
      <c r="O380" s="111"/>
      <c r="P380" s="112">
        <f>SUM(P381:P382)</f>
        <v>0</v>
      </c>
      <c r="Q380" s="111"/>
      <c r="R380" s="112">
        <f>SUM(R381:R382)</f>
        <v>0</v>
      </c>
      <c r="S380" s="111"/>
      <c r="T380" s="113">
        <f>SUM(T381:T382)</f>
        <v>0</v>
      </c>
      <c r="W380" s="195"/>
      <c r="X380" s="111"/>
      <c r="Y380" s="196" t="s">
        <v>57</v>
      </c>
      <c r="Z380" s="201" t="s">
        <v>3420</v>
      </c>
      <c r="AA380" s="201" t="s">
        <v>3421</v>
      </c>
      <c r="AB380" s="111"/>
      <c r="AC380" s="111"/>
      <c r="AD380" s="111"/>
      <c r="AE380" s="202">
        <f>SUM(AE381:AE382)</f>
        <v>2320.5100000000002</v>
      </c>
      <c r="AF380" s="956"/>
      <c r="AH380" s="130">
        <f t="shared" si="118"/>
        <v>0</v>
      </c>
      <c r="AJ380" s="398">
        <f t="shared" si="119"/>
        <v>0</v>
      </c>
      <c r="AK380" s="409"/>
      <c r="AL380" s="408"/>
      <c r="AM380" s="292"/>
      <c r="AN380" s="292"/>
      <c r="AO380" s="292"/>
      <c r="AP380" s="292"/>
      <c r="AQ380" s="292"/>
      <c r="AR380" s="107" t="s">
        <v>63</v>
      </c>
      <c r="AT380" s="114" t="s">
        <v>57</v>
      </c>
      <c r="AU380" s="114" t="s">
        <v>63</v>
      </c>
      <c r="AY380" s="107" t="s">
        <v>228</v>
      </c>
      <c r="BK380" s="115">
        <f>SUM(BK381:BK382)</f>
        <v>2320.5100000000002</v>
      </c>
    </row>
    <row r="381" spans="2:65" s="1" customFormat="1" ht="16.5" customHeight="1" x14ac:dyDescent="0.2">
      <c r="B381" s="118"/>
      <c r="C381" s="119" t="s">
        <v>511</v>
      </c>
      <c r="D381" s="119" t="s">
        <v>231</v>
      </c>
      <c r="E381" s="120" t="s">
        <v>3422</v>
      </c>
      <c r="F381" s="121" t="s">
        <v>3423</v>
      </c>
      <c r="G381" s="122" t="s">
        <v>284</v>
      </c>
      <c r="H381" s="123">
        <v>281.97800000000001</v>
      </c>
      <c r="I381" s="124">
        <v>8.1300000000000008</v>
      </c>
      <c r="J381" s="124">
        <f>ROUND(I381*H381,2)</f>
        <v>2292.48</v>
      </c>
      <c r="K381" s="121" t="s">
        <v>1</v>
      </c>
      <c r="L381" s="24"/>
      <c r="M381" s="125" t="s">
        <v>1</v>
      </c>
      <c r="N381" s="126" t="s">
        <v>32</v>
      </c>
      <c r="O381" s="127">
        <v>0</v>
      </c>
      <c r="P381" s="127">
        <f>O381*H381</f>
        <v>0</v>
      </c>
      <c r="Q381" s="127">
        <v>0</v>
      </c>
      <c r="R381" s="127">
        <f>Q381*H381</f>
        <v>0</v>
      </c>
      <c r="S381" s="127">
        <v>0</v>
      </c>
      <c r="T381" s="128">
        <f>S381*H381</f>
        <v>0</v>
      </c>
      <c r="W381" s="199"/>
      <c r="X381" s="119" t="s">
        <v>511</v>
      </c>
      <c r="Y381" s="119" t="s">
        <v>231</v>
      </c>
      <c r="Z381" s="120" t="s">
        <v>3422</v>
      </c>
      <c r="AA381" s="121" t="s">
        <v>3423</v>
      </c>
      <c r="AB381" s="122" t="s">
        <v>284</v>
      </c>
      <c r="AC381" s="123">
        <v>281.97800000000001</v>
      </c>
      <c r="AD381" s="124">
        <v>8.1300000000000008</v>
      </c>
      <c r="AE381" s="200">
        <f>ROUND(AD381*AC381,2)</f>
        <v>2292.48</v>
      </c>
      <c r="AF381" s="956"/>
      <c r="AH381" s="130">
        <f t="shared" si="118"/>
        <v>0</v>
      </c>
      <c r="AJ381" s="398">
        <f t="shared" si="119"/>
        <v>0</v>
      </c>
      <c r="AK381" s="409"/>
      <c r="AL381" s="408"/>
      <c r="AM381" s="407"/>
      <c r="AN381" s="407"/>
      <c r="AO381" s="407"/>
      <c r="AP381" s="407"/>
      <c r="AQ381" s="407"/>
      <c r="AR381" s="129" t="s">
        <v>235</v>
      </c>
      <c r="AT381" s="129" t="s">
        <v>231</v>
      </c>
      <c r="AU381" s="129" t="s">
        <v>76</v>
      </c>
      <c r="AY381" s="13" t="s">
        <v>228</v>
      </c>
      <c r="BE381" s="130">
        <f>IF(N381="základná",J381,0)</f>
        <v>0</v>
      </c>
      <c r="BF381" s="130">
        <f>IF(N381="znížená",J381,0)</f>
        <v>2292.48</v>
      </c>
      <c r="BG381" s="130">
        <f>IF(N381="zákl. prenesená",J381,0)</f>
        <v>0</v>
      </c>
      <c r="BH381" s="130">
        <f>IF(N381="zníž. prenesená",J381,0)</f>
        <v>0</v>
      </c>
      <c r="BI381" s="130">
        <f>IF(N381="nulová",J381,0)</f>
        <v>0</v>
      </c>
      <c r="BJ381" s="13" t="s">
        <v>76</v>
      </c>
      <c r="BK381" s="130">
        <f>ROUND(I381*H381,2)</f>
        <v>2292.48</v>
      </c>
      <c r="BL381" s="13" t="s">
        <v>235</v>
      </c>
      <c r="BM381" s="129" t="s">
        <v>797</v>
      </c>
    </row>
    <row r="382" spans="2:65" s="1" customFormat="1" ht="24" customHeight="1" x14ac:dyDescent="0.2">
      <c r="B382" s="118"/>
      <c r="C382" s="119" t="s">
        <v>801</v>
      </c>
      <c r="D382" s="119" t="s">
        <v>231</v>
      </c>
      <c r="E382" s="120" t="s">
        <v>3424</v>
      </c>
      <c r="F382" s="121" t="s">
        <v>3425</v>
      </c>
      <c r="G382" s="122" t="s">
        <v>570</v>
      </c>
      <c r="H382" s="123">
        <v>34.598999999999997</v>
      </c>
      <c r="I382" s="124">
        <v>0.81</v>
      </c>
      <c r="J382" s="124">
        <f>ROUND(I382*H382,2)</f>
        <v>28.03</v>
      </c>
      <c r="K382" s="121" t="s">
        <v>1</v>
      </c>
      <c r="L382" s="24"/>
      <c r="M382" s="125" t="s">
        <v>1</v>
      </c>
      <c r="N382" s="126" t="s">
        <v>32</v>
      </c>
      <c r="O382" s="127">
        <v>0</v>
      </c>
      <c r="P382" s="127">
        <f>O382*H382</f>
        <v>0</v>
      </c>
      <c r="Q382" s="127">
        <v>0</v>
      </c>
      <c r="R382" s="127">
        <f>Q382*H382</f>
        <v>0</v>
      </c>
      <c r="S382" s="127">
        <v>0</v>
      </c>
      <c r="T382" s="128">
        <f>S382*H382</f>
        <v>0</v>
      </c>
      <c r="W382" s="199"/>
      <c r="X382" s="119" t="s">
        <v>801</v>
      </c>
      <c r="Y382" s="119" t="s">
        <v>231</v>
      </c>
      <c r="Z382" s="120" t="s">
        <v>3424</v>
      </c>
      <c r="AA382" s="121" t="s">
        <v>3425</v>
      </c>
      <c r="AB382" s="122" t="s">
        <v>570</v>
      </c>
      <c r="AC382" s="288">
        <v>34.598999999999997</v>
      </c>
      <c r="AD382" s="124">
        <v>0.81</v>
      </c>
      <c r="AE382" s="200">
        <f>ROUND(AD382*AC382,2)</f>
        <v>28.03</v>
      </c>
      <c r="AF382" s="956"/>
      <c r="AH382" s="130">
        <f t="shared" si="118"/>
        <v>0</v>
      </c>
      <c r="AJ382" s="398">
        <f t="shared" si="119"/>
        <v>0</v>
      </c>
      <c r="AK382" s="409"/>
      <c r="AL382" s="408"/>
      <c r="AM382" s="407"/>
      <c r="AN382" s="407"/>
      <c r="AO382" s="407"/>
      <c r="AP382" s="407"/>
      <c r="AQ382" s="407"/>
      <c r="AR382" s="129" t="s">
        <v>235</v>
      </c>
      <c r="AT382" s="129" t="s">
        <v>231</v>
      </c>
      <c r="AU382" s="129" t="s">
        <v>76</v>
      </c>
      <c r="AY382" s="13" t="s">
        <v>228</v>
      </c>
      <c r="BE382" s="130">
        <f>IF(N382="základná",J382,0)</f>
        <v>0</v>
      </c>
      <c r="BF382" s="130">
        <f>IF(N382="znížená",J382,0)</f>
        <v>28.03</v>
      </c>
      <c r="BG382" s="130">
        <f>IF(N382="zákl. prenesená",J382,0)</f>
        <v>0</v>
      </c>
      <c r="BH382" s="130">
        <f>IF(N382="zníž. prenesená",J382,0)</f>
        <v>0</v>
      </c>
      <c r="BI382" s="130">
        <f>IF(N382="nulová",J382,0)</f>
        <v>0</v>
      </c>
      <c r="BJ382" s="13" t="s">
        <v>76</v>
      </c>
      <c r="BK382" s="130">
        <f>ROUND(I382*H382,2)</f>
        <v>28.03</v>
      </c>
      <c r="BL382" s="13" t="s">
        <v>235</v>
      </c>
      <c r="BM382" s="129" t="s">
        <v>800</v>
      </c>
    </row>
    <row r="383" spans="2:65" s="11" customFormat="1" ht="22.95" customHeight="1" x14ac:dyDescent="0.25">
      <c r="B383" s="106"/>
      <c r="D383" s="107" t="s">
        <v>57</v>
      </c>
      <c r="E383" s="116" t="s">
        <v>863</v>
      </c>
      <c r="F383" s="116" t="s">
        <v>3426</v>
      </c>
      <c r="J383" s="117">
        <f>BK383</f>
        <v>5356.32</v>
      </c>
      <c r="L383" s="106"/>
      <c r="M383" s="110"/>
      <c r="N383" s="111"/>
      <c r="O383" s="111"/>
      <c r="P383" s="112">
        <f>SUM(P384:P386)</f>
        <v>0</v>
      </c>
      <c r="Q383" s="111"/>
      <c r="R383" s="112">
        <f>SUM(R384:R386)</f>
        <v>0</v>
      </c>
      <c r="S383" s="111"/>
      <c r="T383" s="113">
        <f>SUM(T384:T386)</f>
        <v>0</v>
      </c>
      <c r="W383" s="195"/>
      <c r="X383" s="111"/>
      <c r="Y383" s="196" t="s">
        <v>57</v>
      </c>
      <c r="Z383" s="201" t="s">
        <v>863</v>
      </c>
      <c r="AA383" s="201" t="s">
        <v>3426</v>
      </c>
      <c r="AB383" s="111"/>
      <c r="AC383" s="111"/>
      <c r="AD383" s="111"/>
      <c r="AE383" s="202">
        <f>SUM(AE384:AE386)</f>
        <v>5248.0499999999993</v>
      </c>
      <c r="AF383" s="956"/>
      <c r="AH383" s="130">
        <f t="shared" si="118"/>
        <v>0</v>
      </c>
      <c r="AJ383" s="398">
        <f t="shared" si="119"/>
        <v>0</v>
      </c>
      <c r="AK383" s="409"/>
      <c r="AL383" s="408"/>
      <c r="AM383" s="292"/>
      <c r="AN383" s="292"/>
      <c r="AO383" s="292"/>
      <c r="AP383" s="292"/>
      <c r="AQ383" s="292"/>
      <c r="AR383" s="107" t="s">
        <v>63</v>
      </c>
      <c r="AT383" s="114" t="s">
        <v>57</v>
      </c>
      <c r="AU383" s="114" t="s">
        <v>63</v>
      </c>
      <c r="AY383" s="107" t="s">
        <v>228</v>
      </c>
      <c r="BK383" s="115">
        <f>SUM(BK384:BK386)</f>
        <v>5356.32</v>
      </c>
    </row>
    <row r="384" spans="2:65" s="1" customFormat="1" ht="24" customHeight="1" x14ac:dyDescent="0.2">
      <c r="B384" s="118"/>
      <c r="C384" s="205" t="s">
        <v>514</v>
      </c>
      <c r="D384" s="119" t="s">
        <v>231</v>
      </c>
      <c r="E384" s="120" t="s">
        <v>3427</v>
      </c>
      <c r="F384" s="121" t="s">
        <v>3428</v>
      </c>
      <c r="G384" s="122" t="s">
        <v>284</v>
      </c>
      <c r="H384" s="206">
        <v>128.62299999999999</v>
      </c>
      <c r="I384" s="124">
        <v>26.7</v>
      </c>
      <c r="J384" s="124">
        <f>ROUND(I384*H384,2)</f>
        <v>3434.23</v>
      </c>
      <c r="K384" s="121" t="s">
        <v>1</v>
      </c>
      <c r="L384" s="24"/>
      <c r="M384" s="125" t="s">
        <v>1</v>
      </c>
      <c r="N384" s="126" t="s">
        <v>32</v>
      </c>
      <c r="O384" s="127">
        <v>0</v>
      </c>
      <c r="P384" s="127">
        <f>O384*H384</f>
        <v>0</v>
      </c>
      <c r="Q384" s="127">
        <v>0</v>
      </c>
      <c r="R384" s="127">
        <f>Q384*H384</f>
        <v>0</v>
      </c>
      <c r="S384" s="127">
        <v>0</v>
      </c>
      <c r="T384" s="128">
        <f>S384*H384</f>
        <v>0</v>
      </c>
      <c r="W384" s="199"/>
      <c r="X384" s="205" t="s">
        <v>514</v>
      </c>
      <c r="Y384" s="119" t="s">
        <v>231</v>
      </c>
      <c r="Z384" s="120" t="s">
        <v>3427</v>
      </c>
      <c r="AA384" s="121" t="s">
        <v>3428</v>
      </c>
      <c r="AB384" s="122" t="s">
        <v>284</v>
      </c>
      <c r="AC384" s="206">
        <v>125.184</v>
      </c>
      <c r="AD384" s="124">
        <v>26.7</v>
      </c>
      <c r="AE384" s="200">
        <f>ROUND(AD384*AC384,2)</f>
        <v>3342.41</v>
      </c>
      <c r="AF384" s="956">
        <v>1</v>
      </c>
      <c r="AH384" s="130">
        <f t="shared" si="118"/>
        <v>-3.438999999999993</v>
      </c>
      <c r="AJ384" s="398">
        <f t="shared" si="119"/>
        <v>-91.821299999999809</v>
      </c>
      <c r="AK384" s="409"/>
      <c r="AL384" s="408"/>
      <c r="AM384" s="407"/>
      <c r="AN384" s="407"/>
      <c r="AO384" s="407"/>
      <c r="AP384" s="407"/>
      <c r="AQ384" s="407"/>
      <c r="AR384" s="129" t="s">
        <v>235</v>
      </c>
      <c r="AT384" s="129" t="s">
        <v>231</v>
      </c>
      <c r="AU384" s="129" t="s">
        <v>76</v>
      </c>
      <c r="AY384" s="13" t="s">
        <v>228</v>
      </c>
      <c r="BE384" s="130">
        <f>IF(N384="základná",J384,0)</f>
        <v>0</v>
      </c>
      <c r="BF384" s="130">
        <f>IF(N384="znížená",J384,0)</f>
        <v>3434.23</v>
      </c>
      <c r="BG384" s="130">
        <f>IF(N384="zákl. prenesená",J384,0)</f>
        <v>0</v>
      </c>
      <c r="BH384" s="130">
        <f>IF(N384="zníž. prenesená",J384,0)</f>
        <v>0</v>
      </c>
      <c r="BI384" s="130">
        <f>IF(N384="nulová",J384,0)</f>
        <v>0</v>
      </c>
      <c r="BJ384" s="13" t="s">
        <v>76</v>
      </c>
      <c r="BK384" s="130">
        <f>ROUND(I384*H384,2)</f>
        <v>3434.23</v>
      </c>
      <c r="BL384" s="13" t="s">
        <v>235</v>
      </c>
      <c r="BM384" s="129" t="s">
        <v>804</v>
      </c>
    </row>
    <row r="385" spans="2:65" s="1" customFormat="1" ht="16.5" customHeight="1" x14ac:dyDescent="0.2">
      <c r="B385" s="118"/>
      <c r="C385" s="242" t="s">
        <v>808</v>
      </c>
      <c r="D385" s="131" t="s">
        <v>277</v>
      </c>
      <c r="E385" s="132" t="s">
        <v>3429</v>
      </c>
      <c r="F385" s="133" t="s">
        <v>3430</v>
      </c>
      <c r="G385" s="134" t="s">
        <v>284</v>
      </c>
      <c r="H385" s="241">
        <v>131.19499999999999</v>
      </c>
      <c r="I385" s="136">
        <v>13.93</v>
      </c>
      <c r="J385" s="136">
        <f>ROUND(I385*H385,2)</f>
        <v>1827.55</v>
      </c>
      <c r="K385" s="133" t="s">
        <v>1</v>
      </c>
      <c r="L385" s="137"/>
      <c r="M385" s="138" t="s">
        <v>1</v>
      </c>
      <c r="N385" s="139" t="s">
        <v>32</v>
      </c>
      <c r="O385" s="127">
        <v>0</v>
      </c>
      <c r="P385" s="127">
        <f>O385*H385</f>
        <v>0</v>
      </c>
      <c r="Q385" s="127">
        <v>0</v>
      </c>
      <c r="R385" s="127">
        <f>Q385*H385</f>
        <v>0</v>
      </c>
      <c r="S385" s="127">
        <v>0</v>
      </c>
      <c r="T385" s="128">
        <f>S385*H385</f>
        <v>0</v>
      </c>
      <c r="W385" s="199"/>
      <c r="X385" s="242" t="s">
        <v>808</v>
      </c>
      <c r="Y385" s="131" t="s">
        <v>277</v>
      </c>
      <c r="Z385" s="132" t="s">
        <v>3429</v>
      </c>
      <c r="AA385" s="133" t="s">
        <v>3430</v>
      </c>
      <c r="AB385" s="134" t="s">
        <v>284</v>
      </c>
      <c r="AC385" s="241">
        <v>130.191</v>
      </c>
      <c r="AD385" s="136">
        <v>13.93</v>
      </c>
      <c r="AE385" s="229">
        <f>ROUND(AD385*AC385,2)</f>
        <v>1813.56</v>
      </c>
      <c r="AF385" s="956">
        <v>1</v>
      </c>
      <c r="AH385" s="130">
        <f t="shared" si="118"/>
        <v>-1.0039999999999907</v>
      </c>
      <c r="AJ385" s="398">
        <f t="shared" si="119"/>
        <v>-13.985719999999869</v>
      </c>
      <c r="AK385" s="409"/>
      <c r="AL385" s="408"/>
      <c r="AM385" s="407"/>
      <c r="AN385" s="407"/>
      <c r="AO385" s="407"/>
      <c r="AP385" s="407"/>
      <c r="AQ385" s="407"/>
      <c r="AR385" s="129" t="s">
        <v>244</v>
      </c>
      <c r="AT385" s="129" t="s">
        <v>277</v>
      </c>
      <c r="AU385" s="129" t="s">
        <v>76</v>
      </c>
      <c r="AY385" s="13" t="s">
        <v>228</v>
      </c>
      <c r="BE385" s="130">
        <f>IF(N385="základná",J385,0)</f>
        <v>0</v>
      </c>
      <c r="BF385" s="130">
        <f>IF(N385="znížená",J385,0)</f>
        <v>1827.55</v>
      </c>
      <c r="BG385" s="130">
        <f>IF(N385="zákl. prenesená",J385,0)</f>
        <v>0</v>
      </c>
      <c r="BH385" s="130">
        <f>IF(N385="zníž. prenesená",J385,0)</f>
        <v>0</v>
      </c>
      <c r="BI385" s="130">
        <f>IF(N385="nulová",J385,0)</f>
        <v>0</v>
      </c>
      <c r="BJ385" s="13" t="s">
        <v>76</v>
      </c>
      <c r="BK385" s="130">
        <f>ROUND(I385*H385,2)</f>
        <v>1827.55</v>
      </c>
      <c r="BL385" s="13" t="s">
        <v>235</v>
      </c>
      <c r="BM385" s="129" t="s">
        <v>807</v>
      </c>
    </row>
    <row r="386" spans="2:65" s="1" customFormat="1" ht="24" customHeight="1" x14ac:dyDescent="0.2">
      <c r="B386" s="118"/>
      <c r="C386" s="205" t="s">
        <v>518</v>
      </c>
      <c r="D386" s="119" t="s">
        <v>231</v>
      </c>
      <c r="E386" s="120" t="s">
        <v>3431</v>
      </c>
      <c r="F386" s="121" t="s">
        <v>3432</v>
      </c>
      <c r="G386" s="122" t="s">
        <v>570</v>
      </c>
      <c r="H386" s="206">
        <v>40.747999999999998</v>
      </c>
      <c r="I386" s="124">
        <v>2.3199999999999998</v>
      </c>
      <c r="J386" s="124">
        <f>ROUND(I386*H386,2)</f>
        <v>94.54</v>
      </c>
      <c r="K386" s="121" t="s">
        <v>1</v>
      </c>
      <c r="L386" s="24"/>
      <c r="M386" s="125" t="s">
        <v>1</v>
      </c>
      <c r="N386" s="126" t="s">
        <v>32</v>
      </c>
      <c r="O386" s="127">
        <v>0</v>
      </c>
      <c r="P386" s="127">
        <f>O386*H386</f>
        <v>0</v>
      </c>
      <c r="Q386" s="127">
        <v>0</v>
      </c>
      <c r="R386" s="127">
        <f>Q386*H386</f>
        <v>0</v>
      </c>
      <c r="S386" s="127">
        <v>0</v>
      </c>
      <c r="T386" s="128">
        <f>S386*H386</f>
        <v>0</v>
      </c>
      <c r="W386" s="199"/>
      <c r="X386" s="205" t="s">
        <v>518</v>
      </c>
      <c r="Y386" s="119" t="s">
        <v>231</v>
      </c>
      <c r="Z386" s="120" t="s">
        <v>3431</v>
      </c>
      <c r="AA386" s="121" t="s">
        <v>3432</v>
      </c>
      <c r="AB386" s="122" t="s">
        <v>570</v>
      </c>
      <c r="AC386" s="206">
        <f>40.748-1.06</f>
        <v>39.687999999999995</v>
      </c>
      <c r="AD386" s="124">
        <v>2.3199999999999998</v>
      </c>
      <c r="AE386" s="200">
        <f>ROUND(AD386*AC386,2)</f>
        <v>92.08</v>
      </c>
      <c r="AF386" s="956">
        <v>1</v>
      </c>
      <c r="AH386" s="130">
        <f t="shared" si="118"/>
        <v>-1.0600000000000023</v>
      </c>
      <c r="AJ386" s="398">
        <f t="shared" si="119"/>
        <v>-2.4592000000000049</v>
      </c>
      <c r="AK386" s="409"/>
      <c r="AL386" s="408"/>
      <c r="AM386" s="407"/>
      <c r="AN386" s="407"/>
      <c r="AO386" s="407"/>
      <c r="AP386" s="407"/>
      <c r="AQ386" s="407"/>
      <c r="AR386" s="129" t="s">
        <v>235</v>
      </c>
      <c r="AT386" s="129" t="s">
        <v>231</v>
      </c>
      <c r="AU386" s="129" t="s">
        <v>76</v>
      </c>
      <c r="AY386" s="13" t="s">
        <v>228</v>
      </c>
      <c r="BE386" s="130">
        <f>IF(N386="základná",J386,0)</f>
        <v>0</v>
      </c>
      <c r="BF386" s="130">
        <f>IF(N386="znížená",J386,0)</f>
        <v>94.54</v>
      </c>
      <c r="BG386" s="130">
        <f>IF(N386="zákl. prenesená",J386,0)</f>
        <v>0</v>
      </c>
      <c r="BH386" s="130">
        <f>IF(N386="zníž. prenesená",J386,0)</f>
        <v>0</v>
      </c>
      <c r="BI386" s="130">
        <f>IF(N386="nulová",J386,0)</f>
        <v>0</v>
      </c>
      <c r="BJ386" s="13" t="s">
        <v>76</v>
      </c>
      <c r="BK386" s="130">
        <f>ROUND(I386*H386,2)</f>
        <v>94.54</v>
      </c>
      <c r="BL386" s="13" t="s">
        <v>235</v>
      </c>
      <c r="BM386" s="129" t="s">
        <v>811</v>
      </c>
    </row>
    <row r="387" spans="2:65" s="11" customFormat="1" ht="22.95" customHeight="1" x14ac:dyDescent="0.25">
      <c r="B387" s="106"/>
      <c r="D387" s="107" t="s">
        <v>57</v>
      </c>
      <c r="E387" s="116" t="s">
        <v>3433</v>
      </c>
      <c r="F387" s="116" t="s">
        <v>3434</v>
      </c>
      <c r="J387" s="117">
        <f>BK387</f>
        <v>2408.65</v>
      </c>
      <c r="L387" s="106"/>
      <c r="M387" s="110"/>
      <c r="N387" s="111"/>
      <c r="O387" s="111"/>
      <c r="P387" s="112">
        <f>P388</f>
        <v>0</v>
      </c>
      <c r="Q387" s="111"/>
      <c r="R387" s="112">
        <f>R388</f>
        <v>0</v>
      </c>
      <c r="S387" s="111"/>
      <c r="T387" s="113">
        <f>T388</f>
        <v>0</v>
      </c>
      <c r="W387" s="195"/>
      <c r="X387" s="111"/>
      <c r="Y387" s="196" t="s">
        <v>57</v>
      </c>
      <c r="Z387" s="201" t="s">
        <v>3433</v>
      </c>
      <c r="AA387" s="201" t="s">
        <v>3434</v>
      </c>
      <c r="AB387" s="111"/>
      <c r="AC387" s="111"/>
      <c r="AD387" s="111"/>
      <c r="AE387" s="202">
        <f>SUM(AE388)</f>
        <v>2196.0700000000002</v>
      </c>
      <c r="AF387" s="956"/>
      <c r="AH387" s="130">
        <f t="shared" si="118"/>
        <v>0</v>
      </c>
      <c r="AJ387" s="398">
        <f t="shared" si="119"/>
        <v>0</v>
      </c>
      <c r="AK387" s="409"/>
      <c r="AL387" s="408"/>
      <c r="AM387" s="292"/>
      <c r="AN387" s="292"/>
      <c r="AO387" s="292"/>
      <c r="AP387" s="292"/>
      <c r="AQ387" s="292"/>
      <c r="AR387" s="107" t="s">
        <v>63</v>
      </c>
      <c r="AT387" s="114" t="s">
        <v>57</v>
      </c>
      <c r="AU387" s="114" t="s">
        <v>63</v>
      </c>
      <c r="AY387" s="107" t="s">
        <v>228</v>
      </c>
      <c r="BK387" s="115">
        <f>BK388</f>
        <v>2408.65</v>
      </c>
    </row>
    <row r="388" spans="2:65" s="1" customFormat="1" ht="16.5" customHeight="1" x14ac:dyDescent="0.2">
      <c r="B388" s="118"/>
      <c r="C388" s="205" t="s">
        <v>815</v>
      </c>
      <c r="D388" s="119" t="s">
        <v>231</v>
      </c>
      <c r="E388" s="120" t="s">
        <v>3435</v>
      </c>
      <c r="F388" s="121" t="s">
        <v>3436</v>
      </c>
      <c r="G388" s="122" t="s">
        <v>284</v>
      </c>
      <c r="H388" s="206">
        <v>1038.211</v>
      </c>
      <c r="I388" s="124">
        <v>2.3199999999999998</v>
      </c>
      <c r="J388" s="124">
        <f>ROUND(I388*H388,2)</f>
        <v>2408.65</v>
      </c>
      <c r="K388" s="121" t="s">
        <v>1</v>
      </c>
      <c r="L388" s="24"/>
      <c r="M388" s="125" t="s">
        <v>1</v>
      </c>
      <c r="N388" s="126" t="s">
        <v>32</v>
      </c>
      <c r="O388" s="127">
        <v>0</v>
      </c>
      <c r="P388" s="127">
        <f>O388*H388</f>
        <v>0</v>
      </c>
      <c r="Q388" s="127">
        <v>0</v>
      </c>
      <c r="R388" s="127">
        <f>Q388*H388</f>
        <v>0</v>
      </c>
      <c r="S388" s="127">
        <v>0</v>
      </c>
      <c r="T388" s="128">
        <f>S388*H388</f>
        <v>0</v>
      </c>
      <c r="W388" s="199"/>
      <c r="X388" s="205" t="s">
        <v>815</v>
      </c>
      <c r="Y388" s="119" t="s">
        <v>231</v>
      </c>
      <c r="Z388" s="120" t="s">
        <v>3435</v>
      </c>
      <c r="AA388" s="121" t="s">
        <v>3436</v>
      </c>
      <c r="AB388" s="122" t="s">
        <v>284</v>
      </c>
      <c r="AC388" s="206">
        <v>946.58199999999999</v>
      </c>
      <c r="AD388" s="124">
        <v>2.3199999999999998</v>
      </c>
      <c r="AE388" s="200">
        <f>ROUND(AD388*AC388,2)</f>
        <v>2196.0700000000002</v>
      </c>
      <c r="AF388" s="956">
        <v>1</v>
      </c>
      <c r="AH388" s="130">
        <f t="shared" si="118"/>
        <v>-91.629000000000019</v>
      </c>
      <c r="AJ388" s="398">
        <f t="shared" si="119"/>
        <v>-212.57928000000004</v>
      </c>
      <c r="AK388" s="409"/>
      <c r="AL388" s="408"/>
      <c r="AM388" s="407"/>
      <c r="AN388" s="407"/>
      <c r="AO388" s="407"/>
      <c r="AP388" s="407"/>
      <c r="AQ388" s="407"/>
      <c r="AR388" s="129" t="s">
        <v>235</v>
      </c>
      <c r="AT388" s="129" t="s">
        <v>231</v>
      </c>
      <c r="AU388" s="129" t="s">
        <v>76</v>
      </c>
      <c r="AY388" s="13" t="s">
        <v>228</v>
      </c>
      <c r="BE388" s="130">
        <f>IF(N388="základná",J388,0)</f>
        <v>0</v>
      </c>
      <c r="BF388" s="130">
        <f>IF(N388="znížená",J388,0)</f>
        <v>2408.65</v>
      </c>
      <c r="BG388" s="130">
        <f>IF(N388="zákl. prenesená",J388,0)</f>
        <v>0</v>
      </c>
      <c r="BH388" s="130">
        <f>IF(N388="zníž. prenesená",J388,0)</f>
        <v>0</v>
      </c>
      <c r="BI388" s="130">
        <f>IF(N388="nulová",J388,0)</f>
        <v>0</v>
      </c>
      <c r="BJ388" s="13" t="s">
        <v>76</v>
      </c>
      <c r="BK388" s="130">
        <f>ROUND(I388*H388,2)</f>
        <v>2408.65</v>
      </c>
      <c r="BL388" s="13" t="s">
        <v>235</v>
      </c>
      <c r="BM388" s="129" t="s">
        <v>814</v>
      </c>
    </row>
    <row r="389" spans="2:65" s="340" customFormat="1" ht="27.75" customHeight="1" x14ac:dyDescent="0.25">
      <c r="B389" s="118"/>
      <c r="C389" s="254"/>
      <c r="D389" s="254"/>
      <c r="E389" s="255"/>
      <c r="F389" s="222"/>
      <c r="G389" s="256"/>
      <c r="H389" s="257"/>
      <c r="I389" s="258"/>
      <c r="J389" s="258"/>
      <c r="K389" s="222"/>
      <c r="L389" s="24"/>
      <c r="M389" s="125"/>
      <c r="N389" s="126"/>
      <c r="O389" s="127"/>
      <c r="P389" s="127"/>
      <c r="Q389" s="127"/>
      <c r="R389" s="127"/>
      <c r="S389" s="127"/>
      <c r="T389" s="128"/>
      <c r="W389" s="199"/>
      <c r="X389" s="357"/>
      <c r="Y389" s="358" t="s">
        <v>57</v>
      </c>
      <c r="Z389" s="359" t="s">
        <v>882</v>
      </c>
      <c r="AA389" s="359" t="s">
        <v>883</v>
      </c>
      <c r="AB389" s="357"/>
      <c r="AC389" s="357"/>
      <c r="AD389" s="357"/>
      <c r="AE389" s="360">
        <f>SUM(AE390)</f>
        <v>1586.67</v>
      </c>
      <c r="AF389" s="956"/>
      <c r="AH389" s="130">
        <f t="shared" si="118"/>
        <v>0</v>
      </c>
      <c r="AJ389" s="398">
        <f t="shared" si="119"/>
        <v>0</v>
      </c>
      <c r="AK389" s="409"/>
      <c r="AL389" s="408"/>
      <c r="AM389" s="407"/>
      <c r="AN389" s="407"/>
      <c r="AO389" s="407"/>
      <c r="AP389" s="407"/>
      <c r="AQ389" s="407"/>
      <c r="AR389" s="129"/>
      <c r="AT389" s="129"/>
      <c r="AU389" s="129"/>
      <c r="AY389" s="13"/>
      <c r="BE389" s="130"/>
      <c r="BF389" s="130"/>
      <c r="BG389" s="130"/>
      <c r="BH389" s="130"/>
      <c r="BI389" s="130"/>
      <c r="BJ389" s="13"/>
      <c r="BK389" s="130"/>
      <c r="BL389" s="13"/>
      <c r="BM389" s="129"/>
    </row>
    <row r="390" spans="2:65" s="340" customFormat="1" ht="22.8" x14ac:dyDescent="0.2">
      <c r="B390" s="118"/>
      <c r="C390" s="1234" t="s">
        <v>5205</v>
      </c>
      <c r="D390" s="1235"/>
      <c r="E390" s="1235"/>
      <c r="F390" s="1235"/>
      <c r="G390" s="1235"/>
      <c r="H390" s="1235"/>
      <c r="I390" s="1235"/>
      <c r="J390" s="1236"/>
      <c r="K390" s="222"/>
      <c r="L390" s="24"/>
      <c r="M390" s="125"/>
      <c r="N390" s="126"/>
      <c r="O390" s="127"/>
      <c r="P390" s="127"/>
      <c r="Q390" s="127"/>
      <c r="R390" s="127"/>
      <c r="S390" s="127"/>
      <c r="T390" s="128"/>
      <c r="W390" s="199"/>
      <c r="X390" s="341" t="s">
        <v>5781</v>
      </c>
      <c r="Y390" s="341" t="s">
        <v>231</v>
      </c>
      <c r="Z390" s="342" t="s">
        <v>888</v>
      </c>
      <c r="AA390" s="343" t="s">
        <v>889</v>
      </c>
      <c r="AB390" s="344" t="s">
        <v>284</v>
      </c>
      <c r="AC390" s="345">
        <v>303.95999999999998</v>
      </c>
      <c r="AD390" s="346">
        <v>5.22</v>
      </c>
      <c r="AE390" s="355">
        <f>ROUND(AD390*AC390,2)</f>
        <v>1586.67</v>
      </c>
      <c r="AF390" s="956">
        <v>1</v>
      </c>
      <c r="AH390" s="130">
        <f t="shared" si="118"/>
        <v>303.95999999999998</v>
      </c>
      <c r="AJ390" s="398">
        <f t="shared" si="119"/>
        <v>1586.6711999999998</v>
      </c>
      <c r="AK390" s="409"/>
      <c r="AL390" s="408"/>
      <c r="AM390" s="407"/>
      <c r="AN390" s="407"/>
      <c r="AO390" s="407"/>
      <c r="AP390" s="407"/>
      <c r="AQ390" s="407"/>
      <c r="AR390" s="129"/>
      <c r="AT390" s="129"/>
      <c r="AU390" s="129"/>
      <c r="AY390" s="13"/>
      <c r="BE390" s="130"/>
      <c r="BF390" s="130"/>
      <c r="BG390" s="130"/>
      <c r="BH390" s="130"/>
      <c r="BI390" s="130"/>
      <c r="BJ390" s="13"/>
      <c r="BK390" s="130"/>
      <c r="BL390" s="13"/>
      <c r="BM390" s="129"/>
    </row>
    <row r="391" spans="2:65" s="11" customFormat="1" ht="25.95" customHeight="1" x14ac:dyDescent="0.25">
      <c r="B391" s="106"/>
      <c r="D391" s="107" t="s">
        <v>57</v>
      </c>
      <c r="E391" s="108" t="s">
        <v>277</v>
      </c>
      <c r="F391" s="108" t="s">
        <v>3437</v>
      </c>
      <c r="J391" s="109">
        <f>BK391</f>
        <v>38970.53</v>
      </c>
      <c r="L391" s="106"/>
      <c r="M391" s="110"/>
      <c r="N391" s="111"/>
      <c r="O391" s="111"/>
      <c r="P391" s="112">
        <f>P392</f>
        <v>0</v>
      </c>
      <c r="Q391" s="111"/>
      <c r="R391" s="112">
        <f>R392</f>
        <v>0</v>
      </c>
      <c r="S391" s="111"/>
      <c r="T391" s="113">
        <f>T392</f>
        <v>0</v>
      </c>
      <c r="W391" s="195"/>
      <c r="X391" s="111"/>
      <c r="Y391" s="196" t="s">
        <v>57</v>
      </c>
      <c r="Z391" s="197" t="s">
        <v>277</v>
      </c>
      <c r="AA391" s="197" t="s">
        <v>3437</v>
      </c>
      <c r="AB391" s="111"/>
      <c r="AC391" s="111"/>
      <c r="AD391" s="111"/>
      <c r="AE391" s="198">
        <f>AE392</f>
        <v>50536.92</v>
      </c>
      <c r="AF391" s="956"/>
      <c r="AH391" s="130">
        <f t="shared" si="118"/>
        <v>0</v>
      </c>
      <c r="AJ391" s="398">
        <f t="shared" si="119"/>
        <v>0</v>
      </c>
      <c r="AK391" s="409"/>
      <c r="AL391" s="408"/>
      <c r="AM391" s="292"/>
      <c r="AN391" s="292"/>
      <c r="AO391" s="292"/>
      <c r="AP391" s="292"/>
      <c r="AQ391" s="292"/>
      <c r="AR391" s="107" t="s">
        <v>63</v>
      </c>
      <c r="AT391" s="114" t="s">
        <v>57</v>
      </c>
      <c r="AU391" s="114" t="s">
        <v>58</v>
      </c>
      <c r="AY391" s="107" t="s">
        <v>228</v>
      </c>
      <c r="BK391" s="115">
        <f>BK392</f>
        <v>38970.53</v>
      </c>
    </row>
    <row r="392" spans="2:65" s="11" customFormat="1" ht="22.95" customHeight="1" x14ac:dyDescent="0.25">
      <c r="B392" s="106"/>
      <c r="D392" s="107" t="s">
        <v>57</v>
      </c>
      <c r="E392" s="116" t="s">
        <v>3438</v>
      </c>
      <c r="F392" s="116" t="s">
        <v>3439</v>
      </c>
      <c r="J392" s="117">
        <f>BK392</f>
        <v>38970.53</v>
      </c>
      <c r="L392" s="106"/>
      <c r="M392" s="110"/>
      <c r="N392" s="111"/>
      <c r="O392" s="111"/>
      <c r="P392" s="112">
        <f>P393</f>
        <v>0</v>
      </c>
      <c r="Q392" s="111"/>
      <c r="R392" s="112">
        <f>R393</f>
        <v>0</v>
      </c>
      <c r="S392" s="111"/>
      <c r="T392" s="113">
        <f>T393</f>
        <v>0</v>
      </c>
      <c r="W392" s="195"/>
      <c r="X392" s="111"/>
      <c r="Y392" s="196" t="s">
        <v>57</v>
      </c>
      <c r="Z392" s="201" t="s">
        <v>3438</v>
      </c>
      <c r="AA392" s="201" t="s">
        <v>3439</v>
      </c>
      <c r="AB392" s="111"/>
      <c r="AC392" s="111"/>
      <c r="AD392" s="111"/>
      <c r="AE392" s="202">
        <f>SUM(AE393)</f>
        <v>50536.92</v>
      </c>
      <c r="AF392" s="956"/>
      <c r="AH392" s="130">
        <f t="shared" si="118"/>
        <v>0</v>
      </c>
      <c r="AJ392" s="398">
        <f t="shared" si="119"/>
        <v>0</v>
      </c>
      <c r="AK392" s="409"/>
      <c r="AL392" s="408"/>
      <c r="AM392" s="292"/>
      <c r="AN392" s="292"/>
      <c r="AO392" s="292"/>
      <c r="AP392" s="292"/>
      <c r="AQ392" s="292"/>
      <c r="AR392" s="107" t="s">
        <v>63</v>
      </c>
      <c r="AT392" s="114" t="s">
        <v>57</v>
      </c>
      <c r="AU392" s="114" t="s">
        <v>63</v>
      </c>
      <c r="AY392" s="107" t="s">
        <v>228</v>
      </c>
      <c r="BK392" s="115">
        <f>BK393</f>
        <v>38970.53</v>
      </c>
    </row>
    <row r="393" spans="2:65" s="1" customFormat="1" ht="48" customHeight="1" x14ac:dyDescent="0.2">
      <c r="B393" s="118"/>
      <c r="C393" s="205" t="s">
        <v>521</v>
      </c>
      <c r="D393" s="119" t="s">
        <v>231</v>
      </c>
      <c r="E393" s="120" t="s">
        <v>3440</v>
      </c>
      <c r="F393" s="121" t="s">
        <v>3441</v>
      </c>
      <c r="G393" s="122" t="s">
        <v>1035</v>
      </c>
      <c r="H393" s="206">
        <v>9278.6980000000003</v>
      </c>
      <c r="I393" s="124">
        <v>4.2</v>
      </c>
      <c r="J393" s="124">
        <f>ROUND(I393*H393,2)</f>
        <v>38970.53</v>
      </c>
      <c r="K393" s="121" t="s">
        <v>1</v>
      </c>
      <c r="L393" s="24"/>
      <c r="M393" s="140" t="s">
        <v>1</v>
      </c>
      <c r="N393" s="141" t="s">
        <v>32</v>
      </c>
      <c r="O393" s="142">
        <v>0</v>
      </c>
      <c r="P393" s="142">
        <f>O393*H393</f>
        <v>0</v>
      </c>
      <c r="Q393" s="142">
        <v>0</v>
      </c>
      <c r="R393" s="142">
        <f>Q393*H393</f>
        <v>0</v>
      </c>
      <c r="S393" s="142">
        <v>0</v>
      </c>
      <c r="T393" s="143">
        <f>S393*H393</f>
        <v>0</v>
      </c>
      <c r="W393" s="199"/>
      <c r="X393" s="205" t="s">
        <v>521</v>
      </c>
      <c r="Y393" s="119" t="s">
        <v>231</v>
      </c>
      <c r="Z393" s="120" t="s">
        <v>3440</v>
      </c>
      <c r="AA393" s="121" t="s">
        <v>3441</v>
      </c>
      <c r="AB393" s="122" t="s">
        <v>1035</v>
      </c>
      <c r="AC393" s="206">
        <v>12032.6</v>
      </c>
      <c r="AD393" s="124">
        <v>4.2</v>
      </c>
      <c r="AE393" s="200">
        <f>ROUND(AD393*AC393,2)</f>
        <v>50536.92</v>
      </c>
      <c r="AF393" s="956">
        <v>1</v>
      </c>
      <c r="AH393" s="130">
        <f t="shared" si="118"/>
        <v>2753.902</v>
      </c>
      <c r="AJ393" s="398">
        <f t="shared" si="119"/>
        <v>11566.3884</v>
      </c>
      <c r="AK393" s="409"/>
      <c r="AL393" s="408"/>
      <c r="AM393" s="407"/>
      <c r="AN393" s="407"/>
      <c r="AO393" s="407"/>
      <c r="AP393" s="407"/>
      <c r="AQ393" s="407"/>
      <c r="AR393" s="129" t="s">
        <v>235</v>
      </c>
      <c r="AT393" s="129" t="s">
        <v>231</v>
      </c>
      <c r="AU393" s="129" t="s">
        <v>76</v>
      </c>
      <c r="AY393" s="13" t="s">
        <v>228</v>
      </c>
      <c r="BE393" s="130">
        <f>IF(N393="základná",J393,0)</f>
        <v>0</v>
      </c>
      <c r="BF393" s="130">
        <f>IF(N393="znížená",J393,0)</f>
        <v>38970.53</v>
      </c>
      <c r="BG393" s="130">
        <f>IF(N393="zákl. prenesená",J393,0)</f>
        <v>0</v>
      </c>
      <c r="BH393" s="130">
        <f>IF(N393="zníž. prenesená",J393,0)</f>
        <v>0</v>
      </c>
      <c r="BI393" s="130">
        <f>IF(N393="nulová",J393,0)</f>
        <v>0</v>
      </c>
      <c r="BJ393" s="13" t="s">
        <v>76</v>
      </c>
      <c r="BK393" s="130">
        <f>ROUND(I393*H393,2)</f>
        <v>38970.53</v>
      </c>
      <c r="BL393" s="13" t="s">
        <v>235</v>
      </c>
      <c r="BM393" s="129" t="s">
        <v>818</v>
      </c>
    </row>
    <row r="394" spans="2:65" s="1" customFormat="1" ht="7.05" customHeight="1" x14ac:dyDescent="0.2">
      <c r="B394" s="33"/>
      <c r="C394" s="34"/>
      <c r="D394" s="34"/>
      <c r="E394" s="34"/>
      <c r="F394" s="34"/>
      <c r="G394" s="34"/>
      <c r="H394" s="34"/>
      <c r="I394" s="34"/>
      <c r="J394" s="34"/>
      <c r="K394" s="34"/>
      <c r="L394" s="24"/>
      <c r="W394" s="175"/>
      <c r="X394" s="176"/>
      <c r="Y394" s="176"/>
      <c r="Z394" s="176"/>
      <c r="AA394" s="176"/>
      <c r="AB394" s="176"/>
      <c r="AC394" s="176"/>
      <c r="AD394" s="176"/>
      <c r="AE394" s="177"/>
      <c r="AF394" s="956"/>
      <c r="AH394" s="130">
        <f t="shared" si="118"/>
        <v>0</v>
      </c>
      <c r="AJ394" s="398">
        <f t="shared" si="119"/>
        <v>0</v>
      </c>
      <c r="AK394" s="409"/>
      <c r="AL394" s="406"/>
      <c r="AM394" s="407"/>
      <c r="AN394" s="407"/>
      <c r="AO394" s="407"/>
      <c r="AP394" s="407"/>
      <c r="AQ394" s="407"/>
    </row>
    <row r="395" spans="2:65" x14ac:dyDescent="0.25">
      <c r="AH395" s="130"/>
      <c r="AK395" s="410"/>
      <c r="AL395" s="406"/>
      <c r="AM395" s="410"/>
      <c r="AN395" s="410"/>
      <c r="AO395" s="410"/>
      <c r="AP395" s="410"/>
      <c r="AQ395" s="410"/>
    </row>
    <row r="396" spans="2:65" x14ac:dyDescent="0.25">
      <c r="AK396" s="410"/>
      <c r="AL396" s="406"/>
      <c r="AM396" s="410"/>
      <c r="AN396" s="410"/>
      <c r="AO396" s="410"/>
      <c r="AP396" s="410"/>
      <c r="AQ396" s="410"/>
    </row>
    <row r="397" spans="2:65" x14ac:dyDescent="0.25">
      <c r="AK397" s="410"/>
      <c r="AL397" s="406"/>
      <c r="AM397" s="410"/>
      <c r="AN397" s="410"/>
      <c r="AO397" s="410"/>
      <c r="AP397" s="410"/>
      <c r="AQ397" s="410"/>
    </row>
    <row r="398" spans="2:65" x14ac:dyDescent="0.25">
      <c r="AK398" s="410"/>
      <c r="AL398" s="406"/>
      <c r="AM398" s="410"/>
      <c r="AN398" s="410"/>
      <c r="AO398" s="410"/>
      <c r="AP398" s="410"/>
      <c r="AQ398" s="410"/>
    </row>
    <row r="399" spans="2:65" x14ac:dyDescent="0.25">
      <c r="AK399" s="410"/>
      <c r="AL399" s="406"/>
      <c r="AM399" s="410"/>
      <c r="AN399" s="410"/>
      <c r="AO399" s="410"/>
      <c r="AP399" s="410"/>
      <c r="AQ399" s="410"/>
    </row>
  </sheetData>
  <autoFilter ref="C141:K393" xr:uid="{00000000-0009-0000-0000-00000F000000}"/>
  <mergeCells count="93">
    <mergeCell ref="C354:J354"/>
    <mergeCell ref="C368:J368"/>
    <mergeCell ref="C390:J390"/>
    <mergeCell ref="C348:J348"/>
    <mergeCell ref="C349:J349"/>
    <mergeCell ref="C350:J350"/>
    <mergeCell ref="C351:J351"/>
    <mergeCell ref="C352:J352"/>
    <mergeCell ref="C364:J364"/>
    <mergeCell ref="C365:J365"/>
    <mergeCell ref="C366:J366"/>
    <mergeCell ref="C360:J360"/>
    <mergeCell ref="C343:J343"/>
    <mergeCell ref="C344:J344"/>
    <mergeCell ref="C345:J345"/>
    <mergeCell ref="C346:J346"/>
    <mergeCell ref="C347:J347"/>
    <mergeCell ref="C291:J291"/>
    <mergeCell ref="C305:J305"/>
    <mergeCell ref="C309:J309"/>
    <mergeCell ref="C341:J341"/>
    <mergeCell ref="C342:J342"/>
    <mergeCell ref="C302:J302"/>
    <mergeCell ref="C314:J314"/>
    <mergeCell ref="C310:J310"/>
    <mergeCell ref="C306:J306"/>
    <mergeCell ref="C307:J307"/>
    <mergeCell ref="C280:J280"/>
    <mergeCell ref="C249:J249"/>
    <mergeCell ref="C252:J252"/>
    <mergeCell ref="C255:J255"/>
    <mergeCell ref="C256:J256"/>
    <mergeCell ref="C257:J257"/>
    <mergeCell ref="C261:J261"/>
    <mergeCell ref="C262:J262"/>
    <mergeCell ref="C263:J263"/>
    <mergeCell ref="C264:J264"/>
    <mergeCell ref="C275:J275"/>
    <mergeCell ref="C276:J276"/>
    <mergeCell ref="C258:J258"/>
    <mergeCell ref="C259:J259"/>
    <mergeCell ref="C217:J217"/>
    <mergeCell ref="C221:J221"/>
    <mergeCell ref="C233:J233"/>
    <mergeCell ref="C242:J242"/>
    <mergeCell ref="C243:J243"/>
    <mergeCell ref="C212:J212"/>
    <mergeCell ref="C213:J213"/>
    <mergeCell ref="C214:J214"/>
    <mergeCell ref="C215:J215"/>
    <mergeCell ref="C216:J216"/>
    <mergeCell ref="C187:J187"/>
    <mergeCell ref="C188:J188"/>
    <mergeCell ref="C189:J189"/>
    <mergeCell ref="C210:J210"/>
    <mergeCell ref="C211:J211"/>
    <mergeCell ref="C157:J157"/>
    <mergeCell ref="C175:J175"/>
    <mergeCell ref="C185:J185"/>
    <mergeCell ref="C186:J186"/>
    <mergeCell ref="E87:H87"/>
    <mergeCell ref="E132:H132"/>
    <mergeCell ref="E134:H134"/>
    <mergeCell ref="C145:J145"/>
    <mergeCell ref="C152:J152"/>
    <mergeCell ref="C174:J174"/>
    <mergeCell ref="C178:J178"/>
    <mergeCell ref="C184:J184"/>
    <mergeCell ref="L2:V2"/>
    <mergeCell ref="E9:H9"/>
    <mergeCell ref="E18:H18"/>
    <mergeCell ref="E27:H27"/>
    <mergeCell ref="D4:J4"/>
    <mergeCell ref="F6:J7"/>
    <mergeCell ref="C82:J82"/>
    <mergeCell ref="E84:J84"/>
    <mergeCell ref="B129:J129"/>
    <mergeCell ref="E131:J131"/>
    <mergeCell ref="E85:H85"/>
    <mergeCell ref="D120:K120"/>
    <mergeCell ref="D113:K113"/>
    <mergeCell ref="D110:K110"/>
    <mergeCell ref="X4:AE4"/>
    <mergeCell ref="AA6:AE7"/>
    <mergeCell ref="Z87:AC87"/>
    <mergeCell ref="Z134:AC134"/>
    <mergeCell ref="Z9:AC9"/>
    <mergeCell ref="Z18:AC18"/>
    <mergeCell ref="Z27:AC27"/>
    <mergeCell ref="X129:AE129"/>
    <mergeCell ref="Z131:AE131"/>
    <mergeCell ref="W82:AE82"/>
    <mergeCell ref="Z84:AE84"/>
  </mergeCells>
  <phoneticPr fontId="0" type="noConversion"/>
  <pageMargins left="0.39370078740157483" right="0.39370078740157483" top="0.39370078740157483" bottom="0.39370078740157483" header="0" footer="0"/>
  <pageSetup paperSize="9" fitToHeight="100" orientation="landscape" r:id="rId1"/>
  <headerFooter>
    <oddFooter>&amp;CStrana &amp;P z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pageSetUpPr fitToPage="1"/>
  </sheetPr>
  <dimension ref="A1:BM266"/>
  <sheetViews>
    <sheetView showGridLines="0" topLeftCell="E221" zoomScale="80" zoomScaleNormal="80" workbookViewId="0">
      <selection activeCell="AA107" sqref="AA107"/>
    </sheetView>
  </sheetViews>
  <sheetFormatPr defaultColWidth="8.7109375" defaultRowHeight="10.199999999999999" x14ac:dyDescent="0.2"/>
  <cols>
    <col min="1" max="1" width="8.28515625" customWidth="1"/>
    <col min="2" max="2" width="1.7109375" customWidth="1"/>
    <col min="3" max="4" width="4.28515625" customWidth="1"/>
    <col min="5" max="5" width="17.28515625" customWidth="1"/>
    <col min="6" max="6" width="50.7109375" customWidth="1"/>
    <col min="7" max="7" width="7" customWidth="1"/>
    <col min="8" max="8" width="11.42578125" customWidth="1"/>
    <col min="9" max="10" width="20.28515625" customWidth="1"/>
    <col min="11" max="11" width="20.28515625" hidden="1" customWidth="1"/>
    <col min="12" max="12" width="9.28515625" customWidth="1"/>
    <col min="13" max="13" width="10.7109375" hidden="1" customWidth="1"/>
    <col min="14" max="14" width="9.28515625" hidden="1"/>
    <col min="15" max="20" width="14.28515625" hidden="1" customWidth="1"/>
    <col min="21" max="21" width="16.28515625" hidden="1" customWidth="1"/>
    <col min="22" max="22" width="12.28515625" customWidth="1"/>
    <col min="23" max="23" width="1.7109375" style="402" customWidth="1"/>
    <col min="24" max="24" width="5" style="402" customWidth="1"/>
    <col min="25" max="25" width="4.28515625" style="402" customWidth="1"/>
    <col min="26" max="26" width="17.28515625" style="402" customWidth="1"/>
    <col min="27" max="27" width="50.7109375" style="402" customWidth="1"/>
    <col min="28" max="28" width="7" style="402" customWidth="1"/>
    <col min="29" max="29" width="11.42578125" style="402" customWidth="1"/>
    <col min="30" max="31" width="20.28515625" style="402" customWidth="1"/>
    <col min="33" max="33" width="19.28515625" customWidth="1"/>
    <col min="34" max="34" width="9.28515625" style="393"/>
    <col min="44" max="65" width="9.28515625" hidden="1"/>
  </cols>
  <sheetData>
    <row r="1" spans="1:46" x14ac:dyDescent="0.2">
      <c r="A1" s="73"/>
    </row>
    <row r="2" spans="1:46" ht="37.049999999999997" customHeight="1" x14ac:dyDescent="0.2">
      <c r="L2" s="1227" t="s">
        <v>5</v>
      </c>
      <c r="M2" s="1225"/>
      <c r="N2" s="1225"/>
      <c r="O2" s="1225"/>
      <c r="P2" s="1225"/>
      <c r="Q2" s="1225"/>
      <c r="R2" s="1225"/>
      <c r="S2" s="1225"/>
      <c r="T2" s="1225"/>
      <c r="U2" s="1225"/>
      <c r="V2" s="1225"/>
      <c r="AT2" s="13" t="s">
        <v>108</v>
      </c>
    </row>
    <row r="3" spans="1:46" ht="7.05" customHeight="1" x14ac:dyDescent="0.2">
      <c r="B3" s="14"/>
      <c r="C3" s="1257" t="s">
        <v>185</v>
      </c>
      <c r="D3" s="1257"/>
      <c r="E3" s="1257"/>
      <c r="F3" s="1257"/>
      <c r="G3" s="1257"/>
      <c r="H3" s="1257"/>
      <c r="I3" s="1257"/>
      <c r="J3" s="1257"/>
      <c r="K3" s="15"/>
      <c r="L3" s="16"/>
      <c r="W3" s="152"/>
      <c r="X3" s="153"/>
      <c r="Y3" s="153"/>
      <c r="Z3" s="153"/>
      <c r="AA3" s="153"/>
      <c r="AB3" s="153"/>
      <c r="AC3" s="153"/>
      <c r="AD3" s="153"/>
      <c r="AE3" s="154"/>
      <c r="AT3" s="13" t="s">
        <v>58</v>
      </c>
    </row>
    <row r="4" spans="1:46" ht="25.05" customHeight="1" x14ac:dyDescent="0.2">
      <c r="B4" s="16"/>
      <c r="C4" s="1165"/>
      <c r="D4" s="1165"/>
      <c r="E4" s="1165"/>
      <c r="F4" s="1165"/>
      <c r="G4" s="1165"/>
      <c r="H4" s="1165"/>
      <c r="I4" s="1165"/>
      <c r="J4" s="1165"/>
      <c r="L4" s="16"/>
      <c r="M4" s="74" t="s">
        <v>9</v>
      </c>
      <c r="W4" s="155"/>
      <c r="X4" s="1237" t="s">
        <v>185</v>
      </c>
      <c r="Y4" s="1237"/>
      <c r="Z4" s="1237"/>
      <c r="AA4" s="1237"/>
      <c r="AB4" s="1237"/>
      <c r="AC4" s="1237"/>
      <c r="AD4" s="1237"/>
      <c r="AE4" s="1238"/>
      <c r="AT4" s="13" t="s">
        <v>3</v>
      </c>
    </row>
    <row r="5" spans="1:46" ht="7.05" customHeight="1" x14ac:dyDescent="0.2">
      <c r="B5" s="16"/>
      <c r="L5" s="16"/>
      <c r="W5" s="155"/>
      <c r="X5" s="156"/>
      <c r="Y5" s="156"/>
      <c r="Z5" s="156"/>
      <c r="AA5" s="156"/>
      <c r="AB5" s="156"/>
      <c r="AC5" s="156"/>
      <c r="AD5" s="156"/>
      <c r="AE5" s="157"/>
    </row>
    <row r="6" spans="1:46" ht="12" customHeight="1" x14ac:dyDescent="0.2">
      <c r="B6" s="16"/>
      <c r="D6" s="548" t="s">
        <v>12</v>
      </c>
      <c r="F6" s="1254" t="s">
        <v>6176</v>
      </c>
      <c r="G6" s="1254"/>
      <c r="H6" s="1254"/>
      <c r="I6" s="1254"/>
      <c r="J6" s="1254"/>
      <c r="L6" s="16"/>
      <c r="W6" s="155"/>
      <c r="X6" s="156"/>
      <c r="Y6" s="541" t="s">
        <v>12</v>
      </c>
      <c r="Z6" s="156"/>
      <c r="AA6" s="1239" t="s">
        <v>6176</v>
      </c>
      <c r="AB6" s="1239"/>
      <c r="AC6" s="1239"/>
      <c r="AD6" s="1239"/>
      <c r="AE6" s="1240"/>
    </row>
    <row r="7" spans="1:46" ht="25.95" customHeight="1" x14ac:dyDescent="0.2">
      <c r="B7" s="16"/>
      <c r="D7" s="527"/>
      <c r="E7" s="531"/>
      <c r="F7" s="1254"/>
      <c r="G7" s="1254"/>
      <c r="H7" s="1254"/>
      <c r="I7" s="1254"/>
      <c r="J7" s="1254"/>
      <c r="L7" s="16"/>
      <c r="W7" s="155"/>
      <c r="X7" s="156"/>
      <c r="Y7" s="539"/>
      <c r="Z7" s="245"/>
      <c r="AA7" s="1239"/>
      <c r="AB7" s="1239"/>
      <c r="AC7" s="1239"/>
      <c r="AD7" s="1239"/>
      <c r="AE7" s="1240"/>
    </row>
    <row r="8" spans="1:46" s="1" customFormat="1" ht="12" customHeight="1" x14ac:dyDescent="0.2">
      <c r="B8" s="24"/>
      <c r="D8" s="549" t="s">
        <v>186</v>
      </c>
      <c r="F8" s="532" t="s">
        <v>3442</v>
      </c>
      <c r="L8" s="24"/>
      <c r="W8" s="158"/>
      <c r="X8" s="557"/>
      <c r="Y8" s="550" t="s">
        <v>186</v>
      </c>
      <c r="Z8" s="557"/>
      <c r="AA8" s="555" t="s">
        <v>3442</v>
      </c>
      <c r="AB8" s="557"/>
      <c r="AC8" s="557"/>
      <c r="AD8" s="557"/>
      <c r="AE8" s="159"/>
      <c r="AH8" s="130"/>
    </row>
    <row r="9" spans="1:46" s="1" customFormat="1" ht="37.049999999999997" customHeight="1" x14ac:dyDescent="0.2">
      <c r="B9" s="24"/>
      <c r="D9" s="521"/>
      <c r="E9" s="1251"/>
      <c r="F9" s="1252"/>
      <c r="G9" s="1252"/>
      <c r="H9" s="1252"/>
      <c r="L9" s="24"/>
      <c r="W9" s="158"/>
      <c r="X9" s="557"/>
      <c r="Y9" s="557"/>
      <c r="Z9" s="1245"/>
      <c r="AA9" s="1246"/>
      <c r="AB9" s="1246"/>
      <c r="AC9" s="1246"/>
      <c r="AD9" s="557"/>
      <c r="AE9" s="159"/>
      <c r="AH9" s="130"/>
    </row>
    <row r="10" spans="1:46" s="1" customFormat="1" x14ac:dyDescent="0.2">
      <c r="B10" s="24"/>
      <c r="D10" s="521"/>
      <c r="L10" s="24"/>
      <c r="W10" s="158"/>
      <c r="X10" s="557"/>
      <c r="Y10" s="557"/>
      <c r="Z10" s="557"/>
      <c r="AA10" s="557"/>
      <c r="AB10" s="557"/>
      <c r="AC10" s="557"/>
      <c r="AD10" s="557"/>
      <c r="AE10" s="159"/>
      <c r="AH10" s="130"/>
    </row>
    <row r="11" spans="1:46" s="1" customFormat="1" ht="12" customHeight="1" x14ac:dyDescent="0.2">
      <c r="B11" s="24"/>
      <c r="D11" s="528" t="s">
        <v>13</v>
      </c>
      <c r="F11" s="19" t="s">
        <v>1</v>
      </c>
      <c r="I11" s="528" t="s">
        <v>14</v>
      </c>
      <c r="J11" s="19" t="s">
        <v>1</v>
      </c>
      <c r="L11" s="24"/>
      <c r="W11" s="158"/>
      <c r="X11" s="557"/>
      <c r="Y11" s="538" t="s">
        <v>13</v>
      </c>
      <c r="Z11" s="557"/>
      <c r="AA11" s="558" t="s">
        <v>1</v>
      </c>
      <c r="AB11" s="557"/>
      <c r="AC11" s="557"/>
      <c r="AD11" s="538" t="s">
        <v>14</v>
      </c>
      <c r="AE11" s="161" t="s">
        <v>1</v>
      </c>
      <c r="AH11" s="130"/>
    </row>
    <row r="12" spans="1:46" s="1" customFormat="1" ht="12" customHeight="1" x14ac:dyDescent="0.2">
      <c r="B12" s="24"/>
      <c r="D12" s="528" t="s">
        <v>15</v>
      </c>
      <c r="F12" s="520" t="s">
        <v>6173</v>
      </c>
      <c r="I12" s="528" t="s">
        <v>17</v>
      </c>
      <c r="J12" s="39"/>
      <c r="L12" s="24"/>
      <c r="W12" s="158"/>
      <c r="X12" s="557"/>
      <c r="Y12" s="538" t="s">
        <v>15</v>
      </c>
      <c r="Z12" s="557"/>
      <c r="AA12" s="558" t="s">
        <v>6173</v>
      </c>
      <c r="AB12" s="557"/>
      <c r="AC12" s="557"/>
      <c r="AD12" s="538" t="s">
        <v>17</v>
      </c>
      <c r="AE12" s="162"/>
      <c r="AH12" s="130"/>
    </row>
    <row r="13" spans="1:46" s="1" customFormat="1" ht="10.95" customHeight="1" x14ac:dyDescent="0.2">
      <c r="B13" s="24"/>
      <c r="D13" s="521"/>
      <c r="F13" s="521"/>
      <c r="I13" s="521"/>
      <c r="L13" s="24"/>
      <c r="W13" s="158"/>
      <c r="X13" s="557"/>
      <c r="Y13" s="557"/>
      <c r="Z13" s="557"/>
      <c r="AA13" s="557"/>
      <c r="AB13" s="557"/>
      <c r="AC13" s="557"/>
      <c r="AD13" s="557"/>
      <c r="AE13" s="159"/>
      <c r="AH13" s="130"/>
    </row>
    <row r="14" spans="1:46" s="1" customFormat="1" ht="12" customHeight="1" x14ac:dyDescent="0.2">
      <c r="B14" s="24"/>
      <c r="D14" s="528" t="s">
        <v>18</v>
      </c>
      <c r="F14" s="529" t="s">
        <v>6175</v>
      </c>
      <c r="I14" s="528" t="s">
        <v>19</v>
      </c>
      <c r="J14" s="19" t="str">
        <f>IF('Rekapitulácia stavby'!AN10="","",'Rekapitulácia stavby'!AN10)</f>
        <v/>
      </c>
      <c r="L14" s="24"/>
      <c r="W14" s="158"/>
      <c r="X14" s="557"/>
      <c r="Y14" s="538" t="s">
        <v>18</v>
      </c>
      <c r="Z14" s="557"/>
      <c r="AA14" s="576" t="s">
        <v>6175</v>
      </c>
      <c r="AB14" s="557"/>
      <c r="AC14" s="557"/>
      <c r="AD14" s="538" t="s">
        <v>19</v>
      </c>
      <c r="AE14" s="161" t="str">
        <f>IF('Rekapitulácia stavby'!BI10="","",'Rekapitulácia stavby'!BI10)</f>
        <v/>
      </c>
      <c r="AH14" s="130"/>
    </row>
    <row r="15" spans="1:46" s="1" customFormat="1" ht="18" customHeight="1" x14ac:dyDescent="0.2">
      <c r="B15" s="24"/>
      <c r="D15" s="521"/>
      <c r="E15" s="19" t="str">
        <f>IF('Rekapitulácia stavby'!E11="","",'Rekapitulácia stavby'!E11)</f>
        <v/>
      </c>
      <c r="F15" s="521"/>
      <c r="I15" s="528" t="s">
        <v>20</v>
      </c>
      <c r="J15" s="19" t="str">
        <f>IF('Rekapitulácia stavby'!AN11="","",'Rekapitulácia stavby'!AN11)</f>
        <v/>
      </c>
      <c r="L15" s="24"/>
      <c r="W15" s="158"/>
      <c r="X15" s="557"/>
      <c r="Y15" s="557"/>
      <c r="Z15" s="558" t="str">
        <f>IF('Rekapitulácia stavby'!Z11="","",'Rekapitulácia stavby'!Z11)</f>
        <v/>
      </c>
      <c r="AA15" s="557"/>
      <c r="AB15" s="557"/>
      <c r="AC15" s="557"/>
      <c r="AD15" s="538" t="s">
        <v>20</v>
      </c>
      <c r="AE15" s="161" t="str">
        <f>IF('Rekapitulácia stavby'!BI11="","",'Rekapitulácia stavby'!BI11)</f>
        <v/>
      </c>
      <c r="AH15" s="130"/>
    </row>
    <row r="16" spans="1:46" s="1" customFormat="1" ht="7.05" customHeight="1" x14ac:dyDescent="0.2">
      <c r="B16" s="24"/>
      <c r="D16" s="521"/>
      <c r="F16" s="521"/>
      <c r="I16" s="521"/>
      <c r="L16" s="24"/>
      <c r="W16" s="158"/>
      <c r="X16" s="557"/>
      <c r="Y16" s="557"/>
      <c r="Z16" s="557"/>
      <c r="AA16" s="557"/>
      <c r="AB16" s="557"/>
      <c r="AC16" s="557"/>
      <c r="AD16" s="557"/>
      <c r="AE16" s="159"/>
      <c r="AH16" s="130"/>
    </row>
    <row r="17" spans="2:34" s="1" customFormat="1" ht="12" customHeight="1" x14ac:dyDescent="0.2">
      <c r="B17" s="24"/>
      <c r="D17" s="528" t="s">
        <v>21</v>
      </c>
      <c r="F17" s="529" t="s">
        <v>5202</v>
      </c>
      <c r="I17" s="528" t="s">
        <v>19</v>
      </c>
      <c r="J17" s="19"/>
      <c r="L17" s="24"/>
      <c r="W17" s="158"/>
      <c r="X17" s="557"/>
      <c r="Y17" s="538" t="s">
        <v>21</v>
      </c>
      <c r="Z17" s="557"/>
      <c r="AA17" s="576" t="s">
        <v>5202</v>
      </c>
      <c r="AB17" s="557"/>
      <c r="AC17" s="557"/>
      <c r="AD17" s="538" t="s">
        <v>19</v>
      </c>
      <c r="AE17" s="161"/>
      <c r="AH17" s="130"/>
    </row>
    <row r="18" spans="2:34" s="1" customFormat="1" ht="18" customHeight="1" x14ac:dyDescent="0.2">
      <c r="B18" s="24"/>
      <c r="D18" s="521"/>
      <c r="E18" s="1161"/>
      <c r="F18" s="1161"/>
      <c r="G18" s="1161"/>
      <c r="H18" s="1161"/>
      <c r="I18" s="528" t="s">
        <v>20</v>
      </c>
      <c r="J18" s="19" t="str">
        <f>'Rekapitulácia stavby'!AN14</f>
        <v/>
      </c>
      <c r="L18" s="24"/>
      <c r="W18" s="158"/>
      <c r="X18" s="557"/>
      <c r="Y18" s="557"/>
      <c r="Z18" s="1247"/>
      <c r="AA18" s="1247"/>
      <c r="AB18" s="1247"/>
      <c r="AC18" s="1247"/>
      <c r="AD18" s="538" t="s">
        <v>20</v>
      </c>
      <c r="AE18" s="161"/>
      <c r="AH18" s="130"/>
    </row>
    <row r="19" spans="2:34" s="1" customFormat="1" ht="7.05" customHeight="1" x14ac:dyDescent="0.2">
      <c r="B19" s="24"/>
      <c r="D19" s="521"/>
      <c r="I19" s="521"/>
      <c r="L19" s="24"/>
      <c r="W19" s="158"/>
      <c r="X19" s="557"/>
      <c r="Y19" s="557"/>
      <c r="Z19" s="557"/>
      <c r="AA19" s="557"/>
      <c r="AB19" s="557"/>
      <c r="AC19" s="557"/>
      <c r="AD19" s="557"/>
      <c r="AE19" s="159"/>
      <c r="AH19" s="130"/>
    </row>
    <row r="20" spans="2:34" s="1" customFormat="1" ht="12" customHeight="1" x14ac:dyDescent="0.2">
      <c r="B20" s="24"/>
      <c r="D20" s="528" t="s">
        <v>22</v>
      </c>
      <c r="I20" s="528" t="s">
        <v>19</v>
      </c>
      <c r="J20" s="19" t="str">
        <f>IF('Rekapitulácia stavby'!AN16="","",'Rekapitulácia stavby'!AN16)</f>
        <v/>
      </c>
      <c r="L20" s="24"/>
      <c r="W20" s="158"/>
      <c r="X20" s="557"/>
      <c r="Y20" s="538" t="s">
        <v>22</v>
      </c>
      <c r="Z20" s="557"/>
      <c r="AA20" s="557"/>
      <c r="AB20" s="557"/>
      <c r="AC20" s="557"/>
      <c r="AD20" s="538" t="s">
        <v>19</v>
      </c>
      <c r="AE20" s="161" t="str">
        <f>IF('Rekapitulácia stavby'!BI16="","",'Rekapitulácia stavby'!BI16)</f>
        <v/>
      </c>
      <c r="AH20" s="130"/>
    </row>
    <row r="21" spans="2:34" s="1" customFormat="1" ht="18" customHeight="1" x14ac:dyDescent="0.2">
      <c r="B21" s="24"/>
      <c r="D21" s="521"/>
      <c r="E21" s="19" t="str">
        <f>IF('Rekapitulácia stavby'!E17="","",'Rekapitulácia stavby'!E17)</f>
        <v xml:space="preserve"> </v>
      </c>
      <c r="I21" s="528" t="s">
        <v>20</v>
      </c>
      <c r="J21" s="19" t="str">
        <f>IF('Rekapitulácia stavby'!AN17="","",'Rekapitulácia stavby'!AN17)</f>
        <v/>
      </c>
      <c r="L21" s="24"/>
      <c r="W21" s="158"/>
      <c r="X21" s="557"/>
      <c r="Y21" s="557"/>
      <c r="Z21" s="558" t="str">
        <f>IF('Rekapitulácia stavby'!Z17="","",'Rekapitulácia stavby'!Z17)</f>
        <v/>
      </c>
      <c r="AA21" s="557"/>
      <c r="AB21" s="557"/>
      <c r="AC21" s="557"/>
      <c r="AD21" s="538" t="s">
        <v>20</v>
      </c>
      <c r="AE21" s="161" t="str">
        <f>IF('Rekapitulácia stavby'!BI17="","",'Rekapitulácia stavby'!BI17)</f>
        <v/>
      </c>
      <c r="AH21" s="130"/>
    </row>
    <row r="22" spans="2:34" s="1" customFormat="1" ht="7.05" customHeight="1" x14ac:dyDescent="0.2">
      <c r="B22" s="24"/>
      <c r="D22" s="521"/>
      <c r="I22" s="521"/>
      <c r="L22" s="24"/>
      <c r="W22" s="158"/>
      <c r="X22" s="557"/>
      <c r="Y22" s="557"/>
      <c r="Z22" s="557"/>
      <c r="AA22" s="557"/>
      <c r="AB22" s="557"/>
      <c r="AC22" s="557"/>
      <c r="AD22" s="557"/>
      <c r="AE22" s="159"/>
      <c r="AH22" s="130"/>
    </row>
    <row r="23" spans="2:34" s="1" customFormat="1" ht="12" customHeight="1" x14ac:dyDescent="0.2">
      <c r="B23" s="24"/>
      <c r="D23" s="528" t="s">
        <v>24</v>
      </c>
      <c r="I23" s="528" t="s">
        <v>19</v>
      </c>
      <c r="J23" s="19" t="str">
        <f>IF('Rekapitulácia stavby'!AN19="","",'Rekapitulácia stavby'!AN19)</f>
        <v/>
      </c>
      <c r="L23" s="24"/>
      <c r="W23" s="158"/>
      <c r="X23" s="557"/>
      <c r="Y23" s="538" t="s">
        <v>24</v>
      </c>
      <c r="Z23" s="557"/>
      <c r="AA23" s="557"/>
      <c r="AB23" s="557"/>
      <c r="AC23" s="557"/>
      <c r="AD23" s="538" t="s">
        <v>19</v>
      </c>
      <c r="AE23" s="161" t="str">
        <f>IF('Rekapitulácia stavby'!BI19="","",'Rekapitulácia stavby'!BI19)</f>
        <v/>
      </c>
      <c r="AH23" s="130"/>
    </row>
    <row r="24" spans="2:34" s="1" customFormat="1" ht="18" customHeight="1" x14ac:dyDescent="0.2">
      <c r="B24" s="24"/>
      <c r="D24" s="521"/>
      <c r="E24" s="19" t="str">
        <f>IF('Rekapitulácia stavby'!E20="","",'Rekapitulácia stavby'!E20)</f>
        <v xml:space="preserve"> </v>
      </c>
      <c r="I24" s="528" t="s">
        <v>20</v>
      </c>
      <c r="J24" s="19" t="str">
        <f>IF('Rekapitulácia stavby'!AN20="","",'Rekapitulácia stavby'!AN20)</f>
        <v/>
      </c>
      <c r="L24" s="24"/>
      <c r="W24" s="158"/>
      <c r="X24" s="557"/>
      <c r="Y24" s="557"/>
      <c r="Z24" s="558" t="str">
        <f>IF('Rekapitulácia stavby'!Z20="","",'Rekapitulácia stavby'!Z20)</f>
        <v/>
      </c>
      <c r="AA24" s="557"/>
      <c r="AB24" s="557"/>
      <c r="AC24" s="557"/>
      <c r="AD24" s="538" t="s">
        <v>20</v>
      </c>
      <c r="AE24" s="161" t="str">
        <f>IF('Rekapitulácia stavby'!BI20="","",'Rekapitulácia stavby'!BI20)</f>
        <v/>
      </c>
      <c r="AH24" s="130"/>
    </row>
    <row r="25" spans="2:34" s="1" customFormat="1" ht="7.05" customHeight="1" x14ac:dyDescent="0.2">
      <c r="B25" s="24"/>
      <c r="D25" s="521"/>
      <c r="L25" s="24"/>
      <c r="W25" s="158"/>
      <c r="X25" s="557"/>
      <c r="Y25" s="557"/>
      <c r="Z25" s="557"/>
      <c r="AA25" s="557"/>
      <c r="AB25" s="557"/>
      <c r="AC25" s="557"/>
      <c r="AD25" s="557"/>
      <c r="AE25" s="159"/>
      <c r="AH25" s="130"/>
    </row>
    <row r="26" spans="2:34" s="1" customFormat="1" ht="12" customHeight="1" x14ac:dyDescent="0.2">
      <c r="B26" s="24"/>
      <c r="D26" s="528" t="s">
        <v>25</v>
      </c>
      <c r="L26" s="24"/>
      <c r="W26" s="158"/>
      <c r="X26" s="557"/>
      <c r="Y26" s="538" t="s">
        <v>25</v>
      </c>
      <c r="Z26" s="557"/>
      <c r="AA26" s="557"/>
      <c r="AB26" s="557"/>
      <c r="AC26" s="557"/>
      <c r="AD26" s="557"/>
      <c r="AE26" s="159"/>
      <c r="AH26" s="130"/>
    </row>
    <row r="27" spans="2:34" s="7" customFormat="1" ht="16.5" customHeight="1" x14ac:dyDescent="0.2">
      <c r="B27" s="75"/>
      <c r="E27" s="1228" t="s">
        <v>1</v>
      </c>
      <c r="F27" s="1228"/>
      <c r="G27" s="1228"/>
      <c r="H27" s="1228"/>
      <c r="L27" s="75"/>
      <c r="W27" s="163"/>
      <c r="X27" s="164"/>
      <c r="Y27" s="164"/>
      <c r="Z27" s="1248" t="s">
        <v>1</v>
      </c>
      <c r="AA27" s="1248"/>
      <c r="AB27" s="1248"/>
      <c r="AC27" s="1248"/>
      <c r="AD27" s="164"/>
      <c r="AE27" s="165"/>
      <c r="AH27" s="394"/>
    </row>
    <row r="28" spans="2:34" s="1" customFormat="1" ht="7.05" customHeight="1" x14ac:dyDescent="0.2">
      <c r="B28" s="24"/>
      <c r="L28" s="24"/>
      <c r="W28" s="158"/>
      <c r="X28" s="557"/>
      <c r="Y28" s="557"/>
      <c r="Z28" s="557"/>
      <c r="AA28" s="557"/>
      <c r="AB28" s="557"/>
      <c r="AC28" s="557"/>
      <c r="AD28" s="557"/>
      <c r="AE28" s="159"/>
      <c r="AH28" s="130"/>
    </row>
    <row r="29" spans="2:34" s="1" customFormat="1" ht="7.05" customHeight="1" x14ac:dyDescent="0.2">
      <c r="B29" s="24"/>
      <c r="D29" s="40"/>
      <c r="E29" s="40"/>
      <c r="F29" s="40"/>
      <c r="G29" s="40"/>
      <c r="H29" s="40"/>
      <c r="I29" s="40"/>
      <c r="J29" s="40"/>
      <c r="K29" s="40"/>
      <c r="L29" s="24"/>
      <c r="W29" s="158"/>
      <c r="X29" s="557"/>
      <c r="Y29" s="40"/>
      <c r="Z29" s="40"/>
      <c r="AA29" s="40"/>
      <c r="AB29" s="40"/>
      <c r="AC29" s="40"/>
      <c r="AD29" s="40"/>
      <c r="AE29" s="166"/>
      <c r="AH29" s="130"/>
    </row>
    <row r="30" spans="2:34" s="1" customFormat="1" ht="25.2" customHeight="1" x14ac:dyDescent="0.2">
      <c r="B30" s="24"/>
      <c r="D30" s="76" t="s">
        <v>26</v>
      </c>
      <c r="J30" s="53">
        <f>ROUND(J129, 2)</f>
        <v>18767.37</v>
      </c>
      <c r="L30" s="24"/>
      <c r="W30" s="158"/>
      <c r="X30" s="557"/>
      <c r="Y30" s="167" t="s">
        <v>26</v>
      </c>
      <c r="Z30" s="557"/>
      <c r="AA30" s="557"/>
      <c r="AB30" s="557"/>
      <c r="AC30" s="557"/>
      <c r="AD30" s="557"/>
      <c r="AE30" s="168">
        <f>ROUND(AE129, 2)</f>
        <v>40009.94</v>
      </c>
      <c r="AH30" s="130"/>
    </row>
    <row r="31" spans="2:34" s="1" customFormat="1" ht="7.05" customHeight="1" x14ac:dyDescent="0.2">
      <c r="B31" s="24"/>
      <c r="D31" s="40"/>
      <c r="E31" s="40"/>
      <c r="F31" s="40"/>
      <c r="G31" s="40"/>
      <c r="H31" s="40"/>
      <c r="I31" s="40"/>
      <c r="J31" s="40"/>
      <c r="K31" s="40"/>
      <c r="L31" s="24"/>
      <c r="W31" s="158"/>
      <c r="X31" s="557"/>
      <c r="Y31" s="40"/>
      <c r="Z31" s="40"/>
      <c r="AA31" s="40"/>
      <c r="AB31" s="40"/>
      <c r="AC31" s="40"/>
      <c r="AD31" s="40"/>
      <c r="AE31" s="166"/>
      <c r="AH31" s="130"/>
    </row>
    <row r="32" spans="2:34" s="1" customFormat="1" ht="14.55" customHeight="1" x14ac:dyDescent="0.2">
      <c r="B32" s="24"/>
      <c r="D32" s="521"/>
      <c r="E32" s="521"/>
      <c r="F32" s="534" t="s">
        <v>28</v>
      </c>
      <c r="G32" s="521"/>
      <c r="H32" s="521"/>
      <c r="I32" s="534" t="s">
        <v>27</v>
      </c>
      <c r="J32" s="534" t="s">
        <v>29</v>
      </c>
      <c r="L32" s="24"/>
      <c r="W32" s="158"/>
      <c r="X32" s="557"/>
      <c r="Y32" s="557"/>
      <c r="Z32" s="557"/>
      <c r="AA32" s="542" t="s">
        <v>28</v>
      </c>
      <c r="AB32" s="557"/>
      <c r="AC32" s="557"/>
      <c r="AD32" s="542" t="s">
        <v>27</v>
      </c>
      <c r="AE32" s="543" t="s">
        <v>29</v>
      </c>
      <c r="AH32" s="130"/>
    </row>
    <row r="33" spans="2:34" s="1" customFormat="1" ht="14.55" customHeight="1" x14ac:dyDescent="0.2">
      <c r="B33" s="24"/>
      <c r="D33" s="13" t="s">
        <v>30</v>
      </c>
      <c r="E33" s="528" t="s">
        <v>31</v>
      </c>
      <c r="F33" s="398">
        <f>ROUND((SUM(BE129:BE264)),  2)</f>
        <v>0</v>
      </c>
      <c r="G33" s="521"/>
      <c r="H33" s="521"/>
      <c r="I33" s="535">
        <v>0.2</v>
      </c>
      <c r="J33" s="398">
        <f>ROUND(((SUM(BE129:BE264))*I33),  2)</f>
        <v>0</v>
      </c>
      <c r="L33" s="24"/>
      <c r="W33" s="158"/>
      <c r="X33" s="557"/>
      <c r="Y33" s="544" t="s">
        <v>30</v>
      </c>
      <c r="Z33" s="538" t="s">
        <v>31</v>
      </c>
      <c r="AA33" s="545">
        <f>ROUND((SUM(BZ129:BZ264)),  2)</f>
        <v>0</v>
      </c>
      <c r="AB33" s="557"/>
      <c r="AC33" s="557"/>
      <c r="AD33" s="546">
        <v>0.2</v>
      </c>
      <c r="AE33" s="547">
        <f>ROUND(((SUM(BZ129:BZ264))*AD33),  2)</f>
        <v>0</v>
      </c>
      <c r="AH33" s="130"/>
    </row>
    <row r="34" spans="2:34" s="1" customFormat="1" ht="14.55" customHeight="1" x14ac:dyDescent="0.2">
      <c r="B34" s="24"/>
      <c r="D34" s="521"/>
      <c r="E34" s="528" t="s">
        <v>32</v>
      </c>
      <c r="F34" s="398">
        <f>ROUND((SUM(BF129:BF264)),  2)</f>
        <v>18767.37</v>
      </c>
      <c r="G34" s="521"/>
      <c r="H34" s="521"/>
      <c r="I34" s="535">
        <v>0.2</v>
      </c>
      <c r="J34" s="398">
        <f>ROUND(((SUM(BF129:BF264))*I34),  2)</f>
        <v>3753.47</v>
      </c>
      <c r="L34" s="24"/>
      <c r="W34" s="158"/>
      <c r="X34" s="557"/>
      <c r="Y34" s="557"/>
      <c r="Z34" s="538" t="s">
        <v>32</v>
      </c>
      <c r="AA34" s="545">
        <f>AE30</f>
        <v>40009.94</v>
      </c>
      <c r="AB34" s="557"/>
      <c r="AC34" s="557"/>
      <c r="AD34" s="546">
        <v>0.2</v>
      </c>
      <c r="AE34" s="547">
        <f>AE30*0.2</f>
        <v>8001.9880000000012</v>
      </c>
      <c r="AH34" s="130"/>
    </row>
    <row r="35" spans="2:34" s="1" customFormat="1" ht="14.55" hidden="1" customHeight="1" x14ac:dyDescent="0.2">
      <c r="B35" s="24"/>
      <c r="E35" s="21" t="s">
        <v>33</v>
      </c>
      <c r="F35" s="78">
        <f>ROUND((SUM(BG129:BG264)),  2)</f>
        <v>0</v>
      </c>
      <c r="I35" s="79">
        <v>0.2</v>
      </c>
      <c r="J35" s="78">
        <f>0</f>
        <v>0</v>
      </c>
      <c r="L35" s="24"/>
      <c r="W35" s="158"/>
      <c r="X35" s="557"/>
      <c r="Y35" s="557"/>
      <c r="Z35" s="538" t="s">
        <v>33</v>
      </c>
      <c r="AA35" s="545">
        <f>ROUND((SUM(CB129:CB264)),  2)</f>
        <v>0</v>
      </c>
      <c r="AB35" s="557"/>
      <c r="AC35" s="557"/>
      <c r="AD35" s="546">
        <v>0.2</v>
      </c>
      <c r="AE35" s="547">
        <f>0</f>
        <v>0</v>
      </c>
      <c r="AH35" s="130"/>
    </row>
    <row r="36" spans="2:34" s="1" customFormat="1" ht="14.55" hidden="1" customHeight="1" x14ac:dyDescent="0.2">
      <c r="B36" s="24"/>
      <c r="E36" s="21" t="s">
        <v>34</v>
      </c>
      <c r="F36" s="78">
        <f>ROUND((SUM(BH129:BH264)),  2)</f>
        <v>0</v>
      </c>
      <c r="I36" s="79">
        <v>0.2</v>
      </c>
      <c r="J36" s="78">
        <f>0</f>
        <v>0</v>
      </c>
      <c r="L36" s="24"/>
      <c r="W36" s="158"/>
      <c r="X36" s="557"/>
      <c r="Y36" s="557"/>
      <c r="Z36" s="538" t="s">
        <v>34</v>
      </c>
      <c r="AA36" s="545">
        <f>ROUND((SUM(CC129:CC264)),  2)</f>
        <v>0</v>
      </c>
      <c r="AB36" s="557"/>
      <c r="AC36" s="557"/>
      <c r="AD36" s="546">
        <v>0.2</v>
      </c>
      <c r="AE36" s="547">
        <f>0</f>
        <v>0</v>
      </c>
      <c r="AH36" s="130"/>
    </row>
    <row r="37" spans="2:34" s="1" customFormat="1" ht="14.55" hidden="1" customHeight="1" x14ac:dyDescent="0.2">
      <c r="B37" s="24"/>
      <c r="E37" s="21" t="s">
        <v>35</v>
      </c>
      <c r="F37" s="78">
        <f>ROUND((SUM(BI129:BI264)),  2)</f>
        <v>0</v>
      </c>
      <c r="I37" s="79">
        <v>0</v>
      </c>
      <c r="J37" s="78">
        <f>0</f>
        <v>0</v>
      </c>
      <c r="L37" s="24"/>
      <c r="W37" s="158"/>
      <c r="X37" s="557"/>
      <c r="Y37" s="557"/>
      <c r="Z37" s="538" t="s">
        <v>35</v>
      </c>
      <c r="AA37" s="545">
        <f>ROUND((SUM(CD129:CD264)),  2)</f>
        <v>0</v>
      </c>
      <c r="AB37" s="557"/>
      <c r="AC37" s="557"/>
      <c r="AD37" s="546">
        <v>0</v>
      </c>
      <c r="AE37" s="547">
        <f>0</f>
        <v>0</v>
      </c>
      <c r="AH37" s="130"/>
    </row>
    <row r="38" spans="2:34" s="1" customFormat="1" ht="7.05" customHeight="1" x14ac:dyDescent="0.2">
      <c r="B38" s="24"/>
      <c r="L38" s="24"/>
      <c r="W38" s="158"/>
      <c r="X38" s="557"/>
      <c r="Y38" s="557"/>
      <c r="Z38" s="557"/>
      <c r="AA38" s="557"/>
      <c r="AB38" s="557"/>
      <c r="AC38" s="557"/>
      <c r="AD38" s="557"/>
      <c r="AE38" s="159"/>
      <c r="AH38" s="130"/>
    </row>
    <row r="39" spans="2:34" s="1" customFormat="1" ht="25.2" customHeight="1" x14ac:dyDescent="0.2">
      <c r="B39" s="24"/>
      <c r="C39" s="80"/>
      <c r="D39" s="81" t="s">
        <v>36</v>
      </c>
      <c r="E39" s="44"/>
      <c r="F39" s="44"/>
      <c r="G39" s="82" t="s">
        <v>37</v>
      </c>
      <c r="H39" s="83" t="s">
        <v>38</v>
      </c>
      <c r="I39" s="44"/>
      <c r="J39" s="84">
        <f>SUM(J30:J37)</f>
        <v>22520.84</v>
      </c>
      <c r="K39" s="85"/>
      <c r="L39" s="24"/>
      <c r="W39" s="158"/>
      <c r="X39" s="173"/>
      <c r="Y39" s="81" t="s">
        <v>36</v>
      </c>
      <c r="Z39" s="44"/>
      <c r="AA39" s="44"/>
      <c r="AB39" s="82" t="s">
        <v>37</v>
      </c>
      <c r="AC39" s="83" t="s">
        <v>38</v>
      </c>
      <c r="AD39" s="44"/>
      <c r="AE39" s="174">
        <f>SUM(AE30:AE37)</f>
        <v>48011.928</v>
      </c>
      <c r="AH39" s="130"/>
    </row>
    <row r="40" spans="2:34" s="1" customFormat="1" ht="14.55" customHeight="1" x14ac:dyDescent="0.2">
      <c r="B40" s="24"/>
      <c r="L40" s="24"/>
      <c r="W40" s="158"/>
      <c r="X40" s="557"/>
      <c r="Y40" s="557"/>
      <c r="Z40" s="557"/>
      <c r="AA40" s="557"/>
      <c r="AB40" s="557"/>
      <c r="AC40" s="557"/>
      <c r="AD40" s="557"/>
      <c r="AE40" s="159"/>
      <c r="AH40" s="130"/>
    </row>
    <row r="41" spans="2:34" ht="14.55" customHeight="1" x14ac:dyDescent="0.2">
      <c r="B41" s="16"/>
      <c r="L41" s="16"/>
      <c r="W41" s="155"/>
      <c r="X41" s="156"/>
      <c r="Y41" s="156"/>
      <c r="Z41" s="156"/>
      <c r="AA41" s="156"/>
      <c r="AB41" s="156"/>
      <c r="AC41" s="156"/>
      <c r="AD41" s="156"/>
      <c r="AE41" s="157"/>
    </row>
    <row r="42" spans="2:34" ht="14.55" customHeight="1" x14ac:dyDescent="0.2">
      <c r="B42" s="16"/>
      <c r="L42" s="16"/>
      <c r="W42" s="155"/>
      <c r="X42" s="156"/>
      <c r="Y42" s="156"/>
      <c r="Z42" s="156"/>
      <c r="AA42" s="156"/>
      <c r="AB42" s="156"/>
      <c r="AC42" s="156"/>
      <c r="AD42" s="156"/>
      <c r="AE42" s="157"/>
    </row>
    <row r="43" spans="2:34" ht="14.55" customHeight="1" x14ac:dyDescent="0.2">
      <c r="B43" s="16"/>
      <c r="L43" s="16"/>
      <c r="W43" s="155"/>
      <c r="X43" s="156"/>
      <c r="Y43" s="156"/>
      <c r="Z43" s="156"/>
      <c r="AA43" s="156"/>
      <c r="AB43" s="156"/>
      <c r="AC43" s="156"/>
      <c r="AD43" s="156"/>
      <c r="AE43" s="157"/>
    </row>
    <row r="44" spans="2:34" ht="14.55" customHeight="1" x14ac:dyDescent="0.2">
      <c r="B44" s="16"/>
      <c r="L44" s="16"/>
      <c r="W44" s="155"/>
      <c r="X44" s="156"/>
      <c r="Y44" s="156"/>
      <c r="Z44" s="156"/>
      <c r="AA44" s="156"/>
      <c r="AB44" s="156"/>
      <c r="AC44" s="156"/>
      <c r="AD44" s="156"/>
      <c r="AE44" s="157"/>
    </row>
    <row r="45" spans="2:34" ht="14.55" customHeight="1" x14ac:dyDescent="0.2">
      <c r="B45" s="16"/>
      <c r="L45" s="16"/>
      <c r="W45" s="155"/>
      <c r="X45" s="156"/>
      <c r="Y45" s="156"/>
      <c r="Z45" s="156"/>
      <c r="AA45" s="156"/>
      <c r="AB45" s="156"/>
      <c r="AC45" s="156"/>
      <c r="AD45" s="156"/>
      <c r="AE45" s="157"/>
    </row>
    <row r="46" spans="2:34" ht="14.55" customHeight="1" x14ac:dyDescent="0.2">
      <c r="B46" s="16"/>
      <c r="L46" s="16"/>
      <c r="W46" s="155"/>
      <c r="X46" s="156"/>
      <c r="Y46" s="156"/>
      <c r="Z46" s="156"/>
      <c r="AA46" s="156"/>
      <c r="AB46" s="156"/>
      <c r="AC46" s="156"/>
      <c r="AD46" s="156"/>
      <c r="AE46" s="157"/>
    </row>
    <row r="47" spans="2:34" ht="14.55" customHeight="1" x14ac:dyDescent="0.2">
      <c r="B47" s="16"/>
      <c r="L47" s="16"/>
      <c r="W47" s="155"/>
      <c r="X47" s="156"/>
      <c r="Y47" s="156"/>
      <c r="Z47" s="156"/>
      <c r="AA47" s="156"/>
      <c r="AB47" s="156"/>
      <c r="AC47" s="156"/>
      <c r="AD47" s="156"/>
      <c r="AE47" s="157"/>
    </row>
    <row r="48" spans="2:34" ht="14.55" customHeight="1" x14ac:dyDescent="0.2">
      <c r="B48" s="16"/>
      <c r="L48" s="16"/>
      <c r="W48" s="155"/>
      <c r="X48" s="156"/>
      <c r="Y48" s="156"/>
      <c r="Z48" s="156"/>
      <c r="AA48" s="156"/>
      <c r="AB48" s="156"/>
      <c r="AC48" s="156"/>
      <c r="AD48" s="156"/>
      <c r="AE48" s="157"/>
    </row>
    <row r="49" spans="2:34" ht="14.55" customHeight="1" x14ac:dyDescent="0.2">
      <c r="B49" s="16"/>
      <c r="D49" s="156"/>
      <c r="E49" s="156"/>
      <c r="F49" s="156"/>
      <c r="G49" s="156"/>
      <c r="H49" s="156"/>
      <c r="I49" s="156"/>
      <c r="J49" s="156"/>
      <c r="L49" s="16"/>
      <c r="W49" s="155"/>
      <c r="X49" s="156"/>
      <c r="Y49" s="156"/>
      <c r="Z49" s="156"/>
      <c r="AA49" s="156"/>
      <c r="AB49" s="156"/>
      <c r="AC49" s="156"/>
      <c r="AD49" s="156"/>
      <c r="AE49" s="157"/>
    </row>
    <row r="50" spans="2:34" s="1" customFormat="1" ht="14.55" customHeight="1" x14ac:dyDescent="0.2">
      <c r="B50" s="24"/>
      <c r="D50" s="530"/>
      <c r="E50" s="523"/>
      <c r="F50" s="523"/>
      <c r="G50" s="530"/>
      <c r="H50" s="523"/>
      <c r="I50" s="523"/>
      <c r="J50" s="523"/>
      <c r="K50" s="32"/>
      <c r="L50" s="24"/>
      <c r="W50" s="158"/>
      <c r="X50" s="557"/>
      <c r="Y50" s="530"/>
      <c r="Z50" s="557"/>
      <c r="AA50" s="557"/>
      <c r="AB50" s="530"/>
      <c r="AC50" s="557"/>
      <c r="AD50" s="557"/>
      <c r="AE50" s="159"/>
      <c r="AH50" s="130"/>
    </row>
    <row r="51" spans="2:34" x14ac:dyDescent="0.2">
      <c r="B51" s="16"/>
      <c r="D51" s="156"/>
      <c r="E51" s="156"/>
      <c r="F51" s="156"/>
      <c r="G51" s="156"/>
      <c r="H51" s="156"/>
      <c r="I51" s="156"/>
      <c r="J51" s="156"/>
      <c r="L51" s="16"/>
      <c r="W51" s="155"/>
      <c r="X51" s="156"/>
      <c r="Y51" s="156"/>
      <c r="Z51" s="156"/>
      <c r="AA51" s="156"/>
      <c r="AB51" s="156"/>
      <c r="AC51" s="156"/>
      <c r="AD51" s="156"/>
      <c r="AE51" s="157"/>
    </row>
    <row r="52" spans="2:34" x14ac:dyDescent="0.2">
      <c r="B52" s="16"/>
      <c r="D52" s="156"/>
      <c r="E52" s="156"/>
      <c r="F52" s="156"/>
      <c r="G52" s="156"/>
      <c r="H52" s="156"/>
      <c r="I52" s="156"/>
      <c r="J52" s="156"/>
      <c r="L52" s="16"/>
      <c r="W52" s="155"/>
      <c r="X52" s="156"/>
      <c r="Y52" s="156"/>
      <c r="Z52" s="156"/>
      <c r="AA52" s="156"/>
      <c r="AB52" s="156"/>
      <c r="AC52" s="156"/>
      <c r="AD52" s="156"/>
      <c r="AE52" s="157"/>
    </row>
    <row r="53" spans="2:34" x14ac:dyDescent="0.2">
      <c r="B53" s="16"/>
      <c r="D53" s="156"/>
      <c r="E53" s="156"/>
      <c r="F53" s="156"/>
      <c r="G53" s="156"/>
      <c r="H53" s="156"/>
      <c r="I53" s="156"/>
      <c r="J53" s="156"/>
      <c r="L53" s="16"/>
      <c r="W53" s="155"/>
      <c r="X53" s="156"/>
      <c r="Y53" s="156"/>
      <c r="Z53" s="156"/>
      <c r="AA53" s="156"/>
      <c r="AB53" s="156"/>
      <c r="AC53" s="156"/>
      <c r="AD53" s="156"/>
      <c r="AE53" s="157"/>
    </row>
    <row r="54" spans="2:34" x14ac:dyDescent="0.2">
      <c r="B54" s="16"/>
      <c r="D54" s="156"/>
      <c r="E54" s="156"/>
      <c r="F54" s="156"/>
      <c r="G54" s="156"/>
      <c r="H54" s="156"/>
      <c r="I54" s="156"/>
      <c r="J54" s="156"/>
      <c r="L54" s="16"/>
      <c r="W54" s="155"/>
      <c r="X54" s="156"/>
      <c r="Y54" s="156"/>
      <c r="Z54" s="156"/>
      <c r="AA54" s="156"/>
      <c r="AB54" s="156"/>
      <c r="AC54" s="156"/>
      <c r="AD54" s="156"/>
      <c r="AE54" s="157"/>
    </row>
    <row r="55" spans="2:34" x14ac:dyDescent="0.2">
      <c r="B55" s="16"/>
      <c r="D55" s="156"/>
      <c r="E55" s="156"/>
      <c r="F55" s="156"/>
      <c r="G55" s="156"/>
      <c r="H55" s="156"/>
      <c r="I55" s="156"/>
      <c r="J55" s="156"/>
      <c r="L55" s="16"/>
      <c r="W55" s="155"/>
      <c r="X55" s="156"/>
      <c r="Y55" s="156"/>
      <c r="Z55" s="156"/>
      <c r="AA55" s="156"/>
      <c r="AB55" s="156"/>
      <c r="AC55" s="156"/>
      <c r="AD55" s="156"/>
      <c r="AE55" s="157"/>
    </row>
    <row r="56" spans="2:34" x14ac:dyDescent="0.2">
      <c r="B56" s="16"/>
      <c r="D56" s="156"/>
      <c r="E56" s="156"/>
      <c r="F56" s="156"/>
      <c r="G56" s="156"/>
      <c r="H56" s="156"/>
      <c r="I56" s="156"/>
      <c r="J56" s="156"/>
      <c r="L56" s="16"/>
      <c r="W56" s="155"/>
      <c r="X56" s="156"/>
      <c r="Y56" s="156"/>
      <c r="Z56" s="156"/>
      <c r="AA56" s="156"/>
      <c r="AB56" s="156"/>
      <c r="AC56" s="156"/>
      <c r="AD56" s="156"/>
      <c r="AE56" s="157"/>
    </row>
    <row r="57" spans="2:34" x14ac:dyDescent="0.2">
      <c r="B57" s="16"/>
      <c r="D57" s="156"/>
      <c r="E57" s="156"/>
      <c r="F57" s="156"/>
      <c r="G57" s="156"/>
      <c r="H57" s="156"/>
      <c r="I57" s="156"/>
      <c r="J57" s="156"/>
      <c r="L57" s="16"/>
      <c r="W57" s="155"/>
      <c r="X57" s="156"/>
      <c r="Y57" s="156"/>
      <c r="Z57" s="156"/>
      <c r="AA57" s="156"/>
      <c r="AB57" s="156"/>
      <c r="AC57" s="156"/>
      <c r="AD57" s="156"/>
      <c r="AE57" s="157"/>
    </row>
    <row r="58" spans="2:34" x14ac:dyDescent="0.2">
      <c r="B58" s="16"/>
      <c r="D58" s="156"/>
      <c r="E58" s="156"/>
      <c r="F58" s="156"/>
      <c r="G58" s="156"/>
      <c r="H58" s="156"/>
      <c r="I58" s="156"/>
      <c r="J58" s="156"/>
      <c r="L58" s="16"/>
      <c r="W58" s="155"/>
      <c r="X58" s="156"/>
      <c r="Y58" s="156"/>
      <c r="Z58" s="156"/>
      <c r="AA58" s="156"/>
      <c r="AB58" s="156"/>
      <c r="AC58" s="156"/>
      <c r="AD58" s="156"/>
      <c r="AE58" s="157"/>
    </row>
    <row r="59" spans="2:34" x14ac:dyDescent="0.2">
      <c r="B59" s="16"/>
      <c r="D59" s="156"/>
      <c r="E59" s="156"/>
      <c r="F59" s="156"/>
      <c r="G59" s="156"/>
      <c r="H59" s="156"/>
      <c r="I59" s="156"/>
      <c r="J59" s="156"/>
      <c r="L59" s="16"/>
      <c r="W59" s="155"/>
      <c r="X59" s="156"/>
      <c r="Y59" s="156"/>
      <c r="Z59" s="156"/>
      <c r="AA59" s="156"/>
      <c r="AB59" s="156"/>
      <c r="AC59" s="156"/>
      <c r="AD59" s="156"/>
      <c r="AE59" s="157"/>
    </row>
    <row r="60" spans="2:34" x14ac:dyDescent="0.2">
      <c r="B60" s="16"/>
      <c r="D60" s="156"/>
      <c r="E60" s="156"/>
      <c r="F60" s="156"/>
      <c r="G60" s="156"/>
      <c r="H60" s="156"/>
      <c r="I60" s="156"/>
      <c r="J60" s="156"/>
      <c r="L60" s="16"/>
      <c r="W60" s="155"/>
      <c r="X60" s="156"/>
      <c r="Y60" s="156"/>
      <c r="Z60" s="156"/>
      <c r="AA60" s="156"/>
      <c r="AB60" s="156"/>
      <c r="AC60" s="156"/>
      <c r="AD60" s="156"/>
      <c r="AE60" s="157"/>
    </row>
    <row r="61" spans="2:34" s="1" customFormat="1" ht="13.2" x14ac:dyDescent="0.2">
      <c r="B61" s="24"/>
      <c r="D61" s="522"/>
      <c r="E61" s="523"/>
      <c r="F61" s="536"/>
      <c r="G61" s="522"/>
      <c r="H61" s="523"/>
      <c r="I61" s="523"/>
      <c r="J61" s="169"/>
      <c r="K61" s="26"/>
      <c r="L61" s="24"/>
      <c r="W61" s="158"/>
      <c r="X61" s="557"/>
      <c r="Y61" s="559"/>
      <c r="Z61" s="557"/>
      <c r="AA61" s="536"/>
      <c r="AB61" s="559"/>
      <c r="AC61" s="557"/>
      <c r="AD61" s="557"/>
      <c r="AE61" s="577"/>
      <c r="AH61" s="130"/>
    </row>
    <row r="62" spans="2:34" x14ac:dyDescent="0.2">
      <c r="B62" s="16"/>
      <c r="D62" s="156"/>
      <c r="E62" s="156"/>
      <c r="F62" s="156"/>
      <c r="G62" s="156"/>
      <c r="H62" s="156"/>
      <c r="I62" s="156"/>
      <c r="J62" s="156"/>
      <c r="L62" s="16"/>
      <c r="W62" s="155"/>
      <c r="X62" s="156"/>
      <c r="Y62" s="156"/>
      <c r="Z62" s="156"/>
      <c r="AA62" s="156"/>
      <c r="AB62" s="156"/>
      <c r="AC62" s="156"/>
      <c r="AD62" s="156"/>
      <c r="AE62" s="157"/>
    </row>
    <row r="63" spans="2:34" x14ac:dyDescent="0.2">
      <c r="B63" s="16"/>
      <c r="D63" s="156"/>
      <c r="E63" s="156"/>
      <c r="F63" s="156"/>
      <c r="G63" s="156"/>
      <c r="H63" s="156"/>
      <c r="I63" s="156"/>
      <c r="J63" s="156"/>
      <c r="L63" s="16"/>
      <c r="W63" s="155"/>
      <c r="X63" s="156"/>
      <c r="Y63" s="156"/>
      <c r="Z63" s="156"/>
      <c r="AA63" s="156"/>
      <c r="AB63" s="156"/>
      <c r="AC63" s="156"/>
      <c r="AD63" s="156"/>
      <c r="AE63" s="157"/>
    </row>
    <row r="64" spans="2:34" x14ac:dyDescent="0.2">
      <c r="B64" s="16"/>
      <c r="D64" s="156"/>
      <c r="E64" s="156"/>
      <c r="F64" s="156"/>
      <c r="G64" s="156"/>
      <c r="H64" s="156"/>
      <c r="I64" s="156"/>
      <c r="J64" s="156"/>
      <c r="L64" s="16"/>
      <c r="W64" s="155"/>
      <c r="X64" s="156"/>
      <c r="Y64" s="156"/>
      <c r="Z64" s="156"/>
      <c r="AA64" s="156"/>
      <c r="AB64" s="156"/>
      <c r="AC64" s="156"/>
      <c r="AD64" s="156"/>
      <c r="AE64" s="157"/>
    </row>
    <row r="65" spans="2:34" s="1" customFormat="1" ht="13.2" x14ac:dyDescent="0.2">
      <c r="B65" s="24"/>
      <c r="D65" s="530"/>
      <c r="E65" s="523"/>
      <c r="F65" s="523"/>
      <c r="G65" s="530"/>
      <c r="H65" s="523"/>
      <c r="I65" s="523"/>
      <c r="J65" s="523"/>
      <c r="K65" s="32"/>
      <c r="L65" s="24"/>
      <c r="W65" s="158"/>
      <c r="X65" s="557"/>
      <c r="Y65" s="530"/>
      <c r="Z65" s="557"/>
      <c r="AA65" s="557"/>
      <c r="AB65" s="530"/>
      <c r="AC65" s="557"/>
      <c r="AD65" s="557"/>
      <c r="AE65" s="159"/>
      <c r="AH65" s="130"/>
    </row>
    <row r="66" spans="2:34" x14ac:dyDescent="0.2">
      <c r="B66" s="16"/>
      <c r="D66" s="156"/>
      <c r="E66" s="156"/>
      <c r="F66" s="156"/>
      <c r="G66" s="156"/>
      <c r="H66" s="156"/>
      <c r="I66" s="156"/>
      <c r="J66" s="156"/>
      <c r="L66" s="16"/>
      <c r="W66" s="155"/>
      <c r="X66" s="156"/>
      <c r="Y66" s="156"/>
      <c r="Z66" s="156"/>
      <c r="AA66" s="156"/>
      <c r="AB66" s="156"/>
      <c r="AC66" s="156"/>
      <c r="AD66" s="156"/>
      <c r="AE66" s="157"/>
    </row>
    <row r="67" spans="2:34" x14ac:dyDescent="0.2">
      <c r="B67" s="16"/>
      <c r="D67" s="156"/>
      <c r="E67" s="156"/>
      <c r="F67" s="156"/>
      <c r="G67" s="156"/>
      <c r="H67" s="156"/>
      <c r="I67" s="156"/>
      <c r="J67" s="156"/>
      <c r="L67" s="16"/>
      <c r="W67" s="155"/>
      <c r="X67" s="156"/>
      <c r="Y67" s="156"/>
      <c r="Z67" s="156"/>
      <c r="AA67" s="156"/>
      <c r="AB67" s="156"/>
      <c r="AC67" s="156"/>
      <c r="AD67" s="156"/>
      <c r="AE67" s="157"/>
    </row>
    <row r="68" spans="2:34" x14ac:dyDescent="0.2">
      <c r="B68" s="16"/>
      <c r="D68" s="156"/>
      <c r="E68" s="156"/>
      <c r="F68" s="156"/>
      <c r="G68" s="156"/>
      <c r="H68" s="156"/>
      <c r="I68" s="156"/>
      <c r="J68" s="156"/>
      <c r="L68" s="16"/>
      <c r="W68" s="155"/>
      <c r="X68" s="156"/>
      <c r="Y68" s="156"/>
      <c r="Z68" s="156"/>
      <c r="AA68" s="156"/>
      <c r="AB68" s="156"/>
      <c r="AC68" s="156"/>
      <c r="AD68" s="156"/>
      <c r="AE68" s="157"/>
    </row>
    <row r="69" spans="2:34" x14ac:dyDescent="0.2">
      <c r="B69" s="16"/>
      <c r="D69" s="156"/>
      <c r="E69" s="156"/>
      <c r="F69" s="156"/>
      <c r="G69" s="156"/>
      <c r="H69" s="156"/>
      <c r="I69" s="156"/>
      <c r="J69" s="156"/>
      <c r="L69" s="16"/>
      <c r="W69" s="155"/>
      <c r="X69" s="156"/>
      <c r="Y69" s="156"/>
      <c r="Z69" s="156"/>
      <c r="AA69" s="156"/>
      <c r="AB69" s="156"/>
      <c r="AC69" s="156"/>
      <c r="AD69" s="156"/>
      <c r="AE69" s="157"/>
    </row>
    <row r="70" spans="2:34" x14ac:dyDescent="0.2">
      <c r="B70" s="16"/>
      <c r="D70" s="156"/>
      <c r="E70" s="156"/>
      <c r="F70" s="156"/>
      <c r="G70" s="156"/>
      <c r="H70" s="156"/>
      <c r="I70" s="156"/>
      <c r="J70" s="156"/>
      <c r="L70" s="16"/>
      <c r="W70" s="155"/>
      <c r="X70" s="156"/>
      <c r="Y70" s="156"/>
      <c r="Z70" s="156"/>
      <c r="AA70" s="156"/>
      <c r="AB70" s="156"/>
      <c r="AC70" s="156"/>
      <c r="AD70" s="156"/>
      <c r="AE70" s="157"/>
    </row>
    <row r="71" spans="2:34" x14ac:dyDescent="0.2">
      <c r="B71" s="16"/>
      <c r="D71" s="156"/>
      <c r="E71" s="156"/>
      <c r="F71" s="156"/>
      <c r="G71" s="156"/>
      <c r="H71" s="156"/>
      <c r="I71" s="156"/>
      <c r="J71" s="156"/>
      <c r="L71" s="16"/>
      <c r="W71" s="155"/>
      <c r="X71" s="156"/>
      <c r="Y71" s="156"/>
      <c r="Z71" s="156"/>
      <c r="AA71" s="156"/>
      <c r="AB71" s="156"/>
      <c r="AC71" s="156"/>
      <c r="AD71" s="156"/>
      <c r="AE71" s="157"/>
    </row>
    <row r="72" spans="2:34" x14ac:dyDescent="0.2">
      <c r="B72" s="16"/>
      <c r="D72" s="156"/>
      <c r="E72" s="156"/>
      <c r="F72" s="156"/>
      <c r="G72" s="156"/>
      <c r="H72" s="156"/>
      <c r="I72" s="156"/>
      <c r="J72" s="156"/>
      <c r="L72" s="16"/>
      <c r="W72" s="155"/>
      <c r="X72" s="156"/>
      <c r="Y72" s="156"/>
      <c r="Z72" s="156"/>
      <c r="AA72" s="156"/>
      <c r="AB72" s="156"/>
      <c r="AC72" s="156"/>
      <c r="AD72" s="156"/>
      <c r="AE72" s="157"/>
    </row>
    <row r="73" spans="2:34" x14ac:dyDescent="0.2">
      <c r="B73" s="16"/>
      <c r="D73" s="156"/>
      <c r="E73" s="156"/>
      <c r="F73" s="156"/>
      <c r="G73" s="156"/>
      <c r="H73" s="156"/>
      <c r="I73" s="156"/>
      <c r="J73" s="156"/>
      <c r="L73" s="16"/>
      <c r="W73" s="155"/>
      <c r="X73" s="156"/>
      <c r="Y73" s="156"/>
      <c r="Z73" s="156"/>
      <c r="AA73" s="156"/>
      <c r="AB73" s="156"/>
      <c r="AC73" s="156"/>
      <c r="AD73" s="156"/>
      <c r="AE73" s="157"/>
    </row>
    <row r="74" spans="2:34" x14ac:dyDescent="0.2">
      <c r="B74" s="16"/>
      <c r="D74" s="156"/>
      <c r="E74" s="156"/>
      <c r="F74" s="156"/>
      <c r="G74" s="156"/>
      <c r="H74" s="156"/>
      <c r="I74" s="156"/>
      <c r="J74" s="156"/>
      <c r="L74" s="16"/>
      <c r="W74" s="155"/>
      <c r="X74" s="156"/>
      <c r="Y74" s="156"/>
      <c r="Z74" s="156"/>
      <c r="AA74" s="156"/>
      <c r="AB74" s="156"/>
      <c r="AC74" s="156"/>
      <c r="AD74" s="156"/>
      <c r="AE74" s="157"/>
    </row>
    <row r="75" spans="2:34" x14ac:dyDescent="0.2">
      <c r="B75" s="16"/>
      <c r="D75" s="156"/>
      <c r="E75" s="156"/>
      <c r="F75" s="156"/>
      <c r="G75" s="156"/>
      <c r="H75" s="156"/>
      <c r="I75" s="156"/>
      <c r="J75" s="156"/>
      <c r="L75" s="16"/>
      <c r="W75" s="155"/>
      <c r="X75" s="156"/>
      <c r="Y75" s="156"/>
      <c r="Z75" s="156"/>
      <c r="AA75" s="156"/>
      <c r="AB75" s="156"/>
      <c r="AC75" s="156"/>
      <c r="AD75" s="156"/>
      <c r="AE75" s="157"/>
    </row>
    <row r="76" spans="2:34" s="1" customFormat="1" ht="13.2" x14ac:dyDescent="0.2">
      <c r="B76" s="24"/>
      <c r="D76" s="522"/>
      <c r="E76" s="523"/>
      <c r="F76" s="536"/>
      <c r="G76" s="522"/>
      <c r="H76" s="523"/>
      <c r="I76" s="523"/>
      <c r="J76" s="169"/>
      <c r="K76" s="26"/>
      <c r="L76" s="24"/>
      <c r="W76" s="158"/>
      <c r="X76" s="557"/>
      <c r="Y76" s="559"/>
      <c r="Z76" s="557"/>
      <c r="AA76" s="536"/>
      <c r="AB76" s="559"/>
      <c r="AC76" s="557"/>
      <c r="AD76" s="557"/>
      <c r="AE76" s="577"/>
      <c r="AH76" s="130"/>
    </row>
    <row r="77" spans="2:34" s="1" customFormat="1" ht="14.55" customHeight="1" x14ac:dyDescent="0.2">
      <c r="B77" s="33"/>
      <c r="C77" s="34"/>
      <c r="D77" s="34"/>
      <c r="E77" s="34"/>
      <c r="F77" s="34"/>
      <c r="G77" s="34"/>
      <c r="H77" s="34"/>
      <c r="I77" s="34"/>
      <c r="J77" s="34"/>
      <c r="K77" s="34"/>
      <c r="L77" s="24"/>
      <c r="W77" s="175"/>
      <c r="X77" s="176"/>
      <c r="Y77" s="176"/>
      <c r="Z77" s="176"/>
      <c r="AA77" s="176"/>
      <c r="AB77" s="176"/>
      <c r="AC77" s="176"/>
      <c r="AD77" s="176"/>
      <c r="AE77" s="177"/>
      <c r="AH77" s="130"/>
    </row>
    <row r="81" spans="2:47" s="1" customFormat="1" ht="7.05" customHeight="1" x14ac:dyDescent="0.2">
      <c r="B81" s="35"/>
      <c r="C81" s="36"/>
      <c r="D81" s="36"/>
      <c r="E81" s="36"/>
      <c r="F81" s="36"/>
      <c r="G81" s="36"/>
      <c r="H81" s="36"/>
      <c r="I81" s="36"/>
      <c r="J81" s="36"/>
      <c r="K81" s="36"/>
      <c r="L81" s="24"/>
      <c r="W81" s="178"/>
      <c r="X81" s="179"/>
      <c r="Y81" s="179"/>
      <c r="Z81" s="179"/>
      <c r="AA81" s="179"/>
      <c r="AB81" s="179"/>
      <c r="AC81" s="179"/>
      <c r="AD81" s="179"/>
      <c r="AE81" s="180"/>
      <c r="AH81" s="130"/>
    </row>
    <row r="82" spans="2:47" s="1" customFormat="1" ht="25.05" customHeight="1" x14ac:dyDescent="0.2">
      <c r="B82" s="24"/>
      <c r="C82" s="1165" t="s">
        <v>188</v>
      </c>
      <c r="D82" s="1165"/>
      <c r="E82" s="1165"/>
      <c r="F82" s="1165"/>
      <c r="G82" s="1165"/>
      <c r="H82" s="1165"/>
      <c r="I82" s="1165"/>
      <c r="J82" s="1165"/>
      <c r="L82" s="24"/>
      <c r="W82" s="158"/>
      <c r="X82" s="1237" t="s">
        <v>188</v>
      </c>
      <c r="Y82" s="1237"/>
      <c r="Z82" s="1237"/>
      <c r="AA82" s="1237"/>
      <c r="AB82" s="1237"/>
      <c r="AC82" s="1237"/>
      <c r="AD82" s="1237"/>
      <c r="AE82" s="1238"/>
      <c r="AH82" s="130"/>
    </row>
    <row r="83" spans="2:47" s="1" customFormat="1" ht="7.05" customHeight="1" x14ac:dyDescent="0.2">
      <c r="B83" s="24"/>
      <c r="L83" s="24"/>
      <c r="W83" s="158"/>
      <c r="X83" s="557"/>
      <c r="Y83" s="557"/>
      <c r="Z83" s="557"/>
      <c r="AA83" s="557"/>
      <c r="AB83" s="557"/>
      <c r="AC83" s="557"/>
      <c r="AD83" s="557"/>
      <c r="AE83" s="159"/>
      <c r="AH83" s="130"/>
    </row>
    <row r="84" spans="2:47" s="1" customFormat="1" ht="12" customHeight="1" x14ac:dyDescent="0.2">
      <c r="B84" s="24"/>
      <c r="C84" s="528" t="s">
        <v>12</v>
      </c>
      <c r="E84" s="1242" t="s">
        <v>6177</v>
      </c>
      <c r="F84" s="1242"/>
      <c r="G84" s="1242"/>
      <c r="H84" s="1242"/>
      <c r="I84" s="1242"/>
      <c r="J84" s="1242"/>
      <c r="L84" s="24"/>
      <c r="W84" s="158"/>
      <c r="X84" s="538" t="s">
        <v>12</v>
      </c>
      <c r="Y84" s="557"/>
      <c r="Z84" s="1163" t="s">
        <v>6177</v>
      </c>
      <c r="AA84" s="1163"/>
      <c r="AB84" s="1163"/>
      <c r="AC84" s="1163"/>
      <c r="AD84" s="1163"/>
      <c r="AE84" s="1241"/>
      <c r="AH84" s="130"/>
    </row>
    <row r="85" spans="2:47" s="1" customFormat="1" ht="26.55" customHeight="1" x14ac:dyDescent="0.2">
      <c r="B85" s="24"/>
      <c r="C85" s="521"/>
      <c r="E85" s="1243"/>
      <c r="F85" s="1244"/>
      <c r="G85" s="1244"/>
      <c r="H85" s="1244"/>
      <c r="L85" s="24"/>
      <c r="W85" s="158"/>
      <c r="X85" s="557"/>
      <c r="Y85" s="557"/>
      <c r="Z85" s="1249"/>
      <c r="AA85" s="1250"/>
      <c r="AB85" s="1250"/>
      <c r="AC85" s="1250"/>
      <c r="AD85" s="557"/>
      <c r="AE85" s="159"/>
      <c r="AH85" s="130"/>
    </row>
    <row r="86" spans="2:47" s="1" customFormat="1" ht="12" customHeight="1" x14ac:dyDescent="0.2">
      <c r="B86" s="24"/>
      <c r="C86" s="528" t="s">
        <v>186</v>
      </c>
      <c r="F86" s="532" t="s">
        <v>3442</v>
      </c>
      <c r="L86" s="24"/>
      <c r="W86" s="158"/>
      <c r="X86" s="538" t="s">
        <v>186</v>
      </c>
      <c r="Y86" s="557"/>
      <c r="Z86" s="557"/>
      <c r="AA86" s="555" t="s">
        <v>3442</v>
      </c>
      <c r="AB86" s="557"/>
      <c r="AC86" s="557"/>
      <c r="AD86" s="557"/>
      <c r="AE86" s="159"/>
      <c r="AH86" s="130"/>
    </row>
    <row r="87" spans="2:47" s="1" customFormat="1" ht="16.5" customHeight="1" x14ac:dyDescent="0.2">
      <c r="B87" s="24"/>
      <c r="C87" s="521"/>
      <c r="E87" s="1251"/>
      <c r="F87" s="1252"/>
      <c r="G87" s="1252"/>
      <c r="H87" s="1252"/>
      <c r="L87" s="24"/>
      <c r="W87" s="158"/>
      <c r="X87" s="557"/>
      <c r="Y87" s="557"/>
      <c r="Z87" s="1245"/>
      <c r="AA87" s="1246"/>
      <c r="AB87" s="1246"/>
      <c r="AC87" s="1246"/>
      <c r="AD87" s="557"/>
      <c r="AE87" s="159"/>
      <c r="AH87" s="130"/>
    </row>
    <row r="88" spans="2:47" s="1" customFormat="1" ht="7.05" customHeight="1" x14ac:dyDescent="0.2">
      <c r="B88" s="24"/>
      <c r="C88" s="521"/>
      <c r="L88" s="24"/>
      <c r="W88" s="158"/>
      <c r="X88" s="557"/>
      <c r="Y88" s="557"/>
      <c r="Z88" s="557"/>
      <c r="AA88" s="557"/>
      <c r="AB88" s="557"/>
      <c r="AC88" s="557"/>
      <c r="AD88" s="557"/>
      <c r="AE88" s="159"/>
      <c r="AH88" s="130"/>
    </row>
    <row r="89" spans="2:47" s="1" customFormat="1" ht="12" customHeight="1" x14ac:dyDescent="0.2">
      <c r="B89" s="24"/>
      <c r="C89" s="528" t="s">
        <v>15</v>
      </c>
      <c r="F89" s="19" t="str">
        <f>F12</f>
        <v>Kuzmányho nábrežie 28, 960 01 Zvolen</v>
      </c>
      <c r="I89" s="528" t="s">
        <v>17</v>
      </c>
      <c r="J89" s="39" t="str">
        <f>IF(J12="","",J12)</f>
        <v/>
      </c>
      <c r="L89" s="24"/>
      <c r="W89" s="158"/>
      <c r="X89" s="538" t="s">
        <v>15</v>
      </c>
      <c r="Y89" s="557"/>
      <c r="Z89" s="557"/>
      <c r="AA89" s="558" t="str">
        <f>AA12</f>
        <v>Kuzmányho nábrežie 28, 960 01 Zvolen</v>
      </c>
      <c r="AB89" s="557"/>
      <c r="AC89" s="557"/>
      <c r="AD89" s="538" t="s">
        <v>17</v>
      </c>
      <c r="AE89" s="162" t="str">
        <f>IF(AE12="","",AE12)</f>
        <v/>
      </c>
      <c r="AH89" s="130"/>
    </row>
    <row r="90" spans="2:47" s="1" customFormat="1" ht="7.05" customHeight="1" x14ac:dyDescent="0.2">
      <c r="B90" s="24"/>
      <c r="C90" s="521"/>
      <c r="I90" s="521"/>
      <c r="L90" s="24"/>
      <c r="W90" s="158"/>
      <c r="X90" s="557"/>
      <c r="Y90" s="557"/>
      <c r="Z90" s="557"/>
      <c r="AA90" s="557"/>
      <c r="AB90" s="557"/>
      <c r="AC90" s="557"/>
      <c r="AD90" s="557"/>
      <c r="AE90" s="159"/>
      <c r="AH90" s="130"/>
    </row>
    <row r="91" spans="2:47" s="1" customFormat="1" ht="15.3" customHeight="1" x14ac:dyDescent="0.2">
      <c r="B91" s="24"/>
      <c r="C91" s="528" t="s">
        <v>18</v>
      </c>
      <c r="F91" s="529" t="s">
        <v>6175</v>
      </c>
      <c r="I91" s="528" t="s">
        <v>22</v>
      </c>
      <c r="J91" s="22" t="str">
        <f>E21</f>
        <v xml:space="preserve"> </v>
      </c>
      <c r="L91" s="24"/>
      <c r="W91" s="158"/>
      <c r="X91" s="538" t="s">
        <v>18</v>
      </c>
      <c r="Y91" s="557"/>
      <c r="Z91" s="557"/>
      <c r="AA91" s="576" t="s">
        <v>6175</v>
      </c>
      <c r="AB91" s="557"/>
      <c r="AC91" s="557"/>
      <c r="AD91" s="538" t="s">
        <v>22</v>
      </c>
      <c r="AE91" s="181" t="str">
        <f>Z21</f>
        <v/>
      </c>
      <c r="AH91" s="130"/>
    </row>
    <row r="92" spans="2:47" s="1" customFormat="1" ht="15.3" customHeight="1" x14ac:dyDescent="0.2">
      <c r="B92" s="24"/>
      <c r="C92" s="528" t="s">
        <v>21</v>
      </c>
      <c r="F92" s="529" t="s">
        <v>5202</v>
      </c>
      <c r="I92" s="528" t="s">
        <v>24</v>
      </c>
      <c r="J92" s="22" t="str">
        <f>E24</f>
        <v xml:space="preserve"> </v>
      </c>
      <c r="L92" s="24"/>
      <c r="W92" s="158"/>
      <c r="X92" s="538" t="s">
        <v>21</v>
      </c>
      <c r="Y92" s="557"/>
      <c r="Z92" s="557"/>
      <c r="AA92" s="576" t="s">
        <v>5202</v>
      </c>
      <c r="AB92" s="557"/>
      <c r="AC92" s="557"/>
      <c r="AD92" s="538" t="s">
        <v>24</v>
      </c>
      <c r="AE92" s="181" t="str">
        <f>Z24</f>
        <v/>
      </c>
      <c r="AH92" s="130"/>
    </row>
    <row r="93" spans="2:47" s="1" customFormat="1" ht="10.199999999999999" customHeight="1" x14ac:dyDescent="0.2">
      <c r="B93" s="24"/>
      <c r="L93" s="24"/>
      <c r="W93" s="158"/>
      <c r="X93" s="557"/>
      <c r="Y93" s="557"/>
      <c r="Z93" s="557"/>
      <c r="AA93" s="557"/>
      <c r="AB93" s="557"/>
      <c r="AC93" s="557"/>
      <c r="AD93" s="557"/>
      <c r="AE93" s="159"/>
      <c r="AH93" s="130"/>
    </row>
    <row r="94" spans="2:47" s="1" customFormat="1" ht="29.25" customHeight="1" x14ac:dyDescent="0.2">
      <c r="B94" s="24"/>
      <c r="C94" s="86" t="s">
        <v>189</v>
      </c>
      <c r="D94" s="80"/>
      <c r="E94" s="80"/>
      <c r="F94" s="80"/>
      <c r="G94" s="80"/>
      <c r="H94" s="80"/>
      <c r="I94" s="80"/>
      <c r="J94" s="87" t="s">
        <v>190</v>
      </c>
      <c r="K94" s="80"/>
      <c r="L94" s="24"/>
      <c r="W94" s="158"/>
      <c r="X94" s="182" t="s">
        <v>189</v>
      </c>
      <c r="Y94" s="173"/>
      <c r="Z94" s="173"/>
      <c r="AA94" s="173"/>
      <c r="AB94" s="173"/>
      <c r="AC94" s="173"/>
      <c r="AD94" s="173"/>
      <c r="AE94" s="183" t="s">
        <v>190</v>
      </c>
      <c r="AH94" s="130"/>
    </row>
    <row r="95" spans="2:47" s="1" customFormat="1" ht="10.199999999999999" customHeight="1" x14ac:dyDescent="0.2">
      <c r="B95" s="24"/>
      <c r="L95" s="24"/>
      <c r="W95" s="158"/>
      <c r="X95" s="557"/>
      <c r="Y95" s="557"/>
      <c r="Z95" s="557"/>
      <c r="AA95" s="557"/>
      <c r="AB95" s="557"/>
      <c r="AC95" s="557"/>
      <c r="AD95" s="557"/>
      <c r="AE95" s="159"/>
      <c r="AH95" s="130"/>
    </row>
    <row r="96" spans="2:47" s="1" customFormat="1" ht="22.95" customHeight="1" x14ac:dyDescent="0.2">
      <c r="B96" s="24"/>
      <c r="C96" s="88" t="s">
        <v>191</v>
      </c>
      <c r="J96" s="53">
        <f>J129</f>
        <v>18767.37</v>
      </c>
      <c r="L96" s="24"/>
      <c r="W96" s="158"/>
      <c r="X96" s="184" t="s">
        <v>191</v>
      </c>
      <c r="Y96" s="557"/>
      <c r="Z96" s="557"/>
      <c r="AA96" s="557"/>
      <c r="AB96" s="557"/>
      <c r="AC96" s="557"/>
      <c r="AD96" s="557"/>
      <c r="AE96" s="168">
        <f>AE129</f>
        <v>40009.94</v>
      </c>
      <c r="AH96" s="130"/>
      <c r="AU96" s="13" t="s">
        <v>192</v>
      </c>
    </row>
    <row r="97" spans="2:34" s="8" customFormat="1" ht="25.05" customHeight="1" x14ac:dyDescent="0.2">
      <c r="B97" s="89"/>
      <c r="D97" s="90" t="s">
        <v>193</v>
      </c>
      <c r="E97" s="91"/>
      <c r="F97" s="91"/>
      <c r="G97" s="91"/>
      <c r="H97" s="91"/>
      <c r="I97" s="91"/>
      <c r="J97" s="92">
        <f>J130</f>
        <v>1430.46</v>
      </c>
      <c r="L97" s="89"/>
      <c r="W97" s="185"/>
      <c r="X97" s="186"/>
      <c r="Y97" s="90" t="s">
        <v>193</v>
      </c>
      <c r="Z97" s="91"/>
      <c r="AA97" s="91"/>
      <c r="AB97" s="91"/>
      <c r="AC97" s="91"/>
      <c r="AD97" s="91"/>
      <c r="AE97" s="187">
        <f>AE130</f>
        <v>15573.150000000001</v>
      </c>
      <c r="AH97" s="328"/>
    </row>
    <row r="98" spans="2:34" s="9" customFormat="1" ht="19.95" customHeight="1" x14ac:dyDescent="0.2">
      <c r="B98" s="93"/>
      <c r="D98" s="94" t="s">
        <v>892</v>
      </c>
      <c r="E98" s="95"/>
      <c r="F98" s="95"/>
      <c r="G98" s="95"/>
      <c r="H98" s="95"/>
      <c r="I98" s="95"/>
      <c r="J98" s="96">
        <f>J131</f>
        <v>1251.24</v>
      </c>
      <c r="L98" s="93"/>
      <c r="W98" s="188"/>
      <c r="X98" s="189"/>
      <c r="Y98" s="94" t="s">
        <v>892</v>
      </c>
      <c r="Z98" s="95"/>
      <c r="AA98" s="95"/>
      <c r="AB98" s="95"/>
      <c r="AC98" s="95"/>
      <c r="AD98" s="95"/>
      <c r="AE98" s="190">
        <f>AE131</f>
        <v>6824.8399999999992</v>
      </c>
      <c r="AH98" s="405"/>
    </row>
    <row r="99" spans="2:34" s="9" customFormat="1" ht="19.95" customHeight="1" x14ac:dyDescent="0.25">
      <c r="B99" s="93"/>
      <c r="D99" s="94"/>
      <c r="E99" s="95"/>
      <c r="F99" s="95"/>
      <c r="G99" s="95"/>
      <c r="H99" s="95"/>
      <c r="I99" s="95"/>
      <c r="J99" s="96"/>
      <c r="L99" s="93"/>
      <c r="W99" s="188"/>
      <c r="X99" s="189"/>
      <c r="Y99" s="201" t="s">
        <v>6035</v>
      </c>
      <c r="Z99" s="95"/>
      <c r="AA99" s="95"/>
      <c r="AB99" s="95"/>
      <c r="AC99" s="95"/>
      <c r="AD99" s="95"/>
      <c r="AE99" s="190">
        <f>AE143</f>
        <v>1658.19</v>
      </c>
      <c r="AH99" s="405"/>
    </row>
    <row r="100" spans="2:34" s="9" customFormat="1" ht="19.95" customHeight="1" x14ac:dyDescent="0.25">
      <c r="B100" s="93"/>
      <c r="D100" s="94"/>
      <c r="E100" s="95"/>
      <c r="F100" s="95"/>
      <c r="G100" s="95"/>
      <c r="H100" s="95"/>
      <c r="I100" s="95"/>
      <c r="J100" s="96"/>
      <c r="L100" s="93"/>
      <c r="W100" s="188"/>
      <c r="X100" s="189"/>
      <c r="Y100" s="201" t="s">
        <v>6069</v>
      </c>
      <c r="Z100" s="95"/>
      <c r="AA100" s="95"/>
      <c r="AB100" s="95"/>
      <c r="AC100" s="95"/>
      <c r="AD100" s="95"/>
      <c r="AE100" s="190">
        <f>AE145</f>
        <v>2043.6999999999998</v>
      </c>
      <c r="AH100" s="405"/>
    </row>
    <row r="101" spans="2:34" s="9" customFormat="1" ht="19.95" customHeight="1" x14ac:dyDescent="0.25">
      <c r="B101" s="93"/>
      <c r="D101" s="94"/>
      <c r="E101" s="95"/>
      <c r="F101" s="95"/>
      <c r="G101" s="95"/>
      <c r="H101" s="95"/>
      <c r="I101" s="95"/>
      <c r="J101" s="96"/>
      <c r="L101" s="93"/>
      <c r="W101" s="188"/>
      <c r="X101" s="189"/>
      <c r="Y101" s="201" t="s">
        <v>6070</v>
      </c>
      <c r="Z101" s="95"/>
      <c r="AA101" s="95"/>
      <c r="AB101" s="95"/>
      <c r="AC101" s="95"/>
      <c r="AD101" s="95"/>
      <c r="AE101" s="190">
        <f>AE153</f>
        <v>3981.54</v>
      </c>
      <c r="AH101" s="405"/>
    </row>
    <row r="102" spans="2:34" s="9" customFormat="1" ht="19.95" customHeight="1" x14ac:dyDescent="0.25">
      <c r="B102" s="93"/>
      <c r="D102" s="94"/>
      <c r="E102" s="95"/>
      <c r="F102" s="95"/>
      <c r="G102" s="95"/>
      <c r="H102" s="95"/>
      <c r="I102" s="95"/>
      <c r="J102" s="96"/>
      <c r="L102" s="93"/>
      <c r="W102" s="188"/>
      <c r="X102" s="189"/>
      <c r="Y102" s="201" t="s">
        <v>6071</v>
      </c>
      <c r="Z102" s="95"/>
      <c r="AA102" s="95"/>
      <c r="AB102" s="95"/>
      <c r="AC102" s="95"/>
      <c r="AD102" s="95"/>
      <c r="AE102" s="190">
        <f>AE159</f>
        <v>38</v>
      </c>
      <c r="AH102" s="405"/>
    </row>
    <row r="103" spans="2:34" s="9" customFormat="1" ht="19.95" customHeight="1" x14ac:dyDescent="0.2">
      <c r="B103" s="93"/>
      <c r="D103" s="94" t="s">
        <v>895</v>
      </c>
      <c r="E103" s="95"/>
      <c r="F103" s="95"/>
      <c r="G103" s="95"/>
      <c r="H103" s="95"/>
      <c r="I103" s="95"/>
      <c r="J103" s="96">
        <f>J165</f>
        <v>179.22</v>
      </c>
      <c r="L103" s="93"/>
      <c r="W103" s="188"/>
      <c r="X103" s="189"/>
      <c r="Y103" s="94" t="s">
        <v>895</v>
      </c>
      <c r="Z103" s="95"/>
      <c r="AA103" s="95"/>
      <c r="AB103" s="95"/>
      <c r="AC103" s="95"/>
      <c r="AD103" s="95"/>
      <c r="AE103" s="190">
        <f>AE165</f>
        <v>1026.8800000000001</v>
      </c>
      <c r="AH103" s="405"/>
    </row>
    <row r="104" spans="2:34" s="8" customFormat="1" ht="25.05" customHeight="1" x14ac:dyDescent="0.2">
      <c r="B104" s="89"/>
      <c r="D104" s="90" t="s">
        <v>202</v>
      </c>
      <c r="E104" s="91"/>
      <c r="F104" s="91"/>
      <c r="G104" s="91"/>
      <c r="H104" s="91"/>
      <c r="I104" s="91"/>
      <c r="J104" s="92">
        <f>J167</f>
        <v>17336.91</v>
      </c>
      <c r="L104" s="89"/>
      <c r="W104" s="185"/>
      <c r="X104" s="186"/>
      <c r="Y104" s="90" t="s">
        <v>202</v>
      </c>
      <c r="Z104" s="91"/>
      <c r="AA104" s="91"/>
      <c r="AB104" s="91"/>
      <c r="AC104" s="91"/>
      <c r="AD104" s="91"/>
      <c r="AE104" s="187">
        <f>AE167</f>
        <v>24436.789999999997</v>
      </c>
      <c r="AH104" s="328"/>
    </row>
    <row r="105" spans="2:34" s="9" customFormat="1" ht="19.95" customHeight="1" x14ac:dyDescent="0.2">
      <c r="B105" s="93"/>
      <c r="D105" s="94" t="s">
        <v>896</v>
      </c>
      <c r="E105" s="95"/>
      <c r="F105" s="95"/>
      <c r="G105" s="95"/>
      <c r="H105" s="95"/>
      <c r="I105" s="95"/>
      <c r="J105" s="96">
        <f>J168</f>
        <v>1071.57</v>
      </c>
      <c r="L105" s="93"/>
      <c r="W105" s="188"/>
      <c r="X105" s="189"/>
      <c r="Y105" s="94" t="s">
        <v>896</v>
      </c>
      <c r="Z105" s="95"/>
      <c r="AA105" s="95"/>
      <c r="AB105" s="95"/>
      <c r="AC105" s="95"/>
      <c r="AD105" s="95"/>
      <c r="AE105" s="190">
        <f>AE168</f>
        <v>1293.79</v>
      </c>
      <c r="AH105" s="405"/>
    </row>
    <row r="106" spans="2:34" s="9" customFormat="1" ht="19.95" customHeight="1" x14ac:dyDescent="0.2">
      <c r="B106" s="93"/>
      <c r="D106" s="94" t="s">
        <v>897</v>
      </c>
      <c r="E106" s="95"/>
      <c r="F106" s="95"/>
      <c r="G106" s="95"/>
      <c r="H106" s="95"/>
      <c r="I106" s="95"/>
      <c r="J106" s="96">
        <f>J171</f>
        <v>4704.24</v>
      </c>
      <c r="L106" s="93"/>
      <c r="W106" s="188"/>
      <c r="X106" s="189"/>
      <c r="Y106" s="94" t="s">
        <v>897</v>
      </c>
      <c r="Z106" s="95"/>
      <c r="AA106" s="95"/>
      <c r="AB106" s="95"/>
      <c r="AC106" s="95"/>
      <c r="AD106" s="95"/>
      <c r="AE106" s="190">
        <f>AE171</f>
        <v>7133.4000000000005</v>
      </c>
      <c r="AH106" s="405"/>
    </row>
    <row r="107" spans="2:34" s="9" customFormat="1" ht="19.95" customHeight="1" x14ac:dyDescent="0.2">
      <c r="B107" s="93"/>
      <c r="D107" s="94" t="s">
        <v>204</v>
      </c>
      <c r="E107" s="95"/>
      <c r="F107" s="95"/>
      <c r="G107" s="95"/>
      <c r="H107" s="95"/>
      <c r="I107" s="95"/>
      <c r="J107" s="96">
        <f>J193</f>
        <v>6967.9699999999975</v>
      </c>
      <c r="L107" s="93"/>
      <c r="W107" s="188"/>
      <c r="X107" s="189"/>
      <c r="Y107" s="94" t="s">
        <v>204</v>
      </c>
      <c r="Z107" s="95"/>
      <c r="AA107" s="95"/>
      <c r="AB107" s="95"/>
      <c r="AC107" s="95"/>
      <c r="AD107" s="95"/>
      <c r="AE107" s="190">
        <f>AE193</f>
        <v>10248.299999999999</v>
      </c>
      <c r="AH107" s="405"/>
    </row>
    <row r="108" spans="2:34" s="9" customFormat="1" ht="19.95" customHeight="1" x14ac:dyDescent="0.2">
      <c r="B108" s="93"/>
      <c r="D108" s="94" t="s">
        <v>205</v>
      </c>
      <c r="E108" s="95"/>
      <c r="F108" s="95"/>
      <c r="G108" s="95"/>
      <c r="H108" s="95"/>
      <c r="I108" s="95"/>
      <c r="J108" s="96">
        <f>J234</f>
        <v>4545.2300000000005</v>
      </c>
      <c r="L108" s="93"/>
      <c r="W108" s="188"/>
      <c r="X108" s="189"/>
      <c r="Y108" s="94" t="s">
        <v>205</v>
      </c>
      <c r="Z108" s="95"/>
      <c r="AA108" s="95"/>
      <c r="AB108" s="95"/>
      <c r="AC108" s="95"/>
      <c r="AD108" s="95"/>
      <c r="AE108" s="190">
        <f>AE234</f>
        <v>5713.3999999999987</v>
      </c>
      <c r="AH108" s="405"/>
    </row>
    <row r="109" spans="2:34" s="9" customFormat="1" ht="19.95" customHeight="1" x14ac:dyDescent="0.2">
      <c r="B109" s="93"/>
      <c r="D109" s="94" t="s">
        <v>213</v>
      </c>
      <c r="E109" s="95"/>
      <c r="F109" s="95"/>
      <c r="G109" s="95"/>
      <c r="H109" s="95"/>
      <c r="I109" s="95"/>
      <c r="J109" s="96">
        <f>J262</f>
        <v>47.9</v>
      </c>
      <c r="L109" s="93"/>
      <c r="W109" s="188"/>
      <c r="X109" s="189"/>
      <c r="Y109" s="94" t="s">
        <v>213</v>
      </c>
      <c r="Z109" s="95"/>
      <c r="AA109" s="95"/>
      <c r="AB109" s="95"/>
      <c r="AC109" s="95"/>
      <c r="AD109" s="95"/>
      <c r="AE109" s="190">
        <f>AE262</f>
        <v>47.9</v>
      </c>
      <c r="AH109" s="405"/>
    </row>
    <row r="110" spans="2:34" s="1" customFormat="1" ht="21.75" customHeight="1" x14ac:dyDescent="0.2">
      <c r="B110" s="24"/>
      <c r="L110" s="24"/>
      <c r="W110" s="158"/>
      <c r="X110" s="557"/>
      <c r="Y110" s="557"/>
      <c r="Z110" s="557"/>
      <c r="AA110" s="557"/>
      <c r="AB110" s="557"/>
      <c r="AC110" s="557"/>
      <c r="AD110" s="557"/>
      <c r="AE110" s="159"/>
      <c r="AH110" s="130"/>
    </row>
    <row r="111" spans="2:34" s="1" customFormat="1" ht="7.05" customHeight="1" x14ac:dyDescent="0.2">
      <c r="B111" s="33"/>
      <c r="C111" s="34"/>
      <c r="D111" s="34"/>
      <c r="E111" s="34"/>
      <c r="F111" s="34"/>
      <c r="G111" s="34"/>
      <c r="H111" s="34"/>
      <c r="I111" s="34"/>
      <c r="J111" s="34"/>
      <c r="K111" s="34"/>
      <c r="L111" s="24"/>
      <c r="W111" s="175"/>
      <c r="X111" s="176"/>
      <c r="Y111" s="176"/>
      <c r="Z111" s="176"/>
      <c r="AA111" s="176"/>
      <c r="AB111" s="176"/>
      <c r="AC111" s="176"/>
      <c r="AD111" s="176"/>
      <c r="AE111" s="177"/>
      <c r="AH111" s="130"/>
    </row>
    <row r="112" spans="2:34" x14ac:dyDescent="0.2">
      <c r="V112" s="156"/>
      <c r="W112" s="156"/>
      <c r="X112" s="156"/>
      <c r="Y112" s="156"/>
      <c r="Z112" s="156"/>
      <c r="AA112" s="156"/>
      <c r="AB112" s="156"/>
      <c r="AC112" s="156"/>
      <c r="AD112" s="156"/>
      <c r="AE112" s="156"/>
    </row>
    <row r="113" spans="2:34" x14ac:dyDescent="0.2">
      <c r="V113" s="156"/>
      <c r="W113" s="156"/>
      <c r="X113" s="156"/>
      <c r="Y113" s="156"/>
      <c r="Z113" s="156"/>
      <c r="AA113" s="156"/>
      <c r="AB113" s="156"/>
      <c r="AC113" s="156"/>
      <c r="AD113" s="156"/>
      <c r="AE113" s="156"/>
    </row>
    <row r="114" spans="2:34" x14ac:dyDescent="0.2">
      <c r="V114" s="156"/>
      <c r="W114" s="156"/>
      <c r="X114" s="156"/>
      <c r="Y114" s="156"/>
      <c r="Z114" s="156"/>
      <c r="AA114" s="156"/>
      <c r="AB114" s="156"/>
      <c r="AC114" s="156"/>
      <c r="AD114" s="156"/>
      <c r="AE114" s="156"/>
    </row>
    <row r="115" spans="2:34" s="1" customFormat="1" ht="7.05" customHeight="1" x14ac:dyDescent="0.2">
      <c r="B115" s="35"/>
      <c r="C115" s="36"/>
      <c r="D115" s="36"/>
      <c r="E115" s="36"/>
      <c r="F115" s="36"/>
      <c r="G115" s="36"/>
      <c r="H115" s="36"/>
      <c r="I115" s="36"/>
      <c r="J115" s="36"/>
      <c r="K115" s="36"/>
      <c r="L115" s="24"/>
      <c r="W115" s="178"/>
      <c r="X115" s="179"/>
      <c r="Y115" s="179"/>
      <c r="Z115" s="179"/>
      <c r="AA115" s="179"/>
      <c r="AB115" s="179"/>
      <c r="AC115" s="179"/>
      <c r="AD115" s="179"/>
      <c r="AE115" s="180"/>
      <c r="AH115" s="130"/>
    </row>
    <row r="116" spans="2:34" s="1" customFormat="1" ht="25.05" customHeight="1" x14ac:dyDescent="0.2">
      <c r="B116" s="24"/>
      <c r="C116" s="1165" t="s">
        <v>214</v>
      </c>
      <c r="D116" s="1165"/>
      <c r="E116" s="1165"/>
      <c r="F116" s="1165"/>
      <c r="G116" s="1165"/>
      <c r="H116" s="1165"/>
      <c r="I116" s="1165"/>
      <c r="J116" s="1165"/>
      <c r="L116" s="24"/>
      <c r="W116" s="158"/>
      <c r="X116" s="1237" t="s">
        <v>214</v>
      </c>
      <c r="Y116" s="1237"/>
      <c r="Z116" s="1237"/>
      <c r="AA116" s="1237"/>
      <c r="AB116" s="1237"/>
      <c r="AC116" s="1237"/>
      <c r="AD116" s="1237"/>
      <c r="AE116" s="1238"/>
      <c r="AH116" s="130"/>
    </row>
    <row r="117" spans="2:34" s="1" customFormat="1" ht="7.05" customHeight="1" x14ac:dyDescent="0.2">
      <c r="B117" s="24"/>
      <c r="L117" s="24"/>
      <c r="W117" s="158"/>
      <c r="X117" s="557"/>
      <c r="Y117" s="557"/>
      <c r="Z117" s="557"/>
      <c r="AA117" s="557"/>
      <c r="AB117" s="557"/>
      <c r="AC117" s="557"/>
      <c r="AD117" s="557"/>
      <c r="AE117" s="159"/>
      <c r="AH117" s="130"/>
    </row>
    <row r="118" spans="2:34" s="1" customFormat="1" ht="12" customHeight="1" x14ac:dyDescent="0.2">
      <c r="B118" s="24"/>
      <c r="C118" s="553" t="s">
        <v>12</v>
      </c>
      <c r="E118" s="1242" t="s">
        <v>6177</v>
      </c>
      <c r="F118" s="1242"/>
      <c r="G118" s="1242"/>
      <c r="H118" s="1242"/>
      <c r="I118" s="1242"/>
      <c r="J118" s="1242"/>
      <c r="L118" s="24"/>
      <c r="W118" s="158"/>
      <c r="X118" s="538" t="s">
        <v>12</v>
      </c>
      <c r="Y118" s="557"/>
      <c r="Z118" s="1163" t="s">
        <v>6177</v>
      </c>
      <c r="AA118" s="1163"/>
      <c r="AB118" s="1163"/>
      <c r="AC118" s="1163"/>
      <c r="AD118" s="1163"/>
      <c r="AE118" s="1241"/>
      <c r="AH118" s="130"/>
    </row>
    <row r="119" spans="2:34" s="1" customFormat="1" ht="24.45" customHeight="1" x14ac:dyDescent="0.2">
      <c r="B119" s="24"/>
      <c r="C119" s="552"/>
      <c r="E119" s="1243"/>
      <c r="F119" s="1244"/>
      <c r="G119" s="1244"/>
      <c r="H119" s="1244"/>
      <c r="L119" s="24"/>
      <c r="W119" s="158"/>
      <c r="X119" s="557"/>
      <c r="Y119" s="557"/>
      <c r="Z119" s="1249"/>
      <c r="AA119" s="1250"/>
      <c r="AB119" s="1250"/>
      <c r="AC119" s="1250"/>
      <c r="AD119" s="557"/>
      <c r="AE119" s="159"/>
      <c r="AH119" s="130"/>
    </row>
    <row r="120" spans="2:34" s="1" customFormat="1" ht="12" customHeight="1" x14ac:dyDescent="0.2">
      <c r="B120" s="24"/>
      <c r="C120" s="553" t="s">
        <v>186</v>
      </c>
      <c r="F120" s="532" t="s">
        <v>3442</v>
      </c>
      <c r="L120" s="24"/>
      <c r="W120" s="158"/>
      <c r="X120" s="538" t="s">
        <v>186</v>
      </c>
      <c r="Y120" s="557"/>
      <c r="Z120" s="557"/>
      <c r="AA120" s="555" t="s">
        <v>3442</v>
      </c>
      <c r="AB120" s="557"/>
      <c r="AC120" s="557"/>
      <c r="AD120" s="557"/>
      <c r="AE120" s="159"/>
      <c r="AH120" s="130"/>
    </row>
    <row r="121" spans="2:34" s="1" customFormat="1" ht="16.5" customHeight="1" x14ac:dyDescent="0.2">
      <c r="B121" s="24"/>
      <c r="C121" s="552"/>
      <c r="E121" s="1251"/>
      <c r="F121" s="1252"/>
      <c r="G121" s="1252"/>
      <c r="H121" s="1252"/>
      <c r="L121" s="24"/>
      <c r="W121" s="158"/>
      <c r="X121" s="557"/>
      <c r="Y121" s="557"/>
      <c r="Z121" s="1245"/>
      <c r="AA121" s="1246"/>
      <c r="AB121" s="1246"/>
      <c r="AC121" s="1246"/>
      <c r="AD121" s="557"/>
      <c r="AE121" s="159"/>
      <c r="AH121" s="130"/>
    </row>
    <row r="122" spans="2:34" s="1" customFormat="1" ht="7.05" customHeight="1" x14ac:dyDescent="0.2">
      <c r="B122" s="24"/>
      <c r="C122" s="552"/>
      <c r="L122" s="24"/>
      <c r="W122" s="158"/>
      <c r="X122" s="557"/>
      <c r="Y122" s="557"/>
      <c r="Z122" s="557"/>
      <c r="AA122" s="557"/>
      <c r="AB122" s="557"/>
      <c r="AC122" s="557"/>
      <c r="AD122" s="557"/>
      <c r="AE122" s="159"/>
      <c r="AH122" s="130"/>
    </row>
    <row r="123" spans="2:34" s="1" customFormat="1" ht="12" customHeight="1" x14ac:dyDescent="0.2">
      <c r="B123" s="24"/>
      <c r="C123" s="553" t="s">
        <v>15</v>
      </c>
      <c r="F123" s="19" t="str">
        <f>F12</f>
        <v>Kuzmányho nábrežie 28, 960 01 Zvolen</v>
      </c>
      <c r="I123" s="553" t="s">
        <v>17</v>
      </c>
      <c r="J123" s="39" t="str">
        <f>IF(J12="","",J12)</f>
        <v/>
      </c>
      <c r="L123" s="24"/>
      <c r="W123" s="158"/>
      <c r="X123" s="538" t="s">
        <v>15</v>
      </c>
      <c r="Y123" s="557"/>
      <c r="Z123" s="557"/>
      <c r="AA123" s="558" t="str">
        <f>AA12</f>
        <v>Kuzmányho nábrežie 28, 960 01 Zvolen</v>
      </c>
      <c r="AB123" s="557"/>
      <c r="AC123" s="557"/>
      <c r="AD123" s="538" t="s">
        <v>17</v>
      </c>
      <c r="AE123" s="162" t="str">
        <f>IF(AE12="","",AE12)</f>
        <v/>
      </c>
      <c r="AH123" s="130"/>
    </row>
    <row r="124" spans="2:34" s="1" customFormat="1" ht="7.05" customHeight="1" x14ac:dyDescent="0.2">
      <c r="B124" s="24"/>
      <c r="C124" s="552"/>
      <c r="I124" s="552"/>
      <c r="L124" s="24"/>
      <c r="W124" s="158"/>
      <c r="X124" s="557"/>
      <c r="Y124" s="557"/>
      <c r="Z124" s="557"/>
      <c r="AA124" s="557"/>
      <c r="AB124" s="557"/>
      <c r="AC124" s="557"/>
      <c r="AD124" s="557"/>
      <c r="AE124" s="159"/>
      <c r="AH124" s="130"/>
    </row>
    <row r="125" spans="2:34" s="1" customFormat="1" ht="15.3" customHeight="1" x14ac:dyDescent="0.2">
      <c r="B125" s="24"/>
      <c r="C125" s="553" t="s">
        <v>18</v>
      </c>
      <c r="F125" s="529" t="s">
        <v>6175</v>
      </c>
      <c r="I125" s="553" t="s">
        <v>22</v>
      </c>
      <c r="J125" s="22" t="str">
        <f>E21</f>
        <v xml:space="preserve"> </v>
      </c>
      <c r="L125" s="24"/>
      <c r="W125" s="158"/>
      <c r="X125" s="538" t="s">
        <v>18</v>
      </c>
      <c r="Y125" s="557"/>
      <c r="Z125" s="557"/>
      <c r="AA125" s="576" t="s">
        <v>6175</v>
      </c>
      <c r="AB125" s="557"/>
      <c r="AC125" s="557"/>
      <c r="AD125" s="538" t="s">
        <v>22</v>
      </c>
      <c r="AE125" s="181" t="str">
        <f>Z21</f>
        <v/>
      </c>
      <c r="AH125" s="130"/>
    </row>
    <row r="126" spans="2:34" s="1" customFormat="1" ht="15.3" customHeight="1" x14ac:dyDescent="0.2">
      <c r="B126" s="24"/>
      <c r="C126" s="553" t="s">
        <v>21</v>
      </c>
      <c r="F126" s="529" t="s">
        <v>5202</v>
      </c>
      <c r="I126" s="553" t="s">
        <v>24</v>
      </c>
      <c r="J126" s="22" t="str">
        <f>E24</f>
        <v xml:space="preserve"> </v>
      </c>
      <c r="L126" s="24"/>
      <c r="W126" s="158"/>
      <c r="X126" s="538" t="s">
        <v>21</v>
      </c>
      <c r="Y126" s="557"/>
      <c r="Z126" s="557"/>
      <c r="AA126" s="576" t="s">
        <v>5202</v>
      </c>
      <c r="AB126" s="557"/>
      <c r="AC126" s="557"/>
      <c r="AD126" s="538" t="s">
        <v>24</v>
      </c>
      <c r="AE126" s="181" t="str">
        <f>Z24</f>
        <v/>
      </c>
      <c r="AH126" s="130"/>
    </row>
    <row r="127" spans="2:34" s="1" customFormat="1" ht="10.199999999999999" customHeight="1" x14ac:dyDescent="0.2">
      <c r="B127" s="24"/>
      <c r="L127" s="24"/>
      <c r="W127" s="158"/>
      <c r="X127" s="557"/>
      <c r="Y127" s="557"/>
      <c r="Z127" s="557"/>
      <c r="AA127" s="557"/>
      <c r="AB127" s="557"/>
      <c r="AC127" s="557"/>
      <c r="AD127" s="557"/>
      <c r="AE127" s="159"/>
      <c r="AH127" s="130"/>
    </row>
    <row r="128" spans="2:34" s="10" customFormat="1" ht="29.25" customHeight="1" x14ac:dyDescent="0.2">
      <c r="B128" s="97"/>
      <c r="C128" s="98" t="s">
        <v>215</v>
      </c>
      <c r="D128" s="99" t="s">
        <v>43</v>
      </c>
      <c r="E128" s="99" t="s">
        <v>41</v>
      </c>
      <c r="F128" s="99" t="s">
        <v>42</v>
      </c>
      <c r="G128" s="99" t="s">
        <v>216</v>
      </c>
      <c r="H128" s="99" t="s">
        <v>217</v>
      </c>
      <c r="I128" s="99" t="s">
        <v>218</v>
      </c>
      <c r="J128" s="100" t="s">
        <v>190</v>
      </c>
      <c r="K128" s="101" t="s">
        <v>219</v>
      </c>
      <c r="L128" s="97"/>
      <c r="M128" s="46" t="s">
        <v>1</v>
      </c>
      <c r="N128" s="47" t="s">
        <v>30</v>
      </c>
      <c r="O128" s="47" t="s">
        <v>220</v>
      </c>
      <c r="P128" s="47" t="s">
        <v>221</v>
      </c>
      <c r="Q128" s="47" t="s">
        <v>222</v>
      </c>
      <c r="R128" s="47" t="s">
        <v>223</v>
      </c>
      <c r="S128" s="47" t="s">
        <v>224</v>
      </c>
      <c r="T128" s="48" t="s">
        <v>225</v>
      </c>
      <c r="W128" s="191"/>
      <c r="X128" s="98" t="s">
        <v>215</v>
      </c>
      <c r="Y128" s="99" t="s">
        <v>43</v>
      </c>
      <c r="Z128" s="99" t="s">
        <v>41</v>
      </c>
      <c r="AA128" s="99" t="s">
        <v>42</v>
      </c>
      <c r="AB128" s="99" t="s">
        <v>216</v>
      </c>
      <c r="AC128" s="99" t="s">
        <v>217</v>
      </c>
      <c r="AD128" s="99" t="s">
        <v>218</v>
      </c>
      <c r="AE128" s="192" t="s">
        <v>190</v>
      </c>
      <c r="AF128" s="228" t="s">
        <v>5220</v>
      </c>
      <c r="AH128" s="395"/>
    </row>
    <row r="129" spans="2:65" s="1" customFormat="1" ht="22.95" customHeight="1" x14ac:dyDescent="0.3">
      <c r="B129" s="24"/>
      <c r="C129" s="51" t="s">
        <v>191</v>
      </c>
      <c r="J129" s="102">
        <f>BK129</f>
        <v>18767.37</v>
      </c>
      <c r="L129" s="24"/>
      <c r="M129" s="49"/>
      <c r="N129" s="40"/>
      <c r="O129" s="40"/>
      <c r="P129" s="103">
        <f>P130+P167</f>
        <v>20.864712000000001</v>
      </c>
      <c r="Q129" s="40"/>
      <c r="R129" s="103">
        <f>R130+R167</f>
        <v>0</v>
      </c>
      <c r="S129" s="40"/>
      <c r="T129" s="104">
        <f>T130+T167</f>
        <v>0</v>
      </c>
      <c r="W129" s="158"/>
      <c r="X129" s="193" t="s">
        <v>191</v>
      </c>
      <c r="Y129" s="557"/>
      <c r="Z129" s="557"/>
      <c r="AA129" s="557"/>
      <c r="AB129" s="557"/>
      <c r="AC129" s="557"/>
      <c r="AD129" s="557"/>
      <c r="AE129" s="194">
        <f>AE130+AE167</f>
        <v>40009.94</v>
      </c>
      <c r="AF129" s="403"/>
      <c r="AG129" s="130"/>
      <c r="AH129" s="130"/>
      <c r="AT129" s="13" t="s">
        <v>57</v>
      </c>
      <c r="AU129" s="13" t="s">
        <v>192</v>
      </c>
      <c r="BK129" s="105">
        <f>BK130+BK167</f>
        <v>18767.37</v>
      </c>
    </row>
    <row r="130" spans="2:65" s="11" customFormat="1" ht="25.95" customHeight="1" x14ac:dyDescent="0.25">
      <c r="B130" s="106"/>
      <c r="D130" s="107" t="s">
        <v>57</v>
      </c>
      <c r="E130" s="108" t="s">
        <v>226</v>
      </c>
      <c r="F130" s="108" t="s">
        <v>227</v>
      </c>
      <c r="J130" s="109">
        <f>BK130</f>
        <v>1430.46</v>
      </c>
      <c r="L130" s="106"/>
      <c r="M130" s="110"/>
      <c r="N130" s="111"/>
      <c r="O130" s="111"/>
      <c r="P130" s="112">
        <f>P131+P165</f>
        <v>20.864712000000001</v>
      </c>
      <c r="Q130" s="111"/>
      <c r="R130" s="112">
        <f>R131+R165</f>
        <v>0</v>
      </c>
      <c r="S130" s="111"/>
      <c r="T130" s="113">
        <f>T131+T165</f>
        <v>0</v>
      </c>
      <c r="W130" s="195"/>
      <c r="X130" s="111"/>
      <c r="Y130" s="196" t="s">
        <v>57</v>
      </c>
      <c r="Z130" s="197" t="s">
        <v>226</v>
      </c>
      <c r="AA130" s="197" t="s">
        <v>227</v>
      </c>
      <c r="AB130" s="111"/>
      <c r="AC130" s="111"/>
      <c r="AD130" s="111"/>
      <c r="AE130" s="198">
        <f>AE131+AE143+AE145+AE153+AE159+AE165</f>
        <v>15573.150000000001</v>
      </c>
      <c r="AG130" s="364"/>
      <c r="AH130" s="364"/>
      <c r="AR130" s="107" t="s">
        <v>63</v>
      </c>
      <c r="AT130" s="114" t="s">
        <v>57</v>
      </c>
      <c r="AU130" s="114" t="s">
        <v>58</v>
      </c>
      <c r="AY130" s="107" t="s">
        <v>228</v>
      </c>
      <c r="BK130" s="115">
        <f>BK131+BK165</f>
        <v>1430.46</v>
      </c>
    </row>
    <row r="131" spans="2:65" s="11" customFormat="1" ht="22.95" customHeight="1" x14ac:dyDescent="0.25">
      <c r="B131" s="106"/>
      <c r="D131" s="107" t="s">
        <v>57</v>
      </c>
      <c r="E131" s="116" t="s">
        <v>63</v>
      </c>
      <c r="F131" s="116" t="s">
        <v>898</v>
      </c>
      <c r="J131" s="117">
        <f>BK131</f>
        <v>1251.24</v>
      </c>
      <c r="L131" s="106"/>
      <c r="M131" s="110"/>
      <c r="N131" s="111"/>
      <c r="O131" s="111"/>
      <c r="P131" s="112">
        <f>SUM(P132:P142)</f>
        <v>1.0691999999999999</v>
      </c>
      <c r="Q131" s="111"/>
      <c r="R131" s="112">
        <f>SUM(R132:R142)</f>
        <v>0</v>
      </c>
      <c r="S131" s="111"/>
      <c r="T131" s="113">
        <f>SUM(T132:T142)</f>
        <v>0</v>
      </c>
      <c r="W131" s="195"/>
      <c r="X131" s="111"/>
      <c r="Y131" s="196" t="s">
        <v>57</v>
      </c>
      <c r="Z131" s="201" t="s">
        <v>63</v>
      </c>
      <c r="AA131" s="201" t="s">
        <v>898</v>
      </c>
      <c r="AB131" s="111"/>
      <c r="AC131" s="111"/>
      <c r="AD131" s="111"/>
      <c r="AE131" s="202">
        <f>SUM(AE132:AE142)</f>
        <v>6824.8399999999992</v>
      </c>
      <c r="AH131" s="364"/>
      <c r="AR131" s="107" t="s">
        <v>63</v>
      </c>
      <c r="AT131" s="114" t="s">
        <v>57</v>
      </c>
      <c r="AU131" s="114" t="s">
        <v>63</v>
      </c>
      <c r="AY131" s="107" t="s">
        <v>228</v>
      </c>
      <c r="BK131" s="115">
        <f>SUM(BK132:BK142)</f>
        <v>1251.24</v>
      </c>
    </row>
    <row r="132" spans="2:65" s="1" customFormat="1" ht="16.5" customHeight="1" x14ac:dyDescent="0.2">
      <c r="B132" s="118"/>
      <c r="C132" s="285" t="s">
        <v>63</v>
      </c>
      <c r="D132" s="119" t="s">
        <v>231</v>
      </c>
      <c r="E132" s="120" t="s">
        <v>3443</v>
      </c>
      <c r="F132" s="121" t="s">
        <v>3444</v>
      </c>
      <c r="G132" s="122" t="s">
        <v>234</v>
      </c>
      <c r="H132" s="288">
        <v>13.2</v>
      </c>
      <c r="I132" s="124">
        <v>17.420000000000002</v>
      </c>
      <c r="J132" s="124">
        <f t="shared" ref="J132:J142" si="0">ROUND(I132*H132,2)</f>
        <v>229.94</v>
      </c>
      <c r="K132" s="121" t="s">
        <v>1</v>
      </c>
      <c r="L132" s="24"/>
      <c r="M132" s="125" t="s">
        <v>1</v>
      </c>
      <c r="N132" s="126" t="s">
        <v>32</v>
      </c>
      <c r="O132" s="127">
        <v>0</v>
      </c>
      <c r="P132" s="127">
        <f t="shared" ref="P132:P142" si="1">O132*H132</f>
        <v>0</v>
      </c>
      <c r="Q132" s="127">
        <v>0</v>
      </c>
      <c r="R132" s="127">
        <f t="shared" ref="R132:R142" si="2">Q132*H132</f>
        <v>0</v>
      </c>
      <c r="S132" s="127">
        <v>0</v>
      </c>
      <c r="T132" s="128">
        <f t="shared" ref="T132:T142" si="3">S132*H132</f>
        <v>0</v>
      </c>
      <c r="W132" s="199"/>
      <c r="X132" s="285" t="s">
        <v>63</v>
      </c>
      <c r="Y132" s="119" t="s">
        <v>231</v>
      </c>
      <c r="Z132" s="120" t="s">
        <v>3443</v>
      </c>
      <c r="AA132" s="121" t="s">
        <v>3444</v>
      </c>
      <c r="AB132" s="122" t="s">
        <v>234</v>
      </c>
      <c r="AC132" s="288">
        <v>13.2</v>
      </c>
      <c r="AD132" s="124">
        <v>17.420000000000002</v>
      </c>
      <c r="AE132" s="200">
        <f t="shared" ref="AE132:AE142" si="4">ROUND(AD132*AC132,2)</f>
        <v>229.94</v>
      </c>
      <c r="AF132" s="227"/>
      <c r="AH132" s="130"/>
      <c r="AR132" s="129" t="s">
        <v>235</v>
      </c>
      <c r="AT132" s="129" t="s">
        <v>231</v>
      </c>
      <c r="AU132" s="129" t="s">
        <v>76</v>
      </c>
      <c r="AY132" s="13" t="s">
        <v>228</v>
      </c>
      <c r="BE132" s="130">
        <f t="shared" ref="BE132:BE142" si="5">IF(N132="základná",J132,0)</f>
        <v>0</v>
      </c>
      <c r="BF132" s="130">
        <f t="shared" ref="BF132:BF142" si="6">IF(N132="znížená",J132,0)</f>
        <v>229.94</v>
      </c>
      <c r="BG132" s="130">
        <f t="shared" ref="BG132:BG142" si="7">IF(N132="zákl. prenesená",J132,0)</f>
        <v>0</v>
      </c>
      <c r="BH132" s="130">
        <f t="shared" ref="BH132:BH142" si="8">IF(N132="zníž. prenesená",J132,0)</f>
        <v>0</v>
      </c>
      <c r="BI132" s="130">
        <f t="shared" ref="BI132:BI142" si="9">IF(N132="nulová",J132,0)</f>
        <v>0</v>
      </c>
      <c r="BJ132" s="13" t="s">
        <v>76</v>
      </c>
      <c r="BK132" s="130">
        <f t="shared" ref="BK132:BK142" si="10">ROUND(I132*H132,2)</f>
        <v>229.94</v>
      </c>
      <c r="BL132" s="13" t="s">
        <v>235</v>
      </c>
      <c r="BM132" s="129" t="s">
        <v>76</v>
      </c>
    </row>
    <row r="133" spans="2:65" s="1" customFormat="1" ht="27.45" customHeight="1" x14ac:dyDescent="0.2">
      <c r="B133" s="118"/>
      <c r="C133" s="285" t="s">
        <v>76</v>
      </c>
      <c r="D133" s="119" t="s">
        <v>231</v>
      </c>
      <c r="E133" s="120" t="s">
        <v>3445</v>
      </c>
      <c r="F133" s="121" t="s">
        <v>3446</v>
      </c>
      <c r="G133" s="122" t="s">
        <v>234</v>
      </c>
      <c r="H133" s="288">
        <v>13.2</v>
      </c>
      <c r="I133" s="124">
        <v>2.3199999999999998</v>
      </c>
      <c r="J133" s="124">
        <f t="shared" si="0"/>
        <v>30.62</v>
      </c>
      <c r="K133" s="121" t="s">
        <v>1</v>
      </c>
      <c r="L133" s="24"/>
      <c r="M133" s="125" t="s">
        <v>1</v>
      </c>
      <c r="N133" s="126" t="s">
        <v>32</v>
      </c>
      <c r="O133" s="127">
        <v>0</v>
      </c>
      <c r="P133" s="127">
        <f t="shared" si="1"/>
        <v>0</v>
      </c>
      <c r="Q133" s="127">
        <v>0</v>
      </c>
      <c r="R133" s="127">
        <f t="shared" si="2"/>
        <v>0</v>
      </c>
      <c r="S133" s="127">
        <v>0</v>
      </c>
      <c r="T133" s="128">
        <f t="shared" si="3"/>
        <v>0</v>
      </c>
      <c r="W133" s="199"/>
      <c r="X133" s="285" t="s">
        <v>76</v>
      </c>
      <c r="Y133" s="119" t="s">
        <v>231</v>
      </c>
      <c r="Z133" s="120" t="s">
        <v>3445</v>
      </c>
      <c r="AA133" s="121" t="s">
        <v>3446</v>
      </c>
      <c r="AB133" s="122" t="s">
        <v>234</v>
      </c>
      <c r="AC133" s="288">
        <v>13.2</v>
      </c>
      <c r="AD133" s="124">
        <v>2.3199999999999998</v>
      </c>
      <c r="AE133" s="200">
        <f t="shared" si="4"/>
        <v>30.62</v>
      </c>
      <c r="AF133" s="227"/>
      <c r="AG133" s="130"/>
      <c r="AH133" s="130"/>
      <c r="AR133" s="129" t="s">
        <v>235</v>
      </c>
      <c r="AT133" s="129" t="s">
        <v>231</v>
      </c>
      <c r="AU133" s="129" t="s">
        <v>76</v>
      </c>
      <c r="AY133" s="13" t="s">
        <v>228</v>
      </c>
      <c r="BE133" s="130">
        <f t="shared" si="5"/>
        <v>0</v>
      </c>
      <c r="BF133" s="130">
        <f t="shared" si="6"/>
        <v>30.62</v>
      </c>
      <c r="BG133" s="130">
        <f t="shared" si="7"/>
        <v>0</v>
      </c>
      <c r="BH133" s="130">
        <f t="shared" si="8"/>
        <v>0</v>
      </c>
      <c r="BI133" s="130">
        <f t="shared" si="9"/>
        <v>0</v>
      </c>
      <c r="BJ133" s="13" t="s">
        <v>76</v>
      </c>
      <c r="BK133" s="130">
        <f t="shared" si="10"/>
        <v>30.62</v>
      </c>
      <c r="BL133" s="13" t="s">
        <v>235</v>
      </c>
      <c r="BM133" s="129" t="s">
        <v>235</v>
      </c>
    </row>
    <row r="134" spans="2:65" s="403" customFormat="1" ht="18" customHeight="1" x14ac:dyDescent="0.2">
      <c r="B134" s="118"/>
      <c r="C134" s="1234" t="s">
        <v>5205</v>
      </c>
      <c r="D134" s="1235"/>
      <c r="E134" s="1235"/>
      <c r="F134" s="1235"/>
      <c r="G134" s="1235"/>
      <c r="H134" s="1235"/>
      <c r="I134" s="1235"/>
      <c r="J134" s="1236"/>
      <c r="K134" s="121"/>
      <c r="L134" s="24"/>
      <c r="M134" s="125"/>
      <c r="N134" s="126"/>
      <c r="O134" s="127"/>
      <c r="P134" s="127"/>
      <c r="Q134" s="127"/>
      <c r="R134" s="127"/>
      <c r="S134" s="127"/>
      <c r="T134" s="128"/>
      <c r="W134" s="199"/>
      <c r="X134" s="207" t="s">
        <v>5837</v>
      </c>
      <c r="Y134" s="207" t="s">
        <v>231</v>
      </c>
      <c r="Z134" s="208" t="s">
        <v>5982</v>
      </c>
      <c r="AA134" s="209" t="s">
        <v>5983</v>
      </c>
      <c r="AB134" s="210" t="s">
        <v>234</v>
      </c>
      <c r="AC134" s="211">
        <v>157.68</v>
      </c>
      <c r="AD134" s="212">
        <v>25.37</v>
      </c>
      <c r="AE134" s="214">
        <f t="shared" si="4"/>
        <v>4000.34</v>
      </c>
      <c r="AF134" s="227">
        <v>9</v>
      </c>
      <c r="AG134" s="374"/>
      <c r="AH134" s="130"/>
      <c r="AR134" s="129"/>
      <c r="AT134" s="129"/>
      <c r="AU134" s="129"/>
      <c r="AY134" s="13"/>
      <c r="BE134" s="130"/>
      <c r="BF134" s="130"/>
      <c r="BG134" s="130"/>
      <c r="BH134" s="130"/>
      <c r="BI134" s="130"/>
      <c r="BJ134" s="13"/>
      <c r="BK134" s="130"/>
      <c r="BL134" s="13"/>
      <c r="BM134" s="129"/>
    </row>
    <row r="135" spans="2:65" s="403" customFormat="1" ht="41.25" customHeight="1" x14ac:dyDescent="0.2">
      <c r="B135" s="118"/>
      <c r="C135" s="1234" t="s">
        <v>5205</v>
      </c>
      <c r="D135" s="1235"/>
      <c r="E135" s="1235"/>
      <c r="F135" s="1235"/>
      <c r="G135" s="1235"/>
      <c r="H135" s="1235"/>
      <c r="I135" s="1235"/>
      <c r="J135" s="1236"/>
      <c r="K135" s="121"/>
      <c r="L135" s="24"/>
      <c r="M135" s="125"/>
      <c r="N135" s="126"/>
      <c r="O135" s="127"/>
      <c r="P135" s="127"/>
      <c r="Q135" s="127"/>
      <c r="R135" s="127"/>
      <c r="S135" s="127"/>
      <c r="T135" s="128"/>
      <c r="W135" s="199"/>
      <c r="X135" s="207" t="s">
        <v>5838</v>
      </c>
      <c r="Y135" s="207" t="s">
        <v>231</v>
      </c>
      <c r="Z135" s="208" t="s">
        <v>5984</v>
      </c>
      <c r="AA135" s="209" t="s">
        <v>5985</v>
      </c>
      <c r="AB135" s="210" t="s">
        <v>234</v>
      </c>
      <c r="AC135" s="211">
        <v>157.68</v>
      </c>
      <c r="AD135" s="212">
        <v>1.76</v>
      </c>
      <c r="AE135" s="214">
        <f t="shared" si="4"/>
        <v>277.52</v>
      </c>
      <c r="AF135" s="227">
        <v>9</v>
      </c>
      <c r="AG135" s="374"/>
      <c r="AH135" s="130"/>
      <c r="AR135" s="129"/>
      <c r="AT135" s="129"/>
      <c r="AU135" s="129"/>
      <c r="AY135" s="13"/>
      <c r="BE135" s="130"/>
      <c r="BF135" s="130"/>
      <c r="BG135" s="130"/>
      <c r="BH135" s="130"/>
      <c r="BI135" s="130"/>
      <c r="BJ135" s="13"/>
      <c r="BK135" s="130"/>
      <c r="BL135" s="13"/>
      <c r="BM135" s="129"/>
    </row>
    <row r="136" spans="2:65" s="1" customFormat="1" ht="24.45" customHeight="1" x14ac:dyDescent="0.2">
      <c r="B136" s="118"/>
      <c r="C136" s="119" t="s">
        <v>229</v>
      </c>
      <c r="D136" s="119" t="s">
        <v>231</v>
      </c>
      <c r="E136" s="120" t="s">
        <v>901</v>
      </c>
      <c r="F136" s="121" t="s">
        <v>902</v>
      </c>
      <c r="G136" s="122" t="s">
        <v>234</v>
      </c>
      <c r="H136" s="123">
        <v>13.2</v>
      </c>
      <c r="I136" s="124">
        <v>1.43</v>
      </c>
      <c r="J136" s="124">
        <f t="shared" si="0"/>
        <v>18.88</v>
      </c>
      <c r="K136" s="121" t="s">
        <v>1</v>
      </c>
      <c r="L136" s="24"/>
      <c r="M136" s="125" t="s">
        <v>1</v>
      </c>
      <c r="N136" s="126" t="s">
        <v>32</v>
      </c>
      <c r="O136" s="127">
        <v>8.1000000000000003E-2</v>
      </c>
      <c r="P136" s="127">
        <f t="shared" si="1"/>
        <v>1.0691999999999999</v>
      </c>
      <c r="Q136" s="127">
        <v>0</v>
      </c>
      <c r="R136" s="127">
        <f t="shared" si="2"/>
        <v>0</v>
      </c>
      <c r="S136" s="127">
        <v>0</v>
      </c>
      <c r="T136" s="128">
        <f t="shared" si="3"/>
        <v>0</v>
      </c>
      <c r="W136" s="199"/>
      <c r="X136" s="285" t="s">
        <v>229</v>
      </c>
      <c r="Y136" s="119" t="s">
        <v>231</v>
      </c>
      <c r="Z136" s="120" t="s">
        <v>901</v>
      </c>
      <c r="AA136" s="121" t="s">
        <v>902</v>
      </c>
      <c r="AB136" s="122" t="s">
        <v>234</v>
      </c>
      <c r="AC136" s="123">
        <v>13.2</v>
      </c>
      <c r="AD136" s="124">
        <v>1.43</v>
      </c>
      <c r="AE136" s="200">
        <f t="shared" si="4"/>
        <v>18.88</v>
      </c>
      <c r="AF136" s="227"/>
      <c r="AG136" s="374"/>
      <c r="AH136" s="130"/>
      <c r="AR136" s="129" t="s">
        <v>235</v>
      </c>
      <c r="AT136" s="129" t="s">
        <v>231</v>
      </c>
      <c r="AU136" s="129" t="s">
        <v>76</v>
      </c>
      <c r="AY136" s="13" t="s">
        <v>228</v>
      </c>
      <c r="BE136" s="130">
        <f t="shared" si="5"/>
        <v>0</v>
      </c>
      <c r="BF136" s="130">
        <f t="shared" si="6"/>
        <v>18.88</v>
      </c>
      <c r="BG136" s="130">
        <f t="shared" si="7"/>
        <v>0</v>
      </c>
      <c r="BH136" s="130">
        <f t="shared" si="8"/>
        <v>0</v>
      </c>
      <c r="BI136" s="130">
        <f t="shared" si="9"/>
        <v>0</v>
      </c>
      <c r="BJ136" s="13" t="s">
        <v>76</v>
      </c>
      <c r="BK136" s="130">
        <f t="shared" si="10"/>
        <v>18.88</v>
      </c>
      <c r="BL136" s="13" t="s">
        <v>235</v>
      </c>
      <c r="BM136" s="129" t="s">
        <v>240</v>
      </c>
    </row>
    <row r="137" spans="2:65" s="1" customFormat="1" ht="24" customHeight="1" x14ac:dyDescent="0.2">
      <c r="B137" s="118"/>
      <c r="C137" s="205" t="s">
        <v>235</v>
      </c>
      <c r="D137" s="119" t="s">
        <v>231</v>
      </c>
      <c r="E137" s="120" t="s">
        <v>903</v>
      </c>
      <c r="F137" s="121" t="s">
        <v>904</v>
      </c>
      <c r="G137" s="122" t="s">
        <v>234</v>
      </c>
      <c r="H137" s="206">
        <v>13.2</v>
      </c>
      <c r="I137" s="124">
        <v>6.97</v>
      </c>
      <c r="J137" s="124">
        <f t="shared" si="0"/>
        <v>92</v>
      </c>
      <c r="K137" s="121" t="s">
        <v>1</v>
      </c>
      <c r="L137" s="24"/>
      <c r="M137" s="125" t="s">
        <v>1</v>
      </c>
      <c r="N137" s="126" t="s">
        <v>32</v>
      </c>
      <c r="O137" s="127">
        <v>0</v>
      </c>
      <c r="P137" s="127">
        <f t="shared" si="1"/>
        <v>0</v>
      </c>
      <c r="Q137" s="127">
        <v>0</v>
      </c>
      <c r="R137" s="127">
        <f t="shared" si="2"/>
        <v>0</v>
      </c>
      <c r="S137" s="127">
        <v>0</v>
      </c>
      <c r="T137" s="128">
        <f t="shared" si="3"/>
        <v>0</v>
      </c>
      <c r="W137" s="199"/>
      <c r="X137" s="205" t="s">
        <v>235</v>
      </c>
      <c r="Y137" s="119" t="s">
        <v>231</v>
      </c>
      <c r="Z137" s="120" t="s">
        <v>903</v>
      </c>
      <c r="AA137" s="121" t="s">
        <v>904</v>
      </c>
      <c r="AB137" s="122" t="s">
        <v>234</v>
      </c>
      <c r="AC137" s="206">
        <f>13.2+43.92</f>
        <v>57.120000000000005</v>
      </c>
      <c r="AD137" s="124">
        <v>6.97</v>
      </c>
      <c r="AE137" s="200">
        <f t="shared" si="4"/>
        <v>398.13</v>
      </c>
      <c r="AF137" s="227">
        <v>9</v>
      </c>
      <c r="AG137" s="374"/>
      <c r="AH137" s="130"/>
      <c r="AR137" s="129" t="s">
        <v>235</v>
      </c>
      <c r="AT137" s="129" t="s">
        <v>231</v>
      </c>
      <c r="AU137" s="129" t="s">
        <v>76</v>
      </c>
      <c r="AY137" s="13" t="s">
        <v>228</v>
      </c>
      <c r="BE137" s="130">
        <f t="shared" si="5"/>
        <v>0</v>
      </c>
      <c r="BF137" s="130">
        <f t="shared" si="6"/>
        <v>92</v>
      </c>
      <c r="BG137" s="130">
        <f t="shared" si="7"/>
        <v>0</v>
      </c>
      <c r="BH137" s="130">
        <f t="shared" si="8"/>
        <v>0</v>
      </c>
      <c r="BI137" s="130">
        <f t="shared" si="9"/>
        <v>0</v>
      </c>
      <c r="BJ137" s="13" t="s">
        <v>76</v>
      </c>
      <c r="BK137" s="130">
        <f t="shared" si="10"/>
        <v>92</v>
      </c>
      <c r="BL137" s="13" t="s">
        <v>235</v>
      </c>
      <c r="BM137" s="129" t="s">
        <v>244</v>
      </c>
    </row>
    <row r="138" spans="2:65" s="1" customFormat="1" ht="16.5" customHeight="1" x14ac:dyDescent="0.2">
      <c r="B138" s="118"/>
      <c r="C138" s="205" t="s">
        <v>245</v>
      </c>
      <c r="D138" s="119" t="s">
        <v>231</v>
      </c>
      <c r="E138" s="120" t="s">
        <v>3447</v>
      </c>
      <c r="F138" s="121" t="s">
        <v>3448</v>
      </c>
      <c r="G138" s="122" t="s">
        <v>234</v>
      </c>
      <c r="H138" s="206">
        <v>13.2</v>
      </c>
      <c r="I138" s="124">
        <v>5.81</v>
      </c>
      <c r="J138" s="124">
        <f t="shared" si="0"/>
        <v>76.69</v>
      </c>
      <c r="K138" s="121" t="s">
        <v>1</v>
      </c>
      <c r="L138" s="24"/>
      <c r="M138" s="125" t="s">
        <v>1</v>
      </c>
      <c r="N138" s="126" t="s">
        <v>32</v>
      </c>
      <c r="O138" s="127">
        <v>0</v>
      </c>
      <c r="P138" s="127">
        <f t="shared" si="1"/>
        <v>0</v>
      </c>
      <c r="Q138" s="127">
        <v>0</v>
      </c>
      <c r="R138" s="127">
        <f t="shared" si="2"/>
        <v>0</v>
      </c>
      <c r="S138" s="127">
        <v>0</v>
      </c>
      <c r="T138" s="128">
        <f t="shared" si="3"/>
        <v>0</v>
      </c>
      <c r="W138" s="199"/>
      <c r="X138" s="205" t="s">
        <v>245</v>
      </c>
      <c r="Y138" s="119" t="s">
        <v>231</v>
      </c>
      <c r="Z138" s="120" t="s">
        <v>3447</v>
      </c>
      <c r="AA138" s="121" t="s">
        <v>3448</v>
      </c>
      <c r="AB138" s="122" t="s">
        <v>234</v>
      </c>
      <c r="AC138" s="206">
        <f>13.2+43.92</f>
        <v>57.120000000000005</v>
      </c>
      <c r="AD138" s="124">
        <v>5.81</v>
      </c>
      <c r="AE138" s="200">
        <f t="shared" si="4"/>
        <v>331.87</v>
      </c>
      <c r="AF138" s="227">
        <v>9</v>
      </c>
      <c r="AG138" s="374"/>
      <c r="AH138" s="130"/>
      <c r="AR138" s="129" t="s">
        <v>235</v>
      </c>
      <c r="AT138" s="129" t="s">
        <v>231</v>
      </c>
      <c r="AU138" s="129" t="s">
        <v>76</v>
      </c>
      <c r="AY138" s="13" t="s">
        <v>228</v>
      </c>
      <c r="BE138" s="130">
        <f t="shared" si="5"/>
        <v>0</v>
      </c>
      <c r="BF138" s="130">
        <f t="shared" si="6"/>
        <v>76.69</v>
      </c>
      <c r="BG138" s="130">
        <f t="shared" si="7"/>
        <v>0</v>
      </c>
      <c r="BH138" s="130">
        <f t="shared" si="8"/>
        <v>0</v>
      </c>
      <c r="BI138" s="130">
        <f t="shared" si="9"/>
        <v>0</v>
      </c>
      <c r="BJ138" s="13" t="s">
        <v>76</v>
      </c>
      <c r="BK138" s="130">
        <f t="shared" si="10"/>
        <v>76.69</v>
      </c>
      <c r="BL138" s="13" t="s">
        <v>235</v>
      </c>
      <c r="BM138" s="129" t="s">
        <v>248</v>
      </c>
    </row>
    <row r="139" spans="2:65" s="1" customFormat="1" ht="16.5" customHeight="1" x14ac:dyDescent="0.2">
      <c r="B139" s="118"/>
      <c r="C139" s="205" t="s">
        <v>240</v>
      </c>
      <c r="D139" s="119" t="s">
        <v>231</v>
      </c>
      <c r="E139" s="120" t="s">
        <v>3449</v>
      </c>
      <c r="F139" s="121" t="s">
        <v>3450</v>
      </c>
      <c r="G139" s="122" t="s">
        <v>271</v>
      </c>
      <c r="H139" s="206">
        <v>23.76</v>
      </c>
      <c r="I139" s="124">
        <v>9.2899999999999991</v>
      </c>
      <c r="J139" s="124">
        <f t="shared" si="0"/>
        <v>220.73</v>
      </c>
      <c r="K139" s="121" t="s">
        <v>1</v>
      </c>
      <c r="L139" s="24"/>
      <c r="M139" s="125" t="s">
        <v>1</v>
      </c>
      <c r="N139" s="126" t="s">
        <v>32</v>
      </c>
      <c r="O139" s="127">
        <v>0</v>
      </c>
      <c r="P139" s="127">
        <f t="shared" si="1"/>
        <v>0</v>
      </c>
      <c r="Q139" s="127">
        <v>0</v>
      </c>
      <c r="R139" s="127">
        <f t="shared" si="2"/>
        <v>0</v>
      </c>
      <c r="S139" s="127">
        <v>0</v>
      </c>
      <c r="T139" s="128">
        <f t="shared" si="3"/>
        <v>0</v>
      </c>
      <c r="W139" s="199"/>
      <c r="X139" s="205" t="s">
        <v>240</v>
      </c>
      <c r="Y139" s="119" t="s">
        <v>231</v>
      </c>
      <c r="Z139" s="120" t="s">
        <v>3449</v>
      </c>
      <c r="AA139" s="121" t="s">
        <v>3450</v>
      </c>
      <c r="AB139" s="122" t="s">
        <v>271</v>
      </c>
      <c r="AC139" s="206">
        <f>23.76+79.056</f>
        <v>102.816</v>
      </c>
      <c r="AD139" s="124">
        <v>9.2899999999999991</v>
      </c>
      <c r="AE139" s="200">
        <f t="shared" si="4"/>
        <v>955.16</v>
      </c>
      <c r="AF139" s="227">
        <v>9</v>
      </c>
      <c r="AG139" s="374"/>
      <c r="AH139" s="130"/>
      <c r="AR139" s="129" t="s">
        <v>235</v>
      </c>
      <c r="AT139" s="129" t="s">
        <v>231</v>
      </c>
      <c r="AU139" s="129" t="s">
        <v>76</v>
      </c>
      <c r="AY139" s="13" t="s">
        <v>228</v>
      </c>
      <c r="BE139" s="130">
        <f t="shared" si="5"/>
        <v>0</v>
      </c>
      <c r="BF139" s="130">
        <f t="shared" si="6"/>
        <v>220.73</v>
      </c>
      <c r="BG139" s="130">
        <f t="shared" si="7"/>
        <v>0</v>
      </c>
      <c r="BH139" s="130">
        <f t="shared" si="8"/>
        <v>0</v>
      </c>
      <c r="BI139" s="130">
        <f t="shared" si="9"/>
        <v>0</v>
      </c>
      <c r="BJ139" s="13" t="s">
        <v>76</v>
      </c>
      <c r="BK139" s="130">
        <f t="shared" si="10"/>
        <v>220.73</v>
      </c>
      <c r="BL139" s="13" t="s">
        <v>235</v>
      </c>
      <c r="BM139" s="129" t="s">
        <v>251</v>
      </c>
    </row>
    <row r="140" spans="2:65" s="1" customFormat="1" ht="16.5" customHeight="1" x14ac:dyDescent="0.2">
      <c r="B140" s="118"/>
      <c r="C140" s="285" t="s">
        <v>252</v>
      </c>
      <c r="D140" s="119" t="s">
        <v>231</v>
      </c>
      <c r="E140" s="120" t="s">
        <v>3451</v>
      </c>
      <c r="F140" s="121" t="s">
        <v>3452</v>
      </c>
      <c r="G140" s="122" t="s">
        <v>234</v>
      </c>
      <c r="H140" s="288">
        <v>13.2</v>
      </c>
      <c r="I140" s="124">
        <v>15.09</v>
      </c>
      <c r="J140" s="124">
        <f t="shared" si="0"/>
        <v>199.19</v>
      </c>
      <c r="K140" s="121" t="s">
        <v>1</v>
      </c>
      <c r="L140" s="24"/>
      <c r="M140" s="125" t="s">
        <v>1</v>
      </c>
      <c r="N140" s="126" t="s">
        <v>32</v>
      </c>
      <c r="O140" s="127">
        <v>0</v>
      </c>
      <c r="P140" s="127">
        <f t="shared" si="1"/>
        <v>0</v>
      </c>
      <c r="Q140" s="127">
        <v>0</v>
      </c>
      <c r="R140" s="127">
        <f t="shared" si="2"/>
        <v>0</v>
      </c>
      <c r="S140" s="127">
        <v>0</v>
      </c>
      <c r="T140" s="128">
        <f t="shared" si="3"/>
        <v>0</v>
      </c>
      <c r="W140" s="199"/>
      <c r="X140" s="285" t="s">
        <v>252</v>
      </c>
      <c r="Y140" s="119" t="s">
        <v>231</v>
      </c>
      <c r="Z140" s="120" t="s">
        <v>3451</v>
      </c>
      <c r="AA140" s="121" t="s">
        <v>3452</v>
      </c>
      <c r="AB140" s="122" t="s">
        <v>234</v>
      </c>
      <c r="AC140" s="288">
        <v>13.2</v>
      </c>
      <c r="AD140" s="124">
        <v>15.09</v>
      </c>
      <c r="AE140" s="200">
        <f t="shared" si="4"/>
        <v>199.19</v>
      </c>
      <c r="AF140" s="227"/>
      <c r="AG140" s="374"/>
      <c r="AH140" s="130"/>
      <c r="AR140" s="129" t="s">
        <v>235</v>
      </c>
      <c r="AT140" s="129" t="s">
        <v>231</v>
      </c>
      <c r="AU140" s="129" t="s">
        <v>76</v>
      </c>
      <c r="AY140" s="13" t="s">
        <v>228</v>
      </c>
      <c r="BE140" s="130">
        <f t="shared" si="5"/>
        <v>0</v>
      </c>
      <c r="BF140" s="130">
        <f t="shared" si="6"/>
        <v>199.19</v>
      </c>
      <c r="BG140" s="130">
        <f t="shared" si="7"/>
        <v>0</v>
      </c>
      <c r="BH140" s="130">
        <f t="shared" si="8"/>
        <v>0</v>
      </c>
      <c r="BI140" s="130">
        <f t="shared" si="9"/>
        <v>0</v>
      </c>
      <c r="BJ140" s="13" t="s">
        <v>76</v>
      </c>
      <c r="BK140" s="130">
        <f t="shared" si="10"/>
        <v>199.19</v>
      </c>
      <c r="BL140" s="13" t="s">
        <v>235</v>
      </c>
      <c r="BM140" s="129" t="s">
        <v>255</v>
      </c>
    </row>
    <row r="141" spans="2:65" s="1" customFormat="1" ht="16.5" customHeight="1" x14ac:dyDescent="0.2">
      <c r="B141" s="118"/>
      <c r="C141" s="285" t="s">
        <v>244</v>
      </c>
      <c r="D141" s="119" t="s">
        <v>231</v>
      </c>
      <c r="E141" s="120" t="s">
        <v>3453</v>
      </c>
      <c r="F141" s="121" t="s">
        <v>3454</v>
      </c>
      <c r="G141" s="122" t="s">
        <v>234</v>
      </c>
      <c r="H141" s="288">
        <v>13.2</v>
      </c>
      <c r="I141" s="124">
        <v>5.81</v>
      </c>
      <c r="J141" s="124">
        <f t="shared" si="0"/>
        <v>76.69</v>
      </c>
      <c r="K141" s="121" t="s">
        <v>1</v>
      </c>
      <c r="L141" s="24"/>
      <c r="M141" s="125" t="s">
        <v>1</v>
      </c>
      <c r="N141" s="126" t="s">
        <v>32</v>
      </c>
      <c r="O141" s="127">
        <v>0</v>
      </c>
      <c r="P141" s="127">
        <f t="shared" si="1"/>
        <v>0</v>
      </c>
      <c r="Q141" s="127">
        <v>0</v>
      </c>
      <c r="R141" s="127">
        <f t="shared" si="2"/>
        <v>0</v>
      </c>
      <c r="S141" s="127">
        <v>0</v>
      </c>
      <c r="T141" s="128">
        <f t="shared" si="3"/>
        <v>0</v>
      </c>
      <c r="W141" s="199"/>
      <c r="X141" s="285" t="s">
        <v>244</v>
      </c>
      <c r="Y141" s="119" t="s">
        <v>231</v>
      </c>
      <c r="Z141" s="120" t="s">
        <v>3453</v>
      </c>
      <c r="AA141" s="121" t="s">
        <v>3454</v>
      </c>
      <c r="AB141" s="122" t="s">
        <v>234</v>
      </c>
      <c r="AC141" s="288">
        <v>13.2</v>
      </c>
      <c r="AD141" s="124">
        <v>5.81</v>
      </c>
      <c r="AE141" s="200">
        <f t="shared" si="4"/>
        <v>76.69</v>
      </c>
      <c r="AF141" s="227"/>
      <c r="AG141" s="374"/>
      <c r="AH141" s="130"/>
      <c r="AR141" s="129" t="s">
        <v>235</v>
      </c>
      <c r="AT141" s="129" t="s">
        <v>231</v>
      </c>
      <c r="AU141" s="129" t="s">
        <v>76</v>
      </c>
      <c r="AY141" s="13" t="s">
        <v>228</v>
      </c>
      <c r="BE141" s="130">
        <f t="shared" si="5"/>
        <v>0</v>
      </c>
      <c r="BF141" s="130">
        <f t="shared" si="6"/>
        <v>76.69</v>
      </c>
      <c r="BG141" s="130">
        <f t="shared" si="7"/>
        <v>0</v>
      </c>
      <c r="BH141" s="130">
        <f t="shared" si="8"/>
        <v>0</v>
      </c>
      <c r="BI141" s="130">
        <f t="shared" si="9"/>
        <v>0</v>
      </c>
      <c r="BJ141" s="13" t="s">
        <v>76</v>
      </c>
      <c r="BK141" s="130">
        <f t="shared" si="10"/>
        <v>76.69</v>
      </c>
      <c r="BL141" s="13" t="s">
        <v>235</v>
      </c>
      <c r="BM141" s="129" t="s">
        <v>258</v>
      </c>
    </row>
    <row r="142" spans="2:65" s="1" customFormat="1" ht="16.5" customHeight="1" x14ac:dyDescent="0.2">
      <c r="B142" s="118"/>
      <c r="C142" s="444" t="s">
        <v>259</v>
      </c>
      <c r="D142" s="131" t="s">
        <v>277</v>
      </c>
      <c r="E142" s="132" t="s">
        <v>3455</v>
      </c>
      <c r="F142" s="133" t="s">
        <v>3456</v>
      </c>
      <c r="G142" s="134" t="s">
        <v>234</v>
      </c>
      <c r="H142" s="443">
        <v>13.2</v>
      </c>
      <c r="I142" s="136">
        <v>23.22</v>
      </c>
      <c r="J142" s="136">
        <f t="shared" si="0"/>
        <v>306.5</v>
      </c>
      <c r="K142" s="133" t="s">
        <v>1</v>
      </c>
      <c r="L142" s="137"/>
      <c r="M142" s="138" t="s">
        <v>1</v>
      </c>
      <c r="N142" s="139" t="s">
        <v>32</v>
      </c>
      <c r="O142" s="127">
        <v>0</v>
      </c>
      <c r="P142" s="127">
        <f t="shared" si="1"/>
        <v>0</v>
      </c>
      <c r="Q142" s="127">
        <v>0</v>
      </c>
      <c r="R142" s="127">
        <f t="shared" si="2"/>
        <v>0</v>
      </c>
      <c r="S142" s="127">
        <v>0</v>
      </c>
      <c r="T142" s="128">
        <f t="shared" si="3"/>
        <v>0</v>
      </c>
      <c r="W142" s="199"/>
      <c r="X142" s="444" t="s">
        <v>259</v>
      </c>
      <c r="Y142" s="131" t="s">
        <v>277</v>
      </c>
      <c r="Z142" s="132" t="s">
        <v>3455</v>
      </c>
      <c r="AA142" s="133" t="s">
        <v>3456</v>
      </c>
      <c r="AB142" s="134" t="s">
        <v>234</v>
      </c>
      <c r="AC142" s="443">
        <v>13.2</v>
      </c>
      <c r="AD142" s="136">
        <v>23.22</v>
      </c>
      <c r="AE142" s="229">
        <f t="shared" si="4"/>
        <v>306.5</v>
      </c>
      <c r="AF142" s="227"/>
      <c r="AG142" s="374"/>
      <c r="AH142" s="130"/>
      <c r="AR142" s="129" t="s">
        <v>244</v>
      </c>
      <c r="AT142" s="129" t="s">
        <v>277</v>
      </c>
      <c r="AU142" s="129" t="s">
        <v>76</v>
      </c>
      <c r="AY142" s="13" t="s">
        <v>228</v>
      </c>
      <c r="BE142" s="130">
        <f t="shared" si="5"/>
        <v>0</v>
      </c>
      <c r="BF142" s="130">
        <f t="shared" si="6"/>
        <v>306.5</v>
      </c>
      <c r="BG142" s="130">
        <f t="shared" si="7"/>
        <v>0</v>
      </c>
      <c r="BH142" s="130">
        <f t="shared" si="8"/>
        <v>0</v>
      </c>
      <c r="BI142" s="130">
        <f t="shared" si="9"/>
        <v>0</v>
      </c>
      <c r="BJ142" s="13" t="s">
        <v>76</v>
      </c>
      <c r="BK142" s="130">
        <f t="shared" si="10"/>
        <v>306.5</v>
      </c>
      <c r="BL142" s="13" t="s">
        <v>235</v>
      </c>
      <c r="BM142" s="129" t="s">
        <v>262</v>
      </c>
    </row>
    <row r="143" spans="2:65" s="403" customFormat="1" ht="29.25" customHeight="1" x14ac:dyDescent="0.25">
      <c r="B143" s="118"/>
      <c r="C143" s="411"/>
      <c r="D143" s="411"/>
      <c r="E143" s="412"/>
      <c r="F143" s="413"/>
      <c r="G143" s="414"/>
      <c r="H143" s="415"/>
      <c r="I143" s="416"/>
      <c r="J143" s="416"/>
      <c r="K143" s="413"/>
      <c r="L143" s="137"/>
      <c r="M143" s="138"/>
      <c r="N143" s="139"/>
      <c r="O143" s="127"/>
      <c r="P143" s="127"/>
      <c r="Q143" s="127"/>
      <c r="R143" s="127"/>
      <c r="S143" s="127"/>
      <c r="T143" s="128"/>
      <c r="W143" s="199"/>
      <c r="X143" s="280"/>
      <c r="Y143" s="196" t="s">
        <v>57</v>
      </c>
      <c r="Z143" s="201" t="s">
        <v>76</v>
      </c>
      <c r="AA143" s="201" t="s">
        <v>907</v>
      </c>
      <c r="AB143" s="280"/>
      <c r="AC143" s="280"/>
      <c r="AD143" s="280"/>
      <c r="AE143" s="281">
        <f>AE144</f>
        <v>1658.19</v>
      </c>
      <c r="AF143" s="227"/>
      <c r="AG143" s="374"/>
      <c r="AH143" s="130"/>
      <c r="AR143" s="129"/>
      <c r="AT143" s="129"/>
      <c r="AU143" s="129"/>
      <c r="AY143" s="13"/>
      <c r="BE143" s="130"/>
      <c r="BF143" s="130"/>
      <c r="BG143" s="130"/>
      <c r="BH143" s="130"/>
      <c r="BI143" s="130"/>
      <c r="BJ143" s="13"/>
      <c r="BK143" s="130"/>
      <c r="BL143" s="13"/>
      <c r="BM143" s="129"/>
    </row>
    <row r="144" spans="2:65" s="403" customFormat="1" ht="29.25" customHeight="1" x14ac:dyDescent="0.2">
      <c r="B144" s="118"/>
      <c r="C144" s="1234" t="s">
        <v>5205</v>
      </c>
      <c r="D144" s="1235"/>
      <c r="E144" s="1235"/>
      <c r="F144" s="1235"/>
      <c r="G144" s="1235"/>
      <c r="H144" s="1235"/>
      <c r="I144" s="1235"/>
      <c r="J144" s="1236"/>
      <c r="K144" s="413"/>
      <c r="L144" s="137"/>
      <c r="M144" s="138"/>
      <c r="N144" s="139"/>
      <c r="O144" s="127"/>
      <c r="P144" s="127"/>
      <c r="Q144" s="127"/>
      <c r="R144" s="127"/>
      <c r="S144" s="127"/>
      <c r="T144" s="128"/>
      <c r="W144" s="199"/>
      <c r="X144" s="207" t="s">
        <v>5341</v>
      </c>
      <c r="Y144" s="207" t="s">
        <v>231</v>
      </c>
      <c r="Z144" s="208" t="s">
        <v>908</v>
      </c>
      <c r="AA144" s="209" t="s">
        <v>909</v>
      </c>
      <c r="AB144" s="210" t="s">
        <v>234</v>
      </c>
      <c r="AC144" s="211">
        <v>57.12</v>
      </c>
      <c r="AD144" s="212">
        <v>29.03</v>
      </c>
      <c r="AE144" s="214">
        <f>ROUND(AD144*AC144,2)</f>
        <v>1658.19</v>
      </c>
      <c r="AF144" s="227">
        <v>9</v>
      </c>
      <c r="AG144" s="374"/>
      <c r="AH144" s="130"/>
      <c r="AR144" s="129"/>
      <c r="AT144" s="129"/>
      <c r="AU144" s="129"/>
      <c r="AY144" s="13"/>
      <c r="BE144" s="130"/>
      <c r="BF144" s="130"/>
      <c r="BG144" s="130"/>
      <c r="BH144" s="130"/>
      <c r="BI144" s="130"/>
      <c r="BJ144" s="13"/>
      <c r="BK144" s="130"/>
      <c r="BL144" s="13"/>
      <c r="BM144" s="129"/>
    </row>
    <row r="145" spans="2:65" s="403" customFormat="1" ht="29.25" customHeight="1" x14ac:dyDescent="0.25">
      <c r="B145" s="118"/>
      <c r="C145" s="411"/>
      <c r="D145" s="411"/>
      <c r="E145" s="412"/>
      <c r="F145" s="413"/>
      <c r="G145" s="414"/>
      <c r="H145" s="415"/>
      <c r="I145" s="416"/>
      <c r="J145" s="416"/>
      <c r="K145" s="413"/>
      <c r="L145" s="137"/>
      <c r="M145" s="138"/>
      <c r="N145" s="139"/>
      <c r="O145" s="127"/>
      <c r="P145" s="127"/>
      <c r="Q145" s="127"/>
      <c r="R145" s="127"/>
      <c r="S145" s="127"/>
      <c r="T145" s="128"/>
      <c r="W145" s="199"/>
      <c r="X145" s="280"/>
      <c r="Y145" s="196" t="s">
        <v>57</v>
      </c>
      <c r="Z145" s="201" t="s">
        <v>244</v>
      </c>
      <c r="AA145" s="201" t="s">
        <v>5815</v>
      </c>
      <c r="AB145" s="280"/>
      <c r="AC145" s="280"/>
      <c r="AD145" s="280"/>
      <c r="AE145" s="281">
        <f>SUM(AE146:AE152)</f>
        <v>2043.6999999999998</v>
      </c>
      <c r="AF145" s="227"/>
      <c r="AG145" s="374"/>
      <c r="AH145" s="130"/>
      <c r="AR145" s="129"/>
      <c r="AT145" s="129"/>
      <c r="AU145" s="129"/>
      <c r="AY145" s="13"/>
      <c r="BE145" s="130"/>
      <c r="BF145" s="130"/>
      <c r="BG145" s="130"/>
      <c r="BH145" s="130"/>
      <c r="BI145" s="130"/>
      <c r="BJ145" s="13"/>
      <c r="BK145" s="130"/>
      <c r="BL145" s="13"/>
      <c r="BM145" s="129"/>
    </row>
    <row r="146" spans="2:65" s="403" customFormat="1" ht="23.25" customHeight="1" x14ac:dyDescent="0.2">
      <c r="B146" s="118"/>
      <c r="C146" s="1234" t="s">
        <v>5205</v>
      </c>
      <c r="D146" s="1235"/>
      <c r="E146" s="1235"/>
      <c r="F146" s="1235"/>
      <c r="G146" s="1235"/>
      <c r="H146" s="1235"/>
      <c r="I146" s="1235"/>
      <c r="J146" s="1236"/>
      <c r="K146" s="413"/>
      <c r="L146" s="137"/>
      <c r="M146" s="138"/>
      <c r="N146" s="139"/>
      <c r="O146" s="127"/>
      <c r="P146" s="127"/>
      <c r="Q146" s="127"/>
      <c r="R146" s="127"/>
      <c r="S146" s="127"/>
      <c r="T146" s="128"/>
      <c r="W146" s="199"/>
      <c r="X146" s="207" t="s">
        <v>5456</v>
      </c>
      <c r="Y146" s="207" t="s">
        <v>231</v>
      </c>
      <c r="Z146" s="208" t="s">
        <v>5986</v>
      </c>
      <c r="AA146" s="209" t="s">
        <v>5987</v>
      </c>
      <c r="AB146" s="210" t="s">
        <v>1194</v>
      </c>
      <c r="AC146" s="211">
        <v>1</v>
      </c>
      <c r="AD146" s="212">
        <v>1100</v>
      </c>
      <c r="AE146" s="214">
        <f t="shared" ref="AE146:AE152" si="11">ROUND(AD146*AC146,2)</f>
        <v>1100</v>
      </c>
      <c r="AF146" s="227">
        <v>9</v>
      </c>
      <c r="AG146" s="374"/>
      <c r="AH146" s="130"/>
      <c r="AR146" s="129"/>
      <c r="AT146" s="129"/>
      <c r="AU146" s="129"/>
      <c r="AY146" s="13"/>
      <c r="BE146" s="130"/>
      <c r="BF146" s="130"/>
      <c r="BG146" s="130"/>
      <c r="BH146" s="130"/>
      <c r="BI146" s="130"/>
      <c r="BJ146" s="13"/>
      <c r="BK146" s="130"/>
      <c r="BL146" s="13"/>
      <c r="BM146" s="129"/>
    </row>
    <row r="147" spans="2:65" s="403" customFormat="1" ht="23.25" customHeight="1" x14ac:dyDescent="0.2">
      <c r="B147" s="118"/>
      <c r="C147" s="1234" t="s">
        <v>5205</v>
      </c>
      <c r="D147" s="1235"/>
      <c r="E147" s="1235"/>
      <c r="F147" s="1235"/>
      <c r="G147" s="1235"/>
      <c r="H147" s="1235"/>
      <c r="I147" s="1235"/>
      <c r="J147" s="1236"/>
      <c r="K147" s="413"/>
      <c r="L147" s="137"/>
      <c r="M147" s="138"/>
      <c r="N147" s="139"/>
      <c r="O147" s="127"/>
      <c r="P147" s="127"/>
      <c r="Q147" s="127"/>
      <c r="R147" s="127"/>
      <c r="S147" s="127"/>
      <c r="T147" s="128"/>
      <c r="W147" s="199"/>
      <c r="X147" s="207" t="s">
        <v>6036</v>
      </c>
      <c r="Y147" s="207" t="s">
        <v>231</v>
      </c>
      <c r="Z147" s="208" t="s">
        <v>5988</v>
      </c>
      <c r="AA147" s="209" t="s">
        <v>5989</v>
      </c>
      <c r="AB147" s="210" t="s">
        <v>1194</v>
      </c>
      <c r="AC147" s="211">
        <v>2</v>
      </c>
      <c r="AD147" s="212">
        <v>232.5</v>
      </c>
      <c r="AE147" s="214">
        <f t="shared" si="11"/>
        <v>465</v>
      </c>
      <c r="AF147" s="227">
        <v>9</v>
      </c>
      <c r="AG147" s="374"/>
      <c r="AH147" s="130"/>
      <c r="AR147" s="129"/>
      <c r="AT147" s="129"/>
      <c r="AU147" s="129"/>
      <c r="AY147" s="13"/>
      <c r="BE147" s="130"/>
      <c r="BF147" s="130"/>
      <c r="BG147" s="130"/>
      <c r="BH147" s="130"/>
      <c r="BI147" s="130"/>
      <c r="BJ147" s="13"/>
      <c r="BK147" s="130"/>
      <c r="BL147" s="13"/>
      <c r="BM147" s="129"/>
    </row>
    <row r="148" spans="2:65" s="403" customFormat="1" ht="23.25" customHeight="1" x14ac:dyDescent="0.2">
      <c r="B148" s="118"/>
      <c r="C148" s="1234" t="s">
        <v>5205</v>
      </c>
      <c r="D148" s="1235"/>
      <c r="E148" s="1235"/>
      <c r="F148" s="1235"/>
      <c r="G148" s="1235"/>
      <c r="H148" s="1235"/>
      <c r="I148" s="1235"/>
      <c r="J148" s="1236"/>
      <c r="K148" s="413"/>
      <c r="L148" s="137"/>
      <c r="M148" s="138"/>
      <c r="N148" s="139"/>
      <c r="O148" s="127"/>
      <c r="P148" s="127"/>
      <c r="Q148" s="127"/>
      <c r="R148" s="127"/>
      <c r="S148" s="127"/>
      <c r="T148" s="128"/>
      <c r="W148" s="199"/>
      <c r="X148" s="207" t="s">
        <v>6037</v>
      </c>
      <c r="Y148" s="207" t="s">
        <v>231</v>
      </c>
      <c r="Z148" s="208" t="s">
        <v>5990</v>
      </c>
      <c r="AA148" s="209" t="s">
        <v>5991</v>
      </c>
      <c r="AB148" s="210" t="s">
        <v>1194</v>
      </c>
      <c r="AC148" s="211">
        <v>1</v>
      </c>
      <c r="AD148" s="212">
        <v>151.25</v>
      </c>
      <c r="AE148" s="214">
        <f t="shared" si="11"/>
        <v>151.25</v>
      </c>
      <c r="AF148" s="227">
        <v>9</v>
      </c>
      <c r="AG148" s="374"/>
      <c r="AH148" s="130"/>
      <c r="AR148" s="129"/>
      <c r="AT148" s="129"/>
      <c r="AU148" s="129"/>
      <c r="AY148" s="13"/>
      <c r="BE148" s="130"/>
      <c r="BF148" s="130"/>
      <c r="BG148" s="130"/>
      <c r="BH148" s="130"/>
      <c r="BI148" s="130"/>
      <c r="BJ148" s="13"/>
      <c r="BK148" s="130"/>
      <c r="BL148" s="13"/>
      <c r="BM148" s="129"/>
    </row>
    <row r="149" spans="2:65" s="403" customFormat="1" ht="23.25" customHeight="1" x14ac:dyDescent="0.2">
      <c r="B149" s="118"/>
      <c r="C149" s="1234" t="s">
        <v>5205</v>
      </c>
      <c r="D149" s="1235"/>
      <c r="E149" s="1235"/>
      <c r="F149" s="1235"/>
      <c r="G149" s="1235"/>
      <c r="H149" s="1235"/>
      <c r="I149" s="1235"/>
      <c r="J149" s="1236"/>
      <c r="K149" s="413"/>
      <c r="L149" s="137"/>
      <c r="M149" s="138"/>
      <c r="N149" s="139"/>
      <c r="O149" s="127"/>
      <c r="P149" s="127"/>
      <c r="Q149" s="127"/>
      <c r="R149" s="127"/>
      <c r="S149" s="127"/>
      <c r="T149" s="128"/>
      <c r="W149" s="199"/>
      <c r="X149" s="207" t="s">
        <v>6038</v>
      </c>
      <c r="Y149" s="207" t="s">
        <v>231</v>
      </c>
      <c r="Z149" s="208" t="s">
        <v>5992</v>
      </c>
      <c r="AA149" s="209" t="s">
        <v>5993</v>
      </c>
      <c r="AB149" s="210" t="s">
        <v>1194</v>
      </c>
      <c r="AC149" s="211">
        <v>1</v>
      </c>
      <c r="AD149" s="212">
        <v>221.25</v>
      </c>
      <c r="AE149" s="214">
        <f t="shared" si="11"/>
        <v>221.25</v>
      </c>
      <c r="AF149" s="227">
        <v>9</v>
      </c>
      <c r="AG149" s="374"/>
      <c r="AH149" s="130"/>
      <c r="AR149" s="129"/>
      <c r="AT149" s="129"/>
      <c r="AU149" s="129"/>
      <c r="AY149" s="13"/>
      <c r="BE149" s="130"/>
      <c r="BF149" s="130"/>
      <c r="BG149" s="130"/>
      <c r="BH149" s="130"/>
      <c r="BI149" s="130"/>
      <c r="BJ149" s="13"/>
      <c r="BK149" s="130"/>
      <c r="BL149" s="13"/>
      <c r="BM149" s="129"/>
    </row>
    <row r="150" spans="2:65" s="403" customFormat="1" ht="23.25" customHeight="1" x14ac:dyDescent="0.2">
      <c r="B150" s="118"/>
      <c r="C150" s="1234" t="s">
        <v>5205</v>
      </c>
      <c r="D150" s="1235"/>
      <c r="E150" s="1235"/>
      <c r="F150" s="1235"/>
      <c r="G150" s="1235"/>
      <c r="H150" s="1235"/>
      <c r="I150" s="1235"/>
      <c r="J150" s="1236"/>
      <c r="K150" s="413"/>
      <c r="L150" s="137"/>
      <c r="M150" s="138"/>
      <c r="N150" s="139"/>
      <c r="O150" s="127"/>
      <c r="P150" s="127"/>
      <c r="Q150" s="127"/>
      <c r="R150" s="127"/>
      <c r="S150" s="127"/>
      <c r="T150" s="128"/>
      <c r="W150" s="199"/>
      <c r="X150" s="207" t="s">
        <v>6039</v>
      </c>
      <c r="Y150" s="207" t="s">
        <v>231</v>
      </c>
      <c r="Z150" s="208" t="s">
        <v>5994</v>
      </c>
      <c r="AA150" s="209" t="s">
        <v>5995</v>
      </c>
      <c r="AB150" s="210" t="s">
        <v>1194</v>
      </c>
      <c r="AC150" s="211">
        <v>2</v>
      </c>
      <c r="AD150" s="212">
        <v>14.38</v>
      </c>
      <c r="AE150" s="214">
        <f t="shared" si="11"/>
        <v>28.76</v>
      </c>
      <c r="AF150" s="227">
        <v>9</v>
      </c>
      <c r="AG150" s="374"/>
      <c r="AH150" s="130"/>
      <c r="AR150" s="129"/>
      <c r="AT150" s="129"/>
      <c r="AU150" s="129"/>
      <c r="AY150" s="13"/>
      <c r="BE150" s="130"/>
      <c r="BF150" s="130"/>
      <c r="BG150" s="130"/>
      <c r="BH150" s="130"/>
      <c r="BI150" s="130"/>
      <c r="BJ150" s="13"/>
      <c r="BK150" s="130"/>
      <c r="BL150" s="13"/>
      <c r="BM150" s="129"/>
    </row>
    <row r="151" spans="2:65" s="403" customFormat="1" ht="23.25" customHeight="1" x14ac:dyDescent="0.2">
      <c r="B151" s="118"/>
      <c r="C151" s="1234" t="s">
        <v>5205</v>
      </c>
      <c r="D151" s="1235"/>
      <c r="E151" s="1235"/>
      <c r="F151" s="1235"/>
      <c r="G151" s="1235"/>
      <c r="H151" s="1235"/>
      <c r="I151" s="1235"/>
      <c r="J151" s="1236"/>
      <c r="K151" s="413"/>
      <c r="L151" s="137"/>
      <c r="M151" s="138"/>
      <c r="N151" s="139"/>
      <c r="O151" s="127"/>
      <c r="P151" s="127"/>
      <c r="Q151" s="127"/>
      <c r="R151" s="127"/>
      <c r="S151" s="127"/>
      <c r="T151" s="128"/>
      <c r="W151" s="199"/>
      <c r="X151" s="207" t="s">
        <v>6040</v>
      </c>
      <c r="Y151" s="207" t="s">
        <v>231</v>
      </c>
      <c r="Z151" s="208" t="s">
        <v>5996</v>
      </c>
      <c r="AA151" s="209" t="s">
        <v>5997</v>
      </c>
      <c r="AB151" s="210" t="s">
        <v>292</v>
      </c>
      <c r="AC151" s="211">
        <v>65</v>
      </c>
      <c r="AD151" s="212">
        <v>0.64</v>
      </c>
      <c r="AE151" s="214">
        <f t="shared" si="11"/>
        <v>41.6</v>
      </c>
      <c r="AF151" s="227">
        <v>9</v>
      </c>
      <c r="AG151" s="374"/>
      <c r="AH151" s="130"/>
      <c r="AR151" s="129"/>
      <c r="AT151" s="129"/>
      <c r="AU151" s="129"/>
      <c r="AY151" s="13"/>
      <c r="BE151" s="130"/>
      <c r="BF151" s="130"/>
      <c r="BG151" s="130"/>
      <c r="BH151" s="130"/>
      <c r="BI151" s="130"/>
      <c r="BJ151" s="13"/>
      <c r="BK151" s="130"/>
      <c r="BL151" s="13"/>
      <c r="BM151" s="129"/>
    </row>
    <row r="152" spans="2:65" s="403" customFormat="1" ht="23.25" customHeight="1" x14ac:dyDescent="0.2">
      <c r="B152" s="118"/>
      <c r="C152" s="1234" t="s">
        <v>5205</v>
      </c>
      <c r="D152" s="1235"/>
      <c r="E152" s="1235"/>
      <c r="F152" s="1235"/>
      <c r="G152" s="1235"/>
      <c r="H152" s="1235"/>
      <c r="I152" s="1235"/>
      <c r="J152" s="1236"/>
      <c r="K152" s="413"/>
      <c r="L152" s="137"/>
      <c r="M152" s="138"/>
      <c r="N152" s="139"/>
      <c r="O152" s="127"/>
      <c r="P152" s="127"/>
      <c r="Q152" s="127"/>
      <c r="R152" s="127"/>
      <c r="S152" s="127"/>
      <c r="T152" s="128"/>
      <c r="W152" s="199"/>
      <c r="X152" s="207" t="s">
        <v>6041</v>
      </c>
      <c r="Y152" s="207" t="s">
        <v>231</v>
      </c>
      <c r="Z152" s="208" t="s">
        <v>5998</v>
      </c>
      <c r="AA152" s="209" t="s">
        <v>5999</v>
      </c>
      <c r="AB152" s="210" t="s">
        <v>292</v>
      </c>
      <c r="AC152" s="211">
        <v>32</v>
      </c>
      <c r="AD152" s="212">
        <v>1.1200000000000001</v>
      </c>
      <c r="AE152" s="214">
        <f t="shared" si="11"/>
        <v>35.840000000000003</v>
      </c>
      <c r="AF152" s="227">
        <v>9</v>
      </c>
      <c r="AG152" s="374"/>
      <c r="AH152" s="130"/>
      <c r="AR152" s="129"/>
      <c r="AT152" s="129"/>
      <c r="AU152" s="129"/>
      <c r="AY152" s="13"/>
      <c r="BE152" s="130"/>
      <c r="BF152" s="130"/>
      <c r="BG152" s="130"/>
      <c r="BH152" s="130"/>
      <c r="BI152" s="130"/>
      <c r="BJ152" s="13"/>
      <c r="BK152" s="130"/>
      <c r="BL152" s="13"/>
      <c r="BM152" s="129"/>
    </row>
    <row r="153" spans="2:65" s="403" customFormat="1" ht="29.25" customHeight="1" x14ac:dyDescent="0.25">
      <c r="B153" s="118"/>
      <c r="C153" s="411"/>
      <c r="D153" s="411"/>
      <c r="E153" s="412"/>
      <c r="F153" s="413"/>
      <c r="G153" s="414"/>
      <c r="H153" s="415"/>
      <c r="I153" s="416"/>
      <c r="J153" s="416"/>
      <c r="K153" s="413"/>
      <c r="L153" s="137"/>
      <c r="M153" s="138"/>
      <c r="N153" s="139"/>
      <c r="O153" s="127"/>
      <c r="P153" s="127"/>
      <c r="Q153" s="127"/>
      <c r="R153" s="127"/>
      <c r="S153" s="127"/>
      <c r="T153" s="128"/>
      <c r="W153" s="199"/>
      <c r="X153" s="280"/>
      <c r="Y153" s="196" t="s">
        <v>57</v>
      </c>
      <c r="Z153" s="201" t="s">
        <v>259</v>
      </c>
      <c r="AA153" s="201" t="s">
        <v>6000</v>
      </c>
      <c r="AB153" s="280"/>
      <c r="AC153" s="280"/>
      <c r="AD153" s="280"/>
      <c r="AE153" s="281">
        <f>SUM(AE154:AE157)</f>
        <v>3981.54</v>
      </c>
      <c r="AF153" s="227"/>
      <c r="AG153" s="374"/>
      <c r="AH153" s="130"/>
      <c r="AR153" s="129"/>
      <c r="AT153" s="129"/>
      <c r="AU153" s="129"/>
      <c r="AY153" s="13"/>
      <c r="BE153" s="130"/>
      <c r="BF153" s="130"/>
      <c r="BG153" s="130"/>
      <c r="BH153" s="130"/>
      <c r="BI153" s="130"/>
      <c r="BJ153" s="13"/>
      <c r="BK153" s="130"/>
      <c r="BL153" s="13"/>
      <c r="BM153" s="129"/>
    </row>
    <row r="154" spans="2:65" s="403" customFormat="1" ht="29.25" customHeight="1" x14ac:dyDescent="0.2">
      <c r="B154" s="118"/>
      <c r="C154" s="1234" t="s">
        <v>5205</v>
      </c>
      <c r="D154" s="1235"/>
      <c r="E154" s="1235"/>
      <c r="F154" s="1235"/>
      <c r="G154" s="1235"/>
      <c r="H154" s="1235"/>
      <c r="I154" s="1235"/>
      <c r="J154" s="1236"/>
      <c r="K154" s="413"/>
      <c r="L154" s="137"/>
      <c r="M154" s="138"/>
      <c r="N154" s="139"/>
      <c r="O154" s="127"/>
      <c r="P154" s="127"/>
      <c r="Q154" s="127"/>
      <c r="R154" s="127"/>
      <c r="S154" s="127"/>
      <c r="T154" s="128"/>
      <c r="W154" s="199"/>
      <c r="X154" s="207" t="s">
        <v>6042</v>
      </c>
      <c r="Y154" s="207" t="s">
        <v>231</v>
      </c>
      <c r="Z154" s="208" t="s">
        <v>913</v>
      </c>
      <c r="AA154" s="209" t="s">
        <v>914</v>
      </c>
      <c r="AB154" s="210" t="s">
        <v>292</v>
      </c>
      <c r="AC154" s="211">
        <v>312</v>
      </c>
      <c r="AD154" s="212">
        <v>9.8699999999999992</v>
      </c>
      <c r="AE154" s="214">
        <f>ROUND(AD154*AC154,2)</f>
        <v>3079.44</v>
      </c>
      <c r="AF154" s="227">
        <v>9</v>
      </c>
      <c r="AG154" s="374"/>
      <c r="AH154" s="130"/>
      <c r="AR154" s="129"/>
      <c r="AT154" s="129"/>
      <c r="AU154" s="129"/>
      <c r="AY154" s="13"/>
      <c r="BE154" s="130"/>
      <c r="BF154" s="130"/>
      <c r="BG154" s="130"/>
      <c r="BH154" s="130"/>
      <c r="BI154" s="130"/>
      <c r="BJ154" s="13"/>
      <c r="BK154" s="130"/>
      <c r="BL154" s="13"/>
      <c r="BM154" s="129"/>
    </row>
    <row r="155" spans="2:65" s="403" customFormat="1" ht="21.75" customHeight="1" x14ac:dyDescent="0.2">
      <c r="B155" s="118"/>
      <c r="C155" s="1234" t="s">
        <v>5205</v>
      </c>
      <c r="D155" s="1235"/>
      <c r="E155" s="1235"/>
      <c r="F155" s="1235"/>
      <c r="G155" s="1235"/>
      <c r="H155" s="1235"/>
      <c r="I155" s="1235"/>
      <c r="J155" s="1236"/>
      <c r="K155" s="413"/>
      <c r="L155" s="137"/>
      <c r="M155" s="138"/>
      <c r="N155" s="139"/>
      <c r="O155" s="127"/>
      <c r="P155" s="127"/>
      <c r="Q155" s="127"/>
      <c r="R155" s="127"/>
      <c r="S155" s="127"/>
      <c r="T155" s="128"/>
      <c r="W155" s="199"/>
      <c r="X155" s="207" t="s">
        <v>6043</v>
      </c>
      <c r="Y155" s="207" t="s">
        <v>231</v>
      </c>
      <c r="Z155" s="208" t="s">
        <v>921</v>
      </c>
      <c r="AA155" s="209" t="s">
        <v>4430</v>
      </c>
      <c r="AB155" s="210" t="s">
        <v>243</v>
      </c>
      <c r="AC155" s="211">
        <v>36</v>
      </c>
      <c r="AD155" s="212">
        <v>11.61</v>
      </c>
      <c r="AE155" s="214">
        <f>ROUND(AD155*AC155,2)</f>
        <v>417.96</v>
      </c>
      <c r="AF155" s="227">
        <v>9</v>
      </c>
      <c r="AG155" s="374"/>
      <c r="AH155" s="130"/>
      <c r="AR155" s="129"/>
      <c r="AT155" s="129"/>
      <c r="AU155" s="129"/>
      <c r="AY155" s="13"/>
      <c r="BE155" s="130"/>
      <c r="BF155" s="130"/>
      <c r="BG155" s="130"/>
      <c r="BH155" s="130"/>
      <c r="BI155" s="130"/>
      <c r="BJ155" s="13"/>
      <c r="BK155" s="130"/>
      <c r="BL155" s="13"/>
      <c r="BM155" s="129"/>
    </row>
    <row r="156" spans="2:65" s="403" customFormat="1" ht="29.25" customHeight="1" x14ac:dyDescent="0.2">
      <c r="B156" s="118"/>
      <c r="C156" s="1234" t="s">
        <v>5205</v>
      </c>
      <c r="D156" s="1235"/>
      <c r="E156" s="1235"/>
      <c r="F156" s="1235"/>
      <c r="G156" s="1235"/>
      <c r="H156" s="1235"/>
      <c r="I156" s="1235"/>
      <c r="J156" s="1236"/>
      <c r="K156" s="413"/>
      <c r="L156" s="137"/>
      <c r="M156" s="138"/>
      <c r="N156" s="139"/>
      <c r="O156" s="127"/>
      <c r="P156" s="127"/>
      <c r="Q156" s="127"/>
      <c r="R156" s="127"/>
      <c r="S156" s="127"/>
      <c r="T156" s="128"/>
      <c r="W156" s="199"/>
      <c r="X156" s="207" t="s">
        <v>6044</v>
      </c>
      <c r="Y156" s="207" t="s">
        <v>231</v>
      </c>
      <c r="Z156" s="208" t="s">
        <v>6001</v>
      </c>
      <c r="AA156" s="209" t="s">
        <v>6002</v>
      </c>
      <c r="AB156" s="210" t="s">
        <v>292</v>
      </c>
      <c r="AC156" s="211">
        <v>45</v>
      </c>
      <c r="AD156" s="212">
        <v>5.98</v>
      </c>
      <c r="AE156" s="214">
        <f>ROUND(AD156*AC156,2)</f>
        <v>269.10000000000002</v>
      </c>
      <c r="AF156" s="227">
        <v>9</v>
      </c>
      <c r="AG156" s="374"/>
      <c r="AH156" s="130"/>
      <c r="AR156" s="129"/>
      <c r="AT156" s="129"/>
      <c r="AU156" s="129"/>
      <c r="AY156" s="13"/>
      <c r="BE156" s="130"/>
      <c r="BF156" s="130"/>
      <c r="BG156" s="130"/>
      <c r="BH156" s="130"/>
      <c r="BI156" s="130"/>
      <c r="BJ156" s="13"/>
      <c r="BK156" s="130"/>
      <c r="BL156" s="13"/>
      <c r="BM156" s="129"/>
    </row>
    <row r="157" spans="2:65" s="403" customFormat="1" ht="29.25" customHeight="1" x14ac:dyDescent="0.2">
      <c r="B157" s="118"/>
      <c r="C157" s="1234" t="s">
        <v>5205</v>
      </c>
      <c r="D157" s="1235"/>
      <c r="E157" s="1235"/>
      <c r="F157" s="1235"/>
      <c r="G157" s="1235"/>
      <c r="H157" s="1235"/>
      <c r="I157" s="1235"/>
      <c r="J157" s="1236"/>
      <c r="K157" s="413"/>
      <c r="L157" s="137"/>
      <c r="M157" s="138"/>
      <c r="N157" s="139"/>
      <c r="O157" s="127"/>
      <c r="P157" s="127"/>
      <c r="Q157" s="127"/>
      <c r="R157" s="127"/>
      <c r="S157" s="127"/>
      <c r="T157" s="128"/>
      <c r="W157" s="199"/>
      <c r="X157" s="207" t="s">
        <v>6045</v>
      </c>
      <c r="Y157" s="207" t="s">
        <v>231</v>
      </c>
      <c r="Z157" s="208" t="s">
        <v>6003</v>
      </c>
      <c r="AA157" s="209" t="s">
        <v>6004</v>
      </c>
      <c r="AB157" s="210" t="s">
        <v>292</v>
      </c>
      <c r="AC157" s="211">
        <v>21</v>
      </c>
      <c r="AD157" s="212">
        <v>10.24</v>
      </c>
      <c r="AE157" s="214">
        <f>ROUND(AD157*AC157,2)</f>
        <v>215.04</v>
      </c>
      <c r="AF157" s="227">
        <v>9</v>
      </c>
      <c r="AG157" s="374"/>
      <c r="AH157" s="130"/>
      <c r="AR157" s="129"/>
      <c r="AT157" s="129"/>
      <c r="AU157" s="129"/>
      <c r="AY157" s="13"/>
      <c r="BE157" s="130"/>
      <c r="BF157" s="130"/>
      <c r="BG157" s="130"/>
      <c r="BH157" s="130"/>
      <c r="BI157" s="130"/>
      <c r="BJ157" s="13"/>
      <c r="BK157" s="130"/>
      <c r="BL157" s="13"/>
      <c r="BM157" s="129"/>
    </row>
    <row r="158" spans="2:65" s="403" customFormat="1" ht="29.25" customHeight="1" x14ac:dyDescent="0.25">
      <c r="B158" s="118"/>
      <c r="C158" s="411"/>
      <c r="D158" s="411"/>
      <c r="E158" s="412"/>
      <c r="F158" s="413"/>
      <c r="G158" s="414"/>
      <c r="H158" s="415"/>
      <c r="I158" s="416"/>
      <c r="J158" s="416"/>
      <c r="K158" s="413"/>
      <c r="L158" s="137"/>
      <c r="M158" s="138"/>
      <c r="N158" s="139"/>
      <c r="O158" s="127"/>
      <c r="P158" s="127"/>
      <c r="Q158" s="127"/>
      <c r="R158" s="127"/>
      <c r="S158" s="127"/>
      <c r="T158" s="128"/>
      <c r="W158" s="199"/>
      <c r="X158" s="280"/>
      <c r="Y158" s="196" t="s">
        <v>57</v>
      </c>
      <c r="Z158" s="201" t="s">
        <v>563</v>
      </c>
      <c r="AA158" s="201" t="s">
        <v>912</v>
      </c>
      <c r="AB158" s="280"/>
      <c r="AC158" s="280"/>
      <c r="AD158" s="280"/>
      <c r="AE158" s="281"/>
      <c r="AF158" s="227"/>
      <c r="AG158" s="374"/>
      <c r="AH158" s="130"/>
      <c r="AR158" s="129"/>
      <c r="AT158" s="129"/>
      <c r="AU158" s="129"/>
      <c r="AY158" s="13"/>
      <c r="BE158" s="130"/>
      <c r="BF158" s="130"/>
      <c r="BG158" s="130"/>
      <c r="BH158" s="130"/>
      <c r="BI158" s="130"/>
      <c r="BJ158" s="13"/>
      <c r="BK158" s="130"/>
      <c r="BL158" s="13"/>
      <c r="BM158" s="129"/>
    </row>
    <row r="159" spans="2:65" s="403" customFormat="1" ht="29.25" customHeight="1" x14ac:dyDescent="0.25">
      <c r="B159" s="118"/>
      <c r="C159" s="411"/>
      <c r="D159" s="411"/>
      <c r="E159" s="412"/>
      <c r="F159" s="413"/>
      <c r="G159" s="414"/>
      <c r="H159" s="415"/>
      <c r="I159" s="416"/>
      <c r="J159" s="416"/>
      <c r="K159" s="413"/>
      <c r="L159" s="137"/>
      <c r="M159" s="138"/>
      <c r="N159" s="139"/>
      <c r="O159" s="127"/>
      <c r="P159" s="127"/>
      <c r="Q159" s="127"/>
      <c r="R159" s="127"/>
      <c r="S159" s="127"/>
      <c r="T159" s="128"/>
      <c r="W159" s="199"/>
      <c r="X159" s="280"/>
      <c r="Y159" s="196" t="s">
        <v>57</v>
      </c>
      <c r="Z159" s="201" t="s">
        <v>436</v>
      </c>
      <c r="AA159" s="201" t="s">
        <v>437</v>
      </c>
      <c r="AB159" s="280"/>
      <c r="AC159" s="280"/>
      <c r="AD159" s="280"/>
      <c r="AE159" s="281">
        <f>SUM(AE160:AE164)</f>
        <v>38</v>
      </c>
      <c r="AF159" s="227"/>
      <c r="AG159" s="374"/>
      <c r="AH159" s="130"/>
      <c r="AR159" s="129"/>
      <c r="AT159" s="129"/>
      <c r="AU159" s="129"/>
      <c r="AY159" s="13"/>
      <c r="BE159" s="130"/>
      <c r="BF159" s="130"/>
      <c r="BG159" s="130"/>
      <c r="BH159" s="130"/>
      <c r="BI159" s="130"/>
      <c r="BJ159" s="13"/>
      <c r="BK159" s="130"/>
      <c r="BL159" s="13"/>
      <c r="BM159" s="129"/>
    </row>
    <row r="160" spans="2:65" s="403" customFormat="1" ht="21" customHeight="1" x14ac:dyDescent="0.2">
      <c r="B160" s="118"/>
      <c r="C160" s="1234" t="s">
        <v>5205</v>
      </c>
      <c r="D160" s="1235"/>
      <c r="E160" s="1235"/>
      <c r="F160" s="1235"/>
      <c r="G160" s="1235"/>
      <c r="H160" s="1235"/>
      <c r="I160" s="1235"/>
      <c r="J160" s="1236"/>
      <c r="K160" s="413"/>
      <c r="L160" s="137"/>
      <c r="M160" s="138"/>
      <c r="N160" s="139"/>
      <c r="O160" s="127"/>
      <c r="P160" s="127"/>
      <c r="Q160" s="127"/>
      <c r="R160" s="127"/>
      <c r="S160" s="127"/>
      <c r="T160" s="128"/>
      <c r="W160" s="199"/>
      <c r="X160" s="207" t="s">
        <v>6046</v>
      </c>
      <c r="Y160" s="207" t="s">
        <v>231</v>
      </c>
      <c r="Z160" s="208" t="s">
        <v>533</v>
      </c>
      <c r="AA160" s="209" t="s">
        <v>534</v>
      </c>
      <c r="AB160" s="210" t="s">
        <v>271</v>
      </c>
      <c r="AC160" s="211">
        <v>0.93</v>
      </c>
      <c r="AD160" s="212">
        <v>2.3199999999999998</v>
      </c>
      <c r="AE160" s="214">
        <f>ROUND(AD160*AC160,2)</f>
        <v>2.16</v>
      </c>
      <c r="AF160" s="227">
        <v>9</v>
      </c>
      <c r="AG160" s="374"/>
      <c r="AH160" s="130"/>
      <c r="AR160" s="129"/>
      <c r="AT160" s="129"/>
      <c r="AU160" s="129"/>
      <c r="AY160" s="13"/>
      <c r="BE160" s="130"/>
      <c r="BF160" s="130"/>
      <c r="BG160" s="130"/>
      <c r="BH160" s="130"/>
      <c r="BI160" s="130"/>
      <c r="BJ160" s="13"/>
      <c r="BK160" s="130"/>
      <c r="BL160" s="13"/>
      <c r="BM160" s="129"/>
    </row>
    <row r="161" spans="2:65" s="403" customFormat="1" ht="29.25" customHeight="1" x14ac:dyDescent="0.2">
      <c r="B161" s="118"/>
      <c r="C161" s="1234" t="s">
        <v>5205</v>
      </c>
      <c r="D161" s="1235"/>
      <c r="E161" s="1235"/>
      <c r="F161" s="1235"/>
      <c r="G161" s="1235"/>
      <c r="H161" s="1235"/>
      <c r="I161" s="1235"/>
      <c r="J161" s="1236"/>
      <c r="K161" s="413"/>
      <c r="L161" s="137"/>
      <c r="M161" s="138"/>
      <c r="N161" s="139"/>
      <c r="O161" s="127"/>
      <c r="P161" s="127"/>
      <c r="Q161" s="127"/>
      <c r="R161" s="127"/>
      <c r="S161" s="127"/>
      <c r="T161" s="128"/>
      <c r="W161" s="199"/>
      <c r="X161" s="207" t="s">
        <v>6047</v>
      </c>
      <c r="Y161" s="207" t="s">
        <v>231</v>
      </c>
      <c r="Z161" s="208" t="s">
        <v>537</v>
      </c>
      <c r="AA161" s="209" t="s">
        <v>925</v>
      </c>
      <c r="AB161" s="210" t="s">
        <v>271</v>
      </c>
      <c r="AC161" s="211">
        <v>9.3000000000000007</v>
      </c>
      <c r="AD161" s="212">
        <v>0.23</v>
      </c>
      <c r="AE161" s="214">
        <f>ROUND(AD161*AC161,2)</f>
        <v>2.14</v>
      </c>
      <c r="AF161" s="227">
        <v>9</v>
      </c>
      <c r="AG161" s="374"/>
      <c r="AH161" s="130"/>
      <c r="AR161" s="129"/>
      <c r="AT161" s="129"/>
      <c r="AU161" s="129"/>
      <c r="AY161" s="13"/>
      <c r="BE161" s="130"/>
      <c r="BF161" s="130"/>
      <c r="BG161" s="130"/>
      <c r="BH161" s="130"/>
      <c r="BI161" s="130"/>
      <c r="BJ161" s="13"/>
      <c r="BK161" s="130"/>
      <c r="BL161" s="13"/>
      <c r="BM161" s="129"/>
    </row>
    <row r="162" spans="2:65" s="403" customFormat="1" ht="29.25" customHeight="1" x14ac:dyDescent="0.2">
      <c r="B162" s="118"/>
      <c r="C162" s="1234" t="s">
        <v>5205</v>
      </c>
      <c r="D162" s="1235"/>
      <c r="E162" s="1235"/>
      <c r="F162" s="1235"/>
      <c r="G162" s="1235"/>
      <c r="H162" s="1235"/>
      <c r="I162" s="1235"/>
      <c r="J162" s="1236"/>
      <c r="K162" s="413"/>
      <c r="L162" s="137"/>
      <c r="M162" s="138"/>
      <c r="N162" s="139"/>
      <c r="O162" s="127"/>
      <c r="P162" s="127"/>
      <c r="Q162" s="127"/>
      <c r="R162" s="127"/>
      <c r="S162" s="127"/>
      <c r="T162" s="128"/>
      <c r="W162" s="199"/>
      <c r="X162" s="207" t="s">
        <v>6048</v>
      </c>
      <c r="Y162" s="207" t="s">
        <v>231</v>
      </c>
      <c r="Z162" s="208" t="s">
        <v>540</v>
      </c>
      <c r="AA162" s="209" t="s">
        <v>926</v>
      </c>
      <c r="AB162" s="210" t="s">
        <v>271</v>
      </c>
      <c r="AC162" s="211">
        <v>0.93</v>
      </c>
      <c r="AD162" s="212">
        <v>4.0599999999999996</v>
      </c>
      <c r="AE162" s="214">
        <f>ROUND(AD162*AC162,2)</f>
        <v>3.78</v>
      </c>
      <c r="AF162" s="227">
        <v>9</v>
      </c>
      <c r="AG162" s="374"/>
      <c r="AH162" s="130"/>
      <c r="AR162" s="129"/>
      <c r="AT162" s="129"/>
      <c r="AU162" s="129"/>
      <c r="AY162" s="13"/>
      <c r="BE162" s="130"/>
      <c r="BF162" s="130"/>
      <c r="BG162" s="130"/>
      <c r="BH162" s="130"/>
      <c r="BI162" s="130"/>
      <c r="BJ162" s="13"/>
      <c r="BK162" s="130"/>
      <c r="BL162" s="13"/>
      <c r="BM162" s="129"/>
    </row>
    <row r="163" spans="2:65" s="403" customFormat="1" ht="30" customHeight="1" x14ac:dyDescent="0.2">
      <c r="B163" s="118"/>
      <c r="C163" s="1234" t="s">
        <v>5205</v>
      </c>
      <c r="D163" s="1235"/>
      <c r="E163" s="1235"/>
      <c r="F163" s="1235"/>
      <c r="G163" s="1235"/>
      <c r="H163" s="1235"/>
      <c r="I163" s="1235"/>
      <c r="J163" s="1236"/>
      <c r="K163" s="413"/>
      <c r="L163" s="137"/>
      <c r="M163" s="138"/>
      <c r="N163" s="139"/>
      <c r="O163" s="127"/>
      <c r="P163" s="127"/>
      <c r="Q163" s="127"/>
      <c r="R163" s="127"/>
      <c r="S163" s="127"/>
      <c r="T163" s="128"/>
      <c r="W163" s="199"/>
      <c r="X163" s="207" t="s">
        <v>6049</v>
      </c>
      <c r="Y163" s="207" t="s">
        <v>231</v>
      </c>
      <c r="Z163" s="208" t="s">
        <v>544</v>
      </c>
      <c r="AA163" s="209" t="s">
        <v>927</v>
      </c>
      <c r="AB163" s="210" t="s">
        <v>271</v>
      </c>
      <c r="AC163" s="211">
        <v>1.86</v>
      </c>
      <c r="AD163" s="212">
        <v>0.41</v>
      </c>
      <c r="AE163" s="214">
        <f>ROUND(AD163*AC163,2)</f>
        <v>0.76</v>
      </c>
      <c r="AF163" s="227">
        <v>9</v>
      </c>
      <c r="AG163" s="374"/>
      <c r="AH163" s="130"/>
      <c r="AR163" s="129"/>
      <c r="AT163" s="129"/>
      <c r="AU163" s="129"/>
      <c r="AY163" s="13"/>
      <c r="BE163" s="130"/>
      <c r="BF163" s="130"/>
      <c r="BG163" s="130"/>
      <c r="BH163" s="130"/>
      <c r="BI163" s="130"/>
      <c r="BJ163" s="13"/>
      <c r="BK163" s="130"/>
      <c r="BL163" s="13"/>
      <c r="BM163" s="129"/>
    </row>
    <row r="164" spans="2:65" s="403" customFormat="1" ht="30" customHeight="1" x14ac:dyDescent="0.2">
      <c r="B164" s="118"/>
      <c r="C164" s="1234" t="s">
        <v>5205</v>
      </c>
      <c r="D164" s="1235"/>
      <c r="E164" s="1235"/>
      <c r="F164" s="1235"/>
      <c r="G164" s="1235"/>
      <c r="H164" s="1235"/>
      <c r="I164" s="1235"/>
      <c r="J164" s="1236"/>
      <c r="K164" s="413"/>
      <c r="L164" s="137"/>
      <c r="M164" s="138"/>
      <c r="N164" s="139"/>
      <c r="O164" s="127"/>
      <c r="P164" s="127"/>
      <c r="Q164" s="127"/>
      <c r="R164" s="127"/>
      <c r="S164" s="127"/>
      <c r="T164" s="128"/>
      <c r="W164" s="199"/>
      <c r="X164" s="207" t="s">
        <v>6050</v>
      </c>
      <c r="Y164" s="207" t="s">
        <v>231</v>
      </c>
      <c r="Z164" s="208" t="s">
        <v>547</v>
      </c>
      <c r="AA164" s="209" t="s">
        <v>928</v>
      </c>
      <c r="AB164" s="210" t="s">
        <v>271</v>
      </c>
      <c r="AC164" s="211">
        <v>0.93</v>
      </c>
      <c r="AD164" s="212">
        <v>31.35</v>
      </c>
      <c r="AE164" s="214">
        <f>ROUND(AD164*AC164,2)</f>
        <v>29.16</v>
      </c>
      <c r="AF164" s="227">
        <v>9</v>
      </c>
      <c r="AG164" s="374"/>
      <c r="AH164" s="130"/>
      <c r="AR164" s="129"/>
      <c r="AT164" s="129"/>
      <c r="AU164" s="129"/>
      <c r="AY164" s="13"/>
      <c r="BE164" s="130"/>
      <c r="BF164" s="130"/>
      <c r="BG164" s="130"/>
      <c r="BH164" s="130"/>
      <c r="BI164" s="130"/>
      <c r="BJ164" s="13"/>
      <c r="BK164" s="130"/>
      <c r="BL164" s="13"/>
      <c r="BM164" s="129"/>
    </row>
    <row r="165" spans="2:65" s="11" customFormat="1" ht="22.95" customHeight="1" x14ac:dyDescent="0.25">
      <c r="B165" s="106"/>
      <c r="D165" s="107" t="s">
        <v>57</v>
      </c>
      <c r="E165" s="116" t="s">
        <v>595</v>
      </c>
      <c r="F165" s="116" t="s">
        <v>931</v>
      </c>
      <c r="J165" s="117">
        <f>BK165</f>
        <v>179.22</v>
      </c>
      <c r="L165" s="106"/>
      <c r="M165" s="110"/>
      <c r="N165" s="111"/>
      <c r="O165" s="111"/>
      <c r="P165" s="112">
        <f>P166</f>
        <v>19.795512000000002</v>
      </c>
      <c r="Q165" s="111"/>
      <c r="R165" s="112">
        <f>R166</f>
        <v>0</v>
      </c>
      <c r="S165" s="111"/>
      <c r="T165" s="113">
        <f>T166</f>
        <v>0</v>
      </c>
      <c r="W165" s="195"/>
      <c r="X165" s="111"/>
      <c r="Y165" s="196" t="s">
        <v>57</v>
      </c>
      <c r="Z165" s="201" t="s">
        <v>595</v>
      </c>
      <c r="AA165" s="201" t="s">
        <v>931</v>
      </c>
      <c r="AB165" s="111"/>
      <c r="AC165" s="111"/>
      <c r="AD165" s="111"/>
      <c r="AE165" s="202">
        <f>AE166</f>
        <v>1026.8800000000001</v>
      </c>
      <c r="AF165" s="227"/>
      <c r="AG165" s="374"/>
      <c r="AH165" s="130"/>
      <c r="AR165" s="107" t="s">
        <v>63</v>
      </c>
      <c r="AT165" s="114" t="s">
        <v>57</v>
      </c>
      <c r="AU165" s="114" t="s">
        <v>63</v>
      </c>
      <c r="AY165" s="107" t="s">
        <v>228</v>
      </c>
      <c r="BK165" s="115">
        <f>BK166</f>
        <v>179.22</v>
      </c>
    </row>
    <row r="166" spans="2:65" s="1" customFormat="1" ht="16.5" customHeight="1" x14ac:dyDescent="0.2">
      <c r="B166" s="118"/>
      <c r="C166" s="205" t="s">
        <v>248</v>
      </c>
      <c r="D166" s="119" t="s">
        <v>231</v>
      </c>
      <c r="E166" s="120" t="s">
        <v>932</v>
      </c>
      <c r="F166" s="121" t="s">
        <v>3457</v>
      </c>
      <c r="G166" s="122" t="s">
        <v>271</v>
      </c>
      <c r="H166" s="206">
        <v>22.044</v>
      </c>
      <c r="I166" s="124">
        <v>8.1300000000000008</v>
      </c>
      <c r="J166" s="124">
        <f>ROUND(I166*H166,2)</f>
        <v>179.22</v>
      </c>
      <c r="K166" s="121" t="s">
        <v>1</v>
      </c>
      <c r="L166" s="24"/>
      <c r="M166" s="125" t="s">
        <v>1</v>
      </c>
      <c r="N166" s="126" t="s">
        <v>32</v>
      </c>
      <c r="O166" s="127">
        <v>0.89800000000000002</v>
      </c>
      <c r="P166" s="127">
        <f>O166*H166</f>
        <v>19.795512000000002</v>
      </c>
      <c r="Q166" s="127">
        <v>0</v>
      </c>
      <c r="R166" s="127">
        <f>Q166*H166</f>
        <v>0</v>
      </c>
      <c r="S166" s="127">
        <v>0</v>
      </c>
      <c r="T166" s="128">
        <f>S166*H166</f>
        <v>0</v>
      </c>
      <c r="W166" s="199"/>
      <c r="X166" s="205" t="s">
        <v>248</v>
      </c>
      <c r="Y166" s="119" t="s">
        <v>231</v>
      </c>
      <c r="Z166" s="120" t="s">
        <v>932</v>
      </c>
      <c r="AA166" s="121" t="s">
        <v>3457</v>
      </c>
      <c r="AB166" s="122" t="s">
        <v>271</v>
      </c>
      <c r="AC166" s="206">
        <f>22.044+104.263</f>
        <v>126.307</v>
      </c>
      <c r="AD166" s="124">
        <v>8.1300000000000008</v>
      </c>
      <c r="AE166" s="200">
        <f>ROUND(AD166*AC166,2)</f>
        <v>1026.8800000000001</v>
      </c>
      <c r="AF166" s="227">
        <v>9</v>
      </c>
      <c r="AG166" s="374"/>
      <c r="AH166" s="130"/>
      <c r="AR166" s="129" t="s">
        <v>235</v>
      </c>
      <c r="AT166" s="129" t="s">
        <v>231</v>
      </c>
      <c r="AU166" s="129" t="s">
        <v>76</v>
      </c>
      <c r="AY166" s="13" t="s">
        <v>228</v>
      </c>
      <c r="BE166" s="130">
        <f>IF(N166="základná",J166,0)</f>
        <v>0</v>
      </c>
      <c r="BF166" s="130">
        <f>IF(N166="znížená",J166,0)</f>
        <v>179.22</v>
      </c>
      <c r="BG166" s="130">
        <f>IF(N166="zákl. prenesená",J166,0)</f>
        <v>0</v>
      </c>
      <c r="BH166" s="130">
        <f>IF(N166="zníž. prenesená",J166,0)</f>
        <v>0</v>
      </c>
      <c r="BI166" s="130">
        <f>IF(N166="nulová",J166,0)</f>
        <v>0</v>
      </c>
      <c r="BJ166" s="13" t="s">
        <v>76</v>
      </c>
      <c r="BK166" s="130">
        <f>ROUND(I166*H166,2)</f>
        <v>179.22</v>
      </c>
      <c r="BL166" s="13" t="s">
        <v>235</v>
      </c>
      <c r="BM166" s="129" t="s">
        <v>7</v>
      </c>
    </row>
    <row r="167" spans="2:65" s="11" customFormat="1" ht="25.95" customHeight="1" x14ac:dyDescent="0.25">
      <c r="B167" s="106"/>
      <c r="D167" s="107" t="s">
        <v>57</v>
      </c>
      <c r="E167" s="108" t="s">
        <v>556</v>
      </c>
      <c r="F167" s="108" t="s">
        <v>557</v>
      </c>
      <c r="J167" s="109">
        <f>BK167</f>
        <v>17336.91</v>
      </c>
      <c r="L167" s="106"/>
      <c r="M167" s="110"/>
      <c r="N167" s="111"/>
      <c r="O167" s="111"/>
      <c r="P167" s="112">
        <f>P168+P171+P193+P234+P262</f>
        <v>0</v>
      </c>
      <c r="Q167" s="111"/>
      <c r="R167" s="112">
        <f>R168+R171+R193+R234+R262</f>
        <v>0</v>
      </c>
      <c r="S167" s="111"/>
      <c r="T167" s="113">
        <f>T168+T171+T193+T234+T262</f>
        <v>0</v>
      </c>
      <c r="W167" s="195"/>
      <c r="X167" s="111"/>
      <c r="Y167" s="196" t="s">
        <v>57</v>
      </c>
      <c r="Z167" s="197" t="s">
        <v>556</v>
      </c>
      <c r="AA167" s="197" t="s">
        <v>557</v>
      </c>
      <c r="AB167" s="111"/>
      <c r="AC167" s="111"/>
      <c r="AD167" s="111"/>
      <c r="AE167" s="198">
        <f>AE168+AE171+AE193+AE234+AE262</f>
        <v>24436.789999999997</v>
      </c>
      <c r="AF167" s="227"/>
      <c r="AG167" s="374"/>
      <c r="AH167" s="130"/>
      <c r="AR167" s="107" t="s">
        <v>63</v>
      </c>
      <c r="AT167" s="114" t="s">
        <v>57</v>
      </c>
      <c r="AU167" s="114" t="s">
        <v>58</v>
      </c>
      <c r="AY167" s="107" t="s">
        <v>228</v>
      </c>
      <c r="BK167" s="115">
        <f>BK168+BK171+BK193+BK234+BK262</f>
        <v>17336.91</v>
      </c>
    </row>
    <row r="168" spans="2:65" s="11" customFormat="1" ht="22.95" customHeight="1" x14ac:dyDescent="0.25">
      <c r="B168" s="106"/>
      <c r="D168" s="107" t="s">
        <v>57</v>
      </c>
      <c r="E168" s="116" t="s">
        <v>939</v>
      </c>
      <c r="F168" s="116" t="s">
        <v>940</v>
      </c>
      <c r="J168" s="117">
        <f>BK168</f>
        <v>1071.57</v>
      </c>
      <c r="L168" s="106"/>
      <c r="M168" s="110"/>
      <c r="N168" s="111"/>
      <c r="O168" s="111"/>
      <c r="P168" s="112">
        <f>SUM(P169:P170)</f>
        <v>0</v>
      </c>
      <c r="Q168" s="111"/>
      <c r="R168" s="112">
        <f>SUM(R169:R170)</f>
        <v>0</v>
      </c>
      <c r="S168" s="111"/>
      <c r="T168" s="113">
        <f>SUM(T169:T170)</f>
        <v>0</v>
      </c>
      <c r="W168" s="195"/>
      <c r="X168" s="111"/>
      <c r="Y168" s="196" t="s">
        <v>57</v>
      </c>
      <c r="Z168" s="201" t="s">
        <v>939</v>
      </c>
      <c r="AA168" s="201" t="s">
        <v>940</v>
      </c>
      <c r="AB168" s="111"/>
      <c r="AC168" s="111"/>
      <c r="AD168" s="111"/>
      <c r="AE168" s="202">
        <f>SUM(AE169:AE170)</f>
        <v>1293.79</v>
      </c>
      <c r="AF168" s="227"/>
      <c r="AG168" s="374"/>
      <c r="AH168" s="130"/>
      <c r="AR168" s="107" t="s">
        <v>63</v>
      </c>
      <c r="AT168" s="114" t="s">
        <v>57</v>
      </c>
      <c r="AU168" s="114" t="s">
        <v>63</v>
      </c>
      <c r="AY168" s="107" t="s">
        <v>228</v>
      </c>
      <c r="BK168" s="115">
        <f>SUM(BK169:BK170)</f>
        <v>1071.57</v>
      </c>
    </row>
    <row r="169" spans="2:65" s="1" customFormat="1" ht="16.5" customHeight="1" x14ac:dyDescent="0.2">
      <c r="B169" s="118"/>
      <c r="C169" s="205" t="s">
        <v>265</v>
      </c>
      <c r="D169" s="119" t="s">
        <v>231</v>
      </c>
      <c r="E169" s="120" t="s">
        <v>941</v>
      </c>
      <c r="F169" s="121" t="s">
        <v>3458</v>
      </c>
      <c r="G169" s="122" t="s">
        <v>284</v>
      </c>
      <c r="H169" s="206">
        <v>44.2</v>
      </c>
      <c r="I169" s="124">
        <v>23.22</v>
      </c>
      <c r="J169" s="124">
        <f>ROUND(I169*H169,2)</f>
        <v>1026.32</v>
      </c>
      <c r="K169" s="121" t="s">
        <v>1</v>
      </c>
      <c r="L169" s="24"/>
      <c r="M169" s="125" t="s">
        <v>1</v>
      </c>
      <c r="N169" s="126" t="s">
        <v>32</v>
      </c>
      <c r="O169" s="127">
        <v>0</v>
      </c>
      <c r="P169" s="127">
        <f>O169*H169</f>
        <v>0</v>
      </c>
      <c r="Q169" s="127">
        <v>0</v>
      </c>
      <c r="R169" s="127">
        <f>Q169*H169</f>
        <v>0</v>
      </c>
      <c r="S169" s="127">
        <v>0</v>
      </c>
      <c r="T169" s="128">
        <f>S169*H169</f>
        <v>0</v>
      </c>
      <c r="W169" s="199"/>
      <c r="X169" s="205" t="s">
        <v>265</v>
      </c>
      <c r="Y169" s="119" t="s">
        <v>231</v>
      </c>
      <c r="Z169" s="120" t="s">
        <v>941</v>
      </c>
      <c r="AA169" s="121" t="s">
        <v>3458</v>
      </c>
      <c r="AB169" s="122" t="s">
        <v>284</v>
      </c>
      <c r="AC169" s="206">
        <f>44.2+6.643+1.884</f>
        <v>52.727000000000004</v>
      </c>
      <c r="AD169" s="124">
        <v>23.22</v>
      </c>
      <c r="AE169" s="200">
        <f>ROUND(AD169*AC169,2)</f>
        <v>1224.32</v>
      </c>
      <c r="AF169" s="227" t="s">
        <v>6442</v>
      </c>
      <c r="AG169" s="374"/>
      <c r="AH169" s="130"/>
      <c r="AR169" s="129" t="s">
        <v>235</v>
      </c>
      <c r="AT169" s="129" t="s">
        <v>231</v>
      </c>
      <c r="AU169" s="129" t="s">
        <v>76</v>
      </c>
      <c r="AY169" s="13" t="s">
        <v>228</v>
      </c>
      <c r="BE169" s="130">
        <f>IF(N169="základná",J169,0)</f>
        <v>0</v>
      </c>
      <c r="BF169" s="130">
        <f>IF(N169="znížená",J169,0)</f>
        <v>1026.32</v>
      </c>
      <c r="BG169" s="130">
        <f>IF(N169="zákl. prenesená",J169,0)</f>
        <v>0</v>
      </c>
      <c r="BH169" s="130">
        <f>IF(N169="zníž. prenesená",J169,0)</f>
        <v>0</v>
      </c>
      <c r="BI169" s="130">
        <f>IF(N169="nulová",J169,0)</f>
        <v>0</v>
      </c>
      <c r="BJ169" s="13" t="s">
        <v>76</v>
      </c>
      <c r="BK169" s="130">
        <f>ROUND(I169*H169,2)</f>
        <v>1026.32</v>
      </c>
      <c r="BL169" s="13" t="s">
        <v>235</v>
      </c>
      <c r="BM169" s="129" t="s">
        <v>268</v>
      </c>
    </row>
    <row r="170" spans="2:65" s="1" customFormat="1" ht="27.45" customHeight="1" x14ac:dyDescent="0.2">
      <c r="B170" s="118"/>
      <c r="C170" s="205" t="s">
        <v>251</v>
      </c>
      <c r="D170" s="119" t="s">
        <v>231</v>
      </c>
      <c r="E170" s="120" t="s">
        <v>943</v>
      </c>
      <c r="F170" s="121" t="s">
        <v>3459</v>
      </c>
      <c r="G170" s="122" t="s">
        <v>570</v>
      </c>
      <c r="H170" s="206">
        <v>2.8820000000000001</v>
      </c>
      <c r="I170" s="124">
        <v>15.7</v>
      </c>
      <c r="J170" s="124">
        <f>ROUND(I170*H170,2)</f>
        <v>45.25</v>
      </c>
      <c r="K170" s="121" t="s">
        <v>1</v>
      </c>
      <c r="L170" s="24"/>
      <c r="M170" s="125" t="s">
        <v>1</v>
      </c>
      <c r="N170" s="126" t="s">
        <v>32</v>
      </c>
      <c r="O170" s="127">
        <v>0</v>
      </c>
      <c r="P170" s="127">
        <f>O170*H170</f>
        <v>0</v>
      </c>
      <c r="Q170" s="127">
        <v>0</v>
      </c>
      <c r="R170" s="127">
        <f>Q170*H170</f>
        <v>0</v>
      </c>
      <c r="S170" s="127">
        <v>0</v>
      </c>
      <c r="T170" s="128">
        <f>S170*H170</f>
        <v>0</v>
      </c>
      <c r="W170" s="199"/>
      <c r="X170" s="205" t="s">
        <v>251</v>
      </c>
      <c r="Y170" s="119" t="s">
        <v>231</v>
      </c>
      <c r="Z170" s="120" t="s">
        <v>943</v>
      </c>
      <c r="AA170" s="121" t="s">
        <v>3459</v>
      </c>
      <c r="AB170" s="122" t="s">
        <v>570</v>
      </c>
      <c r="AC170" s="206">
        <f>2.882+1.543</f>
        <v>4.4249999999999998</v>
      </c>
      <c r="AD170" s="124">
        <v>15.7</v>
      </c>
      <c r="AE170" s="200">
        <f>ROUND(AD170*AC170,2)</f>
        <v>69.47</v>
      </c>
      <c r="AF170" s="227">
        <v>9</v>
      </c>
      <c r="AG170" s="374"/>
      <c r="AH170" s="130"/>
      <c r="AR170" s="129" t="s">
        <v>235</v>
      </c>
      <c r="AT170" s="129" t="s">
        <v>231</v>
      </c>
      <c r="AU170" s="129" t="s">
        <v>76</v>
      </c>
      <c r="AY170" s="13" t="s">
        <v>228</v>
      </c>
      <c r="BE170" s="130">
        <f>IF(N170="základná",J170,0)</f>
        <v>0</v>
      </c>
      <c r="BF170" s="130">
        <f>IF(N170="znížená",J170,0)</f>
        <v>45.25</v>
      </c>
      <c r="BG170" s="130">
        <f>IF(N170="zákl. prenesená",J170,0)</f>
        <v>0</v>
      </c>
      <c r="BH170" s="130">
        <f>IF(N170="zníž. prenesená",J170,0)</f>
        <v>0</v>
      </c>
      <c r="BI170" s="130">
        <f>IF(N170="nulová",J170,0)</f>
        <v>0</v>
      </c>
      <c r="BJ170" s="13" t="s">
        <v>76</v>
      </c>
      <c r="BK170" s="130">
        <f>ROUND(I170*H170,2)</f>
        <v>45.25</v>
      </c>
      <c r="BL170" s="13" t="s">
        <v>235</v>
      </c>
      <c r="BM170" s="129" t="s">
        <v>272</v>
      </c>
    </row>
    <row r="171" spans="2:65" s="11" customFormat="1" ht="22.95" customHeight="1" x14ac:dyDescent="0.25">
      <c r="B171" s="106"/>
      <c r="D171" s="107" t="s">
        <v>57</v>
      </c>
      <c r="E171" s="116" t="s">
        <v>945</v>
      </c>
      <c r="F171" s="116" t="s">
        <v>946</v>
      </c>
      <c r="J171" s="117">
        <f>BK171</f>
        <v>4704.24</v>
      </c>
      <c r="L171" s="106"/>
      <c r="M171" s="110"/>
      <c r="N171" s="111"/>
      <c r="O171" s="111"/>
      <c r="P171" s="112">
        <f>SUM(P172:P192)</f>
        <v>0</v>
      </c>
      <c r="Q171" s="111"/>
      <c r="R171" s="112">
        <f>SUM(R172:R192)</f>
        <v>0</v>
      </c>
      <c r="S171" s="111"/>
      <c r="T171" s="113">
        <f>SUM(T172:T192)</f>
        <v>0</v>
      </c>
      <c r="W171" s="195"/>
      <c r="X171" s="111"/>
      <c r="Y171" s="196" t="s">
        <v>57</v>
      </c>
      <c r="Z171" s="201" t="s">
        <v>945</v>
      </c>
      <c r="AA171" s="201" t="s">
        <v>946</v>
      </c>
      <c r="AB171" s="111"/>
      <c r="AC171" s="111"/>
      <c r="AD171" s="111"/>
      <c r="AE171" s="202">
        <f>SUM(AE172:AE192)</f>
        <v>7133.4000000000005</v>
      </c>
      <c r="AF171" s="227"/>
      <c r="AG171" s="374"/>
      <c r="AH171" s="130"/>
      <c r="AR171" s="107" t="s">
        <v>63</v>
      </c>
      <c r="AT171" s="114" t="s">
        <v>57</v>
      </c>
      <c r="AU171" s="114" t="s">
        <v>63</v>
      </c>
      <c r="AY171" s="107" t="s">
        <v>228</v>
      </c>
      <c r="BK171" s="115">
        <f>SUM(BK172:BK192)</f>
        <v>4704.24</v>
      </c>
    </row>
    <row r="172" spans="2:65" s="1" customFormat="1" ht="16.5" customHeight="1" x14ac:dyDescent="0.2">
      <c r="B172" s="118"/>
      <c r="C172" s="205" t="s">
        <v>273</v>
      </c>
      <c r="D172" s="119" t="s">
        <v>231</v>
      </c>
      <c r="E172" s="120" t="s">
        <v>947</v>
      </c>
      <c r="F172" s="121" t="s">
        <v>3460</v>
      </c>
      <c r="G172" s="122" t="s">
        <v>292</v>
      </c>
      <c r="H172" s="206">
        <v>51</v>
      </c>
      <c r="I172" s="124">
        <v>8.9600000000000009</v>
      </c>
      <c r="J172" s="124">
        <f t="shared" ref="J172:J192" si="12">ROUND(I172*H172,2)</f>
        <v>456.96</v>
      </c>
      <c r="K172" s="121" t="s">
        <v>1</v>
      </c>
      <c r="L172" s="24"/>
      <c r="M172" s="125" t="s">
        <v>1</v>
      </c>
      <c r="N172" s="126" t="s">
        <v>32</v>
      </c>
      <c r="O172" s="127">
        <v>0</v>
      </c>
      <c r="P172" s="127">
        <f t="shared" ref="P172:P192" si="13">O172*H172</f>
        <v>0</v>
      </c>
      <c r="Q172" s="127">
        <v>0</v>
      </c>
      <c r="R172" s="127">
        <f t="shared" ref="R172:R192" si="14">Q172*H172</f>
        <v>0</v>
      </c>
      <c r="S172" s="127">
        <v>0</v>
      </c>
      <c r="T172" s="128">
        <f t="shared" ref="T172:T192" si="15">S172*H172</f>
        <v>0</v>
      </c>
      <c r="W172" s="199"/>
      <c r="X172" s="205" t="s">
        <v>273</v>
      </c>
      <c r="Y172" s="119" t="s">
        <v>231</v>
      </c>
      <c r="Z172" s="120" t="s">
        <v>947</v>
      </c>
      <c r="AA172" s="121" t="s">
        <v>3460</v>
      </c>
      <c r="AB172" s="122" t="s">
        <v>292</v>
      </c>
      <c r="AC172" s="206">
        <f>51-36</f>
        <v>15</v>
      </c>
      <c r="AD172" s="124">
        <v>8.9600000000000009</v>
      </c>
      <c r="AE172" s="200">
        <f t="shared" ref="AE172:AE192" si="16">ROUND(AD172*AC172,2)</f>
        <v>134.4</v>
      </c>
      <c r="AF172" s="227">
        <v>9</v>
      </c>
      <c r="AG172" s="374"/>
      <c r="AH172" s="130"/>
      <c r="AR172" s="129" t="s">
        <v>235</v>
      </c>
      <c r="AT172" s="129" t="s">
        <v>231</v>
      </c>
      <c r="AU172" s="129" t="s">
        <v>76</v>
      </c>
      <c r="AY172" s="13" t="s">
        <v>228</v>
      </c>
      <c r="BE172" s="130">
        <f t="shared" ref="BE172:BE192" si="17">IF(N172="základná",J172,0)</f>
        <v>0</v>
      </c>
      <c r="BF172" s="130">
        <f t="shared" ref="BF172:BF192" si="18">IF(N172="znížená",J172,0)</f>
        <v>456.96</v>
      </c>
      <c r="BG172" s="130">
        <f t="shared" ref="BG172:BG192" si="19">IF(N172="zákl. prenesená",J172,0)</f>
        <v>0</v>
      </c>
      <c r="BH172" s="130">
        <f t="shared" ref="BH172:BH192" si="20">IF(N172="zníž. prenesená",J172,0)</f>
        <v>0</v>
      </c>
      <c r="BI172" s="130">
        <f t="shared" ref="BI172:BI192" si="21">IF(N172="nulová",J172,0)</f>
        <v>0</v>
      </c>
      <c r="BJ172" s="13" t="s">
        <v>76</v>
      </c>
      <c r="BK172" s="130">
        <f t="shared" ref="BK172:BK192" si="22">ROUND(I172*H172,2)</f>
        <v>456.96</v>
      </c>
      <c r="BL172" s="13" t="s">
        <v>235</v>
      </c>
      <c r="BM172" s="129" t="s">
        <v>276</v>
      </c>
    </row>
    <row r="173" spans="2:65" s="1" customFormat="1" ht="16.5" customHeight="1" x14ac:dyDescent="0.2">
      <c r="B173" s="118"/>
      <c r="C173" s="205" t="s">
        <v>255</v>
      </c>
      <c r="D173" s="119" t="s">
        <v>231</v>
      </c>
      <c r="E173" s="120" t="s">
        <v>949</v>
      </c>
      <c r="F173" s="121" t="s">
        <v>3461</v>
      </c>
      <c r="G173" s="122" t="s">
        <v>292</v>
      </c>
      <c r="H173" s="206">
        <v>17</v>
      </c>
      <c r="I173" s="124">
        <v>8.2200000000000006</v>
      </c>
      <c r="J173" s="124">
        <f t="shared" si="12"/>
        <v>139.74</v>
      </c>
      <c r="K173" s="121" t="s">
        <v>1</v>
      </c>
      <c r="L173" s="24"/>
      <c r="M173" s="125" t="s">
        <v>1</v>
      </c>
      <c r="N173" s="126" t="s">
        <v>32</v>
      </c>
      <c r="O173" s="127">
        <v>0</v>
      </c>
      <c r="P173" s="127">
        <f t="shared" si="13"/>
        <v>0</v>
      </c>
      <c r="Q173" s="127">
        <v>0</v>
      </c>
      <c r="R173" s="127">
        <f t="shared" si="14"/>
        <v>0</v>
      </c>
      <c r="S173" s="127">
        <v>0</v>
      </c>
      <c r="T173" s="128">
        <f t="shared" si="15"/>
        <v>0</v>
      </c>
      <c r="W173" s="199"/>
      <c r="X173" s="205" t="s">
        <v>255</v>
      </c>
      <c r="Y173" s="119" t="s">
        <v>231</v>
      </c>
      <c r="Z173" s="120" t="s">
        <v>949</v>
      </c>
      <c r="AA173" s="121" t="s">
        <v>3461</v>
      </c>
      <c r="AB173" s="122" t="s">
        <v>292</v>
      </c>
      <c r="AC173" s="206">
        <f>17-6</f>
        <v>11</v>
      </c>
      <c r="AD173" s="124">
        <v>8.2200000000000006</v>
      </c>
      <c r="AE173" s="200">
        <f t="shared" si="16"/>
        <v>90.42</v>
      </c>
      <c r="AF173" s="227">
        <v>9</v>
      </c>
      <c r="AG173" s="374"/>
      <c r="AH173" s="130"/>
      <c r="AR173" s="129" t="s">
        <v>235</v>
      </c>
      <c r="AT173" s="129" t="s">
        <v>231</v>
      </c>
      <c r="AU173" s="129" t="s">
        <v>76</v>
      </c>
      <c r="AY173" s="13" t="s">
        <v>228</v>
      </c>
      <c r="BE173" s="130">
        <f t="shared" si="17"/>
        <v>0</v>
      </c>
      <c r="BF173" s="130">
        <f t="shared" si="18"/>
        <v>139.74</v>
      </c>
      <c r="BG173" s="130">
        <f t="shared" si="19"/>
        <v>0</v>
      </c>
      <c r="BH173" s="130">
        <f t="shared" si="20"/>
        <v>0</v>
      </c>
      <c r="BI173" s="130">
        <f t="shared" si="21"/>
        <v>0</v>
      </c>
      <c r="BJ173" s="13" t="s">
        <v>76</v>
      </c>
      <c r="BK173" s="130">
        <f t="shared" si="22"/>
        <v>139.74</v>
      </c>
      <c r="BL173" s="13" t="s">
        <v>235</v>
      </c>
      <c r="BM173" s="129" t="s">
        <v>280</v>
      </c>
    </row>
    <row r="174" spans="2:65" s="1" customFormat="1" ht="16.5" customHeight="1" x14ac:dyDescent="0.2">
      <c r="B174" s="118"/>
      <c r="C174" s="205" t="s">
        <v>281</v>
      </c>
      <c r="D174" s="119" t="s">
        <v>231</v>
      </c>
      <c r="E174" s="120" t="s">
        <v>951</v>
      </c>
      <c r="F174" s="121" t="s">
        <v>3462</v>
      </c>
      <c r="G174" s="122" t="s">
        <v>292</v>
      </c>
      <c r="H174" s="206">
        <v>24</v>
      </c>
      <c r="I174" s="124">
        <v>14.65</v>
      </c>
      <c r="J174" s="124">
        <f t="shared" si="12"/>
        <v>351.6</v>
      </c>
      <c r="K174" s="121" t="s">
        <v>1</v>
      </c>
      <c r="L174" s="24"/>
      <c r="M174" s="125" t="s">
        <v>1</v>
      </c>
      <c r="N174" s="126" t="s">
        <v>32</v>
      </c>
      <c r="O174" s="127">
        <v>0</v>
      </c>
      <c r="P174" s="127">
        <f t="shared" si="13"/>
        <v>0</v>
      </c>
      <c r="Q174" s="127">
        <v>0</v>
      </c>
      <c r="R174" s="127">
        <f t="shared" si="14"/>
        <v>0</v>
      </c>
      <c r="S174" s="127">
        <v>0</v>
      </c>
      <c r="T174" s="128">
        <f t="shared" si="15"/>
        <v>0</v>
      </c>
      <c r="W174" s="199"/>
      <c r="X174" s="205" t="s">
        <v>281</v>
      </c>
      <c r="Y174" s="119" t="s">
        <v>231</v>
      </c>
      <c r="Z174" s="120" t="s">
        <v>951</v>
      </c>
      <c r="AA174" s="121" t="s">
        <v>3462</v>
      </c>
      <c r="AB174" s="122" t="s">
        <v>292</v>
      </c>
      <c r="AC174" s="206">
        <f>24-11+4</f>
        <v>17</v>
      </c>
      <c r="AD174" s="124">
        <v>14.65</v>
      </c>
      <c r="AE174" s="200">
        <f t="shared" si="16"/>
        <v>249.05</v>
      </c>
      <c r="AF174" s="227" t="s">
        <v>6442</v>
      </c>
      <c r="AG174" s="374"/>
      <c r="AH174" s="130"/>
      <c r="AR174" s="129" t="s">
        <v>235</v>
      </c>
      <c r="AT174" s="129" t="s">
        <v>231</v>
      </c>
      <c r="AU174" s="129" t="s">
        <v>76</v>
      </c>
      <c r="AY174" s="13" t="s">
        <v>228</v>
      </c>
      <c r="BE174" s="130">
        <f t="shared" si="17"/>
        <v>0</v>
      </c>
      <c r="BF174" s="130">
        <f t="shared" si="18"/>
        <v>351.6</v>
      </c>
      <c r="BG174" s="130">
        <f t="shared" si="19"/>
        <v>0</v>
      </c>
      <c r="BH174" s="130">
        <f t="shared" si="20"/>
        <v>0</v>
      </c>
      <c r="BI174" s="130">
        <f t="shared" si="21"/>
        <v>0</v>
      </c>
      <c r="BJ174" s="13" t="s">
        <v>76</v>
      </c>
      <c r="BK174" s="130">
        <f t="shared" si="22"/>
        <v>351.6</v>
      </c>
      <c r="BL174" s="13" t="s">
        <v>235</v>
      </c>
      <c r="BM174" s="129" t="s">
        <v>285</v>
      </c>
    </row>
    <row r="175" spans="2:65" s="1" customFormat="1" ht="16.5" customHeight="1" x14ac:dyDescent="0.2">
      <c r="B175" s="118"/>
      <c r="C175" s="205" t="s">
        <v>258</v>
      </c>
      <c r="D175" s="119" t="s">
        <v>231</v>
      </c>
      <c r="E175" s="120" t="s">
        <v>953</v>
      </c>
      <c r="F175" s="121" t="s">
        <v>3463</v>
      </c>
      <c r="G175" s="122" t="s">
        <v>292</v>
      </c>
      <c r="H175" s="206">
        <v>21</v>
      </c>
      <c r="I175" s="124">
        <v>15.67</v>
      </c>
      <c r="J175" s="124">
        <f t="shared" si="12"/>
        <v>329.07</v>
      </c>
      <c r="K175" s="121" t="s">
        <v>1</v>
      </c>
      <c r="L175" s="24"/>
      <c r="M175" s="125" t="s">
        <v>1</v>
      </c>
      <c r="N175" s="126" t="s">
        <v>32</v>
      </c>
      <c r="O175" s="127">
        <v>0</v>
      </c>
      <c r="P175" s="127">
        <f t="shared" si="13"/>
        <v>0</v>
      </c>
      <c r="Q175" s="127">
        <v>0</v>
      </c>
      <c r="R175" s="127">
        <f t="shared" si="14"/>
        <v>0</v>
      </c>
      <c r="S175" s="127">
        <v>0</v>
      </c>
      <c r="T175" s="128">
        <f t="shared" si="15"/>
        <v>0</v>
      </c>
      <c r="W175" s="199"/>
      <c r="X175" s="205" t="s">
        <v>258</v>
      </c>
      <c r="Y175" s="119" t="s">
        <v>231</v>
      </c>
      <c r="Z175" s="120" t="s">
        <v>953</v>
      </c>
      <c r="AA175" s="121" t="s">
        <v>3463</v>
      </c>
      <c r="AB175" s="122" t="s">
        <v>292</v>
      </c>
      <c r="AC175" s="206">
        <f>21+33</f>
        <v>54</v>
      </c>
      <c r="AD175" s="124">
        <v>15.67</v>
      </c>
      <c r="AE175" s="200">
        <f t="shared" si="16"/>
        <v>846.18</v>
      </c>
      <c r="AF175" s="227">
        <v>9</v>
      </c>
      <c r="AG175" s="374"/>
      <c r="AH175" s="130"/>
      <c r="AR175" s="129" t="s">
        <v>235</v>
      </c>
      <c r="AT175" s="129" t="s">
        <v>231</v>
      </c>
      <c r="AU175" s="129" t="s">
        <v>76</v>
      </c>
      <c r="AY175" s="13" t="s">
        <v>228</v>
      </c>
      <c r="BE175" s="130">
        <f t="shared" si="17"/>
        <v>0</v>
      </c>
      <c r="BF175" s="130">
        <f t="shared" si="18"/>
        <v>329.07</v>
      </c>
      <c r="BG175" s="130">
        <f t="shared" si="19"/>
        <v>0</v>
      </c>
      <c r="BH175" s="130">
        <f t="shared" si="20"/>
        <v>0</v>
      </c>
      <c r="BI175" s="130">
        <f t="shared" si="21"/>
        <v>0</v>
      </c>
      <c r="BJ175" s="13" t="s">
        <v>76</v>
      </c>
      <c r="BK175" s="130">
        <f t="shared" si="22"/>
        <v>329.07</v>
      </c>
      <c r="BL175" s="13" t="s">
        <v>235</v>
      </c>
      <c r="BM175" s="129" t="s">
        <v>288</v>
      </c>
    </row>
    <row r="176" spans="2:65" s="1" customFormat="1" ht="16.5" customHeight="1" x14ac:dyDescent="0.2">
      <c r="B176" s="118"/>
      <c r="C176" s="205" t="s">
        <v>289</v>
      </c>
      <c r="D176" s="119" t="s">
        <v>231</v>
      </c>
      <c r="E176" s="120" t="s">
        <v>3464</v>
      </c>
      <c r="F176" s="121" t="s">
        <v>3465</v>
      </c>
      <c r="G176" s="122" t="s">
        <v>292</v>
      </c>
      <c r="H176" s="206">
        <v>55</v>
      </c>
      <c r="I176" s="124">
        <v>16.559999999999999</v>
      </c>
      <c r="J176" s="124">
        <f t="shared" si="12"/>
        <v>910.8</v>
      </c>
      <c r="K176" s="121" t="s">
        <v>1</v>
      </c>
      <c r="L176" s="24"/>
      <c r="M176" s="125" t="s">
        <v>1</v>
      </c>
      <c r="N176" s="126" t="s">
        <v>32</v>
      </c>
      <c r="O176" s="127">
        <v>0</v>
      </c>
      <c r="P176" s="127">
        <f t="shared" si="13"/>
        <v>0</v>
      </c>
      <c r="Q176" s="127">
        <v>0</v>
      </c>
      <c r="R176" s="127">
        <f t="shared" si="14"/>
        <v>0</v>
      </c>
      <c r="S176" s="127">
        <v>0</v>
      </c>
      <c r="T176" s="128">
        <f t="shared" si="15"/>
        <v>0</v>
      </c>
      <c r="W176" s="199"/>
      <c r="X176" s="205" t="s">
        <v>289</v>
      </c>
      <c r="Y176" s="119" t="s">
        <v>231</v>
      </c>
      <c r="Z176" s="120" t="s">
        <v>3464</v>
      </c>
      <c r="AA176" s="121" t="s">
        <v>3465</v>
      </c>
      <c r="AB176" s="122" t="s">
        <v>292</v>
      </c>
      <c r="AC176" s="206">
        <f>55+75</f>
        <v>130</v>
      </c>
      <c r="AD176" s="124">
        <v>16.559999999999999</v>
      </c>
      <c r="AE176" s="200">
        <f t="shared" si="16"/>
        <v>2152.8000000000002</v>
      </c>
      <c r="AF176" s="227">
        <v>9</v>
      </c>
      <c r="AG176" s="374"/>
      <c r="AH176" s="130"/>
      <c r="AR176" s="129" t="s">
        <v>235</v>
      </c>
      <c r="AT176" s="129" t="s">
        <v>231</v>
      </c>
      <c r="AU176" s="129" t="s">
        <v>76</v>
      </c>
      <c r="AY176" s="13" t="s">
        <v>228</v>
      </c>
      <c r="BE176" s="130">
        <f t="shared" si="17"/>
        <v>0</v>
      </c>
      <c r="BF176" s="130">
        <f t="shared" si="18"/>
        <v>910.8</v>
      </c>
      <c r="BG176" s="130">
        <f t="shared" si="19"/>
        <v>0</v>
      </c>
      <c r="BH176" s="130">
        <f t="shared" si="20"/>
        <v>0</v>
      </c>
      <c r="BI176" s="130">
        <f t="shared" si="21"/>
        <v>0</v>
      </c>
      <c r="BJ176" s="13" t="s">
        <v>76</v>
      </c>
      <c r="BK176" s="130">
        <f t="shared" si="22"/>
        <v>910.8</v>
      </c>
      <c r="BL176" s="13" t="s">
        <v>235</v>
      </c>
      <c r="BM176" s="129" t="s">
        <v>293</v>
      </c>
    </row>
    <row r="177" spans="2:65" s="1" customFormat="1" ht="16.5" customHeight="1" x14ac:dyDescent="0.2">
      <c r="B177" s="118"/>
      <c r="C177" s="205" t="s">
        <v>262</v>
      </c>
      <c r="D177" s="119" t="s">
        <v>231</v>
      </c>
      <c r="E177" s="120" t="s">
        <v>959</v>
      </c>
      <c r="F177" s="121" t="s">
        <v>3466</v>
      </c>
      <c r="G177" s="122" t="s">
        <v>292</v>
      </c>
      <c r="H177" s="206">
        <v>12</v>
      </c>
      <c r="I177" s="124">
        <v>23.24</v>
      </c>
      <c r="J177" s="124">
        <f t="shared" si="12"/>
        <v>278.88</v>
      </c>
      <c r="K177" s="121" t="s">
        <v>1</v>
      </c>
      <c r="L177" s="24"/>
      <c r="M177" s="125" t="s">
        <v>1</v>
      </c>
      <c r="N177" s="126" t="s">
        <v>32</v>
      </c>
      <c r="O177" s="127">
        <v>0</v>
      </c>
      <c r="P177" s="127">
        <f t="shared" si="13"/>
        <v>0</v>
      </c>
      <c r="Q177" s="127">
        <v>0</v>
      </c>
      <c r="R177" s="127">
        <f t="shared" si="14"/>
        <v>0</v>
      </c>
      <c r="S177" s="127">
        <v>0</v>
      </c>
      <c r="T177" s="128">
        <f t="shared" si="15"/>
        <v>0</v>
      </c>
      <c r="W177" s="199"/>
      <c r="X177" s="205" t="s">
        <v>262</v>
      </c>
      <c r="Y177" s="119" t="s">
        <v>231</v>
      </c>
      <c r="Z177" s="120" t="s">
        <v>959</v>
      </c>
      <c r="AA177" s="121" t="s">
        <v>3466</v>
      </c>
      <c r="AB177" s="122" t="s">
        <v>292</v>
      </c>
      <c r="AC177" s="206">
        <f>12+17</f>
        <v>29</v>
      </c>
      <c r="AD177" s="124">
        <v>23.24</v>
      </c>
      <c r="AE177" s="200">
        <f t="shared" si="16"/>
        <v>673.96</v>
      </c>
      <c r="AF177" s="227">
        <v>9</v>
      </c>
      <c r="AG177" s="374"/>
      <c r="AH177" s="130"/>
      <c r="AR177" s="129" t="s">
        <v>235</v>
      </c>
      <c r="AT177" s="129" t="s">
        <v>231</v>
      </c>
      <c r="AU177" s="129" t="s">
        <v>76</v>
      </c>
      <c r="AY177" s="13" t="s">
        <v>228</v>
      </c>
      <c r="BE177" s="130">
        <f t="shared" si="17"/>
        <v>0</v>
      </c>
      <c r="BF177" s="130">
        <f t="shared" si="18"/>
        <v>278.88</v>
      </c>
      <c r="BG177" s="130">
        <f t="shared" si="19"/>
        <v>0</v>
      </c>
      <c r="BH177" s="130">
        <f t="shared" si="20"/>
        <v>0</v>
      </c>
      <c r="BI177" s="130">
        <f t="shared" si="21"/>
        <v>0</v>
      </c>
      <c r="BJ177" s="13" t="s">
        <v>76</v>
      </c>
      <c r="BK177" s="130">
        <f t="shared" si="22"/>
        <v>278.88</v>
      </c>
      <c r="BL177" s="13" t="s">
        <v>235</v>
      </c>
      <c r="BM177" s="129" t="s">
        <v>296</v>
      </c>
    </row>
    <row r="178" spans="2:65" s="1" customFormat="1" ht="16.5" customHeight="1" x14ac:dyDescent="0.2">
      <c r="B178" s="118"/>
      <c r="C178" s="205" t="s">
        <v>297</v>
      </c>
      <c r="D178" s="119" t="s">
        <v>231</v>
      </c>
      <c r="E178" s="120" t="s">
        <v>961</v>
      </c>
      <c r="F178" s="121" t="s">
        <v>3467</v>
      </c>
      <c r="G178" s="122" t="s">
        <v>292</v>
      </c>
      <c r="H178" s="206">
        <v>25</v>
      </c>
      <c r="I178" s="124">
        <v>25.26</v>
      </c>
      <c r="J178" s="124">
        <f t="shared" si="12"/>
        <v>631.5</v>
      </c>
      <c r="K178" s="121" t="s">
        <v>1</v>
      </c>
      <c r="L178" s="24"/>
      <c r="M178" s="125" t="s">
        <v>1</v>
      </c>
      <c r="N178" s="126" t="s">
        <v>32</v>
      </c>
      <c r="O178" s="127">
        <v>0</v>
      </c>
      <c r="P178" s="127">
        <f t="shared" si="13"/>
        <v>0</v>
      </c>
      <c r="Q178" s="127">
        <v>0</v>
      </c>
      <c r="R178" s="127">
        <f t="shared" si="14"/>
        <v>0</v>
      </c>
      <c r="S178" s="127">
        <v>0</v>
      </c>
      <c r="T178" s="128">
        <f t="shared" si="15"/>
        <v>0</v>
      </c>
      <c r="W178" s="199"/>
      <c r="X178" s="205" t="s">
        <v>297</v>
      </c>
      <c r="Y178" s="119" t="s">
        <v>231</v>
      </c>
      <c r="Z178" s="120" t="s">
        <v>961</v>
      </c>
      <c r="AA178" s="121" t="s">
        <v>3467</v>
      </c>
      <c r="AB178" s="122" t="s">
        <v>292</v>
      </c>
      <c r="AC178" s="206">
        <f>25-25</f>
        <v>0</v>
      </c>
      <c r="AD178" s="124">
        <v>25.26</v>
      </c>
      <c r="AE178" s="200">
        <f t="shared" si="16"/>
        <v>0</v>
      </c>
      <c r="AF178" s="227">
        <v>9</v>
      </c>
      <c r="AG178" s="374"/>
      <c r="AH178" s="130"/>
      <c r="AR178" s="129" t="s">
        <v>235</v>
      </c>
      <c r="AT178" s="129" t="s">
        <v>231</v>
      </c>
      <c r="AU178" s="129" t="s">
        <v>76</v>
      </c>
      <c r="AY178" s="13" t="s">
        <v>228</v>
      </c>
      <c r="BE178" s="130">
        <f t="shared" si="17"/>
        <v>0</v>
      </c>
      <c r="BF178" s="130">
        <f t="shared" si="18"/>
        <v>631.5</v>
      </c>
      <c r="BG178" s="130">
        <f t="shared" si="19"/>
        <v>0</v>
      </c>
      <c r="BH178" s="130">
        <f t="shared" si="20"/>
        <v>0</v>
      </c>
      <c r="BI178" s="130">
        <f t="shared" si="21"/>
        <v>0</v>
      </c>
      <c r="BJ178" s="13" t="s">
        <v>76</v>
      </c>
      <c r="BK178" s="130">
        <f t="shared" si="22"/>
        <v>631.5</v>
      </c>
      <c r="BL178" s="13" t="s">
        <v>235</v>
      </c>
      <c r="BM178" s="129" t="s">
        <v>300</v>
      </c>
    </row>
    <row r="179" spans="2:65" s="1" customFormat="1" ht="16.5" customHeight="1" x14ac:dyDescent="0.2">
      <c r="B179" s="118"/>
      <c r="C179" s="205" t="s">
        <v>7</v>
      </c>
      <c r="D179" s="119" t="s">
        <v>231</v>
      </c>
      <c r="E179" s="120" t="s">
        <v>963</v>
      </c>
      <c r="F179" s="121" t="s">
        <v>964</v>
      </c>
      <c r="G179" s="122" t="s">
        <v>243</v>
      </c>
      <c r="H179" s="206">
        <v>1</v>
      </c>
      <c r="I179" s="124">
        <v>7.57</v>
      </c>
      <c r="J179" s="124">
        <f t="shared" si="12"/>
        <v>7.57</v>
      </c>
      <c r="K179" s="121" t="s">
        <v>1</v>
      </c>
      <c r="L179" s="24"/>
      <c r="M179" s="125" t="s">
        <v>1</v>
      </c>
      <c r="N179" s="126" t="s">
        <v>32</v>
      </c>
      <c r="O179" s="127">
        <v>0</v>
      </c>
      <c r="P179" s="127">
        <f t="shared" si="13"/>
        <v>0</v>
      </c>
      <c r="Q179" s="127">
        <v>0</v>
      </c>
      <c r="R179" s="127">
        <f t="shared" si="14"/>
        <v>0</v>
      </c>
      <c r="S179" s="127">
        <v>0</v>
      </c>
      <c r="T179" s="128">
        <f t="shared" si="15"/>
        <v>0</v>
      </c>
      <c r="W179" s="199"/>
      <c r="X179" s="205" t="s">
        <v>7</v>
      </c>
      <c r="Y179" s="119" t="s">
        <v>231</v>
      </c>
      <c r="Z179" s="120" t="s">
        <v>963</v>
      </c>
      <c r="AA179" s="121" t="s">
        <v>964</v>
      </c>
      <c r="AB179" s="122" t="s">
        <v>243</v>
      </c>
      <c r="AC179" s="206">
        <f>1+3</f>
        <v>4</v>
      </c>
      <c r="AD179" s="124">
        <v>7.57</v>
      </c>
      <c r="AE179" s="200">
        <f t="shared" si="16"/>
        <v>30.28</v>
      </c>
      <c r="AF179" s="227">
        <v>9</v>
      </c>
      <c r="AG179" s="374"/>
      <c r="AH179" s="130"/>
      <c r="AR179" s="129" t="s">
        <v>235</v>
      </c>
      <c r="AT179" s="129" t="s">
        <v>231</v>
      </c>
      <c r="AU179" s="129" t="s">
        <v>76</v>
      </c>
      <c r="AY179" s="13" t="s">
        <v>228</v>
      </c>
      <c r="BE179" s="130">
        <f t="shared" si="17"/>
        <v>0</v>
      </c>
      <c r="BF179" s="130">
        <f t="shared" si="18"/>
        <v>7.57</v>
      </c>
      <c r="BG179" s="130">
        <f t="shared" si="19"/>
        <v>0</v>
      </c>
      <c r="BH179" s="130">
        <f t="shared" si="20"/>
        <v>0</v>
      </c>
      <c r="BI179" s="130">
        <f t="shared" si="21"/>
        <v>0</v>
      </c>
      <c r="BJ179" s="13" t="s">
        <v>76</v>
      </c>
      <c r="BK179" s="130">
        <f t="shared" si="22"/>
        <v>7.57</v>
      </c>
      <c r="BL179" s="13" t="s">
        <v>235</v>
      </c>
      <c r="BM179" s="129" t="s">
        <v>303</v>
      </c>
    </row>
    <row r="180" spans="2:65" s="1" customFormat="1" ht="16.5" customHeight="1" x14ac:dyDescent="0.2">
      <c r="B180" s="118"/>
      <c r="C180" s="205" t="s">
        <v>305</v>
      </c>
      <c r="D180" s="119" t="s">
        <v>231</v>
      </c>
      <c r="E180" s="120" t="s">
        <v>3468</v>
      </c>
      <c r="F180" s="121" t="s">
        <v>3469</v>
      </c>
      <c r="G180" s="122" t="s">
        <v>243</v>
      </c>
      <c r="H180" s="206">
        <v>18</v>
      </c>
      <c r="I180" s="124">
        <v>2.87</v>
      </c>
      <c r="J180" s="124">
        <f t="shared" si="12"/>
        <v>51.66</v>
      </c>
      <c r="K180" s="121" t="s">
        <v>1</v>
      </c>
      <c r="L180" s="24"/>
      <c r="M180" s="125" t="s">
        <v>1</v>
      </c>
      <c r="N180" s="126" t="s">
        <v>32</v>
      </c>
      <c r="O180" s="127">
        <v>0</v>
      </c>
      <c r="P180" s="127">
        <f t="shared" si="13"/>
        <v>0</v>
      </c>
      <c r="Q180" s="127">
        <v>0</v>
      </c>
      <c r="R180" s="127">
        <f t="shared" si="14"/>
        <v>0</v>
      </c>
      <c r="S180" s="127">
        <v>0</v>
      </c>
      <c r="T180" s="128">
        <f t="shared" si="15"/>
        <v>0</v>
      </c>
      <c r="W180" s="199"/>
      <c r="X180" s="205" t="s">
        <v>305</v>
      </c>
      <c r="Y180" s="119" t="s">
        <v>231</v>
      </c>
      <c r="Z180" s="120" t="s">
        <v>3468</v>
      </c>
      <c r="AA180" s="121" t="s">
        <v>3469</v>
      </c>
      <c r="AB180" s="122" t="s">
        <v>243</v>
      </c>
      <c r="AC180" s="206">
        <v>0</v>
      </c>
      <c r="AD180" s="124">
        <v>2.87</v>
      </c>
      <c r="AE180" s="200">
        <f t="shared" si="16"/>
        <v>0</v>
      </c>
      <c r="AF180" s="227">
        <v>9</v>
      </c>
      <c r="AG180" s="374"/>
      <c r="AH180" s="130"/>
      <c r="AR180" s="129" t="s">
        <v>235</v>
      </c>
      <c r="AT180" s="129" t="s">
        <v>231</v>
      </c>
      <c r="AU180" s="129" t="s">
        <v>76</v>
      </c>
      <c r="AY180" s="13" t="s">
        <v>228</v>
      </c>
      <c r="BE180" s="130">
        <f t="shared" si="17"/>
        <v>0</v>
      </c>
      <c r="BF180" s="130">
        <f t="shared" si="18"/>
        <v>51.66</v>
      </c>
      <c r="BG180" s="130">
        <f t="shared" si="19"/>
        <v>0</v>
      </c>
      <c r="BH180" s="130">
        <f t="shared" si="20"/>
        <v>0</v>
      </c>
      <c r="BI180" s="130">
        <f t="shared" si="21"/>
        <v>0</v>
      </c>
      <c r="BJ180" s="13" t="s">
        <v>76</v>
      </c>
      <c r="BK180" s="130">
        <f t="shared" si="22"/>
        <v>51.66</v>
      </c>
      <c r="BL180" s="13" t="s">
        <v>235</v>
      </c>
      <c r="BM180" s="129" t="s">
        <v>308</v>
      </c>
    </row>
    <row r="181" spans="2:65" s="1" customFormat="1" ht="16.5" customHeight="1" x14ac:dyDescent="0.2">
      <c r="B181" s="118"/>
      <c r="C181" s="205" t="s">
        <v>268</v>
      </c>
      <c r="D181" s="119" t="s">
        <v>231</v>
      </c>
      <c r="E181" s="120" t="s">
        <v>3470</v>
      </c>
      <c r="F181" s="121" t="s">
        <v>3471</v>
      </c>
      <c r="G181" s="122" t="s">
        <v>243</v>
      </c>
      <c r="H181" s="206">
        <v>2</v>
      </c>
      <c r="I181" s="124">
        <v>3.46</v>
      </c>
      <c r="J181" s="124">
        <f t="shared" si="12"/>
        <v>6.92</v>
      </c>
      <c r="K181" s="121" t="s">
        <v>1</v>
      </c>
      <c r="L181" s="24"/>
      <c r="M181" s="125" t="s">
        <v>1</v>
      </c>
      <c r="N181" s="126" t="s">
        <v>32</v>
      </c>
      <c r="O181" s="127">
        <v>0</v>
      </c>
      <c r="P181" s="127">
        <f t="shared" si="13"/>
        <v>0</v>
      </c>
      <c r="Q181" s="127">
        <v>0</v>
      </c>
      <c r="R181" s="127">
        <f t="shared" si="14"/>
        <v>0</v>
      </c>
      <c r="S181" s="127">
        <v>0</v>
      </c>
      <c r="T181" s="128">
        <f t="shared" si="15"/>
        <v>0</v>
      </c>
      <c r="W181" s="199"/>
      <c r="X181" s="205" t="s">
        <v>268</v>
      </c>
      <c r="Y181" s="119" t="s">
        <v>231</v>
      </c>
      <c r="Z181" s="120" t="s">
        <v>3470</v>
      </c>
      <c r="AA181" s="121" t="s">
        <v>3471</v>
      </c>
      <c r="AB181" s="122" t="s">
        <v>243</v>
      </c>
      <c r="AC181" s="206">
        <v>0</v>
      </c>
      <c r="AD181" s="124">
        <v>3.46</v>
      </c>
      <c r="AE181" s="200">
        <f t="shared" si="16"/>
        <v>0</v>
      </c>
      <c r="AF181" s="227">
        <v>9</v>
      </c>
      <c r="AG181" s="374"/>
      <c r="AH181" s="130"/>
      <c r="AR181" s="129" t="s">
        <v>235</v>
      </c>
      <c r="AT181" s="129" t="s">
        <v>231</v>
      </c>
      <c r="AU181" s="129" t="s">
        <v>76</v>
      </c>
      <c r="AY181" s="13" t="s">
        <v>228</v>
      </c>
      <c r="BE181" s="130">
        <f t="shared" si="17"/>
        <v>0</v>
      </c>
      <c r="BF181" s="130">
        <f t="shared" si="18"/>
        <v>6.92</v>
      </c>
      <c r="BG181" s="130">
        <f t="shared" si="19"/>
        <v>0</v>
      </c>
      <c r="BH181" s="130">
        <f t="shared" si="20"/>
        <v>0</v>
      </c>
      <c r="BI181" s="130">
        <f t="shared" si="21"/>
        <v>0</v>
      </c>
      <c r="BJ181" s="13" t="s">
        <v>76</v>
      </c>
      <c r="BK181" s="130">
        <f t="shared" si="22"/>
        <v>6.92</v>
      </c>
      <c r="BL181" s="13" t="s">
        <v>235</v>
      </c>
      <c r="BM181" s="129" t="s">
        <v>312</v>
      </c>
    </row>
    <row r="182" spans="2:65" s="1" customFormat="1" ht="16.5" customHeight="1" x14ac:dyDescent="0.2">
      <c r="B182" s="118"/>
      <c r="C182" s="205" t="s">
        <v>313</v>
      </c>
      <c r="D182" s="119" t="s">
        <v>231</v>
      </c>
      <c r="E182" s="120" t="s">
        <v>3472</v>
      </c>
      <c r="F182" s="121" t="s">
        <v>3473</v>
      </c>
      <c r="G182" s="122" t="s">
        <v>243</v>
      </c>
      <c r="H182" s="206">
        <v>5</v>
      </c>
      <c r="I182" s="124">
        <v>4.24</v>
      </c>
      <c r="J182" s="124">
        <f t="shared" si="12"/>
        <v>21.2</v>
      </c>
      <c r="K182" s="121" t="s">
        <v>1</v>
      </c>
      <c r="L182" s="24"/>
      <c r="M182" s="125" t="s">
        <v>1</v>
      </c>
      <c r="N182" s="126" t="s">
        <v>32</v>
      </c>
      <c r="O182" s="127">
        <v>0</v>
      </c>
      <c r="P182" s="127">
        <f t="shared" si="13"/>
        <v>0</v>
      </c>
      <c r="Q182" s="127">
        <v>0</v>
      </c>
      <c r="R182" s="127">
        <f t="shared" si="14"/>
        <v>0</v>
      </c>
      <c r="S182" s="127">
        <v>0</v>
      </c>
      <c r="T182" s="128">
        <f t="shared" si="15"/>
        <v>0</v>
      </c>
      <c r="W182" s="199"/>
      <c r="X182" s="205" t="s">
        <v>313</v>
      </c>
      <c r="Y182" s="119" t="s">
        <v>231</v>
      </c>
      <c r="Z182" s="120" t="s">
        <v>3472</v>
      </c>
      <c r="AA182" s="121" t="s">
        <v>3473</v>
      </c>
      <c r="AB182" s="122" t="s">
        <v>243</v>
      </c>
      <c r="AC182" s="206">
        <v>0</v>
      </c>
      <c r="AD182" s="124">
        <v>4.24</v>
      </c>
      <c r="AE182" s="200">
        <f t="shared" si="16"/>
        <v>0</v>
      </c>
      <c r="AF182" s="227">
        <v>9</v>
      </c>
      <c r="AG182" s="374"/>
      <c r="AH182" s="130"/>
      <c r="AR182" s="129" t="s">
        <v>235</v>
      </c>
      <c r="AT182" s="129" t="s">
        <v>231</v>
      </c>
      <c r="AU182" s="129" t="s">
        <v>76</v>
      </c>
      <c r="AY182" s="13" t="s">
        <v>228</v>
      </c>
      <c r="BE182" s="130">
        <f t="shared" si="17"/>
        <v>0</v>
      </c>
      <c r="BF182" s="130">
        <f t="shared" si="18"/>
        <v>21.2</v>
      </c>
      <c r="BG182" s="130">
        <f t="shared" si="19"/>
        <v>0</v>
      </c>
      <c r="BH182" s="130">
        <f t="shared" si="20"/>
        <v>0</v>
      </c>
      <c r="BI182" s="130">
        <f t="shared" si="21"/>
        <v>0</v>
      </c>
      <c r="BJ182" s="13" t="s">
        <v>76</v>
      </c>
      <c r="BK182" s="130">
        <f t="shared" si="22"/>
        <v>21.2</v>
      </c>
      <c r="BL182" s="13" t="s">
        <v>235</v>
      </c>
      <c r="BM182" s="129" t="s">
        <v>316</v>
      </c>
    </row>
    <row r="183" spans="2:65" s="1" customFormat="1" ht="24" customHeight="1" x14ac:dyDescent="0.2">
      <c r="B183" s="118"/>
      <c r="C183" s="205" t="s">
        <v>272</v>
      </c>
      <c r="D183" s="119" t="s">
        <v>231</v>
      </c>
      <c r="E183" s="120" t="s">
        <v>3474</v>
      </c>
      <c r="F183" s="121" t="s">
        <v>3475</v>
      </c>
      <c r="G183" s="122" t="s">
        <v>243</v>
      </c>
      <c r="H183" s="288">
        <v>1</v>
      </c>
      <c r="I183" s="124">
        <v>391.49</v>
      </c>
      <c r="J183" s="124">
        <f t="shared" si="12"/>
        <v>391.49</v>
      </c>
      <c r="K183" s="121" t="s">
        <v>1</v>
      </c>
      <c r="L183" s="24"/>
      <c r="M183" s="125" t="s">
        <v>1</v>
      </c>
      <c r="N183" s="126" t="s">
        <v>32</v>
      </c>
      <c r="O183" s="127">
        <v>0</v>
      </c>
      <c r="P183" s="127">
        <f t="shared" si="13"/>
        <v>0</v>
      </c>
      <c r="Q183" s="127">
        <v>0</v>
      </c>
      <c r="R183" s="127">
        <f t="shared" si="14"/>
        <v>0</v>
      </c>
      <c r="S183" s="127">
        <v>0</v>
      </c>
      <c r="T183" s="128">
        <f t="shared" si="15"/>
        <v>0</v>
      </c>
      <c r="W183" s="199"/>
      <c r="X183" s="285" t="s">
        <v>272</v>
      </c>
      <c r="Y183" s="285" t="s">
        <v>231</v>
      </c>
      <c r="Z183" s="286" t="s">
        <v>3474</v>
      </c>
      <c r="AA183" s="240" t="s">
        <v>3475</v>
      </c>
      <c r="AB183" s="287" t="s">
        <v>243</v>
      </c>
      <c r="AC183" s="288">
        <v>1</v>
      </c>
      <c r="AD183" s="124">
        <v>391.49</v>
      </c>
      <c r="AE183" s="200">
        <f t="shared" si="16"/>
        <v>391.49</v>
      </c>
      <c r="AF183" s="227"/>
      <c r="AG183" s="374"/>
      <c r="AH183" s="130"/>
      <c r="AR183" s="129" t="s">
        <v>235</v>
      </c>
      <c r="AT183" s="129" t="s">
        <v>231</v>
      </c>
      <c r="AU183" s="129" t="s">
        <v>76</v>
      </c>
      <c r="AY183" s="13" t="s">
        <v>228</v>
      </c>
      <c r="BE183" s="130">
        <f t="shared" si="17"/>
        <v>0</v>
      </c>
      <c r="BF183" s="130">
        <f t="shared" si="18"/>
        <v>391.49</v>
      </c>
      <c r="BG183" s="130">
        <f t="shared" si="19"/>
        <v>0</v>
      </c>
      <c r="BH183" s="130">
        <f t="shared" si="20"/>
        <v>0</v>
      </c>
      <c r="BI183" s="130">
        <f t="shared" si="21"/>
        <v>0</v>
      </c>
      <c r="BJ183" s="13" t="s">
        <v>76</v>
      </c>
      <c r="BK183" s="130">
        <f t="shared" si="22"/>
        <v>391.49</v>
      </c>
      <c r="BL183" s="13" t="s">
        <v>235</v>
      </c>
      <c r="BM183" s="129" t="s">
        <v>319</v>
      </c>
    </row>
    <row r="184" spans="2:65" s="1" customFormat="1" ht="24" customHeight="1" x14ac:dyDescent="0.2">
      <c r="B184" s="118"/>
      <c r="C184" s="205" t="s">
        <v>320</v>
      </c>
      <c r="D184" s="119" t="s">
        <v>231</v>
      </c>
      <c r="E184" s="120" t="s">
        <v>3476</v>
      </c>
      <c r="F184" s="121" t="s">
        <v>3477</v>
      </c>
      <c r="G184" s="122" t="s">
        <v>243</v>
      </c>
      <c r="H184" s="288">
        <v>1</v>
      </c>
      <c r="I184" s="124">
        <v>478.33</v>
      </c>
      <c r="J184" s="124">
        <f t="shared" si="12"/>
        <v>478.33</v>
      </c>
      <c r="K184" s="121" t="s">
        <v>1</v>
      </c>
      <c r="L184" s="24"/>
      <c r="M184" s="125" t="s">
        <v>1</v>
      </c>
      <c r="N184" s="126" t="s">
        <v>32</v>
      </c>
      <c r="O184" s="127">
        <v>0</v>
      </c>
      <c r="P184" s="127">
        <f t="shared" si="13"/>
        <v>0</v>
      </c>
      <c r="Q184" s="127">
        <v>0</v>
      </c>
      <c r="R184" s="127">
        <f t="shared" si="14"/>
        <v>0</v>
      </c>
      <c r="S184" s="127">
        <v>0</v>
      </c>
      <c r="T184" s="128">
        <f t="shared" si="15"/>
        <v>0</v>
      </c>
      <c r="W184" s="199"/>
      <c r="X184" s="285" t="s">
        <v>320</v>
      </c>
      <c r="Y184" s="285" t="s">
        <v>231</v>
      </c>
      <c r="Z184" s="286" t="s">
        <v>3476</v>
      </c>
      <c r="AA184" s="240" t="s">
        <v>3477</v>
      </c>
      <c r="AB184" s="287" t="s">
        <v>243</v>
      </c>
      <c r="AC184" s="288">
        <v>1</v>
      </c>
      <c r="AD184" s="124">
        <v>478.33</v>
      </c>
      <c r="AE184" s="200">
        <f t="shared" si="16"/>
        <v>478.33</v>
      </c>
      <c r="AF184" s="227"/>
      <c r="AG184" s="374"/>
      <c r="AH184" s="130"/>
      <c r="AR184" s="129" t="s">
        <v>235</v>
      </c>
      <c r="AT184" s="129" t="s">
        <v>231</v>
      </c>
      <c r="AU184" s="129" t="s">
        <v>76</v>
      </c>
      <c r="AY184" s="13" t="s">
        <v>228</v>
      </c>
      <c r="BE184" s="130">
        <f t="shared" si="17"/>
        <v>0</v>
      </c>
      <c r="BF184" s="130">
        <f t="shared" si="18"/>
        <v>478.33</v>
      </c>
      <c r="BG184" s="130">
        <f t="shared" si="19"/>
        <v>0</v>
      </c>
      <c r="BH184" s="130">
        <f t="shared" si="20"/>
        <v>0</v>
      </c>
      <c r="BI184" s="130">
        <f t="shared" si="21"/>
        <v>0</v>
      </c>
      <c r="BJ184" s="13" t="s">
        <v>76</v>
      </c>
      <c r="BK184" s="130">
        <f t="shared" si="22"/>
        <v>478.33</v>
      </c>
      <c r="BL184" s="13" t="s">
        <v>235</v>
      </c>
      <c r="BM184" s="129" t="s">
        <v>323</v>
      </c>
    </row>
    <row r="185" spans="2:65" s="403" customFormat="1" ht="29.25" customHeight="1" x14ac:dyDescent="0.2">
      <c r="B185" s="118"/>
      <c r="C185" s="1234" t="s">
        <v>5205</v>
      </c>
      <c r="D185" s="1235"/>
      <c r="E185" s="1235"/>
      <c r="F185" s="1235"/>
      <c r="G185" s="1235"/>
      <c r="H185" s="1235"/>
      <c r="I185" s="1235"/>
      <c r="J185" s="1236"/>
      <c r="K185" s="121"/>
      <c r="L185" s="24"/>
      <c r="M185" s="125"/>
      <c r="N185" s="126"/>
      <c r="O185" s="127"/>
      <c r="P185" s="127"/>
      <c r="Q185" s="127"/>
      <c r="R185" s="127"/>
      <c r="S185" s="127"/>
      <c r="T185" s="128"/>
      <c r="W185" s="199"/>
      <c r="X185" s="207" t="s">
        <v>5694</v>
      </c>
      <c r="Y185" s="207" t="s">
        <v>231</v>
      </c>
      <c r="Z185" s="208" t="s">
        <v>6005</v>
      </c>
      <c r="AA185" s="209" t="s">
        <v>6006</v>
      </c>
      <c r="AB185" s="210" t="s">
        <v>243</v>
      </c>
      <c r="AC185" s="211">
        <v>9</v>
      </c>
      <c r="AD185" s="212">
        <v>112.8</v>
      </c>
      <c r="AE185" s="214">
        <f t="shared" si="16"/>
        <v>1015.2</v>
      </c>
      <c r="AF185" s="227">
        <v>9</v>
      </c>
      <c r="AG185" s="374"/>
      <c r="AH185" s="130"/>
      <c r="AR185" s="129"/>
      <c r="AT185" s="129"/>
      <c r="AU185" s="129"/>
      <c r="AY185" s="13"/>
      <c r="BE185" s="130"/>
      <c r="BF185" s="130"/>
      <c r="BG185" s="130"/>
      <c r="BH185" s="130"/>
      <c r="BI185" s="130"/>
      <c r="BJ185" s="13"/>
      <c r="BK185" s="130"/>
      <c r="BL185" s="13"/>
      <c r="BM185" s="129"/>
    </row>
    <row r="186" spans="2:65" s="403" customFormat="1" ht="24" customHeight="1" x14ac:dyDescent="0.2">
      <c r="B186" s="118"/>
      <c r="C186" s="1234" t="s">
        <v>5205</v>
      </c>
      <c r="D186" s="1235"/>
      <c r="E186" s="1235"/>
      <c r="F186" s="1235"/>
      <c r="G186" s="1235"/>
      <c r="H186" s="1235"/>
      <c r="I186" s="1235"/>
      <c r="J186" s="1236"/>
      <c r="K186" s="121"/>
      <c r="L186" s="24"/>
      <c r="M186" s="125"/>
      <c r="N186" s="126"/>
      <c r="O186" s="127"/>
      <c r="P186" s="127"/>
      <c r="Q186" s="127"/>
      <c r="R186" s="127"/>
      <c r="S186" s="127"/>
      <c r="T186" s="128"/>
      <c r="W186" s="199"/>
      <c r="X186" s="207" t="s">
        <v>6051</v>
      </c>
      <c r="Y186" s="207" t="s">
        <v>231</v>
      </c>
      <c r="Z186" s="208" t="s">
        <v>6007</v>
      </c>
      <c r="AA186" s="209" t="s">
        <v>6008</v>
      </c>
      <c r="AB186" s="210" t="s">
        <v>243</v>
      </c>
      <c r="AC186" s="211">
        <v>4</v>
      </c>
      <c r="AD186" s="212">
        <v>40.880000000000003</v>
      </c>
      <c r="AE186" s="214">
        <f t="shared" si="16"/>
        <v>163.52000000000001</v>
      </c>
      <c r="AF186" s="227">
        <v>9</v>
      </c>
      <c r="AG186" s="374"/>
      <c r="AH186" s="130"/>
      <c r="AR186" s="129"/>
      <c r="AT186" s="129"/>
      <c r="AU186" s="129"/>
      <c r="AY186" s="13"/>
      <c r="BE186" s="130"/>
      <c r="BF186" s="130"/>
      <c r="BG186" s="130"/>
      <c r="BH186" s="130"/>
      <c r="BI186" s="130"/>
      <c r="BJ186" s="13"/>
      <c r="BK186" s="130"/>
      <c r="BL186" s="13"/>
      <c r="BM186" s="129"/>
    </row>
    <row r="187" spans="2:65" s="403" customFormat="1" ht="24" customHeight="1" x14ac:dyDescent="0.2">
      <c r="B187" s="118"/>
      <c r="C187" s="1234" t="s">
        <v>5205</v>
      </c>
      <c r="D187" s="1235"/>
      <c r="E187" s="1235"/>
      <c r="F187" s="1235"/>
      <c r="G187" s="1235"/>
      <c r="H187" s="1235"/>
      <c r="I187" s="1235"/>
      <c r="J187" s="1236"/>
      <c r="K187" s="121"/>
      <c r="L187" s="24"/>
      <c r="M187" s="125"/>
      <c r="N187" s="126"/>
      <c r="O187" s="127"/>
      <c r="P187" s="127"/>
      <c r="Q187" s="127"/>
      <c r="R187" s="127"/>
      <c r="S187" s="127"/>
      <c r="T187" s="128"/>
      <c r="W187" s="199"/>
      <c r="X187" s="207" t="s">
        <v>6052</v>
      </c>
      <c r="Y187" s="207" t="s">
        <v>231</v>
      </c>
      <c r="Z187" s="208" t="s">
        <v>6009</v>
      </c>
      <c r="AA187" s="209" t="s">
        <v>6010</v>
      </c>
      <c r="AB187" s="210" t="s">
        <v>292</v>
      </c>
      <c r="AC187" s="211">
        <v>3</v>
      </c>
      <c r="AD187" s="212">
        <v>35</v>
      </c>
      <c r="AE187" s="214">
        <f t="shared" si="16"/>
        <v>105</v>
      </c>
      <c r="AF187" s="227">
        <v>9</v>
      </c>
      <c r="AG187" s="374"/>
      <c r="AH187" s="130"/>
      <c r="AR187" s="129"/>
      <c r="AT187" s="129"/>
      <c r="AU187" s="129"/>
      <c r="AY187" s="13"/>
      <c r="BE187" s="130"/>
      <c r="BF187" s="130"/>
      <c r="BG187" s="130"/>
      <c r="BH187" s="130"/>
      <c r="BI187" s="130"/>
      <c r="BJ187" s="13"/>
      <c r="BK187" s="130"/>
      <c r="BL187" s="13"/>
      <c r="BM187" s="129"/>
    </row>
    <row r="188" spans="2:65" s="1" customFormat="1" ht="16.5" customHeight="1" x14ac:dyDescent="0.2">
      <c r="B188" s="118"/>
      <c r="C188" s="119" t="s">
        <v>276</v>
      </c>
      <c r="D188" s="119" t="s">
        <v>231</v>
      </c>
      <c r="E188" s="120" t="s">
        <v>965</v>
      </c>
      <c r="F188" s="121" t="s">
        <v>966</v>
      </c>
      <c r="G188" s="122" t="s">
        <v>243</v>
      </c>
      <c r="H188" s="123">
        <v>4</v>
      </c>
      <c r="I188" s="124">
        <v>37.729999999999997</v>
      </c>
      <c r="J188" s="124">
        <f t="shared" si="12"/>
        <v>150.91999999999999</v>
      </c>
      <c r="K188" s="121" t="s">
        <v>1</v>
      </c>
      <c r="L188" s="24"/>
      <c r="M188" s="125" t="s">
        <v>1</v>
      </c>
      <c r="N188" s="126" t="s">
        <v>32</v>
      </c>
      <c r="O188" s="127">
        <v>0</v>
      </c>
      <c r="P188" s="127">
        <f t="shared" si="13"/>
        <v>0</v>
      </c>
      <c r="Q188" s="127">
        <v>0</v>
      </c>
      <c r="R188" s="127">
        <f t="shared" si="14"/>
        <v>0</v>
      </c>
      <c r="S188" s="127">
        <v>0</v>
      </c>
      <c r="T188" s="128">
        <f t="shared" si="15"/>
        <v>0</v>
      </c>
      <c r="W188" s="199"/>
      <c r="X188" s="119" t="s">
        <v>276</v>
      </c>
      <c r="Y188" s="119" t="s">
        <v>231</v>
      </c>
      <c r="Z188" s="120" t="s">
        <v>965</v>
      </c>
      <c r="AA188" s="121" t="s">
        <v>966</v>
      </c>
      <c r="AB188" s="122" t="s">
        <v>243</v>
      </c>
      <c r="AC188" s="123">
        <v>4</v>
      </c>
      <c r="AD188" s="124">
        <v>37.729999999999997</v>
      </c>
      <c r="AE188" s="200">
        <f t="shared" si="16"/>
        <v>150.91999999999999</v>
      </c>
      <c r="AF188" s="227"/>
      <c r="AG188" s="374"/>
      <c r="AH188" s="130"/>
      <c r="AR188" s="129" t="s">
        <v>235</v>
      </c>
      <c r="AT188" s="129" t="s">
        <v>231</v>
      </c>
      <c r="AU188" s="129" t="s">
        <v>76</v>
      </c>
      <c r="AY188" s="13" t="s">
        <v>228</v>
      </c>
      <c r="BE188" s="130">
        <f t="shared" si="17"/>
        <v>0</v>
      </c>
      <c r="BF188" s="130">
        <f t="shared" si="18"/>
        <v>150.91999999999999</v>
      </c>
      <c r="BG188" s="130">
        <f t="shared" si="19"/>
        <v>0</v>
      </c>
      <c r="BH188" s="130">
        <f t="shared" si="20"/>
        <v>0</v>
      </c>
      <c r="BI188" s="130">
        <f t="shared" si="21"/>
        <v>0</v>
      </c>
      <c r="BJ188" s="13" t="s">
        <v>76</v>
      </c>
      <c r="BK188" s="130">
        <f t="shared" si="22"/>
        <v>150.91999999999999</v>
      </c>
      <c r="BL188" s="13" t="s">
        <v>235</v>
      </c>
      <c r="BM188" s="129" t="s">
        <v>326</v>
      </c>
    </row>
    <row r="189" spans="2:65" s="1" customFormat="1" ht="16.5" customHeight="1" x14ac:dyDescent="0.2">
      <c r="B189" s="118"/>
      <c r="C189" s="119" t="s">
        <v>327</v>
      </c>
      <c r="D189" s="119" t="s">
        <v>231</v>
      </c>
      <c r="E189" s="120" t="s">
        <v>967</v>
      </c>
      <c r="F189" s="121" t="s">
        <v>3478</v>
      </c>
      <c r="G189" s="122" t="s">
        <v>243</v>
      </c>
      <c r="H189" s="123">
        <v>2</v>
      </c>
      <c r="I189" s="124">
        <v>41.45</v>
      </c>
      <c r="J189" s="124">
        <f t="shared" si="12"/>
        <v>82.9</v>
      </c>
      <c r="K189" s="121" t="s">
        <v>1</v>
      </c>
      <c r="L189" s="24"/>
      <c r="M189" s="125" t="s">
        <v>1</v>
      </c>
      <c r="N189" s="126" t="s">
        <v>32</v>
      </c>
      <c r="O189" s="127">
        <v>0</v>
      </c>
      <c r="P189" s="127">
        <f t="shared" si="13"/>
        <v>0</v>
      </c>
      <c r="Q189" s="127">
        <v>0</v>
      </c>
      <c r="R189" s="127">
        <f t="shared" si="14"/>
        <v>0</v>
      </c>
      <c r="S189" s="127">
        <v>0</v>
      </c>
      <c r="T189" s="128">
        <f t="shared" si="15"/>
        <v>0</v>
      </c>
      <c r="W189" s="199"/>
      <c r="X189" s="119" t="s">
        <v>327</v>
      </c>
      <c r="Y189" s="119" t="s">
        <v>231</v>
      </c>
      <c r="Z189" s="120" t="s">
        <v>967</v>
      </c>
      <c r="AA189" s="121" t="s">
        <v>3478</v>
      </c>
      <c r="AB189" s="122" t="s">
        <v>243</v>
      </c>
      <c r="AC189" s="123">
        <v>2</v>
      </c>
      <c r="AD189" s="124">
        <v>41.45</v>
      </c>
      <c r="AE189" s="200">
        <f t="shared" si="16"/>
        <v>82.9</v>
      </c>
      <c r="AF189" s="227"/>
      <c r="AG189" s="374"/>
      <c r="AH189" s="130"/>
      <c r="AR189" s="129" t="s">
        <v>235</v>
      </c>
      <c r="AT189" s="129" t="s">
        <v>231</v>
      </c>
      <c r="AU189" s="129" t="s">
        <v>76</v>
      </c>
      <c r="AY189" s="13" t="s">
        <v>228</v>
      </c>
      <c r="BE189" s="130">
        <f t="shared" si="17"/>
        <v>0</v>
      </c>
      <c r="BF189" s="130">
        <f t="shared" si="18"/>
        <v>82.9</v>
      </c>
      <c r="BG189" s="130">
        <f t="shared" si="19"/>
        <v>0</v>
      </c>
      <c r="BH189" s="130">
        <f t="shared" si="20"/>
        <v>0</v>
      </c>
      <c r="BI189" s="130">
        <f t="shared" si="21"/>
        <v>0</v>
      </c>
      <c r="BJ189" s="13" t="s">
        <v>76</v>
      </c>
      <c r="BK189" s="130">
        <f t="shared" si="22"/>
        <v>82.9</v>
      </c>
      <c r="BL189" s="13" t="s">
        <v>235</v>
      </c>
      <c r="BM189" s="129" t="s">
        <v>330</v>
      </c>
    </row>
    <row r="190" spans="2:65" s="1" customFormat="1" ht="16.5" customHeight="1" x14ac:dyDescent="0.2">
      <c r="B190" s="118"/>
      <c r="C190" s="205" t="s">
        <v>280</v>
      </c>
      <c r="D190" s="119" t="s">
        <v>231</v>
      </c>
      <c r="E190" s="120" t="s">
        <v>969</v>
      </c>
      <c r="F190" s="121" t="s">
        <v>970</v>
      </c>
      <c r="G190" s="122" t="s">
        <v>292</v>
      </c>
      <c r="H190" s="206">
        <v>180</v>
      </c>
      <c r="I190" s="124">
        <v>0.8</v>
      </c>
      <c r="J190" s="124">
        <f t="shared" si="12"/>
        <v>144</v>
      </c>
      <c r="K190" s="121" t="s">
        <v>1</v>
      </c>
      <c r="L190" s="24"/>
      <c r="M190" s="125" t="s">
        <v>1</v>
      </c>
      <c r="N190" s="126" t="s">
        <v>32</v>
      </c>
      <c r="O190" s="127">
        <v>0</v>
      </c>
      <c r="P190" s="127">
        <f t="shared" si="13"/>
        <v>0</v>
      </c>
      <c r="Q190" s="127">
        <v>0</v>
      </c>
      <c r="R190" s="127">
        <f t="shared" si="14"/>
        <v>0</v>
      </c>
      <c r="S190" s="127">
        <v>0</v>
      </c>
      <c r="T190" s="128">
        <f t="shared" si="15"/>
        <v>0</v>
      </c>
      <c r="W190" s="199"/>
      <c r="X190" s="205" t="s">
        <v>280</v>
      </c>
      <c r="Y190" s="119" t="s">
        <v>231</v>
      </c>
      <c r="Z190" s="120" t="s">
        <v>969</v>
      </c>
      <c r="AA190" s="121" t="s">
        <v>970</v>
      </c>
      <c r="AB190" s="122" t="s">
        <v>292</v>
      </c>
      <c r="AC190" s="206">
        <f>180+57</f>
        <v>237</v>
      </c>
      <c r="AD190" s="124">
        <v>0.8</v>
      </c>
      <c r="AE190" s="200">
        <f t="shared" si="16"/>
        <v>189.6</v>
      </c>
      <c r="AF190" s="227">
        <v>9</v>
      </c>
      <c r="AG190" s="374"/>
      <c r="AH190" s="130"/>
      <c r="AR190" s="129" t="s">
        <v>235</v>
      </c>
      <c r="AT190" s="129" t="s">
        <v>231</v>
      </c>
      <c r="AU190" s="129" t="s">
        <v>76</v>
      </c>
      <c r="AY190" s="13" t="s">
        <v>228</v>
      </c>
      <c r="BE190" s="130">
        <f t="shared" si="17"/>
        <v>0</v>
      </c>
      <c r="BF190" s="130">
        <f t="shared" si="18"/>
        <v>144</v>
      </c>
      <c r="BG190" s="130">
        <f t="shared" si="19"/>
        <v>0</v>
      </c>
      <c r="BH190" s="130">
        <f t="shared" si="20"/>
        <v>0</v>
      </c>
      <c r="BI190" s="130">
        <f t="shared" si="21"/>
        <v>0</v>
      </c>
      <c r="BJ190" s="13" t="s">
        <v>76</v>
      </c>
      <c r="BK190" s="130">
        <f t="shared" si="22"/>
        <v>144</v>
      </c>
      <c r="BL190" s="13" t="s">
        <v>235</v>
      </c>
      <c r="BM190" s="129" t="s">
        <v>333</v>
      </c>
    </row>
    <row r="191" spans="2:65" s="1" customFormat="1" ht="22.2" customHeight="1" x14ac:dyDescent="0.2">
      <c r="B191" s="118"/>
      <c r="C191" s="205" t="s">
        <v>334</v>
      </c>
      <c r="D191" s="119" t="s">
        <v>231</v>
      </c>
      <c r="E191" s="120" t="s">
        <v>971</v>
      </c>
      <c r="F191" s="121" t="s">
        <v>972</v>
      </c>
      <c r="G191" s="122" t="s">
        <v>292</v>
      </c>
      <c r="H191" s="206">
        <v>25</v>
      </c>
      <c r="I191" s="124">
        <v>1.03</v>
      </c>
      <c r="J191" s="124">
        <f t="shared" si="12"/>
        <v>25.75</v>
      </c>
      <c r="K191" s="121" t="s">
        <v>1</v>
      </c>
      <c r="L191" s="24"/>
      <c r="M191" s="125" t="s">
        <v>1</v>
      </c>
      <c r="N191" s="126" t="s">
        <v>32</v>
      </c>
      <c r="O191" s="127">
        <v>0</v>
      </c>
      <c r="P191" s="127">
        <f t="shared" si="13"/>
        <v>0</v>
      </c>
      <c r="Q191" s="127">
        <v>0</v>
      </c>
      <c r="R191" s="127">
        <f t="shared" si="14"/>
        <v>0</v>
      </c>
      <c r="S191" s="127">
        <v>0</v>
      </c>
      <c r="T191" s="128">
        <f t="shared" si="15"/>
        <v>0</v>
      </c>
      <c r="W191" s="199"/>
      <c r="X191" s="205" t="s">
        <v>334</v>
      </c>
      <c r="Y191" s="119" t="s">
        <v>231</v>
      </c>
      <c r="Z191" s="120" t="s">
        <v>971</v>
      </c>
      <c r="AA191" s="121" t="s">
        <v>972</v>
      </c>
      <c r="AB191" s="122" t="s">
        <v>292</v>
      </c>
      <c r="AC191" s="206">
        <v>0</v>
      </c>
      <c r="AD191" s="124">
        <v>1.03</v>
      </c>
      <c r="AE191" s="200">
        <f t="shared" si="16"/>
        <v>0</v>
      </c>
      <c r="AF191" s="227">
        <v>9</v>
      </c>
      <c r="AG191" s="374"/>
      <c r="AH191" s="130"/>
      <c r="AR191" s="129" t="s">
        <v>235</v>
      </c>
      <c r="AT191" s="129" t="s">
        <v>231</v>
      </c>
      <c r="AU191" s="129" t="s">
        <v>76</v>
      </c>
      <c r="AY191" s="13" t="s">
        <v>228</v>
      </c>
      <c r="BE191" s="130">
        <f t="shared" si="17"/>
        <v>0</v>
      </c>
      <c r="BF191" s="130">
        <f t="shared" si="18"/>
        <v>25.75</v>
      </c>
      <c r="BG191" s="130">
        <f t="shared" si="19"/>
        <v>0</v>
      </c>
      <c r="BH191" s="130">
        <f t="shared" si="20"/>
        <v>0</v>
      </c>
      <c r="BI191" s="130">
        <f t="shared" si="21"/>
        <v>0</v>
      </c>
      <c r="BJ191" s="13" t="s">
        <v>76</v>
      </c>
      <c r="BK191" s="130">
        <f t="shared" si="22"/>
        <v>25.75</v>
      </c>
      <c r="BL191" s="13" t="s">
        <v>235</v>
      </c>
      <c r="BM191" s="129" t="s">
        <v>337</v>
      </c>
    </row>
    <row r="192" spans="2:65" s="1" customFormat="1" ht="22.2" customHeight="1" x14ac:dyDescent="0.2">
      <c r="B192" s="118"/>
      <c r="C192" s="205" t="s">
        <v>285</v>
      </c>
      <c r="D192" s="119" t="s">
        <v>231</v>
      </c>
      <c r="E192" s="120" t="s">
        <v>973</v>
      </c>
      <c r="F192" s="121" t="s">
        <v>3479</v>
      </c>
      <c r="G192" s="122" t="s">
        <v>570</v>
      </c>
      <c r="H192" s="206">
        <v>40.756999999999998</v>
      </c>
      <c r="I192" s="124">
        <v>6.01</v>
      </c>
      <c r="J192" s="124">
        <f t="shared" si="12"/>
        <v>244.95</v>
      </c>
      <c r="K192" s="121" t="s">
        <v>1</v>
      </c>
      <c r="L192" s="24"/>
      <c r="M192" s="125" t="s">
        <v>1</v>
      </c>
      <c r="N192" s="126" t="s">
        <v>32</v>
      </c>
      <c r="O192" s="127">
        <v>0</v>
      </c>
      <c r="P192" s="127">
        <f t="shared" si="13"/>
        <v>0</v>
      </c>
      <c r="Q192" s="127">
        <v>0</v>
      </c>
      <c r="R192" s="127">
        <f t="shared" si="14"/>
        <v>0</v>
      </c>
      <c r="S192" s="127">
        <v>0</v>
      </c>
      <c r="T192" s="128">
        <f t="shared" si="15"/>
        <v>0</v>
      </c>
      <c r="W192" s="199"/>
      <c r="X192" s="205" t="s">
        <v>285</v>
      </c>
      <c r="Y192" s="119" t="s">
        <v>231</v>
      </c>
      <c r="Z192" s="120" t="s">
        <v>973</v>
      </c>
      <c r="AA192" s="121" t="s">
        <v>3479</v>
      </c>
      <c r="AB192" s="122" t="s">
        <v>570</v>
      </c>
      <c r="AC192" s="206">
        <f>40.757+22.362</f>
        <v>63.119</v>
      </c>
      <c r="AD192" s="124">
        <v>6.01</v>
      </c>
      <c r="AE192" s="200">
        <f t="shared" si="16"/>
        <v>379.35</v>
      </c>
      <c r="AF192" s="227">
        <v>9</v>
      </c>
      <c r="AG192" s="374"/>
      <c r="AH192" s="130"/>
      <c r="AR192" s="129" t="s">
        <v>235</v>
      </c>
      <c r="AT192" s="129" t="s">
        <v>231</v>
      </c>
      <c r="AU192" s="129" t="s">
        <v>76</v>
      </c>
      <c r="AY192" s="13" t="s">
        <v>228</v>
      </c>
      <c r="BE192" s="130">
        <f t="shared" si="17"/>
        <v>0</v>
      </c>
      <c r="BF192" s="130">
        <f t="shared" si="18"/>
        <v>244.95</v>
      </c>
      <c r="BG192" s="130">
        <f t="shared" si="19"/>
        <v>0</v>
      </c>
      <c r="BH192" s="130">
        <f t="shared" si="20"/>
        <v>0</v>
      </c>
      <c r="BI192" s="130">
        <f t="shared" si="21"/>
        <v>0</v>
      </c>
      <c r="BJ192" s="13" t="s">
        <v>76</v>
      </c>
      <c r="BK192" s="130">
        <f t="shared" si="22"/>
        <v>244.95</v>
      </c>
      <c r="BL192" s="13" t="s">
        <v>235</v>
      </c>
      <c r="BM192" s="129" t="s">
        <v>340</v>
      </c>
    </row>
    <row r="193" spans="2:65" s="11" customFormat="1" ht="22.95" customHeight="1" x14ac:dyDescent="0.25">
      <c r="B193" s="106"/>
      <c r="D193" s="107" t="s">
        <v>57</v>
      </c>
      <c r="E193" s="116" t="s">
        <v>572</v>
      </c>
      <c r="F193" s="116" t="s">
        <v>573</v>
      </c>
      <c r="J193" s="117">
        <f>BK193</f>
        <v>6967.9699999999975</v>
      </c>
      <c r="L193" s="106"/>
      <c r="M193" s="110"/>
      <c r="N193" s="111"/>
      <c r="O193" s="111"/>
      <c r="P193" s="112">
        <f>SUM(P194:P233)</f>
        <v>0</v>
      </c>
      <c r="Q193" s="111"/>
      <c r="R193" s="112">
        <f>SUM(R194:R233)</f>
        <v>0</v>
      </c>
      <c r="S193" s="111"/>
      <c r="T193" s="113">
        <f>SUM(T194:T233)</f>
        <v>0</v>
      </c>
      <c r="W193" s="195"/>
      <c r="X193" s="111"/>
      <c r="Y193" s="196" t="s">
        <v>57</v>
      </c>
      <c r="Z193" s="201" t="s">
        <v>572</v>
      </c>
      <c r="AA193" s="201" t="s">
        <v>573</v>
      </c>
      <c r="AB193" s="111"/>
      <c r="AC193" s="111"/>
      <c r="AD193" s="111"/>
      <c r="AE193" s="585">
        <f>SUM(AE194:AE233)</f>
        <v>10248.299999999999</v>
      </c>
      <c r="AF193" s="227"/>
      <c r="AG193" s="374"/>
      <c r="AH193" s="130"/>
      <c r="AR193" s="107" t="s">
        <v>63</v>
      </c>
      <c r="AT193" s="114" t="s">
        <v>57</v>
      </c>
      <c r="AU193" s="114" t="s">
        <v>63</v>
      </c>
      <c r="AY193" s="107" t="s">
        <v>228</v>
      </c>
      <c r="BK193" s="115">
        <f>SUM(BK194:BK233)</f>
        <v>6967.9699999999975</v>
      </c>
    </row>
    <row r="194" spans="2:65" s="1" customFormat="1" ht="16.5" customHeight="1" x14ac:dyDescent="0.2">
      <c r="B194" s="118"/>
      <c r="C194" s="205" t="s">
        <v>341</v>
      </c>
      <c r="D194" s="119" t="s">
        <v>231</v>
      </c>
      <c r="E194" s="120" t="s">
        <v>975</v>
      </c>
      <c r="F194" s="121" t="s">
        <v>976</v>
      </c>
      <c r="G194" s="122" t="s">
        <v>292</v>
      </c>
      <c r="H194" s="206">
        <v>66</v>
      </c>
      <c r="I194" s="124">
        <v>7.93</v>
      </c>
      <c r="J194" s="124">
        <f t="shared" ref="J194:J233" si="23">ROUND(I194*H194,2)</f>
        <v>523.38</v>
      </c>
      <c r="K194" s="121" t="s">
        <v>1</v>
      </c>
      <c r="L194" s="24"/>
      <c r="M194" s="125" t="s">
        <v>1</v>
      </c>
      <c r="N194" s="126" t="s">
        <v>32</v>
      </c>
      <c r="O194" s="127">
        <v>0</v>
      </c>
      <c r="P194" s="127">
        <f t="shared" ref="P194:P233" si="24">O194*H194</f>
        <v>0</v>
      </c>
      <c r="Q194" s="127">
        <v>0</v>
      </c>
      <c r="R194" s="127">
        <f t="shared" ref="R194:R233" si="25">Q194*H194</f>
        <v>0</v>
      </c>
      <c r="S194" s="127">
        <v>0</v>
      </c>
      <c r="T194" s="128">
        <f t="shared" ref="T194:T233" si="26">S194*H194</f>
        <v>0</v>
      </c>
      <c r="W194" s="199"/>
      <c r="X194" s="205" t="s">
        <v>341</v>
      </c>
      <c r="Y194" s="119" t="s">
        <v>231</v>
      </c>
      <c r="Z194" s="120" t="s">
        <v>975</v>
      </c>
      <c r="AA194" s="121" t="s">
        <v>976</v>
      </c>
      <c r="AB194" s="122" t="s">
        <v>292</v>
      </c>
      <c r="AC194" s="206">
        <f>66+1</f>
        <v>67</v>
      </c>
      <c r="AD194" s="124">
        <v>7.93</v>
      </c>
      <c r="AE194" s="200">
        <f t="shared" ref="AE194:AE233" si="27">ROUND(AD194*AC194,2)</f>
        <v>531.30999999999995</v>
      </c>
      <c r="AF194" s="227">
        <v>9</v>
      </c>
      <c r="AG194" s="374"/>
      <c r="AH194" s="130"/>
      <c r="AR194" s="129" t="s">
        <v>235</v>
      </c>
      <c r="AT194" s="129" t="s">
        <v>231</v>
      </c>
      <c r="AU194" s="129" t="s">
        <v>76</v>
      </c>
      <c r="AY194" s="13" t="s">
        <v>228</v>
      </c>
      <c r="BE194" s="130">
        <f t="shared" ref="BE194:BE233" si="28">IF(N194="základná",J194,0)</f>
        <v>0</v>
      </c>
      <c r="BF194" s="130">
        <f t="shared" ref="BF194:BF233" si="29">IF(N194="znížená",J194,0)</f>
        <v>523.38</v>
      </c>
      <c r="BG194" s="130">
        <f t="shared" ref="BG194:BG233" si="30">IF(N194="zákl. prenesená",J194,0)</f>
        <v>0</v>
      </c>
      <c r="BH194" s="130">
        <f t="shared" ref="BH194:BH233" si="31">IF(N194="zníž. prenesená",J194,0)</f>
        <v>0</v>
      </c>
      <c r="BI194" s="130">
        <f t="shared" ref="BI194:BI233" si="32">IF(N194="nulová",J194,0)</f>
        <v>0</v>
      </c>
      <c r="BJ194" s="13" t="s">
        <v>76</v>
      </c>
      <c r="BK194" s="130">
        <f t="shared" ref="BK194:BK233" si="33">ROUND(I194*H194,2)</f>
        <v>523.38</v>
      </c>
      <c r="BL194" s="13" t="s">
        <v>235</v>
      </c>
      <c r="BM194" s="129" t="s">
        <v>344</v>
      </c>
    </row>
    <row r="195" spans="2:65" s="1" customFormat="1" ht="16.5" customHeight="1" x14ac:dyDescent="0.2">
      <c r="B195" s="118"/>
      <c r="C195" s="205" t="s">
        <v>288</v>
      </c>
      <c r="D195" s="119" t="s">
        <v>231</v>
      </c>
      <c r="E195" s="120" t="s">
        <v>977</v>
      </c>
      <c r="F195" s="121" t="s">
        <v>978</v>
      </c>
      <c r="G195" s="122" t="s">
        <v>292</v>
      </c>
      <c r="H195" s="206">
        <v>84</v>
      </c>
      <c r="I195" s="124">
        <v>9.7200000000000006</v>
      </c>
      <c r="J195" s="124">
        <f t="shared" si="23"/>
        <v>816.48</v>
      </c>
      <c r="K195" s="121" t="s">
        <v>1</v>
      </c>
      <c r="L195" s="24"/>
      <c r="M195" s="125" t="s">
        <v>1</v>
      </c>
      <c r="N195" s="126" t="s">
        <v>32</v>
      </c>
      <c r="O195" s="127">
        <v>0</v>
      </c>
      <c r="P195" s="127">
        <f t="shared" si="24"/>
        <v>0</v>
      </c>
      <c r="Q195" s="127">
        <v>0</v>
      </c>
      <c r="R195" s="127">
        <f t="shared" si="25"/>
        <v>0</v>
      </c>
      <c r="S195" s="127">
        <v>0</v>
      </c>
      <c r="T195" s="128">
        <f t="shared" si="26"/>
        <v>0</v>
      </c>
      <c r="W195" s="199"/>
      <c r="X195" s="205" t="s">
        <v>288</v>
      </c>
      <c r="Y195" s="119" t="s">
        <v>231</v>
      </c>
      <c r="Z195" s="120" t="s">
        <v>977</v>
      </c>
      <c r="AA195" s="121" t="s">
        <v>978</v>
      </c>
      <c r="AB195" s="122" t="s">
        <v>292</v>
      </c>
      <c r="AC195" s="206">
        <f>84+5</f>
        <v>89</v>
      </c>
      <c r="AD195" s="124">
        <v>9.7200000000000006</v>
      </c>
      <c r="AE195" s="200">
        <f t="shared" si="27"/>
        <v>865.08</v>
      </c>
      <c r="AF195" s="227">
        <v>9</v>
      </c>
      <c r="AG195" s="374"/>
      <c r="AH195" s="130"/>
      <c r="AR195" s="129" t="s">
        <v>235</v>
      </c>
      <c r="AT195" s="129" t="s">
        <v>231</v>
      </c>
      <c r="AU195" s="129" t="s">
        <v>76</v>
      </c>
      <c r="AY195" s="13" t="s">
        <v>228</v>
      </c>
      <c r="BE195" s="130">
        <f t="shared" si="28"/>
        <v>0</v>
      </c>
      <c r="BF195" s="130">
        <f t="shared" si="29"/>
        <v>816.48</v>
      </c>
      <c r="BG195" s="130">
        <f t="shared" si="30"/>
        <v>0</v>
      </c>
      <c r="BH195" s="130">
        <f t="shared" si="31"/>
        <v>0</v>
      </c>
      <c r="BI195" s="130">
        <f t="shared" si="32"/>
        <v>0</v>
      </c>
      <c r="BJ195" s="13" t="s">
        <v>76</v>
      </c>
      <c r="BK195" s="130">
        <f t="shared" si="33"/>
        <v>816.48</v>
      </c>
      <c r="BL195" s="13" t="s">
        <v>235</v>
      </c>
      <c r="BM195" s="129" t="s">
        <v>347</v>
      </c>
    </row>
    <row r="196" spans="2:65" s="1" customFormat="1" ht="16.5" customHeight="1" x14ac:dyDescent="0.2">
      <c r="B196" s="118"/>
      <c r="C196" s="205" t="s">
        <v>348</v>
      </c>
      <c r="D196" s="119" t="s">
        <v>231</v>
      </c>
      <c r="E196" s="120" t="s">
        <v>979</v>
      </c>
      <c r="F196" s="121" t="s">
        <v>980</v>
      </c>
      <c r="G196" s="122" t="s">
        <v>292</v>
      </c>
      <c r="H196" s="206">
        <v>29</v>
      </c>
      <c r="I196" s="124">
        <v>12.25</v>
      </c>
      <c r="J196" s="124">
        <f t="shared" si="23"/>
        <v>355.25</v>
      </c>
      <c r="K196" s="121" t="s">
        <v>1</v>
      </c>
      <c r="L196" s="24"/>
      <c r="M196" s="125" t="s">
        <v>1</v>
      </c>
      <c r="N196" s="126" t="s">
        <v>32</v>
      </c>
      <c r="O196" s="127">
        <v>0</v>
      </c>
      <c r="P196" s="127">
        <f t="shared" si="24"/>
        <v>0</v>
      </c>
      <c r="Q196" s="127">
        <v>0</v>
      </c>
      <c r="R196" s="127">
        <f t="shared" si="25"/>
        <v>0</v>
      </c>
      <c r="S196" s="127">
        <v>0</v>
      </c>
      <c r="T196" s="128">
        <f t="shared" si="26"/>
        <v>0</v>
      </c>
      <c r="W196" s="199"/>
      <c r="X196" s="205" t="s">
        <v>348</v>
      </c>
      <c r="Y196" s="119" t="s">
        <v>231</v>
      </c>
      <c r="Z196" s="120" t="s">
        <v>979</v>
      </c>
      <c r="AA196" s="121" t="s">
        <v>980</v>
      </c>
      <c r="AB196" s="122" t="s">
        <v>292</v>
      </c>
      <c r="AC196" s="206">
        <f>29+6</f>
        <v>35</v>
      </c>
      <c r="AD196" s="124">
        <v>12.25</v>
      </c>
      <c r="AE196" s="200">
        <f t="shared" si="27"/>
        <v>428.75</v>
      </c>
      <c r="AF196" s="227">
        <v>9</v>
      </c>
      <c r="AG196" s="374"/>
      <c r="AH196" s="130"/>
      <c r="AR196" s="129" t="s">
        <v>235</v>
      </c>
      <c r="AT196" s="129" t="s">
        <v>231</v>
      </c>
      <c r="AU196" s="129" t="s">
        <v>76</v>
      </c>
      <c r="AY196" s="13" t="s">
        <v>228</v>
      </c>
      <c r="BE196" s="130">
        <f t="shared" si="28"/>
        <v>0</v>
      </c>
      <c r="BF196" s="130">
        <f t="shared" si="29"/>
        <v>355.25</v>
      </c>
      <c r="BG196" s="130">
        <f t="shared" si="30"/>
        <v>0</v>
      </c>
      <c r="BH196" s="130">
        <f t="shared" si="31"/>
        <v>0</v>
      </c>
      <c r="BI196" s="130">
        <f t="shared" si="32"/>
        <v>0</v>
      </c>
      <c r="BJ196" s="13" t="s">
        <v>76</v>
      </c>
      <c r="BK196" s="130">
        <f t="shared" si="33"/>
        <v>355.25</v>
      </c>
      <c r="BL196" s="13" t="s">
        <v>235</v>
      </c>
      <c r="BM196" s="129" t="s">
        <v>351</v>
      </c>
    </row>
    <row r="197" spans="2:65" s="1" customFormat="1" ht="16.5" customHeight="1" x14ac:dyDescent="0.2">
      <c r="B197" s="118"/>
      <c r="C197" s="205" t="s">
        <v>293</v>
      </c>
      <c r="D197" s="119" t="s">
        <v>231</v>
      </c>
      <c r="E197" s="120" t="s">
        <v>981</v>
      </c>
      <c r="F197" s="121" t="s">
        <v>982</v>
      </c>
      <c r="G197" s="122" t="s">
        <v>292</v>
      </c>
      <c r="H197" s="206">
        <v>20</v>
      </c>
      <c r="I197" s="124">
        <v>15.55</v>
      </c>
      <c r="J197" s="124">
        <f t="shared" si="23"/>
        <v>311</v>
      </c>
      <c r="K197" s="121" t="s">
        <v>1</v>
      </c>
      <c r="L197" s="24"/>
      <c r="M197" s="125" t="s">
        <v>1</v>
      </c>
      <c r="N197" s="126" t="s">
        <v>32</v>
      </c>
      <c r="O197" s="127">
        <v>0</v>
      </c>
      <c r="P197" s="127">
        <f t="shared" si="24"/>
        <v>0</v>
      </c>
      <c r="Q197" s="127">
        <v>0</v>
      </c>
      <c r="R197" s="127">
        <f t="shared" si="25"/>
        <v>0</v>
      </c>
      <c r="S197" s="127">
        <v>0</v>
      </c>
      <c r="T197" s="128">
        <f t="shared" si="26"/>
        <v>0</v>
      </c>
      <c r="W197" s="199"/>
      <c r="X197" s="205" t="s">
        <v>293</v>
      </c>
      <c r="Y197" s="119" t="s">
        <v>231</v>
      </c>
      <c r="Z197" s="120" t="s">
        <v>981</v>
      </c>
      <c r="AA197" s="121" t="s">
        <v>982</v>
      </c>
      <c r="AB197" s="122" t="s">
        <v>292</v>
      </c>
      <c r="AC197" s="206">
        <f>20+8</f>
        <v>28</v>
      </c>
      <c r="AD197" s="124">
        <v>15.55</v>
      </c>
      <c r="AE197" s="200">
        <f t="shared" si="27"/>
        <v>435.4</v>
      </c>
      <c r="AF197" s="227">
        <v>9</v>
      </c>
      <c r="AG197" s="374"/>
      <c r="AH197" s="130"/>
      <c r="AR197" s="129" t="s">
        <v>235</v>
      </c>
      <c r="AT197" s="129" t="s">
        <v>231</v>
      </c>
      <c r="AU197" s="129" t="s">
        <v>76</v>
      </c>
      <c r="AY197" s="13" t="s">
        <v>228</v>
      </c>
      <c r="BE197" s="130">
        <f t="shared" si="28"/>
        <v>0</v>
      </c>
      <c r="BF197" s="130">
        <f t="shared" si="29"/>
        <v>311</v>
      </c>
      <c r="BG197" s="130">
        <f t="shared" si="30"/>
        <v>0</v>
      </c>
      <c r="BH197" s="130">
        <f t="shared" si="31"/>
        <v>0</v>
      </c>
      <c r="BI197" s="130">
        <f t="shared" si="32"/>
        <v>0</v>
      </c>
      <c r="BJ197" s="13" t="s">
        <v>76</v>
      </c>
      <c r="BK197" s="130">
        <f t="shared" si="33"/>
        <v>311</v>
      </c>
      <c r="BL197" s="13" t="s">
        <v>235</v>
      </c>
      <c r="BM197" s="129" t="s">
        <v>354</v>
      </c>
    </row>
    <row r="198" spans="2:65" s="1" customFormat="1" ht="16.5" customHeight="1" x14ac:dyDescent="0.2">
      <c r="B198" s="118"/>
      <c r="C198" s="205" t="s">
        <v>355</v>
      </c>
      <c r="D198" s="119" t="s">
        <v>231</v>
      </c>
      <c r="E198" s="120" t="s">
        <v>983</v>
      </c>
      <c r="F198" s="121" t="s">
        <v>984</v>
      </c>
      <c r="G198" s="122" t="s">
        <v>292</v>
      </c>
      <c r="H198" s="206">
        <v>12</v>
      </c>
      <c r="I198" s="124">
        <v>20.71</v>
      </c>
      <c r="J198" s="124">
        <f t="shared" si="23"/>
        <v>248.52</v>
      </c>
      <c r="K198" s="121" t="s">
        <v>1</v>
      </c>
      <c r="L198" s="24"/>
      <c r="M198" s="125" t="s">
        <v>1</v>
      </c>
      <c r="N198" s="126" t="s">
        <v>32</v>
      </c>
      <c r="O198" s="127">
        <v>0</v>
      </c>
      <c r="P198" s="127">
        <f t="shared" si="24"/>
        <v>0</v>
      </c>
      <c r="Q198" s="127">
        <v>0</v>
      </c>
      <c r="R198" s="127">
        <f t="shared" si="25"/>
        <v>0</v>
      </c>
      <c r="S198" s="127">
        <v>0</v>
      </c>
      <c r="T198" s="128">
        <f t="shared" si="26"/>
        <v>0</v>
      </c>
      <c r="W198" s="199"/>
      <c r="X198" s="205" t="s">
        <v>355</v>
      </c>
      <c r="Y198" s="119" t="s">
        <v>231</v>
      </c>
      <c r="Z198" s="120" t="s">
        <v>983</v>
      </c>
      <c r="AA198" s="121" t="s">
        <v>984</v>
      </c>
      <c r="AB198" s="122" t="s">
        <v>292</v>
      </c>
      <c r="AC198" s="206">
        <f>12+6</f>
        <v>18</v>
      </c>
      <c r="AD198" s="124">
        <v>20.71</v>
      </c>
      <c r="AE198" s="200">
        <f t="shared" si="27"/>
        <v>372.78</v>
      </c>
      <c r="AF198" s="227">
        <v>9</v>
      </c>
      <c r="AG198" s="374"/>
      <c r="AH198" s="130"/>
      <c r="AR198" s="129" t="s">
        <v>235</v>
      </c>
      <c r="AT198" s="129" t="s">
        <v>231</v>
      </c>
      <c r="AU198" s="129" t="s">
        <v>76</v>
      </c>
      <c r="AY198" s="13" t="s">
        <v>228</v>
      </c>
      <c r="BE198" s="130">
        <f t="shared" si="28"/>
        <v>0</v>
      </c>
      <c r="BF198" s="130">
        <f t="shared" si="29"/>
        <v>248.52</v>
      </c>
      <c r="BG198" s="130">
        <f t="shared" si="30"/>
        <v>0</v>
      </c>
      <c r="BH198" s="130">
        <f t="shared" si="31"/>
        <v>0</v>
      </c>
      <c r="BI198" s="130">
        <f t="shared" si="32"/>
        <v>0</v>
      </c>
      <c r="BJ198" s="13" t="s">
        <v>76</v>
      </c>
      <c r="BK198" s="130">
        <f t="shared" si="33"/>
        <v>248.52</v>
      </c>
      <c r="BL198" s="13" t="s">
        <v>235</v>
      </c>
      <c r="BM198" s="129" t="s">
        <v>358</v>
      </c>
    </row>
    <row r="199" spans="2:65" s="1" customFormat="1" ht="16.5" customHeight="1" x14ac:dyDescent="0.2">
      <c r="B199" s="118"/>
      <c r="C199" s="205" t="s">
        <v>296</v>
      </c>
      <c r="D199" s="119" t="s">
        <v>231</v>
      </c>
      <c r="E199" s="120" t="s">
        <v>985</v>
      </c>
      <c r="F199" s="121" t="s">
        <v>986</v>
      </c>
      <c r="G199" s="122" t="s">
        <v>292</v>
      </c>
      <c r="H199" s="206">
        <v>11</v>
      </c>
      <c r="I199" s="124">
        <v>28.42</v>
      </c>
      <c r="J199" s="124">
        <f t="shared" si="23"/>
        <v>312.62</v>
      </c>
      <c r="K199" s="121" t="s">
        <v>1</v>
      </c>
      <c r="L199" s="24"/>
      <c r="M199" s="125" t="s">
        <v>1</v>
      </c>
      <c r="N199" s="126" t="s">
        <v>32</v>
      </c>
      <c r="O199" s="127">
        <v>0</v>
      </c>
      <c r="P199" s="127">
        <f t="shared" si="24"/>
        <v>0</v>
      </c>
      <c r="Q199" s="127">
        <v>0</v>
      </c>
      <c r="R199" s="127">
        <f t="shared" si="25"/>
        <v>0</v>
      </c>
      <c r="S199" s="127">
        <v>0</v>
      </c>
      <c r="T199" s="128">
        <f t="shared" si="26"/>
        <v>0</v>
      </c>
      <c r="W199" s="199"/>
      <c r="X199" s="205" t="s">
        <v>296</v>
      </c>
      <c r="Y199" s="119" t="s">
        <v>231</v>
      </c>
      <c r="Z199" s="120" t="s">
        <v>985</v>
      </c>
      <c r="AA199" s="121" t="s">
        <v>986</v>
      </c>
      <c r="AB199" s="122" t="s">
        <v>292</v>
      </c>
      <c r="AC199" s="206">
        <f>11+7</f>
        <v>18</v>
      </c>
      <c r="AD199" s="124">
        <v>28.42</v>
      </c>
      <c r="AE199" s="200">
        <f t="shared" si="27"/>
        <v>511.56</v>
      </c>
      <c r="AF199" s="227">
        <v>9</v>
      </c>
      <c r="AG199" s="374"/>
      <c r="AH199" s="130"/>
      <c r="AR199" s="129" t="s">
        <v>235</v>
      </c>
      <c r="AT199" s="129" t="s">
        <v>231</v>
      </c>
      <c r="AU199" s="129" t="s">
        <v>76</v>
      </c>
      <c r="AY199" s="13" t="s">
        <v>228</v>
      </c>
      <c r="BE199" s="130">
        <f t="shared" si="28"/>
        <v>0</v>
      </c>
      <c r="BF199" s="130">
        <f t="shared" si="29"/>
        <v>312.62</v>
      </c>
      <c r="BG199" s="130">
        <f t="shared" si="30"/>
        <v>0</v>
      </c>
      <c r="BH199" s="130">
        <f t="shared" si="31"/>
        <v>0</v>
      </c>
      <c r="BI199" s="130">
        <f t="shared" si="32"/>
        <v>0</v>
      </c>
      <c r="BJ199" s="13" t="s">
        <v>76</v>
      </c>
      <c r="BK199" s="130">
        <f t="shared" si="33"/>
        <v>312.62</v>
      </c>
      <c r="BL199" s="13" t="s">
        <v>235</v>
      </c>
      <c r="BM199" s="129" t="s">
        <v>361</v>
      </c>
    </row>
    <row r="200" spans="2:65" s="1" customFormat="1" ht="16.5" customHeight="1" x14ac:dyDescent="0.2">
      <c r="B200" s="118"/>
      <c r="C200" s="205" t="s">
        <v>362</v>
      </c>
      <c r="D200" s="119" t="s">
        <v>231</v>
      </c>
      <c r="E200" s="120" t="s">
        <v>987</v>
      </c>
      <c r="F200" s="121" t="s">
        <v>988</v>
      </c>
      <c r="G200" s="122" t="s">
        <v>292</v>
      </c>
      <c r="H200" s="206">
        <v>11</v>
      </c>
      <c r="I200" s="124">
        <v>42.2</v>
      </c>
      <c r="J200" s="124">
        <f t="shared" si="23"/>
        <v>464.2</v>
      </c>
      <c r="K200" s="121" t="s">
        <v>1</v>
      </c>
      <c r="L200" s="24"/>
      <c r="M200" s="125" t="s">
        <v>1</v>
      </c>
      <c r="N200" s="126" t="s">
        <v>32</v>
      </c>
      <c r="O200" s="127">
        <v>0</v>
      </c>
      <c r="P200" s="127">
        <f t="shared" si="24"/>
        <v>0</v>
      </c>
      <c r="Q200" s="127">
        <v>0</v>
      </c>
      <c r="R200" s="127">
        <f t="shared" si="25"/>
        <v>0</v>
      </c>
      <c r="S200" s="127">
        <v>0</v>
      </c>
      <c r="T200" s="128">
        <f t="shared" si="26"/>
        <v>0</v>
      </c>
      <c r="W200" s="199"/>
      <c r="X200" s="205" t="s">
        <v>362</v>
      </c>
      <c r="Y200" s="119" t="s">
        <v>231</v>
      </c>
      <c r="Z200" s="120" t="s">
        <v>987</v>
      </c>
      <c r="AA200" s="121" t="s">
        <v>988</v>
      </c>
      <c r="AB200" s="122" t="s">
        <v>292</v>
      </c>
      <c r="AC200" s="206">
        <f>11+7</f>
        <v>18</v>
      </c>
      <c r="AD200" s="124">
        <v>42.2</v>
      </c>
      <c r="AE200" s="200">
        <f t="shared" si="27"/>
        <v>759.6</v>
      </c>
      <c r="AF200" s="227">
        <v>9</v>
      </c>
      <c r="AG200" s="374"/>
      <c r="AH200" s="130"/>
      <c r="AR200" s="129" t="s">
        <v>235</v>
      </c>
      <c r="AT200" s="129" t="s">
        <v>231</v>
      </c>
      <c r="AU200" s="129" t="s">
        <v>76</v>
      </c>
      <c r="AY200" s="13" t="s">
        <v>228</v>
      </c>
      <c r="BE200" s="130">
        <f t="shared" si="28"/>
        <v>0</v>
      </c>
      <c r="BF200" s="130">
        <f t="shared" si="29"/>
        <v>464.2</v>
      </c>
      <c r="BG200" s="130">
        <f t="shared" si="30"/>
        <v>0</v>
      </c>
      <c r="BH200" s="130">
        <f t="shared" si="31"/>
        <v>0</v>
      </c>
      <c r="BI200" s="130">
        <f t="shared" si="32"/>
        <v>0</v>
      </c>
      <c r="BJ200" s="13" t="s">
        <v>76</v>
      </c>
      <c r="BK200" s="130">
        <f t="shared" si="33"/>
        <v>464.2</v>
      </c>
      <c r="BL200" s="13" t="s">
        <v>235</v>
      </c>
      <c r="BM200" s="129" t="s">
        <v>365</v>
      </c>
    </row>
    <row r="201" spans="2:65" s="1" customFormat="1" ht="16.5" customHeight="1" x14ac:dyDescent="0.2">
      <c r="B201" s="118"/>
      <c r="C201" s="205" t="s">
        <v>300</v>
      </c>
      <c r="D201" s="119" t="s">
        <v>231</v>
      </c>
      <c r="E201" s="120" t="s">
        <v>989</v>
      </c>
      <c r="F201" s="121" t="s">
        <v>990</v>
      </c>
      <c r="G201" s="122" t="s">
        <v>292</v>
      </c>
      <c r="H201" s="206">
        <v>20</v>
      </c>
      <c r="I201" s="124">
        <v>62.06</v>
      </c>
      <c r="J201" s="124">
        <f t="shared" si="23"/>
        <v>1241.2</v>
      </c>
      <c r="K201" s="121" t="s">
        <v>1</v>
      </c>
      <c r="L201" s="24"/>
      <c r="M201" s="125" t="s">
        <v>1</v>
      </c>
      <c r="N201" s="126" t="s">
        <v>32</v>
      </c>
      <c r="O201" s="127">
        <v>0</v>
      </c>
      <c r="P201" s="127">
        <f t="shared" si="24"/>
        <v>0</v>
      </c>
      <c r="Q201" s="127">
        <v>0</v>
      </c>
      <c r="R201" s="127">
        <f t="shared" si="25"/>
        <v>0</v>
      </c>
      <c r="S201" s="127">
        <v>0</v>
      </c>
      <c r="T201" s="128">
        <f t="shared" si="26"/>
        <v>0</v>
      </c>
      <c r="W201" s="199"/>
      <c r="X201" s="205" t="s">
        <v>300</v>
      </c>
      <c r="Y201" s="119" t="s">
        <v>231</v>
      </c>
      <c r="Z201" s="120" t="s">
        <v>989</v>
      </c>
      <c r="AA201" s="121" t="s">
        <v>990</v>
      </c>
      <c r="AB201" s="122" t="s">
        <v>292</v>
      </c>
      <c r="AC201" s="206">
        <v>0</v>
      </c>
      <c r="AD201" s="124">
        <v>62.06</v>
      </c>
      <c r="AE201" s="200">
        <f t="shared" si="27"/>
        <v>0</v>
      </c>
      <c r="AF201" s="227">
        <v>9</v>
      </c>
      <c r="AG201" s="374"/>
      <c r="AH201" s="130"/>
      <c r="AR201" s="129" t="s">
        <v>235</v>
      </c>
      <c r="AT201" s="129" t="s">
        <v>231</v>
      </c>
      <c r="AU201" s="129" t="s">
        <v>76</v>
      </c>
      <c r="AY201" s="13" t="s">
        <v>228</v>
      </c>
      <c r="BE201" s="130">
        <f t="shared" si="28"/>
        <v>0</v>
      </c>
      <c r="BF201" s="130">
        <f t="shared" si="29"/>
        <v>1241.2</v>
      </c>
      <c r="BG201" s="130">
        <f t="shared" si="30"/>
        <v>0</v>
      </c>
      <c r="BH201" s="130">
        <f t="shared" si="31"/>
        <v>0</v>
      </c>
      <c r="BI201" s="130">
        <f t="shared" si="32"/>
        <v>0</v>
      </c>
      <c r="BJ201" s="13" t="s">
        <v>76</v>
      </c>
      <c r="BK201" s="130">
        <f t="shared" si="33"/>
        <v>1241.2</v>
      </c>
      <c r="BL201" s="13" t="s">
        <v>235</v>
      </c>
      <c r="BM201" s="129" t="s">
        <v>368</v>
      </c>
    </row>
    <row r="202" spans="2:65" s="403" customFormat="1" ht="27" customHeight="1" x14ac:dyDescent="0.2">
      <c r="B202" s="118"/>
      <c r="C202" s="1234" t="s">
        <v>5205</v>
      </c>
      <c r="D202" s="1235"/>
      <c r="E202" s="1235"/>
      <c r="F202" s="1235"/>
      <c r="G202" s="1235"/>
      <c r="H202" s="1235"/>
      <c r="I202" s="1235"/>
      <c r="J202" s="1236"/>
      <c r="K202" s="121"/>
      <c r="L202" s="24"/>
      <c r="M202" s="125"/>
      <c r="N202" s="126"/>
      <c r="O202" s="127"/>
      <c r="P202" s="127"/>
      <c r="Q202" s="127"/>
      <c r="R202" s="127"/>
      <c r="S202" s="127"/>
      <c r="T202" s="128"/>
      <c r="W202" s="199"/>
      <c r="X202" s="207" t="s">
        <v>5389</v>
      </c>
      <c r="Y202" s="207" t="s">
        <v>231</v>
      </c>
      <c r="Z202" s="208" t="s">
        <v>6011</v>
      </c>
      <c r="AA202" s="209" t="s">
        <v>6012</v>
      </c>
      <c r="AB202" s="210" t="s">
        <v>292</v>
      </c>
      <c r="AC202" s="211">
        <v>17</v>
      </c>
      <c r="AD202" s="212">
        <v>34.630000000000003</v>
      </c>
      <c r="AE202" s="214">
        <f t="shared" si="27"/>
        <v>588.71</v>
      </c>
      <c r="AF202" s="227">
        <v>9</v>
      </c>
      <c r="AG202" s="374"/>
      <c r="AH202" s="130"/>
      <c r="AR202" s="129"/>
      <c r="AT202" s="129"/>
      <c r="AU202" s="129"/>
      <c r="AY202" s="13"/>
      <c r="BE202" s="130"/>
      <c r="BF202" s="130"/>
      <c r="BG202" s="130"/>
      <c r="BH202" s="130"/>
      <c r="BI202" s="130"/>
      <c r="BJ202" s="13"/>
      <c r="BK202" s="130"/>
      <c r="BL202" s="13"/>
      <c r="BM202" s="129"/>
    </row>
    <row r="203" spans="2:65" s="403" customFormat="1" ht="27" customHeight="1" x14ac:dyDescent="0.2">
      <c r="B203" s="118"/>
      <c r="C203" s="1234" t="s">
        <v>5205</v>
      </c>
      <c r="D203" s="1235"/>
      <c r="E203" s="1235"/>
      <c r="F203" s="1235"/>
      <c r="G203" s="1235"/>
      <c r="H203" s="1235"/>
      <c r="I203" s="1235"/>
      <c r="J203" s="1236"/>
      <c r="K203" s="121"/>
      <c r="L203" s="24"/>
      <c r="M203" s="125"/>
      <c r="N203" s="126"/>
      <c r="O203" s="127"/>
      <c r="P203" s="127"/>
      <c r="Q203" s="127"/>
      <c r="R203" s="127"/>
      <c r="S203" s="127"/>
      <c r="T203" s="128"/>
      <c r="W203" s="199"/>
      <c r="X203" s="207" t="s">
        <v>5966</v>
      </c>
      <c r="Y203" s="207" t="s">
        <v>231</v>
      </c>
      <c r="Z203" s="208" t="s">
        <v>6013</v>
      </c>
      <c r="AA203" s="209" t="s">
        <v>6014</v>
      </c>
      <c r="AB203" s="210" t="s">
        <v>292</v>
      </c>
      <c r="AC203" s="211">
        <v>16</v>
      </c>
      <c r="AD203" s="212">
        <v>54.38</v>
      </c>
      <c r="AE203" s="214">
        <f t="shared" si="27"/>
        <v>870.08</v>
      </c>
      <c r="AF203" s="227">
        <v>9</v>
      </c>
      <c r="AG203" s="374"/>
      <c r="AH203" s="130"/>
      <c r="AR203" s="129"/>
      <c r="AT203" s="129"/>
      <c r="AU203" s="129"/>
      <c r="AY203" s="13"/>
      <c r="BE203" s="130"/>
      <c r="BF203" s="130"/>
      <c r="BG203" s="130"/>
      <c r="BH203" s="130"/>
      <c r="BI203" s="130"/>
      <c r="BJ203" s="13"/>
      <c r="BK203" s="130"/>
      <c r="BL203" s="13"/>
      <c r="BM203" s="129"/>
    </row>
    <row r="204" spans="2:65" s="403" customFormat="1" ht="27" customHeight="1" x14ac:dyDescent="0.2">
      <c r="B204" s="118"/>
      <c r="C204" s="1234" t="s">
        <v>5205</v>
      </c>
      <c r="D204" s="1235"/>
      <c r="E204" s="1235"/>
      <c r="F204" s="1235"/>
      <c r="G204" s="1235"/>
      <c r="H204" s="1235"/>
      <c r="I204" s="1235"/>
      <c r="J204" s="1236"/>
      <c r="K204" s="121"/>
      <c r="L204" s="24"/>
      <c r="M204" s="125"/>
      <c r="N204" s="126"/>
      <c r="O204" s="127"/>
      <c r="P204" s="127"/>
      <c r="Q204" s="127"/>
      <c r="R204" s="127"/>
      <c r="S204" s="127"/>
      <c r="T204" s="128"/>
      <c r="W204" s="199"/>
      <c r="X204" s="207" t="s">
        <v>6053</v>
      </c>
      <c r="Y204" s="207" t="s">
        <v>231</v>
      </c>
      <c r="Z204" s="208" t="s">
        <v>6015</v>
      </c>
      <c r="AA204" s="209" t="s">
        <v>6016</v>
      </c>
      <c r="AB204" s="210" t="s">
        <v>292</v>
      </c>
      <c r="AC204" s="211">
        <v>38</v>
      </c>
      <c r="AD204" s="212">
        <v>7.5</v>
      </c>
      <c r="AE204" s="214">
        <f t="shared" si="27"/>
        <v>285</v>
      </c>
      <c r="AF204" s="227">
        <v>9</v>
      </c>
      <c r="AG204" s="374"/>
      <c r="AH204" s="130"/>
      <c r="AR204" s="129"/>
      <c r="AT204" s="129"/>
      <c r="AU204" s="129"/>
      <c r="AY204" s="13"/>
      <c r="BE204" s="130"/>
      <c r="BF204" s="130"/>
      <c r="BG204" s="130"/>
      <c r="BH204" s="130"/>
      <c r="BI204" s="130"/>
      <c r="BJ204" s="13"/>
      <c r="BK204" s="130"/>
      <c r="BL204" s="13"/>
      <c r="BM204" s="129"/>
    </row>
    <row r="205" spans="2:65" s="1" customFormat="1" ht="16.5" customHeight="1" x14ac:dyDescent="0.2">
      <c r="B205" s="118"/>
      <c r="C205" s="205" t="s">
        <v>369</v>
      </c>
      <c r="D205" s="119" t="s">
        <v>231</v>
      </c>
      <c r="E205" s="120" t="s">
        <v>991</v>
      </c>
      <c r="F205" s="121" t="s">
        <v>992</v>
      </c>
      <c r="G205" s="122" t="s">
        <v>243</v>
      </c>
      <c r="H205" s="206">
        <v>25</v>
      </c>
      <c r="I205" s="124">
        <v>8.84</v>
      </c>
      <c r="J205" s="124">
        <f t="shared" si="23"/>
        <v>221</v>
      </c>
      <c r="K205" s="121" t="s">
        <v>1</v>
      </c>
      <c r="L205" s="24"/>
      <c r="M205" s="125" t="s">
        <v>1</v>
      </c>
      <c r="N205" s="126" t="s">
        <v>32</v>
      </c>
      <c r="O205" s="127">
        <v>0</v>
      </c>
      <c r="P205" s="127">
        <f t="shared" si="24"/>
        <v>0</v>
      </c>
      <c r="Q205" s="127">
        <v>0</v>
      </c>
      <c r="R205" s="127">
        <f t="shared" si="25"/>
        <v>0</v>
      </c>
      <c r="S205" s="127">
        <v>0</v>
      </c>
      <c r="T205" s="128">
        <f t="shared" si="26"/>
        <v>0</v>
      </c>
      <c r="W205" s="199"/>
      <c r="X205" s="205" t="s">
        <v>369</v>
      </c>
      <c r="Y205" s="119" t="s">
        <v>231</v>
      </c>
      <c r="Z205" s="120" t="s">
        <v>991</v>
      </c>
      <c r="AA205" s="121" t="s">
        <v>992</v>
      </c>
      <c r="AB205" s="122" t="s">
        <v>243</v>
      </c>
      <c r="AC205" s="206">
        <f>25+15</f>
        <v>40</v>
      </c>
      <c r="AD205" s="124">
        <v>8.84</v>
      </c>
      <c r="AE205" s="200">
        <f t="shared" si="27"/>
        <v>353.6</v>
      </c>
      <c r="AF205" s="227">
        <v>9</v>
      </c>
      <c r="AG205" s="374"/>
      <c r="AH205" s="130"/>
      <c r="AR205" s="129" t="s">
        <v>235</v>
      </c>
      <c r="AT205" s="129" t="s">
        <v>231</v>
      </c>
      <c r="AU205" s="129" t="s">
        <v>76</v>
      </c>
      <c r="AY205" s="13" t="s">
        <v>228</v>
      </c>
      <c r="BE205" s="130">
        <f t="shared" si="28"/>
        <v>0</v>
      </c>
      <c r="BF205" s="130">
        <f t="shared" si="29"/>
        <v>221</v>
      </c>
      <c r="BG205" s="130">
        <f t="shared" si="30"/>
        <v>0</v>
      </c>
      <c r="BH205" s="130">
        <f t="shared" si="31"/>
        <v>0</v>
      </c>
      <c r="BI205" s="130">
        <f t="shared" si="32"/>
        <v>0</v>
      </c>
      <c r="BJ205" s="13" t="s">
        <v>76</v>
      </c>
      <c r="BK205" s="130">
        <f t="shared" si="33"/>
        <v>221</v>
      </c>
      <c r="BL205" s="13" t="s">
        <v>235</v>
      </c>
      <c r="BM205" s="129" t="s">
        <v>372</v>
      </c>
    </row>
    <row r="206" spans="2:65" s="1" customFormat="1" ht="16.5" customHeight="1" x14ac:dyDescent="0.2">
      <c r="B206" s="118"/>
      <c r="C206" s="205" t="s">
        <v>303</v>
      </c>
      <c r="D206" s="119" t="s">
        <v>231</v>
      </c>
      <c r="E206" s="120" t="s">
        <v>993</v>
      </c>
      <c r="F206" s="121" t="s">
        <v>994</v>
      </c>
      <c r="G206" s="122" t="s">
        <v>243</v>
      </c>
      <c r="H206" s="206">
        <v>5</v>
      </c>
      <c r="I206" s="124">
        <v>10.68</v>
      </c>
      <c r="J206" s="124">
        <f t="shared" si="23"/>
        <v>53.4</v>
      </c>
      <c r="K206" s="121" t="s">
        <v>1</v>
      </c>
      <c r="L206" s="24"/>
      <c r="M206" s="125" t="s">
        <v>1</v>
      </c>
      <c r="N206" s="126" t="s">
        <v>32</v>
      </c>
      <c r="O206" s="127">
        <v>0</v>
      </c>
      <c r="P206" s="127">
        <f t="shared" si="24"/>
        <v>0</v>
      </c>
      <c r="Q206" s="127">
        <v>0</v>
      </c>
      <c r="R206" s="127">
        <f t="shared" si="25"/>
        <v>0</v>
      </c>
      <c r="S206" s="127">
        <v>0</v>
      </c>
      <c r="T206" s="128">
        <f t="shared" si="26"/>
        <v>0</v>
      </c>
      <c r="W206" s="199"/>
      <c r="X206" s="205" t="s">
        <v>303</v>
      </c>
      <c r="Y206" s="119" t="s">
        <v>231</v>
      </c>
      <c r="Z206" s="120" t="s">
        <v>993</v>
      </c>
      <c r="AA206" s="121" t="s">
        <v>994</v>
      </c>
      <c r="AB206" s="122" t="s">
        <v>243</v>
      </c>
      <c r="AC206" s="206">
        <v>0</v>
      </c>
      <c r="AD206" s="124">
        <v>10.68</v>
      </c>
      <c r="AE206" s="200">
        <f t="shared" si="27"/>
        <v>0</v>
      </c>
      <c r="AF206" s="227">
        <v>9</v>
      </c>
      <c r="AG206" s="374"/>
      <c r="AH206" s="130"/>
      <c r="AR206" s="129" t="s">
        <v>235</v>
      </c>
      <c r="AT206" s="129" t="s">
        <v>231</v>
      </c>
      <c r="AU206" s="129" t="s">
        <v>76</v>
      </c>
      <c r="AY206" s="13" t="s">
        <v>228</v>
      </c>
      <c r="BE206" s="130">
        <f t="shared" si="28"/>
        <v>0</v>
      </c>
      <c r="BF206" s="130">
        <f t="shared" si="29"/>
        <v>53.4</v>
      </c>
      <c r="BG206" s="130">
        <f t="shared" si="30"/>
        <v>0</v>
      </c>
      <c r="BH206" s="130">
        <f t="shared" si="31"/>
        <v>0</v>
      </c>
      <c r="BI206" s="130">
        <f t="shared" si="32"/>
        <v>0</v>
      </c>
      <c r="BJ206" s="13" t="s">
        <v>76</v>
      </c>
      <c r="BK206" s="130">
        <f t="shared" si="33"/>
        <v>53.4</v>
      </c>
      <c r="BL206" s="13" t="s">
        <v>235</v>
      </c>
      <c r="BM206" s="129" t="s">
        <v>375</v>
      </c>
    </row>
    <row r="207" spans="2:65" s="1" customFormat="1" ht="16.5" customHeight="1" x14ac:dyDescent="0.2">
      <c r="B207" s="118"/>
      <c r="C207" s="205" t="s">
        <v>376</v>
      </c>
      <c r="D207" s="119" t="s">
        <v>231</v>
      </c>
      <c r="E207" s="120" t="s">
        <v>995</v>
      </c>
      <c r="F207" s="121" t="s">
        <v>996</v>
      </c>
      <c r="G207" s="122" t="s">
        <v>243</v>
      </c>
      <c r="H207" s="206">
        <v>25</v>
      </c>
      <c r="I207" s="124">
        <v>10.68</v>
      </c>
      <c r="J207" s="124">
        <f t="shared" si="23"/>
        <v>267</v>
      </c>
      <c r="K207" s="121" t="s">
        <v>1</v>
      </c>
      <c r="L207" s="24"/>
      <c r="M207" s="125" t="s">
        <v>1</v>
      </c>
      <c r="N207" s="126" t="s">
        <v>32</v>
      </c>
      <c r="O207" s="127">
        <v>0</v>
      </c>
      <c r="P207" s="127">
        <f t="shared" si="24"/>
        <v>0</v>
      </c>
      <c r="Q207" s="127">
        <v>0</v>
      </c>
      <c r="R207" s="127">
        <f t="shared" si="25"/>
        <v>0</v>
      </c>
      <c r="S207" s="127">
        <v>0</v>
      </c>
      <c r="T207" s="128">
        <f t="shared" si="26"/>
        <v>0</v>
      </c>
      <c r="W207" s="199"/>
      <c r="X207" s="205" t="s">
        <v>376</v>
      </c>
      <c r="Y207" s="119" t="s">
        <v>231</v>
      </c>
      <c r="Z207" s="120" t="s">
        <v>995</v>
      </c>
      <c r="AA207" s="121" t="s">
        <v>996</v>
      </c>
      <c r="AB207" s="122" t="s">
        <v>243</v>
      </c>
      <c r="AC207" s="206">
        <f>25+15</f>
        <v>40</v>
      </c>
      <c r="AD207" s="124">
        <v>10.68</v>
      </c>
      <c r="AE207" s="200">
        <f t="shared" si="27"/>
        <v>427.2</v>
      </c>
      <c r="AF207" s="227">
        <v>9</v>
      </c>
      <c r="AG207" s="374"/>
      <c r="AH207" s="130"/>
      <c r="AR207" s="129" t="s">
        <v>235</v>
      </c>
      <c r="AT207" s="129" t="s">
        <v>231</v>
      </c>
      <c r="AU207" s="129" t="s">
        <v>76</v>
      </c>
      <c r="AY207" s="13" t="s">
        <v>228</v>
      </c>
      <c r="BE207" s="130">
        <f t="shared" si="28"/>
        <v>0</v>
      </c>
      <c r="BF207" s="130">
        <f t="shared" si="29"/>
        <v>267</v>
      </c>
      <c r="BG207" s="130">
        <f t="shared" si="30"/>
        <v>0</v>
      </c>
      <c r="BH207" s="130">
        <f t="shared" si="31"/>
        <v>0</v>
      </c>
      <c r="BI207" s="130">
        <f t="shared" si="32"/>
        <v>0</v>
      </c>
      <c r="BJ207" s="13" t="s">
        <v>76</v>
      </c>
      <c r="BK207" s="130">
        <f t="shared" si="33"/>
        <v>267</v>
      </c>
      <c r="BL207" s="13" t="s">
        <v>235</v>
      </c>
      <c r="BM207" s="129" t="s">
        <v>379</v>
      </c>
    </row>
    <row r="208" spans="2:65" s="1" customFormat="1" ht="16.5" customHeight="1" x14ac:dyDescent="0.2">
      <c r="B208" s="118"/>
      <c r="C208" s="119" t="s">
        <v>308</v>
      </c>
      <c r="D208" s="119" t="s">
        <v>231</v>
      </c>
      <c r="E208" s="120" t="s">
        <v>997</v>
      </c>
      <c r="F208" s="121" t="s">
        <v>998</v>
      </c>
      <c r="G208" s="122" t="s">
        <v>243</v>
      </c>
      <c r="H208" s="123">
        <v>3</v>
      </c>
      <c r="I208" s="124">
        <v>6.1</v>
      </c>
      <c r="J208" s="124">
        <f t="shared" si="23"/>
        <v>18.3</v>
      </c>
      <c r="K208" s="121" t="s">
        <v>1</v>
      </c>
      <c r="L208" s="24"/>
      <c r="M208" s="125" t="s">
        <v>1</v>
      </c>
      <c r="N208" s="126" t="s">
        <v>32</v>
      </c>
      <c r="O208" s="127">
        <v>0</v>
      </c>
      <c r="P208" s="127">
        <f t="shared" si="24"/>
        <v>0</v>
      </c>
      <c r="Q208" s="127">
        <v>0</v>
      </c>
      <c r="R208" s="127">
        <f t="shared" si="25"/>
        <v>0</v>
      </c>
      <c r="S208" s="127">
        <v>0</v>
      </c>
      <c r="T208" s="128">
        <f t="shared" si="26"/>
        <v>0</v>
      </c>
      <c r="W208" s="199"/>
      <c r="X208" s="119" t="s">
        <v>308</v>
      </c>
      <c r="Y208" s="119" t="s">
        <v>231</v>
      </c>
      <c r="Z208" s="120" t="s">
        <v>997</v>
      </c>
      <c r="AA208" s="121" t="s">
        <v>998</v>
      </c>
      <c r="AB208" s="122" t="s">
        <v>243</v>
      </c>
      <c r="AC208" s="123">
        <v>3</v>
      </c>
      <c r="AD208" s="124">
        <v>6.1</v>
      </c>
      <c r="AE208" s="200">
        <f t="shared" si="27"/>
        <v>18.3</v>
      </c>
      <c r="AF208" s="227"/>
      <c r="AG208" s="374"/>
      <c r="AH208" s="130"/>
      <c r="AR208" s="129" t="s">
        <v>235</v>
      </c>
      <c r="AT208" s="129" t="s">
        <v>231</v>
      </c>
      <c r="AU208" s="129" t="s">
        <v>76</v>
      </c>
      <c r="AY208" s="13" t="s">
        <v>228</v>
      </c>
      <c r="BE208" s="130">
        <f t="shared" si="28"/>
        <v>0</v>
      </c>
      <c r="BF208" s="130">
        <f t="shared" si="29"/>
        <v>18.3</v>
      </c>
      <c r="BG208" s="130">
        <f t="shared" si="30"/>
        <v>0</v>
      </c>
      <c r="BH208" s="130">
        <f t="shared" si="31"/>
        <v>0</v>
      </c>
      <c r="BI208" s="130">
        <f t="shared" si="32"/>
        <v>0</v>
      </c>
      <c r="BJ208" s="13" t="s">
        <v>76</v>
      </c>
      <c r="BK208" s="130">
        <f t="shared" si="33"/>
        <v>18.3</v>
      </c>
      <c r="BL208" s="13" t="s">
        <v>235</v>
      </c>
      <c r="BM208" s="129" t="s">
        <v>382</v>
      </c>
    </row>
    <row r="209" spans="2:65" s="1" customFormat="1" ht="16.5" customHeight="1" x14ac:dyDescent="0.2">
      <c r="B209" s="118"/>
      <c r="C209" s="205" t="s">
        <v>383</v>
      </c>
      <c r="D209" s="119" t="s">
        <v>231</v>
      </c>
      <c r="E209" s="120" t="s">
        <v>999</v>
      </c>
      <c r="F209" s="121" t="s">
        <v>1000</v>
      </c>
      <c r="G209" s="122" t="s">
        <v>243</v>
      </c>
      <c r="H209" s="206">
        <v>5</v>
      </c>
      <c r="I209" s="124">
        <v>7.94</v>
      </c>
      <c r="J209" s="124">
        <f t="shared" si="23"/>
        <v>39.700000000000003</v>
      </c>
      <c r="K209" s="121" t="s">
        <v>1</v>
      </c>
      <c r="L209" s="24"/>
      <c r="M209" s="125" t="s">
        <v>1</v>
      </c>
      <c r="N209" s="126" t="s">
        <v>32</v>
      </c>
      <c r="O209" s="127">
        <v>0</v>
      </c>
      <c r="P209" s="127">
        <f t="shared" si="24"/>
        <v>0</v>
      </c>
      <c r="Q209" s="127">
        <v>0</v>
      </c>
      <c r="R209" s="127">
        <f t="shared" si="25"/>
        <v>0</v>
      </c>
      <c r="S209" s="127">
        <v>0</v>
      </c>
      <c r="T209" s="128">
        <f t="shared" si="26"/>
        <v>0</v>
      </c>
      <c r="W209" s="199"/>
      <c r="X209" s="205" t="s">
        <v>383</v>
      </c>
      <c r="Y209" s="119" t="s">
        <v>231</v>
      </c>
      <c r="Z209" s="120" t="s">
        <v>999</v>
      </c>
      <c r="AA209" s="121" t="s">
        <v>1000</v>
      </c>
      <c r="AB209" s="122" t="s">
        <v>243</v>
      </c>
      <c r="AC209" s="206">
        <f>5-2</f>
        <v>3</v>
      </c>
      <c r="AD209" s="124">
        <v>7.94</v>
      </c>
      <c r="AE209" s="200">
        <f t="shared" si="27"/>
        <v>23.82</v>
      </c>
      <c r="AF209" s="227">
        <v>9</v>
      </c>
      <c r="AG209" s="374"/>
      <c r="AH209" s="130"/>
      <c r="AR209" s="129" t="s">
        <v>235</v>
      </c>
      <c r="AT209" s="129" t="s">
        <v>231</v>
      </c>
      <c r="AU209" s="129" t="s">
        <v>76</v>
      </c>
      <c r="AY209" s="13" t="s">
        <v>228</v>
      </c>
      <c r="BE209" s="130">
        <f t="shared" si="28"/>
        <v>0</v>
      </c>
      <c r="BF209" s="130">
        <f t="shared" si="29"/>
        <v>39.700000000000003</v>
      </c>
      <c r="BG209" s="130">
        <f t="shared" si="30"/>
        <v>0</v>
      </c>
      <c r="BH209" s="130">
        <f t="shared" si="31"/>
        <v>0</v>
      </c>
      <c r="BI209" s="130">
        <f t="shared" si="32"/>
        <v>0</v>
      </c>
      <c r="BJ209" s="13" t="s">
        <v>76</v>
      </c>
      <c r="BK209" s="130">
        <f t="shared" si="33"/>
        <v>39.700000000000003</v>
      </c>
      <c r="BL209" s="13" t="s">
        <v>235</v>
      </c>
      <c r="BM209" s="129" t="s">
        <v>386</v>
      </c>
    </row>
    <row r="210" spans="2:65" s="1" customFormat="1" ht="16.5" customHeight="1" x14ac:dyDescent="0.2">
      <c r="B210" s="118"/>
      <c r="C210" s="205" t="s">
        <v>312</v>
      </c>
      <c r="D210" s="119" t="s">
        <v>231</v>
      </c>
      <c r="E210" s="120" t="s">
        <v>1001</v>
      </c>
      <c r="F210" s="121" t="s">
        <v>1002</v>
      </c>
      <c r="G210" s="122" t="s">
        <v>243</v>
      </c>
      <c r="H210" s="206">
        <v>3</v>
      </c>
      <c r="I210" s="124">
        <v>13.2</v>
      </c>
      <c r="J210" s="124">
        <f t="shared" si="23"/>
        <v>39.6</v>
      </c>
      <c r="K210" s="121" t="s">
        <v>1</v>
      </c>
      <c r="L210" s="24"/>
      <c r="M210" s="125" t="s">
        <v>1</v>
      </c>
      <c r="N210" s="126" t="s">
        <v>32</v>
      </c>
      <c r="O210" s="127">
        <v>0</v>
      </c>
      <c r="P210" s="127">
        <f t="shared" si="24"/>
        <v>0</v>
      </c>
      <c r="Q210" s="127">
        <v>0</v>
      </c>
      <c r="R210" s="127">
        <f t="shared" si="25"/>
        <v>0</v>
      </c>
      <c r="S210" s="127">
        <v>0</v>
      </c>
      <c r="T210" s="128">
        <f t="shared" si="26"/>
        <v>0</v>
      </c>
      <c r="W210" s="199"/>
      <c r="X210" s="205" t="s">
        <v>312</v>
      </c>
      <c r="Y210" s="119" t="s">
        <v>231</v>
      </c>
      <c r="Z210" s="120" t="s">
        <v>1001</v>
      </c>
      <c r="AA210" s="121" t="s">
        <v>1002</v>
      </c>
      <c r="AB210" s="122" t="s">
        <v>243</v>
      </c>
      <c r="AC210" s="206">
        <f>3+1</f>
        <v>4</v>
      </c>
      <c r="AD210" s="124">
        <v>13.2</v>
      </c>
      <c r="AE210" s="200">
        <f t="shared" si="27"/>
        <v>52.8</v>
      </c>
      <c r="AF210" s="227">
        <v>9</v>
      </c>
      <c r="AG210" s="374"/>
      <c r="AH210" s="130"/>
      <c r="AR210" s="129" t="s">
        <v>235</v>
      </c>
      <c r="AT210" s="129" t="s">
        <v>231</v>
      </c>
      <c r="AU210" s="129" t="s">
        <v>76</v>
      </c>
      <c r="AY210" s="13" t="s">
        <v>228</v>
      </c>
      <c r="BE210" s="130">
        <f t="shared" si="28"/>
        <v>0</v>
      </c>
      <c r="BF210" s="130">
        <f t="shared" si="29"/>
        <v>39.6</v>
      </c>
      <c r="BG210" s="130">
        <f t="shared" si="30"/>
        <v>0</v>
      </c>
      <c r="BH210" s="130">
        <f t="shared" si="31"/>
        <v>0</v>
      </c>
      <c r="BI210" s="130">
        <f t="shared" si="32"/>
        <v>0</v>
      </c>
      <c r="BJ210" s="13" t="s">
        <v>76</v>
      </c>
      <c r="BK210" s="130">
        <f t="shared" si="33"/>
        <v>39.6</v>
      </c>
      <c r="BL210" s="13" t="s">
        <v>235</v>
      </c>
      <c r="BM210" s="129" t="s">
        <v>389</v>
      </c>
    </row>
    <row r="211" spans="2:65" s="1" customFormat="1" ht="16.5" customHeight="1" x14ac:dyDescent="0.2">
      <c r="B211" s="118"/>
      <c r="C211" s="205" t="s">
        <v>390</v>
      </c>
      <c r="D211" s="119" t="s">
        <v>231</v>
      </c>
      <c r="E211" s="120" t="s">
        <v>1003</v>
      </c>
      <c r="F211" s="121" t="s">
        <v>1004</v>
      </c>
      <c r="G211" s="122" t="s">
        <v>243</v>
      </c>
      <c r="H211" s="206">
        <v>4</v>
      </c>
      <c r="I211" s="124">
        <v>19.239999999999998</v>
      </c>
      <c r="J211" s="124">
        <f t="shared" si="23"/>
        <v>76.959999999999994</v>
      </c>
      <c r="K211" s="121" t="s">
        <v>1</v>
      </c>
      <c r="L211" s="24"/>
      <c r="M211" s="125" t="s">
        <v>1</v>
      </c>
      <c r="N211" s="126" t="s">
        <v>32</v>
      </c>
      <c r="O211" s="127">
        <v>0</v>
      </c>
      <c r="P211" s="127">
        <f t="shared" si="24"/>
        <v>0</v>
      </c>
      <c r="Q211" s="127">
        <v>0</v>
      </c>
      <c r="R211" s="127">
        <f t="shared" si="25"/>
        <v>0</v>
      </c>
      <c r="S211" s="127">
        <v>0</v>
      </c>
      <c r="T211" s="128">
        <f t="shared" si="26"/>
        <v>0</v>
      </c>
      <c r="W211" s="199"/>
      <c r="X211" s="205" t="s">
        <v>390</v>
      </c>
      <c r="Y211" s="119" t="s">
        <v>231</v>
      </c>
      <c r="Z211" s="120" t="s">
        <v>1003</v>
      </c>
      <c r="AA211" s="121" t="s">
        <v>1004</v>
      </c>
      <c r="AB211" s="122" t="s">
        <v>243</v>
      </c>
      <c r="AC211" s="206">
        <f>4-1</f>
        <v>3</v>
      </c>
      <c r="AD211" s="124">
        <v>19.239999999999998</v>
      </c>
      <c r="AE211" s="200">
        <f t="shared" si="27"/>
        <v>57.72</v>
      </c>
      <c r="AF211" s="227">
        <v>9</v>
      </c>
      <c r="AG211" s="374"/>
      <c r="AH211" s="130"/>
      <c r="AR211" s="129" t="s">
        <v>235</v>
      </c>
      <c r="AT211" s="129" t="s">
        <v>231</v>
      </c>
      <c r="AU211" s="129" t="s">
        <v>76</v>
      </c>
      <c r="AY211" s="13" t="s">
        <v>228</v>
      </c>
      <c r="BE211" s="130">
        <f t="shared" si="28"/>
        <v>0</v>
      </c>
      <c r="BF211" s="130">
        <f t="shared" si="29"/>
        <v>76.959999999999994</v>
      </c>
      <c r="BG211" s="130">
        <f t="shared" si="30"/>
        <v>0</v>
      </c>
      <c r="BH211" s="130">
        <f t="shared" si="31"/>
        <v>0</v>
      </c>
      <c r="BI211" s="130">
        <f t="shared" si="32"/>
        <v>0</v>
      </c>
      <c r="BJ211" s="13" t="s">
        <v>76</v>
      </c>
      <c r="BK211" s="130">
        <f t="shared" si="33"/>
        <v>76.959999999999994</v>
      </c>
      <c r="BL211" s="13" t="s">
        <v>235</v>
      </c>
      <c r="BM211" s="129" t="s">
        <v>393</v>
      </c>
    </row>
    <row r="212" spans="2:65" s="1" customFormat="1" ht="16.5" customHeight="1" x14ac:dyDescent="0.2">
      <c r="B212" s="118"/>
      <c r="C212" s="205" t="s">
        <v>316</v>
      </c>
      <c r="D212" s="119" t="s">
        <v>231</v>
      </c>
      <c r="E212" s="120" t="s">
        <v>1005</v>
      </c>
      <c r="F212" s="121" t="s">
        <v>1006</v>
      </c>
      <c r="G212" s="122" t="s">
        <v>243</v>
      </c>
      <c r="H212" s="206">
        <v>3</v>
      </c>
      <c r="I212" s="124">
        <v>30.62</v>
      </c>
      <c r="J212" s="124">
        <f t="shared" si="23"/>
        <v>91.86</v>
      </c>
      <c r="K212" s="121" t="s">
        <v>1</v>
      </c>
      <c r="L212" s="24"/>
      <c r="M212" s="125" t="s">
        <v>1</v>
      </c>
      <c r="N212" s="126" t="s">
        <v>32</v>
      </c>
      <c r="O212" s="127">
        <v>0</v>
      </c>
      <c r="P212" s="127">
        <f t="shared" si="24"/>
        <v>0</v>
      </c>
      <c r="Q212" s="127">
        <v>0</v>
      </c>
      <c r="R212" s="127">
        <f t="shared" si="25"/>
        <v>0</v>
      </c>
      <c r="S212" s="127">
        <v>0</v>
      </c>
      <c r="T212" s="128">
        <f t="shared" si="26"/>
        <v>0</v>
      </c>
      <c r="W212" s="199"/>
      <c r="X212" s="205" t="s">
        <v>316</v>
      </c>
      <c r="Y212" s="119" t="s">
        <v>231</v>
      </c>
      <c r="Z212" s="120" t="s">
        <v>1005</v>
      </c>
      <c r="AA212" s="121" t="s">
        <v>1006</v>
      </c>
      <c r="AB212" s="122" t="s">
        <v>243</v>
      </c>
      <c r="AC212" s="206">
        <f>3-2</f>
        <v>1</v>
      </c>
      <c r="AD212" s="124">
        <v>30.62</v>
      </c>
      <c r="AE212" s="200">
        <f t="shared" si="27"/>
        <v>30.62</v>
      </c>
      <c r="AF212" s="227">
        <v>9</v>
      </c>
      <c r="AG212" s="374"/>
      <c r="AH212" s="130"/>
      <c r="AR212" s="129" t="s">
        <v>235</v>
      </c>
      <c r="AT212" s="129" t="s">
        <v>231</v>
      </c>
      <c r="AU212" s="129" t="s">
        <v>76</v>
      </c>
      <c r="AY212" s="13" t="s">
        <v>228</v>
      </c>
      <c r="BE212" s="130">
        <f t="shared" si="28"/>
        <v>0</v>
      </c>
      <c r="BF212" s="130">
        <f t="shared" si="29"/>
        <v>91.86</v>
      </c>
      <c r="BG212" s="130">
        <f t="shared" si="30"/>
        <v>0</v>
      </c>
      <c r="BH212" s="130">
        <f t="shared" si="31"/>
        <v>0</v>
      </c>
      <c r="BI212" s="130">
        <f t="shared" si="32"/>
        <v>0</v>
      </c>
      <c r="BJ212" s="13" t="s">
        <v>76</v>
      </c>
      <c r="BK212" s="130">
        <f t="shared" si="33"/>
        <v>91.86</v>
      </c>
      <c r="BL212" s="13" t="s">
        <v>235</v>
      </c>
      <c r="BM212" s="129" t="s">
        <v>396</v>
      </c>
    </row>
    <row r="213" spans="2:65" s="1" customFormat="1" ht="16.5" customHeight="1" x14ac:dyDescent="0.2">
      <c r="B213" s="118"/>
      <c r="C213" s="119" t="s">
        <v>397</v>
      </c>
      <c r="D213" s="119" t="s">
        <v>231</v>
      </c>
      <c r="E213" s="120" t="s">
        <v>1007</v>
      </c>
      <c r="F213" s="121" t="s">
        <v>1008</v>
      </c>
      <c r="G213" s="122" t="s">
        <v>243</v>
      </c>
      <c r="H213" s="123">
        <v>1</v>
      </c>
      <c r="I213" s="124">
        <v>48.91</v>
      </c>
      <c r="J213" s="124">
        <f t="shared" si="23"/>
        <v>48.91</v>
      </c>
      <c r="K213" s="121" t="s">
        <v>1</v>
      </c>
      <c r="L213" s="24"/>
      <c r="M213" s="125" t="s">
        <v>1</v>
      </c>
      <c r="N213" s="126" t="s">
        <v>32</v>
      </c>
      <c r="O213" s="127">
        <v>0</v>
      </c>
      <c r="P213" s="127">
        <f t="shared" si="24"/>
        <v>0</v>
      </c>
      <c r="Q213" s="127">
        <v>0</v>
      </c>
      <c r="R213" s="127">
        <f t="shared" si="25"/>
        <v>0</v>
      </c>
      <c r="S213" s="127">
        <v>0</v>
      </c>
      <c r="T213" s="128">
        <f t="shared" si="26"/>
        <v>0</v>
      </c>
      <c r="W213" s="199"/>
      <c r="X213" s="119" t="s">
        <v>397</v>
      </c>
      <c r="Y213" s="119" t="s">
        <v>231</v>
      </c>
      <c r="Z213" s="120" t="s">
        <v>1007</v>
      </c>
      <c r="AA213" s="121" t="s">
        <v>1008</v>
      </c>
      <c r="AB213" s="122" t="s">
        <v>243</v>
      </c>
      <c r="AC213" s="123">
        <v>1</v>
      </c>
      <c r="AD213" s="124">
        <v>48.91</v>
      </c>
      <c r="AE213" s="200">
        <f t="shared" si="27"/>
        <v>48.91</v>
      </c>
      <c r="AF213" s="227"/>
      <c r="AG213" s="374"/>
      <c r="AH213" s="130"/>
      <c r="AR213" s="129" t="s">
        <v>235</v>
      </c>
      <c r="AT213" s="129" t="s">
        <v>231</v>
      </c>
      <c r="AU213" s="129" t="s">
        <v>76</v>
      </c>
      <c r="AY213" s="13" t="s">
        <v>228</v>
      </c>
      <c r="BE213" s="130">
        <f t="shared" si="28"/>
        <v>0</v>
      </c>
      <c r="BF213" s="130">
        <f t="shared" si="29"/>
        <v>48.91</v>
      </c>
      <c r="BG213" s="130">
        <f t="shared" si="30"/>
        <v>0</v>
      </c>
      <c r="BH213" s="130">
        <f t="shared" si="31"/>
        <v>0</v>
      </c>
      <c r="BI213" s="130">
        <f t="shared" si="32"/>
        <v>0</v>
      </c>
      <c r="BJ213" s="13" t="s">
        <v>76</v>
      </c>
      <c r="BK213" s="130">
        <f t="shared" si="33"/>
        <v>48.91</v>
      </c>
      <c r="BL213" s="13" t="s">
        <v>235</v>
      </c>
      <c r="BM213" s="129" t="s">
        <v>400</v>
      </c>
    </row>
    <row r="214" spans="2:65" s="1" customFormat="1" ht="16.5" customHeight="1" x14ac:dyDescent="0.2">
      <c r="B214" s="118"/>
      <c r="C214" s="119" t="s">
        <v>319</v>
      </c>
      <c r="D214" s="119" t="s">
        <v>231</v>
      </c>
      <c r="E214" s="120" t="s">
        <v>1009</v>
      </c>
      <c r="F214" s="121" t="s">
        <v>1010</v>
      </c>
      <c r="G214" s="122" t="s">
        <v>243</v>
      </c>
      <c r="H214" s="123">
        <v>1</v>
      </c>
      <c r="I214" s="124">
        <v>128.87</v>
      </c>
      <c r="J214" s="124">
        <f t="shared" si="23"/>
        <v>128.87</v>
      </c>
      <c r="K214" s="121" t="s">
        <v>1</v>
      </c>
      <c r="L214" s="24"/>
      <c r="M214" s="125" t="s">
        <v>1</v>
      </c>
      <c r="N214" s="126" t="s">
        <v>32</v>
      </c>
      <c r="O214" s="127">
        <v>0</v>
      </c>
      <c r="P214" s="127">
        <f t="shared" si="24"/>
        <v>0</v>
      </c>
      <c r="Q214" s="127">
        <v>0</v>
      </c>
      <c r="R214" s="127">
        <f t="shared" si="25"/>
        <v>0</v>
      </c>
      <c r="S214" s="127">
        <v>0</v>
      </c>
      <c r="T214" s="128">
        <f t="shared" si="26"/>
        <v>0</v>
      </c>
      <c r="W214" s="199"/>
      <c r="X214" s="119" t="s">
        <v>319</v>
      </c>
      <c r="Y214" s="119" t="s">
        <v>231</v>
      </c>
      <c r="Z214" s="120" t="s">
        <v>1009</v>
      </c>
      <c r="AA214" s="121" t="s">
        <v>1010</v>
      </c>
      <c r="AB214" s="122" t="s">
        <v>243</v>
      </c>
      <c r="AC214" s="123">
        <v>1</v>
      </c>
      <c r="AD214" s="124">
        <v>128.87</v>
      </c>
      <c r="AE214" s="200">
        <f t="shared" si="27"/>
        <v>128.87</v>
      </c>
      <c r="AF214" s="227"/>
      <c r="AG214" s="374"/>
      <c r="AH214" s="130"/>
      <c r="AR214" s="129" t="s">
        <v>235</v>
      </c>
      <c r="AT214" s="129" t="s">
        <v>231</v>
      </c>
      <c r="AU214" s="129" t="s">
        <v>76</v>
      </c>
      <c r="AY214" s="13" t="s">
        <v>228</v>
      </c>
      <c r="BE214" s="130">
        <f t="shared" si="28"/>
        <v>0</v>
      </c>
      <c r="BF214" s="130">
        <f t="shared" si="29"/>
        <v>128.87</v>
      </c>
      <c r="BG214" s="130">
        <f t="shared" si="30"/>
        <v>0</v>
      </c>
      <c r="BH214" s="130">
        <f t="shared" si="31"/>
        <v>0</v>
      </c>
      <c r="BI214" s="130">
        <f t="shared" si="32"/>
        <v>0</v>
      </c>
      <c r="BJ214" s="13" t="s">
        <v>76</v>
      </c>
      <c r="BK214" s="130">
        <f t="shared" si="33"/>
        <v>128.87</v>
      </c>
      <c r="BL214" s="13" t="s">
        <v>235</v>
      </c>
      <c r="BM214" s="129" t="s">
        <v>404</v>
      </c>
    </row>
    <row r="215" spans="2:65" s="1" customFormat="1" ht="16.5" customHeight="1" x14ac:dyDescent="0.2">
      <c r="B215" s="118"/>
      <c r="C215" s="205" t="s">
        <v>407</v>
      </c>
      <c r="D215" s="119" t="s">
        <v>231</v>
      </c>
      <c r="E215" s="120" t="s">
        <v>1011</v>
      </c>
      <c r="F215" s="121" t="s">
        <v>1012</v>
      </c>
      <c r="G215" s="122" t="s">
        <v>243</v>
      </c>
      <c r="H215" s="206">
        <v>1</v>
      </c>
      <c r="I215" s="124">
        <v>192.73</v>
      </c>
      <c r="J215" s="124">
        <f t="shared" si="23"/>
        <v>192.73</v>
      </c>
      <c r="K215" s="121" t="s">
        <v>1</v>
      </c>
      <c r="L215" s="24"/>
      <c r="M215" s="125" t="s">
        <v>1</v>
      </c>
      <c r="N215" s="126" t="s">
        <v>32</v>
      </c>
      <c r="O215" s="127">
        <v>0</v>
      </c>
      <c r="P215" s="127">
        <f t="shared" si="24"/>
        <v>0</v>
      </c>
      <c r="Q215" s="127">
        <v>0</v>
      </c>
      <c r="R215" s="127">
        <f t="shared" si="25"/>
        <v>0</v>
      </c>
      <c r="S215" s="127">
        <v>0</v>
      </c>
      <c r="T215" s="128">
        <f t="shared" si="26"/>
        <v>0</v>
      </c>
      <c r="W215" s="199"/>
      <c r="X215" s="205" t="s">
        <v>407</v>
      </c>
      <c r="Y215" s="119" t="s">
        <v>231</v>
      </c>
      <c r="Z215" s="120" t="s">
        <v>1011</v>
      </c>
      <c r="AA215" s="121" t="s">
        <v>1012</v>
      </c>
      <c r="AB215" s="122" t="s">
        <v>243</v>
      </c>
      <c r="AC215" s="206">
        <v>0</v>
      </c>
      <c r="AD215" s="124">
        <v>192.73</v>
      </c>
      <c r="AE215" s="200">
        <f t="shared" si="27"/>
        <v>0</v>
      </c>
      <c r="AF215" s="227">
        <v>9</v>
      </c>
      <c r="AG215" s="374"/>
      <c r="AH215" s="130"/>
      <c r="AR215" s="129" t="s">
        <v>235</v>
      </c>
      <c r="AT215" s="129" t="s">
        <v>231</v>
      </c>
      <c r="AU215" s="129" t="s">
        <v>76</v>
      </c>
      <c r="AY215" s="13" t="s">
        <v>228</v>
      </c>
      <c r="BE215" s="130">
        <f t="shared" si="28"/>
        <v>0</v>
      </c>
      <c r="BF215" s="130">
        <f t="shared" si="29"/>
        <v>192.73</v>
      </c>
      <c r="BG215" s="130">
        <f t="shared" si="30"/>
        <v>0</v>
      </c>
      <c r="BH215" s="130">
        <f t="shared" si="31"/>
        <v>0</v>
      </c>
      <c r="BI215" s="130">
        <f t="shared" si="32"/>
        <v>0</v>
      </c>
      <c r="BJ215" s="13" t="s">
        <v>76</v>
      </c>
      <c r="BK215" s="130">
        <f t="shared" si="33"/>
        <v>192.73</v>
      </c>
      <c r="BL215" s="13" t="s">
        <v>235</v>
      </c>
      <c r="BM215" s="129" t="s">
        <v>410</v>
      </c>
    </row>
    <row r="216" spans="2:65" s="1" customFormat="1" ht="16.5" customHeight="1" x14ac:dyDescent="0.2">
      <c r="B216" s="118"/>
      <c r="C216" s="119" t="s">
        <v>323</v>
      </c>
      <c r="D216" s="119" t="s">
        <v>231</v>
      </c>
      <c r="E216" s="120" t="s">
        <v>1013</v>
      </c>
      <c r="F216" s="121" t="s">
        <v>1014</v>
      </c>
      <c r="G216" s="122" t="s">
        <v>243</v>
      </c>
      <c r="H216" s="123">
        <v>3</v>
      </c>
      <c r="I216" s="124">
        <v>2.2999999999999998</v>
      </c>
      <c r="J216" s="124">
        <f t="shared" si="23"/>
        <v>6.9</v>
      </c>
      <c r="K216" s="121" t="s">
        <v>1</v>
      </c>
      <c r="L216" s="24"/>
      <c r="M216" s="125" t="s">
        <v>1</v>
      </c>
      <c r="N216" s="126" t="s">
        <v>32</v>
      </c>
      <c r="O216" s="127">
        <v>0</v>
      </c>
      <c r="P216" s="127">
        <f t="shared" si="24"/>
        <v>0</v>
      </c>
      <c r="Q216" s="127">
        <v>0</v>
      </c>
      <c r="R216" s="127">
        <f t="shared" si="25"/>
        <v>0</v>
      </c>
      <c r="S216" s="127">
        <v>0</v>
      </c>
      <c r="T216" s="128">
        <f t="shared" si="26"/>
        <v>0</v>
      </c>
      <c r="W216" s="199"/>
      <c r="X216" s="119" t="s">
        <v>323</v>
      </c>
      <c r="Y216" s="119" t="s">
        <v>231</v>
      </c>
      <c r="Z216" s="120" t="s">
        <v>1013</v>
      </c>
      <c r="AA216" s="121" t="s">
        <v>1014</v>
      </c>
      <c r="AB216" s="122" t="s">
        <v>243</v>
      </c>
      <c r="AC216" s="123">
        <v>3</v>
      </c>
      <c r="AD216" s="124">
        <v>2.2999999999999998</v>
      </c>
      <c r="AE216" s="200">
        <f t="shared" si="27"/>
        <v>6.9</v>
      </c>
      <c r="AF216" s="227"/>
      <c r="AG216" s="374"/>
      <c r="AH216" s="130"/>
      <c r="AR216" s="129" t="s">
        <v>235</v>
      </c>
      <c r="AT216" s="129" t="s">
        <v>231</v>
      </c>
      <c r="AU216" s="129" t="s">
        <v>76</v>
      </c>
      <c r="AY216" s="13" t="s">
        <v>228</v>
      </c>
      <c r="BE216" s="130">
        <f t="shared" si="28"/>
        <v>0</v>
      </c>
      <c r="BF216" s="130">
        <f t="shared" si="29"/>
        <v>6.9</v>
      </c>
      <c r="BG216" s="130">
        <f t="shared" si="30"/>
        <v>0</v>
      </c>
      <c r="BH216" s="130">
        <f t="shared" si="31"/>
        <v>0</v>
      </c>
      <c r="BI216" s="130">
        <f t="shared" si="32"/>
        <v>0</v>
      </c>
      <c r="BJ216" s="13" t="s">
        <v>76</v>
      </c>
      <c r="BK216" s="130">
        <f t="shared" si="33"/>
        <v>6.9</v>
      </c>
      <c r="BL216" s="13" t="s">
        <v>235</v>
      </c>
      <c r="BM216" s="129" t="s">
        <v>414</v>
      </c>
    </row>
    <row r="217" spans="2:65" s="1" customFormat="1" ht="16.5" customHeight="1" x14ac:dyDescent="0.2">
      <c r="B217" s="118"/>
      <c r="C217" s="119" t="s">
        <v>415</v>
      </c>
      <c r="D217" s="119" t="s">
        <v>231</v>
      </c>
      <c r="E217" s="120" t="s">
        <v>1015</v>
      </c>
      <c r="F217" s="121" t="s">
        <v>1016</v>
      </c>
      <c r="G217" s="122" t="s">
        <v>243</v>
      </c>
      <c r="H217" s="123">
        <v>5</v>
      </c>
      <c r="I217" s="124">
        <v>3.83</v>
      </c>
      <c r="J217" s="124">
        <f t="shared" si="23"/>
        <v>19.149999999999999</v>
      </c>
      <c r="K217" s="121" t="s">
        <v>1</v>
      </c>
      <c r="L217" s="24"/>
      <c r="M217" s="125" t="s">
        <v>1</v>
      </c>
      <c r="N217" s="126" t="s">
        <v>32</v>
      </c>
      <c r="O217" s="127">
        <v>0</v>
      </c>
      <c r="P217" s="127">
        <f t="shared" si="24"/>
        <v>0</v>
      </c>
      <c r="Q217" s="127">
        <v>0</v>
      </c>
      <c r="R217" s="127">
        <f t="shared" si="25"/>
        <v>0</v>
      </c>
      <c r="S217" s="127">
        <v>0</v>
      </c>
      <c r="T217" s="128">
        <f t="shared" si="26"/>
        <v>0</v>
      </c>
      <c r="W217" s="199"/>
      <c r="X217" s="119" t="s">
        <v>415</v>
      </c>
      <c r="Y217" s="119" t="s">
        <v>231</v>
      </c>
      <c r="Z217" s="120" t="s">
        <v>1015</v>
      </c>
      <c r="AA217" s="121" t="s">
        <v>1016</v>
      </c>
      <c r="AB217" s="122" t="s">
        <v>243</v>
      </c>
      <c r="AC217" s="123">
        <v>5</v>
      </c>
      <c r="AD217" s="124">
        <v>3.83</v>
      </c>
      <c r="AE217" s="200">
        <f t="shared" si="27"/>
        <v>19.149999999999999</v>
      </c>
      <c r="AF217" s="227"/>
      <c r="AG217" s="374"/>
      <c r="AH217" s="130"/>
      <c r="AR217" s="129" t="s">
        <v>235</v>
      </c>
      <c r="AT217" s="129" t="s">
        <v>231</v>
      </c>
      <c r="AU217" s="129" t="s">
        <v>76</v>
      </c>
      <c r="AY217" s="13" t="s">
        <v>228</v>
      </c>
      <c r="BE217" s="130">
        <f t="shared" si="28"/>
        <v>0</v>
      </c>
      <c r="BF217" s="130">
        <f t="shared" si="29"/>
        <v>19.149999999999999</v>
      </c>
      <c r="BG217" s="130">
        <f t="shared" si="30"/>
        <v>0</v>
      </c>
      <c r="BH217" s="130">
        <f t="shared" si="31"/>
        <v>0</v>
      </c>
      <c r="BI217" s="130">
        <f t="shared" si="32"/>
        <v>0</v>
      </c>
      <c r="BJ217" s="13" t="s">
        <v>76</v>
      </c>
      <c r="BK217" s="130">
        <f t="shared" si="33"/>
        <v>19.149999999999999</v>
      </c>
      <c r="BL217" s="13" t="s">
        <v>235</v>
      </c>
      <c r="BM217" s="129" t="s">
        <v>418</v>
      </c>
    </row>
    <row r="218" spans="2:65" s="1" customFormat="1" ht="16.5" customHeight="1" x14ac:dyDescent="0.2">
      <c r="B218" s="118"/>
      <c r="C218" s="205" t="s">
        <v>326</v>
      </c>
      <c r="D218" s="119" t="s">
        <v>231</v>
      </c>
      <c r="E218" s="120" t="s">
        <v>1017</v>
      </c>
      <c r="F218" s="121" t="s">
        <v>1018</v>
      </c>
      <c r="G218" s="122" t="s">
        <v>243</v>
      </c>
      <c r="H218" s="206">
        <v>3</v>
      </c>
      <c r="I218" s="124">
        <v>4.24</v>
      </c>
      <c r="J218" s="124">
        <f t="shared" si="23"/>
        <v>12.72</v>
      </c>
      <c r="K218" s="121" t="s">
        <v>1</v>
      </c>
      <c r="L218" s="24"/>
      <c r="M218" s="125" t="s">
        <v>1</v>
      </c>
      <c r="N218" s="126" t="s">
        <v>32</v>
      </c>
      <c r="O218" s="127">
        <v>0</v>
      </c>
      <c r="P218" s="127">
        <f t="shared" si="24"/>
        <v>0</v>
      </c>
      <c r="Q218" s="127">
        <v>0</v>
      </c>
      <c r="R218" s="127">
        <f t="shared" si="25"/>
        <v>0</v>
      </c>
      <c r="S218" s="127">
        <v>0</v>
      </c>
      <c r="T218" s="128">
        <f t="shared" si="26"/>
        <v>0</v>
      </c>
      <c r="W218" s="199"/>
      <c r="X218" s="205" t="s">
        <v>326</v>
      </c>
      <c r="Y218" s="119" t="s">
        <v>231</v>
      </c>
      <c r="Z218" s="120" t="s">
        <v>1017</v>
      </c>
      <c r="AA218" s="121" t="s">
        <v>1018</v>
      </c>
      <c r="AB218" s="122" t="s">
        <v>243</v>
      </c>
      <c r="AC218" s="206">
        <f>3+1</f>
        <v>4</v>
      </c>
      <c r="AD218" s="124">
        <v>4.24</v>
      </c>
      <c r="AE218" s="200">
        <f t="shared" si="27"/>
        <v>16.96</v>
      </c>
      <c r="AF218" s="227">
        <v>9</v>
      </c>
      <c r="AG218" s="374"/>
      <c r="AH218" s="130"/>
      <c r="AR218" s="129" t="s">
        <v>235</v>
      </c>
      <c r="AT218" s="129" t="s">
        <v>231</v>
      </c>
      <c r="AU218" s="129" t="s">
        <v>76</v>
      </c>
      <c r="AY218" s="13" t="s">
        <v>228</v>
      </c>
      <c r="BE218" s="130">
        <f t="shared" si="28"/>
        <v>0</v>
      </c>
      <c r="BF218" s="130">
        <f t="shared" si="29"/>
        <v>12.72</v>
      </c>
      <c r="BG218" s="130">
        <f t="shared" si="30"/>
        <v>0</v>
      </c>
      <c r="BH218" s="130">
        <f t="shared" si="31"/>
        <v>0</v>
      </c>
      <c r="BI218" s="130">
        <f t="shared" si="32"/>
        <v>0</v>
      </c>
      <c r="BJ218" s="13" t="s">
        <v>76</v>
      </c>
      <c r="BK218" s="130">
        <f t="shared" si="33"/>
        <v>12.72</v>
      </c>
      <c r="BL218" s="13" t="s">
        <v>235</v>
      </c>
      <c r="BM218" s="129" t="s">
        <v>421</v>
      </c>
    </row>
    <row r="219" spans="2:65" s="1" customFormat="1" ht="16.5" customHeight="1" x14ac:dyDescent="0.2">
      <c r="B219" s="118"/>
      <c r="C219" s="205" t="s">
        <v>422</v>
      </c>
      <c r="D219" s="119" t="s">
        <v>231</v>
      </c>
      <c r="E219" s="120" t="s">
        <v>1019</v>
      </c>
      <c r="F219" s="121" t="s">
        <v>1020</v>
      </c>
      <c r="G219" s="122" t="s">
        <v>243</v>
      </c>
      <c r="H219" s="206">
        <v>4</v>
      </c>
      <c r="I219" s="124">
        <v>4.99</v>
      </c>
      <c r="J219" s="124">
        <f t="shared" si="23"/>
        <v>19.96</v>
      </c>
      <c r="K219" s="121" t="s">
        <v>1</v>
      </c>
      <c r="L219" s="24"/>
      <c r="M219" s="125" t="s">
        <v>1</v>
      </c>
      <c r="N219" s="126" t="s">
        <v>32</v>
      </c>
      <c r="O219" s="127">
        <v>0</v>
      </c>
      <c r="P219" s="127">
        <f t="shared" si="24"/>
        <v>0</v>
      </c>
      <c r="Q219" s="127">
        <v>0</v>
      </c>
      <c r="R219" s="127">
        <f t="shared" si="25"/>
        <v>0</v>
      </c>
      <c r="S219" s="127">
        <v>0</v>
      </c>
      <c r="T219" s="128">
        <f t="shared" si="26"/>
        <v>0</v>
      </c>
      <c r="W219" s="199"/>
      <c r="X219" s="205" t="s">
        <v>422</v>
      </c>
      <c r="Y219" s="119" t="s">
        <v>231</v>
      </c>
      <c r="Z219" s="120" t="s">
        <v>1019</v>
      </c>
      <c r="AA219" s="121" t="s">
        <v>1020</v>
      </c>
      <c r="AB219" s="122" t="s">
        <v>243</v>
      </c>
      <c r="AC219" s="206">
        <f>4-1</f>
        <v>3</v>
      </c>
      <c r="AD219" s="124">
        <v>4.99</v>
      </c>
      <c r="AE219" s="200">
        <f t="shared" si="27"/>
        <v>14.97</v>
      </c>
      <c r="AF219" s="227">
        <v>9</v>
      </c>
      <c r="AG219" s="374"/>
      <c r="AH219" s="130"/>
      <c r="AR219" s="129" t="s">
        <v>235</v>
      </c>
      <c r="AT219" s="129" t="s">
        <v>231</v>
      </c>
      <c r="AU219" s="129" t="s">
        <v>76</v>
      </c>
      <c r="AY219" s="13" t="s">
        <v>228</v>
      </c>
      <c r="BE219" s="130">
        <f t="shared" si="28"/>
        <v>0</v>
      </c>
      <c r="BF219" s="130">
        <f t="shared" si="29"/>
        <v>19.96</v>
      </c>
      <c r="BG219" s="130">
        <f t="shared" si="30"/>
        <v>0</v>
      </c>
      <c r="BH219" s="130">
        <f t="shared" si="31"/>
        <v>0</v>
      </c>
      <c r="BI219" s="130">
        <f t="shared" si="32"/>
        <v>0</v>
      </c>
      <c r="BJ219" s="13" t="s">
        <v>76</v>
      </c>
      <c r="BK219" s="130">
        <f t="shared" si="33"/>
        <v>19.96</v>
      </c>
      <c r="BL219" s="13" t="s">
        <v>235</v>
      </c>
      <c r="BM219" s="129" t="s">
        <v>425</v>
      </c>
    </row>
    <row r="220" spans="2:65" s="1" customFormat="1" ht="16.5" customHeight="1" x14ac:dyDescent="0.2">
      <c r="B220" s="118"/>
      <c r="C220" s="205" t="s">
        <v>330</v>
      </c>
      <c r="D220" s="119" t="s">
        <v>231</v>
      </c>
      <c r="E220" s="120" t="s">
        <v>1021</v>
      </c>
      <c r="F220" s="121" t="s">
        <v>1022</v>
      </c>
      <c r="G220" s="122" t="s">
        <v>243</v>
      </c>
      <c r="H220" s="206">
        <v>3</v>
      </c>
      <c r="I220" s="124">
        <v>6.44</v>
      </c>
      <c r="J220" s="124">
        <f t="shared" si="23"/>
        <v>19.32</v>
      </c>
      <c r="K220" s="121" t="s">
        <v>1</v>
      </c>
      <c r="L220" s="24"/>
      <c r="M220" s="125" t="s">
        <v>1</v>
      </c>
      <c r="N220" s="126" t="s">
        <v>32</v>
      </c>
      <c r="O220" s="127">
        <v>0</v>
      </c>
      <c r="P220" s="127">
        <f t="shared" si="24"/>
        <v>0</v>
      </c>
      <c r="Q220" s="127">
        <v>0</v>
      </c>
      <c r="R220" s="127">
        <f t="shared" si="25"/>
        <v>0</v>
      </c>
      <c r="S220" s="127">
        <v>0</v>
      </c>
      <c r="T220" s="128">
        <f t="shared" si="26"/>
        <v>0</v>
      </c>
      <c r="W220" s="199"/>
      <c r="X220" s="205" t="s">
        <v>330</v>
      </c>
      <c r="Y220" s="119" t="s">
        <v>231</v>
      </c>
      <c r="Z220" s="120" t="s">
        <v>1021</v>
      </c>
      <c r="AA220" s="121" t="s">
        <v>1022</v>
      </c>
      <c r="AB220" s="122" t="s">
        <v>243</v>
      </c>
      <c r="AC220" s="206">
        <f>3-2</f>
        <v>1</v>
      </c>
      <c r="AD220" s="124">
        <v>6.44</v>
      </c>
      <c r="AE220" s="200">
        <f t="shared" si="27"/>
        <v>6.44</v>
      </c>
      <c r="AF220" s="227">
        <v>9</v>
      </c>
      <c r="AG220" s="374"/>
      <c r="AH220" s="130"/>
      <c r="AR220" s="129" t="s">
        <v>235</v>
      </c>
      <c r="AT220" s="129" t="s">
        <v>231</v>
      </c>
      <c r="AU220" s="129" t="s">
        <v>76</v>
      </c>
      <c r="AY220" s="13" t="s">
        <v>228</v>
      </c>
      <c r="BE220" s="130">
        <f t="shared" si="28"/>
        <v>0</v>
      </c>
      <c r="BF220" s="130">
        <f t="shared" si="29"/>
        <v>19.32</v>
      </c>
      <c r="BG220" s="130">
        <f t="shared" si="30"/>
        <v>0</v>
      </c>
      <c r="BH220" s="130">
        <f t="shared" si="31"/>
        <v>0</v>
      </c>
      <c r="BI220" s="130">
        <f t="shared" si="32"/>
        <v>0</v>
      </c>
      <c r="BJ220" s="13" t="s">
        <v>76</v>
      </c>
      <c r="BK220" s="130">
        <f t="shared" si="33"/>
        <v>19.32</v>
      </c>
      <c r="BL220" s="13" t="s">
        <v>235</v>
      </c>
      <c r="BM220" s="129" t="s">
        <v>428</v>
      </c>
    </row>
    <row r="221" spans="2:65" s="1" customFormat="1" ht="16.5" customHeight="1" x14ac:dyDescent="0.2">
      <c r="B221" s="118"/>
      <c r="C221" s="119" t="s">
        <v>429</v>
      </c>
      <c r="D221" s="119" t="s">
        <v>231</v>
      </c>
      <c r="E221" s="120" t="s">
        <v>1023</v>
      </c>
      <c r="F221" s="121" t="s">
        <v>1024</v>
      </c>
      <c r="G221" s="122" t="s">
        <v>243</v>
      </c>
      <c r="H221" s="123">
        <v>1</v>
      </c>
      <c r="I221" s="124">
        <v>7.73</v>
      </c>
      <c r="J221" s="124">
        <f t="shared" si="23"/>
        <v>7.73</v>
      </c>
      <c r="K221" s="121" t="s">
        <v>1</v>
      </c>
      <c r="L221" s="24"/>
      <c r="M221" s="125" t="s">
        <v>1</v>
      </c>
      <c r="N221" s="126" t="s">
        <v>32</v>
      </c>
      <c r="O221" s="127">
        <v>0</v>
      </c>
      <c r="P221" s="127">
        <f t="shared" si="24"/>
        <v>0</v>
      </c>
      <c r="Q221" s="127">
        <v>0</v>
      </c>
      <c r="R221" s="127">
        <f t="shared" si="25"/>
        <v>0</v>
      </c>
      <c r="S221" s="127">
        <v>0</v>
      </c>
      <c r="T221" s="128">
        <f t="shared" si="26"/>
        <v>0</v>
      </c>
      <c r="W221" s="199"/>
      <c r="X221" s="119" t="s">
        <v>429</v>
      </c>
      <c r="Y221" s="119" t="s">
        <v>231</v>
      </c>
      <c r="Z221" s="120" t="s">
        <v>1023</v>
      </c>
      <c r="AA221" s="121" t="s">
        <v>1024</v>
      </c>
      <c r="AB221" s="122" t="s">
        <v>243</v>
      </c>
      <c r="AC221" s="123">
        <v>1</v>
      </c>
      <c r="AD221" s="124">
        <v>7.73</v>
      </c>
      <c r="AE221" s="200">
        <f t="shared" si="27"/>
        <v>7.73</v>
      </c>
      <c r="AF221" s="227"/>
      <c r="AG221" s="374"/>
      <c r="AH221" s="130"/>
      <c r="AR221" s="129" t="s">
        <v>235</v>
      </c>
      <c r="AT221" s="129" t="s">
        <v>231</v>
      </c>
      <c r="AU221" s="129" t="s">
        <v>76</v>
      </c>
      <c r="AY221" s="13" t="s">
        <v>228</v>
      </c>
      <c r="BE221" s="130">
        <f t="shared" si="28"/>
        <v>0</v>
      </c>
      <c r="BF221" s="130">
        <f t="shared" si="29"/>
        <v>7.73</v>
      </c>
      <c r="BG221" s="130">
        <f t="shared" si="30"/>
        <v>0</v>
      </c>
      <c r="BH221" s="130">
        <f t="shared" si="31"/>
        <v>0</v>
      </c>
      <c r="BI221" s="130">
        <f t="shared" si="32"/>
        <v>0</v>
      </c>
      <c r="BJ221" s="13" t="s">
        <v>76</v>
      </c>
      <c r="BK221" s="130">
        <f t="shared" si="33"/>
        <v>7.73</v>
      </c>
      <c r="BL221" s="13" t="s">
        <v>235</v>
      </c>
      <c r="BM221" s="129" t="s">
        <v>432</v>
      </c>
    </row>
    <row r="222" spans="2:65" s="1" customFormat="1" ht="16.5" customHeight="1" x14ac:dyDescent="0.2">
      <c r="B222" s="118"/>
      <c r="C222" s="285" t="s">
        <v>333</v>
      </c>
      <c r="D222" s="285" t="s">
        <v>231</v>
      </c>
      <c r="E222" s="286" t="s">
        <v>1025</v>
      </c>
      <c r="F222" s="240" t="s">
        <v>3480</v>
      </c>
      <c r="G222" s="287" t="s">
        <v>243</v>
      </c>
      <c r="H222" s="288">
        <v>1</v>
      </c>
      <c r="I222" s="289">
        <v>11.6</v>
      </c>
      <c r="J222" s="289">
        <f t="shared" si="23"/>
        <v>11.6</v>
      </c>
      <c r="K222" s="240" t="s">
        <v>1</v>
      </c>
      <c r="L222" s="447"/>
      <c r="M222" s="448" t="s">
        <v>1</v>
      </c>
      <c r="N222" s="449" t="s">
        <v>32</v>
      </c>
      <c r="O222" s="450">
        <v>0</v>
      </c>
      <c r="P222" s="450">
        <f t="shared" si="24"/>
        <v>0</v>
      </c>
      <c r="Q222" s="450">
        <v>0</v>
      </c>
      <c r="R222" s="450">
        <f t="shared" si="25"/>
        <v>0</v>
      </c>
      <c r="S222" s="450">
        <v>0</v>
      </c>
      <c r="T222" s="451">
        <f t="shared" si="26"/>
        <v>0</v>
      </c>
      <c r="U222" s="407"/>
      <c r="V222" s="407"/>
      <c r="W222" s="452"/>
      <c r="X222" s="285" t="s">
        <v>333</v>
      </c>
      <c r="Y222" s="285" t="s">
        <v>231</v>
      </c>
      <c r="Z222" s="286" t="s">
        <v>1025</v>
      </c>
      <c r="AA222" s="240" t="s">
        <v>3480</v>
      </c>
      <c r="AB222" s="287" t="s">
        <v>243</v>
      </c>
      <c r="AC222" s="288">
        <v>1</v>
      </c>
      <c r="AD222" s="289">
        <v>11.6</v>
      </c>
      <c r="AE222" s="200">
        <f t="shared" si="27"/>
        <v>11.6</v>
      </c>
      <c r="AF222" s="227"/>
      <c r="AG222" s="374"/>
      <c r="AH222" s="130"/>
      <c r="AR222" s="129" t="s">
        <v>235</v>
      </c>
      <c r="AT222" s="129" t="s">
        <v>231</v>
      </c>
      <c r="AU222" s="129" t="s">
        <v>76</v>
      </c>
      <c r="AY222" s="13" t="s">
        <v>228</v>
      </c>
      <c r="BE222" s="130">
        <f t="shared" si="28"/>
        <v>0</v>
      </c>
      <c r="BF222" s="130">
        <f t="shared" si="29"/>
        <v>11.6</v>
      </c>
      <c r="BG222" s="130">
        <f t="shared" si="30"/>
        <v>0</v>
      </c>
      <c r="BH222" s="130">
        <f t="shared" si="31"/>
        <v>0</v>
      </c>
      <c r="BI222" s="130">
        <f t="shared" si="32"/>
        <v>0</v>
      </c>
      <c r="BJ222" s="13" t="s">
        <v>76</v>
      </c>
      <c r="BK222" s="130">
        <f t="shared" si="33"/>
        <v>11.6</v>
      </c>
      <c r="BL222" s="13" t="s">
        <v>235</v>
      </c>
      <c r="BM222" s="129" t="s">
        <v>435</v>
      </c>
    </row>
    <row r="223" spans="2:65" s="1" customFormat="1" ht="16.5" customHeight="1" x14ac:dyDescent="0.2">
      <c r="B223" s="118"/>
      <c r="C223" s="205" t="s">
        <v>438</v>
      </c>
      <c r="D223" s="119" t="s">
        <v>231</v>
      </c>
      <c r="E223" s="120" t="s">
        <v>1027</v>
      </c>
      <c r="F223" s="121" t="s">
        <v>1016</v>
      </c>
      <c r="G223" s="122" t="s">
        <v>243</v>
      </c>
      <c r="H223" s="206">
        <v>1</v>
      </c>
      <c r="I223" s="124">
        <v>13.5</v>
      </c>
      <c r="J223" s="124">
        <f t="shared" si="23"/>
        <v>13.5</v>
      </c>
      <c r="K223" s="121" t="s">
        <v>1</v>
      </c>
      <c r="L223" s="24"/>
      <c r="M223" s="125" t="s">
        <v>1</v>
      </c>
      <c r="N223" s="126" t="s">
        <v>32</v>
      </c>
      <c r="O223" s="127">
        <v>0</v>
      </c>
      <c r="P223" s="127">
        <f t="shared" si="24"/>
        <v>0</v>
      </c>
      <c r="Q223" s="127">
        <v>0</v>
      </c>
      <c r="R223" s="127">
        <f t="shared" si="25"/>
        <v>0</v>
      </c>
      <c r="S223" s="127">
        <v>0</v>
      </c>
      <c r="T223" s="128">
        <f t="shared" si="26"/>
        <v>0</v>
      </c>
      <c r="W223" s="199"/>
      <c r="X223" s="205" t="s">
        <v>438</v>
      </c>
      <c r="Y223" s="119" t="s">
        <v>231</v>
      </c>
      <c r="Z223" s="120" t="s">
        <v>1027</v>
      </c>
      <c r="AA223" s="121" t="s">
        <v>1016</v>
      </c>
      <c r="AB223" s="122" t="s">
        <v>243</v>
      </c>
      <c r="AC223" s="206">
        <f>1+3</f>
        <v>4</v>
      </c>
      <c r="AD223" s="124">
        <v>13.5</v>
      </c>
      <c r="AE223" s="200">
        <f t="shared" si="27"/>
        <v>54</v>
      </c>
      <c r="AF223" s="227">
        <v>9</v>
      </c>
      <c r="AG223" s="374"/>
      <c r="AH223" s="130"/>
      <c r="AR223" s="129" t="s">
        <v>235</v>
      </c>
      <c r="AT223" s="129" t="s">
        <v>231</v>
      </c>
      <c r="AU223" s="129" t="s">
        <v>76</v>
      </c>
      <c r="AY223" s="13" t="s">
        <v>228</v>
      </c>
      <c r="BE223" s="130">
        <f t="shared" si="28"/>
        <v>0</v>
      </c>
      <c r="BF223" s="130">
        <f t="shared" si="29"/>
        <v>13.5</v>
      </c>
      <c r="BG223" s="130">
        <f t="shared" si="30"/>
        <v>0</v>
      </c>
      <c r="BH223" s="130">
        <f t="shared" si="31"/>
        <v>0</v>
      </c>
      <c r="BI223" s="130">
        <f t="shared" si="32"/>
        <v>0</v>
      </c>
      <c r="BJ223" s="13" t="s">
        <v>76</v>
      </c>
      <c r="BK223" s="130">
        <f t="shared" si="33"/>
        <v>13.5</v>
      </c>
      <c r="BL223" s="13" t="s">
        <v>235</v>
      </c>
      <c r="BM223" s="129" t="s">
        <v>441</v>
      </c>
    </row>
    <row r="224" spans="2:65" s="670" customFormat="1" ht="30.45" customHeight="1" x14ac:dyDescent="0.2">
      <c r="B224" s="118"/>
      <c r="C224" s="1234" t="s">
        <v>5205</v>
      </c>
      <c r="D224" s="1235"/>
      <c r="E224" s="1235"/>
      <c r="F224" s="1235"/>
      <c r="G224" s="1235"/>
      <c r="H224" s="1235"/>
      <c r="I224" s="1235"/>
      <c r="J224" s="1236"/>
      <c r="K224" s="121"/>
      <c r="L224" s="24"/>
      <c r="M224" s="125"/>
      <c r="N224" s="126"/>
      <c r="O224" s="127"/>
      <c r="P224" s="127"/>
      <c r="Q224" s="127"/>
      <c r="R224" s="127"/>
      <c r="S224" s="127"/>
      <c r="T224" s="128"/>
      <c r="W224" s="199"/>
      <c r="X224" s="207" t="s">
        <v>5403</v>
      </c>
      <c r="Y224" s="207" t="s">
        <v>231</v>
      </c>
      <c r="Z224" s="208" t="s">
        <v>6451</v>
      </c>
      <c r="AA224" s="209" t="s">
        <v>6452</v>
      </c>
      <c r="AB224" s="210" t="s">
        <v>6453</v>
      </c>
      <c r="AC224" s="211">
        <v>1</v>
      </c>
      <c r="AD224" s="212">
        <v>12.3</v>
      </c>
      <c r="AE224" s="214">
        <f>AC224*AD224</f>
        <v>12.3</v>
      </c>
      <c r="AF224" s="227" t="s">
        <v>6425</v>
      </c>
      <c r="AG224" s="374"/>
      <c r="AH224" s="130"/>
      <c r="AR224" s="129"/>
      <c r="AT224" s="129"/>
      <c r="AU224" s="129"/>
      <c r="AY224" s="13"/>
      <c r="BE224" s="130"/>
      <c r="BF224" s="130"/>
      <c r="BG224" s="130"/>
      <c r="BH224" s="130"/>
      <c r="BI224" s="130"/>
      <c r="BJ224" s="13"/>
      <c r="BK224" s="130"/>
      <c r="BL224" s="13"/>
      <c r="BM224" s="129"/>
    </row>
    <row r="225" spans="2:65" s="670" customFormat="1" ht="40.200000000000003" customHeight="1" x14ac:dyDescent="0.2">
      <c r="B225" s="118"/>
      <c r="C225" s="1234" t="s">
        <v>5205</v>
      </c>
      <c r="D225" s="1235"/>
      <c r="E225" s="1235"/>
      <c r="F225" s="1235"/>
      <c r="G225" s="1235"/>
      <c r="H225" s="1235"/>
      <c r="I225" s="1235"/>
      <c r="J225" s="1236"/>
      <c r="K225" s="121"/>
      <c r="L225" s="24"/>
      <c r="M225" s="125"/>
      <c r="N225" s="126"/>
      <c r="O225" s="127"/>
      <c r="P225" s="127"/>
      <c r="Q225" s="127"/>
      <c r="R225" s="127"/>
      <c r="S225" s="127"/>
      <c r="T225" s="128"/>
      <c r="W225" s="199"/>
      <c r="X225" s="386" t="s">
        <v>5404</v>
      </c>
      <c r="Y225" s="207" t="s">
        <v>277</v>
      </c>
      <c r="Z225" s="349" t="s">
        <v>6454</v>
      </c>
      <c r="AA225" s="350" t="s">
        <v>6455</v>
      </c>
      <c r="AB225" s="351" t="s">
        <v>1194</v>
      </c>
      <c r="AC225" s="352">
        <v>1</v>
      </c>
      <c r="AD225" s="353">
        <v>296.10000000000002</v>
      </c>
      <c r="AE225" s="356">
        <f t="shared" ref="AE225:AE229" si="34">AC225*AD225</f>
        <v>296.10000000000002</v>
      </c>
      <c r="AF225" s="227" t="s">
        <v>6425</v>
      </c>
      <c r="AG225" s="374"/>
      <c r="AH225" s="130"/>
      <c r="AR225" s="129"/>
      <c r="AT225" s="129"/>
      <c r="AU225" s="129"/>
      <c r="AY225" s="13"/>
      <c r="BE225" s="130"/>
      <c r="BF225" s="130"/>
      <c r="BG225" s="130"/>
      <c r="BH225" s="130"/>
      <c r="BI225" s="130"/>
      <c r="BJ225" s="13"/>
      <c r="BK225" s="130"/>
      <c r="BL225" s="13"/>
      <c r="BM225" s="129"/>
    </row>
    <row r="226" spans="2:65" s="670" customFormat="1" ht="19.95" customHeight="1" x14ac:dyDescent="0.2">
      <c r="B226" s="118"/>
      <c r="C226" s="1234" t="s">
        <v>5205</v>
      </c>
      <c r="D226" s="1235"/>
      <c r="E226" s="1235"/>
      <c r="F226" s="1235"/>
      <c r="G226" s="1235"/>
      <c r="H226" s="1235"/>
      <c r="I226" s="1235"/>
      <c r="J226" s="1236"/>
      <c r="K226" s="121"/>
      <c r="L226" s="24"/>
      <c r="M226" s="125"/>
      <c r="N226" s="126"/>
      <c r="O226" s="127"/>
      <c r="P226" s="127"/>
      <c r="Q226" s="127"/>
      <c r="R226" s="127"/>
      <c r="S226" s="127"/>
      <c r="T226" s="128"/>
      <c r="W226" s="199"/>
      <c r="X226" s="207" t="s">
        <v>5405</v>
      </c>
      <c r="Y226" s="207" t="s">
        <v>231</v>
      </c>
      <c r="Z226" s="208" t="s">
        <v>6248</v>
      </c>
      <c r="AA226" s="209" t="s">
        <v>6249</v>
      </c>
      <c r="AB226" s="210" t="s">
        <v>1194</v>
      </c>
      <c r="AC226" s="211">
        <v>1</v>
      </c>
      <c r="AD226" s="212">
        <v>5.12</v>
      </c>
      <c r="AE226" s="214">
        <f t="shared" si="34"/>
        <v>5.12</v>
      </c>
      <c r="AF226" s="227" t="s">
        <v>6425</v>
      </c>
      <c r="AG226" s="374"/>
      <c r="AH226" s="130"/>
      <c r="AR226" s="129"/>
      <c r="AT226" s="129"/>
      <c r="AU226" s="129"/>
      <c r="AY226" s="13"/>
      <c r="BE226" s="130"/>
      <c r="BF226" s="130"/>
      <c r="BG226" s="130"/>
      <c r="BH226" s="130"/>
      <c r="BI226" s="130"/>
      <c r="BJ226" s="13"/>
      <c r="BK226" s="130"/>
      <c r="BL226" s="13"/>
      <c r="BM226" s="129"/>
    </row>
    <row r="227" spans="2:65" s="670" customFormat="1" ht="19.95" customHeight="1" x14ac:dyDescent="0.2">
      <c r="B227" s="118"/>
      <c r="C227" s="1234" t="s">
        <v>5205</v>
      </c>
      <c r="D227" s="1235"/>
      <c r="E227" s="1235"/>
      <c r="F227" s="1235"/>
      <c r="G227" s="1235"/>
      <c r="H227" s="1235"/>
      <c r="I227" s="1235"/>
      <c r="J227" s="1236"/>
      <c r="K227" s="121"/>
      <c r="L227" s="24"/>
      <c r="M227" s="125"/>
      <c r="N227" s="126"/>
      <c r="O227" s="127"/>
      <c r="P227" s="127"/>
      <c r="Q227" s="127"/>
      <c r="R227" s="127"/>
      <c r="S227" s="127"/>
      <c r="T227" s="128"/>
      <c r="W227" s="199"/>
      <c r="X227" s="207" t="s">
        <v>6462</v>
      </c>
      <c r="Y227" s="207" t="s">
        <v>231</v>
      </c>
      <c r="Z227" s="208" t="s">
        <v>6456</v>
      </c>
      <c r="AA227" s="209" t="s">
        <v>6457</v>
      </c>
      <c r="AB227" s="210" t="s">
        <v>1194</v>
      </c>
      <c r="AC227" s="211">
        <v>1</v>
      </c>
      <c r="AD227" s="212">
        <v>15</v>
      </c>
      <c r="AE227" s="214">
        <f t="shared" si="34"/>
        <v>15</v>
      </c>
      <c r="AF227" s="227" t="s">
        <v>6425</v>
      </c>
      <c r="AG227" s="374"/>
      <c r="AH227" s="130"/>
      <c r="AR227" s="129"/>
      <c r="AT227" s="129"/>
      <c r="AU227" s="129"/>
      <c r="AY227" s="13"/>
      <c r="BE227" s="130"/>
      <c r="BF227" s="130"/>
      <c r="BG227" s="130"/>
      <c r="BH227" s="130"/>
      <c r="BI227" s="130"/>
      <c r="BJ227" s="13"/>
      <c r="BK227" s="130"/>
      <c r="BL227" s="13"/>
      <c r="BM227" s="129"/>
    </row>
    <row r="228" spans="2:65" s="670" customFormat="1" ht="30.45" customHeight="1" x14ac:dyDescent="0.2">
      <c r="B228" s="118"/>
      <c r="C228" s="1234" t="s">
        <v>5205</v>
      </c>
      <c r="D228" s="1235"/>
      <c r="E228" s="1235"/>
      <c r="F228" s="1235"/>
      <c r="G228" s="1235"/>
      <c r="H228" s="1235"/>
      <c r="I228" s="1235"/>
      <c r="J228" s="1236"/>
      <c r="K228" s="121"/>
      <c r="L228" s="24"/>
      <c r="M228" s="125"/>
      <c r="N228" s="126"/>
      <c r="O228" s="127"/>
      <c r="P228" s="127"/>
      <c r="Q228" s="127"/>
      <c r="R228" s="127"/>
      <c r="S228" s="127"/>
      <c r="T228" s="128"/>
      <c r="W228" s="199"/>
      <c r="X228" s="207" t="s">
        <v>6463</v>
      </c>
      <c r="Y228" s="207" t="s">
        <v>231</v>
      </c>
      <c r="Z228" s="208" t="s">
        <v>6458</v>
      </c>
      <c r="AA228" s="209" t="s">
        <v>6459</v>
      </c>
      <c r="AB228" s="210" t="s">
        <v>1194</v>
      </c>
      <c r="AC228" s="211">
        <v>1</v>
      </c>
      <c r="AD228" s="212">
        <v>29.09</v>
      </c>
      <c r="AE228" s="214">
        <f t="shared" si="34"/>
        <v>29.09</v>
      </c>
      <c r="AF228" s="227" t="s">
        <v>6425</v>
      </c>
      <c r="AG228" s="374"/>
      <c r="AH228" s="130"/>
      <c r="AR228" s="129"/>
      <c r="AT228" s="129"/>
      <c r="AU228" s="129"/>
      <c r="AY228" s="13"/>
      <c r="BE228" s="130"/>
      <c r="BF228" s="130"/>
      <c r="BG228" s="130"/>
      <c r="BH228" s="130"/>
      <c r="BI228" s="130"/>
      <c r="BJ228" s="13"/>
      <c r="BK228" s="130"/>
      <c r="BL228" s="13"/>
      <c r="BM228" s="129"/>
    </row>
    <row r="229" spans="2:65" s="670" customFormat="1" ht="22.95" customHeight="1" x14ac:dyDescent="0.2">
      <c r="B229" s="118"/>
      <c r="C229" s="1234" t="s">
        <v>5205</v>
      </c>
      <c r="D229" s="1235"/>
      <c r="E229" s="1235"/>
      <c r="F229" s="1235"/>
      <c r="G229" s="1235"/>
      <c r="H229" s="1235"/>
      <c r="I229" s="1235"/>
      <c r="J229" s="1236"/>
      <c r="K229" s="121"/>
      <c r="L229" s="24"/>
      <c r="M229" s="125"/>
      <c r="N229" s="126"/>
      <c r="O229" s="127"/>
      <c r="P229" s="127"/>
      <c r="Q229" s="127"/>
      <c r="R229" s="127"/>
      <c r="S229" s="127"/>
      <c r="T229" s="128"/>
      <c r="W229" s="199"/>
      <c r="X229" s="386" t="s">
        <v>6464</v>
      </c>
      <c r="Y229" s="207" t="s">
        <v>277</v>
      </c>
      <c r="Z229" s="349" t="s">
        <v>6460</v>
      </c>
      <c r="AA229" s="350" t="s">
        <v>6461</v>
      </c>
      <c r="AB229" s="351" t="s">
        <v>1194</v>
      </c>
      <c r="AC229" s="352">
        <v>1</v>
      </c>
      <c r="AD229" s="353">
        <v>110</v>
      </c>
      <c r="AE229" s="356">
        <f t="shared" si="34"/>
        <v>110</v>
      </c>
      <c r="AF229" s="227" t="s">
        <v>6425</v>
      </c>
      <c r="AG229" s="374"/>
      <c r="AH229" s="130"/>
      <c r="AR229" s="129"/>
      <c r="AT229" s="129"/>
      <c r="AU229" s="129"/>
      <c r="AY229" s="13"/>
      <c r="BE229" s="130"/>
      <c r="BF229" s="130"/>
      <c r="BG229" s="130"/>
      <c r="BH229" s="130"/>
      <c r="BI229" s="130"/>
      <c r="BJ229" s="13"/>
      <c r="BK229" s="130"/>
      <c r="BL229" s="13"/>
      <c r="BM229" s="129"/>
    </row>
    <row r="230" spans="2:65" s="1" customFormat="1" ht="28.2" customHeight="1" x14ac:dyDescent="0.2">
      <c r="B230" s="118"/>
      <c r="C230" s="205" t="s">
        <v>337</v>
      </c>
      <c r="D230" s="119" t="s">
        <v>231</v>
      </c>
      <c r="E230" s="120" t="s">
        <v>1029</v>
      </c>
      <c r="F230" s="121" t="s">
        <v>3481</v>
      </c>
      <c r="G230" s="122" t="s">
        <v>292</v>
      </c>
      <c r="H230" s="206">
        <v>233</v>
      </c>
      <c r="I230" s="124">
        <v>1.52</v>
      </c>
      <c r="J230" s="124">
        <f t="shared" si="23"/>
        <v>354.16</v>
      </c>
      <c r="K230" s="121" t="s">
        <v>1</v>
      </c>
      <c r="L230" s="24"/>
      <c r="M230" s="125" t="s">
        <v>1</v>
      </c>
      <c r="N230" s="126" t="s">
        <v>32</v>
      </c>
      <c r="O230" s="127">
        <v>0</v>
      </c>
      <c r="P230" s="127">
        <f t="shared" si="24"/>
        <v>0</v>
      </c>
      <c r="Q230" s="127">
        <v>0</v>
      </c>
      <c r="R230" s="127">
        <f t="shared" si="25"/>
        <v>0</v>
      </c>
      <c r="S230" s="127">
        <v>0</v>
      </c>
      <c r="T230" s="128">
        <f t="shared" si="26"/>
        <v>0</v>
      </c>
      <c r="W230" s="199"/>
      <c r="X230" s="205" t="s">
        <v>337</v>
      </c>
      <c r="Y230" s="119" t="s">
        <v>231</v>
      </c>
      <c r="Z230" s="120" t="s">
        <v>1029</v>
      </c>
      <c r="AA230" s="121" t="s">
        <v>3481</v>
      </c>
      <c r="AB230" s="122" t="s">
        <v>292</v>
      </c>
      <c r="AC230" s="206">
        <f>233+22</f>
        <v>255</v>
      </c>
      <c r="AD230" s="124">
        <v>1.52</v>
      </c>
      <c r="AE230" s="200">
        <f t="shared" si="27"/>
        <v>387.6</v>
      </c>
      <c r="AF230" s="227">
        <v>9</v>
      </c>
      <c r="AG230" s="374"/>
      <c r="AH230" s="130"/>
      <c r="AR230" s="129" t="s">
        <v>235</v>
      </c>
      <c r="AT230" s="129" t="s">
        <v>231</v>
      </c>
      <c r="AU230" s="129" t="s">
        <v>76</v>
      </c>
      <c r="AY230" s="13" t="s">
        <v>228</v>
      </c>
      <c r="BE230" s="130">
        <f t="shared" si="28"/>
        <v>0</v>
      </c>
      <c r="BF230" s="130">
        <f t="shared" si="29"/>
        <v>354.16</v>
      </c>
      <c r="BG230" s="130">
        <f t="shared" si="30"/>
        <v>0</v>
      </c>
      <c r="BH230" s="130">
        <f t="shared" si="31"/>
        <v>0</v>
      </c>
      <c r="BI230" s="130">
        <f t="shared" si="32"/>
        <v>0</v>
      </c>
      <c r="BJ230" s="13" t="s">
        <v>76</v>
      </c>
      <c r="BK230" s="130">
        <f t="shared" si="33"/>
        <v>354.16</v>
      </c>
      <c r="BL230" s="13" t="s">
        <v>235</v>
      </c>
      <c r="BM230" s="129" t="s">
        <v>444</v>
      </c>
    </row>
    <row r="231" spans="2:65" s="1" customFormat="1" ht="28.2" customHeight="1" x14ac:dyDescent="0.2">
      <c r="B231" s="118"/>
      <c r="C231" s="205" t="s">
        <v>445</v>
      </c>
      <c r="D231" s="119" t="s">
        <v>231</v>
      </c>
      <c r="E231" s="120" t="s">
        <v>1031</v>
      </c>
      <c r="F231" s="121" t="s">
        <v>3482</v>
      </c>
      <c r="G231" s="122" t="s">
        <v>292</v>
      </c>
      <c r="H231" s="206">
        <v>20</v>
      </c>
      <c r="I231" s="124">
        <v>3.17</v>
      </c>
      <c r="J231" s="124">
        <f t="shared" si="23"/>
        <v>63.4</v>
      </c>
      <c r="K231" s="121" t="s">
        <v>1</v>
      </c>
      <c r="L231" s="24"/>
      <c r="M231" s="125" t="s">
        <v>1</v>
      </c>
      <c r="N231" s="126" t="s">
        <v>32</v>
      </c>
      <c r="O231" s="127">
        <v>0</v>
      </c>
      <c r="P231" s="127">
        <f t="shared" si="24"/>
        <v>0</v>
      </c>
      <c r="Q231" s="127">
        <v>0</v>
      </c>
      <c r="R231" s="127">
        <f t="shared" si="25"/>
        <v>0</v>
      </c>
      <c r="S231" s="127">
        <v>0</v>
      </c>
      <c r="T231" s="128">
        <f t="shared" si="26"/>
        <v>0</v>
      </c>
      <c r="W231" s="199"/>
      <c r="X231" s="205" t="s">
        <v>445</v>
      </c>
      <c r="Y231" s="119" t="s">
        <v>231</v>
      </c>
      <c r="Z231" s="120" t="s">
        <v>1031</v>
      </c>
      <c r="AA231" s="121" t="s">
        <v>3482</v>
      </c>
      <c r="AB231" s="122" t="s">
        <v>292</v>
      </c>
      <c r="AC231" s="206">
        <f>20+36</f>
        <v>56</v>
      </c>
      <c r="AD231" s="124">
        <v>3.17</v>
      </c>
      <c r="AE231" s="200">
        <f t="shared" si="27"/>
        <v>177.52</v>
      </c>
      <c r="AF231" s="227">
        <v>9</v>
      </c>
      <c r="AG231" s="374"/>
      <c r="AH231" s="130"/>
      <c r="AR231" s="129" t="s">
        <v>235</v>
      </c>
      <c r="AT231" s="129" t="s">
        <v>231</v>
      </c>
      <c r="AU231" s="129" t="s">
        <v>76</v>
      </c>
      <c r="AY231" s="13" t="s">
        <v>228</v>
      </c>
      <c r="BE231" s="130">
        <f t="shared" si="28"/>
        <v>0</v>
      </c>
      <c r="BF231" s="130">
        <f t="shared" si="29"/>
        <v>63.4</v>
      </c>
      <c r="BG231" s="130">
        <f t="shared" si="30"/>
        <v>0</v>
      </c>
      <c r="BH231" s="130">
        <f t="shared" si="31"/>
        <v>0</v>
      </c>
      <c r="BI231" s="130">
        <f t="shared" si="32"/>
        <v>0</v>
      </c>
      <c r="BJ231" s="13" t="s">
        <v>76</v>
      </c>
      <c r="BK231" s="130">
        <f t="shared" si="33"/>
        <v>63.4</v>
      </c>
      <c r="BL231" s="13" t="s">
        <v>235</v>
      </c>
      <c r="BM231" s="129" t="s">
        <v>448</v>
      </c>
    </row>
    <row r="232" spans="2:65" s="1" customFormat="1" ht="16.5" customHeight="1" x14ac:dyDescent="0.2">
      <c r="B232" s="118"/>
      <c r="C232" s="205" t="s">
        <v>340</v>
      </c>
      <c r="D232" s="119" t="s">
        <v>231</v>
      </c>
      <c r="E232" s="120" t="s">
        <v>1033</v>
      </c>
      <c r="F232" s="121" t="s">
        <v>1034</v>
      </c>
      <c r="G232" s="122" t="s">
        <v>1035</v>
      </c>
      <c r="H232" s="206">
        <v>100</v>
      </c>
      <c r="I232" s="124">
        <v>6.79</v>
      </c>
      <c r="J232" s="124">
        <f t="shared" si="23"/>
        <v>679</v>
      </c>
      <c r="K232" s="121" t="s">
        <v>1</v>
      </c>
      <c r="L232" s="24"/>
      <c r="M232" s="125" t="s">
        <v>1</v>
      </c>
      <c r="N232" s="126" t="s">
        <v>32</v>
      </c>
      <c r="O232" s="127">
        <v>0</v>
      </c>
      <c r="P232" s="127">
        <f t="shared" si="24"/>
        <v>0</v>
      </c>
      <c r="Q232" s="127">
        <v>0</v>
      </c>
      <c r="R232" s="127">
        <f t="shared" si="25"/>
        <v>0</v>
      </c>
      <c r="S232" s="127">
        <v>0</v>
      </c>
      <c r="T232" s="128">
        <f t="shared" si="26"/>
        <v>0</v>
      </c>
      <c r="W232" s="199"/>
      <c r="X232" s="205" t="s">
        <v>340</v>
      </c>
      <c r="Y232" s="119" t="s">
        <v>231</v>
      </c>
      <c r="Z232" s="120" t="s">
        <v>1033</v>
      </c>
      <c r="AA232" s="121" t="s">
        <v>1034</v>
      </c>
      <c r="AB232" s="122" t="s">
        <v>1035</v>
      </c>
      <c r="AC232" s="206">
        <f>100+150</f>
        <v>250</v>
      </c>
      <c r="AD232" s="124">
        <v>6.79</v>
      </c>
      <c r="AE232" s="200">
        <f t="shared" si="27"/>
        <v>1697.5</v>
      </c>
      <c r="AF232" s="227">
        <v>9</v>
      </c>
      <c r="AG232" s="374"/>
      <c r="AH232" s="130"/>
      <c r="AR232" s="129" t="s">
        <v>235</v>
      </c>
      <c r="AT232" s="129" t="s">
        <v>231</v>
      </c>
      <c r="AU232" s="129" t="s">
        <v>76</v>
      </c>
      <c r="AY232" s="13" t="s">
        <v>228</v>
      </c>
      <c r="BE232" s="130">
        <f t="shared" si="28"/>
        <v>0</v>
      </c>
      <c r="BF232" s="130">
        <f t="shared" si="29"/>
        <v>679</v>
      </c>
      <c r="BG232" s="130">
        <f t="shared" si="30"/>
        <v>0</v>
      </c>
      <c r="BH232" s="130">
        <f t="shared" si="31"/>
        <v>0</v>
      </c>
      <c r="BI232" s="130">
        <f t="shared" si="32"/>
        <v>0</v>
      </c>
      <c r="BJ232" s="13" t="s">
        <v>76</v>
      </c>
      <c r="BK232" s="130">
        <f t="shared" si="33"/>
        <v>679</v>
      </c>
      <c r="BL232" s="13" t="s">
        <v>235</v>
      </c>
      <c r="BM232" s="129" t="s">
        <v>451</v>
      </c>
    </row>
    <row r="233" spans="2:65" s="1" customFormat="1" ht="16.5" customHeight="1" x14ac:dyDescent="0.2">
      <c r="B233" s="118"/>
      <c r="C233" s="205" t="s">
        <v>452</v>
      </c>
      <c r="D233" s="119" t="s">
        <v>231</v>
      </c>
      <c r="E233" s="120" t="s">
        <v>578</v>
      </c>
      <c r="F233" s="121" t="s">
        <v>579</v>
      </c>
      <c r="G233" s="122" t="s">
        <v>570</v>
      </c>
      <c r="H233" s="206">
        <v>62.789000000000001</v>
      </c>
      <c r="I233" s="124">
        <v>4.93</v>
      </c>
      <c r="J233" s="124">
        <f t="shared" si="23"/>
        <v>309.55</v>
      </c>
      <c r="K233" s="121" t="s">
        <v>1</v>
      </c>
      <c r="L233" s="24"/>
      <c r="M233" s="125" t="s">
        <v>1</v>
      </c>
      <c r="N233" s="126" t="s">
        <v>32</v>
      </c>
      <c r="O233" s="127">
        <v>0</v>
      </c>
      <c r="P233" s="127">
        <f t="shared" si="24"/>
        <v>0</v>
      </c>
      <c r="Q233" s="127">
        <v>0</v>
      </c>
      <c r="R233" s="127">
        <f t="shared" si="25"/>
        <v>0</v>
      </c>
      <c r="S233" s="127">
        <v>0</v>
      </c>
      <c r="T233" s="128">
        <f t="shared" si="26"/>
        <v>0</v>
      </c>
      <c r="W233" s="199"/>
      <c r="X233" s="205" t="s">
        <v>452</v>
      </c>
      <c r="Y233" s="119" t="s">
        <v>231</v>
      </c>
      <c r="Z233" s="120" t="s">
        <v>578</v>
      </c>
      <c r="AA233" s="121" t="s">
        <v>579</v>
      </c>
      <c r="AB233" s="122" t="s">
        <v>570</v>
      </c>
      <c r="AC233" s="206">
        <f>62.789+25.362+31.568</f>
        <v>119.71899999999999</v>
      </c>
      <c r="AD233" s="124">
        <v>4.93</v>
      </c>
      <c r="AE233" s="200">
        <f t="shared" si="27"/>
        <v>590.21</v>
      </c>
      <c r="AF233" s="227" t="s">
        <v>6442</v>
      </c>
      <c r="AG233" s="374"/>
      <c r="AH233" s="130"/>
      <c r="AR233" s="129" t="s">
        <v>235</v>
      </c>
      <c r="AT233" s="129" t="s">
        <v>231</v>
      </c>
      <c r="AU233" s="129" t="s">
        <v>76</v>
      </c>
      <c r="AY233" s="13" t="s">
        <v>228</v>
      </c>
      <c r="BE233" s="130">
        <f t="shared" si="28"/>
        <v>0</v>
      </c>
      <c r="BF233" s="130">
        <f t="shared" si="29"/>
        <v>309.55</v>
      </c>
      <c r="BG233" s="130">
        <f t="shared" si="30"/>
        <v>0</v>
      </c>
      <c r="BH233" s="130">
        <f t="shared" si="31"/>
        <v>0</v>
      </c>
      <c r="BI233" s="130">
        <f t="shared" si="32"/>
        <v>0</v>
      </c>
      <c r="BJ233" s="13" t="s">
        <v>76</v>
      </c>
      <c r="BK233" s="130">
        <f t="shared" si="33"/>
        <v>309.55</v>
      </c>
      <c r="BL233" s="13" t="s">
        <v>235</v>
      </c>
      <c r="BM233" s="129" t="s">
        <v>455</v>
      </c>
    </row>
    <row r="234" spans="2:65" s="11" customFormat="1" ht="22.95" customHeight="1" x14ac:dyDescent="0.25">
      <c r="B234" s="106"/>
      <c r="D234" s="107" t="s">
        <v>57</v>
      </c>
      <c r="E234" s="116" t="s">
        <v>581</v>
      </c>
      <c r="F234" s="116" t="s">
        <v>582</v>
      </c>
      <c r="J234" s="117">
        <f>BK234</f>
        <v>4545.2300000000005</v>
      </c>
      <c r="L234" s="106"/>
      <c r="M234" s="110"/>
      <c r="N234" s="111"/>
      <c r="O234" s="111"/>
      <c r="P234" s="112">
        <f>SUM(P240:P261)</f>
        <v>0</v>
      </c>
      <c r="Q234" s="111"/>
      <c r="R234" s="112">
        <f>SUM(R240:R261)</f>
        <v>0</v>
      </c>
      <c r="S234" s="111"/>
      <c r="T234" s="113">
        <f>SUM(T240:T261)</f>
        <v>0</v>
      </c>
      <c r="W234" s="195"/>
      <c r="X234" s="111"/>
      <c r="Y234" s="196" t="s">
        <v>57</v>
      </c>
      <c r="Z234" s="201" t="s">
        <v>581</v>
      </c>
      <c r="AA234" s="201" t="s">
        <v>582</v>
      </c>
      <c r="AB234" s="111"/>
      <c r="AC234" s="111"/>
      <c r="AD234" s="111"/>
      <c r="AE234" s="202">
        <f>SUM(AE235:AE261)</f>
        <v>5713.3999999999987</v>
      </c>
      <c r="AF234" s="227"/>
      <c r="AG234" s="374"/>
      <c r="AH234" s="130"/>
      <c r="AR234" s="107" t="s">
        <v>63</v>
      </c>
      <c r="AT234" s="114" t="s">
        <v>57</v>
      </c>
      <c r="AU234" s="114" t="s">
        <v>63</v>
      </c>
      <c r="AY234" s="107" t="s">
        <v>228</v>
      </c>
      <c r="BK234" s="115">
        <f>SUM(BK240:BK261)</f>
        <v>4545.2300000000005</v>
      </c>
    </row>
    <row r="235" spans="2:65" s="11" customFormat="1" ht="22.95" customHeight="1" x14ac:dyDescent="0.2">
      <c r="B235" s="106"/>
      <c r="C235" s="1234" t="s">
        <v>5205</v>
      </c>
      <c r="D235" s="1235"/>
      <c r="E235" s="1235"/>
      <c r="F235" s="1235"/>
      <c r="G235" s="1235"/>
      <c r="H235" s="1235"/>
      <c r="I235" s="1235"/>
      <c r="J235" s="1236"/>
      <c r="L235" s="106"/>
      <c r="M235" s="110"/>
      <c r="N235" s="111"/>
      <c r="O235" s="111"/>
      <c r="P235" s="112"/>
      <c r="Q235" s="111"/>
      <c r="R235" s="112"/>
      <c r="S235" s="111"/>
      <c r="T235" s="113"/>
      <c r="W235" s="195"/>
      <c r="X235" s="207" t="s">
        <v>6054</v>
      </c>
      <c r="Y235" s="207" t="s">
        <v>231</v>
      </c>
      <c r="Z235" s="208" t="s">
        <v>1037</v>
      </c>
      <c r="AA235" s="209" t="s">
        <v>1038</v>
      </c>
      <c r="AB235" s="210" t="s">
        <v>243</v>
      </c>
      <c r="AC235" s="211">
        <v>4</v>
      </c>
      <c r="AD235" s="212">
        <v>72.760000000000005</v>
      </c>
      <c r="AE235" s="214">
        <f t="shared" ref="AE235:AE239" si="35">ROUND(AD235*AC235,2)</f>
        <v>291.04000000000002</v>
      </c>
      <c r="AF235" s="227">
        <v>9</v>
      </c>
      <c r="AG235" s="374"/>
      <c r="AH235" s="130"/>
      <c r="AR235" s="107"/>
      <c r="AT235" s="114"/>
      <c r="AU235" s="114"/>
      <c r="AY235" s="107"/>
      <c r="BK235" s="115"/>
    </row>
    <row r="236" spans="2:65" s="11" customFormat="1" ht="22.95" customHeight="1" x14ac:dyDescent="0.2">
      <c r="B236" s="106"/>
      <c r="C236" s="1234" t="s">
        <v>5205</v>
      </c>
      <c r="D236" s="1235"/>
      <c r="E236" s="1235"/>
      <c r="F236" s="1235"/>
      <c r="G236" s="1235"/>
      <c r="H236" s="1235"/>
      <c r="I236" s="1235"/>
      <c r="J236" s="1236"/>
      <c r="L236" s="106"/>
      <c r="M236" s="110"/>
      <c r="N236" s="111"/>
      <c r="O236" s="111"/>
      <c r="P236" s="112"/>
      <c r="Q236" s="111"/>
      <c r="R236" s="112"/>
      <c r="S236" s="111"/>
      <c r="T236" s="113"/>
      <c r="W236" s="195"/>
      <c r="X236" s="207" t="s">
        <v>6055</v>
      </c>
      <c r="Y236" s="207" t="s">
        <v>231</v>
      </c>
      <c r="Z236" s="208" t="s">
        <v>1039</v>
      </c>
      <c r="AA236" s="209" t="s">
        <v>1040</v>
      </c>
      <c r="AB236" s="210" t="s">
        <v>243</v>
      </c>
      <c r="AC236" s="211">
        <v>4</v>
      </c>
      <c r="AD236" s="212">
        <v>17</v>
      </c>
      <c r="AE236" s="214">
        <f t="shared" si="35"/>
        <v>68</v>
      </c>
      <c r="AF236" s="227">
        <v>9</v>
      </c>
      <c r="AG236" s="374"/>
      <c r="AH236" s="130"/>
      <c r="AR236" s="107"/>
      <c r="AT236" s="114"/>
      <c r="AU236" s="114"/>
      <c r="AY236" s="107"/>
      <c r="BK236" s="115"/>
    </row>
    <row r="237" spans="2:65" s="11" customFormat="1" ht="22.95" customHeight="1" x14ac:dyDescent="0.2">
      <c r="B237" s="106"/>
      <c r="C237" s="1234" t="s">
        <v>5205</v>
      </c>
      <c r="D237" s="1235"/>
      <c r="E237" s="1235"/>
      <c r="F237" s="1235"/>
      <c r="G237" s="1235"/>
      <c r="H237" s="1235"/>
      <c r="I237" s="1235"/>
      <c r="J237" s="1236"/>
      <c r="L237" s="106"/>
      <c r="M237" s="110"/>
      <c r="N237" s="111"/>
      <c r="O237" s="111"/>
      <c r="P237" s="112"/>
      <c r="Q237" s="111"/>
      <c r="R237" s="112"/>
      <c r="S237" s="111"/>
      <c r="T237" s="113"/>
      <c r="W237" s="195"/>
      <c r="X237" s="207" t="s">
        <v>6056</v>
      </c>
      <c r="Y237" s="207" t="s">
        <v>231</v>
      </c>
      <c r="Z237" s="208" t="s">
        <v>1041</v>
      </c>
      <c r="AA237" s="209" t="s">
        <v>1042</v>
      </c>
      <c r="AB237" s="210" t="s">
        <v>243</v>
      </c>
      <c r="AC237" s="211">
        <v>4</v>
      </c>
      <c r="AD237" s="212">
        <v>248.45</v>
      </c>
      <c r="AE237" s="214">
        <f t="shared" si="35"/>
        <v>993.8</v>
      </c>
      <c r="AF237" s="227">
        <v>9</v>
      </c>
      <c r="AG237" s="374"/>
      <c r="AH237" s="130"/>
      <c r="AR237" s="107"/>
      <c r="AT237" s="114"/>
      <c r="AU237" s="114"/>
      <c r="AY237" s="107"/>
      <c r="BK237" s="115"/>
    </row>
    <row r="238" spans="2:65" s="11" customFormat="1" ht="22.95" customHeight="1" x14ac:dyDescent="0.2">
      <c r="B238" s="106"/>
      <c r="C238" s="1234" t="s">
        <v>5205</v>
      </c>
      <c r="D238" s="1235"/>
      <c r="E238" s="1235"/>
      <c r="F238" s="1235"/>
      <c r="G238" s="1235"/>
      <c r="H238" s="1235"/>
      <c r="I238" s="1235"/>
      <c r="J238" s="1236"/>
      <c r="L238" s="106"/>
      <c r="M238" s="110"/>
      <c r="N238" s="111"/>
      <c r="O238" s="111"/>
      <c r="P238" s="112"/>
      <c r="Q238" s="111"/>
      <c r="R238" s="112"/>
      <c r="S238" s="111"/>
      <c r="T238" s="113"/>
      <c r="W238" s="195"/>
      <c r="X238" s="207" t="s">
        <v>6057</v>
      </c>
      <c r="Y238" s="207" t="s">
        <v>231</v>
      </c>
      <c r="Z238" s="208" t="s">
        <v>1043</v>
      </c>
      <c r="AA238" s="209" t="s">
        <v>1044</v>
      </c>
      <c r="AB238" s="210" t="s">
        <v>243</v>
      </c>
      <c r="AC238" s="211">
        <v>4</v>
      </c>
      <c r="AD238" s="212">
        <v>49.34</v>
      </c>
      <c r="AE238" s="214">
        <f t="shared" si="35"/>
        <v>197.36</v>
      </c>
      <c r="AF238" s="227">
        <v>9</v>
      </c>
      <c r="AG238" s="374"/>
      <c r="AH238" s="130"/>
      <c r="AR238" s="107"/>
      <c r="AT238" s="114"/>
      <c r="AU238" s="114"/>
      <c r="AY238" s="107"/>
      <c r="BK238" s="115"/>
    </row>
    <row r="239" spans="2:65" s="11" customFormat="1" ht="22.95" customHeight="1" x14ac:dyDescent="0.2">
      <c r="B239" s="106"/>
      <c r="C239" s="1234" t="s">
        <v>5205</v>
      </c>
      <c r="D239" s="1235"/>
      <c r="E239" s="1235"/>
      <c r="F239" s="1235"/>
      <c r="G239" s="1235"/>
      <c r="H239" s="1235"/>
      <c r="I239" s="1235"/>
      <c r="J239" s="1236"/>
      <c r="L239" s="106"/>
      <c r="M239" s="110"/>
      <c r="N239" s="111"/>
      <c r="O239" s="111"/>
      <c r="P239" s="112"/>
      <c r="Q239" s="111"/>
      <c r="R239" s="112"/>
      <c r="S239" s="111"/>
      <c r="T239" s="113"/>
      <c r="W239" s="195"/>
      <c r="X239" s="207" t="s">
        <v>6058</v>
      </c>
      <c r="Y239" s="207" t="s">
        <v>231</v>
      </c>
      <c r="Z239" s="208" t="s">
        <v>1047</v>
      </c>
      <c r="AA239" s="209" t="s">
        <v>1048</v>
      </c>
      <c r="AB239" s="210" t="s">
        <v>243</v>
      </c>
      <c r="AC239" s="211">
        <v>4</v>
      </c>
      <c r="AD239" s="212">
        <v>75.58</v>
      </c>
      <c r="AE239" s="214">
        <f t="shared" si="35"/>
        <v>302.32</v>
      </c>
      <c r="AF239" s="227">
        <v>9</v>
      </c>
      <c r="AG239" s="374"/>
      <c r="AH239" s="130"/>
      <c r="AR239" s="107"/>
      <c r="AT239" s="114"/>
      <c r="AU239" s="114"/>
      <c r="AY239" s="107"/>
      <c r="BK239" s="115"/>
    </row>
    <row r="240" spans="2:65" s="1" customFormat="1" ht="16.5" customHeight="1" x14ac:dyDescent="0.2">
      <c r="B240" s="118"/>
      <c r="C240" s="205" t="s">
        <v>344</v>
      </c>
      <c r="D240" s="119" t="s">
        <v>231</v>
      </c>
      <c r="E240" s="120" t="s">
        <v>3483</v>
      </c>
      <c r="F240" s="121" t="s">
        <v>3484</v>
      </c>
      <c r="G240" s="122" t="s">
        <v>243</v>
      </c>
      <c r="H240" s="206">
        <v>5</v>
      </c>
      <c r="I240" s="124">
        <v>176.53</v>
      </c>
      <c r="J240" s="124">
        <f t="shared" ref="J240:J261" si="36">ROUND(I240*H240,2)</f>
        <v>882.65</v>
      </c>
      <c r="K240" s="121" t="s">
        <v>1</v>
      </c>
      <c r="L240" s="24"/>
      <c r="M240" s="125" t="s">
        <v>1</v>
      </c>
      <c r="N240" s="126" t="s">
        <v>32</v>
      </c>
      <c r="O240" s="127">
        <v>0</v>
      </c>
      <c r="P240" s="127">
        <f t="shared" ref="P240:P261" si="37">O240*H240</f>
        <v>0</v>
      </c>
      <c r="Q240" s="127">
        <v>0</v>
      </c>
      <c r="R240" s="127">
        <f t="shared" ref="R240:R261" si="38">Q240*H240</f>
        <v>0</v>
      </c>
      <c r="S240" s="127">
        <v>0</v>
      </c>
      <c r="T240" s="128">
        <f t="shared" ref="T240:T261" si="39">S240*H240</f>
        <v>0</v>
      </c>
      <c r="W240" s="199"/>
      <c r="X240" s="205" t="s">
        <v>344</v>
      </c>
      <c r="Y240" s="119" t="s">
        <v>231</v>
      </c>
      <c r="Z240" s="120" t="s">
        <v>3483</v>
      </c>
      <c r="AA240" s="121" t="s">
        <v>3484</v>
      </c>
      <c r="AB240" s="122" t="s">
        <v>243</v>
      </c>
      <c r="AC240" s="206">
        <v>0</v>
      </c>
      <c r="AD240" s="124">
        <v>176.53</v>
      </c>
      <c r="AE240" s="200">
        <f t="shared" ref="AE240:AE261" si="40">ROUND(AD240*AC240,2)</f>
        <v>0</v>
      </c>
      <c r="AF240" s="227">
        <v>9</v>
      </c>
      <c r="AG240" s="374"/>
      <c r="AH240" s="130"/>
      <c r="AR240" s="129" t="s">
        <v>235</v>
      </c>
      <c r="AT240" s="129" t="s">
        <v>231</v>
      </c>
      <c r="AU240" s="129" t="s">
        <v>76</v>
      </c>
      <c r="AY240" s="13" t="s">
        <v>228</v>
      </c>
      <c r="BE240" s="130">
        <f t="shared" ref="BE240:BE261" si="41">IF(N240="základná",J240,0)</f>
        <v>0</v>
      </c>
      <c r="BF240" s="130">
        <f t="shared" ref="BF240:BF261" si="42">IF(N240="znížená",J240,0)</f>
        <v>882.65</v>
      </c>
      <c r="BG240" s="130">
        <f t="shared" ref="BG240:BG261" si="43">IF(N240="zákl. prenesená",J240,0)</f>
        <v>0</v>
      </c>
      <c r="BH240" s="130">
        <f t="shared" ref="BH240:BH261" si="44">IF(N240="zníž. prenesená",J240,0)</f>
        <v>0</v>
      </c>
      <c r="BI240" s="130">
        <f t="shared" ref="BI240:BI261" si="45">IF(N240="nulová",J240,0)</f>
        <v>0</v>
      </c>
      <c r="BJ240" s="13" t="s">
        <v>76</v>
      </c>
      <c r="BK240" s="130">
        <f t="shared" ref="BK240:BK261" si="46">ROUND(I240*H240,2)</f>
        <v>882.65</v>
      </c>
      <c r="BL240" s="13" t="s">
        <v>235</v>
      </c>
      <c r="BM240" s="129" t="s">
        <v>458</v>
      </c>
    </row>
    <row r="241" spans="2:65" s="1" customFormat="1" ht="16.5" customHeight="1" x14ac:dyDescent="0.2">
      <c r="B241" s="118"/>
      <c r="C241" s="205" t="s">
        <v>459</v>
      </c>
      <c r="D241" s="119" t="s">
        <v>231</v>
      </c>
      <c r="E241" s="120" t="s">
        <v>3485</v>
      </c>
      <c r="F241" s="121" t="s">
        <v>3486</v>
      </c>
      <c r="G241" s="122" t="s">
        <v>243</v>
      </c>
      <c r="H241" s="206">
        <v>5</v>
      </c>
      <c r="I241" s="124">
        <v>14.51</v>
      </c>
      <c r="J241" s="124">
        <f t="shared" si="36"/>
        <v>72.55</v>
      </c>
      <c r="K241" s="121" t="s">
        <v>1</v>
      </c>
      <c r="L241" s="24"/>
      <c r="M241" s="125" t="s">
        <v>1</v>
      </c>
      <c r="N241" s="126" t="s">
        <v>32</v>
      </c>
      <c r="O241" s="127">
        <v>0</v>
      </c>
      <c r="P241" s="127">
        <f t="shared" si="37"/>
        <v>0</v>
      </c>
      <c r="Q241" s="127">
        <v>0</v>
      </c>
      <c r="R241" s="127">
        <f t="shared" si="38"/>
        <v>0</v>
      </c>
      <c r="S241" s="127">
        <v>0</v>
      </c>
      <c r="T241" s="128">
        <f t="shared" si="39"/>
        <v>0</v>
      </c>
      <c r="W241" s="199"/>
      <c r="X241" s="205" t="s">
        <v>459</v>
      </c>
      <c r="Y241" s="119" t="s">
        <v>231</v>
      </c>
      <c r="Z241" s="120" t="s">
        <v>3485</v>
      </c>
      <c r="AA241" s="121" t="s">
        <v>3486</v>
      </c>
      <c r="AB241" s="122" t="s">
        <v>243</v>
      </c>
      <c r="AC241" s="206">
        <v>0</v>
      </c>
      <c r="AD241" s="124">
        <v>14.51</v>
      </c>
      <c r="AE241" s="200">
        <f t="shared" si="40"/>
        <v>0</v>
      </c>
      <c r="AF241" s="227">
        <v>9</v>
      </c>
      <c r="AG241" s="374"/>
      <c r="AH241" s="130"/>
      <c r="AR241" s="129" t="s">
        <v>235</v>
      </c>
      <c r="AT241" s="129" t="s">
        <v>231</v>
      </c>
      <c r="AU241" s="129" t="s">
        <v>76</v>
      </c>
      <c r="AY241" s="13" t="s">
        <v>228</v>
      </c>
      <c r="BE241" s="130">
        <f t="shared" si="41"/>
        <v>0</v>
      </c>
      <c r="BF241" s="130">
        <f t="shared" si="42"/>
        <v>72.55</v>
      </c>
      <c r="BG241" s="130">
        <f t="shared" si="43"/>
        <v>0</v>
      </c>
      <c r="BH241" s="130">
        <f t="shared" si="44"/>
        <v>0</v>
      </c>
      <c r="BI241" s="130">
        <f t="shared" si="45"/>
        <v>0</v>
      </c>
      <c r="BJ241" s="13" t="s">
        <v>76</v>
      </c>
      <c r="BK241" s="130">
        <f t="shared" si="46"/>
        <v>72.55</v>
      </c>
      <c r="BL241" s="13" t="s">
        <v>235</v>
      </c>
      <c r="BM241" s="129" t="s">
        <v>462</v>
      </c>
    </row>
    <row r="242" spans="2:65" s="1" customFormat="1" ht="25.95" customHeight="1" x14ac:dyDescent="0.2">
      <c r="B242" s="118"/>
      <c r="C242" s="205" t="s">
        <v>347</v>
      </c>
      <c r="D242" s="119" t="s">
        <v>231</v>
      </c>
      <c r="E242" s="120" t="s">
        <v>3487</v>
      </c>
      <c r="F242" s="121" t="s">
        <v>3488</v>
      </c>
      <c r="G242" s="122" t="s">
        <v>243</v>
      </c>
      <c r="H242" s="206">
        <v>14</v>
      </c>
      <c r="I242" s="124">
        <v>97.2</v>
      </c>
      <c r="J242" s="124">
        <f t="shared" si="36"/>
        <v>1360.8</v>
      </c>
      <c r="K242" s="121" t="s">
        <v>1</v>
      </c>
      <c r="L242" s="24"/>
      <c r="M242" s="125" t="s">
        <v>1</v>
      </c>
      <c r="N242" s="126" t="s">
        <v>32</v>
      </c>
      <c r="O242" s="127">
        <v>0</v>
      </c>
      <c r="P242" s="127">
        <f t="shared" si="37"/>
        <v>0</v>
      </c>
      <c r="Q242" s="127">
        <v>0</v>
      </c>
      <c r="R242" s="127">
        <f t="shared" si="38"/>
        <v>0</v>
      </c>
      <c r="S242" s="127">
        <v>0</v>
      </c>
      <c r="T242" s="128">
        <f t="shared" si="39"/>
        <v>0</v>
      </c>
      <c r="W242" s="199"/>
      <c r="X242" s="205" t="s">
        <v>347</v>
      </c>
      <c r="Y242" s="119" t="s">
        <v>231</v>
      </c>
      <c r="Z242" s="120" t="s">
        <v>3487</v>
      </c>
      <c r="AA242" s="121" t="s">
        <v>3488</v>
      </c>
      <c r="AB242" s="122" t="s">
        <v>243</v>
      </c>
      <c r="AC242" s="206">
        <v>0</v>
      </c>
      <c r="AD242" s="124">
        <v>97.2</v>
      </c>
      <c r="AE242" s="200">
        <f t="shared" si="40"/>
        <v>0</v>
      </c>
      <c r="AF242" s="227">
        <v>9</v>
      </c>
      <c r="AG242" s="374"/>
      <c r="AH242" s="130"/>
      <c r="AR242" s="129" t="s">
        <v>235</v>
      </c>
      <c r="AT242" s="129" t="s">
        <v>231</v>
      </c>
      <c r="AU242" s="129" t="s">
        <v>76</v>
      </c>
      <c r="AY242" s="13" t="s">
        <v>228</v>
      </c>
      <c r="BE242" s="130">
        <f t="shared" si="41"/>
        <v>0</v>
      </c>
      <c r="BF242" s="130">
        <f t="shared" si="42"/>
        <v>1360.8</v>
      </c>
      <c r="BG242" s="130">
        <f t="shared" si="43"/>
        <v>0</v>
      </c>
      <c r="BH242" s="130">
        <f t="shared" si="44"/>
        <v>0</v>
      </c>
      <c r="BI242" s="130">
        <f t="shared" si="45"/>
        <v>0</v>
      </c>
      <c r="BJ242" s="13" t="s">
        <v>76</v>
      </c>
      <c r="BK242" s="130">
        <f t="shared" si="46"/>
        <v>1360.8</v>
      </c>
      <c r="BL242" s="13" t="s">
        <v>235</v>
      </c>
      <c r="BM242" s="129" t="s">
        <v>465</v>
      </c>
    </row>
    <row r="243" spans="2:65" s="1" customFormat="1" ht="24" customHeight="1" x14ac:dyDescent="0.2">
      <c r="B243" s="118"/>
      <c r="C243" s="205" t="s">
        <v>466</v>
      </c>
      <c r="D243" s="119" t="s">
        <v>231</v>
      </c>
      <c r="E243" s="120" t="s">
        <v>3489</v>
      </c>
      <c r="F243" s="121" t="s">
        <v>3490</v>
      </c>
      <c r="G243" s="122" t="s">
        <v>243</v>
      </c>
      <c r="H243" s="206">
        <v>4</v>
      </c>
      <c r="I243" s="124">
        <v>150.93</v>
      </c>
      <c r="J243" s="124">
        <f t="shared" si="36"/>
        <v>603.72</v>
      </c>
      <c r="K243" s="121" t="s">
        <v>1</v>
      </c>
      <c r="L243" s="24"/>
      <c r="M243" s="125" t="s">
        <v>1</v>
      </c>
      <c r="N243" s="126" t="s">
        <v>32</v>
      </c>
      <c r="O243" s="127">
        <v>0</v>
      </c>
      <c r="P243" s="127">
        <f t="shared" si="37"/>
        <v>0</v>
      </c>
      <c r="Q243" s="127">
        <v>0</v>
      </c>
      <c r="R243" s="127">
        <f t="shared" si="38"/>
        <v>0</v>
      </c>
      <c r="S243" s="127">
        <v>0</v>
      </c>
      <c r="T243" s="128">
        <f t="shared" si="39"/>
        <v>0</v>
      </c>
      <c r="W243" s="199"/>
      <c r="X243" s="205" t="s">
        <v>466</v>
      </c>
      <c r="Y243" s="119" t="s">
        <v>231</v>
      </c>
      <c r="Z243" s="120" t="s">
        <v>3489</v>
      </c>
      <c r="AA243" s="121" t="s">
        <v>3490</v>
      </c>
      <c r="AB243" s="122" t="s">
        <v>243</v>
      </c>
      <c r="AC243" s="206">
        <v>0</v>
      </c>
      <c r="AD243" s="124">
        <v>150.93</v>
      </c>
      <c r="AE243" s="200">
        <f t="shared" si="40"/>
        <v>0</v>
      </c>
      <c r="AF243" s="227">
        <v>9</v>
      </c>
      <c r="AG243" s="374"/>
      <c r="AH243" s="130"/>
      <c r="AR243" s="129" t="s">
        <v>235</v>
      </c>
      <c r="AT243" s="129" t="s">
        <v>231</v>
      </c>
      <c r="AU243" s="129" t="s">
        <v>76</v>
      </c>
      <c r="AY243" s="13" t="s">
        <v>228</v>
      </c>
      <c r="BE243" s="130">
        <f t="shared" si="41"/>
        <v>0</v>
      </c>
      <c r="BF243" s="130">
        <f t="shared" si="42"/>
        <v>603.72</v>
      </c>
      <c r="BG243" s="130">
        <f t="shared" si="43"/>
        <v>0</v>
      </c>
      <c r="BH243" s="130">
        <f t="shared" si="44"/>
        <v>0</v>
      </c>
      <c r="BI243" s="130">
        <f t="shared" si="45"/>
        <v>0</v>
      </c>
      <c r="BJ243" s="13" t="s">
        <v>76</v>
      </c>
      <c r="BK243" s="130">
        <f t="shared" si="46"/>
        <v>603.72</v>
      </c>
      <c r="BL243" s="13" t="s">
        <v>235</v>
      </c>
      <c r="BM243" s="129" t="s">
        <v>469</v>
      </c>
    </row>
    <row r="244" spans="2:65" s="1" customFormat="1" ht="24" customHeight="1" x14ac:dyDescent="0.2">
      <c r="B244" s="118"/>
      <c r="C244" s="205" t="s">
        <v>351</v>
      </c>
      <c r="D244" s="119" t="s">
        <v>231</v>
      </c>
      <c r="E244" s="120" t="s">
        <v>1073</v>
      </c>
      <c r="F244" s="121" t="s">
        <v>3491</v>
      </c>
      <c r="G244" s="122" t="s">
        <v>243</v>
      </c>
      <c r="H244" s="206">
        <v>4</v>
      </c>
      <c r="I244" s="124">
        <v>69.08</v>
      </c>
      <c r="J244" s="124">
        <f t="shared" si="36"/>
        <v>276.32</v>
      </c>
      <c r="K244" s="121" t="s">
        <v>1</v>
      </c>
      <c r="L244" s="24"/>
      <c r="M244" s="125" t="s">
        <v>1</v>
      </c>
      <c r="N244" s="126" t="s">
        <v>32</v>
      </c>
      <c r="O244" s="127">
        <v>0</v>
      </c>
      <c r="P244" s="127">
        <f t="shared" si="37"/>
        <v>0</v>
      </c>
      <c r="Q244" s="127">
        <v>0</v>
      </c>
      <c r="R244" s="127">
        <f t="shared" si="38"/>
        <v>0</v>
      </c>
      <c r="S244" s="127">
        <v>0</v>
      </c>
      <c r="T244" s="128">
        <f t="shared" si="39"/>
        <v>0</v>
      </c>
      <c r="W244" s="199"/>
      <c r="X244" s="205" t="s">
        <v>351</v>
      </c>
      <c r="Y244" s="119" t="s">
        <v>231</v>
      </c>
      <c r="Z244" s="120" t="s">
        <v>1073</v>
      </c>
      <c r="AA244" s="121" t="s">
        <v>3491</v>
      </c>
      <c r="AB244" s="122" t="s">
        <v>243</v>
      </c>
      <c r="AC244" s="206">
        <v>0</v>
      </c>
      <c r="AD244" s="124">
        <v>69.08</v>
      </c>
      <c r="AE244" s="200">
        <f t="shared" si="40"/>
        <v>0</v>
      </c>
      <c r="AF244" s="227">
        <v>9</v>
      </c>
      <c r="AG244" s="374"/>
      <c r="AH244" s="130"/>
      <c r="AR244" s="129" t="s">
        <v>235</v>
      </c>
      <c r="AT244" s="129" t="s">
        <v>231</v>
      </c>
      <c r="AU244" s="129" t="s">
        <v>76</v>
      </c>
      <c r="AY244" s="13" t="s">
        <v>228</v>
      </c>
      <c r="BE244" s="130">
        <f t="shared" si="41"/>
        <v>0</v>
      </c>
      <c r="BF244" s="130">
        <f t="shared" si="42"/>
        <v>276.32</v>
      </c>
      <c r="BG244" s="130">
        <f t="shared" si="43"/>
        <v>0</v>
      </c>
      <c r="BH244" s="130">
        <f t="shared" si="44"/>
        <v>0</v>
      </c>
      <c r="BI244" s="130">
        <f t="shared" si="45"/>
        <v>0</v>
      </c>
      <c r="BJ244" s="13" t="s">
        <v>76</v>
      </c>
      <c r="BK244" s="130">
        <f t="shared" si="46"/>
        <v>276.32</v>
      </c>
      <c r="BL244" s="13" t="s">
        <v>235</v>
      </c>
      <c r="BM244" s="129" t="s">
        <v>472</v>
      </c>
    </row>
    <row r="245" spans="2:65" s="1" customFormat="1" ht="24" customHeight="1" x14ac:dyDescent="0.2">
      <c r="B245" s="118"/>
      <c r="C245" s="205" t="s">
        <v>473</v>
      </c>
      <c r="D245" s="119" t="s">
        <v>231</v>
      </c>
      <c r="E245" s="120" t="s">
        <v>3492</v>
      </c>
      <c r="F245" s="121" t="s">
        <v>3493</v>
      </c>
      <c r="G245" s="122" t="s">
        <v>243</v>
      </c>
      <c r="H245" s="206">
        <v>14</v>
      </c>
      <c r="I245" s="124">
        <v>66.180000000000007</v>
      </c>
      <c r="J245" s="124">
        <f t="shared" si="36"/>
        <v>926.52</v>
      </c>
      <c r="K245" s="121" t="s">
        <v>1</v>
      </c>
      <c r="L245" s="24"/>
      <c r="M245" s="125" t="s">
        <v>1</v>
      </c>
      <c r="N245" s="126" t="s">
        <v>32</v>
      </c>
      <c r="O245" s="127">
        <v>0</v>
      </c>
      <c r="P245" s="127">
        <f t="shared" si="37"/>
        <v>0</v>
      </c>
      <c r="Q245" s="127">
        <v>0</v>
      </c>
      <c r="R245" s="127">
        <f t="shared" si="38"/>
        <v>0</v>
      </c>
      <c r="S245" s="127">
        <v>0</v>
      </c>
      <c r="T245" s="128">
        <f t="shared" si="39"/>
        <v>0</v>
      </c>
      <c r="W245" s="199"/>
      <c r="X245" s="205" t="s">
        <v>473</v>
      </c>
      <c r="Y245" s="119" t="s">
        <v>231</v>
      </c>
      <c r="Z245" s="120" t="s">
        <v>3492</v>
      </c>
      <c r="AA245" s="121" t="s">
        <v>3493</v>
      </c>
      <c r="AB245" s="122" t="s">
        <v>243</v>
      </c>
      <c r="AC245" s="206">
        <v>0</v>
      </c>
      <c r="AD245" s="124">
        <v>66.180000000000007</v>
      </c>
      <c r="AE245" s="200">
        <f t="shared" si="40"/>
        <v>0</v>
      </c>
      <c r="AF245" s="227">
        <v>9</v>
      </c>
      <c r="AG245" s="374"/>
      <c r="AH245" s="130"/>
      <c r="AR245" s="129" t="s">
        <v>235</v>
      </c>
      <c r="AT245" s="129" t="s">
        <v>231</v>
      </c>
      <c r="AU245" s="129" t="s">
        <v>76</v>
      </c>
      <c r="AY245" s="13" t="s">
        <v>228</v>
      </c>
      <c r="BE245" s="130">
        <f t="shared" si="41"/>
        <v>0</v>
      </c>
      <c r="BF245" s="130">
        <f t="shared" si="42"/>
        <v>926.52</v>
      </c>
      <c r="BG245" s="130">
        <f t="shared" si="43"/>
        <v>0</v>
      </c>
      <c r="BH245" s="130">
        <f t="shared" si="44"/>
        <v>0</v>
      </c>
      <c r="BI245" s="130">
        <f t="shared" si="45"/>
        <v>0</v>
      </c>
      <c r="BJ245" s="13" t="s">
        <v>76</v>
      </c>
      <c r="BK245" s="130">
        <f t="shared" si="46"/>
        <v>926.52</v>
      </c>
      <c r="BL245" s="13" t="s">
        <v>235</v>
      </c>
      <c r="BM245" s="129" t="s">
        <v>476</v>
      </c>
    </row>
    <row r="246" spans="2:65" s="1" customFormat="1" ht="16.5" customHeight="1" x14ac:dyDescent="0.2">
      <c r="B246" s="118"/>
      <c r="C246" s="205" t="s">
        <v>354</v>
      </c>
      <c r="D246" s="119" t="s">
        <v>231</v>
      </c>
      <c r="E246" s="120" t="s">
        <v>1081</v>
      </c>
      <c r="F246" s="121" t="s">
        <v>3494</v>
      </c>
      <c r="G246" s="122" t="s">
        <v>243</v>
      </c>
      <c r="H246" s="206">
        <v>2</v>
      </c>
      <c r="I246" s="124">
        <v>98.6</v>
      </c>
      <c r="J246" s="124">
        <f t="shared" si="36"/>
        <v>197.2</v>
      </c>
      <c r="K246" s="121" t="s">
        <v>1</v>
      </c>
      <c r="L246" s="24"/>
      <c r="M246" s="125" t="s">
        <v>1</v>
      </c>
      <c r="N246" s="126" t="s">
        <v>32</v>
      </c>
      <c r="O246" s="127">
        <v>0</v>
      </c>
      <c r="P246" s="127">
        <f t="shared" si="37"/>
        <v>0</v>
      </c>
      <c r="Q246" s="127">
        <v>0</v>
      </c>
      <c r="R246" s="127">
        <f t="shared" si="38"/>
        <v>0</v>
      </c>
      <c r="S246" s="127">
        <v>0</v>
      </c>
      <c r="T246" s="128">
        <f t="shared" si="39"/>
        <v>0</v>
      </c>
      <c r="W246" s="199"/>
      <c r="X246" s="205" t="s">
        <v>354</v>
      </c>
      <c r="Y246" s="119" t="s">
        <v>231</v>
      </c>
      <c r="Z246" s="120" t="s">
        <v>1081</v>
      </c>
      <c r="AA246" s="121" t="s">
        <v>3494</v>
      </c>
      <c r="AB246" s="122" t="s">
        <v>243</v>
      </c>
      <c r="AC246" s="206">
        <v>0</v>
      </c>
      <c r="AD246" s="124">
        <v>98.6</v>
      </c>
      <c r="AE246" s="200">
        <f t="shared" si="40"/>
        <v>0</v>
      </c>
      <c r="AF246" s="227">
        <v>9</v>
      </c>
      <c r="AG246" s="374"/>
      <c r="AH246" s="130"/>
      <c r="AR246" s="129" t="s">
        <v>235</v>
      </c>
      <c r="AT246" s="129" t="s">
        <v>231</v>
      </c>
      <c r="AU246" s="129" t="s">
        <v>76</v>
      </c>
      <c r="AY246" s="13" t="s">
        <v>228</v>
      </c>
      <c r="BE246" s="130">
        <f t="shared" si="41"/>
        <v>0</v>
      </c>
      <c r="BF246" s="130">
        <f t="shared" si="42"/>
        <v>197.2</v>
      </c>
      <c r="BG246" s="130">
        <f t="shared" si="43"/>
        <v>0</v>
      </c>
      <c r="BH246" s="130">
        <f t="shared" si="44"/>
        <v>0</v>
      </c>
      <c r="BI246" s="130">
        <f t="shared" si="45"/>
        <v>0</v>
      </c>
      <c r="BJ246" s="13" t="s">
        <v>76</v>
      </c>
      <c r="BK246" s="130">
        <f t="shared" si="46"/>
        <v>197.2</v>
      </c>
      <c r="BL246" s="13" t="s">
        <v>235</v>
      </c>
      <c r="BM246" s="129" t="s">
        <v>479</v>
      </c>
    </row>
    <row r="247" spans="2:65" s="403" customFormat="1" ht="17.55" customHeight="1" x14ac:dyDescent="0.2">
      <c r="B247" s="118"/>
      <c r="C247" s="1234" t="s">
        <v>5205</v>
      </c>
      <c r="D247" s="1235"/>
      <c r="E247" s="1235"/>
      <c r="F247" s="1235"/>
      <c r="G247" s="1235"/>
      <c r="H247" s="1235"/>
      <c r="I247" s="1235"/>
      <c r="J247" s="1236"/>
      <c r="K247" s="121"/>
      <c r="L247" s="24"/>
      <c r="M247" s="125"/>
      <c r="N247" s="126"/>
      <c r="O247" s="127"/>
      <c r="P247" s="127"/>
      <c r="Q247" s="127"/>
      <c r="R247" s="127"/>
      <c r="S247" s="127"/>
      <c r="T247" s="128"/>
      <c r="W247" s="199"/>
      <c r="X247" s="207" t="s">
        <v>5420</v>
      </c>
      <c r="Y247" s="207" t="s">
        <v>231</v>
      </c>
      <c r="Z247" s="208" t="s">
        <v>1059</v>
      </c>
      <c r="AA247" s="209" t="s">
        <v>1060</v>
      </c>
      <c r="AB247" s="210" t="s">
        <v>243</v>
      </c>
      <c r="AC247" s="211">
        <v>11</v>
      </c>
      <c r="AD247" s="212">
        <v>63.36</v>
      </c>
      <c r="AE247" s="214">
        <f t="shared" si="40"/>
        <v>696.96</v>
      </c>
      <c r="AF247" s="227">
        <v>9</v>
      </c>
      <c r="AG247" s="374"/>
      <c r="AH247" s="130"/>
      <c r="AR247" s="129"/>
      <c r="AT247" s="129"/>
      <c r="AU247" s="129"/>
      <c r="AY247" s="13"/>
      <c r="BE247" s="130"/>
      <c r="BF247" s="130"/>
      <c r="BG247" s="130"/>
      <c r="BH247" s="130"/>
      <c r="BI247" s="130"/>
      <c r="BJ247" s="13"/>
      <c r="BK247" s="130"/>
      <c r="BL247" s="13"/>
      <c r="BM247" s="129"/>
    </row>
    <row r="248" spans="2:65" s="403" customFormat="1" ht="17.55" customHeight="1" x14ac:dyDescent="0.2">
      <c r="B248" s="118"/>
      <c r="C248" s="1234" t="s">
        <v>5205</v>
      </c>
      <c r="D248" s="1235"/>
      <c r="E248" s="1235"/>
      <c r="F248" s="1235"/>
      <c r="G248" s="1235"/>
      <c r="H248" s="1235"/>
      <c r="I248" s="1235"/>
      <c r="J248" s="1236"/>
      <c r="K248" s="121"/>
      <c r="L248" s="24"/>
      <c r="M248" s="125"/>
      <c r="N248" s="126"/>
      <c r="O248" s="127"/>
      <c r="P248" s="127"/>
      <c r="Q248" s="127"/>
      <c r="R248" s="127"/>
      <c r="S248" s="127"/>
      <c r="T248" s="128"/>
      <c r="W248" s="199"/>
      <c r="X248" s="207" t="s">
        <v>6059</v>
      </c>
      <c r="Y248" s="207" t="s">
        <v>231</v>
      </c>
      <c r="Z248" s="208" t="s">
        <v>4440</v>
      </c>
      <c r="AA248" s="209" t="s">
        <v>4441</v>
      </c>
      <c r="AB248" s="210" t="s">
        <v>243</v>
      </c>
      <c r="AC248" s="211">
        <v>11</v>
      </c>
      <c r="AD248" s="212">
        <v>33.840000000000003</v>
      </c>
      <c r="AE248" s="214">
        <f t="shared" si="40"/>
        <v>372.24</v>
      </c>
      <c r="AF248" s="227">
        <v>9</v>
      </c>
      <c r="AG248" s="374"/>
      <c r="AH248" s="130"/>
      <c r="AR248" s="129"/>
      <c r="AT248" s="129"/>
      <c r="AU248" s="129"/>
      <c r="AY248" s="13"/>
      <c r="BE248" s="130"/>
      <c r="BF248" s="130"/>
      <c r="BG248" s="130"/>
      <c r="BH248" s="130"/>
      <c r="BI248" s="130"/>
      <c r="BJ248" s="13"/>
      <c r="BK248" s="130"/>
      <c r="BL248" s="13"/>
      <c r="BM248" s="129"/>
    </row>
    <row r="249" spans="2:65" s="403" customFormat="1" ht="17.55" customHeight="1" x14ac:dyDescent="0.2">
      <c r="B249" s="118"/>
      <c r="C249" s="1234" t="s">
        <v>5205</v>
      </c>
      <c r="D249" s="1235"/>
      <c r="E249" s="1235"/>
      <c r="F249" s="1235"/>
      <c r="G249" s="1235"/>
      <c r="H249" s="1235"/>
      <c r="I249" s="1235"/>
      <c r="J249" s="1236"/>
      <c r="K249" s="121"/>
      <c r="L249" s="24"/>
      <c r="M249" s="125"/>
      <c r="N249" s="126"/>
      <c r="O249" s="127"/>
      <c r="P249" s="127"/>
      <c r="Q249" s="127"/>
      <c r="R249" s="127"/>
      <c r="S249" s="127"/>
      <c r="T249" s="128"/>
      <c r="W249" s="199"/>
      <c r="X249" s="207" t="s">
        <v>6060</v>
      </c>
      <c r="Y249" s="207" t="s">
        <v>231</v>
      </c>
      <c r="Z249" s="208" t="s">
        <v>1063</v>
      </c>
      <c r="AA249" s="209" t="s">
        <v>1064</v>
      </c>
      <c r="AB249" s="210" t="s">
        <v>243</v>
      </c>
      <c r="AC249" s="211">
        <v>1</v>
      </c>
      <c r="AD249" s="212">
        <v>394.74</v>
      </c>
      <c r="AE249" s="214">
        <f t="shared" si="40"/>
        <v>394.74</v>
      </c>
      <c r="AF249" s="227">
        <v>9</v>
      </c>
      <c r="AG249" s="374"/>
      <c r="AH249" s="130"/>
      <c r="AR249" s="129"/>
      <c r="AT249" s="129"/>
      <c r="AU249" s="129"/>
      <c r="AY249" s="13"/>
      <c r="BE249" s="130"/>
      <c r="BF249" s="130"/>
      <c r="BG249" s="130"/>
      <c r="BH249" s="130"/>
      <c r="BI249" s="130"/>
      <c r="BJ249" s="13"/>
      <c r="BK249" s="130"/>
      <c r="BL249" s="13"/>
      <c r="BM249" s="129"/>
    </row>
    <row r="250" spans="2:65" s="403" customFormat="1" ht="17.55" customHeight="1" x14ac:dyDescent="0.2">
      <c r="B250" s="118"/>
      <c r="C250" s="1234" t="s">
        <v>5205</v>
      </c>
      <c r="D250" s="1235"/>
      <c r="E250" s="1235"/>
      <c r="F250" s="1235"/>
      <c r="G250" s="1235"/>
      <c r="H250" s="1235"/>
      <c r="I250" s="1235"/>
      <c r="J250" s="1236"/>
      <c r="K250" s="121"/>
      <c r="L250" s="24"/>
      <c r="M250" s="125"/>
      <c r="N250" s="126"/>
      <c r="O250" s="127"/>
      <c r="P250" s="127"/>
      <c r="Q250" s="127"/>
      <c r="R250" s="127"/>
      <c r="S250" s="127"/>
      <c r="T250" s="128"/>
      <c r="W250" s="199"/>
      <c r="X250" s="207" t="s">
        <v>6061</v>
      </c>
      <c r="Y250" s="207" t="s">
        <v>231</v>
      </c>
      <c r="Z250" s="208" t="s">
        <v>1065</v>
      </c>
      <c r="AA250" s="209" t="s">
        <v>1066</v>
      </c>
      <c r="AB250" s="210" t="s">
        <v>243</v>
      </c>
      <c r="AC250" s="211">
        <v>1</v>
      </c>
      <c r="AD250" s="212">
        <v>336.69</v>
      </c>
      <c r="AE250" s="214">
        <f t="shared" si="40"/>
        <v>336.69</v>
      </c>
      <c r="AF250" s="227">
        <v>9</v>
      </c>
      <c r="AG250" s="374"/>
      <c r="AH250" s="130"/>
      <c r="AR250" s="129"/>
      <c r="AT250" s="129"/>
      <c r="AU250" s="129"/>
      <c r="AY250" s="13"/>
      <c r="BE250" s="130"/>
      <c r="BF250" s="130"/>
      <c r="BG250" s="130"/>
      <c r="BH250" s="130"/>
      <c r="BI250" s="130"/>
      <c r="BJ250" s="13"/>
      <c r="BK250" s="130"/>
      <c r="BL250" s="13"/>
      <c r="BM250" s="129"/>
    </row>
    <row r="251" spans="2:65" s="403" customFormat="1" ht="17.55" customHeight="1" x14ac:dyDescent="0.2">
      <c r="B251" s="118"/>
      <c r="C251" s="1234" t="s">
        <v>5205</v>
      </c>
      <c r="D251" s="1235"/>
      <c r="E251" s="1235"/>
      <c r="F251" s="1235"/>
      <c r="G251" s="1235"/>
      <c r="H251" s="1235"/>
      <c r="I251" s="1235"/>
      <c r="J251" s="1236"/>
      <c r="K251" s="121"/>
      <c r="L251" s="24"/>
      <c r="M251" s="125"/>
      <c r="N251" s="126"/>
      <c r="O251" s="127"/>
      <c r="P251" s="127"/>
      <c r="Q251" s="127"/>
      <c r="R251" s="127"/>
      <c r="S251" s="127"/>
      <c r="T251" s="128"/>
      <c r="W251" s="199"/>
      <c r="X251" s="207" t="s">
        <v>6062</v>
      </c>
      <c r="Y251" s="207" t="s">
        <v>231</v>
      </c>
      <c r="Z251" s="208" t="s">
        <v>1067</v>
      </c>
      <c r="AA251" s="209" t="s">
        <v>1068</v>
      </c>
      <c r="AB251" s="210" t="s">
        <v>243</v>
      </c>
      <c r="AC251" s="211">
        <v>1</v>
      </c>
      <c r="AD251" s="212">
        <v>75.58</v>
      </c>
      <c r="AE251" s="214">
        <f t="shared" si="40"/>
        <v>75.58</v>
      </c>
      <c r="AF251" s="227">
        <v>9</v>
      </c>
      <c r="AG251" s="374"/>
      <c r="AH251" s="130"/>
      <c r="AR251" s="129"/>
      <c r="AT251" s="129"/>
      <c r="AU251" s="129"/>
      <c r="AY251" s="13"/>
      <c r="BE251" s="130"/>
      <c r="BF251" s="130"/>
      <c r="BG251" s="130"/>
      <c r="BH251" s="130"/>
      <c r="BI251" s="130"/>
      <c r="BJ251" s="13"/>
      <c r="BK251" s="130"/>
      <c r="BL251" s="13"/>
      <c r="BM251" s="129"/>
    </row>
    <row r="252" spans="2:65" s="403" customFormat="1" ht="17.55" customHeight="1" x14ac:dyDescent="0.2">
      <c r="B252" s="118"/>
      <c r="C252" s="1234" t="s">
        <v>5205</v>
      </c>
      <c r="D252" s="1235"/>
      <c r="E252" s="1235"/>
      <c r="F252" s="1235"/>
      <c r="G252" s="1235"/>
      <c r="H252" s="1235"/>
      <c r="I252" s="1235"/>
      <c r="J252" s="1236"/>
      <c r="K252" s="121"/>
      <c r="L252" s="24"/>
      <c r="M252" s="125"/>
      <c r="N252" s="126"/>
      <c r="O252" s="127"/>
      <c r="P252" s="127"/>
      <c r="Q252" s="127"/>
      <c r="R252" s="127"/>
      <c r="S252" s="127"/>
      <c r="T252" s="128"/>
      <c r="W252" s="199"/>
      <c r="X252" s="207" t="s">
        <v>6063</v>
      </c>
      <c r="Y252" s="207" t="s">
        <v>231</v>
      </c>
      <c r="Z252" s="208" t="s">
        <v>1071</v>
      </c>
      <c r="AA252" s="209" t="s">
        <v>1072</v>
      </c>
      <c r="AB252" s="210" t="s">
        <v>243</v>
      </c>
      <c r="AC252" s="211">
        <v>11</v>
      </c>
      <c r="AD252" s="212">
        <v>41.8</v>
      </c>
      <c r="AE252" s="214">
        <f t="shared" si="40"/>
        <v>459.8</v>
      </c>
      <c r="AF252" s="227">
        <v>9</v>
      </c>
      <c r="AG252" s="374"/>
      <c r="AH252" s="130"/>
      <c r="AR252" s="129"/>
      <c r="AT252" s="129"/>
      <c r="AU252" s="129"/>
      <c r="AY252" s="13"/>
      <c r="BE252" s="130"/>
      <c r="BF252" s="130"/>
      <c r="BG252" s="130"/>
      <c r="BH252" s="130"/>
      <c r="BI252" s="130"/>
      <c r="BJ252" s="13"/>
      <c r="BK252" s="130"/>
      <c r="BL252" s="13"/>
      <c r="BM252" s="129"/>
    </row>
    <row r="253" spans="2:65" s="403" customFormat="1" ht="29.55" customHeight="1" x14ac:dyDescent="0.2">
      <c r="B253" s="118"/>
      <c r="C253" s="1234" t="s">
        <v>5205</v>
      </c>
      <c r="D253" s="1235"/>
      <c r="E253" s="1235"/>
      <c r="F253" s="1235"/>
      <c r="G253" s="1235"/>
      <c r="H253" s="1235"/>
      <c r="I253" s="1235"/>
      <c r="J253" s="1236"/>
      <c r="K253" s="121"/>
      <c r="L253" s="24"/>
      <c r="M253" s="125"/>
      <c r="N253" s="126"/>
      <c r="O253" s="127"/>
      <c r="P253" s="127"/>
      <c r="Q253" s="127"/>
      <c r="R253" s="127"/>
      <c r="S253" s="127"/>
      <c r="T253" s="128"/>
      <c r="W253" s="199"/>
      <c r="X253" s="207" t="s">
        <v>6064</v>
      </c>
      <c r="Y253" s="207" t="s">
        <v>231</v>
      </c>
      <c r="Z253" s="208" t="s">
        <v>6017</v>
      </c>
      <c r="AA253" s="209" t="s">
        <v>4443</v>
      </c>
      <c r="AB253" s="210" t="s">
        <v>243</v>
      </c>
      <c r="AC253" s="211">
        <v>2</v>
      </c>
      <c r="AD253" s="212">
        <v>52.48</v>
      </c>
      <c r="AE253" s="214">
        <f t="shared" si="40"/>
        <v>104.96</v>
      </c>
      <c r="AF253" s="227">
        <v>9</v>
      </c>
      <c r="AG253" s="374"/>
      <c r="AH253" s="130"/>
      <c r="AR253" s="129"/>
      <c r="AT253" s="129"/>
      <c r="AU253" s="129"/>
      <c r="AY253" s="13"/>
      <c r="BE253" s="130"/>
      <c r="BF253" s="130"/>
      <c r="BG253" s="130"/>
      <c r="BH253" s="130"/>
      <c r="BI253" s="130"/>
      <c r="BJ253" s="13"/>
      <c r="BK253" s="130"/>
      <c r="BL253" s="13"/>
      <c r="BM253" s="129"/>
    </row>
    <row r="254" spans="2:65" s="403" customFormat="1" ht="17.55" customHeight="1" x14ac:dyDescent="0.2">
      <c r="B254" s="118"/>
      <c r="C254" s="1234" t="s">
        <v>5205</v>
      </c>
      <c r="D254" s="1235"/>
      <c r="E254" s="1235"/>
      <c r="F254" s="1235"/>
      <c r="G254" s="1235"/>
      <c r="H254" s="1235"/>
      <c r="I254" s="1235"/>
      <c r="J254" s="1236"/>
      <c r="K254" s="121"/>
      <c r="L254" s="24"/>
      <c r="M254" s="125"/>
      <c r="N254" s="126"/>
      <c r="O254" s="127"/>
      <c r="P254" s="127"/>
      <c r="Q254" s="127"/>
      <c r="R254" s="127"/>
      <c r="S254" s="127"/>
      <c r="T254" s="128"/>
      <c r="W254" s="199"/>
      <c r="X254" s="207" t="s">
        <v>6065</v>
      </c>
      <c r="Y254" s="207" t="s">
        <v>231</v>
      </c>
      <c r="Z254" s="208" t="s">
        <v>1075</v>
      </c>
      <c r="AA254" s="209" t="s">
        <v>1076</v>
      </c>
      <c r="AB254" s="210" t="s">
        <v>243</v>
      </c>
      <c r="AC254" s="211">
        <v>2</v>
      </c>
      <c r="AD254" s="212">
        <v>22.26</v>
      </c>
      <c r="AE254" s="214">
        <f t="shared" si="40"/>
        <v>44.52</v>
      </c>
      <c r="AF254" s="227">
        <v>9</v>
      </c>
      <c r="AG254" s="374"/>
      <c r="AH254" s="130"/>
      <c r="AR254" s="129"/>
      <c r="AT254" s="129"/>
      <c r="AU254" s="129"/>
      <c r="AY254" s="13"/>
      <c r="BE254" s="130"/>
      <c r="BF254" s="130"/>
      <c r="BG254" s="130"/>
      <c r="BH254" s="130"/>
      <c r="BI254" s="130"/>
      <c r="BJ254" s="13"/>
      <c r="BK254" s="130"/>
      <c r="BL254" s="13"/>
      <c r="BM254" s="129"/>
    </row>
    <row r="255" spans="2:65" s="403" customFormat="1" ht="17.55" customHeight="1" x14ac:dyDescent="0.2">
      <c r="B255" s="118"/>
      <c r="C255" s="1234" t="s">
        <v>5205</v>
      </c>
      <c r="D255" s="1235"/>
      <c r="E255" s="1235"/>
      <c r="F255" s="1235"/>
      <c r="G255" s="1235"/>
      <c r="H255" s="1235"/>
      <c r="I255" s="1235"/>
      <c r="J255" s="1236"/>
      <c r="K255" s="121"/>
      <c r="L255" s="24"/>
      <c r="M255" s="125"/>
      <c r="N255" s="126"/>
      <c r="O255" s="127"/>
      <c r="P255" s="127"/>
      <c r="Q255" s="127"/>
      <c r="R255" s="127"/>
      <c r="S255" s="127"/>
      <c r="T255" s="128"/>
      <c r="W255" s="199"/>
      <c r="X255" s="207" t="s">
        <v>6066</v>
      </c>
      <c r="Y255" s="207" t="s">
        <v>231</v>
      </c>
      <c r="Z255" s="208" t="s">
        <v>6018</v>
      </c>
      <c r="AA255" s="209" t="s">
        <v>1082</v>
      </c>
      <c r="AB255" s="210" t="s">
        <v>243</v>
      </c>
      <c r="AC255" s="211">
        <v>2</v>
      </c>
      <c r="AD255" s="212">
        <v>46.16</v>
      </c>
      <c r="AE255" s="214">
        <f t="shared" si="40"/>
        <v>92.32</v>
      </c>
      <c r="AF255" s="227">
        <v>9</v>
      </c>
      <c r="AG255" s="374"/>
      <c r="AH255" s="130"/>
      <c r="AR255" s="129"/>
      <c r="AT255" s="129"/>
      <c r="AU255" s="129"/>
      <c r="AY255" s="13"/>
      <c r="BE255" s="130"/>
      <c r="BF255" s="130"/>
      <c r="BG255" s="130"/>
      <c r="BH255" s="130"/>
      <c r="BI255" s="130"/>
      <c r="BJ255" s="13"/>
      <c r="BK255" s="130"/>
      <c r="BL255" s="13"/>
      <c r="BM255" s="129"/>
    </row>
    <row r="256" spans="2:65" s="403" customFormat="1" ht="17.55" customHeight="1" x14ac:dyDescent="0.2">
      <c r="B256" s="118"/>
      <c r="C256" s="1234" t="s">
        <v>5205</v>
      </c>
      <c r="D256" s="1235"/>
      <c r="E256" s="1235"/>
      <c r="F256" s="1235"/>
      <c r="G256" s="1235"/>
      <c r="H256" s="1235"/>
      <c r="I256" s="1235"/>
      <c r="J256" s="1236"/>
      <c r="K256" s="121"/>
      <c r="L256" s="24"/>
      <c r="M256" s="125"/>
      <c r="N256" s="126"/>
      <c r="O256" s="127"/>
      <c r="P256" s="127"/>
      <c r="Q256" s="127"/>
      <c r="R256" s="127"/>
      <c r="S256" s="127"/>
      <c r="T256" s="128"/>
      <c r="W256" s="199"/>
      <c r="X256" s="207" t="s">
        <v>6067</v>
      </c>
      <c r="Y256" s="207" t="s">
        <v>231</v>
      </c>
      <c r="Z256" s="208" t="s">
        <v>1083</v>
      </c>
      <c r="AA256" s="209" t="s">
        <v>1084</v>
      </c>
      <c r="AB256" s="210" t="s">
        <v>243</v>
      </c>
      <c r="AC256" s="211">
        <v>2</v>
      </c>
      <c r="AD256" s="212">
        <v>30.19</v>
      </c>
      <c r="AE256" s="214">
        <f t="shared" si="40"/>
        <v>60.38</v>
      </c>
      <c r="AF256" s="227">
        <v>9</v>
      </c>
      <c r="AG256" s="374"/>
      <c r="AH256" s="130"/>
      <c r="AR256" s="129"/>
      <c r="AT256" s="129"/>
      <c r="AU256" s="129"/>
      <c r="AY256" s="13"/>
      <c r="BE256" s="130"/>
      <c r="BF256" s="130"/>
      <c r="BG256" s="130"/>
      <c r="BH256" s="130"/>
      <c r="BI256" s="130"/>
      <c r="BJ256" s="13"/>
      <c r="BK256" s="130"/>
      <c r="BL256" s="13"/>
      <c r="BM256" s="129"/>
    </row>
    <row r="257" spans="2:65" s="403" customFormat="1" ht="17.55" customHeight="1" x14ac:dyDescent="0.2">
      <c r="B257" s="118"/>
      <c r="C257" s="1234" t="s">
        <v>5205</v>
      </c>
      <c r="D257" s="1235"/>
      <c r="E257" s="1235"/>
      <c r="F257" s="1235"/>
      <c r="G257" s="1235"/>
      <c r="H257" s="1235"/>
      <c r="I257" s="1235"/>
      <c r="J257" s="1236"/>
      <c r="K257" s="121"/>
      <c r="L257" s="24"/>
      <c r="M257" s="125"/>
      <c r="N257" s="126"/>
      <c r="O257" s="127"/>
      <c r="P257" s="127"/>
      <c r="Q257" s="127"/>
      <c r="R257" s="127"/>
      <c r="S257" s="127"/>
      <c r="T257" s="128"/>
      <c r="W257" s="199"/>
      <c r="X257" s="207" t="s">
        <v>6068</v>
      </c>
      <c r="Y257" s="207" t="s">
        <v>231</v>
      </c>
      <c r="Z257" s="208" t="s">
        <v>6019</v>
      </c>
      <c r="AA257" s="209" t="s">
        <v>6020</v>
      </c>
      <c r="AB257" s="210" t="s">
        <v>243</v>
      </c>
      <c r="AC257" s="211">
        <v>7</v>
      </c>
      <c r="AD257" s="212">
        <v>35</v>
      </c>
      <c r="AE257" s="214">
        <f t="shared" si="40"/>
        <v>245</v>
      </c>
      <c r="AF257" s="227">
        <v>9</v>
      </c>
      <c r="AG257" s="374"/>
      <c r="AH257" s="130"/>
      <c r="AR257" s="129"/>
      <c r="AT257" s="129"/>
      <c r="AU257" s="129"/>
      <c r="AY257" s="13"/>
      <c r="BE257" s="130"/>
      <c r="BF257" s="130"/>
      <c r="BG257" s="130"/>
      <c r="BH257" s="130"/>
      <c r="BI257" s="130"/>
      <c r="BJ257" s="13"/>
      <c r="BK257" s="130"/>
      <c r="BL257" s="13"/>
      <c r="BM257" s="129"/>
    </row>
    <row r="258" spans="2:65" s="670" customFormat="1" ht="19.95" customHeight="1" x14ac:dyDescent="0.2">
      <c r="B258" s="118"/>
      <c r="C258" s="1234" t="s">
        <v>5205</v>
      </c>
      <c r="D258" s="1235"/>
      <c r="E258" s="1235"/>
      <c r="F258" s="1235"/>
      <c r="G258" s="1235"/>
      <c r="H258" s="1235"/>
      <c r="I258" s="1235"/>
      <c r="J258" s="1236"/>
      <c r="K258" s="121"/>
      <c r="L258" s="24"/>
      <c r="M258" s="125"/>
      <c r="N258" s="126"/>
      <c r="O258" s="127"/>
      <c r="P258" s="127"/>
      <c r="Q258" s="127"/>
      <c r="R258" s="127"/>
      <c r="S258" s="127"/>
      <c r="T258" s="128"/>
      <c r="W258" s="199"/>
      <c r="X258" s="207" t="s">
        <v>6445</v>
      </c>
      <c r="Y258" s="207" t="s">
        <v>231</v>
      </c>
      <c r="Z258" s="209" t="s">
        <v>6443</v>
      </c>
      <c r="AA258" s="209" t="s">
        <v>6444</v>
      </c>
      <c r="AB258" s="210" t="s">
        <v>243</v>
      </c>
      <c r="AC258" s="211">
        <v>1</v>
      </c>
      <c r="AD258" s="212">
        <v>590.4</v>
      </c>
      <c r="AE258" s="214">
        <v>590.4</v>
      </c>
      <c r="AF258" s="227" t="s">
        <v>6425</v>
      </c>
      <c r="AG258" s="374"/>
      <c r="AH258" s="130"/>
      <c r="AR258" s="129"/>
      <c r="AT258" s="129"/>
      <c r="AU258" s="129"/>
      <c r="AY258" s="13"/>
      <c r="BE258" s="130"/>
      <c r="BF258" s="130"/>
      <c r="BG258" s="130"/>
      <c r="BH258" s="130"/>
      <c r="BI258" s="130"/>
      <c r="BJ258" s="13"/>
      <c r="BK258" s="130"/>
      <c r="BL258" s="13"/>
      <c r="BM258" s="129"/>
    </row>
    <row r="259" spans="2:65" s="670" customFormat="1" ht="19.95" customHeight="1" x14ac:dyDescent="0.2">
      <c r="B259" s="118"/>
      <c r="C259" s="1234" t="s">
        <v>5205</v>
      </c>
      <c r="D259" s="1235"/>
      <c r="E259" s="1235"/>
      <c r="F259" s="1235"/>
      <c r="G259" s="1235"/>
      <c r="H259" s="1235"/>
      <c r="I259" s="1235"/>
      <c r="J259" s="1236"/>
      <c r="K259" s="121"/>
      <c r="L259" s="24"/>
      <c r="M259" s="125"/>
      <c r="N259" s="126"/>
      <c r="O259" s="127"/>
      <c r="P259" s="127"/>
      <c r="Q259" s="127"/>
      <c r="R259" s="127"/>
      <c r="S259" s="127"/>
      <c r="T259" s="128"/>
      <c r="W259" s="199"/>
      <c r="X259" s="207" t="s">
        <v>6449</v>
      </c>
      <c r="Y259" s="207" t="s">
        <v>231</v>
      </c>
      <c r="Z259" s="209" t="s">
        <v>1079</v>
      </c>
      <c r="AA259" s="209" t="s">
        <v>6446</v>
      </c>
      <c r="AB259" s="210" t="s">
        <v>243</v>
      </c>
      <c r="AC259" s="211">
        <v>1</v>
      </c>
      <c r="AD259" s="212">
        <v>24.38</v>
      </c>
      <c r="AE259" s="214">
        <v>24.38</v>
      </c>
      <c r="AF259" s="227" t="s">
        <v>6425</v>
      </c>
      <c r="AG259" s="374"/>
      <c r="AH259" s="130"/>
      <c r="AR259" s="129"/>
      <c r="AT259" s="129"/>
      <c r="AU259" s="129"/>
      <c r="AY259" s="13"/>
      <c r="BE259" s="130"/>
      <c r="BF259" s="130"/>
      <c r="BG259" s="130"/>
      <c r="BH259" s="130"/>
      <c r="BI259" s="130"/>
      <c r="BJ259" s="13"/>
      <c r="BK259" s="130"/>
      <c r="BL259" s="13"/>
      <c r="BM259" s="129"/>
    </row>
    <row r="260" spans="2:65" s="670" customFormat="1" ht="19.95" customHeight="1" x14ac:dyDescent="0.2">
      <c r="B260" s="118"/>
      <c r="C260" s="1234" t="s">
        <v>5205</v>
      </c>
      <c r="D260" s="1235"/>
      <c r="E260" s="1235"/>
      <c r="F260" s="1235"/>
      <c r="G260" s="1235"/>
      <c r="H260" s="1235"/>
      <c r="I260" s="1235"/>
      <c r="J260" s="1236"/>
      <c r="K260" s="121"/>
      <c r="L260" s="24"/>
      <c r="M260" s="125"/>
      <c r="N260" s="126"/>
      <c r="O260" s="127"/>
      <c r="P260" s="127"/>
      <c r="Q260" s="127"/>
      <c r="R260" s="127"/>
      <c r="S260" s="127"/>
      <c r="T260" s="128"/>
      <c r="W260" s="199"/>
      <c r="X260" s="207" t="s">
        <v>6450</v>
      </c>
      <c r="Y260" s="207" t="s">
        <v>231</v>
      </c>
      <c r="Z260" s="209" t="s">
        <v>6447</v>
      </c>
      <c r="AA260" s="209" t="s">
        <v>6448</v>
      </c>
      <c r="AB260" s="210" t="s">
        <v>1194</v>
      </c>
      <c r="AC260" s="211">
        <v>1</v>
      </c>
      <c r="AD260" s="212">
        <v>95</v>
      </c>
      <c r="AE260" s="214">
        <v>95</v>
      </c>
      <c r="AF260" s="227" t="s">
        <v>6425</v>
      </c>
      <c r="AG260" s="374"/>
      <c r="AH260" s="130"/>
      <c r="AR260" s="129"/>
      <c r="AT260" s="129"/>
      <c r="AU260" s="129"/>
      <c r="AY260" s="13"/>
      <c r="BE260" s="130"/>
      <c r="BF260" s="130"/>
      <c r="BG260" s="130"/>
      <c r="BH260" s="130"/>
      <c r="BI260" s="130"/>
      <c r="BJ260" s="13"/>
      <c r="BK260" s="130"/>
      <c r="BL260" s="13"/>
      <c r="BM260" s="129"/>
    </row>
    <row r="261" spans="2:65" s="1" customFormat="1" ht="22.8" x14ac:dyDescent="0.2">
      <c r="B261" s="118"/>
      <c r="C261" s="205" t="s">
        <v>480</v>
      </c>
      <c r="D261" s="119" t="s">
        <v>231</v>
      </c>
      <c r="E261" s="120" t="s">
        <v>1085</v>
      </c>
      <c r="F261" s="121" t="s">
        <v>3495</v>
      </c>
      <c r="G261" s="122" t="s">
        <v>570</v>
      </c>
      <c r="H261" s="206">
        <v>59.805999999999997</v>
      </c>
      <c r="I261" s="124">
        <v>3.77</v>
      </c>
      <c r="J261" s="124">
        <f t="shared" si="36"/>
        <v>225.47</v>
      </c>
      <c r="K261" s="121" t="s">
        <v>1</v>
      </c>
      <c r="L261" s="24"/>
      <c r="M261" s="125" t="s">
        <v>1</v>
      </c>
      <c r="N261" s="126" t="s">
        <v>32</v>
      </c>
      <c r="O261" s="127">
        <v>0</v>
      </c>
      <c r="P261" s="127">
        <f t="shared" si="37"/>
        <v>0</v>
      </c>
      <c r="Q261" s="127">
        <v>0</v>
      </c>
      <c r="R261" s="127">
        <f t="shared" si="38"/>
        <v>0</v>
      </c>
      <c r="S261" s="127">
        <v>0</v>
      </c>
      <c r="T261" s="128">
        <f t="shared" si="39"/>
        <v>0</v>
      </c>
      <c r="W261" s="199"/>
      <c r="X261" s="205" t="s">
        <v>480</v>
      </c>
      <c r="Y261" s="119" t="s">
        <v>231</v>
      </c>
      <c r="Z261" s="120" t="s">
        <v>1085</v>
      </c>
      <c r="AA261" s="121" t="s">
        <v>3495</v>
      </c>
      <c r="AB261" s="122" t="s">
        <v>570</v>
      </c>
      <c r="AC261" s="206">
        <f>59.806+4.16+7.098</f>
        <v>71.063999999999993</v>
      </c>
      <c r="AD261" s="124">
        <v>3.77</v>
      </c>
      <c r="AE261" s="200">
        <f t="shared" si="40"/>
        <v>267.91000000000003</v>
      </c>
      <c r="AF261" s="227" t="s">
        <v>6442</v>
      </c>
      <c r="AG261" s="374"/>
      <c r="AH261" s="130"/>
      <c r="AR261" s="129" t="s">
        <v>235</v>
      </c>
      <c r="AT261" s="129" t="s">
        <v>231</v>
      </c>
      <c r="AU261" s="129" t="s">
        <v>76</v>
      </c>
      <c r="AY261" s="13" t="s">
        <v>228</v>
      </c>
      <c r="BE261" s="130">
        <f t="shared" si="41"/>
        <v>0</v>
      </c>
      <c r="BF261" s="130">
        <f t="shared" si="42"/>
        <v>225.47</v>
      </c>
      <c r="BG261" s="130">
        <f t="shared" si="43"/>
        <v>0</v>
      </c>
      <c r="BH261" s="130">
        <f t="shared" si="44"/>
        <v>0</v>
      </c>
      <c r="BI261" s="130">
        <f t="shared" si="45"/>
        <v>0</v>
      </c>
      <c r="BJ261" s="13" t="s">
        <v>76</v>
      </c>
      <c r="BK261" s="130">
        <f t="shared" si="46"/>
        <v>225.47</v>
      </c>
      <c r="BL261" s="13" t="s">
        <v>235</v>
      </c>
      <c r="BM261" s="129" t="s">
        <v>483</v>
      </c>
    </row>
    <row r="262" spans="2:65" s="11" customFormat="1" ht="13.2" x14ac:dyDescent="0.25">
      <c r="B262" s="106"/>
      <c r="D262" s="107" t="s">
        <v>57</v>
      </c>
      <c r="E262" s="116" t="s">
        <v>882</v>
      </c>
      <c r="F262" s="116" t="s">
        <v>883</v>
      </c>
      <c r="J262" s="117">
        <f>BK262</f>
        <v>47.9</v>
      </c>
      <c r="L262" s="106"/>
      <c r="M262" s="110"/>
      <c r="N262" s="111"/>
      <c r="O262" s="111"/>
      <c r="P262" s="112">
        <f>SUM(P263:P264)</f>
        <v>0</v>
      </c>
      <c r="Q262" s="111"/>
      <c r="R262" s="112">
        <f>SUM(R263:R264)</f>
        <v>0</v>
      </c>
      <c r="S262" s="111"/>
      <c r="T262" s="113">
        <f>SUM(T263:T264)</f>
        <v>0</v>
      </c>
      <c r="W262" s="195"/>
      <c r="X262" s="111"/>
      <c r="Y262" s="196" t="s">
        <v>57</v>
      </c>
      <c r="Z262" s="201" t="s">
        <v>882</v>
      </c>
      <c r="AA262" s="201" t="s">
        <v>883</v>
      </c>
      <c r="AB262" s="111"/>
      <c r="AC262" s="111"/>
      <c r="AD262" s="111"/>
      <c r="AE262" s="202">
        <f>SUM(AE263:AE264)</f>
        <v>47.9</v>
      </c>
      <c r="AF262" s="227"/>
      <c r="AG262" s="374"/>
      <c r="AH262" s="130"/>
      <c r="AR262" s="107" t="s">
        <v>63</v>
      </c>
      <c r="AT262" s="114" t="s">
        <v>57</v>
      </c>
      <c r="AU262" s="114" t="s">
        <v>63</v>
      </c>
      <c r="AY262" s="107" t="s">
        <v>228</v>
      </c>
      <c r="BK262" s="115">
        <f>SUM(BK263:BK264)</f>
        <v>47.9</v>
      </c>
    </row>
    <row r="263" spans="2:65" s="1" customFormat="1" ht="16.5" customHeight="1" x14ac:dyDescent="0.2">
      <c r="B263" s="479"/>
      <c r="C263" s="285" t="s">
        <v>358</v>
      </c>
      <c r="D263" s="285" t="s">
        <v>231</v>
      </c>
      <c r="E263" s="286" t="s">
        <v>1087</v>
      </c>
      <c r="F263" s="240" t="s">
        <v>3496</v>
      </c>
      <c r="G263" s="287" t="s">
        <v>292</v>
      </c>
      <c r="H263" s="288">
        <v>10</v>
      </c>
      <c r="I263" s="289">
        <v>2.5</v>
      </c>
      <c r="J263" s="289">
        <f>ROUND(I263*H263,2)</f>
        <v>25</v>
      </c>
      <c r="K263" s="240" t="s">
        <v>1</v>
      </c>
      <c r="L263" s="447"/>
      <c r="M263" s="448" t="s">
        <v>1</v>
      </c>
      <c r="N263" s="449" t="s">
        <v>32</v>
      </c>
      <c r="O263" s="450">
        <v>0</v>
      </c>
      <c r="P263" s="450">
        <f>O263*H263</f>
        <v>0</v>
      </c>
      <c r="Q263" s="450">
        <v>0</v>
      </c>
      <c r="R263" s="450">
        <f>Q263*H263</f>
        <v>0</v>
      </c>
      <c r="S263" s="450">
        <v>0</v>
      </c>
      <c r="T263" s="451">
        <f>S263*H263</f>
        <v>0</v>
      </c>
      <c r="U263" s="407"/>
      <c r="V263" s="407"/>
      <c r="W263" s="452"/>
      <c r="X263" s="285" t="s">
        <v>358</v>
      </c>
      <c r="Y263" s="285" t="s">
        <v>231</v>
      </c>
      <c r="Z263" s="286" t="s">
        <v>1087</v>
      </c>
      <c r="AA263" s="240" t="s">
        <v>3496</v>
      </c>
      <c r="AB263" s="287" t="s">
        <v>292</v>
      </c>
      <c r="AC263" s="288">
        <v>10</v>
      </c>
      <c r="AD263" s="289">
        <v>2.5</v>
      </c>
      <c r="AE263" s="200">
        <f>ROUND(AD263*AC263,2)</f>
        <v>25</v>
      </c>
      <c r="AF263" s="227"/>
      <c r="AG263" s="374"/>
      <c r="AH263" s="130"/>
      <c r="AR263" s="129" t="s">
        <v>235</v>
      </c>
      <c r="AT263" s="129" t="s">
        <v>231</v>
      </c>
      <c r="AU263" s="129" t="s">
        <v>76</v>
      </c>
      <c r="AY263" s="13" t="s">
        <v>228</v>
      </c>
      <c r="BE263" s="130">
        <f>IF(N263="základná",J263,0)</f>
        <v>0</v>
      </c>
      <c r="BF263" s="130">
        <f>IF(N263="znížená",J263,0)</f>
        <v>25</v>
      </c>
      <c r="BG263" s="130">
        <f>IF(N263="zákl. prenesená",J263,0)</f>
        <v>0</v>
      </c>
      <c r="BH263" s="130">
        <f>IF(N263="zníž. prenesená",J263,0)</f>
        <v>0</v>
      </c>
      <c r="BI263" s="130">
        <f>IF(N263="nulová",J263,0)</f>
        <v>0</v>
      </c>
      <c r="BJ263" s="13" t="s">
        <v>76</v>
      </c>
      <c r="BK263" s="130">
        <f>ROUND(I263*H263,2)</f>
        <v>25</v>
      </c>
      <c r="BL263" s="13" t="s">
        <v>235</v>
      </c>
      <c r="BM263" s="129" t="s">
        <v>486</v>
      </c>
    </row>
    <row r="264" spans="2:65" s="1" customFormat="1" ht="16.5" customHeight="1" x14ac:dyDescent="0.2">
      <c r="B264" s="479"/>
      <c r="C264" s="285" t="s">
        <v>487</v>
      </c>
      <c r="D264" s="285" t="s">
        <v>231</v>
      </c>
      <c r="E264" s="286" t="s">
        <v>1089</v>
      </c>
      <c r="F264" s="240" t="s">
        <v>3497</v>
      </c>
      <c r="G264" s="287" t="s">
        <v>292</v>
      </c>
      <c r="H264" s="288">
        <v>10</v>
      </c>
      <c r="I264" s="289">
        <v>2.29</v>
      </c>
      <c r="J264" s="289">
        <f>ROUND(I264*H264,2)</f>
        <v>22.9</v>
      </c>
      <c r="K264" s="240" t="s">
        <v>1</v>
      </c>
      <c r="L264" s="447"/>
      <c r="M264" s="480" t="s">
        <v>1</v>
      </c>
      <c r="N264" s="481" t="s">
        <v>32</v>
      </c>
      <c r="O264" s="482">
        <v>0</v>
      </c>
      <c r="P264" s="482">
        <f>O264*H264</f>
        <v>0</v>
      </c>
      <c r="Q264" s="482">
        <v>0</v>
      </c>
      <c r="R264" s="482">
        <f>Q264*H264</f>
        <v>0</v>
      </c>
      <c r="S264" s="482">
        <v>0</v>
      </c>
      <c r="T264" s="483">
        <f>S264*H264</f>
        <v>0</v>
      </c>
      <c r="U264" s="407"/>
      <c r="V264" s="407"/>
      <c r="W264" s="452"/>
      <c r="X264" s="285" t="s">
        <v>487</v>
      </c>
      <c r="Y264" s="285" t="s">
        <v>231</v>
      </c>
      <c r="Z264" s="286" t="s">
        <v>1089</v>
      </c>
      <c r="AA264" s="240" t="s">
        <v>3497</v>
      </c>
      <c r="AB264" s="287" t="s">
        <v>292</v>
      </c>
      <c r="AC264" s="288">
        <v>10</v>
      </c>
      <c r="AD264" s="289">
        <v>2.29</v>
      </c>
      <c r="AE264" s="200">
        <f>ROUND(AD264*AC264,2)</f>
        <v>22.9</v>
      </c>
      <c r="AF264" s="227"/>
      <c r="AG264" s="374"/>
      <c r="AH264" s="130"/>
      <c r="AR264" s="129" t="s">
        <v>235</v>
      </c>
      <c r="AT264" s="129" t="s">
        <v>231</v>
      </c>
      <c r="AU264" s="129" t="s">
        <v>76</v>
      </c>
      <c r="AY264" s="13" t="s">
        <v>228</v>
      </c>
      <c r="BE264" s="130">
        <f>IF(N264="základná",J264,0)</f>
        <v>0</v>
      </c>
      <c r="BF264" s="130">
        <f>IF(N264="znížená",J264,0)</f>
        <v>22.9</v>
      </c>
      <c r="BG264" s="130">
        <f>IF(N264="zákl. prenesená",J264,0)</f>
        <v>0</v>
      </c>
      <c r="BH264" s="130">
        <f>IF(N264="zníž. prenesená",J264,0)</f>
        <v>0</v>
      </c>
      <c r="BI264" s="130">
        <f>IF(N264="nulová",J264,0)</f>
        <v>0</v>
      </c>
      <c r="BJ264" s="13" t="s">
        <v>76</v>
      </c>
      <c r="BK264" s="130">
        <f>ROUND(I264*H264,2)</f>
        <v>22.9</v>
      </c>
      <c r="BL264" s="13" t="s">
        <v>235</v>
      </c>
      <c r="BM264" s="129" t="s">
        <v>490</v>
      </c>
    </row>
    <row r="265" spans="2:65" s="1" customFormat="1" ht="7.05" customHeight="1" x14ac:dyDescent="0.2">
      <c r="B265" s="484"/>
      <c r="C265" s="485"/>
      <c r="D265" s="485"/>
      <c r="E265" s="485"/>
      <c r="F265" s="485"/>
      <c r="G265" s="485"/>
      <c r="H265" s="485"/>
      <c r="I265" s="485"/>
      <c r="J265" s="485"/>
      <c r="K265" s="485"/>
      <c r="L265" s="447"/>
      <c r="M265" s="407"/>
      <c r="N265" s="407"/>
      <c r="O265" s="407"/>
      <c r="P265" s="407"/>
      <c r="Q265" s="407"/>
      <c r="R265" s="407"/>
      <c r="S265" s="407"/>
      <c r="T265" s="407"/>
      <c r="U265" s="407"/>
      <c r="V265" s="407"/>
      <c r="W265" s="486"/>
      <c r="X265" s="487"/>
      <c r="Y265" s="487"/>
      <c r="Z265" s="487"/>
      <c r="AA265" s="487"/>
      <c r="AB265" s="487"/>
      <c r="AC265" s="487"/>
      <c r="AD265" s="487"/>
      <c r="AE265" s="177"/>
      <c r="AG265" s="374"/>
      <c r="AH265" s="130"/>
    </row>
    <row r="266" spans="2:65" x14ac:dyDescent="0.2">
      <c r="B266" s="410"/>
      <c r="C266" s="410"/>
      <c r="D266" s="410"/>
      <c r="E266" s="410"/>
      <c r="F266" s="410"/>
      <c r="G266" s="410"/>
      <c r="H266" s="410"/>
      <c r="I266" s="410"/>
      <c r="J266" s="410"/>
      <c r="K266" s="410"/>
      <c r="L266" s="410"/>
      <c r="M266" s="410"/>
      <c r="N266" s="410"/>
      <c r="O266" s="410"/>
      <c r="P266" s="410"/>
      <c r="Q266" s="410"/>
      <c r="R266" s="410"/>
      <c r="S266" s="410"/>
      <c r="T266" s="410"/>
      <c r="U266" s="410"/>
      <c r="V266" s="410"/>
      <c r="W266" s="410"/>
      <c r="X266" s="410"/>
      <c r="Y266" s="410"/>
      <c r="Z266" s="410"/>
      <c r="AA266" s="410"/>
      <c r="AB266" s="410"/>
      <c r="AC266" s="410"/>
      <c r="AD266" s="410"/>
    </row>
  </sheetData>
  <autoFilter ref="C128:K264" xr:uid="{00000000-0009-0000-0000-000010000000}"/>
  <mergeCells count="77">
    <mergeCell ref="Z85:AC85"/>
    <mergeCell ref="E85:H85"/>
    <mergeCell ref="L2:V2"/>
    <mergeCell ref="E9:H9"/>
    <mergeCell ref="E18:H18"/>
    <mergeCell ref="E27:H27"/>
    <mergeCell ref="C3:J4"/>
    <mergeCell ref="F6:J7"/>
    <mergeCell ref="X4:AE4"/>
    <mergeCell ref="AA6:AE7"/>
    <mergeCell ref="C82:J82"/>
    <mergeCell ref="E84:J84"/>
    <mergeCell ref="Z84:AE84"/>
    <mergeCell ref="X82:AE82"/>
    <mergeCell ref="Z9:AC9"/>
    <mergeCell ref="Z18:AC18"/>
    <mergeCell ref="Z87:AC87"/>
    <mergeCell ref="Z119:AC119"/>
    <mergeCell ref="Z121:AC121"/>
    <mergeCell ref="C134:J134"/>
    <mergeCell ref="C135:J135"/>
    <mergeCell ref="E87:H87"/>
    <mergeCell ref="E119:H119"/>
    <mergeCell ref="E121:H121"/>
    <mergeCell ref="C116:J116"/>
    <mergeCell ref="E118:J118"/>
    <mergeCell ref="Z118:AE118"/>
    <mergeCell ref="X116:AE116"/>
    <mergeCell ref="C144:J144"/>
    <mergeCell ref="C146:J146"/>
    <mergeCell ref="C147:J147"/>
    <mergeCell ref="C148:J148"/>
    <mergeCell ref="C149:J149"/>
    <mergeCell ref="C150:J150"/>
    <mergeCell ref="C151:J151"/>
    <mergeCell ref="C152:J152"/>
    <mergeCell ref="C154:J154"/>
    <mergeCell ref="C155:J155"/>
    <mergeCell ref="C156:J156"/>
    <mergeCell ref="C157:J157"/>
    <mergeCell ref="C160:J160"/>
    <mergeCell ref="C161:J161"/>
    <mergeCell ref="C162:J162"/>
    <mergeCell ref="C163:J163"/>
    <mergeCell ref="C164:J164"/>
    <mergeCell ref="C185:J185"/>
    <mergeCell ref="C186:J186"/>
    <mergeCell ref="C187:J187"/>
    <mergeCell ref="C247:J247"/>
    <mergeCell ref="C248:J248"/>
    <mergeCell ref="C202:J202"/>
    <mergeCell ref="C203:J203"/>
    <mergeCell ref="C204:J204"/>
    <mergeCell ref="C235:J235"/>
    <mergeCell ref="C236:J236"/>
    <mergeCell ref="C224:J224"/>
    <mergeCell ref="C225:J225"/>
    <mergeCell ref="C226:J226"/>
    <mergeCell ref="C227:J227"/>
    <mergeCell ref="C228:J228"/>
    <mergeCell ref="C229:J229"/>
    <mergeCell ref="C258:J258"/>
    <mergeCell ref="C259:J259"/>
    <mergeCell ref="C260:J260"/>
    <mergeCell ref="Z27:AC27"/>
    <mergeCell ref="C254:J254"/>
    <mergeCell ref="C255:J255"/>
    <mergeCell ref="C256:J256"/>
    <mergeCell ref="C257:J257"/>
    <mergeCell ref="C249:J249"/>
    <mergeCell ref="C250:J250"/>
    <mergeCell ref="C251:J251"/>
    <mergeCell ref="C252:J252"/>
    <mergeCell ref="C253:J253"/>
    <mergeCell ref="C237:J237"/>
    <mergeCell ref="C238:J238"/>
    <mergeCell ref="C239:J239"/>
  </mergeCells>
  <pageMargins left="0.39374999999999999" right="0.39374999999999999" top="0.39374999999999999" bottom="0.39374999999999999" header="0" footer="0"/>
  <pageSetup paperSize="9" scale="89" fitToHeight="100" orientation="portrait" blackAndWhite="1" r:id="rId1"/>
  <headerFooter>
    <oddFooter>&amp;CStrana &amp;P z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BM168"/>
  <sheetViews>
    <sheetView showGridLines="0" workbookViewId="0">
      <selection activeCell="V157" sqref="V157"/>
    </sheetView>
  </sheetViews>
  <sheetFormatPr defaultColWidth="8.7109375" defaultRowHeight="10.199999999999999" x14ac:dyDescent="0.2"/>
  <cols>
    <col min="1" max="1" width="8.28515625" customWidth="1"/>
    <col min="2" max="2" width="1.7109375" customWidth="1"/>
    <col min="3" max="4" width="4.28515625" customWidth="1"/>
    <col min="5" max="5" width="17.28515625" customWidth="1"/>
    <col min="6" max="6" width="50.7109375" customWidth="1"/>
    <col min="7" max="7" width="7" customWidth="1"/>
    <col min="8" max="8" width="11.42578125" customWidth="1"/>
    <col min="9" max="10" width="20.28515625" customWidth="1"/>
    <col min="11" max="11" width="20.28515625" hidden="1" customWidth="1"/>
    <col min="12" max="12" width="9.28515625" customWidth="1"/>
    <col min="13" max="13" width="10.7109375" hidden="1" customWidth="1"/>
    <col min="14" max="14" width="9.28515625" hidden="1"/>
    <col min="15" max="20" width="14.28515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1" spans="1:46" x14ac:dyDescent="0.2">
      <c r="A1" s="73"/>
    </row>
    <row r="2" spans="1:46" ht="37.049999999999997" customHeight="1" x14ac:dyDescent="0.2">
      <c r="L2" s="1227" t="s">
        <v>5</v>
      </c>
      <c r="M2" s="1225"/>
      <c r="N2" s="1225"/>
      <c r="O2" s="1225"/>
      <c r="P2" s="1225"/>
      <c r="Q2" s="1225"/>
      <c r="R2" s="1225"/>
      <c r="S2" s="1225"/>
      <c r="T2" s="1225"/>
      <c r="U2" s="1225"/>
      <c r="V2" s="1225"/>
      <c r="AT2" s="13" t="s">
        <v>111</v>
      </c>
    </row>
    <row r="3" spans="1:46" ht="7.05" customHeight="1" x14ac:dyDescent="0.2">
      <c r="B3" s="14"/>
      <c r="C3" s="15"/>
      <c r="D3" s="15"/>
      <c r="E3" s="15"/>
      <c r="F3" s="15"/>
      <c r="G3" s="15"/>
      <c r="H3" s="15"/>
      <c r="I3" s="15"/>
      <c r="J3" s="15"/>
      <c r="K3" s="15"/>
      <c r="L3" s="16"/>
      <c r="AT3" s="13" t="s">
        <v>58</v>
      </c>
    </row>
    <row r="4" spans="1:46" ht="25.05" customHeight="1" x14ac:dyDescent="0.2">
      <c r="B4" s="16"/>
      <c r="C4" s="1165" t="s">
        <v>185</v>
      </c>
      <c r="D4" s="1165"/>
      <c r="E4" s="1165"/>
      <c r="F4" s="1165"/>
      <c r="G4" s="1165"/>
      <c r="H4" s="1165"/>
      <c r="I4" s="1165"/>
      <c r="J4" s="1165"/>
      <c r="L4" s="16"/>
      <c r="M4" s="74" t="s">
        <v>9</v>
      </c>
      <c r="AT4" s="13" t="s">
        <v>3</v>
      </c>
    </row>
    <row r="5" spans="1:46" ht="7.05" customHeight="1" x14ac:dyDescent="0.2">
      <c r="B5" s="16"/>
      <c r="L5" s="16"/>
    </row>
    <row r="6" spans="1:46" ht="12" customHeight="1" x14ac:dyDescent="0.2">
      <c r="B6" s="16"/>
      <c r="D6" s="548" t="s">
        <v>12</v>
      </c>
      <c r="F6" s="1254" t="s">
        <v>6176</v>
      </c>
      <c r="G6" s="1254"/>
      <c r="H6" s="1254"/>
      <c r="I6" s="1254"/>
      <c r="J6" s="1254"/>
      <c r="L6" s="16"/>
    </row>
    <row r="7" spans="1:46" ht="23.55" customHeight="1" x14ac:dyDescent="0.2">
      <c r="B7" s="16"/>
      <c r="D7" s="527"/>
      <c r="E7" s="531"/>
      <c r="F7" s="1254"/>
      <c r="G7" s="1254"/>
      <c r="H7" s="1254"/>
      <c r="I7" s="1254"/>
      <c r="J7" s="1254"/>
      <c r="L7" s="16"/>
    </row>
    <row r="8" spans="1:46" s="1" customFormat="1" ht="12" customHeight="1" x14ac:dyDescent="0.2">
      <c r="B8" s="24"/>
      <c r="D8" s="549" t="s">
        <v>186</v>
      </c>
      <c r="F8" s="532" t="s">
        <v>3498</v>
      </c>
      <c r="L8" s="24"/>
    </row>
    <row r="9" spans="1:46" s="1" customFormat="1" ht="37.049999999999997" customHeight="1" x14ac:dyDescent="0.2">
      <c r="B9" s="24"/>
      <c r="D9" s="521"/>
      <c r="E9" s="1251"/>
      <c r="F9" s="1252"/>
      <c r="G9" s="1252"/>
      <c r="H9" s="1252"/>
      <c r="L9" s="24"/>
    </row>
    <row r="10" spans="1:46" s="1" customFormat="1" x14ac:dyDescent="0.2">
      <c r="B10" s="24"/>
      <c r="D10" s="521"/>
      <c r="L10" s="24"/>
    </row>
    <row r="11" spans="1:46" s="1" customFormat="1" ht="12" customHeight="1" x14ac:dyDescent="0.2">
      <c r="B11" s="24"/>
      <c r="D11" s="528" t="s">
        <v>13</v>
      </c>
      <c r="F11" s="19" t="s">
        <v>1</v>
      </c>
      <c r="I11" s="528" t="s">
        <v>14</v>
      </c>
      <c r="J11" s="19" t="s">
        <v>1</v>
      </c>
      <c r="L11" s="24"/>
    </row>
    <row r="12" spans="1:46" s="1" customFormat="1" ht="12" customHeight="1" x14ac:dyDescent="0.2">
      <c r="B12" s="24"/>
      <c r="D12" s="528" t="s">
        <v>15</v>
      </c>
      <c r="F12" s="520" t="s">
        <v>6173</v>
      </c>
      <c r="I12" s="528" t="s">
        <v>17</v>
      </c>
      <c r="J12" s="39"/>
      <c r="L12" s="24"/>
    </row>
    <row r="13" spans="1:46" s="1" customFormat="1" ht="10.95" customHeight="1" x14ac:dyDescent="0.2">
      <c r="B13" s="24"/>
      <c r="D13" s="521"/>
      <c r="F13" s="521"/>
      <c r="I13" s="521"/>
      <c r="L13" s="24"/>
    </row>
    <row r="14" spans="1:46" s="1" customFormat="1" ht="12" customHeight="1" x14ac:dyDescent="0.2">
      <c r="B14" s="24"/>
      <c r="D14" s="528" t="s">
        <v>18</v>
      </c>
      <c r="F14" s="529" t="s">
        <v>6175</v>
      </c>
      <c r="I14" s="528" t="s">
        <v>19</v>
      </c>
      <c r="J14" s="19" t="str">
        <f>IF('Rekapitulácia stavby'!AN10="","",'Rekapitulácia stavby'!AN10)</f>
        <v/>
      </c>
      <c r="L14" s="24"/>
    </row>
    <row r="15" spans="1:46" s="1" customFormat="1" ht="18" customHeight="1" x14ac:dyDescent="0.2">
      <c r="B15" s="24"/>
      <c r="D15" s="521"/>
      <c r="E15" s="19" t="str">
        <f>IF('Rekapitulácia stavby'!E11="","",'Rekapitulácia stavby'!E11)</f>
        <v/>
      </c>
      <c r="F15" s="521"/>
      <c r="I15" s="528" t="s">
        <v>20</v>
      </c>
      <c r="J15" s="19" t="str">
        <f>IF('Rekapitulácia stavby'!AN11="","",'Rekapitulácia stavby'!AN11)</f>
        <v/>
      </c>
      <c r="L15" s="24"/>
    </row>
    <row r="16" spans="1:46" s="1" customFormat="1" ht="7.05" customHeight="1" x14ac:dyDescent="0.2">
      <c r="B16" s="24"/>
      <c r="D16" s="521"/>
      <c r="F16" s="521"/>
      <c r="I16" s="521"/>
      <c r="L16" s="24"/>
    </row>
    <row r="17" spans="2:12" s="1" customFormat="1" ht="12" customHeight="1" x14ac:dyDescent="0.2">
      <c r="B17" s="24"/>
      <c r="D17" s="528" t="s">
        <v>21</v>
      </c>
      <c r="F17" s="529" t="s">
        <v>5202</v>
      </c>
      <c r="I17" s="528" t="s">
        <v>19</v>
      </c>
      <c r="J17" s="19"/>
      <c r="L17" s="24"/>
    </row>
    <row r="18" spans="2:12" s="1" customFormat="1" ht="18" customHeight="1" x14ac:dyDescent="0.2">
      <c r="B18" s="24"/>
      <c r="D18" s="521"/>
      <c r="E18" s="1161"/>
      <c r="F18" s="1161"/>
      <c r="G18" s="1161"/>
      <c r="H18" s="1161"/>
      <c r="I18" s="528" t="s">
        <v>20</v>
      </c>
      <c r="J18" s="19" t="str">
        <f>'Rekapitulácia stavby'!AN14</f>
        <v/>
      </c>
      <c r="L18" s="24"/>
    </row>
    <row r="19" spans="2:12" s="1" customFormat="1" ht="7.05" customHeight="1" x14ac:dyDescent="0.2">
      <c r="B19" s="24"/>
      <c r="D19" s="521"/>
      <c r="I19" s="521"/>
      <c r="L19" s="24"/>
    </row>
    <row r="20" spans="2:12" s="1" customFormat="1" ht="12" customHeight="1" x14ac:dyDescent="0.2">
      <c r="B20" s="24"/>
      <c r="D20" s="528" t="s">
        <v>22</v>
      </c>
      <c r="I20" s="528" t="s">
        <v>19</v>
      </c>
      <c r="J20" s="19" t="str">
        <f>IF('Rekapitulácia stavby'!AN16="","",'Rekapitulácia stavby'!AN16)</f>
        <v/>
      </c>
      <c r="L20" s="24"/>
    </row>
    <row r="21" spans="2:12" s="1" customFormat="1" ht="18" customHeight="1" x14ac:dyDescent="0.2">
      <c r="B21" s="24"/>
      <c r="D21" s="521"/>
      <c r="E21" s="19" t="str">
        <f>IF('Rekapitulácia stavby'!E17="","",'Rekapitulácia stavby'!E17)</f>
        <v xml:space="preserve"> </v>
      </c>
      <c r="I21" s="528" t="s">
        <v>20</v>
      </c>
      <c r="J21" s="19" t="str">
        <f>IF('Rekapitulácia stavby'!AN17="","",'Rekapitulácia stavby'!AN17)</f>
        <v/>
      </c>
      <c r="L21" s="24"/>
    </row>
    <row r="22" spans="2:12" s="1" customFormat="1" ht="7.05" customHeight="1" x14ac:dyDescent="0.2">
      <c r="B22" s="24"/>
      <c r="D22" s="521"/>
      <c r="I22" s="521"/>
      <c r="L22" s="24"/>
    </row>
    <row r="23" spans="2:12" s="1" customFormat="1" ht="12" customHeight="1" x14ac:dyDescent="0.2">
      <c r="B23" s="24"/>
      <c r="D23" s="528" t="s">
        <v>24</v>
      </c>
      <c r="I23" s="528" t="s">
        <v>19</v>
      </c>
      <c r="J23" s="19" t="str">
        <f>IF('Rekapitulácia stavby'!AN19="","",'Rekapitulácia stavby'!AN19)</f>
        <v/>
      </c>
      <c r="L23" s="24"/>
    </row>
    <row r="24" spans="2:12" s="1" customFormat="1" ht="18" customHeight="1" x14ac:dyDescent="0.2">
      <c r="B24" s="24"/>
      <c r="D24" s="521"/>
      <c r="E24" s="19" t="str">
        <f>IF('Rekapitulácia stavby'!E20="","",'Rekapitulácia stavby'!E20)</f>
        <v xml:space="preserve"> </v>
      </c>
      <c r="I24" s="528" t="s">
        <v>20</v>
      </c>
      <c r="J24" s="19" t="str">
        <f>IF('Rekapitulácia stavby'!AN20="","",'Rekapitulácia stavby'!AN20)</f>
        <v/>
      </c>
      <c r="L24" s="24"/>
    </row>
    <row r="25" spans="2:12" s="1" customFormat="1" ht="7.05" customHeight="1" x14ac:dyDescent="0.2">
      <c r="B25" s="24"/>
      <c r="D25" s="521"/>
      <c r="L25" s="24"/>
    </row>
    <row r="26" spans="2:12" s="1" customFormat="1" ht="12" customHeight="1" x14ac:dyDescent="0.2">
      <c r="B26" s="24"/>
      <c r="D26" s="528" t="s">
        <v>25</v>
      </c>
      <c r="L26" s="24"/>
    </row>
    <row r="27" spans="2:12" s="7" customFormat="1" ht="16.5" customHeight="1" x14ac:dyDescent="0.2">
      <c r="B27" s="75"/>
      <c r="E27" s="1228" t="s">
        <v>1</v>
      </c>
      <c r="F27" s="1228"/>
      <c r="G27" s="1228"/>
      <c r="H27" s="1228"/>
      <c r="L27" s="75"/>
    </row>
    <row r="28" spans="2:12" s="1" customFormat="1" ht="7.05" customHeight="1" x14ac:dyDescent="0.2">
      <c r="B28" s="24"/>
      <c r="L28" s="24"/>
    </row>
    <row r="29" spans="2:12" s="1" customFormat="1" ht="7.05" customHeight="1" x14ac:dyDescent="0.2">
      <c r="B29" s="24"/>
      <c r="D29" s="40"/>
      <c r="E29" s="40"/>
      <c r="F29" s="40"/>
      <c r="G29" s="40"/>
      <c r="H29" s="40"/>
      <c r="I29" s="40"/>
      <c r="J29" s="40"/>
      <c r="K29" s="40"/>
      <c r="L29" s="24"/>
    </row>
    <row r="30" spans="2:12" s="1" customFormat="1" ht="25.2" customHeight="1" x14ac:dyDescent="0.2">
      <c r="B30" s="24"/>
      <c r="D30" s="76" t="s">
        <v>26</v>
      </c>
      <c r="J30" s="53">
        <f>ROUND(J127, 2)</f>
        <v>11380.57</v>
      </c>
      <c r="L30" s="24"/>
    </row>
    <row r="31" spans="2:12" s="1" customFormat="1" ht="7.05" customHeight="1" x14ac:dyDescent="0.2">
      <c r="B31" s="24"/>
      <c r="D31" s="40"/>
      <c r="E31" s="40"/>
      <c r="F31" s="40"/>
      <c r="G31" s="40"/>
      <c r="H31" s="40"/>
      <c r="I31" s="40"/>
      <c r="J31" s="40"/>
      <c r="K31" s="40"/>
      <c r="L31" s="24"/>
    </row>
    <row r="32" spans="2:12" s="1" customFormat="1" ht="14.55" customHeight="1" x14ac:dyDescent="0.2">
      <c r="B32" s="24"/>
      <c r="D32" s="521"/>
      <c r="E32" s="521"/>
      <c r="F32" s="534" t="s">
        <v>28</v>
      </c>
      <c r="G32" s="521"/>
      <c r="H32" s="521"/>
      <c r="I32" s="534" t="s">
        <v>27</v>
      </c>
      <c r="J32" s="534" t="s">
        <v>29</v>
      </c>
      <c r="L32" s="24"/>
    </row>
    <row r="33" spans="2:12" s="1" customFormat="1" ht="14.55" customHeight="1" x14ac:dyDescent="0.2">
      <c r="B33" s="24"/>
      <c r="D33" s="13" t="s">
        <v>30</v>
      </c>
      <c r="E33" s="528" t="s">
        <v>31</v>
      </c>
      <c r="F33" s="398">
        <f>ROUND((SUM(BE127:BE167)),  2)</f>
        <v>0</v>
      </c>
      <c r="G33" s="521"/>
      <c r="H33" s="521"/>
      <c r="I33" s="535">
        <v>0.2</v>
      </c>
      <c r="J33" s="398">
        <f>ROUND(((SUM(BE127:BE167))*I33),  2)</f>
        <v>0</v>
      </c>
      <c r="L33" s="24"/>
    </row>
    <row r="34" spans="2:12" s="1" customFormat="1" ht="14.55" customHeight="1" x14ac:dyDescent="0.2">
      <c r="B34" s="24"/>
      <c r="D34" s="521"/>
      <c r="E34" s="528" t="s">
        <v>32</v>
      </c>
      <c r="F34" s="398">
        <f>ROUND((SUM(BF127:BF167)),  2)</f>
        <v>11380.57</v>
      </c>
      <c r="G34" s="521"/>
      <c r="H34" s="521"/>
      <c r="I34" s="535">
        <v>0.2</v>
      </c>
      <c r="J34" s="398">
        <f>ROUND(((SUM(BF127:BF167))*I34),  2)</f>
        <v>2276.11</v>
      </c>
      <c r="L34" s="24"/>
    </row>
    <row r="35" spans="2:12" s="1" customFormat="1" ht="14.55" hidden="1" customHeight="1" x14ac:dyDescent="0.2">
      <c r="B35" s="24"/>
      <c r="E35" s="21" t="s">
        <v>33</v>
      </c>
      <c r="F35" s="78">
        <f>ROUND((SUM(BG127:BG167)),  2)</f>
        <v>0</v>
      </c>
      <c r="I35" s="79">
        <v>0.2</v>
      </c>
      <c r="J35" s="78">
        <f>0</f>
        <v>0</v>
      </c>
      <c r="L35" s="24"/>
    </row>
    <row r="36" spans="2:12" s="1" customFormat="1" ht="14.55" hidden="1" customHeight="1" x14ac:dyDescent="0.2">
      <c r="B36" s="24"/>
      <c r="E36" s="21" t="s">
        <v>34</v>
      </c>
      <c r="F36" s="78">
        <f>ROUND((SUM(BH127:BH167)),  2)</f>
        <v>0</v>
      </c>
      <c r="I36" s="79">
        <v>0.2</v>
      </c>
      <c r="J36" s="78">
        <f>0</f>
        <v>0</v>
      </c>
      <c r="L36" s="24"/>
    </row>
    <row r="37" spans="2:12" s="1" customFormat="1" ht="14.55" hidden="1" customHeight="1" x14ac:dyDescent="0.2">
      <c r="B37" s="24"/>
      <c r="E37" s="21" t="s">
        <v>35</v>
      </c>
      <c r="F37" s="78">
        <f>ROUND((SUM(BI127:BI167)),  2)</f>
        <v>0</v>
      </c>
      <c r="I37" s="79">
        <v>0</v>
      </c>
      <c r="J37" s="78">
        <f>0</f>
        <v>0</v>
      </c>
      <c r="L37" s="24"/>
    </row>
    <row r="38" spans="2:12" s="1" customFormat="1" ht="7.05" customHeight="1" x14ac:dyDescent="0.2">
      <c r="B38" s="24"/>
      <c r="L38" s="24"/>
    </row>
    <row r="39" spans="2:12" s="1" customFormat="1" ht="25.2" customHeight="1" x14ac:dyDescent="0.2">
      <c r="B39" s="24"/>
      <c r="C39" s="80"/>
      <c r="D39" s="81" t="s">
        <v>36</v>
      </c>
      <c r="E39" s="44"/>
      <c r="F39" s="44"/>
      <c r="G39" s="82" t="s">
        <v>37</v>
      </c>
      <c r="H39" s="83" t="s">
        <v>38</v>
      </c>
      <c r="I39" s="44"/>
      <c r="J39" s="84">
        <f>SUM(J30:J37)</f>
        <v>13656.68</v>
      </c>
      <c r="K39" s="85"/>
      <c r="L39" s="24"/>
    </row>
    <row r="40" spans="2:12" s="1" customFormat="1" ht="14.55" customHeight="1" x14ac:dyDescent="0.2">
      <c r="B40" s="24"/>
      <c r="L40" s="24"/>
    </row>
    <row r="41" spans="2:12" ht="14.55" customHeight="1" x14ac:dyDescent="0.2">
      <c r="B41" s="16"/>
      <c r="L41" s="16"/>
    </row>
    <row r="42" spans="2:12" ht="14.55" customHeight="1" x14ac:dyDescent="0.2">
      <c r="B42" s="16"/>
      <c r="L42" s="16"/>
    </row>
    <row r="43" spans="2:12" ht="14.55" customHeight="1" x14ac:dyDescent="0.2">
      <c r="B43" s="16"/>
      <c r="L43" s="16"/>
    </row>
    <row r="44" spans="2:12" ht="14.55" customHeight="1" x14ac:dyDescent="0.2">
      <c r="B44" s="16"/>
      <c r="L44" s="16"/>
    </row>
    <row r="45" spans="2:12" ht="14.55" customHeight="1" x14ac:dyDescent="0.2">
      <c r="B45" s="16"/>
      <c r="L45" s="16"/>
    </row>
    <row r="46" spans="2:12" ht="14.55" customHeight="1" x14ac:dyDescent="0.2">
      <c r="B46" s="16"/>
      <c r="L46" s="16"/>
    </row>
    <row r="47" spans="2:12" ht="14.55" customHeight="1" x14ac:dyDescent="0.2">
      <c r="B47" s="16"/>
      <c r="L47" s="16"/>
    </row>
    <row r="48" spans="2:12" ht="14.55" customHeight="1" x14ac:dyDescent="0.2">
      <c r="B48" s="16"/>
      <c r="L48" s="16"/>
    </row>
    <row r="49" spans="2:12" ht="14.55" customHeight="1" x14ac:dyDescent="0.2">
      <c r="B49" s="16"/>
      <c r="D49" s="156"/>
      <c r="E49" s="156"/>
      <c r="F49" s="156"/>
      <c r="G49" s="156"/>
      <c r="H49" s="156"/>
      <c r="I49" s="156"/>
      <c r="J49" s="156"/>
      <c r="L49" s="16"/>
    </row>
    <row r="50" spans="2:12" s="1" customFormat="1" ht="14.55" customHeight="1" x14ac:dyDescent="0.2">
      <c r="B50" s="24"/>
      <c r="D50" s="530"/>
      <c r="E50" s="523"/>
      <c r="F50" s="523"/>
      <c r="G50" s="530"/>
      <c r="H50" s="523"/>
      <c r="I50" s="523"/>
      <c r="J50" s="523"/>
      <c r="K50" s="32"/>
      <c r="L50" s="24"/>
    </row>
    <row r="51" spans="2:12" x14ac:dyDescent="0.2">
      <c r="B51" s="16"/>
      <c r="D51" s="156"/>
      <c r="E51" s="156"/>
      <c r="F51" s="156"/>
      <c r="G51" s="156"/>
      <c r="H51" s="156"/>
      <c r="I51" s="156"/>
      <c r="J51" s="156"/>
      <c r="L51" s="16"/>
    </row>
    <row r="52" spans="2:12" x14ac:dyDescent="0.2">
      <c r="B52" s="16"/>
      <c r="D52" s="156"/>
      <c r="E52" s="156"/>
      <c r="F52" s="156"/>
      <c r="G52" s="156"/>
      <c r="H52" s="156"/>
      <c r="I52" s="156"/>
      <c r="J52" s="156"/>
      <c r="L52" s="16"/>
    </row>
    <row r="53" spans="2:12" x14ac:dyDescent="0.2">
      <c r="B53" s="16"/>
      <c r="D53" s="156"/>
      <c r="E53" s="156"/>
      <c r="F53" s="156"/>
      <c r="G53" s="156"/>
      <c r="H53" s="156"/>
      <c r="I53" s="156"/>
      <c r="J53" s="156"/>
      <c r="L53" s="16"/>
    </row>
    <row r="54" spans="2:12" x14ac:dyDescent="0.2">
      <c r="B54" s="16"/>
      <c r="D54" s="156"/>
      <c r="E54" s="156"/>
      <c r="F54" s="156"/>
      <c r="G54" s="156"/>
      <c r="H54" s="156"/>
      <c r="I54" s="156"/>
      <c r="J54" s="156"/>
      <c r="L54" s="16"/>
    </row>
    <row r="55" spans="2:12" x14ac:dyDescent="0.2">
      <c r="B55" s="16"/>
      <c r="D55" s="156"/>
      <c r="E55" s="156"/>
      <c r="F55" s="156"/>
      <c r="G55" s="156"/>
      <c r="H55" s="156"/>
      <c r="I55" s="156"/>
      <c r="J55" s="156"/>
      <c r="L55" s="16"/>
    </row>
    <row r="56" spans="2:12" x14ac:dyDescent="0.2">
      <c r="B56" s="16"/>
      <c r="D56" s="156"/>
      <c r="E56" s="156"/>
      <c r="F56" s="156"/>
      <c r="G56" s="156"/>
      <c r="H56" s="156"/>
      <c r="I56" s="156"/>
      <c r="J56" s="156"/>
      <c r="L56" s="16"/>
    </row>
    <row r="57" spans="2:12" x14ac:dyDescent="0.2">
      <c r="B57" s="16"/>
      <c r="D57" s="156"/>
      <c r="E57" s="156"/>
      <c r="F57" s="156"/>
      <c r="G57" s="156"/>
      <c r="H57" s="156"/>
      <c r="I57" s="156"/>
      <c r="J57" s="156"/>
      <c r="L57" s="16"/>
    </row>
    <row r="58" spans="2:12" x14ac:dyDescent="0.2">
      <c r="B58" s="16"/>
      <c r="D58" s="156"/>
      <c r="E58" s="156"/>
      <c r="F58" s="156"/>
      <c r="G58" s="156"/>
      <c r="H58" s="156"/>
      <c r="I58" s="156"/>
      <c r="J58" s="156"/>
      <c r="L58" s="16"/>
    </row>
    <row r="59" spans="2:12" x14ac:dyDescent="0.2">
      <c r="B59" s="16"/>
      <c r="D59" s="156"/>
      <c r="E59" s="156"/>
      <c r="F59" s="156"/>
      <c r="G59" s="156"/>
      <c r="H59" s="156"/>
      <c r="I59" s="156"/>
      <c r="J59" s="156"/>
      <c r="L59" s="16"/>
    </row>
    <row r="60" spans="2:12" x14ac:dyDescent="0.2">
      <c r="B60" s="16"/>
      <c r="D60" s="156"/>
      <c r="E60" s="156"/>
      <c r="F60" s="156"/>
      <c r="G60" s="156"/>
      <c r="H60" s="156"/>
      <c r="I60" s="156"/>
      <c r="J60" s="156"/>
      <c r="L60" s="16"/>
    </row>
    <row r="61" spans="2:12" s="1" customFormat="1" ht="13.2" x14ac:dyDescent="0.2">
      <c r="B61" s="24"/>
      <c r="D61" s="522"/>
      <c r="E61" s="523"/>
      <c r="F61" s="536"/>
      <c r="G61" s="522"/>
      <c r="H61" s="523"/>
      <c r="I61" s="523"/>
      <c r="J61" s="169"/>
      <c r="K61" s="26"/>
      <c r="L61" s="24"/>
    </row>
    <row r="62" spans="2:12" x14ac:dyDescent="0.2">
      <c r="B62" s="16"/>
      <c r="D62" s="156"/>
      <c r="E62" s="156"/>
      <c r="F62" s="156"/>
      <c r="G62" s="156"/>
      <c r="H62" s="156"/>
      <c r="I62" s="156"/>
      <c r="J62" s="156"/>
      <c r="L62" s="16"/>
    </row>
    <row r="63" spans="2:12" x14ac:dyDescent="0.2">
      <c r="B63" s="16"/>
      <c r="D63" s="156"/>
      <c r="E63" s="156"/>
      <c r="F63" s="156"/>
      <c r="G63" s="156"/>
      <c r="H63" s="156"/>
      <c r="I63" s="156"/>
      <c r="J63" s="156"/>
      <c r="L63" s="16"/>
    </row>
    <row r="64" spans="2:12" x14ac:dyDescent="0.2">
      <c r="B64" s="16"/>
      <c r="D64" s="156"/>
      <c r="E64" s="156"/>
      <c r="F64" s="156"/>
      <c r="G64" s="156"/>
      <c r="H64" s="156"/>
      <c r="I64" s="156"/>
      <c r="J64" s="156"/>
      <c r="L64" s="16"/>
    </row>
    <row r="65" spans="2:12" s="1" customFormat="1" ht="13.2" x14ac:dyDescent="0.2">
      <c r="B65" s="24"/>
      <c r="D65" s="530"/>
      <c r="E65" s="523"/>
      <c r="F65" s="523"/>
      <c r="G65" s="530"/>
      <c r="H65" s="523"/>
      <c r="I65" s="523"/>
      <c r="J65" s="523"/>
      <c r="K65" s="32"/>
      <c r="L65" s="24"/>
    </row>
    <row r="66" spans="2:12" x14ac:dyDescent="0.2">
      <c r="B66" s="16"/>
      <c r="D66" s="156"/>
      <c r="E66" s="156"/>
      <c r="F66" s="156"/>
      <c r="G66" s="156"/>
      <c r="H66" s="156"/>
      <c r="I66" s="156"/>
      <c r="J66" s="156"/>
      <c r="L66" s="16"/>
    </row>
    <row r="67" spans="2:12" x14ac:dyDescent="0.2">
      <c r="B67" s="16"/>
      <c r="D67" s="156"/>
      <c r="E67" s="156"/>
      <c r="F67" s="156"/>
      <c r="G67" s="156"/>
      <c r="H67" s="156"/>
      <c r="I67" s="156"/>
      <c r="J67" s="156"/>
      <c r="L67" s="16"/>
    </row>
    <row r="68" spans="2:12" x14ac:dyDescent="0.2">
      <c r="B68" s="16"/>
      <c r="D68" s="156"/>
      <c r="E68" s="156"/>
      <c r="F68" s="156"/>
      <c r="G68" s="156"/>
      <c r="H68" s="156"/>
      <c r="I68" s="156"/>
      <c r="J68" s="156"/>
      <c r="L68" s="16"/>
    </row>
    <row r="69" spans="2:12" x14ac:dyDescent="0.2">
      <c r="B69" s="16"/>
      <c r="D69" s="156"/>
      <c r="E69" s="156"/>
      <c r="F69" s="156"/>
      <c r="G69" s="156"/>
      <c r="H69" s="156"/>
      <c r="I69" s="156"/>
      <c r="J69" s="156"/>
      <c r="L69" s="16"/>
    </row>
    <row r="70" spans="2:12" x14ac:dyDescent="0.2">
      <c r="B70" s="16"/>
      <c r="D70" s="156"/>
      <c r="E70" s="156"/>
      <c r="F70" s="156"/>
      <c r="G70" s="156"/>
      <c r="H70" s="156"/>
      <c r="I70" s="156"/>
      <c r="J70" s="156"/>
      <c r="L70" s="16"/>
    </row>
    <row r="71" spans="2:12" x14ac:dyDescent="0.2">
      <c r="B71" s="16"/>
      <c r="D71" s="156"/>
      <c r="E71" s="156"/>
      <c r="F71" s="156"/>
      <c r="G71" s="156"/>
      <c r="H71" s="156"/>
      <c r="I71" s="156"/>
      <c r="J71" s="156"/>
      <c r="L71" s="16"/>
    </row>
    <row r="72" spans="2:12" x14ac:dyDescent="0.2">
      <c r="B72" s="16"/>
      <c r="D72" s="156"/>
      <c r="E72" s="156"/>
      <c r="F72" s="156"/>
      <c r="G72" s="156"/>
      <c r="H72" s="156"/>
      <c r="I72" s="156"/>
      <c r="J72" s="156"/>
      <c r="L72" s="16"/>
    </row>
    <row r="73" spans="2:12" x14ac:dyDescent="0.2">
      <c r="B73" s="16"/>
      <c r="D73" s="156"/>
      <c r="E73" s="156"/>
      <c r="F73" s="156"/>
      <c r="G73" s="156"/>
      <c r="H73" s="156"/>
      <c r="I73" s="156"/>
      <c r="J73" s="156"/>
      <c r="L73" s="16"/>
    </row>
    <row r="74" spans="2:12" x14ac:dyDescent="0.2">
      <c r="B74" s="16"/>
      <c r="D74" s="156"/>
      <c r="E74" s="156"/>
      <c r="F74" s="156"/>
      <c r="G74" s="156"/>
      <c r="H74" s="156"/>
      <c r="I74" s="156"/>
      <c r="J74" s="156"/>
      <c r="L74" s="16"/>
    </row>
    <row r="75" spans="2:12" x14ac:dyDescent="0.2">
      <c r="B75" s="16"/>
      <c r="D75" s="156"/>
      <c r="E75" s="156"/>
      <c r="F75" s="156"/>
      <c r="G75" s="156"/>
      <c r="H75" s="156"/>
      <c r="I75" s="156"/>
      <c r="J75" s="156"/>
      <c r="L75" s="16"/>
    </row>
    <row r="76" spans="2:12" s="1" customFormat="1" ht="13.2" x14ac:dyDescent="0.2">
      <c r="B76" s="24"/>
      <c r="D76" s="522"/>
      <c r="E76" s="523"/>
      <c r="F76" s="536"/>
      <c r="G76" s="522"/>
      <c r="H76" s="523"/>
      <c r="I76" s="523"/>
      <c r="J76" s="169"/>
      <c r="K76" s="26"/>
      <c r="L76" s="24"/>
    </row>
    <row r="77" spans="2:12" s="1" customFormat="1" ht="14.55" customHeight="1" x14ac:dyDescent="0.2">
      <c r="B77" s="33"/>
      <c r="C77" s="34"/>
      <c r="D77" s="34"/>
      <c r="E77" s="34"/>
      <c r="F77" s="34"/>
      <c r="G77" s="34"/>
      <c r="H77" s="34"/>
      <c r="I77" s="34"/>
      <c r="J77" s="34"/>
      <c r="K77" s="34"/>
      <c r="L77" s="24"/>
    </row>
    <row r="81" spans="2:47" s="1" customFormat="1" ht="7.05" customHeight="1" x14ac:dyDescent="0.2">
      <c r="B81" s="35"/>
      <c r="C81" s="36"/>
      <c r="D81" s="36"/>
      <c r="E81" s="36"/>
      <c r="F81" s="36"/>
      <c r="G81" s="36"/>
      <c r="H81" s="36"/>
      <c r="I81" s="36"/>
      <c r="J81" s="36"/>
      <c r="K81" s="36"/>
      <c r="L81" s="24"/>
    </row>
    <row r="82" spans="2:47" s="1" customFormat="1" ht="25.05" customHeight="1" x14ac:dyDescent="0.2">
      <c r="B82" s="1256" t="s">
        <v>188</v>
      </c>
      <c r="C82" s="1165"/>
      <c r="D82" s="1165"/>
      <c r="E82" s="1165"/>
      <c r="F82" s="1165"/>
      <c r="G82" s="1165"/>
      <c r="H82" s="1165"/>
      <c r="I82" s="1165"/>
      <c r="J82" s="1165"/>
      <c r="L82" s="24"/>
    </row>
    <row r="83" spans="2:47" s="1" customFormat="1" ht="7.05" customHeight="1" x14ac:dyDescent="0.2">
      <c r="B83" s="24"/>
      <c r="L83" s="24"/>
    </row>
    <row r="84" spans="2:47" s="1" customFormat="1" ht="12" customHeight="1" x14ac:dyDescent="0.2">
      <c r="B84" s="24"/>
      <c r="C84" s="528" t="s">
        <v>12</v>
      </c>
      <c r="E84" s="1242" t="s">
        <v>6177</v>
      </c>
      <c r="F84" s="1242"/>
      <c r="G84" s="1242"/>
      <c r="H84" s="1242"/>
      <c r="I84" s="1242"/>
      <c r="J84" s="1242"/>
      <c r="L84" s="24"/>
    </row>
    <row r="85" spans="2:47" s="1" customFormat="1" ht="22.2" customHeight="1" x14ac:dyDescent="0.2">
      <c r="B85" s="24"/>
      <c r="C85" s="521"/>
      <c r="E85" s="1243"/>
      <c r="F85" s="1244"/>
      <c r="G85" s="1244"/>
      <c r="H85" s="1244"/>
      <c r="L85" s="24"/>
    </row>
    <row r="86" spans="2:47" s="1" customFormat="1" ht="12" customHeight="1" x14ac:dyDescent="0.2">
      <c r="B86" s="24"/>
      <c r="C86" s="528" t="s">
        <v>186</v>
      </c>
      <c r="F86" s="532" t="s">
        <v>3498</v>
      </c>
      <c r="L86" s="24"/>
    </row>
    <row r="87" spans="2:47" s="1" customFormat="1" ht="16.5" customHeight="1" x14ac:dyDescent="0.2">
      <c r="B87" s="24"/>
      <c r="C87" s="521"/>
      <c r="E87" s="1251"/>
      <c r="F87" s="1252"/>
      <c r="G87" s="1252"/>
      <c r="H87" s="1252"/>
      <c r="L87" s="24"/>
    </row>
    <row r="88" spans="2:47" s="1" customFormat="1" ht="7.05" customHeight="1" x14ac:dyDescent="0.2">
      <c r="B88" s="24"/>
      <c r="C88" s="521"/>
      <c r="L88" s="24"/>
    </row>
    <row r="89" spans="2:47" s="1" customFormat="1" ht="12" customHeight="1" x14ac:dyDescent="0.2">
      <c r="B89" s="24"/>
      <c r="C89" s="528" t="s">
        <v>15</v>
      </c>
      <c r="F89" s="19" t="str">
        <f>F12</f>
        <v>Kuzmányho nábrežie 28, 960 01 Zvolen</v>
      </c>
      <c r="I89" s="528" t="s">
        <v>17</v>
      </c>
      <c r="J89" s="39" t="str">
        <f>IF(J12="","",J12)</f>
        <v/>
      </c>
      <c r="L89" s="24"/>
    </row>
    <row r="90" spans="2:47" s="1" customFormat="1" ht="7.05" customHeight="1" x14ac:dyDescent="0.2">
      <c r="B90" s="24"/>
      <c r="C90" s="521"/>
      <c r="I90" s="521"/>
      <c r="L90" s="24"/>
    </row>
    <row r="91" spans="2:47" s="1" customFormat="1" ht="15.3" customHeight="1" x14ac:dyDescent="0.2">
      <c r="B91" s="24"/>
      <c r="C91" s="528" t="s">
        <v>18</v>
      </c>
      <c r="F91" s="529" t="s">
        <v>6175</v>
      </c>
      <c r="I91" s="528" t="s">
        <v>22</v>
      </c>
      <c r="J91" s="22" t="str">
        <f>E21</f>
        <v xml:space="preserve"> </v>
      </c>
      <c r="L91" s="24"/>
    </row>
    <row r="92" spans="2:47" s="1" customFormat="1" ht="15.3" customHeight="1" x14ac:dyDescent="0.2">
      <c r="B92" s="24"/>
      <c r="C92" s="520" t="s">
        <v>21</v>
      </c>
      <c r="F92" s="529" t="s">
        <v>5202</v>
      </c>
      <c r="I92" s="528" t="s">
        <v>24</v>
      </c>
      <c r="J92" s="22" t="str">
        <f>E24</f>
        <v xml:space="preserve"> </v>
      </c>
      <c r="L92" s="24"/>
    </row>
    <row r="93" spans="2:47" s="1" customFormat="1" ht="10.199999999999999" customHeight="1" x14ac:dyDescent="0.2">
      <c r="B93" s="24"/>
      <c r="L93" s="24"/>
    </row>
    <row r="94" spans="2:47" s="1" customFormat="1" ht="29.25" customHeight="1" x14ac:dyDescent="0.2">
      <c r="B94" s="24"/>
      <c r="C94" s="86" t="s">
        <v>189</v>
      </c>
      <c r="D94" s="80"/>
      <c r="E94" s="80"/>
      <c r="F94" s="80"/>
      <c r="G94" s="80"/>
      <c r="H94" s="80"/>
      <c r="I94" s="80"/>
      <c r="J94" s="87" t="s">
        <v>190</v>
      </c>
      <c r="K94" s="80"/>
      <c r="L94" s="24"/>
    </row>
    <row r="95" spans="2:47" s="1" customFormat="1" ht="10.199999999999999" customHeight="1" x14ac:dyDescent="0.2">
      <c r="B95" s="24"/>
      <c r="L95" s="24"/>
    </row>
    <row r="96" spans="2:47" s="1" customFormat="1" ht="22.95" customHeight="1" x14ac:dyDescent="0.2">
      <c r="B96" s="24"/>
      <c r="C96" s="88" t="s">
        <v>191</v>
      </c>
      <c r="J96" s="53">
        <f>J127</f>
        <v>11380.57</v>
      </c>
      <c r="L96" s="24"/>
      <c r="AU96" s="13" t="s">
        <v>192</v>
      </c>
    </row>
    <row r="97" spans="2:12" s="8" customFormat="1" ht="25.05" customHeight="1" x14ac:dyDescent="0.2">
      <c r="B97" s="89"/>
      <c r="D97" s="90" t="s">
        <v>3499</v>
      </c>
      <c r="E97" s="91"/>
      <c r="F97" s="91"/>
      <c r="G97" s="91"/>
      <c r="H97" s="91"/>
      <c r="I97" s="91"/>
      <c r="J97" s="92">
        <f>J128</f>
        <v>207.23</v>
      </c>
      <c r="L97" s="89"/>
    </row>
    <row r="98" spans="2:12" s="9" customFormat="1" ht="19.95" customHeight="1" x14ac:dyDescent="0.2">
      <c r="B98" s="93"/>
      <c r="D98" s="94" t="s">
        <v>3500</v>
      </c>
      <c r="E98" s="95"/>
      <c r="F98" s="95"/>
      <c r="G98" s="95"/>
      <c r="H98" s="95"/>
      <c r="I98" s="95"/>
      <c r="J98" s="96">
        <f>J129</f>
        <v>207.23</v>
      </c>
      <c r="L98" s="93"/>
    </row>
    <row r="99" spans="2:12" s="8" customFormat="1" ht="25.05" customHeight="1" x14ac:dyDescent="0.2">
      <c r="B99" s="89"/>
      <c r="D99" s="90" t="s">
        <v>3501</v>
      </c>
      <c r="E99" s="91"/>
      <c r="F99" s="91"/>
      <c r="G99" s="91"/>
      <c r="H99" s="91"/>
      <c r="I99" s="91"/>
      <c r="J99" s="92">
        <f>J133</f>
        <v>782.41000000000008</v>
      </c>
      <c r="L99" s="89"/>
    </row>
    <row r="100" spans="2:12" s="9" customFormat="1" ht="19.95" customHeight="1" x14ac:dyDescent="0.2">
      <c r="B100" s="93"/>
      <c r="D100" s="94" t="s">
        <v>3502</v>
      </c>
      <c r="E100" s="95"/>
      <c r="F100" s="95"/>
      <c r="G100" s="95"/>
      <c r="H100" s="95"/>
      <c r="I100" s="95"/>
      <c r="J100" s="96">
        <f>J134</f>
        <v>782.41000000000008</v>
      </c>
      <c r="L100" s="93"/>
    </row>
    <row r="101" spans="2:12" s="8" customFormat="1" ht="25.05" customHeight="1" x14ac:dyDescent="0.2">
      <c r="B101" s="89"/>
      <c r="D101" s="90" t="s">
        <v>3503</v>
      </c>
      <c r="E101" s="91"/>
      <c r="F101" s="91"/>
      <c r="G101" s="91"/>
      <c r="H101" s="91"/>
      <c r="I101" s="91"/>
      <c r="J101" s="92">
        <f>J139</f>
        <v>167.2</v>
      </c>
      <c r="L101" s="89"/>
    </row>
    <row r="102" spans="2:12" s="9" customFormat="1" ht="19.95" customHeight="1" x14ac:dyDescent="0.2">
      <c r="B102" s="93"/>
      <c r="D102" s="94" t="s">
        <v>3504</v>
      </c>
      <c r="E102" s="95"/>
      <c r="F102" s="95"/>
      <c r="G102" s="95"/>
      <c r="H102" s="95"/>
      <c r="I102" s="95"/>
      <c r="J102" s="96">
        <f>J140</f>
        <v>167.2</v>
      </c>
      <c r="L102" s="93"/>
    </row>
    <row r="103" spans="2:12" s="8" customFormat="1" ht="25.05" customHeight="1" x14ac:dyDescent="0.2">
      <c r="B103" s="89"/>
      <c r="D103" s="90" t="s">
        <v>3505</v>
      </c>
      <c r="E103" s="91"/>
      <c r="F103" s="91"/>
      <c r="G103" s="91"/>
      <c r="H103" s="91"/>
      <c r="I103" s="91"/>
      <c r="J103" s="92">
        <f>J142</f>
        <v>164.89999999999998</v>
      </c>
      <c r="L103" s="89"/>
    </row>
    <row r="104" spans="2:12" s="9" customFormat="1" ht="19.95" customHeight="1" x14ac:dyDescent="0.2">
      <c r="B104" s="93"/>
      <c r="D104" s="94" t="s">
        <v>3506</v>
      </c>
      <c r="E104" s="95"/>
      <c r="F104" s="95"/>
      <c r="G104" s="95"/>
      <c r="H104" s="95"/>
      <c r="I104" s="95"/>
      <c r="J104" s="96">
        <f>J143</f>
        <v>164.89999999999998</v>
      </c>
      <c r="L104" s="93"/>
    </row>
    <row r="105" spans="2:12" s="8" customFormat="1" ht="25.05" customHeight="1" x14ac:dyDescent="0.2">
      <c r="B105" s="89"/>
      <c r="D105" s="90" t="s">
        <v>3507</v>
      </c>
      <c r="E105" s="91"/>
      <c r="F105" s="91"/>
      <c r="G105" s="91"/>
      <c r="H105" s="91"/>
      <c r="I105" s="91"/>
      <c r="J105" s="92">
        <f>J146</f>
        <v>2947.4799999999996</v>
      </c>
      <c r="L105" s="89"/>
    </row>
    <row r="106" spans="2:12" s="9" customFormat="1" ht="19.95" customHeight="1" x14ac:dyDescent="0.2">
      <c r="B106" s="93"/>
      <c r="D106" s="94" t="s">
        <v>3508</v>
      </c>
      <c r="E106" s="95"/>
      <c r="F106" s="95"/>
      <c r="G106" s="95"/>
      <c r="H106" s="95"/>
      <c r="I106" s="95"/>
      <c r="J106" s="96">
        <f>J149</f>
        <v>2592.3399999999997</v>
      </c>
      <c r="L106" s="93"/>
    </row>
    <row r="107" spans="2:12" s="8" customFormat="1" ht="25.05" customHeight="1" x14ac:dyDescent="0.2">
      <c r="B107" s="89"/>
      <c r="D107" s="90" t="s">
        <v>3509</v>
      </c>
      <c r="E107" s="91"/>
      <c r="F107" s="91"/>
      <c r="G107" s="91"/>
      <c r="H107" s="91"/>
      <c r="I107" s="91"/>
      <c r="J107" s="92">
        <f>J158</f>
        <v>7111.35</v>
      </c>
      <c r="L107" s="89"/>
    </row>
    <row r="108" spans="2:12" s="1" customFormat="1" ht="21.75" customHeight="1" x14ac:dyDescent="0.2">
      <c r="B108" s="24"/>
      <c r="L108" s="24"/>
    </row>
    <row r="109" spans="2:12" s="1" customFormat="1" ht="7.05" customHeight="1" x14ac:dyDescent="0.2">
      <c r="B109" s="33"/>
      <c r="C109" s="34"/>
      <c r="D109" s="34"/>
      <c r="E109" s="34"/>
      <c r="F109" s="34"/>
      <c r="G109" s="34"/>
      <c r="H109" s="34"/>
      <c r="I109" s="34"/>
      <c r="J109" s="34"/>
      <c r="K109" s="34"/>
      <c r="L109" s="24"/>
    </row>
    <row r="113" spans="2:63" s="1" customFormat="1" ht="7.05" customHeight="1" x14ac:dyDescent="0.2">
      <c r="B113" s="35"/>
      <c r="C113" s="36"/>
      <c r="D113" s="36"/>
      <c r="E113" s="36"/>
      <c r="F113" s="36"/>
      <c r="G113" s="36"/>
      <c r="H113" s="36"/>
      <c r="I113" s="36"/>
      <c r="J113" s="36"/>
      <c r="K113" s="36"/>
      <c r="L113" s="24"/>
    </row>
    <row r="114" spans="2:63" s="1" customFormat="1" ht="25.05" customHeight="1" x14ac:dyDescent="0.2">
      <c r="B114" s="1256" t="s">
        <v>214</v>
      </c>
      <c r="C114" s="1165"/>
      <c r="D114" s="1165"/>
      <c r="E114" s="1165"/>
      <c r="F114" s="1165"/>
      <c r="G114" s="1165"/>
      <c r="H114" s="1165"/>
      <c r="I114" s="1165"/>
      <c r="J114" s="1165"/>
      <c r="L114" s="24"/>
    </row>
    <row r="115" spans="2:63" s="1" customFormat="1" ht="7.05" customHeight="1" x14ac:dyDescent="0.2">
      <c r="B115" s="24"/>
      <c r="L115" s="24"/>
    </row>
    <row r="116" spans="2:63" s="1" customFormat="1" ht="12" customHeight="1" x14ac:dyDescent="0.2">
      <c r="B116" s="24"/>
      <c r="C116" s="528" t="s">
        <v>12</v>
      </c>
      <c r="E116" s="1242" t="s">
        <v>6177</v>
      </c>
      <c r="F116" s="1242"/>
      <c r="G116" s="1242"/>
      <c r="H116" s="1242"/>
      <c r="I116" s="1242"/>
      <c r="J116" s="1242"/>
      <c r="L116" s="24"/>
    </row>
    <row r="117" spans="2:63" s="1" customFormat="1" ht="23.55" customHeight="1" x14ac:dyDescent="0.2">
      <c r="B117" s="24"/>
      <c r="C117" s="521"/>
      <c r="E117" s="1243"/>
      <c r="F117" s="1244"/>
      <c r="G117" s="1244"/>
      <c r="H117" s="1244"/>
      <c r="L117" s="24"/>
    </row>
    <row r="118" spans="2:63" s="1" customFormat="1" ht="12" customHeight="1" x14ac:dyDescent="0.2">
      <c r="B118" s="24"/>
      <c r="C118" s="528" t="s">
        <v>186</v>
      </c>
      <c r="F118" s="532" t="s">
        <v>3498</v>
      </c>
      <c r="L118" s="24"/>
    </row>
    <row r="119" spans="2:63" s="1" customFormat="1" ht="16.5" customHeight="1" x14ac:dyDescent="0.2">
      <c r="B119" s="24"/>
      <c r="C119" s="521"/>
      <c r="E119" s="1251"/>
      <c r="F119" s="1252"/>
      <c r="G119" s="1252"/>
      <c r="H119" s="1252"/>
      <c r="L119" s="24"/>
    </row>
    <row r="120" spans="2:63" s="1" customFormat="1" ht="7.05" customHeight="1" x14ac:dyDescent="0.2">
      <c r="B120" s="24"/>
      <c r="C120" s="521"/>
      <c r="L120" s="24"/>
    </row>
    <row r="121" spans="2:63" s="1" customFormat="1" ht="12" customHeight="1" x14ac:dyDescent="0.2">
      <c r="B121" s="24"/>
      <c r="C121" s="528" t="s">
        <v>15</v>
      </c>
      <c r="F121" s="19" t="str">
        <f>F12</f>
        <v>Kuzmányho nábrežie 28, 960 01 Zvolen</v>
      </c>
      <c r="I121" s="528" t="s">
        <v>17</v>
      </c>
      <c r="J121" s="39" t="str">
        <f>IF(J12="","",J12)</f>
        <v/>
      </c>
      <c r="L121" s="24"/>
    </row>
    <row r="122" spans="2:63" s="1" customFormat="1" ht="7.05" customHeight="1" x14ac:dyDescent="0.2">
      <c r="B122" s="24"/>
      <c r="C122" s="521"/>
      <c r="I122" s="521"/>
      <c r="L122" s="24"/>
    </row>
    <row r="123" spans="2:63" s="1" customFormat="1" ht="15.3" customHeight="1" x14ac:dyDescent="0.2">
      <c r="B123" s="24"/>
      <c r="C123" s="528" t="s">
        <v>18</v>
      </c>
      <c r="F123" s="529" t="s">
        <v>6175</v>
      </c>
      <c r="I123" s="528" t="s">
        <v>22</v>
      </c>
      <c r="J123" s="22" t="str">
        <f>E21</f>
        <v xml:space="preserve"> </v>
      </c>
      <c r="L123" s="24"/>
    </row>
    <row r="124" spans="2:63" s="1" customFormat="1" ht="15.3" customHeight="1" x14ac:dyDescent="0.2">
      <c r="B124" s="24"/>
      <c r="C124" s="528" t="s">
        <v>21</v>
      </c>
      <c r="F124" s="529" t="s">
        <v>5202</v>
      </c>
      <c r="I124" s="528" t="s">
        <v>24</v>
      </c>
      <c r="J124" s="22" t="str">
        <f>E24</f>
        <v xml:space="preserve"> </v>
      </c>
      <c r="L124" s="24"/>
    </row>
    <row r="125" spans="2:63" s="1" customFormat="1" ht="10.199999999999999" customHeight="1" x14ac:dyDescent="0.2">
      <c r="B125" s="24"/>
      <c r="L125" s="24"/>
    </row>
    <row r="126" spans="2:63" s="10" customFormat="1" ht="29.25" customHeight="1" x14ac:dyDescent="0.2">
      <c r="B126" s="97"/>
      <c r="C126" s="98" t="s">
        <v>215</v>
      </c>
      <c r="D126" s="99" t="s">
        <v>43</v>
      </c>
      <c r="E126" s="99" t="s">
        <v>41</v>
      </c>
      <c r="F126" s="99" t="s">
        <v>42</v>
      </c>
      <c r="G126" s="99" t="s">
        <v>216</v>
      </c>
      <c r="H126" s="99" t="s">
        <v>217</v>
      </c>
      <c r="I126" s="99" t="s">
        <v>218</v>
      </c>
      <c r="J126" s="100" t="s">
        <v>190</v>
      </c>
      <c r="K126" s="101" t="s">
        <v>219</v>
      </c>
      <c r="L126" s="97"/>
      <c r="M126" s="46" t="s">
        <v>1</v>
      </c>
      <c r="N126" s="47" t="s">
        <v>30</v>
      </c>
      <c r="O126" s="47" t="s">
        <v>220</v>
      </c>
      <c r="P126" s="47" t="s">
        <v>221</v>
      </c>
      <c r="Q126" s="47" t="s">
        <v>222</v>
      </c>
      <c r="R126" s="47" t="s">
        <v>223</v>
      </c>
      <c r="S126" s="47" t="s">
        <v>224</v>
      </c>
      <c r="T126" s="48" t="s">
        <v>225</v>
      </c>
    </row>
    <row r="127" spans="2:63" s="1" customFormat="1" ht="22.95" customHeight="1" x14ac:dyDescent="0.3">
      <c r="B127" s="24"/>
      <c r="C127" s="51" t="s">
        <v>191</v>
      </c>
      <c r="J127" s="102">
        <f>J128+J133+J139+J142+J146+J158</f>
        <v>11380.57</v>
      </c>
      <c r="L127" s="24"/>
      <c r="M127" s="49"/>
      <c r="N127" s="40"/>
      <c r="O127" s="40"/>
      <c r="P127" s="103" t="e">
        <f>P128+P133+P139+P142+P146+P158+#REF!</f>
        <v>#REF!</v>
      </c>
      <c r="Q127" s="40"/>
      <c r="R127" s="103" t="e">
        <f>R128+R133+R139+R142+R146+R158+#REF!</f>
        <v>#REF!</v>
      </c>
      <c r="S127" s="40"/>
      <c r="T127" s="104" t="e">
        <f>T128+T133+T139+T142+T146+T158+#REF!</f>
        <v>#REF!</v>
      </c>
      <c r="AT127" s="13" t="s">
        <v>57</v>
      </c>
      <c r="AU127" s="13" t="s">
        <v>192</v>
      </c>
      <c r="BK127" s="105" t="e">
        <f>BK128+BK133+BK139+BK142+BK146+BK158+#REF!</f>
        <v>#REF!</v>
      </c>
    </row>
    <row r="128" spans="2:63" s="11" customFormat="1" ht="25.95" customHeight="1" x14ac:dyDescent="0.25">
      <c r="B128" s="106"/>
      <c r="D128" s="107" t="s">
        <v>57</v>
      </c>
      <c r="E128" s="108" t="s">
        <v>1201</v>
      </c>
      <c r="F128" s="108" t="s">
        <v>227</v>
      </c>
      <c r="J128" s="109">
        <f>BK128</f>
        <v>207.23</v>
      </c>
      <c r="L128" s="106"/>
      <c r="M128" s="110"/>
      <c r="N128" s="111"/>
      <c r="O128" s="111"/>
      <c r="P128" s="112">
        <f>P129</f>
        <v>0</v>
      </c>
      <c r="Q128" s="111"/>
      <c r="R128" s="112">
        <f>R129</f>
        <v>0</v>
      </c>
      <c r="S128" s="111"/>
      <c r="T128" s="113">
        <f>T129</f>
        <v>0</v>
      </c>
      <c r="AR128" s="107" t="s">
        <v>63</v>
      </c>
      <c r="AT128" s="114" t="s">
        <v>57</v>
      </c>
      <c r="AU128" s="114" t="s">
        <v>58</v>
      </c>
      <c r="AY128" s="107" t="s">
        <v>228</v>
      </c>
      <c r="BK128" s="115">
        <f>BK129</f>
        <v>207.23</v>
      </c>
    </row>
    <row r="129" spans="2:65" s="11" customFormat="1" ht="22.95" customHeight="1" x14ac:dyDescent="0.25">
      <c r="B129" s="106"/>
      <c r="D129" s="107" t="s">
        <v>57</v>
      </c>
      <c r="E129" s="116" t="s">
        <v>1211</v>
      </c>
      <c r="F129" s="116" t="s">
        <v>1097</v>
      </c>
      <c r="J129" s="117">
        <f>BK129</f>
        <v>207.23</v>
      </c>
      <c r="L129" s="106"/>
      <c r="M129" s="110"/>
      <c r="N129" s="111"/>
      <c r="O129" s="111"/>
      <c r="P129" s="112">
        <f>SUM(P130:P132)</f>
        <v>0</v>
      </c>
      <c r="Q129" s="111"/>
      <c r="R129" s="112">
        <f>SUM(R130:R132)</f>
        <v>0</v>
      </c>
      <c r="S129" s="111"/>
      <c r="T129" s="113">
        <f>SUM(T130:T132)</f>
        <v>0</v>
      </c>
      <c r="AR129" s="107" t="s">
        <v>63</v>
      </c>
      <c r="AT129" s="114" t="s">
        <v>57</v>
      </c>
      <c r="AU129" s="114" t="s">
        <v>63</v>
      </c>
      <c r="AY129" s="107" t="s">
        <v>228</v>
      </c>
      <c r="BK129" s="115">
        <f>SUM(BK130:BK132)</f>
        <v>207.23</v>
      </c>
    </row>
    <row r="130" spans="2:65" s="1" customFormat="1" ht="16.5" customHeight="1" x14ac:dyDescent="0.2">
      <c r="B130" s="118"/>
      <c r="C130" s="119" t="s">
        <v>63</v>
      </c>
      <c r="D130" s="119" t="s">
        <v>231</v>
      </c>
      <c r="E130" s="120" t="s">
        <v>1098</v>
      </c>
      <c r="F130" s="121" t="s">
        <v>1099</v>
      </c>
      <c r="G130" s="122" t="s">
        <v>1035</v>
      </c>
      <c r="H130" s="123">
        <v>40</v>
      </c>
      <c r="I130" s="124">
        <v>4.18</v>
      </c>
      <c r="J130" s="124">
        <f>ROUND(I130*H130,2)</f>
        <v>167.2</v>
      </c>
      <c r="K130" s="121" t="s">
        <v>1</v>
      </c>
      <c r="L130" s="24"/>
      <c r="M130" s="125" t="s">
        <v>1</v>
      </c>
      <c r="N130" s="126" t="s">
        <v>32</v>
      </c>
      <c r="O130" s="127">
        <v>0</v>
      </c>
      <c r="P130" s="127">
        <f>O130*H130</f>
        <v>0</v>
      </c>
      <c r="Q130" s="127">
        <v>0</v>
      </c>
      <c r="R130" s="127">
        <f>Q130*H130</f>
        <v>0</v>
      </c>
      <c r="S130" s="127">
        <v>0</v>
      </c>
      <c r="T130" s="128">
        <f>S130*H130</f>
        <v>0</v>
      </c>
      <c r="AR130" s="129" t="s">
        <v>235</v>
      </c>
      <c r="AT130" s="129" t="s">
        <v>231</v>
      </c>
      <c r="AU130" s="129" t="s">
        <v>76</v>
      </c>
      <c r="AY130" s="13" t="s">
        <v>228</v>
      </c>
      <c r="BE130" s="130">
        <f>IF(N130="základná",J130,0)</f>
        <v>0</v>
      </c>
      <c r="BF130" s="130">
        <f>IF(N130="znížená",J130,0)</f>
        <v>167.2</v>
      </c>
      <c r="BG130" s="130">
        <f>IF(N130="zákl. prenesená",J130,0)</f>
        <v>0</v>
      </c>
      <c r="BH130" s="130">
        <f>IF(N130="zníž. prenesená",J130,0)</f>
        <v>0</v>
      </c>
      <c r="BI130" s="130">
        <f>IF(N130="nulová",J130,0)</f>
        <v>0</v>
      </c>
      <c r="BJ130" s="13" t="s">
        <v>76</v>
      </c>
      <c r="BK130" s="130">
        <f>ROUND(I130*H130,2)</f>
        <v>167.2</v>
      </c>
      <c r="BL130" s="13" t="s">
        <v>235</v>
      </c>
      <c r="BM130" s="129" t="s">
        <v>76</v>
      </c>
    </row>
    <row r="131" spans="2:65" s="1" customFormat="1" ht="16.5" customHeight="1" x14ac:dyDescent="0.2">
      <c r="B131" s="118"/>
      <c r="C131" s="119" t="s">
        <v>76</v>
      </c>
      <c r="D131" s="119" t="s">
        <v>231</v>
      </c>
      <c r="E131" s="120" t="s">
        <v>1100</v>
      </c>
      <c r="F131" s="121" t="s">
        <v>1101</v>
      </c>
      <c r="G131" s="122" t="s">
        <v>292</v>
      </c>
      <c r="H131" s="123">
        <v>18</v>
      </c>
      <c r="I131" s="124">
        <v>1.74</v>
      </c>
      <c r="J131" s="124">
        <f>ROUND(I131*H131,2)</f>
        <v>31.32</v>
      </c>
      <c r="K131" s="121" t="s">
        <v>1</v>
      </c>
      <c r="L131" s="24"/>
      <c r="M131" s="125" t="s">
        <v>1</v>
      </c>
      <c r="N131" s="126" t="s">
        <v>32</v>
      </c>
      <c r="O131" s="127">
        <v>0</v>
      </c>
      <c r="P131" s="127">
        <f>O131*H131</f>
        <v>0</v>
      </c>
      <c r="Q131" s="127">
        <v>0</v>
      </c>
      <c r="R131" s="127">
        <f>Q131*H131</f>
        <v>0</v>
      </c>
      <c r="S131" s="127">
        <v>0</v>
      </c>
      <c r="T131" s="128">
        <f>S131*H131</f>
        <v>0</v>
      </c>
      <c r="AR131" s="129" t="s">
        <v>235</v>
      </c>
      <c r="AT131" s="129" t="s">
        <v>231</v>
      </c>
      <c r="AU131" s="129" t="s">
        <v>76</v>
      </c>
      <c r="AY131" s="13" t="s">
        <v>228</v>
      </c>
      <c r="BE131" s="130">
        <f>IF(N131="základná",J131,0)</f>
        <v>0</v>
      </c>
      <c r="BF131" s="130">
        <f>IF(N131="znížená",J131,0)</f>
        <v>31.32</v>
      </c>
      <c r="BG131" s="130">
        <f>IF(N131="zákl. prenesená",J131,0)</f>
        <v>0</v>
      </c>
      <c r="BH131" s="130">
        <f>IF(N131="zníž. prenesená",J131,0)</f>
        <v>0</v>
      </c>
      <c r="BI131" s="130">
        <f>IF(N131="nulová",J131,0)</f>
        <v>0</v>
      </c>
      <c r="BJ131" s="13" t="s">
        <v>76</v>
      </c>
      <c r="BK131" s="130">
        <f>ROUND(I131*H131,2)</f>
        <v>31.32</v>
      </c>
      <c r="BL131" s="13" t="s">
        <v>235</v>
      </c>
      <c r="BM131" s="129" t="s">
        <v>235</v>
      </c>
    </row>
    <row r="132" spans="2:65" s="1" customFormat="1" ht="16.5" customHeight="1" x14ac:dyDescent="0.2">
      <c r="B132" s="118"/>
      <c r="C132" s="119" t="s">
        <v>229</v>
      </c>
      <c r="D132" s="119" t="s">
        <v>231</v>
      </c>
      <c r="E132" s="120" t="s">
        <v>1102</v>
      </c>
      <c r="F132" s="121" t="s">
        <v>1103</v>
      </c>
      <c r="G132" s="122" t="s">
        <v>234</v>
      </c>
      <c r="H132" s="123">
        <v>0.15</v>
      </c>
      <c r="I132" s="124">
        <v>58.05</v>
      </c>
      <c r="J132" s="124">
        <f>ROUND(I132*H132,2)</f>
        <v>8.7100000000000009</v>
      </c>
      <c r="K132" s="121" t="s">
        <v>1</v>
      </c>
      <c r="L132" s="24"/>
      <c r="M132" s="125" t="s">
        <v>1</v>
      </c>
      <c r="N132" s="126" t="s">
        <v>32</v>
      </c>
      <c r="O132" s="127">
        <v>0</v>
      </c>
      <c r="P132" s="127">
        <f>O132*H132</f>
        <v>0</v>
      </c>
      <c r="Q132" s="127">
        <v>0</v>
      </c>
      <c r="R132" s="127">
        <f>Q132*H132</f>
        <v>0</v>
      </c>
      <c r="S132" s="127">
        <v>0</v>
      </c>
      <c r="T132" s="128">
        <f>S132*H132</f>
        <v>0</v>
      </c>
      <c r="AR132" s="129" t="s">
        <v>235</v>
      </c>
      <c r="AT132" s="129" t="s">
        <v>231</v>
      </c>
      <c r="AU132" s="129" t="s">
        <v>76</v>
      </c>
      <c r="AY132" s="13" t="s">
        <v>228</v>
      </c>
      <c r="BE132" s="130">
        <f>IF(N132="základná",J132,0)</f>
        <v>0</v>
      </c>
      <c r="BF132" s="130">
        <f>IF(N132="znížená",J132,0)</f>
        <v>8.7100000000000009</v>
      </c>
      <c r="BG132" s="130">
        <f>IF(N132="zákl. prenesená",J132,0)</f>
        <v>0</v>
      </c>
      <c r="BH132" s="130">
        <f>IF(N132="zníž. prenesená",J132,0)</f>
        <v>0</v>
      </c>
      <c r="BI132" s="130">
        <f>IF(N132="nulová",J132,0)</f>
        <v>0</v>
      </c>
      <c r="BJ132" s="13" t="s">
        <v>76</v>
      </c>
      <c r="BK132" s="130">
        <f>ROUND(I132*H132,2)</f>
        <v>8.7100000000000009</v>
      </c>
      <c r="BL132" s="13" t="s">
        <v>235</v>
      </c>
      <c r="BM132" s="129" t="s">
        <v>240</v>
      </c>
    </row>
    <row r="133" spans="2:65" s="11" customFormat="1" ht="25.95" customHeight="1" x14ac:dyDescent="0.25">
      <c r="B133" s="106"/>
      <c r="D133" s="107" t="s">
        <v>57</v>
      </c>
      <c r="E133" s="108" t="s">
        <v>1215</v>
      </c>
      <c r="F133" s="108" t="s">
        <v>557</v>
      </c>
      <c r="J133" s="109">
        <f>BK133</f>
        <v>782.41000000000008</v>
      </c>
      <c r="L133" s="106"/>
      <c r="M133" s="110"/>
      <c r="N133" s="111"/>
      <c r="O133" s="111"/>
      <c r="P133" s="112">
        <f>P134</f>
        <v>0</v>
      </c>
      <c r="Q133" s="111"/>
      <c r="R133" s="112">
        <f>R134</f>
        <v>0</v>
      </c>
      <c r="S133" s="111"/>
      <c r="T133" s="113">
        <f>T134</f>
        <v>0</v>
      </c>
      <c r="AR133" s="107" t="s">
        <v>63</v>
      </c>
      <c r="AT133" s="114" t="s">
        <v>57</v>
      </c>
      <c r="AU133" s="114" t="s">
        <v>58</v>
      </c>
      <c r="AY133" s="107" t="s">
        <v>228</v>
      </c>
      <c r="BK133" s="115">
        <f>BK134</f>
        <v>782.41000000000008</v>
      </c>
    </row>
    <row r="134" spans="2:65" s="11" customFormat="1" ht="22.95" customHeight="1" x14ac:dyDescent="0.25">
      <c r="B134" s="106"/>
      <c r="D134" s="107" t="s">
        <v>57</v>
      </c>
      <c r="E134" s="116" t="s">
        <v>1227</v>
      </c>
      <c r="F134" s="116" t="s">
        <v>1105</v>
      </c>
      <c r="J134" s="117">
        <f>BK134</f>
        <v>782.41000000000008</v>
      </c>
      <c r="L134" s="106"/>
      <c r="M134" s="110"/>
      <c r="N134" s="111"/>
      <c r="O134" s="111"/>
      <c r="P134" s="112">
        <f>SUM(P135:P138)</f>
        <v>0</v>
      </c>
      <c r="Q134" s="111"/>
      <c r="R134" s="112">
        <f>SUM(R135:R138)</f>
        <v>0</v>
      </c>
      <c r="S134" s="111"/>
      <c r="T134" s="113">
        <f>SUM(T135:T138)</f>
        <v>0</v>
      </c>
      <c r="AR134" s="107" t="s">
        <v>63</v>
      </c>
      <c r="AT134" s="114" t="s">
        <v>57</v>
      </c>
      <c r="AU134" s="114" t="s">
        <v>63</v>
      </c>
      <c r="AY134" s="107" t="s">
        <v>228</v>
      </c>
      <c r="BK134" s="115">
        <f>SUM(BK135:BK138)</f>
        <v>782.41000000000008</v>
      </c>
    </row>
    <row r="135" spans="2:65" s="1" customFormat="1" ht="16.5" customHeight="1" x14ac:dyDescent="0.2">
      <c r="B135" s="118"/>
      <c r="C135" s="119" t="s">
        <v>235</v>
      </c>
      <c r="D135" s="119" t="s">
        <v>231</v>
      </c>
      <c r="E135" s="120" t="s">
        <v>1106</v>
      </c>
      <c r="F135" s="121" t="s">
        <v>1107</v>
      </c>
      <c r="G135" s="122" t="s">
        <v>292</v>
      </c>
      <c r="H135" s="123">
        <v>116</v>
      </c>
      <c r="I135" s="124">
        <v>0.81</v>
      </c>
      <c r="J135" s="124">
        <f>ROUND(I135*H135,2)</f>
        <v>93.96</v>
      </c>
      <c r="K135" s="121" t="s">
        <v>1</v>
      </c>
      <c r="L135" s="24"/>
      <c r="M135" s="125" t="s">
        <v>1</v>
      </c>
      <c r="N135" s="126" t="s">
        <v>32</v>
      </c>
      <c r="O135" s="127">
        <v>0</v>
      </c>
      <c r="P135" s="127">
        <f>O135*H135</f>
        <v>0</v>
      </c>
      <c r="Q135" s="127">
        <v>0</v>
      </c>
      <c r="R135" s="127">
        <f>Q135*H135</f>
        <v>0</v>
      </c>
      <c r="S135" s="127">
        <v>0</v>
      </c>
      <c r="T135" s="128">
        <f>S135*H135</f>
        <v>0</v>
      </c>
      <c r="AR135" s="129" t="s">
        <v>235</v>
      </c>
      <c r="AT135" s="129" t="s">
        <v>231</v>
      </c>
      <c r="AU135" s="129" t="s">
        <v>76</v>
      </c>
      <c r="AY135" s="13" t="s">
        <v>228</v>
      </c>
      <c r="BE135" s="130">
        <f>IF(N135="základná",J135,0)</f>
        <v>0</v>
      </c>
      <c r="BF135" s="130">
        <f>IF(N135="znížená",J135,0)</f>
        <v>93.96</v>
      </c>
      <c r="BG135" s="130">
        <f>IF(N135="zákl. prenesená",J135,0)</f>
        <v>0</v>
      </c>
      <c r="BH135" s="130">
        <f>IF(N135="zníž. prenesená",J135,0)</f>
        <v>0</v>
      </c>
      <c r="BI135" s="130">
        <f>IF(N135="nulová",J135,0)</f>
        <v>0</v>
      </c>
      <c r="BJ135" s="13" t="s">
        <v>76</v>
      </c>
      <c r="BK135" s="130">
        <f>ROUND(I135*H135,2)</f>
        <v>93.96</v>
      </c>
      <c r="BL135" s="13" t="s">
        <v>235</v>
      </c>
      <c r="BM135" s="129" t="s">
        <v>244</v>
      </c>
    </row>
    <row r="136" spans="2:65" s="1" customFormat="1" ht="16.5" customHeight="1" x14ac:dyDescent="0.2">
      <c r="B136" s="118"/>
      <c r="C136" s="119" t="s">
        <v>245</v>
      </c>
      <c r="D136" s="119" t="s">
        <v>231</v>
      </c>
      <c r="E136" s="120" t="s">
        <v>1108</v>
      </c>
      <c r="F136" s="121" t="s">
        <v>1109</v>
      </c>
      <c r="G136" s="122" t="s">
        <v>243</v>
      </c>
      <c r="H136" s="123">
        <v>12</v>
      </c>
      <c r="I136" s="124">
        <v>4.0599999999999996</v>
      </c>
      <c r="J136" s="124">
        <f>ROUND(I136*H136,2)</f>
        <v>48.72</v>
      </c>
      <c r="K136" s="121" t="s">
        <v>1</v>
      </c>
      <c r="L136" s="24"/>
      <c r="M136" s="125" t="s">
        <v>1</v>
      </c>
      <c r="N136" s="126" t="s">
        <v>32</v>
      </c>
      <c r="O136" s="127">
        <v>0</v>
      </c>
      <c r="P136" s="127">
        <f>O136*H136</f>
        <v>0</v>
      </c>
      <c r="Q136" s="127">
        <v>0</v>
      </c>
      <c r="R136" s="127">
        <f>Q136*H136</f>
        <v>0</v>
      </c>
      <c r="S136" s="127">
        <v>0</v>
      </c>
      <c r="T136" s="128">
        <f>S136*H136</f>
        <v>0</v>
      </c>
      <c r="AR136" s="129" t="s">
        <v>235</v>
      </c>
      <c r="AT136" s="129" t="s">
        <v>231</v>
      </c>
      <c r="AU136" s="129" t="s">
        <v>76</v>
      </c>
      <c r="AY136" s="13" t="s">
        <v>228</v>
      </c>
      <c r="BE136" s="130">
        <f>IF(N136="základná",J136,0)</f>
        <v>0</v>
      </c>
      <c r="BF136" s="130">
        <f>IF(N136="znížená",J136,0)</f>
        <v>48.72</v>
      </c>
      <c r="BG136" s="130">
        <f>IF(N136="zákl. prenesená",J136,0)</f>
        <v>0</v>
      </c>
      <c r="BH136" s="130">
        <f>IF(N136="zníž. prenesená",J136,0)</f>
        <v>0</v>
      </c>
      <c r="BI136" s="130">
        <f>IF(N136="nulová",J136,0)</f>
        <v>0</v>
      </c>
      <c r="BJ136" s="13" t="s">
        <v>76</v>
      </c>
      <c r="BK136" s="130">
        <f>ROUND(I136*H136,2)</f>
        <v>48.72</v>
      </c>
      <c r="BL136" s="13" t="s">
        <v>235</v>
      </c>
      <c r="BM136" s="129" t="s">
        <v>248</v>
      </c>
    </row>
    <row r="137" spans="2:65" s="1" customFormat="1" ht="24" customHeight="1" x14ac:dyDescent="0.2">
      <c r="B137" s="118"/>
      <c r="C137" s="119" t="s">
        <v>240</v>
      </c>
      <c r="D137" s="119" t="s">
        <v>231</v>
      </c>
      <c r="E137" s="120" t="s">
        <v>1113</v>
      </c>
      <c r="F137" s="121" t="s">
        <v>1114</v>
      </c>
      <c r="G137" s="122" t="s">
        <v>1112</v>
      </c>
      <c r="H137" s="123">
        <v>3</v>
      </c>
      <c r="I137" s="124">
        <v>33.67</v>
      </c>
      <c r="J137" s="124">
        <f>ROUND(I137*H137,2)</f>
        <v>101.01</v>
      </c>
      <c r="K137" s="121" t="s">
        <v>1</v>
      </c>
      <c r="L137" s="24"/>
      <c r="M137" s="125" t="s">
        <v>1</v>
      </c>
      <c r="N137" s="126" t="s">
        <v>32</v>
      </c>
      <c r="O137" s="127">
        <v>0</v>
      </c>
      <c r="P137" s="127">
        <f>O137*H137</f>
        <v>0</v>
      </c>
      <c r="Q137" s="127">
        <v>0</v>
      </c>
      <c r="R137" s="127">
        <f>Q137*H137</f>
        <v>0</v>
      </c>
      <c r="S137" s="127">
        <v>0</v>
      </c>
      <c r="T137" s="128">
        <f>S137*H137</f>
        <v>0</v>
      </c>
      <c r="AR137" s="129" t="s">
        <v>235</v>
      </c>
      <c r="AT137" s="129" t="s">
        <v>231</v>
      </c>
      <c r="AU137" s="129" t="s">
        <v>76</v>
      </c>
      <c r="AY137" s="13" t="s">
        <v>228</v>
      </c>
      <c r="BE137" s="130">
        <f>IF(N137="základná",J137,0)</f>
        <v>0</v>
      </c>
      <c r="BF137" s="130">
        <f>IF(N137="znížená",J137,0)</f>
        <v>101.01</v>
      </c>
      <c r="BG137" s="130">
        <f>IF(N137="zákl. prenesená",J137,0)</f>
        <v>0</v>
      </c>
      <c r="BH137" s="130">
        <f>IF(N137="zníž. prenesená",J137,0)</f>
        <v>0</v>
      </c>
      <c r="BI137" s="130">
        <f>IF(N137="nulová",J137,0)</f>
        <v>0</v>
      </c>
      <c r="BJ137" s="13" t="s">
        <v>76</v>
      </c>
      <c r="BK137" s="130">
        <f>ROUND(I137*H137,2)</f>
        <v>101.01</v>
      </c>
      <c r="BL137" s="13" t="s">
        <v>235</v>
      </c>
      <c r="BM137" s="129" t="s">
        <v>251</v>
      </c>
    </row>
    <row r="138" spans="2:65" s="1" customFormat="1" ht="16.5" customHeight="1" x14ac:dyDescent="0.2">
      <c r="B138" s="118"/>
      <c r="C138" s="119" t="s">
        <v>252</v>
      </c>
      <c r="D138" s="119" t="s">
        <v>231</v>
      </c>
      <c r="E138" s="120" t="s">
        <v>1115</v>
      </c>
      <c r="F138" s="121" t="s">
        <v>1116</v>
      </c>
      <c r="G138" s="122" t="s">
        <v>1112</v>
      </c>
      <c r="H138" s="123">
        <v>16</v>
      </c>
      <c r="I138" s="124">
        <v>33.67</v>
      </c>
      <c r="J138" s="124">
        <f>ROUND(I138*H138,2)</f>
        <v>538.72</v>
      </c>
      <c r="K138" s="121" t="s">
        <v>1</v>
      </c>
      <c r="L138" s="24"/>
      <c r="M138" s="125" t="s">
        <v>1</v>
      </c>
      <c r="N138" s="126" t="s">
        <v>32</v>
      </c>
      <c r="O138" s="127">
        <v>0</v>
      </c>
      <c r="P138" s="127">
        <f>O138*H138</f>
        <v>0</v>
      </c>
      <c r="Q138" s="127">
        <v>0</v>
      </c>
      <c r="R138" s="127">
        <f>Q138*H138</f>
        <v>0</v>
      </c>
      <c r="S138" s="127">
        <v>0</v>
      </c>
      <c r="T138" s="128">
        <f>S138*H138</f>
        <v>0</v>
      </c>
      <c r="AR138" s="129" t="s">
        <v>235</v>
      </c>
      <c r="AT138" s="129" t="s">
        <v>231</v>
      </c>
      <c r="AU138" s="129" t="s">
        <v>76</v>
      </c>
      <c r="AY138" s="13" t="s">
        <v>228</v>
      </c>
      <c r="BE138" s="130">
        <f>IF(N138="základná",J138,0)</f>
        <v>0</v>
      </c>
      <c r="BF138" s="130">
        <f>IF(N138="znížená",J138,0)</f>
        <v>538.72</v>
      </c>
      <c r="BG138" s="130">
        <f>IF(N138="zákl. prenesená",J138,0)</f>
        <v>0</v>
      </c>
      <c r="BH138" s="130">
        <f>IF(N138="zníž. prenesená",J138,0)</f>
        <v>0</v>
      </c>
      <c r="BI138" s="130">
        <f>IF(N138="nulová",J138,0)</f>
        <v>0</v>
      </c>
      <c r="BJ138" s="13" t="s">
        <v>76</v>
      </c>
      <c r="BK138" s="130">
        <f>ROUND(I138*H138,2)</f>
        <v>538.72</v>
      </c>
      <c r="BL138" s="13" t="s">
        <v>235</v>
      </c>
      <c r="BM138" s="129" t="s">
        <v>255</v>
      </c>
    </row>
    <row r="139" spans="2:65" s="11" customFormat="1" ht="25.95" customHeight="1" x14ac:dyDescent="0.25">
      <c r="B139" s="106"/>
      <c r="D139" s="107" t="s">
        <v>57</v>
      </c>
      <c r="E139" s="108" t="s">
        <v>1240</v>
      </c>
      <c r="F139" s="108" t="s">
        <v>3510</v>
      </c>
      <c r="J139" s="109">
        <f>BK139</f>
        <v>167.2</v>
      </c>
      <c r="L139" s="106"/>
      <c r="M139" s="110"/>
      <c r="N139" s="111"/>
      <c r="O139" s="111"/>
      <c r="P139" s="112">
        <f>P140</f>
        <v>0</v>
      </c>
      <c r="Q139" s="111"/>
      <c r="R139" s="112">
        <f>R140</f>
        <v>0</v>
      </c>
      <c r="S139" s="111"/>
      <c r="T139" s="113">
        <f>T140</f>
        <v>0</v>
      </c>
      <c r="AR139" s="107" t="s">
        <v>63</v>
      </c>
      <c r="AT139" s="114" t="s">
        <v>57</v>
      </c>
      <c r="AU139" s="114" t="s">
        <v>58</v>
      </c>
      <c r="AY139" s="107" t="s">
        <v>228</v>
      </c>
      <c r="BK139" s="115">
        <f>BK140</f>
        <v>167.2</v>
      </c>
    </row>
    <row r="140" spans="2:65" s="11" customFormat="1" ht="22.95" customHeight="1" x14ac:dyDescent="0.25">
      <c r="B140" s="106"/>
      <c r="D140" s="107" t="s">
        <v>57</v>
      </c>
      <c r="E140" s="116" t="s">
        <v>1247</v>
      </c>
      <c r="F140" s="116" t="s">
        <v>718</v>
      </c>
      <c r="J140" s="117">
        <f>BK140</f>
        <v>167.2</v>
      </c>
      <c r="L140" s="106"/>
      <c r="M140" s="110"/>
      <c r="N140" s="111"/>
      <c r="O140" s="111"/>
      <c r="P140" s="112">
        <f>P141</f>
        <v>0</v>
      </c>
      <c r="Q140" s="111"/>
      <c r="R140" s="112">
        <f>R141</f>
        <v>0</v>
      </c>
      <c r="S140" s="111"/>
      <c r="T140" s="113">
        <f>T141</f>
        <v>0</v>
      </c>
      <c r="AR140" s="107" t="s">
        <v>63</v>
      </c>
      <c r="AT140" s="114" t="s">
        <v>57</v>
      </c>
      <c r="AU140" s="114" t="s">
        <v>63</v>
      </c>
      <c r="AY140" s="107" t="s">
        <v>228</v>
      </c>
      <c r="BK140" s="115">
        <f>BK141</f>
        <v>167.2</v>
      </c>
    </row>
    <row r="141" spans="2:65" s="1" customFormat="1" ht="16.5" customHeight="1" x14ac:dyDescent="0.2">
      <c r="B141" s="118"/>
      <c r="C141" s="119" t="s">
        <v>244</v>
      </c>
      <c r="D141" s="119" t="s">
        <v>231</v>
      </c>
      <c r="E141" s="120" t="s">
        <v>1117</v>
      </c>
      <c r="F141" s="121" t="s">
        <v>1118</v>
      </c>
      <c r="G141" s="122" t="s">
        <v>1035</v>
      </c>
      <c r="H141" s="123">
        <v>40</v>
      </c>
      <c r="I141" s="124">
        <v>4.18</v>
      </c>
      <c r="J141" s="124">
        <f>ROUND(I141*H141,2)</f>
        <v>167.2</v>
      </c>
      <c r="K141" s="121" t="s">
        <v>1</v>
      </c>
      <c r="L141" s="24"/>
      <c r="M141" s="125" t="s">
        <v>1</v>
      </c>
      <c r="N141" s="126" t="s">
        <v>32</v>
      </c>
      <c r="O141" s="127">
        <v>0</v>
      </c>
      <c r="P141" s="127">
        <f>O141*H141</f>
        <v>0</v>
      </c>
      <c r="Q141" s="127">
        <v>0</v>
      </c>
      <c r="R141" s="127">
        <f>Q141*H141</f>
        <v>0</v>
      </c>
      <c r="S141" s="127">
        <v>0</v>
      </c>
      <c r="T141" s="128">
        <f>S141*H141</f>
        <v>0</v>
      </c>
      <c r="AR141" s="129" t="s">
        <v>235</v>
      </c>
      <c r="AT141" s="129" t="s">
        <v>231</v>
      </c>
      <c r="AU141" s="129" t="s">
        <v>76</v>
      </c>
      <c r="AY141" s="13" t="s">
        <v>228</v>
      </c>
      <c r="BE141" s="130">
        <f>IF(N141="základná",J141,0)</f>
        <v>0</v>
      </c>
      <c r="BF141" s="130">
        <f>IF(N141="znížená",J141,0)</f>
        <v>167.2</v>
      </c>
      <c r="BG141" s="130">
        <f>IF(N141="zákl. prenesená",J141,0)</f>
        <v>0</v>
      </c>
      <c r="BH141" s="130">
        <f>IF(N141="zníž. prenesená",J141,0)</f>
        <v>0</v>
      </c>
      <c r="BI141" s="130">
        <f>IF(N141="nulová",J141,0)</f>
        <v>0</v>
      </c>
      <c r="BJ141" s="13" t="s">
        <v>76</v>
      </c>
      <c r="BK141" s="130">
        <f>ROUND(I141*H141,2)</f>
        <v>167.2</v>
      </c>
      <c r="BL141" s="13" t="s">
        <v>235</v>
      </c>
      <c r="BM141" s="129" t="s">
        <v>258</v>
      </c>
    </row>
    <row r="142" spans="2:65" s="11" customFormat="1" ht="25.95" customHeight="1" x14ac:dyDescent="0.25">
      <c r="B142" s="106"/>
      <c r="D142" s="107" t="s">
        <v>57</v>
      </c>
      <c r="E142" s="108" t="s">
        <v>1252</v>
      </c>
      <c r="F142" s="108" t="s">
        <v>3511</v>
      </c>
      <c r="J142" s="109">
        <f>BK142</f>
        <v>164.89999999999998</v>
      </c>
      <c r="L142" s="106"/>
      <c r="M142" s="110"/>
      <c r="N142" s="111"/>
      <c r="O142" s="111"/>
      <c r="P142" s="112">
        <f>P143</f>
        <v>0</v>
      </c>
      <c r="Q142" s="111"/>
      <c r="R142" s="112">
        <f>R143</f>
        <v>0</v>
      </c>
      <c r="S142" s="111"/>
      <c r="T142" s="113">
        <f>T143</f>
        <v>0</v>
      </c>
      <c r="AR142" s="107" t="s">
        <v>63</v>
      </c>
      <c r="AT142" s="114" t="s">
        <v>57</v>
      </c>
      <c r="AU142" s="114" t="s">
        <v>58</v>
      </c>
      <c r="AY142" s="107" t="s">
        <v>228</v>
      </c>
      <c r="BK142" s="115">
        <f>BK143</f>
        <v>164.89999999999998</v>
      </c>
    </row>
    <row r="143" spans="2:65" s="11" customFormat="1" ht="22.95" customHeight="1" x14ac:dyDescent="0.25">
      <c r="B143" s="106"/>
      <c r="D143" s="107" t="s">
        <v>57</v>
      </c>
      <c r="E143" s="116" t="s">
        <v>1269</v>
      </c>
      <c r="F143" s="116" t="s">
        <v>883</v>
      </c>
      <c r="J143" s="117">
        <f>BK143</f>
        <v>164.89999999999998</v>
      </c>
      <c r="L143" s="106"/>
      <c r="M143" s="110"/>
      <c r="N143" s="111"/>
      <c r="O143" s="111"/>
      <c r="P143" s="112">
        <f>SUM(P144:P145)</f>
        <v>0</v>
      </c>
      <c r="Q143" s="111"/>
      <c r="R143" s="112">
        <f>SUM(R144:R145)</f>
        <v>0</v>
      </c>
      <c r="S143" s="111"/>
      <c r="T143" s="113">
        <f>SUM(T144:T145)</f>
        <v>0</v>
      </c>
      <c r="AR143" s="107" t="s">
        <v>63</v>
      </c>
      <c r="AT143" s="114" t="s">
        <v>57</v>
      </c>
      <c r="AU143" s="114" t="s">
        <v>63</v>
      </c>
      <c r="AY143" s="107" t="s">
        <v>228</v>
      </c>
      <c r="BK143" s="115">
        <f>SUM(BK144:BK145)</f>
        <v>164.89999999999998</v>
      </c>
    </row>
    <row r="144" spans="2:65" s="1" customFormat="1" ht="16.5" customHeight="1" x14ac:dyDescent="0.2">
      <c r="B144" s="118"/>
      <c r="C144" s="119" t="s">
        <v>259</v>
      </c>
      <c r="D144" s="119" t="s">
        <v>231</v>
      </c>
      <c r="E144" s="120" t="s">
        <v>1119</v>
      </c>
      <c r="F144" s="121" t="s">
        <v>1120</v>
      </c>
      <c r="G144" s="122" t="s">
        <v>284</v>
      </c>
      <c r="H144" s="123">
        <v>7.89</v>
      </c>
      <c r="I144" s="124">
        <v>9.2899999999999991</v>
      </c>
      <c r="J144" s="124">
        <f>ROUND(I144*H144,2)</f>
        <v>73.3</v>
      </c>
      <c r="K144" s="121" t="s">
        <v>1</v>
      </c>
      <c r="L144" s="24"/>
      <c r="M144" s="125" t="s">
        <v>1</v>
      </c>
      <c r="N144" s="126" t="s">
        <v>32</v>
      </c>
      <c r="O144" s="127">
        <v>0</v>
      </c>
      <c r="P144" s="127">
        <f>O144*H144</f>
        <v>0</v>
      </c>
      <c r="Q144" s="127">
        <v>0</v>
      </c>
      <c r="R144" s="127">
        <f>Q144*H144</f>
        <v>0</v>
      </c>
      <c r="S144" s="127">
        <v>0</v>
      </c>
      <c r="T144" s="128">
        <f>S144*H144</f>
        <v>0</v>
      </c>
      <c r="AR144" s="129" t="s">
        <v>235</v>
      </c>
      <c r="AT144" s="129" t="s">
        <v>231</v>
      </c>
      <c r="AU144" s="129" t="s">
        <v>76</v>
      </c>
      <c r="AY144" s="13" t="s">
        <v>228</v>
      </c>
      <c r="BE144" s="130">
        <f>IF(N144="základná",J144,0)</f>
        <v>0</v>
      </c>
      <c r="BF144" s="130">
        <f>IF(N144="znížená",J144,0)</f>
        <v>73.3</v>
      </c>
      <c r="BG144" s="130">
        <f>IF(N144="zákl. prenesená",J144,0)</f>
        <v>0</v>
      </c>
      <c r="BH144" s="130">
        <f>IF(N144="zníž. prenesená",J144,0)</f>
        <v>0</v>
      </c>
      <c r="BI144" s="130">
        <f>IF(N144="nulová",J144,0)</f>
        <v>0</v>
      </c>
      <c r="BJ144" s="13" t="s">
        <v>76</v>
      </c>
      <c r="BK144" s="130">
        <f>ROUND(I144*H144,2)</f>
        <v>73.3</v>
      </c>
      <c r="BL144" s="13" t="s">
        <v>235</v>
      </c>
      <c r="BM144" s="129" t="s">
        <v>262</v>
      </c>
    </row>
    <row r="145" spans="2:65" s="1" customFormat="1" ht="16.5" customHeight="1" x14ac:dyDescent="0.2">
      <c r="B145" s="118"/>
      <c r="C145" s="119" t="s">
        <v>248</v>
      </c>
      <c r="D145" s="119" t="s">
        <v>231</v>
      </c>
      <c r="E145" s="120" t="s">
        <v>1121</v>
      </c>
      <c r="F145" s="121" t="s">
        <v>1122</v>
      </c>
      <c r="G145" s="122" t="s">
        <v>284</v>
      </c>
      <c r="H145" s="123">
        <v>7.89</v>
      </c>
      <c r="I145" s="124">
        <v>11.61</v>
      </c>
      <c r="J145" s="124">
        <f>ROUND(I145*H145,2)</f>
        <v>91.6</v>
      </c>
      <c r="K145" s="121" t="s">
        <v>1</v>
      </c>
      <c r="L145" s="24"/>
      <c r="M145" s="125" t="s">
        <v>1</v>
      </c>
      <c r="N145" s="126" t="s">
        <v>32</v>
      </c>
      <c r="O145" s="127">
        <v>0</v>
      </c>
      <c r="P145" s="127">
        <f>O145*H145</f>
        <v>0</v>
      </c>
      <c r="Q145" s="127">
        <v>0</v>
      </c>
      <c r="R145" s="127">
        <f>Q145*H145</f>
        <v>0</v>
      </c>
      <c r="S145" s="127">
        <v>0</v>
      </c>
      <c r="T145" s="128">
        <f>S145*H145</f>
        <v>0</v>
      </c>
      <c r="AR145" s="129" t="s">
        <v>235</v>
      </c>
      <c r="AT145" s="129" t="s">
        <v>231</v>
      </c>
      <c r="AU145" s="129" t="s">
        <v>76</v>
      </c>
      <c r="AY145" s="13" t="s">
        <v>228</v>
      </c>
      <c r="BE145" s="130">
        <f>IF(N145="základná",J145,0)</f>
        <v>0</v>
      </c>
      <c r="BF145" s="130">
        <f>IF(N145="znížená",J145,0)</f>
        <v>91.6</v>
      </c>
      <c r="BG145" s="130">
        <f>IF(N145="zákl. prenesená",J145,0)</f>
        <v>0</v>
      </c>
      <c r="BH145" s="130">
        <f>IF(N145="zníž. prenesená",J145,0)</f>
        <v>0</v>
      </c>
      <c r="BI145" s="130">
        <f>IF(N145="nulová",J145,0)</f>
        <v>0</v>
      </c>
      <c r="BJ145" s="13" t="s">
        <v>76</v>
      </c>
      <c r="BK145" s="130">
        <f>ROUND(I145*H145,2)</f>
        <v>91.6</v>
      </c>
      <c r="BL145" s="13" t="s">
        <v>235</v>
      </c>
      <c r="BM145" s="129" t="s">
        <v>7</v>
      </c>
    </row>
    <row r="146" spans="2:65" s="11" customFormat="1" ht="25.95" customHeight="1" x14ac:dyDescent="0.25">
      <c r="B146" s="106"/>
      <c r="D146" s="107" t="s">
        <v>57</v>
      </c>
      <c r="E146" s="108" t="s">
        <v>1943</v>
      </c>
      <c r="F146" s="108" t="s">
        <v>1123</v>
      </c>
      <c r="J146" s="109">
        <f>BK146</f>
        <v>2947.4799999999996</v>
      </c>
      <c r="L146" s="106"/>
      <c r="M146" s="110"/>
      <c r="N146" s="111"/>
      <c r="O146" s="111"/>
      <c r="P146" s="112">
        <f>P147+P148+P149</f>
        <v>0</v>
      </c>
      <c r="Q146" s="111"/>
      <c r="R146" s="112">
        <f>R147+R148+R149</f>
        <v>0</v>
      </c>
      <c r="S146" s="111"/>
      <c r="T146" s="113">
        <f>T147+T148+T149</f>
        <v>0</v>
      </c>
      <c r="AR146" s="107" t="s">
        <v>63</v>
      </c>
      <c r="AT146" s="114" t="s">
        <v>57</v>
      </c>
      <c r="AU146" s="114" t="s">
        <v>58</v>
      </c>
      <c r="AY146" s="107" t="s">
        <v>228</v>
      </c>
      <c r="BK146" s="115">
        <f>BK147+BK148+BK149</f>
        <v>2947.4799999999996</v>
      </c>
    </row>
    <row r="147" spans="2:65" s="1" customFormat="1" ht="16.5" customHeight="1" x14ac:dyDescent="0.2">
      <c r="B147" s="118"/>
      <c r="C147" s="119" t="s">
        <v>265</v>
      </c>
      <c r="D147" s="119" t="s">
        <v>231</v>
      </c>
      <c r="E147" s="120" t="s">
        <v>1124</v>
      </c>
      <c r="F147" s="121" t="s">
        <v>1125</v>
      </c>
      <c r="G147" s="122" t="s">
        <v>1126</v>
      </c>
      <c r="H147" s="123">
        <v>174</v>
      </c>
      <c r="I147" s="124">
        <v>1.04</v>
      </c>
      <c r="J147" s="124">
        <f>ROUND(I147*H147,2)</f>
        <v>180.96</v>
      </c>
      <c r="K147" s="121" t="s">
        <v>1</v>
      </c>
      <c r="L147" s="24"/>
      <c r="M147" s="125" t="s">
        <v>1</v>
      </c>
      <c r="N147" s="126" t="s">
        <v>32</v>
      </c>
      <c r="O147" s="127">
        <v>0</v>
      </c>
      <c r="P147" s="127">
        <f>O147*H147</f>
        <v>0</v>
      </c>
      <c r="Q147" s="127">
        <v>0</v>
      </c>
      <c r="R147" s="127">
        <f>Q147*H147</f>
        <v>0</v>
      </c>
      <c r="S147" s="127">
        <v>0</v>
      </c>
      <c r="T147" s="128">
        <f>S147*H147</f>
        <v>0</v>
      </c>
      <c r="AR147" s="129" t="s">
        <v>235</v>
      </c>
      <c r="AT147" s="129" t="s">
        <v>231</v>
      </c>
      <c r="AU147" s="129" t="s">
        <v>63</v>
      </c>
      <c r="AY147" s="13" t="s">
        <v>228</v>
      </c>
      <c r="BE147" s="130">
        <f>IF(N147="základná",J147,0)</f>
        <v>0</v>
      </c>
      <c r="BF147" s="130">
        <f>IF(N147="znížená",J147,0)</f>
        <v>180.96</v>
      </c>
      <c r="BG147" s="130">
        <f>IF(N147="zákl. prenesená",J147,0)</f>
        <v>0</v>
      </c>
      <c r="BH147" s="130">
        <f>IF(N147="zníž. prenesená",J147,0)</f>
        <v>0</v>
      </c>
      <c r="BI147" s="130">
        <f>IF(N147="nulová",J147,0)</f>
        <v>0</v>
      </c>
      <c r="BJ147" s="13" t="s">
        <v>76</v>
      </c>
      <c r="BK147" s="130">
        <f>ROUND(I147*H147,2)</f>
        <v>180.96</v>
      </c>
      <c r="BL147" s="13" t="s">
        <v>235</v>
      </c>
      <c r="BM147" s="129" t="s">
        <v>268</v>
      </c>
    </row>
    <row r="148" spans="2:65" s="1" customFormat="1" ht="16.5" customHeight="1" x14ac:dyDescent="0.2">
      <c r="B148" s="118"/>
      <c r="C148" s="119" t="s">
        <v>251</v>
      </c>
      <c r="D148" s="119" t="s">
        <v>231</v>
      </c>
      <c r="E148" s="120" t="s">
        <v>1127</v>
      </c>
      <c r="F148" s="121" t="s">
        <v>1128</v>
      </c>
      <c r="G148" s="122" t="s">
        <v>1112</v>
      </c>
      <c r="H148" s="123">
        <v>6</v>
      </c>
      <c r="I148" s="124">
        <v>29.03</v>
      </c>
      <c r="J148" s="124">
        <f>ROUND(I148*H148,2)</f>
        <v>174.18</v>
      </c>
      <c r="K148" s="121" t="s">
        <v>1</v>
      </c>
      <c r="L148" s="24"/>
      <c r="M148" s="125" t="s">
        <v>1</v>
      </c>
      <c r="N148" s="126" t="s">
        <v>32</v>
      </c>
      <c r="O148" s="127">
        <v>0</v>
      </c>
      <c r="P148" s="127">
        <f>O148*H148</f>
        <v>0</v>
      </c>
      <c r="Q148" s="127">
        <v>0</v>
      </c>
      <c r="R148" s="127">
        <f>Q148*H148</f>
        <v>0</v>
      </c>
      <c r="S148" s="127">
        <v>0</v>
      </c>
      <c r="T148" s="128">
        <f>S148*H148</f>
        <v>0</v>
      </c>
      <c r="AR148" s="129" t="s">
        <v>235</v>
      </c>
      <c r="AT148" s="129" t="s">
        <v>231</v>
      </c>
      <c r="AU148" s="129" t="s">
        <v>63</v>
      </c>
      <c r="AY148" s="13" t="s">
        <v>228</v>
      </c>
      <c r="BE148" s="130">
        <f>IF(N148="základná",J148,0)</f>
        <v>0</v>
      </c>
      <c r="BF148" s="130">
        <f>IF(N148="znížená",J148,0)</f>
        <v>174.18</v>
      </c>
      <c r="BG148" s="130">
        <f>IF(N148="zákl. prenesená",J148,0)</f>
        <v>0</v>
      </c>
      <c r="BH148" s="130">
        <f>IF(N148="zníž. prenesená",J148,0)</f>
        <v>0</v>
      </c>
      <c r="BI148" s="130">
        <f>IF(N148="nulová",J148,0)</f>
        <v>0</v>
      </c>
      <c r="BJ148" s="13" t="s">
        <v>76</v>
      </c>
      <c r="BK148" s="130">
        <f>ROUND(I148*H148,2)</f>
        <v>174.18</v>
      </c>
      <c r="BL148" s="13" t="s">
        <v>235</v>
      </c>
      <c r="BM148" s="129" t="s">
        <v>272</v>
      </c>
    </row>
    <row r="149" spans="2:65" s="11" customFormat="1" ht="22.95" customHeight="1" x14ac:dyDescent="0.25">
      <c r="B149" s="106"/>
      <c r="D149" s="107" t="s">
        <v>57</v>
      </c>
      <c r="E149" s="116" t="s">
        <v>2036</v>
      </c>
      <c r="F149" s="116" t="s">
        <v>1130</v>
      </c>
      <c r="J149" s="117">
        <f>BK149</f>
        <v>2592.3399999999997</v>
      </c>
      <c r="L149" s="106"/>
      <c r="M149" s="110"/>
      <c r="N149" s="111"/>
      <c r="O149" s="111"/>
      <c r="P149" s="112">
        <f>SUM(P150:P157)</f>
        <v>0</v>
      </c>
      <c r="Q149" s="111"/>
      <c r="R149" s="112">
        <f>SUM(R150:R157)</f>
        <v>0</v>
      </c>
      <c r="S149" s="111"/>
      <c r="T149" s="113">
        <f>SUM(T150:T157)</f>
        <v>0</v>
      </c>
      <c r="AR149" s="107" t="s">
        <v>63</v>
      </c>
      <c r="AT149" s="114" t="s">
        <v>57</v>
      </c>
      <c r="AU149" s="114" t="s">
        <v>63</v>
      </c>
      <c r="AY149" s="107" t="s">
        <v>228</v>
      </c>
      <c r="BK149" s="115">
        <f>SUM(BK150:BK157)</f>
        <v>2592.3399999999997</v>
      </c>
    </row>
    <row r="150" spans="2:65" s="1" customFormat="1" ht="24" customHeight="1" x14ac:dyDescent="0.2">
      <c r="B150" s="118"/>
      <c r="C150" s="119" t="s">
        <v>273</v>
      </c>
      <c r="D150" s="119" t="s">
        <v>231</v>
      </c>
      <c r="E150" s="120" t="s">
        <v>1131</v>
      </c>
      <c r="F150" s="121" t="s">
        <v>1132</v>
      </c>
      <c r="G150" s="122" t="s">
        <v>292</v>
      </c>
      <c r="H150" s="123">
        <v>116</v>
      </c>
      <c r="I150" s="124">
        <v>0.38</v>
      </c>
      <c r="J150" s="124">
        <f t="shared" ref="J150:J157" si="0">ROUND(I150*H150,2)</f>
        <v>44.08</v>
      </c>
      <c r="K150" s="121" t="s">
        <v>1</v>
      </c>
      <c r="L150" s="24"/>
      <c r="M150" s="125" t="s">
        <v>1</v>
      </c>
      <c r="N150" s="126" t="s">
        <v>32</v>
      </c>
      <c r="O150" s="127">
        <v>0</v>
      </c>
      <c r="P150" s="127">
        <f t="shared" ref="P150:P157" si="1">O150*H150</f>
        <v>0</v>
      </c>
      <c r="Q150" s="127">
        <v>0</v>
      </c>
      <c r="R150" s="127">
        <f t="shared" ref="R150:R157" si="2">Q150*H150</f>
        <v>0</v>
      </c>
      <c r="S150" s="127">
        <v>0</v>
      </c>
      <c r="T150" s="128">
        <f t="shared" ref="T150:T157" si="3">S150*H150</f>
        <v>0</v>
      </c>
      <c r="AR150" s="129" t="s">
        <v>235</v>
      </c>
      <c r="AT150" s="129" t="s">
        <v>231</v>
      </c>
      <c r="AU150" s="129" t="s">
        <v>76</v>
      </c>
      <c r="AY150" s="13" t="s">
        <v>228</v>
      </c>
      <c r="BE150" s="130">
        <f t="shared" ref="BE150:BE157" si="4">IF(N150="základná",J150,0)</f>
        <v>0</v>
      </c>
      <c r="BF150" s="130">
        <f t="shared" ref="BF150:BF157" si="5">IF(N150="znížená",J150,0)</f>
        <v>44.08</v>
      </c>
      <c r="BG150" s="130">
        <f t="shared" ref="BG150:BG157" si="6">IF(N150="zákl. prenesená",J150,0)</f>
        <v>0</v>
      </c>
      <c r="BH150" s="130">
        <f t="shared" ref="BH150:BH157" si="7">IF(N150="zníž. prenesená",J150,0)</f>
        <v>0</v>
      </c>
      <c r="BI150" s="130">
        <f t="shared" ref="BI150:BI157" si="8">IF(N150="nulová",J150,0)</f>
        <v>0</v>
      </c>
      <c r="BJ150" s="13" t="s">
        <v>76</v>
      </c>
      <c r="BK150" s="130">
        <f t="shared" ref="BK150:BK157" si="9">ROUND(I150*H150,2)</f>
        <v>44.08</v>
      </c>
      <c r="BL150" s="13" t="s">
        <v>235</v>
      </c>
      <c r="BM150" s="129" t="s">
        <v>276</v>
      </c>
    </row>
    <row r="151" spans="2:65" s="1" customFormat="1" ht="16.5" customHeight="1" x14ac:dyDescent="0.2">
      <c r="B151" s="118"/>
      <c r="C151" s="119" t="s">
        <v>255</v>
      </c>
      <c r="D151" s="119" t="s">
        <v>231</v>
      </c>
      <c r="E151" s="120" t="s">
        <v>1133</v>
      </c>
      <c r="F151" s="121" t="s">
        <v>1134</v>
      </c>
      <c r="G151" s="122" t="s">
        <v>292</v>
      </c>
      <c r="H151" s="123">
        <v>23</v>
      </c>
      <c r="I151" s="124">
        <v>16.96</v>
      </c>
      <c r="J151" s="124">
        <f t="shared" si="0"/>
        <v>390.08</v>
      </c>
      <c r="K151" s="121" t="s">
        <v>1</v>
      </c>
      <c r="L151" s="24"/>
      <c r="M151" s="125" t="s">
        <v>1</v>
      </c>
      <c r="N151" s="126" t="s">
        <v>32</v>
      </c>
      <c r="O151" s="127">
        <v>0</v>
      </c>
      <c r="P151" s="127">
        <f t="shared" si="1"/>
        <v>0</v>
      </c>
      <c r="Q151" s="127">
        <v>0</v>
      </c>
      <c r="R151" s="127">
        <f t="shared" si="2"/>
        <v>0</v>
      </c>
      <c r="S151" s="127">
        <v>0</v>
      </c>
      <c r="T151" s="128">
        <f t="shared" si="3"/>
        <v>0</v>
      </c>
      <c r="AR151" s="129" t="s">
        <v>235</v>
      </c>
      <c r="AT151" s="129" t="s">
        <v>231</v>
      </c>
      <c r="AU151" s="129" t="s">
        <v>76</v>
      </c>
      <c r="AY151" s="13" t="s">
        <v>228</v>
      </c>
      <c r="BE151" s="130">
        <f t="shared" si="4"/>
        <v>0</v>
      </c>
      <c r="BF151" s="130">
        <f t="shared" si="5"/>
        <v>390.08</v>
      </c>
      <c r="BG151" s="130">
        <f t="shared" si="6"/>
        <v>0</v>
      </c>
      <c r="BH151" s="130">
        <f t="shared" si="7"/>
        <v>0</v>
      </c>
      <c r="BI151" s="130">
        <f t="shared" si="8"/>
        <v>0</v>
      </c>
      <c r="BJ151" s="13" t="s">
        <v>76</v>
      </c>
      <c r="BK151" s="130">
        <f t="shared" si="9"/>
        <v>390.08</v>
      </c>
      <c r="BL151" s="13" t="s">
        <v>235</v>
      </c>
      <c r="BM151" s="129" t="s">
        <v>280</v>
      </c>
    </row>
    <row r="152" spans="2:65" s="1" customFormat="1" ht="16.5" customHeight="1" x14ac:dyDescent="0.2">
      <c r="B152" s="118"/>
      <c r="C152" s="119" t="s">
        <v>281</v>
      </c>
      <c r="D152" s="119" t="s">
        <v>231</v>
      </c>
      <c r="E152" s="120" t="s">
        <v>1135</v>
      </c>
      <c r="F152" s="121" t="s">
        <v>1136</v>
      </c>
      <c r="G152" s="122" t="s">
        <v>292</v>
      </c>
      <c r="H152" s="123">
        <v>93</v>
      </c>
      <c r="I152" s="124">
        <v>20.29</v>
      </c>
      <c r="J152" s="124">
        <f t="shared" si="0"/>
        <v>1886.97</v>
      </c>
      <c r="K152" s="121" t="s">
        <v>1</v>
      </c>
      <c r="L152" s="24"/>
      <c r="M152" s="125" t="s">
        <v>1</v>
      </c>
      <c r="N152" s="126" t="s">
        <v>32</v>
      </c>
      <c r="O152" s="127">
        <v>0</v>
      </c>
      <c r="P152" s="127">
        <f t="shared" si="1"/>
        <v>0</v>
      </c>
      <c r="Q152" s="127">
        <v>0</v>
      </c>
      <c r="R152" s="127">
        <f t="shared" si="2"/>
        <v>0</v>
      </c>
      <c r="S152" s="127">
        <v>0</v>
      </c>
      <c r="T152" s="128">
        <f t="shared" si="3"/>
        <v>0</v>
      </c>
      <c r="AR152" s="129" t="s">
        <v>235</v>
      </c>
      <c r="AT152" s="129" t="s">
        <v>231</v>
      </c>
      <c r="AU152" s="129" t="s">
        <v>76</v>
      </c>
      <c r="AY152" s="13" t="s">
        <v>228</v>
      </c>
      <c r="BE152" s="130">
        <f t="shared" si="4"/>
        <v>0</v>
      </c>
      <c r="BF152" s="130">
        <f t="shared" si="5"/>
        <v>1886.97</v>
      </c>
      <c r="BG152" s="130">
        <f t="shared" si="6"/>
        <v>0</v>
      </c>
      <c r="BH152" s="130">
        <f t="shared" si="7"/>
        <v>0</v>
      </c>
      <c r="BI152" s="130">
        <f t="shared" si="8"/>
        <v>0</v>
      </c>
      <c r="BJ152" s="13" t="s">
        <v>76</v>
      </c>
      <c r="BK152" s="130">
        <f t="shared" si="9"/>
        <v>1886.97</v>
      </c>
      <c r="BL152" s="13" t="s">
        <v>235</v>
      </c>
      <c r="BM152" s="129" t="s">
        <v>285</v>
      </c>
    </row>
    <row r="153" spans="2:65" s="1" customFormat="1" ht="16.5" customHeight="1" x14ac:dyDescent="0.2">
      <c r="B153" s="118"/>
      <c r="C153" s="119" t="s">
        <v>258</v>
      </c>
      <c r="D153" s="119" t="s">
        <v>231</v>
      </c>
      <c r="E153" s="120" t="s">
        <v>1137</v>
      </c>
      <c r="F153" s="121" t="s">
        <v>1138</v>
      </c>
      <c r="G153" s="122" t="s">
        <v>292</v>
      </c>
      <c r="H153" s="123">
        <v>3</v>
      </c>
      <c r="I153" s="124">
        <v>14.95</v>
      </c>
      <c r="J153" s="124">
        <f t="shared" si="0"/>
        <v>44.85</v>
      </c>
      <c r="K153" s="121" t="s">
        <v>1</v>
      </c>
      <c r="L153" s="24"/>
      <c r="M153" s="125" t="s">
        <v>1</v>
      </c>
      <c r="N153" s="126" t="s">
        <v>32</v>
      </c>
      <c r="O153" s="127">
        <v>0</v>
      </c>
      <c r="P153" s="127">
        <f t="shared" si="1"/>
        <v>0</v>
      </c>
      <c r="Q153" s="127">
        <v>0</v>
      </c>
      <c r="R153" s="127">
        <f t="shared" si="2"/>
        <v>0</v>
      </c>
      <c r="S153" s="127">
        <v>0</v>
      </c>
      <c r="T153" s="128">
        <f t="shared" si="3"/>
        <v>0</v>
      </c>
      <c r="AR153" s="129" t="s">
        <v>235</v>
      </c>
      <c r="AT153" s="129" t="s">
        <v>231</v>
      </c>
      <c r="AU153" s="129" t="s">
        <v>76</v>
      </c>
      <c r="AY153" s="13" t="s">
        <v>228</v>
      </c>
      <c r="BE153" s="130">
        <f t="shared" si="4"/>
        <v>0</v>
      </c>
      <c r="BF153" s="130">
        <f t="shared" si="5"/>
        <v>44.85</v>
      </c>
      <c r="BG153" s="130">
        <f t="shared" si="6"/>
        <v>0</v>
      </c>
      <c r="BH153" s="130">
        <f t="shared" si="7"/>
        <v>0</v>
      </c>
      <c r="BI153" s="130">
        <f t="shared" si="8"/>
        <v>0</v>
      </c>
      <c r="BJ153" s="13" t="s">
        <v>76</v>
      </c>
      <c r="BK153" s="130">
        <f t="shared" si="9"/>
        <v>44.85</v>
      </c>
      <c r="BL153" s="13" t="s">
        <v>235</v>
      </c>
      <c r="BM153" s="129" t="s">
        <v>288</v>
      </c>
    </row>
    <row r="154" spans="2:65" s="1" customFormat="1" ht="16.5" customHeight="1" x14ac:dyDescent="0.2">
      <c r="B154" s="118"/>
      <c r="C154" s="119" t="s">
        <v>289</v>
      </c>
      <c r="D154" s="119" t="s">
        <v>231</v>
      </c>
      <c r="E154" s="120" t="s">
        <v>1139</v>
      </c>
      <c r="F154" s="121" t="s">
        <v>1140</v>
      </c>
      <c r="G154" s="122" t="s">
        <v>292</v>
      </c>
      <c r="H154" s="123">
        <v>18</v>
      </c>
      <c r="I154" s="124">
        <v>2.9</v>
      </c>
      <c r="J154" s="124">
        <f t="shared" si="0"/>
        <v>52.2</v>
      </c>
      <c r="K154" s="121" t="s">
        <v>1</v>
      </c>
      <c r="L154" s="24"/>
      <c r="M154" s="125" t="s">
        <v>1</v>
      </c>
      <c r="N154" s="126" t="s">
        <v>32</v>
      </c>
      <c r="O154" s="127">
        <v>0</v>
      </c>
      <c r="P154" s="127">
        <f t="shared" si="1"/>
        <v>0</v>
      </c>
      <c r="Q154" s="127">
        <v>0</v>
      </c>
      <c r="R154" s="127">
        <f t="shared" si="2"/>
        <v>0</v>
      </c>
      <c r="S154" s="127">
        <v>0</v>
      </c>
      <c r="T154" s="128">
        <f t="shared" si="3"/>
        <v>0</v>
      </c>
      <c r="AR154" s="129" t="s">
        <v>235</v>
      </c>
      <c r="AT154" s="129" t="s">
        <v>231</v>
      </c>
      <c r="AU154" s="129" t="s">
        <v>76</v>
      </c>
      <c r="AY154" s="13" t="s">
        <v>228</v>
      </c>
      <c r="BE154" s="130">
        <f t="shared" si="4"/>
        <v>0</v>
      </c>
      <c r="BF154" s="130">
        <f t="shared" si="5"/>
        <v>52.2</v>
      </c>
      <c r="BG154" s="130">
        <f t="shared" si="6"/>
        <v>0</v>
      </c>
      <c r="BH154" s="130">
        <f t="shared" si="7"/>
        <v>0</v>
      </c>
      <c r="BI154" s="130">
        <f t="shared" si="8"/>
        <v>0</v>
      </c>
      <c r="BJ154" s="13" t="s">
        <v>76</v>
      </c>
      <c r="BK154" s="130">
        <f t="shared" si="9"/>
        <v>52.2</v>
      </c>
      <c r="BL154" s="13" t="s">
        <v>235</v>
      </c>
      <c r="BM154" s="129" t="s">
        <v>293</v>
      </c>
    </row>
    <row r="155" spans="2:65" s="1" customFormat="1" ht="16.5" customHeight="1" x14ac:dyDescent="0.2">
      <c r="B155" s="118"/>
      <c r="C155" s="119" t="s">
        <v>262</v>
      </c>
      <c r="D155" s="119" t="s">
        <v>231</v>
      </c>
      <c r="E155" s="120" t="s">
        <v>1141</v>
      </c>
      <c r="F155" s="121" t="s">
        <v>1142</v>
      </c>
      <c r="G155" s="122" t="s">
        <v>243</v>
      </c>
      <c r="H155" s="123">
        <v>2</v>
      </c>
      <c r="I155" s="124">
        <v>81.27</v>
      </c>
      <c r="J155" s="124">
        <f t="shared" si="0"/>
        <v>162.54</v>
      </c>
      <c r="K155" s="121" t="s">
        <v>1</v>
      </c>
      <c r="L155" s="24"/>
      <c r="M155" s="125" t="s">
        <v>1</v>
      </c>
      <c r="N155" s="126" t="s">
        <v>32</v>
      </c>
      <c r="O155" s="127">
        <v>0</v>
      </c>
      <c r="P155" s="127">
        <f t="shared" si="1"/>
        <v>0</v>
      </c>
      <c r="Q155" s="127">
        <v>0</v>
      </c>
      <c r="R155" s="127">
        <f t="shared" si="2"/>
        <v>0</v>
      </c>
      <c r="S155" s="127">
        <v>0</v>
      </c>
      <c r="T155" s="128">
        <f t="shared" si="3"/>
        <v>0</v>
      </c>
      <c r="AR155" s="129" t="s">
        <v>235</v>
      </c>
      <c r="AT155" s="129" t="s">
        <v>231</v>
      </c>
      <c r="AU155" s="129" t="s">
        <v>76</v>
      </c>
      <c r="AY155" s="13" t="s">
        <v>228</v>
      </c>
      <c r="BE155" s="130">
        <f t="shared" si="4"/>
        <v>0</v>
      </c>
      <c r="BF155" s="130">
        <f t="shared" si="5"/>
        <v>162.54</v>
      </c>
      <c r="BG155" s="130">
        <f t="shared" si="6"/>
        <v>0</v>
      </c>
      <c r="BH155" s="130">
        <f t="shared" si="7"/>
        <v>0</v>
      </c>
      <c r="BI155" s="130">
        <f t="shared" si="8"/>
        <v>0</v>
      </c>
      <c r="BJ155" s="13" t="s">
        <v>76</v>
      </c>
      <c r="BK155" s="130">
        <f t="shared" si="9"/>
        <v>162.54</v>
      </c>
      <c r="BL155" s="13" t="s">
        <v>235</v>
      </c>
      <c r="BM155" s="129" t="s">
        <v>296</v>
      </c>
    </row>
    <row r="156" spans="2:65" s="1" customFormat="1" ht="16.5" customHeight="1" x14ac:dyDescent="0.2">
      <c r="B156" s="118"/>
      <c r="C156" s="119" t="s">
        <v>297</v>
      </c>
      <c r="D156" s="119" t="s">
        <v>231</v>
      </c>
      <c r="E156" s="120" t="s">
        <v>1143</v>
      </c>
      <c r="F156" s="121" t="s">
        <v>1144</v>
      </c>
      <c r="G156" s="122" t="s">
        <v>243</v>
      </c>
      <c r="H156" s="123">
        <v>1</v>
      </c>
      <c r="I156" s="124">
        <v>5.81</v>
      </c>
      <c r="J156" s="124">
        <f t="shared" si="0"/>
        <v>5.81</v>
      </c>
      <c r="K156" s="121" t="s">
        <v>1</v>
      </c>
      <c r="L156" s="24"/>
      <c r="M156" s="125" t="s">
        <v>1</v>
      </c>
      <c r="N156" s="126" t="s">
        <v>32</v>
      </c>
      <c r="O156" s="127">
        <v>0</v>
      </c>
      <c r="P156" s="127">
        <f t="shared" si="1"/>
        <v>0</v>
      </c>
      <c r="Q156" s="127">
        <v>0</v>
      </c>
      <c r="R156" s="127">
        <f t="shared" si="2"/>
        <v>0</v>
      </c>
      <c r="S156" s="127">
        <v>0</v>
      </c>
      <c r="T156" s="128">
        <f t="shared" si="3"/>
        <v>0</v>
      </c>
      <c r="AR156" s="129" t="s">
        <v>235</v>
      </c>
      <c r="AT156" s="129" t="s">
        <v>231</v>
      </c>
      <c r="AU156" s="129" t="s">
        <v>76</v>
      </c>
      <c r="AY156" s="13" t="s">
        <v>228</v>
      </c>
      <c r="BE156" s="130">
        <f t="shared" si="4"/>
        <v>0</v>
      </c>
      <c r="BF156" s="130">
        <f t="shared" si="5"/>
        <v>5.81</v>
      </c>
      <c r="BG156" s="130">
        <f t="shared" si="6"/>
        <v>0</v>
      </c>
      <c r="BH156" s="130">
        <f t="shared" si="7"/>
        <v>0</v>
      </c>
      <c r="BI156" s="130">
        <f t="shared" si="8"/>
        <v>0</v>
      </c>
      <c r="BJ156" s="13" t="s">
        <v>76</v>
      </c>
      <c r="BK156" s="130">
        <f t="shared" si="9"/>
        <v>5.81</v>
      </c>
      <c r="BL156" s="13" t="s">
        <v>235</v>
      </c>
      <c r="BM156" s="129" t="s">
        <v>300</v>
      </c>
    </row>
    <row r="157" spans="2:65" s="1" customFormat="1" ht="24" customHeight="1" x14ac:dyDescent="0.2">
      <c r="B157" s="118"/>
      <c r="C157" s="119" t="s">
        <v>7</v>
      </c>
      <c r="D157" s="119" t="s">
        <v>231</v>
      </c>
      <c r="E157" s="120" t="s">
        <v>1145</v>
      </c>
      <c r="F157" s="121" t="s">
        <v>1146</v>
      </c>
      <c r="G157" s="122" t="s">
        <v>243</v>
      </c>
      <c r="H157" s="123">
        <v>1</v>
      </c>
      <c r="I157" s="124">
        <v>5.81</v>
      </c>
      <c r="J157" s="124">
        <f t="shared" si="0"/>
        <v>5.81</v>
      </c>
      <c r="K157" s="121" t="s">
        <v>1</v>
      </c>
      <c r="L157" s="24"/>
      <c r="M157" s="125" t="s">
        <v>1</v>
      </c>
      <c r="N157" s="126" t="s">
        <v>32</v>
      </c>
      <c r="O157" s="127">
        <v>0</v>
      </c>
      <c r="P157" s="127">
        <f t="shared" si="1"/>
        <v>0</v>
      </c>
      <c r="Q157" s="127">
        <v>0</v>
      </c>
      <c r="R157" s="127">
        <f t="shared" si="2"/>
        <v>0</v>
      </c>
      <c r="S157" s="127">
        <v>0</v>
      </c>
      <c r="T157" s="128">
        <f t="shared" si="3"/>
        <v>0</v>
      </c>
      <c r="AR157" s="129" t="s">
        <v>235</v>
      </c>
      <c r="AT157" s="129" t="s">
        <v>231</v>
      </c>
      <c r="AU157" s="129" t="s">
        <v>76</v>
      </c>
      <c r="AY157" s="13" t="s">
        <v>228</v>
      </c>
      <c r="BE157" s="130">
        <f t="shared" si="4"/>
        <v>0</v>
      </c>
      <c r="BF157" s="130">
        <f t="shared" si="5"/>
        <v>5.81</v>
      </c>
      <c r="BG157" s="130">
        <f t="shared" si="6"/>
        <v>0</v>
      </c>
      <c r="BH157" s="130">
        <f t="shared" si="7"/>
        <v>0</v>
      </c>
      <c r="BI157" s="130">
        <f t="shared" si="8"/>
        <v>0</v>
      </c>
      <c r="BJ157" s="13" t="s">
        <v>76</v>
      </c>
      <c r="BK157" s="130">
        <f t="shared" si="9"/>
        <v>5.81</v>
      </c>
      <c r="BL157" s="13" t="s">
        <v>235</v>
      </c>
      <c r="BM157" s="129" t="s">
        <v>303</v>
      </c>
    </row>
    <row r="158" spans="2:65" s="11" customFormat="1" ht="25.95" customHeight="1" x14ac:dyDescent="0.25">
      <c r="B158" s="106"/>
      <c r="D158" s="107" t="s">
        <v>57</v>
      </c>
      <c r="E158" s="108" t="s">
        <v>2043</v>
      </c>
      <c r="F158" s="108" t="s">
        <v>1148</v>
      </c>
      <c r="J158" s="109">
        <f>BK158</f>
        <v>7111.35</v>
      </c>
      <c r="L158" s="106"/>
      <c r="M158" s="110"/>
      <c r="N158" s="111"/>
      <c r="O158" s="111"/>
      <c r="P158" s="112">
        <f>SUM(P159:P167)</f>
        <v>0</v>
      </c>
      <c r="Q158" s="111"/>
      <c r="R158" s="112">
        <f>SUM(R159:R167)</f>
        <v>0</v>
      </c>
      <c r="S158" s="111"/>
      <c r="T158" s="113">
        <f>SUM(T159:T167)</f>
        <v>0</v>
      </c>
      <c r="AR158" s="107" t="s">
        <v>63</v>
      </c>
      <c r="AT158" s="114" t="s">
        <v>57</v>
      </c>
      <c r="AU158" s="114" t="s">
        <v>58</v>
      </c>
      <c r="AY158" s="107" t="s">
        <v>228</v>
      </c>
      <c r="BK158" s="115">
        <f>SUM(BK159:BK167)</f>
        <v>7111.35</v>
      </c>
    </row>
    <row r="159" spans="2:65" s="1" customFormat="1" ht="16.5" customHeight="1" x14ac:dyDescent="0.2">
      <c r="B159" s="118"/>
      <c r="C159" s="119" t="s">
        <v>305</v>
      </c>
      <c r="D159" s="119" t="s">
        <v>231</v>
      </c>
      <c r="E159" s="120" t="s">
        <v>1149</v>
      </c>
      <c r="F159" s="121" t="s">
        <v>1150</v>
      </c>
      <c r="G159" s="122" t="s">
        <v>243</v>
      </c>
      <c r="H159" s="123">
        <v>54</v>
      </c>
      <c r="I159" s="124">
        <v>6.97</v>
      </c>
      <c r="J159" s="124">
        <f t="shared" ref="J159:J167" si="10">ROUND(I159*H159,2)</f>
        <v>376.38</v>
      </c>
      <c r="K159" s="121" t="s">
        <v>1</v>
      </c>
      <c r="L159" s="24"/>
      <c r="M159" s="125" t="s">
        <v>1</v>
      </c>
      <c r="N159" s="126" t="s">
        <v>32</v>
      </c>
      <c r="O159" s="127">
        <v>0</v>
      </c>
      <c r="P159" s="127">
        <f t="shared" ref="P159:P167" si="11">O159*H159</f>
        <v>0</v>
      </c>
      <c r="Q159" s="127">
        <v>0</v>
      </c>
      <c r="R159" s="127">
        <f t="shared" ref="R159:R167" si="12">Q159*H159</f>
        <v>0</v>
      </c>
      <c r="S159" s="127">
        <v>0</v>
      </c>
      <c r="T159" s="128">
        <f t="shared" ref="T159:T167" si="13">S159*H159</f>
        <v>0</v>
      </c>
      <c r="AR159" s="129" t="s">
        <v>235</v>
      </c>
      <c r="AT159" s="129" t="s">
        <v>231</v>
      </c>
      <c r="AU159" s="129" t="s">
        <v>63</v>
      </c>
      <c r="AY159" s="13" t="s">
        <v>228</v>
      </c>
      <c r="BE159" s="130">
        <f t="shared" ref="BE159:BE167" si="14">IF(N159="základná",J159,0)</f>
        <v>0</v>
      </c>
      <c r="BF159" s="130">
        <f t="shared" ref="BF159:BF167" si="15">IF(N159="znížená",J159,0)</f>
        <v>376.38</v>
      </c>
      <c r="BG159" s="130">
        <f t="shared" ref="BG159:BG167" si="16">IF(N159="zákl. prenesená",J159,0)</f>
        <v>0</v>
      </c>
      <c r="BH159" s="130">
        <f t="shared" ref="BH159:BH167" si="17">IF(N159="zníž. prenesená",J159,0)</f>
        <v>0</v>
      </c>
      <c r="BI159" s="130">
        <f t="shared" ref="BI159:BI167" si="18">IF(N159="nulová",J159,0)</f>
        <v>0</v>
      </c>
      <c r="BJ159" s="13" t="s">
        <v>76</v>
      </c>
      <c r="BK159" s="130">
        <f t="shared" ref="BK159:BK167" si="19">ROUND(I159*H159,2)</f>
        <v>376.38</v>
      </c>
      <c r="BL159" s="13" t="s">
        <v>235</v>
      </c>
      <c r="BM159" s="129" t="s">
        <v>308</v>
      </c>
    </row>
    <row r="160" spans="2:65" s="1" customFormat="1" ht="24" customHeight="1" x14ac:dyDescent="0.2">
      <c r="B160" s="118"/>
      <c r="C160" s="119" t="s">
        <v>268</v>
      </c>
      <c r="D160" s="119" t="s">
        <v>231</v>
      </c>
      <c r="E160" s="120" t="s">
        <v>1152</v>
      </c>
      <c r="F160" s="121" t="s">
        <v>1153</v>
      </c>
      <c r="G160" s="122" t="s">
        <v>243</v>
      </c>
      <c r="H160" s="123">
        <v>14</v>
      </c>
      <c r="I160" s="124">
        <v>146.29</v>
      </c>
      <c r="J160" s="124">
        <f t="shared" si="10"/>
        <v>2048.06</v>
      </c>
      <c r="K160" s="121" t="s">
        <v>1</v>
      </c>
      <c r="L160" s="24"/>
      <c r="M160" s="125" t="s">
        <v>1</v>
      </c>
      <c r="N160" s="126" t="s">
        <v>32</v>
      </c>
      <c r="O160" s="127">
        <v>0</v>
      </c>
      <c r="P160" s="127">
        <f t="shared" si="11"/>
        <v>0</v>
      </c>
      <c r="Q160" s="127">
        <v>0</v>
      </c>
      <c r="R160" s="127">
        <f t="shared" si="12"/>
        <v>0</v>
      </c>
      <c r="S160" s="127">
        <v>0</v>
      </c>
      <c r="T160" s="128">
        <f t="shared" si="13"/>
        <v>0</v>
      </c>
      <c r="AR160" s="129" t="s">
        <v>235</v>
      </c>
      <c r="AT160" s="129" t="s">
        <v>231</v>
      </c>
      <c r="AU160" s="129" t="s">
        <v>63</v>
      </c>
      <c r="AY160" s="13" t="s">
        <v>228</v>
      </c>
      <c r="BE160" s="130">
        <f t="shared" si="14"/>
        <v>0</v>
      </c>
      <c r="BF160" s="130">
        <f t="shared" si="15"/>
        <v>2048.06</v>
      </c>
      <c r="BG160" s="130">
        <f t="shared" si="16"/>
        <v>0</v>
      </c>
      <c r="BH160" s="130">
        <f t="shared" si="17"/>
        <v>0</v>
      </c>
      <c r="BI160" s="130">
        <f t="shared" si="18"/>
        <v>0</v>
      </c>
      <c r="BJ160" s="13" t="s">
        <v>76</v>
      </c>
      <c r="BK160" s="130">
        <f t="shared" si="19"/>
        <v>2048.06</v>
      </c>
      <c r="BL160" s="13" t="s">
        <v>235</v>
      </c>
      <c r="BM160" s="129" t="s">
        <v>312</v>
      </c>
    </row>
    <row r="161" spans="2:65" s="1" customFormat="1" ht="24" customHeight="1" x14ac:dyDescent="0.2">
      <c r="B161" s="118"/>
      <c r="C161" s="119" t="s">
        <v>313</v>
      </c>
      <c r="D161" s="119" t="s">
        <v>231</v>
      </c>
      <c r="E161" s="120" t="s">
        <v>1154</v>
      </c>
      <c r="F161" s="121" t="s">
        <v>1155</v>
      </c>
      <c r="G161" s="122" t="s">
        <v>243</v>
      </c>
      <c r="H161" s="123">
        <v>1</v>
      </c>
      <c r="I161" s="124">
        <v>1497.69</v>
      </c>
      <c r="J161" s="124">
        <f t="shared" si="10"/>
        <v>1497.69</v>
      </c>
      <c r="K161" s="121" t="s">
        <v>1</v>
      </c>
      <c r="L161" s="24"/>
      <c r="M161" s="125" t="s">
        <v>1</v>
      </c>
      <c r="N161" s="126" t="s">
        <v>32</v>
      </c>
      <c r="O161" s="127">
        <v>0</v>
      </c>
      <c r="P161" s="127">
        <f t="shared" si="11"/>
        <v>0</v>
      </c>
      <c r="Q161" s="127">
        <v>0</v>
      </c>
      <c r="R161" s="127">
        <f t="shared" si="12"/>
        <v>0</v>
      </c>
      <c r="S161" s="127">
        <v>0</v>
      </c>
      <c r="T161" s="128">
        <f t="shared" si="13"/>
        <v>0</v>
      </c>
      <c r="AR161" s="129" t="s">
        <v>235</v>
      </c>
      <c r="AT161" s="129" t="s">
        <v>231</v>
      </c>
      <c r="AU161" s="129" t="s">
        <v>63</v>
      </c>
      <c r="AY161" s="13" t="s">
        <v>228</v>
      </c>
      <c r="BE161" s="130">
        <f t="shared" si="14"/>
        <v>0</v>
      </c>
      <c r="BF161" s="130">
        <f t="shared" si="15"/>
        <v>1497.69</v>
      </c>
      <c r="BG161" s="130">
        <f t="shared" si="16"/>
        <v>0</v>
      </c>
      <c r="BH161" s="130">
        <f t="shared" si="17"/>
        <v>0</v>
      </c>
      <c r="BI161" s="130">
        <f t="shared" si="18"/>
        <v>0</v>
      </c>
      <c r="BJ161" s="13" t="s">
        <v>76</v>
      </c>
      <c r="BK161" s="130">
        <f t="shared" si="19"/>
        <v>1497.69</v>
      </c>
      <c r="BL161" s="13" t="s">
        <v>235</v>
      </c>
      <c r="BM161" s="129" t="s">
        <v>316</v>
      </c>
    </row>
    <row r="162" spans="2:65" s="1" customFormat="1" ht="16.5" customHeight="1" x14ac:dyDescent="0.2">
      <c r="B162" s="118"/>
      <c r="C162" s="119" t="s">
        <v>272</v>
      </c>
      <c r="D162" s="119" t="s">
        <v>231</v>
      </c>
      <c r="E162" s="120" t="s">
        <v>1156</v>
      </c>
      <c r="F162" s="121" t="s">
        <v>1157</v>
      </c>
      <c r="G162" s="122" t="s">
        <v>243</v>
      </c>
      <c r="H162" s="123">
        <v>1</v>
      </c>
      <c r="I162" s="124">
        <v>1625.4</v>
      </c>
      <c r="J162" s="124">
        <f t="shared" si="10"/>
        <v>1625.4</v>
      </c>
      <c r="K162" s="121" t="s">
        <v>1</v>
      </c>
      <c r="L162" s="24"/>
      <c r="M162" s="125" t="s">
        <v>1</v>
      </c>
      <c r="N162" s="126" t="s">
        <v>32</v>
      </c>
      <c r="O162" s="127">
        <v>0</v>
      </c>
      <c r="P162" s="127">
        <f t="shared" si="11"/>
        <v>0</v>
      </c>
      <c r="Q162" s="127">
        <v>0</v>
      </c>
      <c r="R162" s="127">
        <f t="shared" si="12"/>
        <v>0</v>
      </c>
      <c r="S162" s="127">
        <v>0</v>
      </c>
      <c r="T162" s="128">
        <f t="shared" si="13"/>
        <v>0</v>
      </c>
      <c r="AR162" s="129" t="s">
        <v>235</v>
      </c>
      <c r="AT162" s="129" t="s">
        <v>231</v>
      </c>
      <c r="AU162" s="129" t="s">
        <v>63</v>
      </c>
      <c r="AY162" s="13" t="s">
        <v>228</v>
      </c>
      <c r="BE162" s="130">
        <f t="shared" si="14"/>
        <v>0</v>
      </c>
      <c r="BF162" s="130">
        <f t="shared" si="15"/>
        <v>1625.4</v>
      </c>
      <c r="BG162" s="130">
        <f t="shared" si="16"/>
        <v>0</v>
      </c>
      <c r="BH162" s="130">
        <f t="shared" si="17"/>
        <v>0</v>
      </c>
      <c r="BI162" s="130">
        <f t="shared" si="18"/>
        <v>0</v>
      </c>
      <c r="BJ162" s="13" t="s">
        <v>76</v>
      </c>
      <c r="BK162" s="130">
        <f t="shared" si="19"/>
        <v>1625.4</v>
      </c>
      <c r="BL162" s="13" t="s">
        <v>235</v>
      </c>
      <c r="BM162" s="129" t="s">
        <v>319</v>
      </c>
    </row>
    <row r="163" spans="2:65" s="1" customFormat="1" ht="16.5" customHeight="1" x14ac:dyDescent="0.2">
      <c r="B163" s="118"/>
      <c r="C163" s="119" t="s">
        <v>320</v>
      </c>
      <c r="D163" s="119" t="s">
        <v>231</v>
      </c>
      <c r="E163" s="120" t="s">
        <v>1158</v>
      </c>
      <c r="F163" s="121" t="s">
        <v>1159</v>
      </c>
      <c r="G163" s="122" t="s">
        <v>243</v>
      </c>
      <c r="H163" s="123">
        <v>20</v>
      </c>
      <c r="I163" s="124">
        <v>2.2400000000000002</v>
      </c>
      <c r="J163" s="124">
        <f t="shared" si="10"/>
        <v>44.8</v>
      </c>
      <c r="K163" s="121" t="s">
        <v>1</v>
      </c>
      <c r="L163" s="24"/>
      <c r="M163" s="125" t="s">
        <v>1</v>
      </c>
      <c r="N163" s="126" t="s">
        <v>32</v>
      </c>
      <c r="O163" s="127">
        <v>0</v>
      </c>
      <c r="P163" s="127">
        <f t="shared" si="11"/>
        <v>0</v>
      </c>
      <c r="Q163" s="127">
        <v>0</v>
      </c>
      <c r="R163" s="127">
        <f t="shared" si="12"/>
        <v>0</v>
      </c>
      <c r="S163" s="127">
        <v>0</v>
      </c>
      <c r="T163" s="128">
        <f t="shared" si="13"/>
        <v>0</v>
      </c>
      <c r="AR163" s="129" t="s">
        <v>235</v>
      </c>
      <c r="AT163" s="129" t="s">
        <v>231</v>
      </c>
      <c r="AU163" s="129" t="s">
        <v>63</v>
      </c>
      <c r="AY163" s="13" t="s">
        <v>228</v>
      </c>
      <c r="BE163" s="130">
        <f t="shared" si="14"/>
        <v>0</v>
      </c>
      <c r="BF163" s="130">
        <f t="shared" si="15"/>
        <v>44.8</v>
      </c>
      <c r="BG163" s="130">
        <f t="shared" si="16"/>
        <v>0</v>
      </c>
      <c r="BH163" s="130">
        <f t="shared" si="17"/>
        <v>0</v>
      </c>
      <c r="BI163" s="130">
        <f t="shared" si="18"/>
        <v>0</v>
      </c>
      <c r="BJ163" s="13" t="s">
        <v>76</v>
      </c>
      <c r="BK163" s="130">
        <f t="shared" si="19"/>
        <v>44.8</v>
      </c>
      <c r="BL163" s="13" t="s">
        <v>235</v>
      </c>
      <c r="BM163" s="129" t="s">
        <v>323</v>
      </c>
    </row>
    <row r="164" spans="2:65" s="1" customFormat="1" ht="16.5" customHeight="1" x14ac:dyDescent="0.2">
      <c r="B164" s="118"/>
      <c r="C164" s="119" t="s">
        <v>276</v>
      </c>
      <c r="D164" s="119" t="s">
        <v>231</v>
      </c>
      <c r="E164" s="120" t="s">
        <v>1160</v>
      </c>
      <c r="F164" s="121" t="s">
        <v>1161</v>
      </c>
      <c r="G164" s="122" t="s">
        <v>243</v>
      </c>
      <c r="H164" s="123">
        <v>22</v>
      </c>
      <c r="I164" s="124">
        <v>3.2</v>
      </c>
      <c r="J164" s="124">
        <f t="shared" si="10"/>
        <v>70.400000000000006</v>
      </c>
      <c r="K164" s="121" t="s">
        <v>1</v>
      </c>
      <c r="L164" s="24"/>
      <c r="M164" s="125" t="s">
        <v>1</v>
      </c>
      <c r="N164" s="126" t="s">
        <v>32</v>
      </c>
      <c r="O164" s="127">
        <v>0</v>
      </c>
      <c r="P164" s="127">
        <f t="shared" si="11"/>
        <v>0</v>
      </c>
      <c r="Q164" s="127">
        <v>0</v>
      </c>
      <c r="R164" s="127">
        <f t="shared" si="12"/>
        <v>0</v>
      </c>
      <c r="S164" s="127">
        <v>0</v>
      </c>
      <c r="T164" s="128">
        <f t="shared" si="13"/>
        <v>0</v>
      </c>
      <c r="AR164" s="129" t="s">
        <v>235</v>
      </c>
      <c r="AT164" s="129" t="s">
        <v>231</v>
      </c>
      <c r="AU164" s="129" t="s">
        <v>63</v>
      </c>
      <c r="AY164" s="13" t="s">
        <v>228</v>
      </c>
      <c r="BE164" s="130">
        <f t="shared" si="14"/>
        <v>0</v>
      </c>
      <c r="BF164" s="130">
        <f t="shared" si="15"/>
        <v>70.400000000000006</v>
      </c>
      <c r="BG164" s="130">
        <f t="shared" si="16"/>
        <v>0</v>
      </c>
      <c r="BH164" s="130">
        <f t="shared" si="17"/>
        <v>0</v>
      </c>
      <c r="BI164" s="130">
        <f t="shared" si="18"/>
        <v>0</v>
      </c>
      <c r="BJ164" s="13" t="s">
        <v>76</v>
      </c>
      <c r="BK164" s="130">
        <f t="shared" si="19"/>
        <v>70.400000000000006</v>
      </c>
      <c r="BL164" s="13" t="s">
        <v>235</v>
      </c>
      <c r="BM164" s="129" t="s">
        <v>326</v>
      </c>
    </row>
    <row r="165" spans="2:65" s="1" customFormat="1" ht="16.5" customHeight="1" x14ac:dyDescent="0.2">
      <c r="B165" s="118"/>
      <c r="C165" s="119" t="s">
        <v>327</v>
      </c>
      <c r="D165" s="119" t="s">
        <v>231</v>
      </c>
      <c r="E165" s="120" t="s">
        <v>1166</v>
      </c>
      <c r="F165" s="121" t="s">
        <v>1167</v>
      </c>
      <c r="G165" s="122" t="s">
        <v>243</v>
      </c>
      <c r="H165" s="123">
        <v>12</v>
      </c>
      <c r="I165" s="124">
        <v>4.5</v>
      </c>
      <c r="J165" s="124">
        <f t="shared" si="10"/>
        <v>54</v>
      </c>
      <c r="K165" s="121" t="s">
        <v>1</v>
      </c>
      <c r="L165" s="24"/>
      <c r="M165" s="125" t="s">
        <v>1</v>
      </c>
      <c r="N165" s="126" t="s">
        <v>32</v>
      </c>
      <c r="O165" s="127">
        <v>0</v>
      </c>
      <c r="P165" s="127">
        <f t="shared" si="11"/>
        <v>0</v>
      </c>
      <c r="Q165" s="127">
        <v>0</v>
      </c>
      <c r="R165" s="127">
        <f t="shared" si="12"/>
        <v>0</v>
      </c>
      <c r="S165" s="127">
        <v>0</v>
      </c>
      <c r="T165" s="128">
        <f t="shared" si="13"/>
        <v>0</v>
      </c>
      <c r="AR165" s="129" t="s">
        <v>235</v>
      </c>
      <c r="AT165" s="129" t="s">
        <v>231</v>
      </c>
      <c r="AU165" s="129" t="s">
        <v>63</v>
      </c>
      <c r="AY165" s="13" t="s">
        <v>228</v>
      </c>
      <c r="BE165" s="130">
        <f t="shared" si="14"/>
        <v>0</v>
      </c>
      <c r="BF165" s="130">
        <f t="shared" si="15"/>
        <v>54</v>
      </c>
      <c r="BG165" s="130">
        <f t="shared" si="16"/>
        <v>0</v>
      </c>
      <c r="BH165" s="130">
        <f t="shared" si="17"/>
        <v>0</v>
      </c>
      <c r="BI165" s="130">
        <f t="shared" si="18"/>
        <v>0</v>
      </c>
      <c r="BJ165" s="13" t="s">
        <v>76</v>
      </c>
      <c r="BK165" s="130">
        <f t="shared" si="19"/>
        <v>54</v>
      </c>
      <c r="BL165" s="13" t="s">
        <v>235</v>
      </c>
      <c r="BM165" s="129" t="s">
        <v>330</v>
      </c>
    </row>
    <row r="166" spans="2:65" s="1" customFormat="1" ht="16.5" customHeight="1" x14ac:dyDescent="0.2">
      <c r="B166" s="118"/>
      <c r="C166" s="119" t="s">
        <v>280</v>
      </c>
      <c r="D166" s="119" t="s">
        <v>231</v>
      </c>
      <c r="E166" s="120" t="s">
        <v>1168</v>
      </c>
      <c r="F166" s="121" t="s">
        <v>1169</v>
      </c>
      <c r="G166" s="122" t="s">
        <v>243</v>
      </c>
      <c r="H166" s="123">
        <v>2</v>
      </c>
      <c r="I166" s="124">
        <v>0.71</v>
      </c>
      <c r="J166" s="124">
        <f t="shared" si="10"/>
        <v>1.42</v>
      </c>
      <c r="K166" s="121" t="s">
        <v>1</v>
      </c>
      <c r="L166" s="24"/>
      <c r="M166" s="125" t="s">
        <v>1</v>
      </c>
      <c r="N166" s="126" t="s">
        <v>32</v>
      </c>
      <c r="O166" s="127">
        <v>0</v>
      </c>
      <c r="P166" s="127">
        <f t="shared" si="11"/>
        <v>0</v>
      </c>
      <c r="Q166" s="127">
        <v>0</v>
      </c>
      <c r="R166" s="127">
        <f t="shared" si="12"/>
        <v>0</v>
      </c>
      <c r="S166" s="127">
        <v>0</v>
      </c>
      <c r="T166" s="128">
        <f t="shared" si="13"/>
        <v>0</v>
      </c>
      <c r="AR166" s="129" t="s">
        <v>235</v>
      </c>
      <c r="AT166" s="129" t="s">
        <v>231</v>
      </c>
      <c r="AU166" s="129" t="s">
        <v>63</v>
      </c>
      <c r="AY166" s="13" t="s">
        <v>228</v>
      </c>
      <c r="BE166" s="130">
        <f t="shared" si="14"/>
        <v>0</v>
      </c>
      <c r="BF166" s="130">
        <f t="shared" si="15"/>
        <v>1.42</v>
      </c>
      <c r="BG166" s="130">
        <f t="shared" si="16"/>
        <v>0</v>
      </c>
      <c r="BH166" s="130">
        <f t="shared" si="17"/>
        <v>0</v>
      </c>
      <c r="BI166" s="130">
        <f t="shared" si="18"/>
        <v>0</v>
      </c>
      <c r="BJ166" s="13" t="s">
        <v>76</v>
      </c>
      <c r="BK166" s="130">
        <f t="shared" si="19"/>
        <v>1.42</v>
      </c>
      <c r="BL166" s="13" t="s">
        <v>235</v>
      </c>
      <c r="BM166" s="129" t="s">
        <v>333</v>
      </c>
    </row>
    <row r="167" spans="2:65" s="1" customFormat="1" ht="16.5" customHeight="1" x14ac:dyDescent="0.2">
      <c r="B167" s="118"/>
      <c r="C167" s="119" t="s">
        <v>334</v>
      </c>
      <c r="D167" s="119" t="s">
        <v>231</v>
      </c>
      <c r="E167" s="120" t="s">
        <v>1170</v>
      </c>
      <c r="F167" s="121" t="s">
        <v>3512</v>
      </c>
      <c r="G167" s="122" t="s">
        <v>243</v>
      </c>
      <c r="H167" s="123">
        <v>1</v>
      </c>
      <c r="I167" s="124">
        <v>1393.2</v>
      </c>
      <c r="J167" s="124">
        <f t="shared" si="10"/>
        <v>1393.2</v>
      </c>
      <c r="K167" s="121" t="s">
        <v>1</v>
      </c>
      <c r="L167" s="24"/>
      <c r="M167" s="125" t="s">
        <v>1</v>
      </c>
      <c r="N167" s="126" t="s">
        <v>32</v>
      </c>
      <c r="O167" s="127">
        <v>0</v>
      </c>
      <c r="P167" s="127">
        <f t="shared" si="11"/>
        <v>0</v>
      </c>
      <c r="Q167" s="127">
        <v>0</v>
      </c>
      <c r="R167" s="127">
        <f t="shared" si="12"/>
        <v>0</v>
      </c>
      <c r="S167" s="127">
        <v>0</v>
      </c>
      <c r="T167" s="128">
        <f t="shared" si="13"/>
        <v>0</v>
      </c>
      <c r="AR167" s="129" t="s">
        <v>235</v>
      </c>
      <c r="AT167" s="129" t="s">
        <v>231</v>
      </c>
      <c r="AU167" s="129" t="s">
        <v>63</v>
      </c>
      <c r="AY167" s="13" t="s">
        <v>228</v>
      </c>
      <c r="BE167" s="130">
        <f t="shared" si="14"/>
        <v>0</v>
      </c>
      <c r="BF167" s="130">
        <f t="shared" si="15"/>
        <v>1393.2</v>
      </c>
      <c r="BG167" s="130">
        <f t="shared" si="16"/>
        <v>0</v>
      </c>
      <c r="BH167" s="130">
        <f t="shared" si="17"/>
        <v>0</v>
      </c>
      <c r="BI167" s="130">
        <f t="shared" si="18"/>
        <v>0</v>
      </c>
      <c r="BJ167" s="13" t="s">
        <v>76</v>
      </c>
      <c r="BK167" s="130">
        <f t="shared" si="19"/>
        <v>1393.2</v>
      </c>
      <c r="BL167" s="13" t="s">
        <v>235</v>
      </c>
      <c r="BM167" s="129" t="s">
        <v>337</v>
      </c>
    </row>
    <row r="168" spans="2:65" s="1" customFormat="1" ht="7.05" customHeight="1" x14ac:dyDescent="0.2">
      <c r="B168" s="33"/>
      <c r="C168" s="34"/>
      <c r="D168" s="34"/>
      <c r="E168" s="34"/>
      <c r="F168" s="34"/>
      <c r="G168" s="34"/>
      <c r="H168" s="34"/>
      <c r="I168" s="34"/>
      <c r="J168" s="34"/>
      <c r="K168" s="34"/>
      <c r="L168" s="24"/>
    </row>
  </sheetData>
  <autoFilter ref="C126:K167" xr:uid="{00000000-0009-0000-0000-000011000000}"/>
  <mergeCells count="14">
    <mergeCell ref="E87:H87"/>
    <mergeCell ref="E117:H117"/>
    <mergeCell ref="E119:H119"/>
    <mergeCell ref="L2:V2"/>
    <mergeCell ref="E9:H9"/>
    <mergeCell ref="E18:H18"/>
    <mergeCell ref="E27:H27"/>
    <mergeCell ref="E85:H85"/>
    <mergeCell ref="C4:J4"/>
    <mergeCell ref="F6:J7"/>
    <mergeCell ref="B82:J82"/>
    <mergeCell ref="E84:J84"/>
    <mergeCell ref="B114:J114"/>
    <mergeCell ref="E116:J116"/>
  </mergeCells>
  <pageMargins left="0.39374999999999999" right="0.39374999999999999" top="0.39374999999999999" bottom="0.39374999999999999" header="0" footer="0"/>
  <pageSetup paperSize="9" scale="89" fitToHeight="100" orientation="portrait" blackAndWhite="1" r:id="rId1"/>
  <headerFooter>
    <oddFooter>&amp;CStrana &amp;P z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pageSetUpPr fitToPage="1"/>
  </sheetPr>
  <dimension ref="A1:BM430"/>
  <sheetViews>
    <sheetView showGridLines="0" topLeftCell="F422" zoomScale="80" zoomScaleNormal="80" workbookViewId="0">
      <selection activeCell="AG140" sqref="AG140"/>
    </sheetView>
  </sheetViews>
  <sheetFormatPr defaultColWidth="8.7109375" defaultRowHeight="12" x14ac:dyDescent="0.2"/>
  <cols>
    <col min="1" max="1" width="8.28515625" customWidth="1"/>
    <col min="2" max="2" width="1.7109375" customWidth="1"/>
    <col min="3" max="4" width="4.28515625" customWidth="1"/>
    <col min="5" max="5" width="17.28515625" customWidth="1"/>
    <col min="6" max="6" width="50.7109375" customWidth="1"/>
    <col min="7" max="7" width="7" customWidth="1"/>
    <col min="8" max="8" width="11.42578125" customWidth="1"/>
    <col min="9" max="10" width="20.28515625" customWidth="1"/>
    <col min="11" max="11" width="20.28515625" hidden="1" customWidth="1"/>
    <col min="12" max="12" width="9.28515625" customWidth="1"/>
    <col min="13" max="13" width="10.7109375" hidden="1" customWidth="1"/>
    <col min="14" max="14" width="9.28515625" hidden="1"/>
    <col min="15" max="20" width="14.28515625" hidden="1" customWidth="1"/>
    <col min="21" max="21" width="16.28515625" hidden="1" customWidth="1"/>
    <col min="22" max="22" width="12.28515625" customWidth="1"/>
    <col min="23" max="23" width="1.7109375" customWidth="1"/>
    <col min="24" max="24" width="6.7109375" customWidth="1"/>
    <col min="25" max="25" width="4.28515625" customWidth="1"/>
    <col min="26" max="26" width="17.28515625" customWidth="1"/>
    <col min="27" max="27" width="50.7109375" customWidth="1"/>
    <col min="28" max="28" width="7" customWidth="1"/>
    <col min="29" max="29" width="11.42578125" customWidth="1"/>
    <col min="30" max="31" width="20.28515625" customWidth="1"/>
    <col min="32" max="32" width="13" style="227" customWidth="1"/>
    <col min="33" max="33" width="15.28515625" style="393" customWidth="1"/>
    <col min="34" max="34" width="13.28515625" style="393" bestFit="1" customWidth="1"/>
    <col min="44" max="65" width="9.28515625" hidden="1"/>
  </cols>
  <sheetData>
    <row r="1" spans="1:56" x14ac:dyDescent="0.2">
      <c r="A1" s="73"/>
    </row>
    <row r="2" spans="1:56" ht="37.049999999999997" customHeight="1" x14ac:dyDescent="0.2">
      <c r="L2" s="1227" t="s">
        <v>5</v>
      </c>
      <c r="M2" s="1225"/>
      <c r="N2" s="1225"/>
      <c r="O2" s="1225"/>
      <c r="P2" s="1225"/>
      <c r="Q2" s="1225"/>
      <c r="R2" s="1225"/>
      <c r="S2" s="1225"/>
      <c r="T2" s="1225"/>
      <c r="U2" s="1225"/>
      <c r="V2" s="1225"/>
      <c r="AT2" s="13" t="s">
        <v>114</v>
      </c>
    </row>
    <row r="3" spans="1:56" ht="7.05" customHeight="1" x14ac:dyDescent="0.2">
      <c r="B3" s="14"/>
      <c r="C3" s="15"/>
      <c r="D3" s="15"/>
      <c r="E3" s="15"/>
      <c r="F3" s="15"/>
      <c r="G3" s="15"/>
      <c r="H3" s="15"/>
      <c r="I3" s="15"/>
      <c r="J3" s="15"/>
      <c r="K3" s="15"/>
      <c r="L3" s="16"/>
      <c r="W3" s="152"/>
      <c r="X3" s="153"/>
      <c r="Y3" s="153"/>
      <c r="Z3" s="153"/>
      <c r="AA3" s="153"/>
      <c r="AB3" s="153"/>
      <c r="AC3" s="153"/>
      <c r="AD3" s="153"/>
      <c r="AE3" s="154"/>
      <c r="AT3" s="13" t="s">
        <v>58</v>
      </c>
    </row>
    <row r="4" spans="1:56" ht="25.05" customHeight="1" x14ac:dyDescent="0.2">
      <c r="B4" s="16"/>
      <c r="C4" s="1165" t="s">
        <v>185</v>
      </c>
      <c r="D4" s="1165"/>
      <c r="E4" s="1165"/>
      <c r="F4" s="1165"/>
      <c r="G4" s="1165"/>
      <c r="H4" s="1165"/>
      <c r="I4" s="1165"/>
      <c r="J4" s="1165"/>
      <c r="L4" s="16"/>
      <c r="M4" s="74" t="s">
        <v>9</v>
      </c>
      <c r="W4" s="155"/>
      <c r="X4" s="1237" t="s">
        <v>185</v>
      </c>
      <c r="Y4" s="1237"/>
      <c r="Z4" s="1237"/>
      <c r="AA4" s="1237"/>
      <c r="AB4" s="1237"/>
      <c r="AC4" s="1237"/>
      <c r="AD4" s="1237"/>
      <c r="AE4" s="1238"/>
      <c r="AT4" s="13" t="s">
        <v>3</v>
      </c>
    </row>
    <row r="5" spans="1:56" ht="7.05" customHeight="1" x14ac:dyDescent="0.2">
      <c r="B5" s="16"/>
      <c r="L5" s="16"/>
      <c r="W5" s="155"/>
      <c r="X5" s="156"/>
      <c r="Y5" s="156"/>
      <c r="Z5" s="156"/>
      <c r="AA5" s="156"/>
      <c r="AB5" s="156"/>
      <c r="AC5" s="156"/>
      <c r="AD5" s="156"/>
      <c r="AE5" s="157"/>
    </row>
    <row r="6" spans="1:56" ht="12" customHeight="1" x14ac:dyDescent="0.2">
      <c r="B6" s="16"/>
      <c r="D6" s="548" t="s">
        <v>12</v>
      </c>
      <c r="F6" s="1254" t="s">
        <v>6176</v>
      </c>
      <c r="G6" s="1254"/>
      <c r="H6" s="1254"/>
      <c r="I6" s="1254"/>
      <c r="J6" s="1254"/>
      <c r="L6" s="16"/>
      <c r="W6" s="155"/>
      <c r="X6" s="156"/>
      <c r="Y6" s="541" t="s">
        <v>12</v>
      </c>
      <c r="Z6" s="156"/>
      <c r="AA6" s="1239" t="s">
        <v>6176</v>
      </c>
      <c r="AB6" s="1239"/>
      <c r="AC6" s="1239"/>
      <c r="AD6" s="1239"/>
      <c r="AE6" s="1240"/>
    </row>
    <row r="7" spans="1:56" ht="24" customHeight="1" x14ac:dyDescent="0.2">
      <c r="B7" s="16"/>
      <c r="D7" s="527"/>
      <c r="E7" s="531"/>
      <c r="F7" s="1254"/>
      <c r="G7" s="1254"/>
      <c r="H7" s="1254"/>
      <c r="I7" s="1254"/>
      <c r="J7" s="1254"/>
      <c r="L7" s="16"/>
      <c r="W7" s="155"/>
      <c r="X7" s="156"/>
      <c r="Y7" s="539"/>
      <c r="Z7" s="245"/>
      <c r="AA7" s="1239"/>
      <c r="AB7" s="1239"/>
      <c r="AC7" s="1239"/>
      <c r="AD7" s="1239"/>
      <c r="AE7" s="1240"/>
      <c r="AF7" s="246"/>
      <c r="AG7" s="78"/>
      <c r="AH7" s="1243"/>
      <c r="AI7" s="1244"/>
      <c r="AJ7" s="1244"/>
      <c r="AK7" s="1244"/>
      <c r="AL7" s="1243"/>
      <c r="AM7" s="1244"/>
      <c r="AN7" s="1244"/>
      <c r="AO7" s="1244"/>
      <c r="AP7" s="1243"/>
      <c r="AQ7" s="1244"/>
      <c r="AR7" s="1244"/>
      <c r="AS7" s="1244"/>
      <c r="AT7" s="1243"/>
      <c r="AU7" s="1244"/>
      <c r="AV7" s="1244"/>
      <c r="AW7" s="1244"/>
      <c r="AX7" s="1243"/>
      <c r="AY7" s="1244"/>
      <c r="AZ7" s="1244"/>
      <c r="BA7" s="1244"/>
      <c r="BB7" s="1243"/>
      <c r="BC7" s="1244"/>
      <c r="BD7" s="1244"/>
    </row>
    <row r="8" spans="1:56" s="1" customFormat="1" ht="12" customHeight="1" x14ac:dyDescent="0.2">
      <c r="B8" s="24"/>
      <c r="D8" s="549" t="s">
        <v>186</v>
      </c>
      <c r="F8" s="532" t="s">
        <v>3513</v>
      </c>
      <c r="L8" s="24"/>
      <c r="W8" s="158"/>
      <c r="X8" s="557"/>
      <c r="Y8" s="550" t="s">
        <v>186</v>
      </c>
      <c r="Z8" s="557"/>
      <c r="AA8" s="555" t="s">
        <v>3513</v>
      </c>
      <c r="AB8" s="557"/>
      <c r="AC8" s="557"/>
      <c r="AD8" s="557"/>
      <c r="AE8" s="159"/>
      <c r="AF8" s="227"/>
      <c r="AG8" s="130"/>
      <c r="AH8" s="130"/>
    </row>
    <row r="9" spans="1:56" s="1" customFormat="1" ht="37.049999999999997" customHeight="1" x14ac:dyDescent="0.2">
      <c r="B9" s="24"/>
      <c r="D9" s="521"/>
      <c r="E9" s="1251"/>
      <c r="F9" s="1252"/>
      <c r="G9" s="1252"/>
      <c r="H9" s="1252"/>
      <c r="L9" s="24"/>
      <c r="W9" s="158"/>
      <c r="X9" s="557"/>
      <c r="Y9" s="557"/>
      <c r="Z9" s="1245"/>
      <c r="AA9" s="1246"/>
      <c r="AB9" s="1246"/>
      <c r="AC9" s="1246"/>
      <c r="AD9" s="557"/>
      <c r="AE9" s="159"/>
      <c r="AF9" s="227"/>
      <c r="AG9" s="130"/>
      <c r="AH9" s="130"/>
    </row>
    <row r="10" spans="1:56" s="1" customFormat="1" x14ac:dyDescent="0.2">
      <c r="B10" s="24"/>
      <c r="D10" s="521"/>
      <c r="L10" s="24"/>
      <c r="W10" s="158"/>
      <c r="X10" s="557"/>
      <c r="Y10" s="557"/>
      <c r="Z10" s="557"/>
      <c r="AA10" s="557"/>
      <c r="AB10" s="557"/>
      <c r="AC10" s="557"/>
      <c r="AD10" s="557"/>
      <c r="AE10" s="159"/>
      <c r="AF10" s="227"/>
      <c r="AG10" s="130"/>
      <c r="AH10" s="130"/>
    </row>
    <row r="11" spans="1:56" s="1" customFormat="1" ht="12" customHeight="1" x14ac:dyDescent="0.2">
      <c r="B11" s="24"/>
      <c r="D11" s="528" t="s">
        <v>13</v>
      </c>
      <c r="F11" s="19" t="s">
        <v>1</v>
      </c>
      <c r="I11" s="528" t="s">
        <v>14</v>
      </c>
      <c r="J11" s="19" t="s">
        <v>1</v>
      </c>
      <c r="L11" s="24"/>
      <c r="W11" s="158"/>
      <c r="X11" s="557"/>
      <c r="Y11" s="538" t="s">
        <v>13</v>
      </c>
      <c r="Z11" s="557"/>
      <c r="AA11" s="558" t="s">
        <v>1</v>
      </c>
      <c r="AB11" s="557"/>
      <c r="AC11" s="557"/>
      <c r="AD11" s="538" t="s">
        <v>14</v>
      </c>
      <c r="AE11" s="161" t="s">
        <v>1</v>
      </c>
      <c r="AF11" s="227"/>
      <c r="AG11" s="130"/>
      <c r="AH11" s="130"/>
    </row>
    <row r="12" spans="1:56" s="1" customFormat="1" ht="12" customHeight="1" x14ac:dyDescent="0.2">
      <c r="B12" s="24"/>
      <c r="D12" s="528" t="s">
        <v>15</v>
      </c>
      <c r="F12" s="520" t="s">
        <v>6173</v>
      </c>
      <c r="I12" s="528" t="s">
        <v>17</v>
      </c>
      <c r="J12" s="39"/>
      <c r="L12" s="24"/>
      <c r="W12" s="158"/>
      <c r="X12" s="557"/>
      <c r="Y12" s="538" t="s">
        <v>15</v>
      </c>
      <c r="Z12" s="557"/>
      <c r="AA12" s="558" t="s">
        <v>6173</v>
      </c>
      <c r="AB12" s="557"/>
      <c r="AC12" s="557"/>
      <c r="AD12" s="538" t="s">
        <v>17</v>
      </c>
      <c r="AE12" s="162"/>
      <c r="AF12" s="227"/>
      <c r="AG12" s="130"/>
      <c r="AH12" s="130"/>
    </row>
    <row r="13" spans="1:56" s="1" customFormat="1" ht="10.95" customHeight="1" x14ac:dyDescent="0.2">
      <c r="B13" s="24"/>
      <c r="D13" s="521"/>
      <c r="F13" s="521"/>
      <c r="I13" s="521"/>
      <c r="L13" s="24"/>
      <c r="W13" s="158"/>
      <c r="X13" s="557"/>
      <c r="Y13" s="557"/>
      <c r="Z13" s="557"/>
      <c r="AA13" s="557"/>
      <c r="AB13" s="557"/>
      <c r="AC13" s="557"/>
      <c r="AD13" s="557"/>
      <c r="AE13" s="159"/>
      <c r="AF13" s="227"/>
      <c r="AG13" s="130"/>
      <c r="AH13" s="130"/>
    </row>
    <row r="14" spans="1:56" s="1" customFormat="1" ht="12" customHeight="1" x14ac:dyDescent="0.2">
      <c r="B14" s="24"/>
      <c r="D14" s="528" t="s">
        <v>18</v>
      </c>
      <c r="F14" s="529" t="s">
        <v>6175</v>
      </c>
      <c r="I14" s="528" t="s">
        <v>19</v>
      </c>
      <c r="J14" s="19" t="str">
        <f>IF('Rekapitulácia stavby'!AN10="","",'Rekapitulácia stavby'!AN10)</f>
        <v/>
      </c>
      <c r="L14" s="24"/>
      <c r="W14" s="158"/>
      <c r="X14" s="557"/>
      <c r="Y14" s="538" t="s">
        <v>18</v>
      </c>
      <c r="Z14" s="557"/>
      <c r="AA14" s="576" t="s">
        <v>6175</v>
      </c>
      <c r="AB14" s="557"/>
      <c r="AC14" s="557"/>
      <c r="AD14" s="538" t="s">
        <v>19</v>
      </c>
      <c r="AE14" s="161" t="str">
        <f>IF('Rekapitulácia stavby'!BI10="","",'Rekapitulácia stavby'!BI10)</f>
        <v/>
      </c>
      <c r="AF14" s="227"/>
      <c r="AG14" s="130"/>
      <c r="AH14" s="130"/>
    </row>
    <row r="15" spans="1:56" s="1" customFormat="1" ht="18" customHeight="1" x14ac:dyDescent="0.2">
      <c r="B15" s="24"/>
      <c r="D15" s="521"/>
      <c r="E15" s="19" t="str">
        <f>IF('Rekapitulácia stavby'!E11="","",'Rekapitulácia stavby'!E11)</f>
        <v/>
      </c>
      <c r="F15" s="521"/>
      <c r="I15" s="528" t="s">
        <v>20</v>
      </c>
      <c r="J15" s="19" t="str">
        <f>IF('Rekapitulácia stavby'!AN11="","",'Rekapitulácia stavby'!AN11)</f>
        <v/>
      </c>
      <c r="L15" s="24"/>
      <c r="W15" s="158"/>
      <c r="X15" s="557"/>
      <c r="Y15" s="557"/>
      <c r="Z15" s="558" t="str">
        <f>IF('Rekapitulácia stavby'!Z11="","",'Rekapitulácia stavby'!Z11)</f>
        <v/>
      </c>
      <c r="AA15" s="557"/>
      <c r="AB15" s="557"/>
      <c r="AC15" s="557"/>
      <c r="AD15" s="538" t="s">
        <v>20</v>
      </c>
      <c r="AE15" s="161" t="str">
        <f>IF('Rekapitulácia stavby'!BI11="","",'Rekapitulácia stavby'!BI11)</f>
        <v/>
      </c>
      <c r="AF15" s="227"/>
      <c r="AG15" s="130"/>
      <c r="AH15" s="130"/>
    </row>
    <row r="16" spans="1:56" s="1" customFormat="1" ht="7.05" customHeight="1" x14ac:dyDescent="0.2">
      <c r="B16" s="24"/>
      <c r="D16" s="521"/>
      <c r="F16" s="521"/>
      <c r="I16" s="521"/>
      <c r="L16" s="24"/>
      <c r="W16" s="158"/>
      <c r="X16" s="557"/>
      <c r="Y16" s="557"/>
      <c r="Z16" s="557"/>
      <c r="AA16" s="557"/>
      <c r="AB16" s="557"/>
      <c r="AC16" s="557"/>
      <c r="AD16" s="557"/>
      <c r="AE16" s="159"/>
      <c r="AF16" s="227"/>
      <c r="AG16" s="130"/>
      <c r="AH16" s="130"/>
    </row>
    <row r="17" spans="2:34" s="1" customFormat="1" ht="12" customHeight="1" x14ac:dyDescent="0.2">
      <c r="B17" s="24"/>
      <c r="D17" s="528" t="s">
        <v>21</v>
      </c>
      <c r="F17" s="529" t="s">
        <v>5202</v>
      </c>
      <c r="I17" s="528" t="s">
        <v>19</v>
      </c>
      <c r="J17" s="19"/>
      <c r="L17" s="24"/>
      <c r="W17" s="158"/>
      <c r="X17" s="557"/>
      <c r="Y17" s="538" t="s">
        <v>21</v>
      </c>
      <c r="Z17" s="557"/>
      <c r="AA17" s="576" t="s">
        <v>5202</v>
      </c>
      <c r="AB17" s="557"/>
      <c r="AC17" s="557"/>
      <c r="AD17" s="538" t="s">
        <v>19</v>
      </c>
      <c r="AE17" s="161"/>
      <c r="AF17" s="227"/>
      <c r="AG17" s="130"/>
      <c r="AH17" s="130"/>
    </row>
    <row r="18" spans="2:34" s="1" customFormat="1" ht="18" customHeight="1" x14ac:dyDescent="0.2">
      <c r="B18" s="24"/>
      <c r="D18" s="521"/>
      <c r="E18" s="1161"/>
      <c r="F18" s="1161"/>
      <c r="G18" s="1161"/>
      <c r="H18" s="1161"/>
      <c r="I18" s="528" t="s">
        <v>20</v>
      </c>
      <c r="J18" s="19" t="str">
        <f>'Rekapitulácia stavby'!AN14</f>
        <v/>
      </c>
      <c r="L18" s="24"/>
      <c r="W18" s="158"/>
      <c r="X18" s="557"/>
      <c r="Y18" s="557"/>
      <c r="Z18" s="1247"/>
      <c r="AA18" s="1247"/>
      <c r="AB18" s="1247"/>
      <c r="AC18" s="1247"/>
      <c r="AD18" s="538" t="s">
        <v>20</v>
      </c>
      <c r="AE18" s="161"/>
      <c r="AF18" s="227"/>
      <c r="AG18" s="130"/>
      <c r="AH18" s="130"/>
    </row>
    <row r="19" spans="2:34" s="1" customFormat="1" ht="7.05" customHeight="1" x14ac:dyDescent="0.2">
      <c r="B19" s="24"/>
      <c r="D19" s="521"/>
      <c r="I19" s="521"/>
      <c r="L19" s="24"/>
      <c r="W19" s="158"/>
      <c r="X19" s="557"/>
      <c r="Y19" s="557"/>
      <c r="Z19" s="557"/>
      <c r="AA19" s="557"/>
      <c r="AB19" s="557"/>
      <c r="AC19" s="557"/>
      <c r="AD19" s="557"/>
      <c r="AE19" s="159"/>
      <c r="AF19" s="227"/>
      <c r="AG19" s="130"/>
      <c r="AH19" s="130"/>
    </row>
    <row r="20" spans="2:34" s="1" customFormat="1" ht="12" customHeight="1" x14ac:dyDescent="0.2">
      <c r="B20" s="24"/>
      <c r="D20" s="528" t="s">
        <v>22</v>
      </c>
      <c r="I20" s="528" t="s">
        <v>19</v>
      </c>
      <c r="J20" s="19" t="str">
        <f>IF('Rekapitulácia stavby'!AN16="","",'Rekapitulácia stavby'!AN16)</f>
        <v/>
      </c>
      <c r="L20" s="24"/>
      <c r="W20" s="158"/>
      <c r="X20" s="557"/>
      <c r="Y20" s="538" t="s">
        <v>22</v>
      </c>
      <c r="Z20" s="557"/>
      <c r="AA20" s="557"/>
      <c r="AB20" s="557"/>
      <c r="AC20" s="557"/>
      <c r="AD20" s="538" t="s">
        <v>19</v>
      </c>
      <c r="AE20" s="161" t="str">
        <f>IF('Rekapitulácia stavby'!BI16="","",'Rekapitulácia stavby'!BI16)</f>
        <v/>
      </c>
      <c r="AF20" s="227"/>
      <c r="AG20" s="130"/>
      <c r="AH20" s="130"/>
    </row>
    <row r="21" spans="2:34" s="1" customFormat="1" ht="18" customHeight="1" x14ac:dyDescent="0.2">
      <c r="B21" s="24"/>
      <c r="D21" s="521"/>
      <c r="E21" s="19" t="str">
        <f>IF('Rekapitulácia stavby'!E17="","",'Rekapitulácia stavby'!E17)</f>
        <v xml:space="preserve"> </v>
      </c>
      <c r="I21" s="528" t="s">
        <v>20</v>
      </c>
      <c r="J21" s="19" t="str">
        <f>IF('Rekapitulácia stavby'!AN17="","",'Rekapitulácia stavby'!AN17)</f>
        <v/>
      </c>
      <c r="L21" s="24"/>
      <c r="W21" s="158"/>
      <c r="X21" s="557"/>
      <c r="Y21" s="557"/>
      <c r="Z21" s="558" t="str">
        <f>IF('Rekapitulácia stavby'!Z17="","",'Rekapitulácia stavby'!Z17)</f>
        <v/>
      </c>
      <c r="AA21" s="557"/>
      <c r="AB21" s="557"/>
      <c r="AC21" s="557"/>
      <c r="AD21" s="538" t="s">
        <v>20</v>
      </c>
      <c r="AE21" s="161" t="str">
        <f>IF('Rekapitulácia stavby'!BI17="","",'Rekapitulácia stavby'!BI17)</f>
        <v/>
      </c>
      <c r="AF21" s="227"/>
      <c r="AG21" s="130"/>
      <c r="AH21" s="130"/>
    </row>
    <row r="22" spans="2:34" s="1" customFormat="1" ht="7.05" customHeight="1" x14ac:dyDescent="0.2">
      <c r="B22" s="24"/>
      <c r="D22" s="521"/>
      <c r="I22" s="521"/>
      <c r="L22" s="24"/>
      <c r="W22" s="158"/>
      <c r="X22" s="557"/>
      <c r="Y22" s="557"/>
      <c r="Z22" s="557"/>
      <c r="AA22" s="557"/>
      <c r="AB22" s="557"/>
      <c r="AC22" s="557"/>
      <c r="AD22" s="557"/>
      <c r="AE22" s="159"/>
      <c r="AF22" s="227"/>
      <c r="AG22" s="130"/>
      <c r="AH22" s="130"/>
    </row>
    <row r="23" spans="2:34" s="1" customFormat="1" ht="12" customHeight="1" x14ac:dyDescent="0.2">
      <c r="B23" s="24"/>
      <c r="D23" s="528" t="s">
        <v>24</v>
      </c>
      <c r="I23" s="528" t="s">
        <v>19</v>
      </c>
      <c r="J23" s="19" t="str">
        <f>IF('Rekapitulácia stavby'!AN19="","",'Rekapitulácia stavby'!AN19)</f>
        <v/>
      </c>
      <c r="L23" s="24"/>
      <c r="W23" s="158"/>
      <c r="X23" s="557"/>
      <c r="Y23" s="538" t="s">
        <v>24</v>
      </c>
      <c r="Z23" s="557"/>
      <c r="AA23" s="557"/>
      <c r="AB23" s="557"/>
      <c r="AC23" s="557"/>
      <c r="AD23" s="538" t="s">
        <v>19</v>
      </c>
      <c r="AE23" s="161" t="str">
        <f>IF('Rekapitulácia stavby'!BI19="","",'Rekapitulácia stavby'!BI19)</f>
        <v/>
      </c>
      <c r="AF23" s="227"/>
      <c r="AG23" s="130"/>
      <c r="AH23" s="130"/>
    </row>
    <row r="24" spans="2:34" s="1" customFormat="1" ht="18" customHeight="1" x14ac:dyDescent="0.2">
      <c r="B24" s="24"/>
      <c r="D24" s="521"/>
      <c r="E24" s="19" t="str">
        <f>IF('Rekapitulácia stavby'!E20="","",'Rekapitulácia stavby'!E20)</f>
        <v xml:space="preserve"> </v>
      </c>
      <c r="I24" s="528" t="s">
        <v>20</v>
      </c>
      <c r="J24" s="19" t="str">
        <f>IF('Rekapitulácia stavby'!AN20="","",'Rekapitulácia stavby'!AN20)</f>
        <v/>
      </c>
      <c r="L24" s="24"/>
      <c r="W24" s="158"/>
      <c r="X24" s="557"/>
      <c r="Y24" s="557"/>
      <c r="Z24" s="558" t="str">
        <f>IF('Rekapitulácia stavby'!Z20="","",'Rekapitulácia stavby'!Z20)</f>
        <v/>
      </c>
      <c r="AA24" s="557"/>
      <c r="AB24" s="557"/>
      <c r="AC24" s="557"/>
      <c r="AD24" s="538" t="s">
        <v>20</v>
      </c>
      <c r="AE24" s="161" t="str">
        <f>IF('Rekapitulácia stavby'!BI20="","",'Rekapitulácia stavby'!BI20)</f>
        <v/>
      </c>
      <c r="AF24" s="227"/>
      <c r="AG24" s="130"/>
      <c r="AH24" s="130"/>
    </row>
    <row r="25" spans="2:34" s="1" customFormat="1" ht="7.05" customHeight="1" x14ac:dyDescent="0.2">
      <c r="B25" s="24"/>
      <c r="D25" s="521"/>
      <c r="L25" s="24"/>
      <c r="W25" s="158"/>
      <c r="X25" s="557"/>
      <c r="Y25" s="557"/>
      <c r="Z25" s="557"/>
      <c r="AA25" s="557"/>
      <c r="AB25" s="557"/>
      <c r="AC25" s="557"/>
      <c r="AD25" s="557"/>
      <c r="AE25" s="159"/>
      <c r="AF25" s="227"/>
      <c r="AG25" s="130"/>
      <c r="AH25" s="130"/>
    </row>
    <row r="26" spans="2:34" s="1" customFormat="1" ht="12" customHeight="1" x14ac:dyDescent="0.2">
      <c r="B26" s="24"/>
      <c r="D26" s="528" t="s">
        <v>25</v>
      </c>
      <c r="L26" s="24"/>
      <c r="W26" s="158"/>
      <c r="X26" s="557"/>
      <c r="Y26" s="538" t="s">
        <v>25</v>
      </c>
      <c r="Z26" s="557"/>
      <c r="AA26" s="557"/>
      <c r="AB26" s="557"/>
      <c r="AC26" s="557"/>
      <c r="AD26" s="557"/>
      <c r="AE26" s="159"/>
      <c r="AF26" s="227"/>
      <c r="AG26" s="130"/>
      <c r="AH26" s="130"/>
    </row>
    <row r="27" spans="2:34" s="7" customFormat="1" ht="16.5" customHeight="1" x14ac:dyDescent="0.2">
      <c r="B27" s="75"/>
      <c r="E27" s="1228" t="s">
        <v>1</v>
      </c>
      <c r="F27" s="1228"/>
      <c r="G27" s="1228"/>
      <c r="H27" s="1228"/>
      <c r="L27" s="75"/>
      <c r="W27" s="163"/>
      <c r="X27" s="164"/>
      <c r="Y27" s="164"/>
      <c r="Z27" s="1248" t="s">
        <v>1</v>
      </c>
      <c r="AA27" s="1248"/>
      <c r="AB27" s="1248"/>
      <c r="AC27" s="1248"/>
      <c r="AD27" s="164"/>
      <c r="AE27" s="165"/>
      <c r="AF27" s="247"/>
      <c r="AG27" s="394"/>
      <c r="AH27" s="394"/>
    </row>
    <row r="28" spans="2:34" s="1" customFormat="1" ht="7.05" customHeight="1" x14ac:dyDescent="0.2">
      <c r="B28" s="24"/>
      <c r="L28" s="24"/>
      <c r="W28" s="158"/>
      <c r="X28" s="557"/>
      <c r="Y28" s="557"/>
      <c r="Z28" s="557"/>
      <c r="AA28" s="557"/>
      <c r="AB28" s="557"/>
      <c r="AC28" s="557"/>
      <c r="AD28" s="557"/>
      <c r="AE28" s="159"/>
      <c r="AF28" s="227"/>
      <c r="AG28" s="130"/>
      <c r="AH28" s="130"/>
    </row>
    <row r="29" spans="2:34" s="1" customFormat="1" ht="7.05" customHeight="1" x14ac:dyDescent="0.2">
      <c r="B29" s="24"/>
      <c r="D29" s="40"/>
      <c r="E29" s="40"/>
      <c r="F29" s="40"/>
      <c r="G29" s="40"/>
      <c r="H29" s="40"/>
      <c r="I29" s="40"/>
      <c r="J29" s="40"/>
      <c r="K29" s="40"/>
      <c r="L29" s="24"/>
      <c r="W29" s="158"/>
      <c r="X29" s="557"/>
      <c r="Y29" s="40"/>
      <c r="Z29" s="40"/>
      <c r="AA29" s="40"/>
      <c r="AB29" s="40"/>
      <c r="AC29" s="40"/>
      <c r="AD29" s="40"/>
      <c r="AE29" s="166"/>
      <c r="AF29" s="227"/>
      <c r="AG29" s="130"/>
      <c r="AH29" s="130"/>
    </row>
    <row r="30" spans="2:34" s="1" customFormat="1" ht="25.2" customHeight="1" x14ac:dyDescent="0.2">
      <c r="B30" s="24"/>
      <c r="D30" s="76" t="s">
        <v>26</v>
      </c>
      <c r="J30" s="53">
        <f>ROUND(J161, 2)</f>
        <v>44679.08</v>
      </c>
      <c r="L30" s="24"/>
      <c r="W30" s="158"/>
      <c r="X30" s="557"/>
      <c r="Y30" s="167" t="s">
        <v>26</v>
      </c>
      <c r="Z30" s="557"/>
      <c r="AA30" s="557"/>
      <c r="AB30" s="557"/>
      <c r="AC30" s="557"/>
      <c r="AD30" s="557"/>
      <c r="AE30" s="168">
        <f>ROUND(AE161, 2)</f>
        <v>43818.67</v>
      </c>
      <c r="AF30" s="227"/>
      <c r="AG30" s="130"/>
      <c r="AH30" s="130"/>
    </row>
    <row r="31" spans="2:34" s="1" customFormat="1" ht="7.05" customHeight="1" x14ac:dyDescent="0.2">
      <c r="B31" s="24"/>
      <c r="D31" s="40"/>
      <c r="E31" s="40"/>
      <c r="F31" s="40"/>
      <c r="G31" s="40"/>
      <c r="H31" s="40"/>
      <c r="I31" s="40"/>
      <c r="J31" s="40"/>
      <c r="K31" s="40"/>
      <c r="L31" s="24"/>
      <c r="W31" s="158"/>
      <c r="X31" s="557"/>
      <c r="Y31" s="40"/>
      <c r="Z31" s="40"/>
      <c r="AA31" s="40"/>
      <c r="AB31" s="40"/>
      <c r="AC31" s="40"/>
      <c r="AD31" s="40"/>
      <c r="AE31" s="166"/>
      <c r="AF31" s="227"/>
      <c r="AG31" s="130"/>
      <c r="AH31" s="130"/>
    </row>
    <row r="32" spans="2:34" s="1" customFormat="1" ht="14.55" customHeight="1" x14ac:dyDescent="0.2">
      <c r="B32" s="24"/>
      <c r="D32" s="521"/>
      <c r="E32" s="521"/>
      <c r="F32" s="534" t="s">
        <v>28</v>
      </c>
      <c r="G32" s="521"/>
      <c r="H32" s="521"/>
      <c r="I32" s="534" t="s">
        <v>27</v>
      </c>
      <c r="J32" s="534" t="s">
        <v>29</v>
      </c>
      <c r="L32" s="24"/>
      <c r="W32" s="158"/>
      <c r="X32" s="557"/>
      <c r="Y32" s="557"/>
      <c r="Z32" s="557"/>
      <c r="AA32" s="542" t="s">
        <v>28</v>
      </c>
      <c r="AB32" s="557"/>
      <c r="AC32" s="557"/>
      <c r="AD32" s="542" t="s">
        <v>27</v>
      </c>
      <c r="AE32" s="543" t="s">
        <v>29</v>
      </c>
      <c r="AF32" s="227"/>
      <c r="AG32" s="130"/>
      <c r="AH32" s="130"/>
    </row>
    <row r="33" spans="2:34" s="1" customFormat="1" ht="14.55" customHeight="1" x14ac:dyDescent="0.2">
      <c r="B33" s="24"/>
      <c r="D33" s="13" t="s">
        <v>30</v>
      </c>
      <c r="E33" s="528" t="s">
        <v>31</v>
      </c>
      <c r="F33" s="398">
        <f>ROUND((SUM(BE161:BE429)),  2)</f>
        <v>0</v>
      </c>
      <c r="G33" s="521"/>
      <c r="H33" s="521"/>
      <c r="I33" s="535">
        <v>0.2</v>
      </c>
      <c r="J33" s="398">
        <f>ROUND(((SUM(BE161:BE429))*I33),  2)</f>
        <v>0</v>
      </c>
      <c r="L33" s="24"/>
      <c r="W33" s="158"/>
      <c r="X33" s="557"/>
      <c r="Y33" s="544" t="s">
        <v>30</v>
      </c>
      <c r="Z33" s="538" t="s">
        <v>31</v>
      </c>
      <c r="AA33" s="545">
        <f>ROUND((SUM(BZ161:BZ429)),  2)</f>
        <v>0</v>
      </c>
      <c r="AB33" s="557"/>
      <c r="AC33" s="557"/>
      <c r="AD33" s="546">
        <v>0.2</v>
      </c>
      <c r="AE33" s="547">
        <f>ROUND(((SUM(BZ161:BZ429))*AD33),  2)</f>
        <v>0</v>
      </c>
      <c r="AF33" s="227"/>
      <c r="AG33" s="130"/>
      <c r="AH33" s="130"/>
    </row>
    <row r="34" spans="2:34" s="1" customFormat="1" ht="14.55" customHeight="1" x14ac:dyDescent="0.2">
      <c r="B34" s="24"/>
      <c r="D34" s="521"/>
      <c r="E34" s="528" t="s">
        <v>32</v>
      </c>
      <c r="F34" s="398">
        <f>ROUND((SUM(BF161:BF429)),  2)</f>
        <v>44679.08</v>
      </c>
      <c r="G34" s="521"/>
      <c r="H34" s="521"/>
      <c r="I34" s="535">
        <v>0.2</v>
      </c>
      <c r="J34" s="398">
        <f>ROUND(((SUM(BF161:BF429))*I34),  2)</f>
        <v>8935.82</v>
      </c>
      <c r="L34" s="24"/>
      <c r="W34" s="158"/>
      <c r="X34" s="557"/>
      <c r="Y34" s="557"/>
      <c r="Z34" s="538" t="s">
        <v>32</v>
      </c>
      <c r="AA34" s="545">
        <f>AE30</f>
        <v>43818.67</v>
      </c>
      <c r="AB34" s="557"/>
      <c r="AC34" s="557"/>
      <c r="AD34" s="546">
        <v>0.2</v>
      </c>
      <c r="AE34" s="547">
        <f>AE30*0.2</f>
        <v>8763.7340000000004</v>
      </c>
      <c r="AF34" s="227"/>
      <c r="AG34" s="130"/>
      <c r="AH34" s="130"/>
    </row>
    <row r="35" spans="2:34" s="1" customFormat="1" ht="14.55" hidden="1" customHeight="1" x14ac:dyDescent="0.2">
      <c r="B35" s="24"/>
      <c r="E35" s="21" t="s">
        <v>33</v>
      </c>
      <c r="F35" s="78">
        <f>ROUND((SUM(BG161:BG429)),  2)</f>
        <v>0</v>
      </c>
      <c r="I35" s="79">
        <v>0.2</v>
      </c>
      <c r="J35" s="78">
        <f>0</f>
        <v>0</v>
      </c>
      <c r="L35" s="24"/>
      <c r="W35" s="158"/>
      <c r="X35" s="557"/>
      <c r="Y35" s="557"/>
      <c r="Z35" s="559" t="s">
        <v>33</v>
      </c>
      <c r="AA35" s="170">
        <f>ROUND((SUM(CB161:CB429)),  2)</f>
        <v>0</v>
      </c>
      <c r="AB35" s="557"/>
      <c r="AC35" s="557"/>
      <c r="AD35" s="171">
        <v>0.2</v>
      </c>
      <c r="AE35" s="172">
        <f>0</f>
        <v>0</v>
      </c>
      <c r="AF35" s="227"/>
      <c r="AG35" s="130"/>
      <c r="AH35" s="130"/>
    </row>
    <row r="36" spans="2:34" s="1" customFormat="1" ht="14.55" hidden="1" customHeight="1" x14ac:dyDescent="0.2">
      <c r="B36" s="24"/>
      <c r="E36" s="21" t="s">
        <v>34</v>
      </c>
      <c r="F36" s="78">
        <f>ROUND((SUM(BH161:BH429)),  2)</f>
        <v>0</v>
      </c>
      <c r="I36" s="79">
        <v>0.2</v>
      </c>
      <c r="J36" s="78">
        <f>0</f>
        <v>0</v>
      </c>
      <c r="L36" s="24"/>
      <c r="W36" s="158"/>
      <c r="X36" s="557"/>
      <c r="Y36" s="557"/>
      <c r="Z36" s="559" t="s">
        <v>34</v>
      </c>
      <c r="AA36" s="170">
        <f>ROUND((SUM(CC161:CC429)),  2)</f>
        <v>0</v>
      </c>
      <c r="AB36" s="557"/>
      <c r="AC36" s="557"/>
      <c r="AD36" s="171">
        <v>0.2</v>
      </c>
      <c r="AE36" s="172">
        <f>0</f>
        <v>0</v>
      </c>
      <c r="AF36" s="227"/>
      <c r="AG36" s="130"/>
      <c r="AH36" s="130"/>
    </row>
    <row r="37" spans="2:34" s="1" customFormat="1" ht="14.55" hidden="1" customHeight="1" x14ac:dyDescent="0.2">
      <c r="B37" s="24"/>
      <c r="E37" s="21" t="s">
        <v>35</v>
      </c>
      <c r="F37" s="78">
        <f>ROUND((SUM(BI161:BI429)),  2)</f>
        <v>0</v>
      </c>
      <c r="I37" s="79">
        <v>0</v>
      </c>
      <c r="J37" s="78">
        <f>0</f>
        <v>0</v>
      </c>
      <c r="L37" s="24"/>
      <c r="W37" s="158"/>
      <c r="X37" s="557"/>
      <c r="Y37" s="557"/>
      <c r="Z37" s="559" t="s">
        <v>35</v>
      </c>
      <c r="AA37" s="170">
        <f>ROUND((SUM(CD161:CD429)),  2)</f>
        <v>0</v>
      </c>
      <c r="AB37" s="557"/>
      <c r="AC37" s="557"/>
      <c r="AD37" s="171">
        <v>0</v>
      </c>
      <c r="AE37" s="172">
        <f>0</f>
        <v>0</v>
      </c>
      <c r="AF37" s="227"/>
      <c r="AG37" s="130"/>
      <c r="AH37" s="130"/>
    </row>
    <row r="38" spans="2:34" s="1" customFormat="1" ht="7.05" customHeight="1" x14ac:dyDescent="0.2">
      <c r="B38" s="24"/>
      <c r="L38" s="24"/>
      <c r="W38" s="158"/>
      <c r="X38" s="557"/>
      <c r="Y38" s="557"/>
      <c r="Z38" s="557"/>
      <c r="AA38" s="557"/>
      <c r="AB38" s="557"/>
      <c r="AC38" s="557"/>
      <c r="AD38" s="557"/>
      <c r="AE38" s="159"/>
      <c r="AF38" s="227"/>
      <c r="AG38" s="130"/>
      <c r="AH38" s="130"/>
    </row>
    <row r="39" spans="2:34" s="1" customFormat="1" ht="25.2" customHeight="1" x14ac:dyDescent="0.2">
      <c r="B39" s="24"/>
      <c r="C39" s="80"/>
      <c r="D39" s="81" t="s">
        <v>36</v>
      </c>
      <c r="E39" s="44"/>
      <c r="F39" s="44"/>
      <c r="G39" s="82" t="s">
        <v>37</v>
      </c>
      <c r="H39" s="83" t="s">
        <v>38</v>
      </c>
      <c r="I39" s="44"/>
      <c r="J39" s="84">
        <f>SUM(J30:J37)</f>
        <v>53614.9</v>
      </c>
      <c r="K39" s="85"/>
      <c r="L39" s="24"/>
      <c r="W39" s="158"/>
      <c r="X39" s="173"/>
      <c r="Y39" s="81" t="s">
        <v>36</v>
      </c>
      <c r="Z39" s="44"/>
      <c r="AA39" s="44"/>
      <c r="AB39" s="82" t="s">
        <v>37</v>
      </c>
      <c r="AC39" s="83" t="s">
        <v>38</v>
      </c>
      <c r="AD39" s="44"/>
      <c r="AE39" s="174">
        <f>SUM(AE30:AE37)</f>
        <v>52582.403999999995</v>
      </c>
      <c r="AF39" s="227"/>
      <c r="AG39" s="130"/>
      <c r="AH39" s="130"/>
    </row>
    <row r="40" spans="2:34" s="1" customFormat="1" ht="14.55" customHeight="1" x14ac:dyDescent="0.2">
      <c r="B40" s="24"/>
      <c r="L40" s="24"/>
      <c r="W40" s="158"/>
      <c r="X40" s="557"/>
      <c r="Y40" s="557"/>
      <c r="Z40" s="557"/>
      <c r="AA40" s="557"/>
      <c r="AB40" s="557"/>
      <c r="AC40" s="557"/>
      <c r="AD40" s="557"/>
      <c r="AE40" s="159"/>
      <c r="AF40" s="227"/>
      <c r="AG40" s="130"/>
      <c r="AH40" s="130"/>
    </row>
    <row r="41" spans="2:34" ht="14.55" customHeight="1" x14ac:dyDescent="0.2">
      <c r="B41" s="16"/>
      <c r="L41" s="16"/>
      <c r="W41" s="155"/>
      <c r="X41" s="156"/>
      <c r="Y41" s="156"/>
      <c r="Z41" s="156"/>
      <c r="AA41" s="156"/>
      <c r="AB41" s="156"/>
      <c r="AC41" s="156"/>
      <c r="AD41" s="156"/>
      <c r="AE41" s="157"/>
    </row>
    <row r="42" spans="2:34" ht="14.55" customHeight="1" x14ac:dyDescent="0.2">
      <c r="B42" s="16"/>
      <c r="L42" s="16"/>
      <c r="W42" s="155"/>
      <c r="X42" s="156"/>
      <c r="Y42" s="156"/>
      <c r="Z42" s="156"/>
      <c r="AA42" s="156"/>
      <c r="AB42" s="156"/>
      <c r="AC42" s="156"/>
      <c r="AD42" s="156"/>
      <c r="AE42" s="157"/>
    </row>
    <row r="43" spans="2:34" ht="14.55" customHeight="1" x14ac:dyDescent="0.2">
      <c r="B43" s="16"/>
      <c r="L43" s="16"/>
      <c r="W43" s="155"/>
      <c r="X43" s="156"/>
      <c r="Y43" s="156"/>
      <c r="Z43" s="156"/>
      <c r="AA43" s="156"/>
      <c r="AB43" s="156"/>
      <c r="AC43" s="156"/>
      <c r="AD43" s="156"/>
      <c r="AE43" s="157"/>
    </row>
    <row r="44" spans="2:34" ht="14.55" customHeight="1" x14ac:dyDescent="0.2">
      <c r="B44" s="16"/>
      <c r="L44" s="16"/>
      <c r="W44" s="155"/>
      <c r="X44" s="156"/>
      <c r="Y44" s="156"/>
      <c r="Z44" s="156"/>
      <c r="AA44" s="156"/>
      <c r="AB44" s="156"/>
      <c r="AC44" s="156"/>
      <c r="AD44" s="156"/>
      <c r="AE44" s="157"/>
    </row>
    <row r="45" spans="2:34" ht="14.55" customHeight="1" x14ac:dyDescent="0.2">
      <c r="B45" s="16"/>
      <c r="L45" s="16"/>
      <c r="W45" s="155"/>
      <c r="X45" s="156"/>
      <c r="Y45" s="156"/>
      <c r="Z45" s="156"/>
      <c r="AA45" s="156"/>
      <c r="AB45" s="156"/>
      <c r="AC45" s="156"/>
      <c r="AD45" s="156"/>
      <c r="AE45" s="157"/>
    </row>
    <row r="46" spans="2:34" ht="14.55" customHeight="1" x14ac:dyDescent="0.2">
      <c r="B46" s="16"/>
      <c r="L46" s="16"/>
      <c r="W46" s="155"/>
      <c r="X46" s="156"/>
      <c r="Y46" s="156"/>
      <c r="Z46" s="156"/>
      <c r="AA46" s="156"/>
      <c r="AB46" s="156"/>
      <c r="AC46" s="156"/>
      <c r="AD46" s="156"/>
      <c r="AE46" s="157"/>
    </row>
    <row r="47" spans="2:34" ht="14.55" customHeight="1" x14ac:dyDescent="0.2">
      <c r="B47" s="16"/>
      <c r="L47" s="16"/>
      <c r="W47" s="155"/>
      <c r="X47" s="156"/>
      <c r="Y47" s="156"/>
      <c r="Z47" s="156"/>
      <c r="AA47" s="156"/>
      <c r="AB47" s="156"/>
      <c r="AC47" s="156"/>
      <c r="AD47" s="156"/>
      <c r="AE47" s="157"/>
    </row>
    <row r="48" spans="2:34" ht="14.55" customHeight="1" x14ac:dyDescent="0.2">
      <c r="B48" s="16"/>
      <c r="L48" s="16"/>
      <c r="W48" s="155"/>
      <c r="X48" s="156"/>
      <c r="Y48" s="156"/>
      <c r="Z48" s="156"/>
      <c r="AA48" s="156"/>
      <c r="AB48" s="156"/>
      <c r="AC48" s="156"/>
      <c r="AD48" s="156"/>
      <c r="AE48" s="157"/>
    </row>
    <row r="49" spans="2:34" ht="14.55" customHeight="1" x14ac:dyDescent="0.2">
      <c r="B49" s="16"/>
      <c r="D49" s="156"/>
      <c r="E49" s="156"/>
      <c r="F49" s="156"/>
      <c r="G49" s="156"/>
      <c r="H49" s="156"/>
      <c r="I49" s="156"/>
      <c r="J49" s="156"/>
      <c r="L49" s="16"/>
      <c r="W49" s="155"/>
      <c r="X49" s="156"/>
      <c r="Y49" s="156"/>
      <c r="Z49" s="156"/>
      <c r="AA49" s="156"/>
      <c r="AB49" s="156"/>
      <c r="AC49" s="156"/>
      <c r="AD49" s="156"/>
      <c r="AE49" s="157"/>
    </row>
    <row r="50" spans="2:34" s="1" customFormat="1" ht="14.55" customHeight="1" x14ac:dyDescent="0.2">
      <c r="B50" s="24"/>
      <c r="D50" s="530"/>
      <c r="E50" s="523"/>
      <c r="F50" s="523"/>
      <c r="G50" s="530"/>
      <c r="H50" s="523"/>
      <c r="I50" s="523"/>
      <c r="J50" s="523"/>
      <c r="K50" s="32"/>
      <c r="L50" s="24"/>
      <c r="W50" s="158"/>
      <c r="X50" s="557"/>
      <c r="Y50" s="530"/>
      <c r="Z50" s="557"/>
      <c r="AA50" s="557"/>
      <c r="AB50" s="530"/>
      <c r="AC50" s="557"/>
      <c r="AD50" s="557"/>
      <c r="AE50" s="159"/>
      <c r="AF50" s="227"/>
      <c r="AG50" s="130"/>
      <c r="AH50" s="130"/>
    </row>
    <row r="51" spans="2:34" x14ac:dyDescent="0.2">
      <c r="B51" s="16"/>
      <c r="D51" s="156"/>
      <c r="E51" s="156"/>
      <c r="F51" s="156"/>
      <c r="G51" s="156"/>
      <c r="H51" s="156"/>
      <c r="I51" s="156"/>
      <c r="J51" s="156"/>
      <c r="L51" s="16"/>
      <c r="W51" s="155"/>
      <c r="X51" s="156"/>
      <c r="Y51" s="156"/>
      <c r="Z51" s="156"/>
      <c r="AA51" s="156"/>
      <c r="AB51" s="156"/>
      <c r="AC51" s="156"/>
      <c r="AD51" s="156"/>
      <c r="AE51" s="157"/>
    </row>
    <row r="52" spans="2:34" x14ac:dyDescent="0.2">
      <c r="B52" s="16"/>
      <c r="D52" s="156"/>
      <c r="E52" s="156"/>
      <c r="F52" s="156"/>
      <c r="G52" s="156"/>
      <c r="H52" s="156"/>
      <c r="I52" s="156"/>
      <c r="J52" s="156"/>
      <c r="L52" s="16"/>
      <c r="W52" s="155"/>
      <c r="X52" s="156"/>
      <c r="Y52" s="156"/>
      <c r="Z52" s="156"/>
      <c r="AA52" s="156"/>
      <c r="AB52" s="156"/>
      <c r="AC52" s="156"/>
      <c r="AD52" s="156"/>
      <c r="AE52" s="157"/>
    </row>
    <row r="53" spans="2:34" x14ac:dyDescent="0.2">
      <c r="B53" s="16"/>
      <c r="D53" s="156"/>
      <c r="E53" s="156"/>
      <c r="F53" s="156"/>
      <c r="G53" s="156"/>
      <c r="H53" s="156"/>
      <c r="I53" s="156"/>
      <c r="J53" s="156"/>
      <c r="L53" s="16"/>
      <c r="W53" s="155"/>
      <c r="X53" s="156"/>
      <c r="Y53" s="156"/>
      <c r="Z53" s="156"/>
      <c r="AA53" s="156"/>
      <c r="AB53" s="156"/>
      <c r="AC53" s="156"/>
      <c r="AD53" s="156"/>
      <c r="AE53" s="157"/>
    </row>
    <row r="54" spans="2:34" x14ac:dyDescent="0.2">
      <c r="B54" s="16"/>
      <c r="D54" s="156"/>
      <c r="E54" s="156"/>
      <c r="F54" s="156"/>
      <c r="G54" s="156"/>
      <c r="H54" s="156"/>
      <c r="I54" s="156"/>
      <c r="J54" s="156"/>
      <c r="L54" s="16"/>
      <c r="W54" s="155"/>
      <c r="X54" s="156"/>
      <c r="Y54" s="156"/>
      <c r="Z54" s="156"/>
      <c r="AA54" s="156"/>
      <c r="AB54" s="156"/>
      <c r="AC54" s="156"/>
      <c r="AD54" s="156"/>
      <c r="AE54" s="157"/>
    </row>
    <row r="55" spans="2:34" x14ac:dyDescent="0.2">
      <c r="B55" s="16"/>
      <c r="D55" s="156"/>
      <c r="E55" s="156"/>
      <c r="F55" s="156"/>
      <c r="G55" s="156"/>
      <c r="H55" s="156"/>
      <c r="I55" s="156"/>
      <c r="J55" s="156"/>
      <c r="L55" s="16"/>
      <c r="W55" s="155"/>
      <c r="X55" s="156"/>
      <c r="Y55" s="156"/>
      <c r="Z55" s="156"/>
      <c r="AA55" s="156"/>
      <c r="AB55" s="156"/>
      <c r="AC55" s="156"/>
      <c r="AD55" s="156"/>
      <c r="AE55" s="157"/>
    </row>
    <row r="56" spans="2:34" x14ac:dyDescent="0.2">
      <c r="B56" s="16"/>
      <c r="D56" s="156"/>
      <c r="E56" s="156"/>
      <c r="F56" s="156"/>
      <c r="G56" s="156"/>
      <c r="H56" s="156"/>
      <c r="I56" s="156"/>
      <c r="J56" s="156"/>
      <c r="L56" s="16"/>
      <c r="W56" s="155"/>
      <c r="X56" s="156"/>
      <c r="Y56" s="156"/>
      <c r="Z56" s="156"/>
      <c r="AA56" s="156"/>
      <c r="AB56" s="156"/>
      <c r="AC56" s="156"/>
      <c r="AD56" s="156"/>
      <c r="AE56" s="157"/>
    </row>
    <row r="57" spans="2:34" x14ac:dyDescent="0.2">
      <c r="B57" s="16"/>
      <c r="D57" s="156"/>
      <c r="E57" s="156"/>
      <c r="F57" s="156"/>
      <c r="G57" s="156"/>
      <c r="H57" s="156"/>
      <c r="I57" s="156"/>
      <c r="J57" s="156"/>
      <c r="L57" s="16"/>
      <c r="W57" s="155"/>
      <c r="X57" s="156"/>
      <c r="Y57" s="156"/>
      <c r="Z57" s="156"/>
      <c r="AA57" s="156"/>
      <c r="AB57" s="156"/>
      <c r="AC57" s="156"/>
      <c r="AD57" s="156"/>
      <c r="AE57" s="157"/>
    </row>
    <row r="58" spans="2:34" x14ac:dyDescent="0.2">
      <c r="B58" s="16"/>
      <c r="D58" s="156"/>
      <c r="E58" s="156"/>
      <c r="F58" s="156"/>
      <c r="G58" s="156"/>
      <c r="H58" s="156"/>
      <c r="I58" s="156"/>
      <c r="J58" s="156"/>
      <c r="L58" s="16"/>
      <c r="W58" s="155"/>
      <c r="X58" s="156"/>
      <c r="Y58" s="156"/>
      <c r="Z58" s="156"/>
      <c r="AA58" s="156"/>
      <c r="AB58" s="156"/>
      <c r="AC58" s="156"/>
      <c r="AD58" s="156"/>
      <c r="AE58" s="157"/>
    </row>
    <row r="59" spans="2:34" x14ac:dyDescent="0.2">
      <c r="B59" s="16"/>
      <c r="D59" s="156"/>
      <c r="E59" s="156"/>
      <c r="F59" s="156"/>
      <c r="G59" s="156"/>
      <c r="H59" s="156"/>
      <c r="I59" s="156"/>
      <c r="J59" s="156"/>
      <c r="L59" s="16"/>
      <c r="W59" s="155"/>
      <c r="X59" s="156"/>
      <c r="Y59" s="156"/>
      <c r="Z59" s="156"/>
      <c r="AA59" s="156"/>
      <c r="AB59" s="156"/>
      <c r="AC59" s="156"/>
      <c r="AD59" s="156"/>
      <c r="AE59" s="157"/>
    </row>
    <row r="60" spans="2:34" x14ac:dyDescent="0.2">
      <c r="B60" s="16"/>
      <c r="D60" s="156"/>
      <c r="E60" s="156"/>
      <c r="F60" s="156"/>
      <c r="G60" s="156"/>
      <c r="H60" s="156"/>
      <c r="I60" s="156"/>
      <c r="J60" s="156"/>
      <c r="L60" s="16"/>
      <c r="W60" s="155"/>
      <c r="X60" s="156"/>
      <c r="Y60" s="156"/>
      <c r="Z60" s="156"/>
      <c r="AA60" s="156"/>
      <c r="AB60" s="156"/>
      <c r="AC60" s="156"/>
      <c r="AD60" s="156"/>
      <c r="AE60" s="157"/>
    </row>
    <row r="61" spans="2:34" s="1" customFormat="1" ht="13.2" x14ac:dyDescent="0.2">
      <c r="B61" s="24"/>
      <c r="D61" s="522"/>
      <c r="E61" s="523"/>
      <c r="F61" s="536"/>
      <c r="G61" s="522"/>
      <c r="H61" s="523"/>
      <c r="I61" s="523"/>
      <c r="J61" s="169"/>
      <c r="K61" s="26"/>
      <c r="L61" s="24"/>
      <c r="W61" s="158"/>
      <c r="X61" s="557"/>
      <c r="Y61" s="559"/>
      <c r="Z61" s="557"/>
      <c r="AA61" s="536"/>
      <c r="AB61" s="559"/>
      <c r="AC61" s="557"/>
      <c r="AD61" s="557"/>
      <c r="AE61" s="577"/>
      <c r="AF61" s="227"/>
      <c r="AG61" s="130"/>
      <c r="AH61" s="130"/>
    </row>
    <row r="62" spans="2:34" x14ac:dyDescent="0.2">
      <c r="B62" s="16"/>
      <c r="D62" s="156"/>
      <c r="E62" s="156"/>
      <c r="F62" s="156"/>
      <c r="G62" s="156"/>
      <c r="H62" s="156"/>
      <c r="I62" s="156"/>
      <c r="J62" s="156"/>
      <c r="L62" s="16"/>
      <c r="W62" s="155"/>
      <c r="X62" s="156"/>
      <c r="Y62" s="156"/>
      <c r="Z62" s="156"/>
      <c r="AA62" s="156"/>
      <c r="AB62" s="156"/>
      <c r="AC62" s="156"/>
      <c r="AD62" s="156"/>
      <c r="AE62" s="157"/>
    </row>
    <row r="63" spans="2:34" x14ac:dyDescent="0.2">
      <c r="B63" s="16"/>
      <c r="D63" s="156"/>
      <c r="E63" s="156"/>
      <c r="F63" s="156"/>
      <c r="G63" s="156"/>
      <c r="H63" s="156"/>
      <c r="I63" s="156"/>
      <c r="J63" s="156"/>
      <c r="L63" s="16"/>
      <c r="W63" s="155"/>
      <c r="X63" s="156"/>
      <c r="Y63" s="156"/>
      <c r="Z63" s="156"/>
      <c r="AA63" s="156"/>
      <c r="AB63" s="156"/>
      <c r="AC63" s="156"/>
      <c r="AD63" s="156"/>
      <c r="AE63" s="157"/>
    </row>
    <row r="64" spans="2:34" x14ac:dyDescent="0.2">
      <c r="B64" s="16"/>
      <c r="D64" s="156"/>
      <c r="E64" s="156"/>
      <c r="F64" s="156"/>
      <c r="G64" s="156"/>
      <c r="H64" s="156"/>
      <c r="I64" s="156"/>
      <c r="J64" s="156"/>
      <c r="L64" s="16"/>
      <c r="W64" s="155"/>
      <c r="X64" s="156"/>
      <c r="Y64" s="156"/>
      <c r="Z64" s="156"/>
      <c r="AA64" s="156"/>
      <c r="AB64" s="156"/>
      <c r="AC64" s="156"/>
      <c r="AD64" s="156"/>
      <c r="AE64" s="157"/>
    </row>
    <row r="65" spans="2:34" s="1" customFormat="1" ht="13.2" x14ac:dyDescent="0.2">
      <c r="B65" s="24"/>
      <c r="D65" s="530"/>
      <c r="E65" s="523"/>
      <c r="F65" s="523"/>
      <c r="G65" s="530"/>
      <c r="H65" s="523"/>
      <c r="I65" s="523"/>
      <c r="J65" s="523"/>
      <c r="K65" s="32"/>
      <c r="L65" s="24"/>
      <c r="W65" s="158"/>
      <c r="X65" s="557"/>
      <c r="Y65" s="530"/>
      <c r="Z65" s="557"/>
      <c r="AA65" s="557"/>
      <c r="AB65" s="530"/>
      <c r="AC65" s="557"/>
      <c r="AD65" s="557"/>
      <c r="AE65" s="159"/>
      <c r="AF65" s="227"/>
      <c r="AG65" s="130"/>
      <c r="AH65" s="130"/>
    </row>
    <row r="66" spans="2:34" x14ac:dyDescent="0.2">
      <c r="B66" s="16"/>
      <c r="D66" s="156"/>
      <c r="E66" s="156"/>
      <c r="F66" s="156"/>
      <c r="G66" s="156"/>
      <c r="H66" s="156"/>
      <c r="I66" s="156"/>
      <c r="J66" s="156"/>
      <c r="L66" s="16"/>
      <c r="W66" s="155"/>
      <c r="X66" s="156"/>
      <c r="Y66" s="156"/>
      <c r="Z66" s="156"/>
      <c r="AA66" s="156"/>
      <c r="AB66" s="156"/>
      <c r="AC66" s="156"/>
      <c r="AD66" s="156"/>
      <c r="AE66" s="157"/>
    </row>
    <row r="67" spans="2:34" x14ac:dyDescent="0.2">
      <c r="B67" s="16"/>
      <c r="D67" s="156"/>
      <c r="E67" s="156"/>
      <c r="F67" s="156"/>
      <c r="G67" s="156"/>
      <c r="H67" s="156"/>
      <c r="I67" s="156"/>
      <c r="J67" s="156"/>
      <c r="L67" s="16"/>
      <c r="W67" s="155"/>
      <c r="X67" s="156"/>
      <c r="Y67" s="156"/>
      <c r="Z67" s="156"/>
      <c r="AA67" s="156"/>
      <c r="AB67" s="156"/>
      <c r="AC67" s="156"/>
      <c r="AD67" s="156"/>
      <c r="AE67" s="157"/>
    </row>
    <row r="68" spans="2:34" x14ac:dyDescent="0.2">
      <c r="B68" s="16"/>
      <c r="D68" s="156"/>
      <c r="E68" s="156"/>
      <c r="F68" s="156"/>
      <c r="G68" s="156"/>
      <c r="H68" s="156"/>
      <c r="I68" s="156"/>
      <c r="J68" s="156"/>
      <c r="L68" s="16"/>
      <c r="W68" s="155"/>
      <c r="X68" s="156"/>
      <c r="Y68" s="156"/>
      <c r="Z68" s="156"/>
      <c r="AA68" s="156"/>
      <c r="AB68" s="156"/>
      <c r="AC68" s="156"/>
      <c r="AD68" s="156"/>
      <c r="AE68" s="157"/>
    </row>
    <row r="69" spans="2:34" x14ac:dyDescent="0.2">
      <c r="B69" s="16"/>
      <c r="D69" s="156"/>
      <c r="E69" s="156"/>
      <c r="F69" s="156"/>
      <c r="G69" s="156"/>
      <c r="H69" s="156"/>
      <c r="I69" s="156"/>
      <c r="J69" s="156"/>
      <c r="L69" s="16"/>
      <c r="W69" s="155"/>
      <c r="X69" s="156"/>
      <c r="Y69" s="156"/>
      <c r="Z69" s="156"/>
      <c r="AA69" s="156"/>
      <c r="AB69" s="156"/>
      <c r="AC69" s="156"/>
      <c r="AD69" s="156"/>
      <c r="AE69" s="157"/>
    </row>
    <row r="70" spans="2:34" x14ac:dyDescent="0.2">
      <c r="B70" s="16"/>
      <c r="D70" s="156"/>
      <c r="E70" s="156"/>
      <c r="F70" s="156"/>
      <c r="G70" s="156"/>
      <c r="H70" s="156"/>
      <c r="I70" s="156"/>
      <c r="J70" s="156"/>
      <c r="L70" s="16"/>
      <c r="W70" s="155"/>
      <c r="X70" s="156"/>
      <c r="Y70" s="156"/>
      <c r="Z70" s="156"/>
      <c r="AA70" s="156"/>
      <c r="AB70" s="156"/>
      <c r="AC70" s="156"/>
      <c r="AD70" s="156"/>
      <c r="AE70" s="157"/>
    </row>
    <row r="71" spans="2:34" x14ac:dyDescent="0.2">
      <c r="B71" s="16"/>
      <c r="D71" s="156"/>
      <c r="E71" s="156"/>
      <c r="F71" s="156"/>
      <c r="G71" s="156"/>
      <c r="H71" s="156"/>
      <c r="I71" s="156"/>
      <c r="J71" s="156"/>
      <c r="L71" s="16"/>
      <c r="W71" s="155"/>
      <c r="X71" s="156"/>
      <c r="Y71" s="156"/>
      <c r="Z71" s="156"/>
      <c r="AA71" s="156"/>
      <c r="AB71" s="156"/>
      <c r="AC71" s="156"/>
      <c r="AD71" s="156"/>
      <c r="AE71" s="157"/>
    </row>
    <row r="72" spans="2:34" x14ac:dyDescent="0.2">
      <c r="B72" s="16"/>
      <c r="D72" s="156"/>
      <c r="E72" s="156"/>
      <c r="F72" s="156"/>
      <c r="G72" s="156"/>
      <c r="H72" s="156"/>
      <c r="I72" s="156"/>
      <c r="J72" s="156"/>
      <c r="L72" s="16"/>
      <c r="W72" s="155"/>
      <c r="X72" s="156"/>
      <c r="Y72" s="156"/>
      <c r="Z72" s="156"/>
      <c r="AA72" s="156"/>
      <c r="AB72" s="156"/>
      <c r="AC72" s="156"/>
      <c r="AD72" s="156"/>
      <c r="AE72" s="157"/>
    </row>
    <row r="73" spans="2:34" x14ac:dyDescent="0.2">
      <c r="B73" s="16"/>
      <c r="D73" s="156"/>
      <c r="E73" s="156"/>
      <c r="F73" s="156"/>
      <c r="G73" s="156"/>
      <c r="H73" s="156"/>
      <c r="I73" s="156"/>
      <c r="J73" s="156"/>
      <c r="L73" s="16"/>
      <c r="W73" s="155"/>
      <c r="X73" s="156"/>
      <c r="Y73" s="156"/>
      <c r="Z73" s="156"/>
      <c r="AA73" s="156"/>
      <c r="AB73" s="156"/>
      <c r="AC73" s="156"/>
      <c r="AD73" s="156"/>
      <c r="AE73" s="157"/>
    </row>
    <row r="74" spans="2:34" x14ac:dyDescent="0.2">
      <c r="B74" s="16"/>
      <c r="D74" s="156"/>
      <c r="E74" s="156"/>
      <c r="F74" s="156"/>
      <c r="G74" s="156"/>
      <c r="H74" s="156"/>
      <c r="I74" s="156"/>
      <c r="J74" s="156"/>
      <c r="L74" s="16"/>
      <c r="W74" s="155"/>
      <c r="X74" s="156"/>
      <c r="Y74" s="156"/>
      <c r="Z74" s="156"/>
      <c r="AA74" s="156"/>
      <c r="AB74" s="156"/>
      <c r="AC74" s="156"/>
      <c r="AD74" s="156"/>
      <c r="AE74" s="157"/>
    </row>
    <row r="75" spans="2:34" x14ac:dyDescent="0.2">
      <c r="B75" s="16"/>
      <c r="D75" s="156"/>
      <c r="E75" s="156"/>
      <c r="F75" s="156"/>
      <c r="G75" s="156"/>
      <c r="H75" s="156"/>
      <c r="I75" s="156"/>
      <c r="J75" s="156"/>
      <c r="L75" s="16"/>
      <c r="W75" s="155"/>
      <c r="X75" s="156"/>
      <c r="Y75" s="156"/>
      <c r="Z75" s="156"/>
      <c r="AA75" s="156"/>
      <c r="AB75" s="156"/>
      <c r="AC75" s="156"/>
      <c r="AD75" s="156"/>
      <c r="AE75" s="157"/>
    </row>
    <row r="76" spans="2:34" s="1" customFormat="1" ht="13.2" x14ac:dyDescent="0.2">
      <c r="B76" s="24"/>
      <c r="D76" s="522"/>
      <c r="E76" s="523"/>
      <c r="F76" s="536"/>
      <c r="G76" s="522"/>
      <c r="H76" s="523"/>
      <c r="I76" s="523"/>
      <c r="J76" s="169"/>
      <c r="K76" s="26"/>
      <c r="L76" s="24"/>
      <c r="W76" s="158"/>
      <c r="X76" s="557"/>
      <c r="Y76" s="559"/>
      <c r="Z76" s="557"/>
      <c r="AA76" s="536"/>
      <c r="AB76" s="559"/>
      <c r="AC76" s="557"/>
      <c r="AD76" s="557"/>
      <c r="AE76" s="577"/>
      <c r="AF76" s="227"/>
      <c r="AG76" s="130"/>
      <c r="AH76" s="130"/>
    </row>
    <row r="77" spans="2:34" s="1" customFormat="1" ht="14.55" customHeight="1" x14ac:dyDescent="0.2">
      <c r="B77" s="33"/>
      <c r="C77" s="34"/>
      <c r="D77" s="34"/>
      <c r="E77" s="34"/>
      <c r="F77" s="34"/>
      <c r="G77" s="34"/>
      <c r="H77" s="34"/>
      <c r="I77" s="34"/>
      <c r="J77" s="34"/>
      <c r="K77" s="34"/>
      <c r="L77" s="24"/>
      <c r="W77" s="175"/>
      <c r="X77" s="176"/>
      <c r="Y77" s="176"/>
      <c r="Z77" s="176"/>
      <c r="AA77" s="176"/>
      <c r="AB77" s="176"/>
      <c r="AC77" s="176"/>
      <c r="AD77" s="176"/>
      <c r="AE77" s="177"/>
      <c r="AF77" s="227"/>
      <c r="AG77" s="130"/>
      <c r="AH77" s="130"/>
    </row>
    <row r="81" spans="2:47" s="1" customFormat="1" ht="7.05" customHeight="1" x14ac:dyDescent="0.2">
      <c r="B81" s="35"/>
      <c r="C81" s="36"/>
      <c r="D81" s="36"/>
      <c r="E81" s="36"/>
      <c r="F81" s="36"/>
      <c r="G81" s="36"/>
      <c r="H81" s="36"/>
      <c r="I81" s="36"/>
      <c r="J81" s="36"/>
      <c r="K81" s="36"/>
      <c r="L81" s="24"/>
      <c r="W81" s="178"/>
      <c r="X81" s="179"/>
      <c r="Y81" s="179"/>
      <c r="Z81" s="179"/>
      <c r="AA81" s="179"/>
      <c r="AB81" s="179"/>
      <c r="AC81" s="179"/>
      <c r="AD81" s="179"/>
      <c r="AE81" s="180"/>
      <c r="AF81" s="227"/>
      <c r="AG81" s="130"/>
      <c r="AH81" s="130"/>
    </row>
    <row r="82" spans="2:47" s="1" customFormat="1" ht="25.05" customHeight="1" x14ac:dyDescent="0.2">
      <c r="B82" s="24"/>
      <c r="C82" s="1165" t="s">
        <v>188</v>
      </c>
      <c r="D82" s="1165"/>
      <c r="E82" s="1165"/>
      <c r="F82" s="1165"/>
      <c r="G82" s="1165"/>
      <c r="H82" s="1165"/>
      <c r="I82" s="1165"/>
      <c r="J82" s="1165"/>
      <c r="L82" s="24"/>
      <c r="W82" s="158"/>
      <c r="X82" s="1237" t="s">
        <v>188</v>
      </c>
      <c r="Y82" s="1237"/>
      <c r="Z82" s="1237"/>
      <c r="AA82" s="1237"/>
      <c r="AB82" s="1237"/>
      <c r="AC82" s="1237"/>
      <c r="AD82" s="1237"/>
      <c r="AE82" s="1238"/>
      <c r="AF82" s="227"/>
      <c r="AG82" s="130"/>
      <c r="AH82" s="130"/>
    </row>
    <row r="83" spans="2:47" s="1" customFormat="1" ht="7.05" customHeight="1" x14ac:dyDescent="0.2">
      <c r="B83" s="24"/>
      <c r="L83" s="24"/>
      <c r="W83" s="158"/>
      <c r="X83" s="557"/>
      <c r="Y83" s="557"/>
      <c r="Z83" s="557"/>
      <c r="AA83" s="557"/>
      <c r="AB83" s="557"/>
      <c r="AC83" s="557"/>
      <c r="AD83" s="557"/>
      <c r="AE83" s="159"/>
      <c r="AF83" s="227"/>
      <c r="AG83" s="130"/>
      <c r="AH83" s="130"/>
    </row>
    <row r="84" spans="2:47" s="1" customFormat="1" ht="12" customHeight="1" x14ac:dyDescent="0.2">
      <c r="B84" s="24"/>
      <c r="C84" s="528" t="s">
        <v>12</v>
      </c>
      <c r="E84" s="1242" t="s">
        <v>6177</v>
      </c>
      <c r="F84" s="1242"/>
      <c r="G84" s="1242"/>
      <c r="H84" s="1242"/>
      <c r="I84" s="1242"/>
      <c r="J84" s="1242"/>
      <c r="L84" s="24"/>
      <c r="W84" s="158"/>
      <c r="X84" s="538" t="s">
        <v>12</v>
      </c>
      <c r="Y84" s="557"/>
      <c r="Z84" s="1163" t="s">
        <v>6177</v>
      </c>
      <c r="AA84" s="1163"/>
      <c r="AB84" s="1163"/>
      <c r="AC84" s="1163"/>
      <c r="AD84" s="1163"/>
      <c r="AE84" s="1241"/>
      <c r="AF84" s="227"/>
      <c r="AG84" s="130"/>
      <c r="AH84" s="130"/>
    </row>
    <row r="85" spans="2:47" s="1" customFormat="1" ht="22.95" customHeight="1" x14ac:dyDescent="0.2">
      <c r="B85" s="24"/>
      <c r="C85" s="521"/>
      <c r="E85" s="1243"/>
      <c r="F85" s="1244"/>
      <c r="G85" s="1244"/>
      <c r="H85" s="1244"/>
      <c r="L85" s="24"/>
      <c r="W85" s="158"/>
      <c r="X85" s="557"/>
      <c r="Y85" s="557"/>
      <c r="Z85" s="1249"/>
      <c r="AA85" s="1250"/>
      <c r="AB85" s="1250"/>
      <c r="AC85" s="1250"/>
      <c r="AD85" s="557"/>
      <c r="AE85" s="159"/>
      <c r="AF85" s="227"/>
      <c r="AG85" s="130"/>
      <c r="AH85" s="130"/>
    </row>
    <row r="86" spans="2:47" s="1" customFormat="1" ht="12" customHeight="1" x14ac:dyDescent="0.2">
      <c r="B86" s="24"/>
      <c r="C86" s="528" t="s">
        <v>186</v>
      </c>
      <c r="F86" s="532" t="s">
        <v>3513</v>
      </c>
      <c r="L86" s="24"/>
      <c r="W86" s="158"/>
      <c r="X86" s="538" t="s">
        <v>186</v>
      </c>
      <c r="Y86" s="557"/>
      <c r="Z86" s="557"/>
      <c r="AA86" s="555" t="s">
        <v>3513</v>
      </c>
      <c r="AB86" s="557"/>
      <c r="AC86" s="557"/>
      <c r="AD86" s="557"/>
      <c r="AE86" s="159"/>
      <c r="AF86" s="227"/>
      <c r="AG86" s="130"/>
      <c r="AH86" s="130"/>
    </row>
    <row r="87" spans="2:47" s="1" customFormat="1" ht="16.5" customHeight="1" x14ac:dyDescent="0.2">
      <c r="B87" s="24"/>
      <c r="C87" s="521"/>
      <c r="E87" s="1251"/>
      <c r="F87" s="1252"/>
      <c r="G87" s="1252"/>
      <c r="H87" s="1252"/>
      <c r="L87" s="24"/>
      <c r="W87" s="158"/>
      <c r="X87" s="557"/>
      <c r="Y87" s="557"/>
      <c r="Z87" s="1245"/>
      <c r="AA87" s="1246"/>
      <c r="AB87" s="1246"/>
      <c r="AC87" s="1246"/>
      <c r="AD87" s="557"/>
      <c r="AE87" s="159"/>
      <c r="AF87" s="227"/>
      <c r="AG87" s="130"/>
      <c r="AH87" s="130"/>
    </row>
    <row r="88" spans="2:47" s="1" customFormat="1" ht="7.05" customHeight="1" x14ac:dyDescent="0.2">
      <c r="B88" s="24"/>
      <c r="C88" s="521"/>
      <c r="L88" s="24"/>
      <c r="W88" s="158"/>
      <c r="X88" s="557"/>
      <c r="Y88" s="557"/>
      <c r="Z88" s="557"/>
      <c r="AA88" s="557"/>
      <c r="AB88" s="557"/>
      <c r="AC88" s="557"/>
      <c r="AD88" s="557"/>
      <c r="AE88" s="159"/>
      <c r="AF88" s="227"/>
      <c r="AG88" s="130"/>
      <c r="AH88" s="130"/>
    </row>
    <row r="89" spans="2:47" s="1" customFormat="1" ht="12" customHeight="1" x14ac:dyDescent="0.2">
      <c r="B89" s="24"/>
      <c r="C89" s="528" t="s">
        <v>15</v>
      </c>
      <c r="F89" s="19" t="str">
        <f>F12</f>
        <v>Kuzmányho nábrežie 28, 960 01 Zvolen</v>
      </c>
      <c r="I89" s="528" t="s">
        <v>17</v>
      </c>
      <c r="J89" s="39" t="str">
        <f>IF(J12="","",J12)</f>
        <v/>
      </c>
      <c r="L89" s="24"/>
      <c r="W89" s="158"/>
      <c r="X89" s="538" t="s">
        <v>15</v>
      </c>
      <c r="Y89" s="557"/>
      <c r="Z89" s="557"/>
      <c r="AA89" s="558" t="str">
        <f>AA12</f>
        <v>Kuzmányho nábrežie 28, 960 01 Zvolen</v>
      </c>
      <c r="AB89" s="557"/>
      <c r="AC89" s="557"/>
      <c r="AD89" s="538" t="s">
        <v>17</v>
      </c>
      <c r="AE89" s="162" t="str">
        <f>IF(AE12="","",AE12)</f>
        <v/>
      </c>
      <c r="AF89" s="227"/>
      <c r="AG89" s="130"/>
      <c r="AH89" s="130"/>
    </row>
    <row r="90" spans="2:47" s="1" customFormat="1" ht="7.05" customHeight="1" x14ac:dyDescent="0.2">
      <c r="B90" s="24"/>
      <c r="C90" s="521"/>
      <c r="I90" s="521"/>
      <c r="L90" s="24"/>
      <c r="W90" s="158"/>
      <c r="X90" s="557"/>
      <c r="Y90" s="557"/>
      <c r="Z90" s="557"/>
      <c r="AA90" s="557"/>
      <c r="AB90" s="557"/>
      <c r="AC90" s="557"/>
      <c r="AD90" s="557"/>
      <c r="AE90" s="159"/>
      <c r="AF90" s="227"/>
      <c r="AG90" s="130"/>
      <c r="AH90" s="130"/>
    </row>
    <row r="91" spans="2:47" s="1" customFormat="1" ht="15.3" customHeight="1" x14ac:dyDescent="0.2">
      <c r="B91" s="24"/>
      <c r="C91" s="528" t="s">
        <v>18</v>
      </c>
      <c r="F91" s="529" t="s">
        <v>6175</v>
      </c>
      <c r="I91" s="528" t="s">
        <v>22</v>
      </c>
      <c r="J91" s="22" t="str">
        <f>E21</f>
        <v xml:space="preserve"> </v>
      </c>
      <c r="L91" s="24"/>
      <c r="W91" s="158"/>
      <c r="X91" s="538" t="s">
        <v>18</v>
      </c>
      <c r="Y91" s="557"/>
      <c r="Z91" s="557"/>
      <c r="AA91" s="576" t="s">
        <v>6175</v>
      </c>
      <c r="AB91" s="557"/>
      <c r="AC91" s="557"/>
      <c r="AD91" s="538" t="s">
        <v>22</v>
      </c>
      <c r="AE91" s="181" t="str">
        <f>Z21</f>
        <v/>
      </c>
      <c r="AF91" s="227"/>
      <c r="AG91" s="130"/>
      <c r="AH91" s="130"/>
    </row>
    <row r="92" spans="2:47" s="1" customFormat="1" ht="15.3" customHeight="1" x14ac:dyDescent="0.2">
      <c r="B92" s="24"/>
      <c r="C92" s="520" t="s">
        <v>21</v>
      </c>
      <c r="D92" s="521"/>
      <c r="F92" s="529" t="s">
        <v>5202</v>
      </c>
      <c r="I92" s="528" t="s">
        <v>24</v>
      </c>
      <c r="J92" s="22" t="str">
        <f>E24</f>
        <v xml:space="preserve"> </v>
      </c>
      <c r="L92" s="24"/>
      <c r="W92" s="158"/>
      <c r="X92" s="538" t="s">
        <v>21</v>
      </c>
      <c r="Y92" s="557"/>
      <c r="Z92" s="557"/>
      <c r="AA92" s="576" t="s">
        <v>5202</v>
      </c>
      <c r="AB92" s="557"/>
      <c r="AC92" s="557"/>
      <c r="AD92" s="538" t="s">
        <v>24</v>
      </c>
      <c r="AE92" s="181" t="str">
        <f>Z24</f>
        <v/>
      </c>
      <c r="AF92" s="227"/>
      <c r="AG92" s="130"/>
      <c r="AH92" s="130"/>
    </row>
    <row r="93" spans="2:47" s="1" customFormat="1" ht="10.199999999999999" customHeight="1" x14ac:dyDescent="0.2">
      <c r="B93" s="24"/>
      <c r="L93" s="24"/>
      <c r="W93" s="158"/>
      <c r="X93" s="557"/>
      <c r="Y93" s="557"/>
      <c r="Z93" s="557"/>
      <c r="AA93" s="557"/>
      <c r="AB93" s="557"/>
      <c r="AC93" s="557"/>
      <c r="AD93" s="557"/>
      <c r="AE93" s="159"/>
      <c r="AF93" s="227"/>
      <c r="AG93" s="130"/>
      <c r="AH93" s="130"/>
    </row>
    <row r="94" spans="2:47" s="1" customFormat="1" ht="29.25" customHeight="1" x14ac:dyDescent="0.2">
      <c r="B94" s="24"/>
      <c r="C94" s="86" t="s">
        <v>189</v>
      </c>
      <c r="D94" s="80"/>
      <c r="E94" s="80"/>
      <c r="F94" s="80"/>
      <c r="G94" s="80"/>
      <c r="H94" s="80"/>
      <c r="I94" s="80"/>
      <c r="J94" s="87" t="s">
        <v>190</v>
      </c>
      <c r="K94" s="80"/>
      <c r="L94" s="24"/>
      <c r="W94" s="158"/>
      <c r="X94" s="182" t="s">
        <v>189</v>
      </c>
      <c r="Y94" s="173"/>
      <c r="Z94" s="173"/>
      <c r="AA94" s="173"/>
      <c r="AB94" s="173"/>
      <c r="AC94" s="173"/>
      <c r="AD94" s="173"/>
      <c r="AE94" s="183" t="s">
        <v>190</v>
      </c>
      <c r="AF94" s="227"/>
      <c r="AG94" s="130"/>
      <c r="AH94" s="130"/>
    </row>
    <row r="95" spans="2:47" s="1" customFormat="1" ht="10.199999999999999" customHeight="1" x14ac:dyDescent="0.2">
      <c r="B95" s="24"/>
      <c r="L95" s="24"/>
      <c r="W95" s="158"/>
      <c r="X95" s="557"/>
      <c r="Y95" s="557"/>
      <c r="Z95" s="557"/>
      <c r="AA95" s="557"/>
      <c r="AB95" s="557"/>
      <c r="AC95" s="557"/>
      <c r="AD95" s="557"/>
      <c r="AE95" s="159"/>
      <c r="AF95" s="227"/>
      <c r="AG95" s="130"/>
      <c r="AH95" s="130"/>
    </row>
    <row r="96" spans="2:47" s="1" customFormat="1" ht="22.95" customHeight="1" x14ac:dyDescent="0.2">
      <c r="B96" s="24"/>
      <c r="C96" s="88" t="s">
        <v>191</v>
      </c>
      <c r="J96" s="53">
        <f>J161</f>
        <v>44679.079999999994</v>
      </c>
      <c r="L96" s="24"/>
      <c r="W96" s="158"/>
      <c r="X96" s="184" t="s">
        <v>191</v>
      </c>
      <c r="Y96" s="557"/>
      <c r="Z96" s="557"/>
      <c r="AA96" s="557"/>
      <c r="AB96" s="557"/>
      <c r="AC96" s="557"/>
      <c r="AD96" s="557"/>
      <c r="AE96" s="1155">
        <f>AE161</f>
        <v>43818.67</v>
      </c>
      <c r="AF96" s="227"/>
      <c r="AG96" s="130"/>
      <c r="AH96" s="130"/>
      <c r="AU96" s="13" t="s">
        <v>192</v>
      </c>
    </row>
    <row r="97" spans="2:34" s="8" customFormat="1" ht="25.05" customHeight="1" x14ac:dyDescent="0.2">
      <c r="B97" s="89"/>
      <c r="D97" s="230" t="s">
        <v>5221</v>
      </c>
      <c r="E97" s="91"/>
      <c r="F97" s="91"/>
      <c r="G97" s="91"/>
      <c r="H97" s="91"/>
      <c r="I97" s="91"/>
      <c r="J97" s="92">
        <f>J163</f>
        <v>5326.17</v>
      </c>
      <c r="L97" s="89"/>
      <c r="W97" s="185"/>
      <c r="X97" s="186"/>
      <c r="Y97" s="230" t="s">
        <v>5221</v>
      </c>
      <c r="Z97" s="91"/>
      <c r="AA97" s="91"/>
      <c r="AB97" s="91"/>
      <c r="AC97" s="91"/>
      <c r="AD97" s="91"/>
      <c r="AE97" s="1154">
        <f>AE163</f>
        <v>146.41999999999999</v>
      </c>
      <c r="AF97" s="248"/>
      <c r="AG97" s="328"/>
      <c r="AH97" s="328"/>
    </row>
    <row r="98" spans="2:34" s="8" customFormat="1" ht="25.05" customHeight="1" x14ac:dyDescent="0.2">
      <c r="B98" s="89"/>
      <c r="D98" s="90" t="s">
        <v>1176</v>
      </c>
      <c r="E98" s="91"/>
      <c r="F98" s="91"/>
      <c r="G98" s="91"/>
      <c r="H98" s="91"/>
      <c r="I98" s="91"/>
      <c r="J98" s="92">
        <f>J175</f>
        <v>14285.379999999997</v>
      </c>
      <c r="L98" s="89"/>
      <c r="W98" s="185"/>
      <c r="X98" s="186"/>
      <c r="Y98" s="90" t="s">
        <v>1176</v>
      </c>
      <c r="Z98" s="91"/>
      <c r="AA98" s="91"/>
      <c r="AB98" s="91"/>
      <c r="AC98" s="91"/>
      <c r="AD98" s="91"/>
      <c r="AE98" s="1154">
        <f>AE175</f>
        <v>15147.619999999999</v>
      </c>
      <c r="AF98" s="248"/>
      <c r="AG98" s="328"/>
      <c r="AH98" s="328"/>
    </row>
    <row r="99" spans="2:34" s="9" customFormat="1" ht="19.95" customHeight="1" x14ac:dyDescent="0.2">
      <c r="B99" s="93"/>
      <c r="D99" s="94" t="s">
        <v>3514</v>
      </c>
      <c r="E99" s="95"/>
      <c r="F99" s="95"/>
      <c r="G99" s="95"/>
      <c r="H99" s="95"/>
      <c r="I99" s="95"/>
      <c r="J99" s="96">
        <f>J192</f>
        <v>2977.77</v>
      </c>
      <c r="L99" s="93"/>
      <c r="W99" s="188"/>
      <c r="X99" s="189"/>
      <c r="Y99" s="94" t="s">
        <v>3514</v>
      </c>
      <c r="Z99" s="95"/>
      <c r="AA99" s="95"/>
      <c r="AB99" s="95"/>
      <c r="AC99" s="95"/>
      <c r="AD99" s="95"/>
      <c r="AE99" s="1156">
        <f>AE177</f>
        <v>657.31999999999994</v>
      </c>
      <c r="AF99" s="248"/>
      <c r="AG99" s="405"/>
      <c r="AH99" s="405"/>
    </row>
    <row r="100" spans="2:34" s="9" customFormat="1" ht="19.95" customHeight="1" x14ac:dyDescent="0.2">
      <c r="B100" s="93"/>
      <c r="D100" s="94" t="s">
        <v>3515</v>
      </c>
      <c r="E100" s="95"/>
      <c r="F100" s="95"/>
      <c r="G100" s="95"/>
      <c r="H100" s="95"/>
      <c r="I100" s="95"/>
      <c r="J100" s="96">
        <f>J197</f>
        <v>293.64</v>
      </c>
      <c r="L100" s="93"/>
      <c r="W100" s="188"/>
      <c r="X100" s="189"/>
      <c r="Y100" s="94" t="s">
        <v>3515</v>
      </c>
      <c r="Z100" s="95"/>
      <c r="AA100" s="95"/>
      <c r="AB100" s="95"/>
      <c r="AC100" s="95"/>
      <c r="AD100" s="95"/>
      <c r="AE100" s="1156">
        <f>AE183</f>
        <v>67.52000000000001</v>
      </c>
      <c r="AF100" s="248"/>
      <c r="AG100" s="405"/>
      <c r="AH100" s="405"/>
    </row>
    <row r="101" spans="2:34" s="9" customFormat="1" ht="19.95" customHeight="1" x14ac:dyDescent="0.2">
      <c r="B101" s="93"/>
      <c r="D101" s="94" t="s">
        <v>3516</v>
      </c>
      <c r="E101" s="95"/>
      <c r="F101" s="95"/>
      <c r="G101" s="95"/>
      <c r="H101" s="95"/>
      <c r="I101" s="95"/>
      <c r="J101" s="96">
        <f>J200</f>
        <v>9539.619999999999</v>
      </c>
      <c r="L101" s="93"/>
      <c r="W101" s="188"/>
      <c r="X101" s="189"/>
      <c r="Y101" s="94" t="s">
        <v>3516</v>
      </c>
      <c r="Z101" s="95"/>
      <c r="AA101" s="95"/>
      <c r="AB101" s="95"/>
      <c r="AC101" s="95"/>
      <c r="AD101" s="95"/>
      <c r="AE101" s="1156">
        <f>AE188</f>
        <v>4140.59</v>
      </c>
      <c r="AF101" s="248"/>
      <c r="AG101" s="405"/>
      <c r="AH101" s="405"/>
    </row>
    <row r="102" spans="2:34" s="9" customFormat="1" ht="19.95" customHeight="1" x14ac:dyDescent="0.2">
      <c r="B102" s="93"/>
      <c r="D102" s="94"/>
      <c r="E102" s="95"/>
      <c r="F102" s="95"/>
      <c r="G102" s="95"/>
      <c r="H102" s="95"/>
      <c r="I102" s="95"/>
      <c r="J102" s="96"/>
      <c r="L102" s="93"/>
      <c r="W102" s="188"/>
      <c r="X102" s="189"/>
      <c r="Y102" s="94" t="s">
        <v>3514</v>
      </c>
      <c r="Z102" s="95"/>
      <c r="AA102" s="95"/>
      <c r="AB102" s="95"/>
      <c r="AC102" s="95"/>
      <c r="AD102" s="95"/>
      <c r="AE102" s="1156">
        <f>AE192</f>
        <v>4765.1500000000005</v>
      </c>
      <c r="AF102" s="248"/>
      <c r="AG102" s="405"/>
      <c r="AH102" s="405"/>
    </row>
    <row r="103" spans="2:34" s="9" customFormat="1" ht="19.95" customHeight="1" x14ac:dyDescent="0.2">
      <c r="B103" s="93"/>
      <c r="D103" s="94"/>
      <c r="E103" s="95"/>
      <c r="F103" s="95"/>
      <c r="G103" s="95"/>
      <c r="H103" s="95"/>
      <c r="I103" s="95"/>
      <c r="J103" s="96"/>
      <c r="L103" s="93"/>
      <c r="W103" s="188"/>
      <c r="X103" s="189"/>
      <c r="Y103" s="94" t="s">
        <v>3515</v>
      </c>
      <c r="Z103" s="95"/>
      <c r="AA103" s="95"/>
      <c r="AB103" s="95"/>
      <c r="AC103" s="95"/>
      <c r="AD103" s="95"/>
      <c r="AE103" s="1156">
        <f>AE197</f>
        <v>293.64</v>
      </c>
      <c r="AF103" s="248"/>
      <c r="AG103" s="405"/>
      <c r="AH103" s="405"/>
    </row>
    <row r="104" spans="2:34" s="9" customFormat="1" ht="19.95" customHeight="1" x14ac:dyDescent="0.2">
      <c r="B104" s="93"/>
      <c r="D104" s="94"/>
      <c r="E104" s="95"/>
      <c r="F104" s="95"/>
      <c r="G104" s="95"/>
      <c r="H104" s="95"/>
      <c r="I104" s="95"/>
      <c r="J104" s="96"/>
      <c r="L104" s="93"/>
      <c r="W104" s="188"/>
      <c r="X104" s="189"/>
      <c r="Y104" s="94" t="s">
        <v>3516</v>
      </c>
      <c r="Z104" s="95"/>
      <c r="AA104" s="95"/>
      <c r="AB104" s="95"/>
      <c r="AC104" s="95"/>
      <c r="AD104" s="95"/>
      <c r="AE104" s="1156">
        <f>AE200</f>
        <v>4239.3999999999996</v>
      </c>
      <c r="AF104" s="248"/>
      <c r="AG104" s="405"/>
      <c r="AH104" s="405"/>
    </row>
    <row r="105" spans="2:34" s="9" customFormat="1" ht="19.95" customHeight="1" x14ac:dyDescent="0.2">
      <c r="B105" s="93"/>
      <c r="D105" s="94" t="s">
        <v>3517</v>
      </c>
      <c r="E105" s="95"/>
      <c r="F105" s="95"/>
      <c r="G105" s="95"/>
      <c r="H105" s="95"/>
      <c r="I105" s="95"/>
      <c r="J105" s="96">
        <f>J203</f>
        <v>302.8</v>
      </c>
      <c r="L105" s="93"/>
      <c r="W105" s="188"/>
      <c r="X105" s="189"/>
      <c r="Y105" s="94" t="s">
        <v>3517</v>
      </c>
      <c r="Z105" s="95"/>
      <c r="AA105" s="95"/>
      <c r="AB105" s="95"/>
      <c r="AC105" s="95"/>
      <c r="AD105" s="95"/>
      <c r="AE105" s="1156">
        <f>AE203</f>
        <v>50.24</v>
      </c>
      <c r="AF105" s="248"/>
      <c r="AG105" s="405"/>
      <c r="AH105" s="405"/>
    </row>
    <row r="106" spans="2:34" s="9" customFormat="1" ht="19.95" customHeight="1" x14ac:dyDescent="0.2">
      <c r="B106" s="93"/>
      <c r="D106" s="94" t="s">
        <v>3518</v>
      </c>
      <c r="E106" s="95"/>
      <c r="F106" s="95"/>
      <c r="G106" s="95"/>
      <c r="H106" s="95"/>
      <c r="I106" s="95"/>
      <c r="J106" s="96">
        <f>J206</f>
        <v>334.84000000000003</v>
      </c>
      <c r="L106" s="93"/>
      <c r="W106" s="188"/>
      <c r="X106" s="189"/>
      <c r="Y106" s="94" t="s">
        <v>3518</v>
      </c>
      <c r="Z106" s="95"/>
      <c r="AA106" s="95"/>
      <c r="AB106" s="95"/>
      <c r="AC106" s="95"/>
      <c r="AD106" s="95"/>
      <c r="AE106" s="1156">
        <f>AE206</f>
        <v>217.41999999999996</v>
      </c>
      <c r="AF106" s="248"/>
      <c r="AG106" s="405"/>
      <c r="AH106" s="405"/>
    </row>
    <row r="107" spans="2:34" s="9" customFormat="1" ht="19.95" customHeight="1" x14ac:dyDescent="0.2">
      <c r="B107" s="93"/>
      <c r="D107" s="94" t="s">
        <v>3519</v>
      </c>
      <c r="E107" s="95"/>
      <c r="F107" s="95"/>
      <c r="G107" s="95"/>
      <c r="H107" s="95"/>
      <c r="I107" s="95"/>
      <c r="J107" s="96">
        <f>J214</f>
        <v>153.72</v>
      </c>
      <c r="L107" s="93"/>
      <c r="W107" s="188"/>
      <c r="X107" s="189"/>
      <c r="Y107" s="94" t="s">
        <v>3519</v>
      </c>
      <c r="Z107" s="95"/>
      <c r="AA107" s="95"/>
      <c r="AB107" s="95"/>
      <c r="AC107" s="95"/>
      <c r="AD107" s="95"/>
      <c r="AE107" s="1156">
        <f>AE214</f>
        <v>161.30000000000001</v>
      </c>
      <c r="AF107" s="248"/>
      <c r="AG107" s="405"/>
      <c r="AH107" s="405"/>
    </row>
    <row r="108" spans="2:34" s="9" customFormat="1" ht="19.95" customHeight="1" x14ac:dyDescent="0.2">
      <c r="B108" s="93"/>
      <c r="D108" s="94" t="s">
        <v>3520</v>
      </c>
      <c r="E108" s="95"/>
      <c r="F108" s="95"/>
      <c r="G108" s="95"/>
      <c r="H108" s="95"/>
      <c r="I108" s="95"/>
      <c r="J108" s="96">
        <f>J219</f>
        <v>682.99</v>
      </c>
      <c r="L108" s="93"/>
      <c r="W108" s="188"/>
      <c r="X108" s="189"/>
      <c r="Y108" s="94" t="s">
        <v>3520</v>
      </c>
      <c r="Z108" s="95"/>
      <c r="AA108" s="95"/>
      <c r="AB108" s="95"/>
      <c r="AC108" s="95"/>
      <c r="AD108" s="95"/>
      <c r="AE108" s="1156">
        <f>AE219</f>
        <v>555.04</v>
      </c>
      <c r="AF108" s="248"/>
      <c r="AG108" s="405"/>
      <c r="AH108" s="405"/>
    </row>
    <row r="109" spans="2:34" s="8" customFormat="1" ht="25.05" customHeight="1" x14ac:dyDescent="0.2">
      <c r="B109" s="89"/>
      <c r="D109" s="90" t="s">
        <v>1181</v>
      </c>
      <c r="E109" s="91"/>
      <c r="F109" s="91"/>
      <c r="G109" s="91"/>
      <c r="H109" s="91"/>
      <c r="I109" s="91"/>
      <c r="J109" s="92">
        <f>J224</f>
        <v>7753.8499999999995</v>
      </c>
      <c r="L109" s="89"/>
      <c r="W109" s="185"/>
      <c r="X109" s="186"/>
      <c r="Y109" s="90" t="s">
        <v>1181</v>
      </c>
      <c r="Z109" s="91"/>
      <c r="AA109" s="91"/>
      <c r="AB109" s="91"/>
      <c r="AC109" s="91"/>
      <c r="AD109" s="91"/>
      <c r="AE109" s="1154">
        <f>AE224</f>
        <v>4132.21</v>
      </c>
      <c r="AF109" s="1160"/>
      <c r="AG109" s="328"/>
      <c r="AH109" s="328"/>
    </row>
    <row r="110" spans="2:34" s="8" customFormat="1" ht="18.75" customHeight="1" x14ac:dyDescent="0.25">
      <c r="B110" s="89"/>
      <c r="D110" s="90"/>
      <c r="E110" s="91"/>
      <c r="F110" s="91"/>
      <c r="G110" s="91"/>
      <c r="H110" s="91"/>
      <c r="I110" s="91"/>
      <c r="J110" s="92"/>
      <c r="L110" s="89"/>
      <c r="W110" s="185"/>
      <c r="X110" s="186"/>
      <c r="Y110" s="201" t="s">
        <v>5684</v>
      </c>
      <c r="Z110" s="91"/>
      <c r="AA110" s="91"/>
      <c r="AB110" s="91"/>
      <c r="AC110" s="91"/>
      <c r="AD110" s="91"/>
      <c r="AE110" s="1156">
        <f>AE226</f>
        <v>9.2200000000000006</v>
      </c>
      <c r="AF110" s="248"/>
      <c r="AG110" s="328"/>
      <c r="AH110" s="328"/>
    </row>
    <row r="111" spans="2:34" s="8" customFormat="1" ht="18.75" customHeight="1" x14ac:dyDescent="0.25">
      <c r="B111" s="89"/>
      <c r="D111" s="90"/>
      <c r="E111" s="91"/>
      <c r="F111" s="91"/>
      <c r="G111" s="91"/>
      <c r="H111" s="91"/>
      <c r="I111" s="91"/>
      <c r="J111" s="92"/>
      <c r="L111" s="89"/>
      <c r="W111" s="185"/>
      <c r="X111" s="186"/>
      <c r="Y111" s="201" t="s">
        <v>5685</v>
      </c>
      <c r="Z111" s="91"/>
      <c r="AA111" s="91"/>
      <c r="AB111" s="91"/>
      <c r="AC111" s="91"/>
      <c r="AD111" s="91"/>
      <c r="AE111" s="1156">
        <f>AE228</f>
        <v>839.01</v>
      </c>
      <c r="AF111" s="248"/>
      <c r="AG111" s="328"/>
      <c r="AH111" s="328"/>
    </row>
    <row r="112" spans="2:34" s="9" customFormat="1" ht="19.95" customHeight="1" x14ac:dyDescent="0.2">
      <c r="B112" s="93"/>
      <c r="D112" s="94" t="s">
        <v>3521</v>
      </c>
      <c r="E112" s="95"/>
      <c r="F112" s="95"/>
      <c r="G112" s="95"/>
      <c r="H112" s="95"/>
      <c r="I112" s="95"/>
      <c r="J112" s="96">
        <f>J242</f>
        <v>605.15</v>
      </c>
      <c r="L112" s="93"/>
      <c r="W112" s="188"/>
      <c r="X112" s="189"/>
      <c r="Y112" s="94" t="s">
        <v>3521</v>
      </c>
      <c r="Z112" s="95"/>
      <c r="AA112" s="95"/>
      <c r="AB112" s="95"/>
      <c r="AC112" s="95"/>
      <c r="AD112" s="95"/>
      <c r="AE112" s="1156">
        <f>AE242</f>
        <v>189.54999999999998</v>
      </c>
      <c r="AF112" s="248"/>
      <c r="AG112" s="405"/>
      <c r="AH112" s="405"/>
    </row>
    <row r="113" spans="2:34" s="9" customFormat="1" ht="19.95" customHeight="1" x14ac:dyDescent="0.2">
      <c r="B113" s="93"/>
      <c r="D113" s="94" t="s">
        <v>3522</v>
      </c>
      <c r="E113" s="95"/>
      <c r="F113" s="95"/>
      <c r="G113" s="95"/>
      <c r="H113" s="95"/>
      <c r="I113" s="95"/>
      <c r="J113" s="96">
        <f>J249</f>
        <v>62.099999999999994</v>
      </c>
      <c r="L113" s="93"/>
      <c r="W113" s="188"/>
      <c r="X113" s="189"/>
      <c r="Y113" s="94" t="s">
        <v>3522</v>
      </c>
      <c r="Z113" s="95"/>
      <c r="AA113" s="95"/>
      <c r="AB113" s="95"/>
      <c r="AC113" s="95"/>
      <c r="AD113" s="95"/>
      <c r="AE113" s="1156">
        <f>AE249</f>
        <v>55.49</v>
      </c>
      <c r="AF113" s="248"/>
      <c r="AG113" s="405"/>
      <c r="AH113" s="405"/>
    </row>
    <row r="114" spans="2:34" s="9" customFormat="1" ht="19.95" customHeight="1" x14ac:dyDescent="0.2">
      <c r="B114" s="93"/>
      <c r="D114" s="94" t="s">
        <v>3523</v>
      </c>
      <c r="E114" s="95"/>
      <c r="F114" s="95"/>
      <c r="G114" s="95"/>
      <c r="H114" s="95"/>
      <c r="I114" s="95"/>
      <c r="J114" s="96">
        <f>J254</f>
        <v>142.97</v>
      </c>
      <c r="L114" s="93"/>
      <c r="W114" s="188"/>
      <c r="X114" s="189"/>
      <c r="Y114" s="94" t="s">
        <v>3523</v>
      </c>
      <c r="Z114" s="95"/>
      <c r="AA114" s="95"/>
      <c r="AB114" s="95"/>
      <c r="AC114" s="95"/>
      <c r="AD114" s="95"/>
      <c r="AE114" s="1156">
        <f>AE254</f>
        <v>120.72</v>
      </c>
      <c r="AF114" s="248"/>
      <c r="AG114" s="405"/>
      <c r="AH114" s="405"/>
    </row>
    <row r="115" spans="2:34" s="9" customFormat="1" ht="19.95" customHeight="1" x14ac:dyDescent="0.2">
      <c r="B115" s="93"/>
      <c r="D115" s="94" t="s">
        <v>3524</v>
      </c>
      <c r="E115" s="95"/>
      <c r="F115" s="95"/>
      <c r="G115" s="95"/>
      <c r="H115" s="95"/>
      <c r="I115" s="95"/>
      <c r="J115" s="96">
        <f>J260</f>
        <v>967.06</v>
      </c>
      <c r="L115" s="93"/>
      <c r="W115" s="188"/>
      <c r="X115" s="189"/>
      <c r="Y115" s="94" t="s">
        <v>3524</v>
      </c>
      <c r="Z115" s="95"/>
      <c r="AA115" s="95"/>
      <c r="AB115" s="95"/>
      <c r="AC115" s="95"/>
      <c r="AD115" s="95"/>
      <c r="AE115" s="1156">
        <f>AE260</f>
        <v>327.5</v>
      </c>
      <c r="AF115" s="248"/>
      <c r="AG115" s="405"/>
      <c r="AH115" s="405"/>
    </row>
    <row r="116" spans="2:34" s="9" customFormat="1" ht="19.95" customHeight="1" x14ac:dyDescent="0.2">
      <c r="B116" s="93"/>
      <c r="D116" s="94" t="s">
        <v>3525</v>
      </c>
      <c r="E116" s="95"/>
      <c r="F116" s="95"/>
      <c r="G116" s="95"/>
      <c r="H116" s="95"/>
      <c r="I116" s="95"/>
      <c r="J116" s="96">
        <f>J268</f>
        <v>104.43</v>
      </c>
      <c r="L116" s="93"/>
      <c r="W116" s="188"/>
      <c r="X116" s="189"/>
      <c r="Y116" s="94" t="s">
        <v>3525</v>
      </c>
      <c r="Z116" s="95"/>
      <c r="AA116" s="95"/>
      <c r="AB116" s="95"/>
      <c r="AC116" s="95"/>
      <c r="AD116" s="95"/>
      <c r="AE116" s="1156">
        <f>AE268</f>
        <v>64.98</v>
      </c>
      <c r="AF116" s="248"/>
      <c r="AG116" s="405"/>
      <c r="AH116" s="405"/>
    </row>
    <row r="117" spans="2:34" s="9" customFormat="1" ht="19.95" customHeight="1" x14ac:dyDescent="0.2">
      <c r="B117" s="93"/>
      <c r="D117" s="94" t="s">
        <v>3526</v>
      </c>
      <c r="E117" s="95"/>
      <c r="F117" s="95"/>
      <c r="G117" s="95"/>
      <c r="H117" s="95"/>
      <c r="I117" s="95"/>
      <c r="J117" s="96">
        <f>J272</f>
        <v>491.36</v>
      </c>
      <c r="L117" s="93"/>
      <c r="W117" s="188"/>
      <c r="X117" s="189"/>
      <c r="Y117" s="94" t="s">
        <v>3526</v>
      </c>
      <c r="Z117" s="95"/>
      <c r="AA117" s="95"/>
      <c r="AB117" s="95"/>
      <c r="AC117" s="95"/>
      <c r="AD117" s="95"/>
      <c r="AE117" s="1156">
        <f>AE272</f>
        <v>245.68</v>
      </c>
      <c r="AF117" s="248"/>
      <c r="AG117" s="405"/>
      <c r="AH117" s="405"/>
    </row>
    <row r="118" spans="2:34" s="9" customFormat="1" ht="19.95" customHeight="1" x14ac:dyDescent="0.2">
      <c r="B118" s="93"/>
      <c r="D118" s="94" t="s">
        <v>3527</v>
      </c>
      <c r="E118" s="95"/>
      <c r="F118" s="95"/>
      <c r="G118" s="95"/>
      <c r="H118" s="95"/>
      <c r="I118" s="95"/>
      <c r="J118" s="96">
        <f>J275</f>
        <v>994.16</v>
      </c>
      <c r="L118" s="93"/>
      <c r="W118" s="188"/>
      <c r="X118" s="189"/>
      <c r="Y118" s="94" t="s">
        <v>3527</v>
      </c>
      <c r="Z118" s="95"/>
      <c r="AA118" s="95"/>
      <c r="AB118" s="95"/>
      <c r="AC118" s="95"/>
      <c r="AD118" s="95"/>
      <c r="AE118" s="1156">
        <f>AE275</f>
        <v>486.36</v>
      </c>
      <c r="AF118" s="248"/>
      <c r="AG118" s="405"/>
      <c r="AH118" s="405"/>
    </row>
    <row r="119" spans="2:34" s="9" customFormat="1" ht="19.95" customHeight="1" x14ac:dyDescent="0.2">
      <c r="B119" s="93"/>
      <c r="D119" s="94" t="s">
        <v>3528</v>
      </c>
      <c r="E119" s="95"/>
      <c r="F119" s="95"/>
      <c r="G119" s="95"/>
      <c r="H119" s="95"/>
      <c r="I119" s="95"/>
      <c r="J119" s="96">
        <f>J283</f>
        <v>1856.9899999999998</v>
      </c>
      <c r="L119" s="93"/>
      <c r="W119" s="188"/>
      <c r="X119" s="189"/>
      <c r="Y119" s="94" t="s">
        <v>3528</v>
      </c>
      <c r="Z119" s="95"/>
      <c r="AA119" s="95"/>
      <c r="AB119" s="95"/>
      <c r="AC119" s="95"/>
      <c r="AD119" s="95"/>
      <c r="AE119" s="1156">
        <f>AE283</f>
        <v>1793.6999999999998</v>
      </c>
      <c r="AF119" s="248"/>
      <c r="AG119" s="405"/>
      <c r="AH119" s="405"/>
    </row>
    <row r="120" spans="2:34" s="8" customFormat="1" ht="25.05" customHeight="1" x14ac:dyDescent="0.2">
      <c r="B120" s="89"/>
      <c r="D120" s="90" t="s">
        <v>3529</v>
      </c>
      <c r="E120" s="91"/>
      <c r="F120" s="91"/>
      <c r="G120" s="91"/>
      <c r="H120" s="91"/>
      <c r="I120" s="91"/>
      <c r="J120" s="92">
        <f>J291</f>
        <v>7397.34</v>
      </c>
      <c r="L120" s="89"/>
      <c r="W120" s="185"/>
      <c r="X120" s="186"/>
      <c r="Y120" s="90" t="s">
        <v>3529</v>
      </c>
      <c r="Z120" s="91"/>
      <c r="AA120" s="91"/>
      <c r="AB120" s="91"/>
      <c r="AC120" s="91"/>
      <c r="AD120" s="91"/>
      <c r="AE120" s="1154">
        <f>AE291</f>
        <v>7779.5400000000009</v>
      </c>
      <c r="AF120" s="1160"/>
      <c r="AG120" s="328"/>
      <c r="AH120" s="328"/>
    </row>
    <row r="121" spans="2:34" s="9" customFormat="1" ht="19.95" customHeight="1" x14ac:dyDescent="0.2">
      <c r="B121" s="93"/>
      <c r="D121" s="94" t="s">
        <v>3530</v>
      </c>
      <c r="E121" s="95"/>
      <c r="F121" s="95"/>
      <c r="G121" s="95"/>
      <c r="H121" s="95"/>
      <c r="I121" s="95"/>
      <c r="J121" s="96">
        <f>J307</f>
        <v>244.99</v>
      </c>
      <c r="L121" s="93"/>
      <c r="W121" s="188"/>
      <c r="X121" s="189"/>
      <c r="Y121" s="94" t="s">
        <v>3530</v>
      </c>
      <c r="Z121" s="95"/>
      <c r="AA121" s="95"/>
      <c r="AB121" s="95"/>
      <c r="AC121" s="95"/>
      <c r="AD121" s="95"/>
      <c r="AE121" s="1156">
        <f>AE307</f>
        <v>255.76</v>
      </c>
      <c r="AF121" s="248"/>
      <c r="AG121" s="405"/>
      <c r="AH121" s="405"/>
    </row>
    <row r="122" spans="2:34" s="9" customFormat="1" ht="19.95" customHeight="1" x14ac:dyDescent="0.2">
      <c r="B122" s="93"/>
      <c r="D122" s="94" t="s">
        <v>3531</v>
      </c>
      <c r="E122" s="95"/>
      <c r="F122" s="95"/>
      <c r="G122" s="95"/>
      <c r="H122" s="95"/>
      <c r="I122" s="95"/>
      <c r="J122" s="96">
        <f>J310</f>
        <v>866.41000000000008</v>
      </c>
      <c r="L122" s="93"/>
      <c r="W122" s="188"/>
      <c r="X122" s="189"/>
      <c r="Y122" s="94" t="s">
        <v>3531</v>
      </c>
      <c r="Z122" s="95"/>
      <c r="AA122" s="95"/>
      <c r="AB122" s="95"/>
      <c r="AC122" s="95"/>
      <c r="AD122" s="95"/>
      <c r="AE122" s="1156">
        <f>AE310</f>
        <v>867.56</v>
      </c>
      <c r="AF122" s="248"/>
      <c r="AG122" s="405"/>
      <c r="AH122" s="405"/>
    </row>
    <row r="123" spans="2:34" s="8" customFormat="1" ht="25.05" customHeight="1" x14ac:dyDescent="0.2">
      <c r="B123" s="89"/>
      <c r="D123" s="90" t="s">
        <v>3532</v>
      </c>
      <c r="E123" s="91"/>
      <c r="F123" s="91"/>
      <c r="G123" s="91"/>
      <c r="H123" s="91"/>
      <c r="I123" s="91"/>
      <c r="J123" s="92">
        <f>J317</f>
        <v>0</v>
      </c>
      <c r="L123" s="89"/>
      <c r="W123" s="185"/>
      <c r="X123" s="186"/>
      <c r="Y123" s="90" t="s">
        <v>3532</v>
      </c>
      <c r="Z123" s="91"/>
      <c r="AA123" s="91"/>
      <c r="AB123" s="91"/>
      <c r="AC123" s="91"/>
      <c r="AD123" s="91"/>
      <c r="AE123" s="1154">
        <f>AE317</f>
        <v>0</v>
      </c>
      <c r="AF123" s="248"/>
      <c r="AG123" s="328"/>
      <c r="AH123" s="328"/>
    </row>
    <row r="124" spans="2:34" s="8" customFormat="1" ht="25.05" customHeight="1" x14ac:dyDescent="0.2">
      <c r="B124" s="89"/>
      <c r="D124" s="90" t="s">
        <v>3533</v>
      </c>
      <c r="E124" s="91"/>
      <c r="F124" s="91"/>
      <c r="G124" s="91"/>
      <c r="H124" s="91"/>
      <c r="I124" s="91"/>
      <c r="J124" s="92">
        <f>J318</f>
        <v>3141.4</v>
      </c>
      <c r="L124" s="89"/>
      <c r="W124" s="185"/>
      <c r="X124" s="186"/>
      <c r="Y124" s="90" t="s">
        <v>3533</v>
      </c>
      <c r="Z124" s="91"/>
      <c r="AA124" s="91"/>
      <c r="AB124" s="91"/>
      <c r="AC124" s="91"/>
      <c r="AD124" s="91"/>
      <c r="AE124" s="1154">
        <f>AE318</f>
        <v>3348.91</v>
      </c>
      <c r="AF124" s="1160"/>
      <c r="AG124" s="328"/>
      <c r="AH124" s="328"/>
    </row>
    <row r="125" spans="2:34" s="9" customFormat="1" ht="19.95" customHeight="1" x14ac:dyDescent="0.2">
      <c r="B125" s="93"/>
      <c r="D125" s="94" t="s">
        <v>3534</v>
      </c>
      <c r="E125" s="95"/>
      <c r="F125" s="95"/>
      <c r="G125" s="95"/>
      <c r="H125" s="95"/>
      <c r="I125" s="95"/>
      <c r="J125" s="96">
        <f>J319</f>
        <v>1394.2399999999998</v>
      </c>
      <c r="L125" s="93"/>
      <c r="W125" s="188"/>
      <c r="X125" s="189"/>
      <c r="Y125" s="94" t="s">
        <v>3534</v>
      </c>
      <c r="Z125" s="95"/>
      <c r="AA125" s="95"/>
      <c r="AB125" s="95"/>
      <c r="AC125" s="95"/>
      <c r="AD125" s="95"/>
      <c r="AE125" s="1156">
        <f>AE319</f>
        <v>1664.3400000000001</v>
      </c>
      <c r="AF125" s="248"/>
      <c r="AG125" s="405"/>
      <c r="AH125" s="405"/>
    </row>
    <row r="126" spans="2:34" s="9" customFormat="1" ht="19.95" customHeight="1" x14ac:dyDescent="0.2">
      <c r="B126" s="93"/>
      <c r="D126" s="94" t="s">
        <v>3535</v>
      </c>
      <c r="E126" s="95"/>
      <c r="F126" s="95"/>
      <c r="G126" s="95"/>
      <c r="H126" s="95"/>
      <c r="I126" s="95"/>
      <c r="J126" s="96">
        <f>J323</f>
        <v>32.159999999999997</v>
      </c>
      <c r="L126" s="93"/>
      <c r="W126" s="188"/>
      <c r="X126" s="189"/>
      <c r="Y126" s="94" t="s">
        <v>3535</v>
      </c>
      <c r="Z126" s="95"/>
      <c r="AA126" s="95"/>
      <c r="AB126" s="95"/>
      <c r="AC126" s="95"/>
      <c r="AD126" s="95"/>
      <c r="AE126" s="1156">
        <f>AE323</f>
        <v>32.159999999999997</v>
      </c>
      <c r="AF126" s="248"/>
      <c r="AG126" s="405"/>
      <c r="AH126" s="405"/>
    </row>
    <row r="127" spans="2:34" s="9" customFormat="1" ht="19.95" customHeight="1" x14ac:dyDescent="0.2">
      <c r="B127" s="93"/>
      <c r="D127" s="94" t="s">
        <v>3536</v>
      </c>
      <c r="E127" s="95"/>
      <c r="F127" s="95"/>
      <c r="G127" s="95"/>
      <c r="H127" s="95"/>
      <c r="I127" s="95"/>
      <c r="J127" s="96">
        <f>J327</f>
        <v>0</v>
      </c>
      <c r="L127" s="93"/>
      <c r="W127" s="188"/>
      <c r="X127" s="189"/>
      <c r="Y127" s="94" t="s">
        <v>3536</v>
      </c>
      <c r="Z127" s="95"/>
      <c r="AA127" s="95"/>
      <c r="AB127" s="95"/>
      <c r="AC127" s="95"/>
      <c r="AD127" s="95"/>
      <c r="AE127" s="1156">
        <f>AE327</f>
        <v>0</v>
      </c>
      <c r="AF127" s="248"/>
      <c r="AG127" s="405"/>
      <c r="AH127" s="405"/>
    </row>
    <row r="128" spans="2:34" s="9" customFormat="1" ht="19.95" customHeight="1" x14ac:dyDescent="0.2">
      <c r="B128" s="93"/>
      <c r="D128" s="94" t="s">
        <v>3537</v>
      </c>
      <c r="E128" s="95"/>
      <c r="F128" s="95"/>
      <c r="G128" s="95"/>
      <c r="H128" s="95"/>
      <c r="I128" s="95"/>
      <c r="J128" s="96">
        <f>J328</f>
        <v>1715.0000000000002</v>
      </c>
      <c r="L128" s="93"/>
      <c r="W128" s="188"/>
      <c r="X128" s="189"/>
      <c r="Y128" s="94" t="s">
        <v>3537</v>
      </c>
      <c r="Z128" s="95"/>
      <c r="AA128" s="95"/>
      <c r="AB128" s="95"/>
      <c r="AC128" s="95"/>
      <c r="AD128" s="95"/>
      <c r="AE128" s="1156">
        <f>AE328</f>
        <v>1652.4099999999999</v>
      </c>
      <c r="AF128" s="248"/>
      <c r="AG128" s="405"/>
      <c r="AH128" s="405"/>
    </row>
    <row r="129" spans="2:34" s="8" customFormat="1" ht="25.05" customHeight="1" x14ac:dyDescent="0.2">
      <c r="B129" s="89"/>
      <c r="D129" s="90" t="s">
        <v>1185</v>
      </c>
      <c r="E129" s="91"/>
      <c r="F129" s="91"/>
      <c r="G129" s="91"/>
      <c r="H129" s="91"/>
      <c r="I129" s="91"/>
      <c r="J129" s="92">
        <f>J343</f>
        <v>213.60000000000002</v>
      </c>
      <c r="L129" s="89"/>
      <c r="W129" s="185"/>
      <c r="X129" s="186"/>
      <c r="Y129" s="90" t="s">
        <v>1185</v>
      </c>
      <c r="Z129" s="91"/>
      <c r="AA129" s="91"/>
      <c r="AB129" s="91"/>
      <c r="AC129" s="91"/>
      <c r="AD129" s="91"/>
      <c r="AE129" s="1154">
        <f>AE343</f>
        <v>345.59999999999997</v>
      </c>
      <c r="AF129" s="248"/>
      <c r="AG129" s="328"/>
      <c r="AH129" s="328"/>
    </row>
    <row r="130" spans="2:34" s="8" customFormat="1" ht="25.05" customHeight="1" x14ac:dyDescent="0.2">
      <c r="B130" s="89"/>
      <c r="D130" s="90" t="s">
        <v>1186</v>
      </c>
      <c r="E130" s="91"/>
      <c r="F130" s="91"/>
      <c r="G130" s="91"/>
      <c r="H130" s="91"/>
      <c r="I130" s="91"/>
      <c r="J130" s="92">
        <f>J351</f>
        <v>1798.58</v>
      </c>
      <c r="L130" s="89"/>
      <c r="W130" s="185"/>
      <c r="X130" s="186"/>
      <c r="Y130" s="90" t="s">
        <v>1186</v>
      </c>
      <c r="Z130" s="91"/>
      <c r="AA130" s="91"/>
      <c r="AB130" s="91"/>
      <c r="AC130" s="91"/>
      <c r="AD130" s="91"/>
      <c r="AE130" s="1154">
        <f>AE351</f>
        <v>2745.3</v>
      </c>
      <c r="AF130" s="1160"/>
      <c r="AG130" s="328"/>
      <c r="AH130" s="328"/>
    </row>
    <row r="131" spans="2:34" s="8" customFormat="1" ht="19.5" customHeight="1" x14ac:dyDescent="0.2">
      <c r="B131" s="89"/>
      <c r="D131" s="90"/>
      <c r="E131" s="91"/>
      <c r="F131" s="91"/>
      <c r="G131" s="91"/>
      <c r="H131" s="91"/>
      <c r="I131" s="91"/>
      <c r="J131" s="92"/>
      <c r="L131" s="89"/>
      <c r="W131" s="185"/>
      <c r="X131" s="186"/>
      <c r="Y131" s="94" t="s">
        <v>3538</v>
      </c>
      <c r="Z131" s="91"/>
      <c r="AA131" s="91"/>
      <c r="AB131" s="91"/>
      <c r="AC131" s="91"/>
      <c r="AD131" s="91"/>
      <c r="AE131" s="1154">
        <f>AE353</f>
        <v>62.42</v>
      </c>
      <c r="AF131" s="248"/>
      <c r="AG131" s="328"/>
      <c r="AH131" s="328"/>
    </row>
    <row r="132" spans="2:34" s="108" customFormat="1" ht="19.5" customHeight="1" x14ac:dyDescent="0.25">
      <c r="B132" s="329"/>
      <c r="D132" s="330"/>
      <c r="E132" s="330"/>
      <c r="F132" s="330"/>
      <c r="G132" s="330"/>
      <c r="H132" s="330"/>
      <c r="I132" s="330"/>
      <c r="J132" s="331"/>
      <c r="L132" s="329"/>
      <c r="W132" s="332"/>
      <c r="X132" s="334"/>
      <c r="Y132" s="335" t="s">
        <v>5686</v>
      </c>
      <c r="Z132" s="90"/>
      <c r="AA132" s="90"/>
      <c r="AB132" s="90"/>
      <c r="AC132" s="90"/>
      <c r="AD132" s="90"/>
      <c r="AE132" s="1154">
        <f>AE356</f>
        <v>551.86</v>
      </c>
      <c r="AF132" s="333"/>
      <c r="AG132" s="565"/>
      <c r="AH132" s="565"/>
    </row>
    <row r="133" spans="2:34" s="9" customFormat="1" ht="19.95" customHeight="1" x14ac:dyDescent="0.2">
      <c r="B133" s="93"/>
      <c r="D133" s="94" t="s">
        <v>3538</v>
      </c>
      <c r="E133" s="95"/>
      <c r="F133" s="95"/>
      <c r="G133" s="95"/>
      <c r="H133" s="95"/>
      <c r="I133" s="95"/>
      <c r="J133" s="96">
        <f>J362</f>
        <v>1228.48</v>
      </c>
      <c r="L133" s="93"/>
      <c r="W133" s="188"/>
      <c r="X133" s="189"/>
      <c r="Y133" s="94" t="s">
        <v>3538</v>
      </c>
      <c r="Z133" s="95"/>
      <c r="AA133" s="95"/>
      <c r="AB133" s="95"/>
      <c r="AC133" s="95"/>
      <c r="AD133" s="95"/>
      <c r="AE133" s="1156">
        <f>AE362</f>
        <v>1443.94</v>
      </c>
      <c r="AF133" s="248"/>
      <c r="AG133" s="405"/>
      <c r="AH133" s="405"/>
    </row>
    <row r="134" spans="2:34" s="9" customFormat="1" ht="19.95" customHeight="1" x14ac:dyDescent="0.2">
      <c r="B134" s="93"/>
      <c r="D134" s="94" t="s">
        <v>3539</v>
      </c>
      <c r="E134" s="95"/>
      <c r="F134" s="95"/>
      <c r="G134" s="95"/>
      <c r="H134" s="95"/>
      <c r="I134" s="95"/>
      <c r="J134" s="96">
        <f>J371</f>
        <v>570.09999999999991</v>
      </c>
      <c r="L134" s="93"/>
      <c r="W134" s="188"/>
      <c r="X134" s="189"/>
      <c r="Y134" s="94" t="s">
        <v>3539</v>
      </c>
      <c r="Z134" s="95"/>
      <c r="AA134" s="95"/>
      <c r="AB134" s="95"/>
      <c r="AC134" s="95"/>
      <c r="AD134" s="95"/>
      <c r="AE134" s="1156">
        <f>AE371</f>
        <v>687.08</v>
      </c>
      <c r="AF134" s="248"/>
      <c r="AG134" s="405"/>
      <c r="AH134" s="405"/>
    </row>
    <row r="135" spans="2:34" s="8" customFormat="1" ht="25.05" customHeight="1" x14ac:dyDescent="0.2">
      <c r="B135" s="89"/>
      <c r="D135" s="90" t="s">
        <v>1188</v>
      </c>
      <c r="E135" s="91"/>
      <c r="F135" s="91"/>
      <c r="G135" s="91"/>
      <c r="H135" s="91"/>
      <c r="I135" s="91"/>
      <c r="J135" s="92">
        <f>J378</f>
        <v>556.75</v>
      </c>
      <c r="L135" s="89"/>
      <c r="W135" s="185"/>
      <c r="X135" s="186"/>
      <c r="Y135" s="90" t="s">
        <v>1188</v>
      </c>
      <c r="Z135" s="91"/>
      <c r="AA135" s="91"/>
      <c r="AB135" s="91"/>
      <c r="AC135" s="91"/>
      <c r="AD135" s="91"/>
      <c r="AE135" s="1154">
        <f>AE378</f>
        <v>1343</v>
      </c>
      <c r="AF135" s="248"/>
      <c r="AG135" s="328"/>
      <c r="AH135" s="328"/>
    </row>
    <row r="136" spans="2:34" s="8" customFormat="1" ht="25.05" customHeight="1" x14ac:dyDescent="0.2">
      <c r="B136" s="89"/>
      <c r="D136" s="90" t="s">
        <v>3540</v>
      </c>
      <c r="E136" s="91"/>
      <c r="F136" s="91"/>
      <c r="G136" s="91"/>
      <c r="H136" s="91"/>
      <c r="I136" s="91"/>
      <c r="J136" s="92">
        <f>J386</f>
        <v>582.56999999999994</v>
      </c>
      <c r="L136" s="89"/>
      <c r="W136" s="185"/>
      <c r="X136" s="186"/>
      <c r="Y136" s="90" t="s">
        <v>3540</v>
      </c>
      <c r="Z136" s="91"/>
      <c r="AA136" s="91"/>
      <c r="AB136" s="91"/>
      <c r="AC136" s="91"/>
      <c r="AD136" s="91"/>
      <c r="AE136" s="1154">
        <f>AE386</f>
        <v>1633</v>
      </c>
      <c r="AF136" s="248"/>
      <c r="AG136" s="328"/>
      <c r="AH136" s="328"/>
    </row>
    <row r="137" spans="2:34" s="9" customFormat="1" ht="19.95" customHeight="1" x14ac:dyDescent="0.2">
      <c r="B137" s="93"/>
      <c r="D137" s="94" t="s">
        <v>3541</v>
      </c>
      <c r="E137" s="95"/>
      <c r="F137" s="95"/>
      <c r="G137" s="95"/>
      <c r="H137" s="95"/>
      <c r="I137" s="95"/>
      <c r="J137" s="96">
        <f>J387</f>
        <v>582.56999999999994</v>
      </c>
      <c r="L137" s="93"/>
      <c r="W137" s="188"/>
      <c r="X137" s="189"/>
      <c r="Y137" s="94" t="s">
        <v>3541</v>
      </c>
      <c r="Z137" s="95"/>
      <c r="AA137" s="95"/>
      <c r="AB137" s="95"/>
      <c r="AC137" s="95"/>
      <c r="AD137" s="95"/>
      <c r="AE137" s="1156">
        <f>AE387</f>
        <v>1633</v>
      </c>
      <c r="AF137" s="248"/>
      <c r="AG137" s="405"/>
      <c r="AH137" s="405"/>
    </row>
    <row r="138" spans="2:34" s="8" customFormat="1" ht="25.05" customHeight="1" x14ac:dyDescent="0.2">
      <c r="B138" s="89"/>
      <c r="D138" s="90" t="s">
        <v>3542</v>
      </c>
      <c r="E138" s="91"/>
      <c r="F138" s="91"/>
      <c r="G138" s="91"/>
      <c r="H138" s="91"/>
      <c r="I138" s="91"/>
      <c r="J138" s="92">
        <f>J397</f>
        <v>7.68</v>
      </c>
      <c r="L138" s="89"/>
      <c r="W138" s="185"/>
      <c r="X138" s="186"/>
      <c r="Y138" s="90" t="s">
        <v>3542</v>
      </c>
      <c r="Z138" s="91"/>
      <c r="AA138" s="91"/>
      <c r="AB138" s="91"/>
      <c r="AC138" s="91"/>
      <c r="AD138" s="91"/>
      <c r="AE138" s="1154">
        <f>AE397</f>
        <v>15.36</v>
      </c>
      <c r="AF138" s="248"/>
      <c r="AG138" s="328"/>
      <c r="AH138" s="328"/>
    </row>
    <row r="139" spans="2:34" s="9" customFormat="1" ht="19.95" customHeight="1" x14ac:dyDescent="0.2">
      <c r="B139" s="93"/>
      <c r="D139" s="94" t="s">
        <v>3543</v>
      </c>
      <c r="E139" s="95"/>
      <c r="F139" s="95"/>
      <c r="G139" s="95"/>
      <c r="H139" s="95"/>
      <c r="I139" s="95"/>
      <c r="J139" s="96">
        <f>J398</f>
        <v>7.68</v>
      </c>
      <c r="L139" s="93"/>
      <c r="W139" s="188"/>
      <c r="X139" s="189"/>
      <c r="Y139" s="94" t="s">
        <v>3543</v>
      </c>
      <c r="Z139" s="95"/>
      <c r="AA139" s="95"/>
      <c r="AB139" s="95"/>
      <c r="AC139" s="95"/>
      <c r="AD139" s="95"/>
      <c r="AE139" s="1156">
        <f>AE398</f>
        <v>15.36</v>
      </c>
      <c r="AF139" s="248"/>
      <c r="AG139" s="405"/>
      <c r="AH139" s="405"/>
    </row>
    <row r="140" spans="2:34" s="8" customFormat="1" ht="25.05" customHeight="1" x14ac:dyDescent="0.2">
      <c r="B140" s="89"/>
      <c r="D140" s="90" t="s">
        <v>3544</v>
      </c>
      <c r="E140" s="91"/>
      <c r="F140" s="91"/>
      <c r="G140" s="91"/>
      <c r="H140" s="91"/>
      <c r="I140" s="91"/>
      <c r="J140" s="92">
        <f>J401</f>
        <v>3425.3599999999997</v>
      </c>
      <c r="L140" s="89"/>
      <c r="W140" s="185"/>
      <c r="X140" s="186"/>
      <c r="Y140" s="90" t="s">
        <v>3544</v>
      </c>
      <c r="Z140" s="91"/>
      <c r="AA140" s="91"/>
      <c r="AB140" s="91"/>
      <c r="AC140" s="91"/>
      <c r="AD140" s="91"/>
      <c r="AE140" s="1154">
        <f>AE401</f>
        <v>6961.7099999999991</v>
      </c>
      <c r="AF140" s="248"/>
      <c r="AG140" s="328"/>
      <c r="AH140" s="328"/>
    </row>
    <row r="141" spans="2:34" s="8" customFormat="1" ht="25.05" customHeight="1" x14ac:dyDescent="0.2">
      <c r="B141" s="89"/>
      <c r="D141" s="90" t="s">
        <v>1189</v>
      </c>
      <c r="E141" s="91"/>
      <c r="F141" s="91"/>
      <c r="G141" s="91"/>
      <c r="H141" s="91"/>
      <c r="I141" s="91"/>
      <c r="J141" s="92">
        <f>J427</f>
        <v>190.4</v>
      </c>
      <c r="L141" s="89"/>
      <c r="W141" s="185"/>
      <c r="X141" s="186"/>
      <c r="Y141" s="90" t="s">
        <v>1189</v>
      </c>
      <c r="Z141" s="91"/>
      <c r="AA141" s="91"/>
      <c r="AB141" s="91"/>
      <c r="AC141" s="91"/>
      <c r="AD141" s="91"/>
      <c r="AE141" s="187">
        <f>AE427</f>
        <v>220</v>
      </c>
      <c r="AF141" s="248"/>
      <c r="AG141" s="328"/>
      <c r="AH141" s="328"/>
    </row>
    <row r="142" spans="2:34" s="1" customFormat="1" ht="21.75" customHeight="1" x14ac:dyDescent="0.2">
      <c r="B142" s="24"/>
      <c r="L142" s="24"/>
      <c r="W142" s="158"/>
      <c r="X142" s="557"/>
      <c r="Y142" s="557"/>
      <c r="Z142" s="557"/>
      <c r="AA142" s="557"/>
      <c r="AB142" s="557"/>
      <c r="AC142" s="557"/>
      <c r="AD142" s="557"/>
      <c r="AE142" s="159"/>
      <c r="AF142" s="227"/>
      <c r="AG142" s="130"/>
      <c r="AH142" s="130"/>
    </row>
    <row r="143" spans="2:34" s="1" customFormat="1" ht="7.05" customHeight="1" x14ac:dyDescent="0.2">
      <c r="B143" s="33"/>
      <c r="C143" s="34"/>
      <c r="D143" s="34"/>
      <c r="E143" s="34"/>
      <c r="F143" s="34"/>
      <c r="G143" s="34"/>
      <c r="H143" s="34"/>
      <c r="I143" s="34"/>
      <c r="J143" s="34"/>
      <c r="K143" s="34"/>
      <c r="L143" s="24"/>
      <c r="W143" s="175"/>
      <c r="X143" s="176"/>
      <c r="Y143" s="176"/>
      <c r="Z143" s="176"/>
      <c r="AA143" s="176"/>
      <c r="AB143" s="176"/>
      <c r="AC143" s="176"/>
      <c r="AD143" s="176"/>
      <c r="AE143" s="177"/>
      <c r="AF143" s="227"/>
      <c r="AG143" s="130"/>
      <c r="AH143" s="130"/>
    </row>
    <row r="147" spans="2:34" s="1" customFormat="1" ht="7.05" customHeight="1" x14ac:dyDescent="0.2">
      <c r="B147" s="35"/>
      <c r="C147" s="36"/>
      <c r="D147" s="36"/>
      <c r="E147" s="36"/>
      <c r="F147" s="36"/>
      <c r="G147" s="36"/>
      <c r="H147" s="36"/>
      <c r="I147" s="36"/>
      <c r="J147" s="36"/>
      <c r="K147" s="36"/>
      <c r="L147" s="24"/>
      <c r="W147" s="178"/>
      <c r="X147" s="179"/>
      <c r="Y147" s="179"/>
      <c r="Z147" s="179"/>
      <c r="AA147" s="179"/>
      <c r="AB147" s="179"/>
      <c r="AC147" s="179"/>
      <c r="AD147" s="179"/>
      <c r="AE147" s="180"/>
      <c r="AF147" s="227"/>
      <c r="AG147" s="130"/>
      <c r="AH147" s="130"/>
    </row>
    <row r="148" spans="2:34" s="1" customFormat="1" ht="25.05" customHeight="1" x14ac:dyDescent="0.2">
      <c r="B148" s="24"/>
      <c r="C148" s="1165" t="s">
        <v>214</v>
      </c>
      <c r="D148" s="1165"/>
      <c r="E148" s="1165"/>
      <c r="F148" s="1165"/>
      <c r="G148" s="1165"/>
      <c r="H148" s="1165"/>
      <c r="I148" s="1165"/>
      <c r="J148" s="1165"/>
      <c r="L148" s="24"/>
      <c r="W148" s="158"/>
      <c r="X148" s="1237" t="s">
        <v>214</v>
      </c>
      <c r="Y148" s="1237"/>
      <c r="Z148" s="1237"/>
      <c r="AA148" s="1237"/>
      <c r="AB148" s="1237"/>
      <c r="AC148" s="1237"/>
      <c r="AD148" s="1237"/>
      <c r="AE148" s="1238"/>
      <c r="AF148" s="227"/>
      <c r="AG148" s="130"/>
      <c r="AH148" s="130"/>
    </row>
    <row r="149" spans="2:34" s="1" customFormat="1" ht="7.05" customHeight="1" x14ac:dyDescent="0.2">
      <c r="B149" s="24"/>
      <c r="L149" s="24"/>
      <c r="W149" s="158"/>
      <c r="X149" s="557"/>
      <c r="Y149" s="557"/>
      <c r="Z149" s="557"/>
      <c r="AA149" s="557"/>
      <c r="AB149" s="557"/>
      <c r="AC149" s="557"/>
      <c r="AD149" s="557"/>
      <c r="AE149" s="159"/>
      <c r="AF149" s="227"/>
      <c r="AG149" s="130"/>
      <c r="AH149" s="130"/>
    </row>
    <row r="150" spans="2:34" s="1" customFormat="1" ht="12" customHeight="1" x14ac:dyDescent="0.2">
      <c r="B150" s="24"/>
      <c r="C150" s="528" t="s">
        <v>12</v>
      </c>
      <c r="E150" s="1242" t="s">
        <v>6177</v>
      </c>
      <c r="F150" s="1242"/>
      <c r="G150" s="1242"/>
      <c r="H150" s="1242"/>
      <c r="I150" s="1242"/>
      <c r="J150" s="1242"/>
      <c r="L150" s="24"/>
      <c r="W150" s="158"/>
      <c r="X150" s="538" t="s">
        <v>12</v>
      </c>
      <c r="Y150" s="557"/>
      <c r="Z150" s="1163" t="s">
        <v>6177</v>
      </c>
      <c r="AA150" s="1163"/>
      <c r="AB150" s="1163"/>
      <c r="AC150" s="1163"/>
      <c r="AD150" s="1163"/>
      <c r="AE150" s="1241"/>
      <c r="AF150" s="227"/>
      <c r="AG150" s="130"/>
      <c r="AH150" s="130"/>
    </row>
    <row r="151" spans="2:34" s="1" customFormat="1" ht="23.55" customHeight="1" x14ac:dyDescent="0.2">
      <c r="B151" s="24"/>
      <c r="C151" s="521"/>
      <c r="E151" s="1243"/>
      <c r="F151" s="1244"/>
      <c r="G151" s="1244"/>
      <c r="H151" s="1244"/>
      <c r="L151" s="24"/>
      <c r="W151" s="158"/>
      <c r="X151" s="557"/>
      <c r="Y151" s="557"/>
      <c r="Z151" s="1249"/>
      <c r="AA151" s="1250"/>
      <c r="AB151" s="1250"/>
      <c r="AC151" s="1250"/>
      <c r="AD151" s="557"/>
      <c r="AE151" s="159"/>
      <c r="AF151" s="227"/>
      <c r="AG151" s="130"/>
      <c r="AH151" s="130"/>
    </row>
    <row r="152" spans="2:34" s="1" customFormat="1" ht="12" customHeight="1" x14ac:dyDescent="0.2">
      <c r="B152" s="24"/>
      <c r="C152" s="528" t="s">
        <v>186</v>
      </c>
      <c r="F152" s="532" t="s">
        <v>3513</v>
      </c>
      <c r="L152" s="24"/>
      <c r="W152" s="158"/>
      <c r="X152" s="538" t="s">
        <v>186</v>
      </c>
      <c r="Y152" s="557"/>
      <c r="Z152" s="557"/>
      <c r="AA152" s="555" t="s">
        <v>3513</v>
      </c>
      <c r="AB152" s="557"/>
      <c r="AC152" s="557"/>
      <c r="AD152" s="557"/>
      <c r="AE152" s="159"/>
      <c r="AF152" s="227"/>
      <c r="AG152" s="130"/>
      <c r="AH152" s="130"/>
    </row>
    <row r="153" spans="2:34" s="1" customFormat="1" ht="16.5" customHeight="1" x14ac:dyDescent="0.2">
      <c r="B153" s="24"/>
      <c r="C153" s="521"/>
      <c r="E153" s="1251"/>
      <c r="F153" s="1252"/>
      <c r="G153" s="1252"/>
      <c r="H153" s="1252"/>
      <c r="L153" s="24"/>
      <c r="W153" s="158"/>
      <c r="X153" s="557"/>
      <c r="Y153" s="557"/>
      <c r="Z153" s="1245"/>
      <c r="AA153" s="1246"/>
      <c r="AB153" s="1246"/>
      <c r="AC153" s="1246"/>
      <c r="AD153" s="557"/>
      <c r="AE153" s="159"/>
      <c r="AF153" s="227"/>
      <c r="AG153" s="130"/>
      <c r="AH153" s="130"/>
    </row>
    <row r="154" spans="2:34" s="1" customFormat="1" ht="7.05" customHeight="1" x14ac:dyDescent="0.2">
      <c r="B154" s="24"/>
      <c r="C154" s="521"/>
      <c r="L154" s="24"/>
      <c r="W154" s="158"/>
      <c r="X154" s="557"/>
      <c r="Y154" s="557"/>
      <c r="Z154" s="557"/>
      <c r="AA154" s="557"/>
      <c r="AB154" s="557"/>
      <c r="AC154" s="557"/>
      <c r="AD154" s="557"/>
      <c r="AE154" s="159"/>
      <c r="AF154" s="227"/>
      <c r="AG154" s="130"/>
      <c r="AH154" s="130"/>
    </row>
    <row r="155" spans="2:34" s="1" customFormat="1" ht="12" customHeight="1" x14ac:dyDescent="0.2">
      <c r="B155" s="24"/>
      <c r="C155" s="528" t="s">
        <v>15</v>
      </c>
      <c r="F155" s="19" t="str">
        <f>F12</f>
        <v>Kuzmányho nábrežie 28, 960 01 Zvolen</v>
      </c>
      <c r="I155" s="528" t="s">
        <v>17</v>
      </c>
      <c r="J155" s="39" t="str">
        <f>IF(J12="","",J12)</f>
        <v/>
      </c>
      <c r="L155" s="24"/>
      <c r="W155" s="158"/>
      <c r="X155" s="538" t="s">
        <v>15</v>
      </c>
      <c r="Y155" s="557"/>
      <c r="Z155" s="557"/>
      <c r="AA155" s="558" t="str">
        <f>AA12</f>
        <v>Kuzmányho nábrežie 28, 960 01 Zvolen</v>
      </c>
      <c r="AB155" s="557"/>
      <c r="AC155" s="557"/>
      <c r="AD155" s="538" t="s">
        <v>17</v>
      </c>
      <c r="AE155" s="162" t="str">
        <f>IF(AE12="","",AE12)</f>
        <v/>
      </c>
      <c r="AF155" s="227"/>
      <c r="AG155" s="130"/>
      <c r="AH155" s="130"/>
    </row>
    <row r="156" spans="2:34" s="1" customFormat="1" ht="7.05" customHeight="1" x14ac:dyDescent="0.2">
      <c r="B156" s="24"/>
      <c r="C156" s="521"/>
      <c r="I156" s="521"/>
      <c r="L156" s="24"/>
      <c r="W156" s="158"/>
      <c r="X156" s="557"/>
      <c r="Y156" s="557"/>
      <c r="Z156" s="557"/>
      <c r="AA156" s="557"/>
      <c r="AB156" s="557"/>
      <c r="AC156" s="557"/>
      <c r="AD156" s="557"/>
      <c r="AE156" s="159"/>
      <c r="AF156" s="227"/>
      <c r="AG156" s="130"/>
      <c r="AH156" s="130"/>
    </row>
    <row r="157" spans="2:34" s="1" customFormat="1" ht="15.3" customHeight="1" x14ac:dyDescent="0.2">
      <c r="B157" s="24"/>
      <c r="C157" s="528" t="s">
        <v>18</v>
      </c>
      <c r="F157" s="529" t="s">
        <v>6175</v>
      </c>
      <c r="I157" s="528" t="s">
        <v>22</v>
      </c>
      <c r="J157" s="22" t="str">
        <f>E21</f>
        <v xml:space="preserve"> </v>
      </c>
      <c r="L157" s="24"/>
      <c r="W157" s="158"/>
      <c r="X157" s="538" t="s">
        <v>18</v>
      </c>
      <c r="Y157" s="557"/>
      <c r="Z157" s="557"/>
      <c r="AA157" s="576" t="s">
        <v>6175</v>
      </c>
      <c r="AB157" s="557"/>
      <c r="AC157" s="557"/>
      <c r="AD157" s="538" t="s">
        <v>22</v>
      </c>
      <c r="AE157" s="181" t="str">
        <f>Z21</f>
        <v/>
      </c>
      <c r="AF157" s="227"/>
      <c r="AG157" s="130"/>
      <c r="AH157" s="130"/>
    </row>
    <row r="158" spans="2:34" s="1" customFormat="1" ht="15.3" customHeight="1" x14ac:dyDescent="0.2">
      <c r="B158" s="24"/>
      <c r="C158" s="528" t="s">
        <v>21</v>
      </c>
      <c r="F158" s="529" t="s">
        <v>5202</v>
      </c>
      <c r="I158" s="528" t="s">
        <v>24</v>
      </c>
      <c r="J158" s="22" t="str">
        <f>E24</f>
        <v xml:space="preserve"> </v>
      </c>
      <c r="L158" s="24"/>
      <c r="W158" s="158"/>
      <c r="X158" s="538" t="s">
        <v>21</v>
      </c>
      <c r="Y158" s="557"/>
      <c r="Z158" s="557"/>
      <c r="AA158" s="576" t="s">
        <v>5202</v>
      </c>
      <c r="AB158" s="557"/>
      <c r="AC158" s="557"/>
      <c r="AD158" s="538" t="s">
        <v>24</v>
      </c>
      <c r="AE158" s="181" t="str">
        <f>Z24</f>
        <v/>
      </c>
      <c r="AF158" s="227"/>
      <c r="AG158" s="130"/>
      <c r="AH158" s="130"/>
    </row>
    <row r="159" spans="2:34" s="1" customFormat="1" ht="10.199999999999999" customHeight="1" x14ac:dyDescent="0.2">
      <c r="B159" s="24"/>
      <c r="L159" s="24"/>
      <c r="W159" s="158"/>
      <c r="X159" s="557"/>
      <c r="Y159" s="557"/>
      <c r="Z159" s="557"/>
      <c r="AA159" s="557"/>
      <c r="AB159" s="557"/>
      <c r="AC159" s="557"/>
      <c r="AD159" s="557"/>
      <c r="AE159" s="159"/>
      <c r="AF159" s="227"/>
      <c r="AG159" s="130"/>
      <c r="AH159" s="130"/>
    </row>
    <row r="160" spans="2:34" s="10" customFormat="1" ht="29.25" customHeight="1" x14ac:dyDescent="0.2">
      <c r="B160" s="97"/>
      <c r="C160" s="98" t="s">
        <v>215</v>
      </c>
      <c r="D160" s="99" t="s">
        <v>43</v>
      </c>
      <c r="E160" s="99" t="s">
        <v>41</v>
      </c>
      <c r="F160" s="99" t="s">
        <v>42</v>
      </c>
      <c r="G160" s="99" t="s">
        <v>216</v>
      </c>
      <c r="H160" s="99" t="s">
        <v>217</v>
      </c>
      <c r="I160" s="99" t="s">
        <v>218</v>
      </c>
      <c r="J160" s="100" t="s">
        <v>190</v>
      </c>
      <c r="K160" s="101" t="s">
        <v>219</v>
      </c>
      <c r="L160" s="97"/>
      <c r="M160" s="46" t="s">
        <v>1</v>
      </c>
      <c r="N160" s="47" t="s">
        <v>30</v>
      </c>
      <c r="O160" s="47" t="s">
        <v>220</v>
      </c>
      <c r="P160" s="47" t="s">
        <v>221</v>
      </c>
      <c r="Q160" s="47" t="s">
        <v>222</v>
      </c>
      <c r="R160" s="47" t="s">
        <v>223</v>
      </c>
      <c r="S160" s="47" t="s">
        <v>224</v>
      </c>
      <c r="T160" s="48" t="s">
        <v>225</v>
      </c>
      <c r="W160" s="191"/>
      <c r="X160" s="98" t="s">
        <v>215</v>
      </c>
      <c r="Y160" s="99" t="s">
        <v>43</v>
      </c>
      <c r="Z160" s="99" t="s">
        <v>41</v>
      </c>
      <c r="AA160" s="99" t="s">
        <v>42</v>
      </c>
      <c r="AB160" s="99" t="s">
        <v>216</v>
      </c>
      <c r="AC160" s="99" t="s">
        <v>217</v>
      </c>
      <c r="AD160" s="99" t="s">
        <v>218</v>
      </c>
      <c r="AE160" s="192" t="s">
        <v>190</v>
      </c>
      <c r="AF160" s="228" t="s">
        <v>5220</v>
      </c>
      <c r="AG160" s="395"/>
      <c r="AH160" s="395"/>
    </row>
    <row r="161" spans="2:65" s="1" customFormat="1" ht="22.95" customHeight="1" x14ac:dyDescent="0.3">
      <c r="B161" s="24"/>
      <c r="C161" s="51" t="s">
        <v>191</v>
      </c>
      <c r="J161" s="102">
        <f>J163+J175+J224+J291+J318+J343+J351+J378+J386+J397+J401+J427</f>
        <v>44679.079999999994</v>
      </c>
      <c r="L161" s="24"/>
      <c r="M161" s="49"/>
      <c r="N161" s="40"/>
      <c r="O161" s="40"/>
      <c r="P161" s="103" t="e">
        <f>P162+P163+#REF!+P175+P224+P291+P317+P318+P343+P351+P378+P386+P397+P401+P427+#REF!</f>
        <v>#REF!</v>
      </c>
      <c r="Q161" s="40"/>
      <c r="R161" s="103" t="e">
        <f>R162+R163+#REF!+R175+R224+R291+R317+R318+R343+R351+R378+R386+R397+R401+R427+#REF!</f>
        <v>#REF!</v>
      </c>
      <c r="S161" s="40"/>
      <c r="T161" s="104" t="e">
        <f>T162+T163+#REF!+T175+T224+T291+T317+T318+T343+T351+T378+T386+T397+T401+T427+#REF!</f>
        <v>#REF!</v>
      </c>
      <c r="W161" s="158"/>
      <c r="X161" s="193" t="s">
        <v>191</v>
      </c>
      <c r="Y161" s="557"/>
      <c r="Z161" s="557"/>
      <c r="AA161" s="557"/>
      <c r="AB161" s="557"/>
      <c r="AC161" s="557"/>
      <c r="AD161" s="557"/>
      <c r="AE161" s="194">
        <f>AE163+AE175+AE224+AE291+AE318+AE343+AE351+AE378+AE386+AE397+AE401+AE427</f>
        <v>43818.67</v>
      </c>
      <c r="AF161" s="227"/>
      <c r="AG161" s="130"/>
      <c r="AH161" s="130"/>
      <c r="AT161" s="13" t="s">
        <v>57</v>
      </c>
      <c r="AU161" s="13" t="s">
        <v>192</v>
      </c>
      <c r="BK161" s="105" t="e">
        <f>BK162+BK163+#REF!+BK175+BK224+BK291+BK317+BK318+BK343+BK351+BK378+BK386+BK397+BK401+BK427+#REF!</f>
        <v>#REF!</v>
      </c>
    </row>
    <row r="162" spans="2:65" s="11" customFormat="1" ht="25.95" customHeight="1" x14ac:dyDescent="0.3">
      <c r="B162" s="106"/>
      <c r="D162" s="107" t="s">
        <v>57</v>
      </c>
      <c r="E162" s="108" t="s">
        <v>1190</v>
      </c>
      <c r="F162" s="108"/>
      <c r="J162" s="109"/>
      <c r="L162" s="106"/>
      <c r="M162" s="110"/>
      <c r="N162" s="111"/>
      <c r="O162" s="111"/>
      <c r="P162" s="112">
        <v>0</v>
      </c>
      <c r="Q162" s="111"/>
      <c r="R162" s="112">
        <v>0</v>
      </c>
      <c r="S162" s="111"/>
      <c r="T162" s="113">
        <v>0</v>
      </c>
      <c r="W162" s="195"/>
      <c r="X162" s="111"/>
      <c r="Y162" s="196" t="s">
        <v>57</v>
      </c>
      <c r="Z162" s="197" t="s">
        <v>1190</v>
      </c>
      <c r="AA162" s="197"/>
      <c r="AB162" s="111"/>
      <c r="AC162" s="111"/>
      <c r="AD162" s="111"/>
      <c r="AE162" s="198"/>
      <c r="AF162" s="248"/>
      <c r="AG162" s="566"/>
      <c r="AH162" s="566"/>
      <c r="AI162" s="566"/>
      <c r="AR162" s="107" t="s">
        <v>63</v>
      </c>
      <c r="AT162" s="114" t="s">
        <v>57</v>
      </c>
      <c r="AU162" s="114" t="s">
        <v>58</v>
      </c>
      <c r="AY162" s="107" t="s">
        <v>228</v>
      </c>
      <c r="BK162" s="115">
        <v>0</v>
      </c>
    </row>
    <row r="163" spans="2:65" s="11" customFormat="1" ht="25.95" customHeight="1" x14ac:dyDescent="0.25">
      <c r="B163" s="106"/>
      <c r="D163" s="107" t="s">
        <v>57</v>
      </c>
      <c r="E163" s="108" t="s">
        <v>1201</v>
      </c>
      <c r="F163" s="108" t="s">
        <v>1191</v>
      </c>
      <c r="J163" s="109">
        <f>BK163</f>
        <v>5326.17</v>
      </c>
      <c r="L163" s="106"/>
      <c r="M163" s="110"/>
      <c r="N163" s="111"/>
      <c r="O163" s="111"/>
      <c r="P163" s="112">
        <f>SUM(P164:P174)</f>
        <v>0</v>
      </c>
      <c r="Q163" s="111"/>
      <c r="R163" s="112">
        <f>SUM(R164:R174)</f>
        <v>0</v>
      </c>
      <c r="S163" s="111"/>
      <c r="T163" s="113">
        <f>SUM(T164:T174)</f>
        <v>0</v>
      </c>
      <c r="W163" s="195"/>
      <c r="X163" s="111"/>
      <c r="Y163" s="196" t="s">
        <v>57</v>
      </c>
      <c r="Z163" s="197" t="s">
        <v>1201</v>
      </c>
      <c r="AA163" s="197" t="s">
        <v>1191</v>
      </c>
      <c r="AB163" s="111"/>
      <c r="AC163" s="111"/>
      <c r="AD163" s="111"/>
      <c r="AE163" s="198">
        <f>SUM(AE164:AE174)</f>
        <v>146.41999999999999</v>
      </c>
      <c r="AF163" s="248"/>
      <c r="AG163" s="364"/>
      <c r="AH163" s="364"/>
      <c r="AR163" s="107" t="s">
        <v>63</v>
      </c>
      <c r="AT163" s="114" t="s">
        <v>57</v>
      </c>
      <c r="AU163" s="114" t="s">
        <v>58</v>
      </c>
      <c r="AY163" s="107" t="s">
        <v>228</v>
      </c>
      <c r="BK163" s="115">
        <f>SUM(BK164:BK174)</f>
        <v>5326.17</v>
      </c>
    </row>
    <row r="164" spans="2:65" s="1" customFormat="1" ht="16.5" customHeight="1" x14ac:dyDescent="0.2">
      <c r="B164" s="118"/>
      <c r="C164" s="205" t="s">
        <v>63</v>
      </c>
      <c r="D164" s="119" t="s">
        <v>231</v>
      </c>
      <c r="E164" s="120" t="s">
        <v>3545</v>
      </c>
      <c r="F164" s="121" t="s">
        <v>3546</v>
      </c>
      <c r="G164" s="122" t="s">
        <v>1194</v>
      </c>
      <c r="H164" s="206">
        <v>1</v>
      </c>
      <c r="I164" s="124">
        <v>759.87</v>
      </c>
      <c r="J164" s="124">
        <f>ROUND(I164*H164,2)</f>
        <v>759.87</v>
      </c>
      <c r="K164" s="121" t="s">
        <v>1</v>
      </c>
      <c r="L164" s="24"/>
      <c r="M164" s="125" t="s">
        <v>1</v>
      </c>
      <c r="N164" s="126" t="s">
        <v>32</v>
      </c>
      <c r="O164" s="127">
        <v>0</v>
      </c>
      <c r="P164" s="127">
        <f>O164*H164</f>
        <v>0</v>
      </c>
      <c r="Q164" s="127">
        <v>0</v>
      </c>
      <c r="R164" s="127">
        <f>Q164*H164</f>
        <v>0</v>
      </c>
      <c r="S164" s="127">
        <v>0</v>
      </c>
      <c r="T164" s="128">
        <f>S164*H164</f>
        <v>0</v>
      </c>
      <c r="W164" s="199"/>
      <c r="X164" s="205" t="s">
        <v>63</v>
      </c>
      <c r="Y164" s="119" t="s">
        <v>231</v>
      </c>
      <c r="Z164" s="120" t="s">
        <v>3545</v>
      </c>
      <c r="AA164" s="121" t="s">
        <v>3546</v>
      </c>
      <c r="AB164" s="122" t="s">
        <v>1194</v>
      </c>
      <c r="AC164" s="206">
        <v>0</v>
      </c>
      <c r="AD164" s="124">
        <v>759.87</v>
      </c>
      <c r="AE164" s="200">
        <f>ROUND(AD164*AC164,2)</f>
        <v>0</v>
      </c>
      <c r="AF164" s="227">
        <v>7</v>
      </c>
      <c r="AG164" s="130"/>
      <c r="AH164" s="130"/>
      <c r="AR164" s="129" t="s">
        <v>235</v>
      </c>
      <c r="AT164" s="129" t="s">
        <v>231</v>
      </c>
      <c r="AU164" s="129" t="s">
        <v>63</v>
      </c>
      <c r="AY164" s="13" t="s">
        <v>228</v>
      </c>
      <c r="BE164" s="130">
        <f>IF(N164="základná",J164,0)</f>
        <v>0</v>
      </c>
      <c r="BF164" s="130">
        <f>IF(N164="znížená",J164,0)</f>
        <v>759.87</v>
      </c>
      <c r="BG164" s="130">
        <f>IF(N164="zákl. prenesená",J164,0)</f>
        <v>0</v>
      </c>
      <c r="BH164" s="130">
        <f>IF(N164="zníž. prenesená",J164,0)</f>
        <v>0</v>
      </c>
      <c r="BI164" s="130">
        <f>IF(N164="nulová",J164,0)</f>
        <v>0</v>
      </c>
      <c r="BJ164" s="13" t="s">
        <v>76</v>
      </c>
      <c r="BK164" s="130">
        <f>ROUND(I164*H164,2)</f>
        <v>759.87</v>
      </c>
      <c r="BL164" s="13" t="s">
        <v>235</v>
      </c>
      <c r="BM164" s="129" t="s">
        <v>76</v>
      </c>
    </row>
    <row r="165" spans="2:65" s="1" customFormat="1" ht="57.6" x14ac:dyDescent="0.2">
      <c r="B165" s="24"/>
      <c r="D165" s="144" t="s">
        <v>1259</v>
      </c>
      <c r="F165" s="145" t="s">
        <v>3547</v>
      </c>
      <c r="L165" s="24"/>
      <c r="M165" s="146"/>
      <c r="N165" s="42"/>
      <c r="O165" s="42"/>
      <c r="P165" s="42"/>
      <c r="Q165" s="42"/>
      <c r="R165" s="42"/>
      <c r="S165" s="42"/>
      <c r="T165" s="43"/>
      <c r="W165" s="158"/>
      <c r="X165" s="557"/>
      <c r="Y165" s="203" t="s">
        <v>1259</v>
      </c>
      <c r="Z165" s="557"/>
      <c r="AA165" s="204" t="s">
        <v>3547</v>
      </c>
      <c r="AB165" s="557"/>
      <c r="AC165" s="557"/>
      <c r="AD165" s="557"/>
      <c r="AE165" s="159"/>
      <c r="AF165" s="227"/>
      <c r="AG165" s="130"/>
      <c r="AH165" s="130"/>
      <c r="AT165" s="13" t="s">
        <v>1259</v>
      </c>
      <c r="AU165" s="13" t="s">
        <v>63</v>
      </c>
    </row>
    <row r="166" spans="2:65" s="1" customFormat="1" ht="24" customHeight="1" x14ac:dyDescent="0.2">
      <c r="B166" s="118"/>
      <c r="C166" s="205" t="s">
        <v>76</v>
      </c>
      <c r="D166" s="119" t="s">
        <v>231</v>
      </c>
      <c r="E166" s="120" t="s">
        <v>3548</v>
      </c>
      <c r="F166" s="121" t="s">
        <v>3549</v>
      </c>
      <c r="G166" s="122" t="s">
        <v>1194</v>
      </c>
      <c r="H166" s="206">
        <v>1</v>
      </c>
      <c r="I166" s="124">
        <v>896.29</v>
      </c>
      <c r="J166" s="124">
        <f>ROUND(I166*H166,2)</f>
        <v>896.29</v>
      </c>
      <c r="K166" s="121" t="s">
        <v>1</v>
      </c>
      <c r="L166" s="24"/>
      <c r="M166" s="125" t="s">
        <v>1</v>
      </c>
      <c r="N166" s="126" t="s">
        <v>32</v>
      </c>
      <c r="O166" s="127">
        <v>0</v>
      </c>
      <c r="P166" s="127">
        <f>O166*H166</f>
        <v>0</v>
      </c>
      <c r="Q166" s="127">
        <v>0</v>
      </c>
      <c r="R166" s="127">
        <f>Q166*H166</f>
        <v>0</v>
      </c>
      <c r="S166" s="127">
        <v>0</v>
      </c>
      <c r="T166" s="128">
        <f>S166*H166</f>
        <v>0</v>
      </c>
      <c r="W166" s="199"/>
      <c r="X166" s="205" t="s">
        <v>76</v>
      </c>
      <c r="Y166" s="119" t="s">
        <v>231</v>
      </c>
      <c r="Z166" s="120" t="s">
        <v>3548</v>
      </c>
      <c r="AA166" s="121" t="s">
        <v>3549</v>
      </c>
      <c r="AB166" s="122" t="s">
        <v>1194</v>
      </c>
      <c r="AC166" s="206">
        <v>0</v>
      </c>
      <c r="AD166" s="124">
        <v>896.29</v>
      </c>
      <c r="AE166" s="200">
        <f>ROUND(AD166*AC166,2)</f>
        <v>0</v>
      </c>
      <c r="AF166" s="227">
        <v>7</v>
      </c>
      <c r="AG166" s="130"/>
      <c r="AH166" s="130"/>
      <c r="AR166" s="129" t="s">
        <v>235</v>
      </c>
      <c r="AT166" s="129" t="s">
        <v>231</v>
      </c>
      <c r="AU166" s="129" t="s">
        <v>63</v>
      </c>
      <c r="AY166" s="13" t="s">
        <v>228</v>
      </c>
      <c r="BE166" s="130">
        <f>IF(N166="základná",J166,0)</f>
        <v>0</v>
      </c>
      <c r="BF166" s="130">
        <f>IF(N166="znížená",J166,0)</f>
        <v>896.29</v>
      </c>
      <c r="BG166" s="130">
        <f>IF(N166="zákl. prenesená",J166,0)</f>
        <v>0</v>
      </c>
      <c r="BH166" s="130">
        <f>IF(N166="zníž. prenesená",J166,0)</f>
        <v>0</v>
      </c>
      <c r="BI166" s="130">
        <f>IF(N166="nulová",J166,0)</f>
        <v>0</v>
      </c>
      <c r="BJ166" s="13" t="s">
        <v>76</v>
      </c>
      <c r="BK166" s="130">
        <f>ROUND(I166*H166,2)</f>
        <v>896.29</v>
      </c>
      <c r="BL166" s="13" t="s">
        <v>235</v>
      </c>
      <c r="BM166" s="129" t="s">
        <v>235</v>
      </c>
    </row>
    <row r="167" spans="2:65" s="1" customFormat="1" ht="48" x14ac:dyDescent="0.2">
      <c r="B167" s="24"/>
      <c r="D167" s="144" t="s">
        <v>1259</v>
      </c>
      <c r="F167" s="145" t="s">
        <v>3550</v>
      </c>
      <c r="L167" s="24"/>
      <c r="M167" s="146"/>
      <c r="N167" s="42"/>
      <c r="O167" s="42"/>
      <c r="P167" s="42"/>
      <c r="Q167" s="42"/>
      <c r="R167" s="42"/>
      <c r="S167" s="42"/>
      <c r="T167" s="43"/>
      <c r="W167" s="158"/>
      <c r="X167" s="557"/>
      <c r="Y167" s="203" t="s">
        <v>1259</v>
      </c>
      <c r="Z167" s="557"/>
      <c r="AA167" s="204" t="s">
        <v>3550</v>
      </c>
      <c r="AB167" s="557"/>
      <c r="AC167" s="557"/>
      <c r="AD167" s="557"/>
      <c r="AE167" s="159"/>
      <c r="AF167" s="227"/>
      <c r="AG167" s="130"/>
      <c r="AH167" s="130"/>
      <c r="AT167" s="13" t="s">
        <v>1259</v>
      </c>
      <c r="AU167" s="13" t="s">
        <v>63</v>
      </c>
    </row>
    <row r="168" spans="2:65" s="1" customFormat="1" ht="24" customHeight="1" x14ac:dyDescent="0.2">
      <c r="B168" s="118"/>
      <c r="C168" s="205" t="s">
        <v>229</v>
      </c>
      <c r="D168" s="119" t="s">
        <v>231</v>
      </c>
      <c r="E168" s="120" t="s">
        <v>3551</v>
      </c>
      <c r="F168" s="121" t="s">
        <v>3552</v>
      </c>
      <c r="G168" s="122" t="s">
        <v>1194</v>
      </c>
      <c r="H168" s="206">
        <v>1</v>
      </c>
      <c r="I168" s="124">
        <v>1143.5899999999999</v>
      </c>
      <c r="J168" s="124">
        <f>ROUND(I168*H168,2)</f>
        <v>1143.5899999999999</v>
      </c>
      <c r="K168" s="121" t="s">
        <v>1</v>
      </c>
      <c r="L168" s="24"/>
      <c r="M168" s="125" t="s">
        <v>1</v>
      </c>
      <c r="N168" s="126" t="s">
        <v>32</v>
      </c>
      <c r="O168" s="127">
        <v>0</v>
      </c>
      <c r="P168" s="127">
        <f>O168*H168</f>
        <v>0</v>
      </c>
      <c r="Q168" s="127">
        <v>0</v>
      </c>
      <c r="R168" s="127">
        <f>Q168*H168</f>
        <v>0</v>
      </c>
      <c r="S168" s="127">
        <v>0</v>
      </c>
      <c r="T168" s="128">
        <f>S168*H168</f>
        <v>0</v>
      </c>
      <c r="W168" s="199"/>
      <c r="X168" s="205" t="s">
        <v>229</v>
      </c>
      <c r="Y168" s="119" t="s">
        <v>231</v>
      </c>
      <c r="Z168" s="120" t="s">
        <v>3551</v>
      </c>
      <c r="AA168" s="121" t="s">
        <v>3552</v>
      </c>
      <c r="AB168" s="122" t="s">
        <v>1194</v>
      </c>
      <c r="AC168" s="206">
        <v>0</v>
      </c>
      <c r="AD168" s="124">
        <v>1143.5899999999999</v>
      </c>
      <c r="AE168" s="200">
        <f>ROUND(AD168*AC168,2)</f>
        <v>0</v>
      </c>
      <c r="AF168" s="227">
        <v>7</v>
      </c>
      <c r="AG168" s="130"/>
      <c r="AH168" s="130"/>
      <c r="AR168" s="129" t="s">
        <v>235</v>
      </c>
      <c r="AT168" s="129" t="s">
        <v>231</v>
      </c>
      <c r="AU168" s="129" t="s">
        <v>63</v>
      </c>
      <c r="AY168" s="13" t="s">
        <v>228</v>
      </c>
      <c r="BE168" s="130">
        <f>IF(N168="základná",J168,0)</f>
        <v>0</v>
      </c>
      <c r="BF168" s="130">
        <f>IF(N168="znížená",J168,0)</f>
        <v>1143.5899999999999</v>
      </c>
      <c r="BG168" s="130">
        <f>IF(N168="zákl. prenesená",J168,0)</f>
        <v>0</v>
      </c>
      <c r="BH168" s="130">
        <f>IF(N168="zníž. prenesená",J168,0)</f>
        <v>0</v>
      </c>
      <c r="BI168" s="130">
        <f>IF(N168="nulová",J168,0)</f>
        <v>0</v>
      </c>
      <c r="BJ168" s="13" t="s">
        <v>76</v>
      </c>
      <c r="BK168" s="130">
        <f>ROUND(I168*H168,2)</f>
        <v>1143.5899999999999</v>
      </c>
      <c r="BL168" s="13" t="s">
        <v>235</v>
      </c>
      <c r="BM168" s="129" t="s">
        <v>240</v>
      </c>
    </row>
    <row r="169" spans="2:65" s="1" customFormat="1" ht="67.2" x14ac:dyDescent="0.2">
      <c r="B169" s="24"/>
      <c r="D169" s="144" t="s">
        <v>1259</v>
      </c>
      <c r="F169" s="145" t="s">
        <v>3553</v>
      </c>
      <c r="L169" s="24"/>
      <c r="M169" s="146"/>
      <c r="N169" s="42"/>
      <c r="O169" s="42"/>
      <c r="P169" s="42"/>
      <c r="Q169" s="42"/>
      <c r="R169" s="42"/>
      <c r="S169" s="42"/>
      <c r="T169" s="43"/>
      <c r="W169" s="158"/>
      <c r="X169" s="557"/>
      <c r="Y169" s="203" t="s">
        <v>1259</v>
      </c>
      <c r="Z169" s="557"/>
      <c r="AA169" s="204" t="s">
        <v>3553</v>
      </c>
      <c r="AB169" s="557"/>
      <c r="AC169" s="557"/>
      <c r="AD169" s="557"/>
      <c r="AE169" s="159"/>
      <c r="AF169" s="227"/>
      <c r="AG169" s="130"/>
      <c r="AH169" s="130"/>
      <c r="AT169" s="13" t="s">
        <v>1259</v>
      </c>
      <c r="AU169" s="13" t="s">
        <v>63</v>
      </c>
    </row>
    <row r="170" spans="2:65" s="1" customFormat="1" ht="24" customHeight="1" x14ac:dyDescent="0.2">
      <c r="B170" s="118"/>
      <c r="C170" s="205" t="s">
        <v>235</v>
      </c>
      <c r="D170" s="119" t="s">
        <v>231</v>
      </c>
      <c r="E170" s="120" t="s">
        <v>3554</v>
      </c>
      <c r="F170" s="121" t="s">
        <v>3555</v>
      </c>
      <c r="G170" s="122" t="s">
        <v>1194</v>
      </c>
      <c r="H170" s="206">
        <v>1</v>
      </c>
      <c r="I170" s="124">
        <v>2380</v>
      </c>
      <c r="J170" s="124">
        <f>ROUND(I170*H170,2)</f>
        <v>2380</v>
      </c>
      <c r="K170" s="121" t="s">
        <v>1</v>
      </c>
      <c r="L170" s="24"/>
      <c r="M170" s="125" t="s">
        <v>1</v>
      </c>
      <c r="N170" s="126" t="s">
        <v>32</v>
      </c>
      <c r="O170" s="127">
        <v>0</v>
      </c>
      <c r="P170" s="127">
        <f>O170*H170</f>
        <v>0</v>
      </c>
      <c r="Q170" s="127">
        <v>0</v>
      </c>
      <c r="R170" s="127">
        <f>Q170*H170</f>
        <v>0</v>
      </c>
      <c r="S170" s="127">
        <v>0</v>
      </c>
      <c r="T170" s="128">
        <f>S170*H170</f>
        <v>0</v>
      </c>
      <c r="W170" s="199"/>
      <c r="X170" s="205" t="s">
        <v>235</v>
      </c>
      <c r="Y170" s="119" t="s">
        <v>231</v>
      </c>
      <c r="Z170" s="120" t="s">
        <v>3554</v>
      </c>
      <c r="AA170" s="121" t="s">
        <v>3555</v>
      </c>
      <c r="AB170" s="122" t="s">
        <v>1194</v>
      </c>
      <c r="AC170" s="206">
        <v>0</v>
      </c>
      <c r="AD170" s="124">
        <v>2380</v>
      </c>
      <c r="AE170" s="200">
        <f>ROUND(AD170*AC170,2)</f>
        <v>0</v>
      </c>
      <c r="AF170" s="227">
        <v>7</v>
      </c>
      <c r="AG170" s="130"/>
      <c r="AH170" s="130"/>
      <c r="AR170" s="129" t="s">
        <v>235</v>
      </c>
      <c r="AT170" s="129" t="s">
        <v>231</v>
      </c>
      <c r="AU170" s="129" t="s">
        <v>63</v>
      </c>
      <c r="AY170" s="13" t="s">
        <v>228</v>
      </c>
      <c r="BE170" s="130">
        <f>IF(N170="základná",J170,0)</f>
        <v>0</v>
      </c>
      <c r="BF170" s="130">
        <f>IF(N170="znížená",J170,0)</f>
        <v>2380</v>
      </c>
      <c r="BG170" s="130">
        <f>IF(N170="zákl. prenesená",J170,0)</f>
        <v>0</v>
      </c>
      <c r="BH170" s="130">
        <f>IF(N170="zníž. prenesená",J170,0)</f>
        <v>0</v>
      </c>
      <c r="BI170" s="130">
        <f>IF(N170="nulová",J170,0)</f>
        <v>0</v>
      </c>
      <c r="BJ170" s="13" t="s">
        <v>76</v>
      </c>
      <c r="BK170" s="130">
        <f>ROUND(I170*H170,2)</f>
        <v>2380</v>
      </c>
      <c r="BL170" s="13" t="s">
        <v>235</v>
      </c>
      <c r="BM170" s="129" t="s">
        <v>244</v>
      </c>
    </row>
    <row r="171" spans="2:65" s="1" customFormat="1" ht="86.4" x14ac:dyDescent="0.2">
      <c r="B171" s="24"/>
      <c r="D171" s="144" t="s">
        <v>1259</v>
      </c>
      <c r="F171" s="145" t="s">
        <v>3556</v>
      </c>
      <c r="L171" s="24"/>
      <c r="M171" s="146"/>
      <c r="N171" s="42"/>
      <c r="O171" s="42"/>
      <c r="P171" s="42"/>
      <c r="Q171" s="42"/>
      <c r="R171" s="42"/>
      <c r="S171" s="42"/>
      <c r="T171" s="43"/>
      <c r="W171" s="158"/>
      <c r="X171" s="557"/>
      <c r="Y171" s="203" t="s">
        <v>1259</v>
      </c>
      <c r="Z171" s="557"/>
      <c r="AA171" s="204" t="s">
        <v>3556</v>
      </c>
      <c r="AB171" s="557"/>
      <c r="AC171" s="557"/>
      <c r="AD171" s="557"/>
      <c r="AE171" s="159"/>
      <c r="AF171" s="227"/>
      <c r="AG171" s="130"/>
      <c r="AH171" s="130"/>
      <c r="AT171" s="13" t="s">
        <v>1259</v>
      </c>
      <c r="AU171" s="13" t="s">
        <v>63</v>
      </c>
    </row>
    <row r="172" spans="2:65" s="1" customFormat="1" ht="16.5" customHeight="1" x14ac:dyDescent="0.2">
      <c r="B172" s="118"/>
      <c r="C172" s="119" t="s">
        <v>245</v>
      </c>
      <c r="D172" s="119" t="s">
        <v>231</v>
      </c>
      <c r="E172" s="120" t="s">
        <v>1192</v>
      </c>
      <c r="F172" s="121" t="s">
        <v>1193</v>
      </c>
      <c r="G172" s="122" t="s">
        <v>1194</v>
      </c>
      <c r="H172" s="123">
        <v>20</v>
      </c>
      <c r="I172" s="124">
        <v>5.81</v>
      </c>
      <c r="J172" s="124">
        <f>ROUND(I172*H172,2)</f>
        <v>116.2</v>
      </c>
      <c r="K172" s="121" t="s">
        <v>1</v>
      </c>
      <c r="L172" s="24"/>
      <c r="M172" s="125" t="s">
        <v>1</v>
      </c>
      <c r="N172" s="126" t="s">
        <v>32</v>
      </c>
      <c r="O172" s="127">
        <v>0</v>
      </c>
      <c r="P172" s="127">
        <f>O172*H172</f>
        <v>0</v>
      </c>
      <c r="Q172" s="127">
        <v>0</v>
      </c>
      <c r="R172" s="127">
        <f>Q172*H172</f>
        <v>0</v>
      </c>
      <c r="S172" s="127">
        <v>0</v>
      </c>
      <c r="T172" s="128">
        <f>S172*H172</f>
        <v>0</v>
      </c>
      <c r="W172" s="199"/>
      <c r="X172" s="119" t="s">
        <v>245</v>
      </c>
      <c r="Y172" s="119" t="s">
        <v>231</v>
      </c>
      <c r="Z172" s="120" t="s">
        <v>1192</v>
      </c>
      <c r="AA172" s="121" t="s">
        <v>1193</v>
      </c>
      <c r="AB172" s="122" t="s">
        <v>1194</v>
      </c>
      <c r="AC172" s="123">
        <v>20</v>
      </c>
      <c r="AD172" s="124">
        <v>5.81</v>
      </c>
      <c r="AE172" s="200">
        <f>ROUND(AD172*AC172,2)</f>
        <v>116.2</v>
      </c>
      <c r="AF172" s="227"/>
      <c r="AG172" s="130"/>
      <c r="AH172" s="130"/>
      <c r="AR172" s="129" t="s">
        <v>235</v>
      </c>
      <c r="AT172" s="129" t="s">
        <v>231</v>
      </c>
      <c r="AU172" s="129" t="s">
        <v>63</v>
      </c>
      <c r="AY172" s="13" t="s">
        <v>228</v>
      </c>
      <c r="BE172" s="130">
        <f>IF(N172="základná",J172,0)</f>
        <v>0</v>
      </c>
      <c r="BF172" s="130">
        <f>IF(N172="znížená",J172,0)</f>
        <v>116.2</v>
      </c>
      <c r="BG172" s="130">
        <f>IF(N172="zákl. prenesená",J172,0)</f>
        <v>0</v>
      </c>
      <c r="BH172" s="130">
        <f>IF(N172="zníž. prenesená",J172,0)</f>
        <v>0</v>
      </c>
      <c r="BI172" s="130">
        <f>IF(N172="nulová",J172,0)</f>
        <v>0</v>
      </c>
      <c r="BJ172" s="13" t="s">
        <v>76</v>
      </c>
      <c r="BK172" s="130">
        <f>ROUND(I172*H172,2)</f>
        <v>116.2</v>
      </c>
      <c r="BL172" s="13" t="s">
        <v>235</v>
      </c>
      <c r="BM172" s="129" t="s">
        <v>248</v>
      </c>
    </row>
    <row r="173" spans="2:65" s="1" customFormat="1" ht="16.5" customHeight="1" x14ac:dyDescent="0.2">
      <c r="B173" s="118"/>
      <c r="C173" s="119" t="s">
        <v>240</v>
      </c>
      <c r="D173" s="119" t="s">
        <v>231</v>
      </c>
      <c r="E173" s="120" t="s">
        <v>1195</v>
      </c>
      <c r="F173" s="121" t="s">
        <v>1196</v>
      </c>
      <c r="G173" s="122" t="s">
        <v>1194</v>
      </c>
      <c r="H173" s="123">
        <v>20</v>
      </c>
      <c r="I173" s="124">
        <v>1.45</v>
      </c>
      <c r="J173" s="124">
        <f>ROUND(I173*H173,2)</f>
        <v>29</v>
      </c>
      <c r="K173" s="121" t="s">
        <v>1</v>
      </c>
      <c r="L173" s="24"/>
      <c r="M173" s="125" t="s">
        <v>1</v>
      </c>
      <c r="N173" s="126" t="s">
        <v>32</v>
      </c>
      <c r="O173" s="127">
        <v>0</v>
      </c>
      <c r="P173" s="127">
        <f>O173*H173</f>
        <v>0</v>
      </c>
      <c r="Q173" s="127">
        <v>0</v>
      </c>
      <c r="R173" s="127">
        <f>Q173*H173</f>
        <v>0</v>
      </c>
      <c r="S173" s="127">
        <v>0</v>
      </c>
      <c r="T173" s="128">
        <f>S173*H173</f>
        <v>0</v>
      </c>
      <c r="W173" s="199"/>
      <c r="X173" s="119" t="s">
        <v>240</v>
      </c>
      <c r="Y173" s="119" t="s">
        <v>231</v>
      </c>
      <c r="Z173" s="120" t="s">
        <v>1195</v>
      </c>
      <c r="AA173" s="121" t="s">
        <v>1196</v>
      </c>
      <c r="AB173" s="122" t="s">
        <v>1194</v>
      </c>
      <c r="AC173" s="123">
        <v>20</v>
      </c>
      <c r="AD173" s="124">
        <v>1.45</v>
      </c>
      <c r="AE173" s="200">
        <f>ROUND(AD173*AC173,2)</f>
        <v>29</v>
      </c>
      <c r="AF173" s="227"/>
      <c r="AG173" s="130"/>
      <c r="AH173" s="130"/>
      <c r="AR173" s="129" t="s">
        <v>235</v>
      </c>
      <c r="AT173" s="129" t="s">
        <v>231</v>
      </c>
      <c r="AU173" s="129" t="s">
        <v>63</v>
      </c>
      <c r="AY173" s="13" t="s">
        <v>228</v>
      </c>
      <c r="BE173" s="130">
        <f>IF(N173="základná",J173,0)</f>
        <v>0</v>
      </c>
      <c r="BF173" s="130">
        <f>IF(N173="znížená",J173,0)</f>
        <v>29</v>
      </c>
      <c r="BG173" s="130">
        <f>IF(N173="zákl. prenesená",J173,0)</f>
        <v>0</v>
      </c>
      <c r="BH173" s="130">
        <f>IF(N173="zníž. prenesená",J173,0)</f>
        <v>0</v>
      </c>
      <c r="BI173" s="130">
        <f>IF(N173="nulová",J173,0)</f>
        <v>0</v>
      </c>
      <c r="BJ173" s="13" t="s">
        <v>76</v>
      </c>
      <c r="BK173" s="130">
        <f>ROUND(I173*H173,2)</f>
        <v>29</v>
      </c>
      <c r="BL173" s="13" t="s">
        <v>235</v>
      </c>
      <c r="BM173" s="129" t="s">
        <v>251</v>
      </c>
    </row>
    <row r="174" spans="2:65" s="1" customFormat="1" ht="16.5" customHeight="1" x14ac:dyDescent="0.2">
      <c r="B174" s="118"/>
      <c r="C174" s="119" t="s">
        <v>252</v>
      </c>
      <c r="D174" s="119" t="s">
        <v>231</v>
      </c>
      <c r="E174" s="120" t="s">
        <v>1197</v>
      </c>
      <c r="F174" s="121" t="s">
        <v>1198</v>
      </c>
      <c r="G174" s="122" t="s">
        <v>570</v>
      </c>
      <c r="H174" s="123">
        <v>1.4</v>
      </c>
      <c r="I174" s="124">
        <v>0.87</v>
      </c>
      <c r="J174" s="124">
        <f>ROUND(I174*H174,2)</f>
        <v>1.22</v>
      </c>
      <c r="K174" s="121" t="s">
        <v>1</v>
      </c>
      <c r="L174" s="24"/>
      <c r="M174" s="125" t="s">
        <v>1</v>
      </c>
      <c r="N174" s="126" t="s">
        <v>32</v>
      </c>
      <c r="O174" s="127">
        <v>0</v>
      </c>
      <c r="P174" s="127">
        <f>O174*H174</f>
        <v>0</v>
      </c>
      <c r="Q174" s="127">
        <v>0</v>
      </c>
      <c r="R174" s="127">
        <f>Q174*H174</f>
        <v>0</v>
      </c>
      <c r="S174" s="127">
        <v>0</v>
      </c>
      <c r="T174" s="128">
        <f>S174*H174</f>
        <v>0</v>
      </c>
      <c r="W174" s="199"/>
      <c r="X174" s="119" t="s">
        <v>252</v>
      </c>
      <c r="Y174" s="119" t="s">
        <v>231</v>
      </c>
      <c r="Z174" s="120" t="s">
        <v>1197</v>
      </c>
      <c r="AA174" s="121" t="s">
        <v>1198</v>
      </c>
      <c r="AB174" s="122" t="s">
        <v>570</v>
      </c>
      <c r="AC174" s="123">
        <v>1.4</v>
      </c>
      <c r="AD174" s="124">
        <v>0.87075000000000002</v>
      </c>
      <c r="AE174" s="200">
        <f>ROUND(AD174*AC174,2)</f>
        <v>1.22</v>
      </c>
      <c r="AF174" s="227"/>
      <c r="AG174" s="130"/>
      <c r="AH174" s="130"/>
      <c r="AR174" s="129" t="s">
        <v>235</v>
      </c>
      <c r="AT174" s="129" t="s">
        <v>231</v>
      </c>
      <c r="AU174" s="129" t="s">
        <v>63</v>
      </c>
      <c r="AY174" s="13" t="s">
        <v>228</v>
      </c>
      <c r="BE174" s="130">
        <f>IF(N174="základná",J174,0)</f>
        <v>0</v>
      </c>
      <c r="BF174" s="130">
        <f>IF(N174="znížená",J174,0)</f>
        <v>1.22</v>
      </c>
      <c r="BG174" s="130">
        <f>IF(N174="zákl. prenesená",J174,0)</f>
        <v>0</v>
      </c>
      <c r="BH174" s="130">
        <f>IF(N174="zníž. prenesená",J174,0)</f>
        <v>0</v>
      </c>
      <c r="BI174" s="130">
        <f>IF(N174="nulová",J174,0)</f>
        <v>0</v>
      </c>
      <c r="BJ174" s="13" t="s">
        <v>76</v>
      </c>
      <c r="BK174" s="130">
        <f>ROUND(I174*H174,2)</f>
        <v>1.22</v>
      </c>
      <c r="BL174" s="13" t="s">
        <v>235</v>
      </c>
      <c r="BM174" s="129" t="s">
        <v>255</v>
      </c>
    </row>
    <row r="175" spans="2:65" s="11" customFormat="1" ht="25.95" customHeight="1" x14ac:dyDescent="0.25">
      <c r="B175" s="106"/>
      <c r="D175" s="107" t="s">
        <v>57</v>
      </c>
      <c r="E175" s="108" t="s">
        <v>1199</v>
      </c>
      <c r="F175" s="108" t="s">
        <v>1200</v>
      </c>
      <c r="J175" s="109">
        <f>BK175</f>
        <v>14285.379999999997</v>
      </c>
      <c r="L175" s="106"/>
      <c r="M175" s="110"/>
      <c r="N175" s="111"/>
      <c r="O175" s="111"/>
      <c r="P175" s="112">
        <f>P192+P197+P200+P203+P206+P214+P219</f>
        <v>0</v>
      </c>
      <c r="Q175" s="111"/>
      <c r="R175" s="112">
        <f>R192+R197+R200+R203+R206+R214+R219</f>
        <v>0</v>
      </c>
      <c r="S175" s="111"/>
      <c r="T175" s="113">
        <f>T192+T197+T200+T203+T206+T214+T219</f>
        <v>0</v>
      </c>
      <c r="W175" s="195"/>
      <c r="X175" s="111"/>
      <c r="Y175" s="196" t="s">
        <v>57</v>
      </c>
      <c r="Z175" s="197" t="s">
        <v>1199</v>
      </c>
      <c r="AA175" s="197" t="s">
        <v>1200</v>
      </c>
      <c r="AB175" s="111"/>
      <c r="AC175" s="111"/>
      <c r="AD175" s="111"/>
      <c r="AE175" s="198">
        <f>AE176+AE192+AE197+AE200+AE203+AE206+AE214+AE219</f>
        <v>15147.619999999999</v>
      </c>
      <c r="AF175" s="248"/>
      <c r="AG175" s="130"/>
      <c r="AH175" s="130"/>
      <c r="AR175" s="107" t="s">
        <v>63</v>
      </c>
      <c r="AT175" s="114" t="s">
        <v>57</v>
      </c>
      <c r="AU175" s="114" t="s">
        <v>58</v>
      </c>
      <c r="AY175" s="107" t="s">
        <v>228</v>
      </c>
      <c r="BK175" s="115">
        <f>BK192+BK197+BK200+BK203+BK206+BK214+BK219</f>
        <v>14285.379999999997</v>
      </c>
    </row>
    <row r="176" spans="2:65" s="11" customFormat="1" ht="16.95" customHeight="1" x14ac:dyDescent="0.25">
      <c r="B176" s="106"/>
      <c r="D176" s="107"/>
      <c r="E176" s="108"/>
      <c r="F176" s="108"/>
      <c r="J176" s="109"/>
      <c r="L176" s="106"/>
      <c r="M176" s="110"/>
      <c r="N176" s="111"/>
      <c r="O176" s="111"/>
      <c r="P176" s="112"/>
      <c r="Q176" s="111"/>
      <c r="R176" s="112"/>
      <c r="S176" s="111"/>
      <c r="T176" s="113"/>
      <c r="W176" s="195"/>
      <c r="X176" s="317"/>
      <c r="Y176" s="318" t="s">
        <v>57</v>
      </c>
      <c r="Z176" s="319" t="s">
        <v>5222</v>
      </c>
      <c r="AA176" s="320" t="s">
        <v>5223</v>
      </c>
      <c r="AB176" s="321"/>
      <c r="AC176" s="321"/>
      <c r="AD176" s="321"/>
      <c r="AE176" s="322">
        <f>AE177+AE183+AE188</f>
        <v>4865.43</v>
      </c>
      <c r="AF176" s="248"/>
      <c r="AG176" s="130"/>
      <c r="AH176" s="130"/>
      <c r="AR176" s="107"/>
      <c r="AT176" s="114"/>
      <c r="AU176" s="114"/>
      <c r="AY176" s="107"/>
      <c r="BK176" s="115"/>
    </row>
    <row r="177" spans="2:63" s="11" customFormat="1" ht="16.95" customHeight="1" x14ac:dyDescent="0.25">
      <c r="B177" s="106"/>
      <c r="D177" s="107"/>
      <c r="E177" s="108"/>
      <c r="F177" s="108"/>
      <c r="J177" s="109"/>
      <c r="L177" s="106"/>
      <c r="M177" s="110"/>
      <c r="N177" s="111"/>
      <c r="O177" s="111"/>
      <c r="P177" s="112"/>
      <c r="Q177" s="111"/>
      <c r="R177" s="112"/>
      <c r="S177" s="111"/>
      <c r="T177" s="113"/>
      <c r="W177" s="195"/>
      <c r="X177" s="317"/>
      <c r="Y177" s="318" t="s">
        <v>57</v>
      </c>
      <c r="Z177" s="323" t="s">
        <v>1215</v>
      </c>
      <c r="AA177" s="323" t="s">
        <v>1202</v>
      </c>
      <c r="AB177" s="317"/>
      <c r="AC177" s="317"/>
      <c r="AD177" s="317"/>
      <c r="AE177" s="324">
        <f>SUM(AE178:AE182)</f>
        <v>657.31999999999994</v>
      </c>
      <c r="AF177" s="248"/>
      <c r="AG177" s="130"/>
      <c r="AH177" s="130"/>
      <c r="AR177" s="107"/>
      <c r="AT177" s="114"/>
      <c r="AU177" s="114"/>
      <c r="AY177" s="107"/>
      <c r="BK177" s="115"/>
    </row>
    <row r="178" spans="2:63" s="11" customFormat="1" ht="16.95" customHeight="1" x14ac:dyDescent="0.2">
      <c r="B178" s="106"/>
      <c r="C178" s="1234" t="s">
        <v>5205</v>
      </c>
      <c r="D178" s="1235"/>
      <c r="E178" s="1235"/>
      <c r="F178" s="1235"/>
      <c r="G178" s="1235"/>
      <c r="H178" s="1235"/>
      <c r="I178" s="1235"/>
      <c r="J178" s="1236"/>
      <c r="L178" s="106"/>
      <c r="M178" s="110"/>
      <c r="N178" s="111"/>
      <c r="O178" s="111"/>
      <c r="P178" s="112"/>
      <c r="Q178" s="111"/>
      <c r="R178" s="112"/>
      <c r="S178" s="111"/>
      <c r="T178" s="113"/>
      <c r="W178" s="195"/>
      <c r="X178" s="215" t="s">
        <v>313</v>
      </c>
      <c r="Y178" s="215" t="s">
        <v>231</v>
      </c>
      <c r="Z178" s="216" t="s">
        <v>1203</v>
      </c>
      <c r="AA178" s="217" t="s">
        <v>1204</v>
      </c>
      <c r="AB178" s="218" t="s">
        <v>292</v>
      </c>
      <c r="AC178" s="219">
        <v>7</v>
      </c>
      <c r="AD178" s="220">
        <v>10.57</v>
      </c>
      <c r="AE178" s="221">
        <f>ROUND(AD178*AC178,2)</f>
        <v>73.989999999999995</v>
      </c>
      <c r="AF178" s="227">
        <v>7</v>
      </c>
      <c r="AG178" s="130"/>
      <c r="AH178" s="130"/>
      <c r="AR178" s="107"/>
      <c r="AT178" s="114"/>
      <c r="AU178" s="114"/>
      <c r="AY178" s="107"/>
      <c r="BK178" s="115"/>
    </row>
    <row r="179" spans="2:63" s="11" customFormat="1" ht="16.95" customHeight="1" x14ac:dyDescent="0.2">
      <c r="B179" s="106"/>
      <c r="C179" s="1234" t="s">
        <v>5205</v>
      </c>
      <c r="D179" s="1235"/>
      <c r="E179" s="1235"/>
      <c r="F179" s="1235"/>
      <c r="G179" s="1235"/>
      <c r="H179" s="1235"/>
      <c r="I179" s="1235"/>
      <c r="J179" s="1236"/>
      <c r="L179" s="106"/>
      <c r="M179" s="110"/>
      <c r="N179" s="111"/>
      <c r="O179" s="111"/>
      <c r="P179" s="112"/>
      <c r="Q179" s="111"/>
      <c r="R179" s="112"/>
      <c r="S179" s="111"/>
      <c r="T179" s="113"/>
      <c r="W179" s="195"/>
      <c r="X179" s="215" t="s">
        <v>272</v>
      </c>
      <c r="Y179" s="215" t="s">
        <v>231</v>
      </c>
      <c r="Z179" s="216" t="s">
        <v>1205</v>
      </c>
      <c r="AA179" s="217" t="s">
        <v>1206</v>
      </c>
      <c r="AB179" s="218" t="s">
        <v>292</v>
      </c>
      <c r="AC179" s="219">
        <v>11</v>
      </c>
      <c r="AD179" s="220">
        <v>12.16</v>
      </c>
      <c r="AE179" s="221">
        <f>ROUND(AD179*AC179,2)</f>
        <v>133.76</v>
      </c>
      <c r="AF179" s="227">
        <v>7</v>
      </c>
      <c r="AG179" s="130"/>
      <c r="AH179" s="130"/>
      <c r="AR179" s="107"/>
      <c r="AT179" s="114"/>
      <c r="AU179" s="114"/>
      <c r="AY179" s="107"/>
      <c r="BK179" s="115"/>
    </row>
    <row r="180" spans="2:63" s="11" customFormat="1" ht="16.95" customHeight="1" x14ac:dyDescent="0.2">
      <c r="B180" s="106"/>
      <c r="C180" s="1234" t="s">
        <v>5205</v>
      </c>
      <c r="D180" s="1235"/>
      <c r="E180" s="1235"/>
      <c r="F180" s="1235"/>
      <c r="G180" s="1235"/>
      <c r="H180" s="1235"/>
      <c r="I180" s="1235"/>
      <c r="J180" s="1236"/>
      <c r="L180" s="106"/>
      <c r="M180" s="110"/>
      <c r="N180" s="111"/>
      <c r="O180" s="111"/>
      <c r="P180" s="112"/>
      <c r="Q180" s="111"/>
      <c r="R180" s="112"/>
      <c r="S180" s="111"/>
      <c r="T180" s="113"/>
      <c r="W180" s="195"/>
      <c r="X180" s="215" t="s">
        <v>320</v>
      </c>
      <c r="Y180" s="215" t="s">
        <v>231</v>
      </c>
      <c r="Z180" s="216" t="s">
        <v>1207</v>
      </c>
      <c r="AA180" s="217" t="s">
        <v>1208</v>
      </c>
      <c r="AB180" s="218" t="s">
        <v>292</v>
      </c>
      <c r="AC180" s="219">
        <v>7</v>
      </c>
      <c r="AD180" s="220">
        <v>19.57</v>
      </c>
      <c r="AE180" s="221">
        <f>ROUND(AD180*AC180,2)</f>
        <v>136.99</v>
      </c>
      <c r="AF180" s="227">
        <v>7</v>
      </c>
      <c r="AG180" s="130"/>
      <c r="AH180" s="130"/>
      <c r="AR180" s="107"/>
      <c r="AT180" s="114"/>
      <c r="AU180" s="114"/>
      <c r="AY180" s="107"/>
      <c r="BK180" s="115"/>
    </row>
    <row r="181" spans="2:63" s="11" customFormat="1" ht="16.95" customHeight="1" x14ac:dyDescent="0.2">
      <c r="B181" s="106"/>
      <c r="C181" s="1234" t="s">
        <v>5205</v>
      </c>
      <c r="D181" s="1235"/>
      <c r="E181" s="1235"/>
      <c r="F181" s="1235"/>
      <c r="G181" s="1235"/>
      <c r="H181" s="1235"/>
      <c r="I181" s="1235"/>
      <c r="J181" s="1236"/>
      <c r="L181" s="106"/>
      <c r="M181" s="110"/>
      <c r="N181" s="111"/>
      <c r="O181" s="111"/>
      <c r="P181" s="112"/>
      <c r="Q181" s="111"/>
      <c r="R181" s="112"/>
      <c r="S181" s="111"/>
      <c r="T181" s="113"/>
      <c r="W181" s="195"/>
      <c r="X181" s="215" t="s">
        <v>276</v>
      </c>
      <c r="Y181" s="215" t="s">
        <v>231</v>
      </c>
      <c r="Z181" s="216" t="s">
        <v>1209</v>
      </c>
      <c r="AA181" s="217" t="s">
        <v>1210</v>
      </c>
      <c r="AB181" s="218" t="s">
        <v>292</v>
      </c>
      <c r="AC181" s="219">
        <v>4</v>
      </c>
      <c r="AD181" s="220">
        <v>25.82</v>
      </c>
      <c r="AE181" s="221">
        <f>ROUND(AD181*AC181,2)</f>
        <v>103.28</v>
      </c>
      <c r="AF181" s="227">
        <v>7</v>
      </c>
      <c r="AG181" s="130"/>
      <c r="AH181" s="130"/>
      <c r="AR181" s="107"/>
      <c r="AT181" s="114"/>
      <c r="AU181" s="114"/>
      <c r="AY181" s="107"/>
      <c r="BK181" s="115"/>
    </row>
    <row r="182" spans="2:63" s="11" customFormat="1" ht="16.95" customHeight="1" x14ac:dyDescent="0.2">
      <c r="B182" s="106"/>
      <c r="C182" s="1234" t="s">
        <v>5205</v>
      </c>
      <c r="D182" s="1235"/>
      <c r="E182" s="1235"/>
      <c r="F182" s="1235"/>
      <c r="G182" s="1235"/>
      <c r="H182" s="1235"/>
      <c r="I182" s="1235"/>
      <c r="J182" s="1236"/>
      <c r="L182" s="106"/>
      <c r="M182" s="110"/>
      <c r="N182" s="111"/>
      <c r="O182" s="111"/>
      <c r="P182" s="112"/>
      <c r="Q182" s="111"/>
      <c r="R182" s="112"/>
      <c r="S182" s="111"/>
      <c r="T182" s="113"/>
      <c r="W182" s="195"/>
      <c r="X182" s="215" t="s">
        <v>327</v>
      </c>
      <c r="Y182" s="215" t="s">
        <v>231</v>
      </c>
      <c r="Z182" s="216" t="s">
        <v>5224</v>
      </c>
      <c r="AA182" s="217" t="s">
        <v>3599</v>
      </c>
      <c r="AB182" s="218" t="s">
        <v>292</v>
      </c>
      <c r="AC182" s="219">
        <v>7</v>
      </c>
      <c r="AD182" s="220">
        <v>29.9</v>
      </c>
      <c r="AE182" s="221">
        <f>ROUND(AD182*AC182,2)</f>
        <v>209.3</v>
      </c>
      <c r="AF182" s="227">
        <v>7</v>
      </c>
      <c r="AG182" s="130"/>
      <c r="AH182" s="130"/>
      <c r="AR182" s="107"/>
      <c r="AT182" s="114"/>
      <c r="AU182" s="114"/>
      <c r="AY182" s="107"/>
      <c r="BK182" s="115"/>
    </row>
    <row r="183" spans="2:63" s="11" customFormat="1" ht="16.95" customHeight="1" x14ac:dyDescent="0.25">
      <c r="B183" s="106"/>
      <c r="D183" s="107"/>
      <c r="E183" s="108"/>
      <c r="F183" s="108"/>
      <c r="J183" s="109"/>
      <c r="L183" s="106"/>
      <c r="M183" s="110"/>
      <c r="N183" s="111"/>
      <c r="O183" s="111"/>
      <c r="P183" s="112"/>
      <c r="Q183" s="111"/>
      <c r="R183" s="112"/>
      <c r="S183" s="111"/>
      <c r="T183" s="113"/>
      <c r="W183" s="195"/>
      <c r="X183" s="317"/>
      <c r="Y183" s="318" t="s">
        <v>57</v>
      </c>
      <c r="Z183" s="323" t="s">
        <v>1227</v>
      </c>
      <c r="AA183" s="323" t="s">
        <v>1212</v>
      </c>
      <c r="AB183" s="317"/>
      <c r="AC183" s="317"/>
      <c r="AD183" s="317"/>
      <c r="AE183" s="324">
        <f>SUM(AE184:AE187)</f>
        <v>67.52000000000001</v>
      </c>
      <c r="AF183" s="248"/>
      <c r="AG183" s="130"/>
      <c r="AH183" s="130"/>
      <c r="AR183" s="107"/>
      <c r="AT183" s="114"/>
      <c r="AU183" s="114"/>
      <c r="AY183" s="107"/>
      <c r="BK183" s="115"/>
    </row>
    <row r="184" spans="2:63" s="11" customFormat="1" ht="16.95" customHeight="1" x14ac:dyDescent="0.2">
      <c r="B184" s="106"/>
      <c r="C184" s="1234" t="s">
        <v>5205</v>
      </c>
      <c r="D184" s="1235"/>
      <c r="E184" s="1235"/>
      <c r="F184" s="1235"/>
      <c r="G184" s="1235"/>
      <c r="H184" s="1235"/>
      <c r="I184" s="1235"/>
      <c r="J184" s="1236"/>
      <c r="L184" s="106"/>
      <c r="M184" s="110"/>
      <c r="N184" s="111"/>
      <c r="O184" s="111"/>
      <c r="P184" s="112"/>
      <c r="Q184" s="111"/>
      <c r="R184" s="112"/>
      <c r="S184" s="111"/>
      <c r="T184" s="113"/>
      <c r="W184" s="195"/>
      <c r="X184" s="215" t="s">
        <v>280</v>
      </c>
      <c r="Y184" s="215" t="s">
        <v>231</v>
      </c>
      <c r="Z184" s="216" t="s">
        <v>3557</v>
      </c>
      <c r="AA184" s="217" t="s">
        <v>1204</v>
      </c>
      <c r="AB184" s="218" t="s">
        <v>1194</v>
      </c>
      <c r="AC184" s="219">
        <v>2</v>
      </c>
      <c r="AD184" s="220">
        <v>3.89</v>
      </c>
      <c r="AE184" s="221">
        <f>ROUND(AD184*AC184,2)</f>
        <v>7.78</v>
      </c>
      <c r="AF184" s="227">
        <v>7</v>
      </c>
      <c r="AG184" s="130"/>
      <c r="AH184" s="130"/>
      <c r="AR184" s="107"/>
      <c r="AT184" s="114"/>
      <c r="AU184" s="114"/>
      <c r="AY184" s="107"/>
      <c r="BK184" s="115"/>
    </row>
    <row r="185" spans="2:63" s="11" customFormat="1" ht="16.95" customHeight="1" x14ac:dyDescent="0.2">
      <c r="B185" s="106"/>
      <c r="C185" s="1234" t="s">
        <v>5205</v>
      </c>
      <c r="D185" s="1235"/>
      <c r="E185" s="1235"/>
      <c r="F185" s="1235"/>
      <c r="G185" s="1235"/>
      <c r="H185" s="1235"/>
      <c r="I185" s="1235"/>
      <c r="J185" s="1236"/>
      <c r="L185" s="106"/>
      <c r="M185" s="110"/>
      <c r="N185" s="111"/>
      <c r="O185" s="111"/>
      <c r="P185" s="112"/>
      <c r="Q185" s="111"/>
      <c r="R185" s="112"/>
      <c r="S185" s="111"/>
      <c r="T185" s="113"/>
      <c r="W185" s="195"/>
      <c r="X185" s="215" t="s">
        <v>334</v>
      </c>
      <c r="Y185" s="215" t="s">
        <v>231</v>
      </c>
      <c r="Z185" s="216" t="s">
        <v>4479</v>
      </c>
      <c r="AA185" s="217" t="s">
        <v>1206</v>
      </c>
      <c r="AB185" s="218" t="s">
        <v>1194</v>
      </c>
      <c r="AC185" s="219">
        <v>2</v>
      </c>
      <c r="AD185" s="220">
        <v>6</v>
      </c>
      <c r="AE185" s="221">
        <f>ROUND(AD185*AC185,2)</f>
        <v>12</v>
      </c>
      <c r="AF185" s="227">
        <v>7</v>
      </c>
      <c r="AG185" s="130"/>
      <c r="AH185" s="130"/>
      <c r="AR185" s="107"/>
      <c r="AT185" s="114"/>
      <c r="AU185" s="114"/>
      <c r="AY185" s="107"/>
      <c r="BK185" s="115"/>
    </row>
    <row r="186" spans="2:63" s="11" customFormat="1" ht="16.95" customHeight="1" x14ac:dyDescent="0.2">
      <c r="B186" s="106"/>
      <c r="C186" s="1234" t="s">
        <v>5205</v>
      </c>
      <c r="D186" s="1235"/>
      <c r="E186" s="1235"/>
      <c r="F186" s="1235"/>
      <c r="G186" s="1235"/>
      <c r="H186" s="1235"/>
      <c r="I186" s="1235"/>
      <c r="J186" s="1236"/>
      <c r="L186" s="106"/>
      <c r="M186" s="110"/>
      <c r="N186" s="111"/>
      <c r="O186" s="111"/>
      <c r="P186" s="112"/>
      <c r="Q186" s="111"/>
      <c r="R186" s="112"/>
      <c r="S186" s="111"/>
      <c r="T186" s="113"/>
      <c r="W186" s="195"/>
      <c r="X186" s="215" t="s">
        <v>285</v>
      </c>
      <c r="Y186" s="215" t="s">
        <v>231</v>
      </c>
      <c r="Z186" s="216" t="s">
        <v>1214</v>
      </c>
      <c r="AA186" s="217" t="s">
        <v>1210</v>
      </c>
      <c r="AB186" s="218" t="s">
        <v>1194</v>
      </c>
      <c r="AC186" s="219">
        <v>2</v>
      </c>
      <c r="AD186" s="220">
        <v>10.67</v>
      </c>
      <c r="AE186" s="221">
        <f>ROUND(AD186*AC186,2)</f>
        <v>21.34</v>
      </c>
      <c r="AF186" s="227">
        <v>7</v>
      </c>
      <c r="AG186" s="130"/>
      <c r="AH186" s="130"/>
      <c r="AR186" s="107"/>
      <c r="AT186" s="114"/>
      <c r="AU186" s="114"/>
      <c r="AY186" s="107"/>
      <c r="BK186" s="115"/>
    </row>
    <row r="187" spans="2:63" s="11" customFormat="1" ht="16.95" customHeight="1" x14ac:dyDescent="0.2">
      <c r="B187" s="106"/>
      <c r="C187" s="1234" t="s">
        <v>5205</v>
      </c>
      <c r="D187" s="1235"/>
      <c r="E187" s="1235"/>
      <c r="F187" s="1235"/>
      <c r="G187" s="1235"/>
      <c r="H187" s="1235"/>
      <c r="I187" s="1235"/>
      <c r="J187" s="1236"/>
      <c r="L187" s="106"/>
      <c r="M187" s="110"/>
      <c r="N187" s="111"/>
      <c r="O187" s="111"/>
      <c r="P187" s="112"/>
      <c r="Q187" s="111"/>
      <c r="R187" s="112"/>
      <c r="S187" s="111"/>
      <c r="T187" s="113"/>
      <c r="W187" s="195"/>
      <c r="X187" s="215" t="s">
        <v>341</v>
      </c>
      <c r="Y187" s="215" t="s">
        <v>231</v>
      </c>
      <c r="Z187" s="216" t="s">
        <v>5225</v>
      </c>
      <c r="AA187" s="217" t="s">
        <v>3599</v>
      </c>
      <c r="AB187" s="218" t="s">
        <v>1194</v>
      </c>
      <c r="AC187" s="219">
        <v>2</v>
      </c>
      <c r="AD187" s="220">
        <v>13.2</v>
      </c>
      <c r="AE187" s="221">
        <f>ROUND(AD187*AC187,2)</f>
        <v>26.4</v>
      </c>
      <c r="AF187" s="227">
        <v>7</v>
      </c>
      <c r="AG187" s="130"/>
      <c r="AH187" s="130"/>
      <c r="AR187" s="107"/>
      <c r="AT187" s="114"/>
      <c r="AU187" s="114"/>
      <c r="AY187" s="107"/>
      <c r="BK187" s="115"/>
    </row>
    <row r="188" spans="2:63" s="11" customFormat="1" ht="16.95" customHeight="1" x14ac:dyDescent="0.25">
      <c r="B188" s="106"/>
      <c r="D188" s="107"/>
      <c r="E188" s="108"/>
      <c r="F188" s="108"/>
      <c r="J188" s="109"/>
      <c r="L188" s="106"/>
      <c r="M188" s="110"/>
      <c r="N188" s="111"/>
      <c r="O188" s="111"/>
      <c r="P188" s="112"/>
      <c r="Q188" s="111"/>
      <c r="R188" s="112"/>
      <c r="S188" s="111"/>
      <c r="T188" s="113"/>
      <c r="W188" s="195"/>
      <c r="X188" s="317"/>
      <c r="Y188" s="318" t="s">
        <v>57</v>
      </c>
      <c r="Z188" s="323" t="s">
        <v>1240</v>
      </c>
      <c r="AA188" s="323" t="s">
        <v>3558</v>
      </c>
      <c r="AB188" s="317"/>
      <c r="AC188" s="317"/>
      <c r="AD188" s="317"/>
      <c r="AE188" s="324">
        <f>SUM(AE189:AE191)</f>
        <v>4140.59</v>
      </c>
      <c r="AF188" s="248"/>
      <c r="AG188" s="130"/>
      <c r="AH188" s="130"/>
      <c r="AR188" s="107"/>
      <c r="AT188" s="114"/>
      <c r="AU188" s="114"/>
      <c r="AY188" s="107"/>
      <c r="BK188" s="115"/>
    </row>
    <row r="189" spans="2:63" s="11" customFormat="1" ht="16.95" customHeight="1" x14ac:dyDescent="0.2">
      <c r="B189" s="106"/>
      <c r="C189" s="1234" t="s">
        <v>5205</v>
      </c>
      <c r="D189" s="1235"/>
      <c r="E189" s="1235"/>
      <c r="F189" s="1235"/>
      <c r="G189" s="1235"/>
      <c r="H189" s="1235"/>
      <c r="I189" s="1235"/>
      <c r="J189" s="1236"/>
      <c r="L189" s="106"/>
      <c r="M189" s="110"/>
      <c r="N189" s="111"/>
      <c r="O189" s="111"/>
      <c r="P189" s="112"/>
      <c r="Q189" s="111"/>
      <c r="R189" s="112"/>
      <c r="S189" s="111"/>
      <c r="T189" s="113"/>
      <c r="W189" s="195"/>
      <c r="X189" s="215" t="s">
        <v>288</v>
      </c>
      <c r="Y189" s="215" t="s">
        <v>231</v>
      </c>
      <c r="Z189" s="216" t="s">
        <v>5226</v>
      </c>
      <c r="AA189" s="217" t="s">
        <v>5227</v>
      </c>
      <c r="AB189" s="218" t="s">
        <v>292</v>
      </c>
      <c r="AC189" s="219">
        <v>41</v>
      </c>
      <c r="AD189" s="220">
        <v>88</v>
      </c>
      <c r="AE189" s="221">
        <f>ROUND(AD189*AC189,2)</f>
        <v>3608</v>
      </c>
      <c r="AF189" s="227">
        <v>7</v>
      </c>
      <c r="AG189" s="130"/>
      <c r="AH189" s="130"/>
      <c r="AR189" s="107"/>
      <c r="AT189" s="114"/>
      <c r="AU189" s="114"/>
      <c r="AY189" s="107"/>
      <c r="BK189" s="115"/>
    </row>
    <row r="190" spans="2:63" s="11" customFormat="1" ht="16.95" customHeight="1" x14ac:dyDescent="0.2">
      <c r="B190" s="106"/>
      <c r="C190" s="1234" t="s">
        <v>5205</v>
      </c>
      <c r="D190" s="1235"/>
      <c r="E190" s="1235"/>
      <c r="F190" s="1235"/>
      <c r="G190" s="1235"/>
      <c r="H190" s="1235"/>
      <c r="I190" s="1235"/>
      <c r="J190" s="1236"/>
      <c r="L190" s="106"/>
      <c r="M190" s="110"/>
      <c r="N190" s="111"/>
      <c r="O190" s="111"/>
      <c r="P190" s="112"/>
      <c r="Q190" s="111"/>
      <c r="R190" s="112"/>
      <c r="S190" s="111"/>
      <c r="T190" s="113"/>
      <c r="W190" s="195"/>
      <c r="X190" s="215" t="s">
        <v>348</v>
      </c>
      <c r="Y190" s="215" t="s">
        <v>231</v>
      </c>
      <c r="Z190" s="216" t="s">
        <v>3559</v>
      </c>
      <c r="AA190" s="217" t="s">
        <v>3560</v>
      </c>
      <c r="AB190" s="218" t="s">
        <v>292</v>
      </c>
      <c r="AC190" s="219">
        <v>5</v>
      </c>
      <c r="AD190" s="220">
        <v>96.35</v>
      </c>
      <c r="AE190" s="221">
        <f>ROUND(AD190*AC190,2)</f>
        <v>481.75</v>
      </c>
      <c r="AF190" s="227">
        <v>7</v>
      </c>
      <c r="AG190" s="130"/>
      <c r="AH190" s="130"/>
      <c r="AR190" s="107"/>
      <c r="AT190" s="114"/>
      <c r="AU190" s="114"/>
      <c r="AY190" s="107"/>
      <c r="BK190" s="115"/>
    </row>
    <row r="191" spans="2:63" s="11" customFormat="1" ht="16.95" customHeight="1" x14ac:dyDescent="0.2">
      <c r="B191" s="106"/>
      <c r="C191" s="1234" t="s">
        <v>5205</v>
      </c>
      <c r="D191" s="1235"/>
      <c r="E191" s="1235"/>
      <c r="F191" s="1235"/>
      <c r="G191" s="1235"/>
      <c r="H191" s="1235"/>
      <c r="I191" s="1235"/>
      <c r="J191" s="1236"/>
      <c r="L191" s="106"/>
      <c r="M191" s="110"/>
      <c r="N191" s="111"/>
      <c r="O191" s="111"/>
      <c r="P191" s="112"/>
      <c r="Q191" s="111"/>
      <c r="R191" s="112"/>
      <c r="S191" s="111"/>
      <c r="T191" s="113"/>
      <c r="W191" s="195"/>
      <c r="X191" s="215" t="s">
        <v>293</v>
      </c>
      <c r="Y191" s="215" t="s">
        <v>231</v>
      </c>
      <c r="Z191" s="216" t="s">
        <v>1230</v>
      </c>
      <c r="AA191" s="217" t="s">
        <v>1231</v>
      </c>
      <c r="AB191" s="218" t="s">
        <v>292</v>
      </c>
      <c r="AC191" s="219">
        <v>82</v>
      </c>
      <c r="AD191" s="220">
        <v>0.62</v>
      </c>
      <c r="AE191" s="221">
        <f>ROUND(AD191*AC191,2)</f>
        <v>50.84</v>
      </c>
      <c r="AF191" s="227">
        <v>7</v>
      </c>
      <c r="AG191" s="130"/>
      <c r="AH191" s="130"/>
      <c r="AR191" s="107"/>
      <c r="AT191" s="114"/>
      <c r="AU191" s="114"/>
      <c r="AY191" s="107"/>
      <c r="BK191" s="115"/>
    </row>
    <row r="192" spans="2:63" s="11" customFormat="1" ht="22.95" customHeight="1" x14ac:dyDescent="0.25">
      <c r="B192" s="106"/>
      <c r="D192" s="107" t="s">
        <v>57</v>
      </c>
      <c r="E192" s="116" t="s">
        <v>1215</v>
      </c>
      <c r="F192" s="116" t="s">
        <v>1202</v>
      </c>
      <c r="J192" s="117">
        <f>BK192</f>
        <v>2977.77</v>
      </c>
      <c r="L192" s="106"/>
      <c r="M192" s="110"/>
      <c r="N192" s="111"/>
      <c r="O192" s="111"/>
      <c r="P192" s="112">
        <f>SUM(P193:P196)</f>
        <v>0</v>
      </c>
      <c r="Q192" s="111"/>
      <c r="R192" s="112">
        <f>SUM(R193:R196)</f>
        <v>0</v>
      </c>
      <c r="S192" s="111"/>
      <c r="T192" s="113">
        <f>SUM(T193:T196)</f>
        <v>0</v>
      </c>
      <c r="W192" s="195"/>
      <c r="X192" s="111"/>
      <c r="Y192" s="196" t="s">
        <v>57</v>
      </c>
      <c r="Z192" s="201" t="s">
        <v>1215</v>
      </c>
      <c r="AA192" s="201" t="s">
        <v>1202</v>
      </c>
      <c r="AB192" s="111"/>
      <c r="AC192" s="111"/>
      <c r="AD192" s="111"/>
      <c r="AE192" s="202">
        <f>SUM(AE193:AE196)</f>
        <v>4765.1500000000005</v>
      </c>
      <c r="AF192" s="248"/>
      <c r="AG192" s="130"/>
      <c r="AH192" s="130"/>
      <c r="AR192" s="107" t="s">
        <v>63</v>
      </c>
      <c r="AT192" s="114" t="s">
        <v>57</v>
      </c>
      <c r="AU192" s="114" t="s">
        <v>63</v>
      </c>
      <c r="AY192" s="107" t="s">
        <v>228</v>
      </c>
      <c r="BK192" s="115">
        <f>SUM(BK193:BK196)</f>
        <v>2977.77</v>
      </c>
    </row>
    <row r="193" spans="2:65" s="1" customFormat="1" ht="16.5" customHeight="1" x14ac:dyDescent="0.2">
      <c r="B193" s="118"/>
      <c r="C193" s="205" t="s">
        <v>244</v>
      </c>
      <c r="D193" s="119" t="s">
        <v>231</v>
      </c>
      <c r="E193" s="120" t="s">
        <v>1203</v>
      </c>
      <c r="F193" s="121" t="s">
        <v>1204</v>
      </c>
      <c r="G193" s="122" t="s">
        <v>292</v>
      </c>
      <c r="H193" s="206">
        <v>197</v>
      </c>
      <c r="I193" s="124">
        <v>10.57</v>
      </c>
      <c r="J193" s="124">
        <f>ROUND(I193*H193,2)</f>
        <v>2082.29</v>
      </c>
      <c r="K193" s="121" t="s">
        <v>1</v>
      </c>
      <c r="L193" s="24"/>
      <c r="M193" s="125" t="s">
        <v>1</v>
      </c>
      <c r="N193" s="126" t="s">
        <v>32</v>
      </c>
      <c r="O193" s="127">
        <v>0</v>
      </c>
      <c r="P193" s="127">
        <f>O193*H193</f>
        <v>0</v>
      </c>
      <c r="Q193" s="127">
        <v>0</v>
      </c>
      <c r="R193" s="127">
        <f>Q193*H193</f>
        <v>0</v>
      </c>
      <c r="S193" s="127">
        <v>0</v>
      </c>
      <c r="T193" s="128">
        <f>S193*H193</f>
        <v>0</v>
      </c>
      <c r="W193" s="199"/>
      <c r="X193" s="205" t="s">
        <v>244</v>
      </c>
      <c r="Y193" s="119" t="s">
        <v>231</v>
      </c>
      <c r="Z193" s="120" t="s">
        <v>1203</v>
      </c>
      <c r="AA193" s="121" t="s">
        <v>1204</v>
      </c>
      <c r="AB193" s="122" t="s">
        <v>292</v>
      </c>
      <c r="AC193" s="206">
        <v>163</v>
      </c>
      <c r="AD193" s="124">
        <v>10.57</v>
      </c>
      <c r="AE193" s="200">
        <f>ROUND(AD193*AC193,2)</f>
        <v>1722.91</v>
      </c>
      <c r="AF193" s="227">
        <v>7</v>
      </c>
      <c r="AG193" s="130"/>
      <c r="AH193" s="130"/>
      <c r="AR193" s="129" t="s">
        <v>235</v>
      </c>
      <c r="AT193" s="129" t="s">
        <v>231</v>
      </c>
      <c r="AU193" s="129" t="s">
        <v>76</v>
      </c>
      <c r="AY193" s="13" t="s">
        <v>228</v>
      </c>
      <c r="BE193" s="130">
        <f>IF(N193="základná",J193,0)</f>
        <v>0</v>
      </c>
      <c r="BF193" s="130">
        <f>IF(N193="znížená",J193,0)</f>
        <v>2082.29</v>
      </c>
      <c r="BG193" s="130">
        <f>IF(N193="zákl. prenesená",J193,0)</f>
        <v>0</v>
      </c>
      <c r="BH193" s="130">
        <f>IF(N193="zníž. prenesená",J193,0)</f>
        <v>0</v>
      </c>
      <c r="BI193" s="130">
        <f>IF(N193="nulová",J193,0)</f>
        <v>0</v>
      </c>
      <c r="BJ193" s="13" t="s">
        <v>76</v>
      </c>
      <c r="BK193" s="130">
        <f>ROUND(I193*H193,2)</f>
        <v>2082.29</v>
      </c>
      <c r="BL193" s="13" t="s">
        <v>235</v>
      </c>
      <c r="BM193" s="129" t="s">
        <v>258</v>
      </c>
    </row>
    <row r="194" spans="2:65" s="1" customFormat="1" ht="16.5" customHeight="1" x14ac:dyDescent="0.2">
      <c r="B194" s="118"/>
      <c r="C194" s="205" t="s">
        <v>259</v>
      </c>
      <c r="D194" s="119" t="s">
        <v>231</v>
      </c>
      <c r="E194" s="120" t="s">
        <v>1205</v>
      </c>
      <c r="F194" s="121" t="s">
        <v>1206</v>
      </c>
      <c r="G194" s="122" t="s">
        <v>292</v>
      </c>
      <c r="H194" s="206">
        <v>32</v>
      </c>
      <c r="I194" s="124">
        <v>12.16</v>
      </c>
      <c r="J194" s="124">
        <f>ROUND(I194*H194,2)</f>
        <v>389.12</v>
      </c>
      <c r="K194" s="121" t="s">
        <v>1</v>
      </c>
      <c r="L194" s="24"/>
      <c r="M194" s="125" t="s">
        <v>1</v>
      </c>
      <c r="N194" s="126" t="s">
        <v>32</v>
      </c>
      <c r="O194" s="127">
        <v>0</v>
      </c>
      <c r="P194" s="127">
        <f>O194*H194</f>
        <v>0</v>
      </c>
      <c r="Q194" s="127">
        <v>0</v>
      </c>
      <c r="R194" s="127">
        <f>Q194*H194</f>
        <v>0</v>
      </c>
      <c r="S194" s="127">
        <v>0</v>
      </c>
      <c r="T194" s="128">
        <f>S194*H194</f>
        <v>0</v>
      </c>
      <c r="W194" s="199"/>
      <c r="X194" s="205" t="s">
        <v>259</v>
      </c>
      <c r="Y194" s="119" t="s">
        <v>231</v>
      </c>
      <c r="Z194" s="120" t="s">
        <v>1205</v>
      </c>
      <c r="AA194" s="121" t="s">
        <v>1206</v>
      </c>
      <c r="AB194" s="122" t="s">
        <v>292</v>
      </c>
      <c r="AC194" s="206">
        <v>38</v>
      </c>
      <c r="AD194" s="124">
        <v>12.16</v>
      </c>
      <c r="AE194" s="200">
        <f>ROUND(AD194*AC194,2)</f>
        <v>462.08</v>
      </c>
      <c r="AF194" s="227">
        <v>7</v>
      </c>
      <c r="AG194" s="130"/>
      <c r="AH194" s="130"/>
      <c r="AR194" s="129" t="s">
        <v>235</v>
      </c>
      <c r="AT194" s="129" t="s">
        <v>231</v>
      </c>
      <c r="AU194" s="129" t="s">
        <v>76</v>
      </c>
      <c r="AY194" s="13" t="s">
        <v>228</v>
      </c>
      <c r="BE194" s="130">
        <f>IF(N194="základná",J194,0)</f>
        <v>0</v>
      </c>
      <c r="BF194" s="130">
        <f>IF(N194="znížená",J194,0)</f>
        <v>389.12</v>
      </c>
      <c r="BG194" s="130">
        <f>IF(N194="zákl. prenesená",J194,0)</f>
        <v>0</v>
      </c>
      <c r="BH194" s="130">
        <f>IF(N194="zníž. prenesená",J194,0)</f>
        <v>0</v>
      </c>
      <c r="BI194" s="130">
        <f>IF(N194="nulová",J194,0)</f>
        <v>0</v>
      </c>
      <c r="BJ194" s="13" t="s">
        <v>76</v>
      </c>
      <c r="BK194" s="130">
        <f>ROUND(I194*H194,2)</f>
        <v>389.12</v>
      </c>
      <c r="BL194" s="13" t="s">
        <v>235</v>
      </c>
      <c r="BM194" s="129" t="s">
        <v>262</v>
      </c>
    </row>
    <row r="195" spans="2:65" s="1" customFormat="1" ht="16.2" customHeight="1" x14ac:dyDescent="0.2">
      <c r="B195" s="118"/>
      <c r="C195" s="205" t="s">
        <v>248</v>
      </c>
      <c r="D195" s="119" t="s">
        <v>231</v>
      </c>
      <c r="E195" s="120" t="s">
        <v>1207</v>
      </c>
      <c r="F195" s="121" t="s">
        <v>1208</v>
      </c>
      <c r="G195" s="122" t="s">
        <v>292</v>
      </c>
      <c r="H195" s="206">
        <v>14</v>
      </c>
      <c r="I195" s="124">
        <v>19.57</v>
      </c>
      <c r="J195" s="124">
        <f>ROUND(I195*H195,2)</f>
        <v>273.98</v>
      </c>
      <c r="K195" s="121" t="s">
        <v>1</v>
      </c>
      <c r="L195" s="24"/>
      <c r="M195" s="125" t="s">
        <v>1</v>
      </c>
      <c r="N195" s="126" t="s">
        <v>32</v>
      </c>
      <c r="O195" s="127">
        <v>0</v>
      </c>
      <c r="P195" s="127">
        <f>O195*H195</f>
        <v>0</v>
      </c>
      <c r="Q195" s="127">
        <v>0</v>
      </c>
      <c r="R195" s="127">
        <f>Q195*H195</f>
        <v>0</v>
      </c>
      <c r="S195" s="127">
        <v>0</v>
      </c>
      <c r="T195" s="128">
        <f>S195*H195</f>
        <v>0</v>
      </c>
      <c r="W195" s="199"/>
      <c r="X195" s="205" t="s">
        <v>248</v>
      </c>
      <c r="Y195" s="119" t="s">
        <v>231</v>
      </c>
      <c r="Z195" s="120" t="s">
        <v>1207</v>
      </c>
      <c r="AA195" s="121" t="s">
        <v>1208</v>
      </c>
      <c r="AB195" s="122" t="s">
        <v>292</v>
      </c>
      <c r="AC195" s="206">
        <f>42+12</f>
        <v>54</v>
      </c>
      <c r="AD195" s="124">
        <v>19.57</v>
      </c>
      <c r="AE195" s="200">
        <f>ROUND(AD195*AC195,2)</f>
        <v>1056.78</v>
      </c>
      <c r="AF195" s="227" t="s">
        <v>6465</v>
      </c>
      <c r="AG195" s="130"/>
      <c r="AH195" s="130"/>
      <c r="AR195" s="129" t="s">
        <v>235</v>
      </c>
      <c r="AT195" s="129" t="s">
        <v>231</v>
      </c>
      <c r="AU195" s="129" t="s">
        <v>76</v>
      </c>
      <c r="AY195" s="13" t="s">
        <v>228</v>
      </c>
      <c r="BE195" s="130">
        <f>IF(N195="základná",J195,0)</f>
        <v>0</v>
      </c>
      <c r="BF195" s="130">
        <f>IF(N195="znížená",J195,0)</f>
        <v>273.98</v>
      </c>
      <c r="BG195" s="130">
        <f>IF(N195="zákl. prenesená",J195,0)</f>
        <v>0</v>
      </c>
      <c r="BH195" s="130">
        <f>IF(N195="zníž. prenesená",J195,0)</f>
        <v>0</v>
      </c>
      <c r="BI195" s="130">
        <f>IF(N195="nulová",J195,0)</f>
        <v>0</v>
      </c>
      <c r="BJ195" s="13" t="s">
        <v>76</v>
      </c>
      <c r="BK195" s="130">
        <f>ROUND(I195*H195,2)</f>
        <v>273.98</v>
      </c>
      <c r="BL195" s="13" t="s">
        <v>235</v>
      </c>
      <c r="BM195" s="129" t="s">
        <v>7</v>
      </c>
    </row>
    <row r="196" spans="2:65" s="1" customFormat="1" ht="16.5" customHeight="1" x14ac:dyDescent="0.2">
      <c r="B196" s="118"/>
      <c r="C196" s="205" t="s">
        <v>265</v>
      </c>
      <c r="D196" s="119" t="s">
        <v>231</v>
      </c>
      <c r="E196" s="120" t="s">
        <v>1209</v>
      </c>
      <c r="F196" s="121" t="s">
        <v>1210</v>
      </c>
      <c r="G196" s="122" t="s">
        <v>292</v>
      </c>
      <c r="H196" s="206">
        <v>9</v>
      </c>
      <c r="I196" s="124">
        <v>25.82</v>
      </c>
      <c r="J196" s="124">
        <f>ROUND(I196*H196,2)</f>
        <v>232.38</v>
      </c>
      <c r="K196" s="121" t="s">
        <v>1</v>
      </c>
      <c r="L196" s="24"/>
      <c r="M196" s="125" t="s">
        <v>1</v>
      </c>
      <c r="N196" s="126" t="s">
        <v>32</v>
      </c>
      <c r="O196" s="127">
        <v>0</v>
      </c>
      <c r="P196" s="127">
        <f>O196*H196</f>
        <v>0</v>
      </c>
      <c r="Q196" s="127">
        <v>0</v>
      </c>
      <c r="R196" s="127">
        <f>Q196*H196</f>
        <v>0</v>
      </c>
      <c r="S196" s="127">
        <v>0</v>
      </c>
      <c r="T196" s="128">
        <f>S196*H196</f>
        <v>0</v>
      </c>
      <c r="W196" s="199"/>
      <c r="X196" s="205" t="s">
        <v>265</v>
      </c>
      <c r="Y196" s="119" t="s">
        <v>231</v>
      </c>
      <c r="Z196" s="120" t="s">
        <v>1209</v>
      </c>
      <c r="AA196" s="121" t="s">
        <v>1210</v>
      </c>
      <c r="AB196" s="122" t="s">
        <v>292</v>
      </c>
      <c r="AC196" s="206">
        <v>59</v>
      </c>
      <c r="AD196" s="124">
        <v>25.82</v>
      </c>
      <c r="AE196" s="200">
        <f>ROUND(AD196*AC196,2)</f>
        <v>1523.38</v>
      </c>
      <c r="AF196" s="227">
        <v>7</v>
      </c>
      <c r="AG196" s="130"/>
      <c r="AH196" s="130"/>
      <c r="AR196" s="129" t="s">
        <v>235</v>
      </c>
      <c r="AT196" s="129" t="s">
        <v>231</v>
      </c>
      <c r="AU196" s="129" t="s">
        <v>76</v>
      </c>
      <c r="AY196" s="13" t="s">
        <v>228</v>
      </c>
      <c r="BE196" s="130">
        <f>IF(N196="základná",J196,0)</f>
        <v>0</v>
      </c>
      <c r="BF196" s="130">
        <f>IF(N196="znížená",J196,0)</f>
        <v>232.38</v>
      </c>
      <c r="BG196" s="130">
        <f>IF(N196="zákl. prenesená",J196,0)</f>
        <v>0</v>
      </c>
      <c r="BH196" s="130">
        <f>IF(N196="zníž. prenesená",J196,0)</f>
        <v>0</v>
      </c>
      <c r="BI196" s="130">
        <f>IF(N196="nulová",J196,0)</f>
        <v>0</v>
      </c>
      <c r="BJ196" s="13" t="s">
        <v>76</v>
      </c>
      <c r="BK196" s="130">
        <f>ROUND(I196*H196,2)</f>
        <v>232.38</v>
      </c>
      <c r="BL196" s="13" t="s">
        <v>235</v>
      </c>
      <c r="BM196" s="129" t="s">
        <v>268</v>
      </c>
    </row>
    <row r="197" spans="2:65" s="11" customFormat="1" ht="22.95" customHeight="1" x14ac:dyDescent="0.25">
      <c r="B197" s="106"/>
      <c r="D197" s="107" t="s">
        <v>57</v>
      </c>
      <c r="E197" s="116" t="s">
        <v>1227</v>
      </c>
      <c r="F197" s="116" t="s">
        <v>1212</v>
      </c>
      <c r="J197" s="117">
        <f>BK197</f>
        <v>293.64</v>
      </c>
      <c r="L197" s="106"/>
      <c r="M197" s="110"/>
      <c r="N197" s="111"/>
      <c r="O197" s="111"/>
      <c r="P197" s="112">
        <f>SUM(P198:P199)</f>
        <v>0</v>
      </c>
      <c r="Q197" s="111"/>
      <c r="R197" s="112">
        <f>SUM(R198:R199)</f>
        <v>0</v>
      </c>
      <c r="S197" s="111"/>
      <c r="T197" s="113">
        <f>SUM(T198:T199)</f>
        <v>0</v>
      </c>
      <c r="W197" s="195"/>
      <c r="X197" s="111"/>
      <c r="Y197" s="196" t="s">
        <v>57</v>
      </c>
      <c r="Z197" s="201" t="s">
        <v>1227</v>
      </c>
      <c r="AA197" s="201" t="s">
        <v>1212</v>
      </c>
      <c r="AB197" s="111"/>
      <c r="AC197" s="111"/>
      <c r="AD197" s="111"/>
      <c r="AE197" s="202">
        <f>SUM(AE198:AE199)</f>
        <v>293.64</v>
      </c>
      <c r="AF197" s="248"/>
      <c r="AG197" s="130"/>
      <c r="AH197" s="130"/>
      <c r="AR197" s="107" t="s">
        <v>63</v>
      </c>
      <c r="AT197" s="114" t="s">
        <v>57</v>
      </c>
      <c r="AU197" s="114" t="s">
        <v>63</v>
      </c>
      <c r="AY197" s="107" t="s">
        <v>228</v>
      </c>
      <c r="BK197" s="115">
        <f>SUM(BK198:BK199)</f>
        <v>293.64</v>
      </c>
    </row>
    <row r="198" spans="2:65" s="1" customFormat="1" ht="16.5" customHeight="1" x14ac:dyDescent="0.2">
      <c r="B198" s="118"/>
      <c r="C198" s="119" t="s">
        <v>251</v>
      </c>
      <c r="D198" s="119" t="s">
        <v>231</v>
      </c>
      <c r="E198" s="120" t="s">
        <v>3557</v>
      </c>
      <c r="F198" s="121" t="s">
        <v>1204</v>
      </c>
      <c r="G198" s="122" t="s">
        <v>1194</v>
      </c>
      <c r="H198" s="123">
        <v>70</v>
      </c>
      <c r="I198" s="124">
        <v>3.89</v>
      </c>
      <c r="J198" s="124">
        <f>ROUND(I198*H198,2)</f>
        <v>272.3</v>
      </c>
      <c r="K198" s="121" t="s">
        <v>1</v>
      </c>
      <c r="L198" s="24"/>
      <c r="M198" s="125" t="s">
        <v>1</v>
      </c>
      <c r="N198" s="126" t="s">
        <v>32</v>
      </c>
      <c r="O198" s="127">
        <v>0</v>
      </c>
      <c r="P198" s="127">
        <f>O198*H198</f>
        <v>0</v>
      </c>
      <c r="Q198" s="127">
        <v>0</v>
      </c>
      <c r="R198" s="127">
        <f>Q198*H198</f>
        <v>0</v>
      </c>
      <c r="S198" s="127">
        <v>0</v>
      </c>
      <c r="T198" s="128">
        <f>S198*H198</f>
        <v>0</v>
      </c>
      <c r="W198" s="199"/>
      <c r="X198" s="119" t="s">
        <v>251</v>
      </c>
      <c r="Y198" s="119" t="s">
        <v>231</v>
      </c>
      <c r="Z198" s="120" t="s">
        <v>3557</v>
      </c>
      <c r="AA198" s="121" t="s">
        <v>1204</v>
      </c>
      <c r="AB198" s="122" t="s">
        <v>1194</v>
      </c>
      <c r="AC198" s="123">
        <v>70</v>
      </c>
      <c r="AD198" s="124">
        <v>3.89</v>
      </c>
      <c r="AE198" s="200">
        <f>ROUND(AD198*AC198,2)</f>
        <v>272.3</v>
      </c>
      <c r="AF198" s="227"/>
      <c r="AG198" s="130"/>
      <c r="AH198" s="130"/>
      <c r="AR198" s="129" t="s">
        <v>235</v>
      </c>
      <c r="AT198" s="129" t="s">
        <v>231</v>
      </c>
      <c r="AU198" s="129" t="s">
        <v>76</v>
      </c>
      <c r="AY198" s="13" t="s">
        <v>228</v>
      </c>
      <c r="BE198" s="130">
        <f>IF(N198="základná",J198,0)</f>
        <v>0</v>
      </c>
      <c r="BF198" s="130">
        <f>IF(N198="znížená",J198,0)</f>
        <v>272.3</v>
      </c>
      <c r="BG198" s="130">
        <f>IF(N198="zákl. prenesená",J198,0)</f>
        <v>0</v>
      </c>
      <c r="BH198" s="130">
        <f>IF(N198="zníž. prenesená",J198,0)</f>
        <v>0</v>
      </c>
      <c r="BI198" s="130">
        <f>IF(N198="nulová",J198,0)</f>
        <v>0</v>
      </c>
      <c r="BJ198" s="13" t="s">
        <v>76</v>
      </c>
      <c r="BK198" s="130">
        <f>ROUND(I198*H198,2)</f>
        <v>272.3</v>
      </c>
      <c r="BL198" s="13" t="s">
        <v>235</v>
      </c>
      <c r="BM198" s="129" t="s">
        <v>272</v>
      </c>
    </row>
    <row r="199" spans="2:65" s="1" customFormat="1" ht="16.5" customHeight="1" x14ac:dyDescent="0.2">
      <c r="B199" s="118"/>
      <c r="C199" s="119" t="s">
        <v>273</v>
      </c>
      <c r="D199" s="119" t="s">
        <v>231</v>
      </c>
      <c r="E199" s="120" t="s">
        <v>1214</v>
      </c>
      <c r="F199" s="121" t="s">
        <v>1210</v>
      </c>
      <c r="G199" s="122" t="s">
        <v>1194</v>
      </c>
      <c r="H199" s="123">
        <v>2</v>
      </c>
      <c r="I199" s="124">
        <v>10.67</v>
      </c>
      <c r="J199" s="124">
        <f>ROUND(I199*H199,2)</f>
        <v>21.34</v>
      </c>
      <c r="K199" s="121" t="s">
        <v>1</v>
      </c>
      <c r="L199" s="24"/>
      <c r="M199" s="125" t="s">
        <v>1</v>
      </c>
      <c r="N199" s="126" t="s">
        <v>32</v>
      </c>
      <c r="O199" s="127">
        <v>0</v>
      </c>
      <c r="P199" s="127">
        <f>O199*H199</f>
        <v>0</v>
      </c>
      <c r="Q199" s="127">
        <v>0</v>
      </c>
      <c r="R199" s="127">
        <f>Q199*H199</f>
        <v>0</v>
      </c>
      <c r="S199" s="127">
        <v>0</v>
      </c>
      <c r="T199" s="128">
        <f>S199*H199</f>
        <v>0</v>
      </c>
      <c r="W199" s="199"/>
      <c r="X199" s="119" t="s">
        <v>273</v>
      </c>
      <c r="Y199" s="119" t="s">
        <v>231</v>
      </c>
      <c r="Z199" s="120" t="s">
        <v>1214</v>
      </c>
      <c r="AA199" s="121" t="s">
        <v>1210</v>
      </c>
      <c r="AB199" s="122" t="s">
        <v>1194</v>
      </c>
      <c r="AC199" s="123">
        <v>2</v>
      </c>
      <c r="AD199" s="124">
        <v>10.67</v>
      </c>
      <c r="AE199" s="200">
        <f>ROUND(AD199*AC199,2)</f>
        <v>21.34</v>
      </c>
      <c r="AF199" s="227"/>
      <c r="AG199" s="130"/>
      <c r="AH199" s="130"/>
      <c r="AR199" s="129" t="s">
        <v>235</v>
      </c>
      <c r="AT199" s="129" t="s">
        <v>231</v>
      </c>
      <c r="AU199" s="129" t="s">
        <v>76</v>
      </c>
      <c r="AY199" s="13" t="s">
        <v>228</v>
      </c>
      <c r="BE199" s="130">
        <f>IF(N199="základná",J199,0)</f>
        <v>0</v>
      </c>
      <c r="BF199" s="130">
        <f>IF(N199="znížená",J199,0)</f>
        <v>21.34</v>
      </c>
      <c r="BG199" s="130">
        <f>IF(N199="zákl. prenesená",J199,0)</f>
        <v>0</v>
      </c>
      <c r="BH199" s="130">
        <f>IF(N199="zníž. prenesená",J199,0)</f>
        <v>0</v>
      </c>
      <c r="BI199" s="130">
        <f>IF(N199="nulová",J199,0)</f>
        <v>0</v>
      </c>
      <c r="BJ199" s="13" t="s">
        <v>76</v>
      </c>
      <c r="BK199" s="130">
        <f>ROUND(I199*H199,2)</f>
        <v>21.34</v>
      </c>
      <c r="BL199" s="13" t="s">
        <v>235</v>
      </c>
      <c r="BM199" s="129" t="s">
        <v>276</v>
      </c>
    </row>
    <row r="200" spans="2:65" s="11" customFormat="1" ht="22.95" customHeight="1" x14ac:dyDescent="0.25">
      <c r="B200" s="106"/>
      <c r="D200" s="107" t="s">
        <v>57</v>
      </c>
      <c r="E200" s="116" t="s">
        <v>1240</v>
      </c>
      <c r="F200" s="116" t="s">
        <v>3558</v>
      </c>
      <c r="J200" s="117">
        <f>BK200</f>
        <v>9539.619999999999</v>
      </c>
      <c r="L200" s="106"/>
      <c r="M200" s="110"/>
      <c r="N200" s="111"/>
      <c r="O200" s="111"/>
      <c r="P200" s="112">
        <f>SUM(P201:P202)</f>
        <v>0</v>
      </c>
      <c r="Q200" s="111"/>
      <c r="R200" s="112">
        <f>SUM(R201:R202)</f>
        <v>0</v>
      </c>
      <c r="S200" s="111"/>
      <c r="T200" s="113">
        <f>SUM(T201:T202)</f>
        <v>0</v>
      </c>
      <c r="W200" s="195"/>
      <c r="X200" s="111"/>
      <c r="Y200" s="196" t="s">
        <v>57</v>
      </c>
      <c r="Z200" s="201" t="s">
        <v>1240</v>
      </c>
      <c r="AA200" s="201" t="s">
        <v>3558</v>
      </c>
      <c r="AB200" s="111"/>
      <c r="AC200" s="111"/>
      <c r="AD200" s="111"/>
      <c r="AE200" s="202">
        <f>SUM(AE201:AE202)</f>
        <v>4239.3999999999996</v>
      </c>
      <c r="AF200" s="248"/>
      <c r="AG200" s="130"/>
      <c r="AH200" s="130"/>
      <c r="AR200" s="107" t="s">
        <v>63</v>
      </c>
      <c r="AT200" s="114" t="s">
        <v>57</v>
      </c>
      <c r="AU200" s="114" t="s">
        <v>63</v>
      </c>
      <c r="AY200" s="107" t="s">
        <v>228</v>
      </c>
      <c r="BK200" s="115">
        <f>SUM(BK201:BK202)</f>
        <v>9539.619999999999</v>
      </c>
    </row>
    <row r="201" spans="2:65" s="1" customFormat="1" ht="16.5" customHeight="1" x14ac:dyDescent="0.2">
      <c r="B201" s="118"/>
      <c r="C201" s="205" t="s">
        <v>255</v>
      </c>
      <c r="D201" s="119" t="s">
        <v>231</v>
      </c>
      <c r="E201" s="120" t="s">
        <v>3559</v>
      </c>
      <c r="F201" s="121" t="s">
        <v>3560</v>
      </c>
      <c r="G201" s="122" t="s">
        <v>292</v>
      </c>
      <c r="H201" s="206">
        <v>30</v>
      </c>
      <c r="I201" s="124">
        <v>96.35</v>
      </c>
      <c r="J201" s="124">
        <f>ROUND(I201*H201,2)</f>
        <v>2890.5</v>
      </c>
      <c r="K201" s="121" t="s">
        <v>1</v>
      </c>
      <c r="L201" s="24"/>
      <c r="M201" s="125" t="s">
        <v>1</v>
      </c>
      <c r="N201" s="126" t="s">
        <v>32</v>
      </c>
      <c r="O201" s="127">
        <v>0</v>
      </c>
      <c r="P201" s="127">
        <f>O201*H201</f>
        <v>0</v>
      </c>
      <c r="Q201" s="127">
        <v>0</v>
      </c>
      <c r="R201" s="127">
        <f>Q201*H201</f>
        <v>0</v>
      </c>
      <c r="S201" s="127">
        <v>0</v>
      </c>
      <c r="T201" s="128">
        <f>S201*H201</f>
        <v>0</v>
      </c>
      <c r="W201" s="199"/>
      <c r="X201" s="205" t="s">
        <v>255</v>
      </c>
      <c r="Y201" s="119" t="s">
        <v>231</v>
      </c>
      <c r="Z201" s="120" t="s">
        <v>3559</v>
      </c>
      <c r="AA201" s="121" t="s">
        <v>3560</v>
      </c>
      <c r="AB201" s="122" t="s">
        <v>292</v>
      </c>
      <c r="AC201" s="206">
        <v>44</v>
      </c>
      <c r="AD201" s="124">
        <v>96.35</v>
      </c>
      <c r="AE201" s="200">
        <f>ROUND(AD201*AC201,2)</f>
        <v>4239.3999999999996</v>
      </c>
      <c r="AF201" s="227">
        <v>7</v>
      </c>
      <c r="AG201" s="130"/>
      <c r="AH201" s="130"/>
      <c r="AR201" s="129" t="s">
        <v>235</v>
      </c>
      <c r="AT201" s="129" t="s">
        <v>231</v>
      </c>
      <c r="AU201" s="129" t="s">
        <v>76</v>
      </c>
      <c r="AY201" s="13" t="s">
        <v>228</v>
      </c>
      <c r="BE201" s="130">
        <f>IF(N201="základná",J201,0)</f>
        <v>0</v>
      </c>
      <c r="BF201" s="130">
        <f>IF(N201="znížená",J201,0)</f>
        <v>2890.5</v>
      </c>
      <c r="BG201" s="130">
        <f>IF(N201="zákl. prenesená",J201,0)</f>
        <v>0</v>
      </c>
      <c r="BH201" s="130">
        <f>IF(N201="zníž. prenesená",J201,0)</f>
        <v>0</v>
      </c>
      <c r="BI201" s="130">
        <f>IF(N201="nulová",J201,0)</f>
        <v>0</v>
      </c>
      <c r="BJ201" s="13" t="s">
        <v>76</v>
      </c>
      <c r="BK201" s="130">
        <f>ROUND(I201*H201,2)</f>
        <v>2890.5</v>
      </c>
      <c r="BL201" s="13" t="s">
        <v>235</v>
      </c>
      <c r="BM201" s="129" t="s">
        <v>280</v>
      </c>
    </row>
    <row r="202" spans="2:65" s="1" customFormat="1" ht="16.5" customHeight="1" x14ac:dyDescent="0.2">
      <c r="B202" s="118"/>
      <c r="C202" s="205" t="s">
        <v>281</v>
      </c>
      <c r="D202" s="119" t="s">
        <v>231</v>
      </c>
      <c r="E202" s="120" t="s">
        <v>3561</v>
      </c>
      <c r="F202" s="121" t="s">
        <v>3562</v>
      </c>
      <c r="G202" s="122" t="s">
        <v>292</v>
      </c>
      <c r="H202" s="206">
        <v>58</v>
      </c>
      <c r="I202" s="124">
        <v>114.64</v>
      </c>
      <c r="J202" s="124">
        <f>ROUND(I202*H202,2)</f>
        <v>6649.12</v>
      </c>
      <c r="K202" s="121" t="s">
        <v>1</v>
      </c>
      <c r="L202" s="24"/>
      <c r="M202" s="125" t="s">
        <v>1</v>
      </c>
      <c r="N202" s="126" t="s">
        <v>32</v>
      </c>
      <c r="O202" s="127">
        <v>0</v>
      </c>
      <c r="P202" s="127">
        <f>O202*H202</f>
        <v>0</v>
      </c>
      <c r="Q202" s="127">
        <v>0</v>
      </c>
      <c r="R202" s="127">
        <f>Q202*H202</f>
        <v>0</v>
      </c>
      <c r="S202" s="127">
        <v>0</v>
      </c>
      <c r="T202" s="128">
        <f>S202*H202</f>
        <v>0</v>
      </c>
      <c r="W202" s="199"/>
      <c r="X202" s="205" t="s">
        <v>281</v>
      </c>
      <c r="Y202" s="119" t="s">
        <v>231</v>
      </c>
      <c r="Z202" s="120" t="s">
        <v>3561</v>
      </c>
      <c r="AA202" s="121" t="s">
        <v>3562</v>
      </c>
      <c r="AB202" s="122" t="s">
        <v>292</v>
      </c>
      <c r="AC202" s="206">
        <v>0</v>
      </c>
      <c r="AD202" s="124">
        <v>114.64</v>
      </c>
      <c r="AE202" s="200">
        <f>ROUND(AD202*AC202,2)</f>
        <v>0</v>
      </c>
      <c r="AF202" s="227">
        <v>7</v>
      </c>
      <c r="AG202" s="130"/>
      <c r="AH202" s="130"/>
      <c r="AR202" s="129" t="s">
        <v>235</v>
      </c>
      <c r="AT202" s="129" t="s">
        <v>231</v>
      </c>
      <c r="AU202" s="129" t="s">
        <v>76</v>
      </c>
      <c r="AY202" s="13" t="s">
        <v>228</v>
      </c>
      <c r="BE202" s="130">
        <f>IF(N202="základná",J202,0)</f>
        <v>0</v>
      </c>
      <c r="BF202" s="130">
        <f>IF(N202="znížená",J202,0)</f>
        <v>6649.12</v>
      </c>
      <c r="BG202" s="130">
        <f>IF(N202="zákl. prenesená",J202,0)</f>
        <v>0</v>
      </c>
      <c r="BH202" s="130">
        <f>IF(N202="zníž. prenesená",J202,0)</f>
        <v>0</v>
      </c>
      <c r="BI202" s="130">
        <f>IF(N202="nulová",J202,0)</f>
        <v>0</v>
      </c>
      <c r="BJ202" s="13" t="s">
        <v>76</v>
      </c>
      <c r="BK202" s="130">
        <f>ROUND(I202*H202,2)</f>
        <v>6649.12</v>
      </c>
      <c r="BL202" s="13" t="s">
        <v>235</v>
      </c>
      <c r="BM202" s="129" t="s">
        <v>285</v>
      </c>
    </row>
    <row r="203" spans="2:65" s="11" customFormat="1" ht="22.95" customHeight="1" x14ac:dyDescent="0.25">
      <c r="B203" s="106"/>
      <c r="D203" s="107" t="s">
        <v>57</v>
      </c>
      <c r="E203" s="116" t="s">
        <v>1247</v>
      </c>
      <c r="F203" s="116" t="s">
        <v>3563</v>
      </c>
      <c r="J203" s="117">
        <f>BK203</f>
        <v>302.8</v>
      </c>
      <c r="L203" s="106"/>
      <c r="M203" s="110"/>
      <c r="N203" s="111"/>
      <c r="O203" s="111"/>
      <c r="P203" s="112">
        <f>SUM(P204:P205)</f>
        <v>0</v>
      </c>
      <c r="Q203" s="111"/>
      <c r="R203" s="112">
        <f>SUM(R204:R205)</f>
        <v>0</v>
      </c>
      <c r="S203" s="111"/>
      <c r="T203" s="113">
        <f>SUM(T204:T205)</f>
        <v>0</v>
      </c>
      <c r="W203" s="195"/>
      <c r="X203" s="582"/>
      <c r="Y203" s="583" t="s">
        <v>57</v>
      </c>
      <c r="Z203" s="584" t="s">
        <v>1247</v>
      </c>
      <c r="AA203" s="584" t="s">
        <v>3563</v>
      </c>
      <c r="AB203" s="582"/>
      <c r="AC203" s="582"/>
      <c r="AD203" s="582"/>
      <c r="AE203" s="585">
        <f>SUM(AE204:AE205)</f>
        <v>50.24</v>
      </c>
      <c r="AF203" s="248"/>
      <c r="AG203" s="130"/>
      <c r="AH203" s="130"/>
      <c r="AR203" s="107" t="s">
        <v>63</v>
      </c>
      <c r="AT203" s="114" t="s">
        <v>57</v>
      </c>
      <c r="AU203" s="114" t="s">
        <v>63</v>
      </c>
      <c r="AY203" s="107" t="s">
        <v>228</v>
      </c>
      <c r="BK203" s="115">
        <f>SUM(BK204:BK205)</f>
        <v>302.8</v>
      </c>
    </row>
    <row r="204" spans="2:65" s="1" customFormat="1" ht="16.5" customHeight="1" x14ac:dyDescent="0.2">
      <c r="B204" s="118"/>
      <c r="C204" s="285" t="s">
        <v>258</v>
      </c>
      <c r="D204" s="119" t="s">
        <v>231</v>
      </c>
      <c r="E204" s="120" t="s">
        <v>3564</v>
      </c>
      <c r="F204" s="121" t="s">
        <v>3560</v>
      </c>
      <c r="G204" s="122" t="s">
        <v>1194</v>
      </c>
      <c r="H204" s="123">
        <v>2</v>
      </c>
      <c r="I204" s="124">
        <v>25.12</v>
      </c>
      <c r="J204" s="124">
        <f>ROUND(I204*H204,2)</f>
        <v>50.24</v>
      </c>
      <c r="K204" s="121" t="s">
        <v>1</v>
      </c>
      <c r="L204" s="24"/>
      <c r="M204" s="125" t="s">
        <v>1</v>
      </c>
      <c r="N204" s="126" t="s">
        <v>32</v>
      </c>
      <c r="O204" s="127">
        <v>0</v>
      </c>
      <c r="P204" s="127">
        <f>O204*H204</f>
        <v>0</v>
      </c>
      <c r="Q204" s="127">
        <v>0</v>
      </c>
      <c r="R204" s="127">
        <f>Q204*H204</f>
        <v>0</v>
      </c>
      <c r="S204" s="127">
        <v>0</v>
      </c>
      <c r="T204" s="128">
        <f>S204*H204</f>
        <v>0</v>
      </c>
      <c r="W204" s="199"/>
      <c r="X204" s="119" t="s">
        <v>258</v>
      </c>
      <c r="Y204" s="119" t="s">
        <v>231</v>
      </c>
      <c r="Z204" s="120" t="s">
        <v>3564</v>
      </c>
      <c r="AA204" s="121" t="s">
        <v>3560</v>
      </c>
      <c r="AB204" s="122" t="s">
        <v>1194</v>
      </c>
      <c r="AC204" s="123">
        <v>2</v>
      </c>
      <c r="AD204" s="124">
        <v>25.12</v>
      </c>
      <c r="AE204" s="200">
        <f>ROUND(AD204*AC204,2)</f>
        <v>50.24</v>
      </c>
      <c r="AF204" s="227"/>
      <c r="AG204" s="130"/>
      <c r="AH204" s="130"/>
      <c r="AR204" s="129" t="s">
        <v>235</v>
      </c>
      <c r="AT204" s="129" t="s">
        <v>231</v>
      </c>
      <c r="AU204" s="129" t="s">
        <v>76</v>
      </c>
      <c r="AY204" s="13" t="s">
        <v>228</v>
      </c>
      <c r="BE204" s="130">
        <f>IF(N204="základná",J204,0)</f>
        <v>0</v>
      </c>
      <c r="BF204" s="130">
        <f>IF(N204="znížená",J204,0)</f>
        <v>50.24</v>
      </c>
      <c r="BG204" s="130">
        <f>IF(N204="zákl. prenesená",J204,0)</f>
        <v>0</v>
      </c>
      <c r="BH204" s="130">
        <f>IF(N204="zníž. prenesená",J204,0)</f>
        <v>0</v>
      </c>
      <c r="BI204" s="130">
        <f>IF(N204="nulová",J204,0)</f>
        <v>0</v>
      </c>
      <c r="BJ204" s="13" t="s">
        <v>76</v>
      </c>
      <c r="BK204" s="130">
        <f>ROUND(I204*H204,2)</f>
        <v>50.24</v>
      </c>
      <c r="BL204" s="13" t="s">
        <v>235</v>
      </c>
      <c r="BM204" s="129" t="s">
        <v>288</v>
      </c>
    </row>
    <row r="205" spans="2:65" s="1" customFormat="1" ht="16.5" customHeight="1" x14ac:dyDescent="0.2">
      <c r="B205" s="118"/>
      <c r="C205" s="205" t="s">
        <v>289</v>
      </c>
      <c r="D205" s="119" t="s">
        <v>231</v>
      </c>
      <c r="E205" s="120" t="s">
        <v>3565</v>
      </c>
      <c r="F205" s="121" t="s">
        <v>3562</v>
      </c>
      <c r="G205" s="122" t="s">
        <v>1194</v>
      </c>
      <c r="H205" s="206">
        <v>8</v>
      </c>
      <c r="I205" s="124">
        <v>31.57</v>
      </c>
      <c r="J205" s="124">
        <f>ROUND(I205*H205,2)</f>
        <v>252.56</v>
      </c>
      <c r="K205" s="121" t="s">
        <v>1</v>
      </c>
      <c r="L205" s="24"/>
      <c r="M205" s="125" t="s">
        <v>1</v>
      </c>
      <c r="N205" s="126" t="s">
        <v>32</v>
      </c>
      <c r="O205" s="127">
        <v>0</v>
      </c>
      <c r="P205" s="127">
        <f>O205*H205</f>
        <v>0</v>
      </c>
      <c r="Q205" s="127">
        <v>0</v>
      </c>
      <c r="R205" s="127">
        <f>Q205*H205</f>
        <v>0</v>
      </c>
      <c r="S205" s="127">
        <v>0</v>
      </c>
      <c r="T205" s="128">
        <f>S205*H205</f>
        <v>0</v>
      </c>
      <c r="W205" s="199"/>
      <c r="X205" s="205" t="s">
        <v>289</v>
      </c>
      <c r="Y205" s="119" t="s">
        <v>231</v>
      </c>
      <c r="Z205" s="120" t="s">
        <v>3565</v>
      </c>
      <c r="AA205" s="121" t="s">
        <v>3562</v>
      </c>
      <c r="AB205" s="122" t="s">
        <v>1194</v>
      </c>
      <c r="AC205" s="206">
        <v>0</v>
      </c>
      <c r="AD205" s="124">
        <v>31.57</v>
      </c>
      <c r="AE205" s="200">
        <f>ROUND(AD205*AC205,2)</f>
        <v>0</v>
      </c>
      <c r="AF205" s="227">
        <v>7</v>
      </c>
      <c r="AG205" s="130"/>
      <c r="AH205" s="130"/>
      <c r="AR205" s="129" t="s">
        <v>235</v>
      </c>
      <c r="AT205" s="129" t="s">
        <v>231</v>
      </c>
      <c r="AU205" s="129" t="s">
        <v>76</v>
      </c>
      <c r="AY205" s="13" t="s">
        <v>228</v>
      </c>
      <c r="BE205" s="130">
        <f>IF(N205="základná",J205,0)</f>
        <v>0</v>
      </c>
      <c r="BF205" s="130">
        <f>IF(N205="znížená",J205,0)</f>
        <v>252.56</v>
      </c>
      <c r="BG205" s="130">
        <f>IF(N205="zákl. prenesená",J205,0)</f>
        <v>0</v>
      </c>
      <c r="BH205" s="130">
        <f>IF(N205="zníž. prenesená",J205,0)</f>
        <v>0</v>
      </c>
      <c r="BI205" s="130">
        <f>IF(N205="nulová",J205,0)</f>
        <v>0</v>
      </c>
      <c r="BJ205" s="13" t="s">
        <v>76</v>
      </c>
      <c r="BK205" s="130">
        <f>ROUND(I205*H205,2)</f>
        <v>252.56</v>
      </c>
      <c r="BL205" s="13" t="s">
        <v>235</v>
      </c>
      <c r="BM205" s="129" t="s">
        <v>293</v>
      </c>
    </row>
    <row r="206" spans="2:65" s="11" customFormat="1" ht="22.95" customHeight="1" x14ac:dyDescent="0.25">
      <c r="B206" s="106"/>
      <c r="D206" s="107" t="s">
        <v>57</v>
      </c>
      <c r="E206" s="116" t="s">
        <v>1252</v>
      </c>
      <c r="F206" s="116" t="s">
        <v>1216</v>
      </c>
      <c r="J206" s="117">
        <f>BK206</f>
        <v>334.84000000000003</v>
      </c>
      <c r="L206" s="106"/>
      <c r="M206" s="110"/>
      <c r="N206" s="111"/>
      <c r="O206" s="111"/>
      <c r="P206" s="112">
        <f>SUM(P208:P213)</f>
        <v>0</v>
      </c>
      <c r="Q206" s="111"/>
      <c r="R206" s="112">
        <f>SUM(R208:R213)</f>
        <v>0</v>
      </c>
      <c r="S206" s="111"/>
      <c r="T206" s="113">
        <f>SUM(T208:T213)</f>
        <v>0</v>
      </c>
      <c r="W206" s="195"/>
      <c r="X206" s="111"/>
      <c r="Y206" s="196" t="s">
        <v>57</v>
      </c>
      <c r="Z206" s="201" t="s">
        <v>1252</v>
      </c>
      <c r="AA206" s="201" t="s">
        <v>1216</v>
      </c>
      <c r="AB206" s="111"/>
      <c r="AC206" s="111"/>
      <c r="AD206" s="111"/>
      <c r="AE206" s="202">
        <f>SUM(AE207:AE213)</f>
        <v>217.41999999999996</v>
      </c>
      <c r="AF206" s="248"/>
      <c r="AG206" s="130"/>
      <c r="AH206" s="130"/>
      <c r="AR206" s="107" t="s">
        <v>63</v>
      </c>
      <c r="AT206" s="114" t="s">
        <v>57</v>
      </c>
      <c r="AU206" s="114" t="s">
        <v>63</v>
      </c>
      <c r="AY206" s="107" t="s">
        <v>228</v>
      </c>
      <c r="BK206" s="115">
        <f>SUM(BK208:BK213)</f>
        <v>334.84000000000003</v>
      </c>
    </row>
    <row r="207" spans="2:65" s="11" customFormat="1" ht="16.95" customHeight="1" x14ac:dyDescent="0.2">
      <c r="B207" s="106"/>
      <c r="C207" s="1234" t="s">
        <v>5205</v>
      </c>
      <c r="D207" s="1235"/>
      <c r="E207" s="1235"/>
      <c r="F207" s="1235"/>
      <c r="G207" s="1235"/>
      <c r="H207" s="1235"/>
      <c r="I207" s="1235"/>
      <c r="J207" s="1236"/>
      <c r="L207" s="106"/>
      <c r="M207" s="110"/>
      <c r="N207" s="111"/>
      <c r="O207" s="111"/>
      <c r="P207" s="112"/>
      <c r="Q207" s="111"/>
      <c r="R207" s="112"/>
      <c r="S207" s="111"/>
      <c r="T207" s="113"/>
      <c r="W207" s="195"/>
      <c r="X207" s="215" t="s">
        <v>5228</v>
      </c>
      <c r="Y207" s="207" t="s">
        <v>231</v>
      </c>
      <c r="Z207" s="216" t="s">
        <v>5229</v>
      </c>
      <c r="AA207" s="216" t="s">
        <v>5230</v>
      </c>
      <c r="AB207" s="210" t="s">
        <v>1194</v>
      </c>
      <c r="AC207" s="211">
        <v>2</v>
      </c>
      <c r="AD207" s="212">
        <v>13.86</v>
      </c>
      <c r="AE207" s="214">
        <f t="shared" ref="AE207" si="0">ROUND(AD207*AC207,2)</f>
        <v>27.72</v>
      </c>
      <c r="AF207" s="248">
        <v>7</v>
      </c>
      <c r="AG207" s="130"/>
      <c r="AH207" s="130"/>
      <c r="AR207" s="107"/>
      <c r="AT207" s="114"/>
      <c r="AU207" s="114"/>
      <c r="AY207" s="107"/>
      <c r="BK207" s="115"/>
    </row>
    <row r="208" spans="2:65" s="1" customFormat="1" ht="16.5" customHeight="1" x14ac:dyDescent="0.2">
      <c r="B208" s="118"/>
      <c r="C208" s="205" t="s">
        <v>262</v>
      </c>
      <c r="D208" s="119" t="s">
        <v>231</v>
      </c>
      <c r="E208" s="120" t="s">
        <v>1217</v>
      </c>
      <c r="F208" s="121" t="s">
        <v>1218</v>
      </c>
      <c r="G208" s="122" t="s">
        <v>1194</v>
      </c>
      <c r="H208" s="206">
        <v>6</v>
      </c>
      <c r="I208" s="124">
        <v>13.86</v>
      </c>
      <c r="J208" s="124">
        <f t="shared" ref="J208:J213" si="1">ROUND(I208*H208,2)</f>
        <v>83.16</v>
      </c>
      <c r="K208" s="121" t="s">
        <v>1</v>
      </c>
      <c r="L208" s="24"/>
      <c r="M208" s="125" t="s">
        <v>1</v>
      </c>
      <c r="N208" s="126" t="s">
        <v>32</v>
      </c>
      <c r="O208" s="127">
        <v>0</v>
      </c>
      <c r="P208" s="127">
        <f t="shared" ref="P208:P213" si="2">O208*H208</f>
        <v>0</v>
      </c>
      <c r="Q208" s="127">
        <v>0</v>
      </c>
      <c r="R208" s="127">
        <f t="shared" ref="R208:R213" si="3">Q208*H208</f>
        <v>0</v>
      </c>
      <c r="S208" s="127">
        <v>0</v>
      </c>
      <c r="T208" s="128">
        <f t="shared" ref="T208:T213" si="4">S208*H208</f>
        <v>0</v>
      </c>
      <c r="W208" s="199"/>
      <c r="X208" s="205" t="s">
        <v>262</v>
      </c>
      <c r="Y208" s="119" t="s">
        <v>231</v>
      </c>
      <c r="Z208" s="120" t="s">
        <v>1217</v>
      </c>
      <c r="AA208" s="121" t="s">
        <v>1218</v>
      </c>
      <c r="AB208" s="122" t="s">
        <v>1194</v>
      </c>
      <c r="AC208" s="206">
        <v>2</v>
      </c>
      <c r="AD208" s="124">
        <v>13.86</v>
      </c>
      <c r="AE208" s="200">
        <f t="shared" ref="AE208:AE213" si="5">ROUND(AD208*AC208,2)</f>
        <v>27.72</v>
      </c>
      <c r="AF208" s="227">
        <v>7</v>
      </c>
      <c r="AG208" s="130"/>
      <c r="AH208" s="130"/>
      <c r="AR208" s="129" t="s">
        <v>235</v>
      </c>
      <c r="AT208" s="129" t="s">
        <v>231</v>
      </c>
      <c r="AU208" s="129" t="s">
        <v>76</v>
      </c>
      <c r="AY208" s="13" t="s">
        <v>228</v>
      </c>
      <c r="BE208" s="130">
        <f t="shared" ref="BE208:BE213" si="6">IF(N208="základná",J208,0)</f>
        <v>0</v>
      </c>
      <c r="BF208" s="130">
        <f t="shared" ref="BF208:BF213" si="7">IF(N208="znížená",J208,0)</f>
        <v>83.16</v>
      </c>
      <c r="BG208" s="130">
        <f t="shared" ref="BG208:BG213" si="8">IF(N208="zákl. prenesená",J208,0)</f>
        <v>0</v>
      </c>
      <c r="BH208" s="130">
        <f t="shared" ref="BH208:BH213" si="9">IF(N208="zníž. prenesená",J208,0)</f>
        <v>0</v>
      </c>
      <c r="BI208" s="130">
        <f t="shared" ref="BI208:BI213" si="10">IF(N208="nulová",J208,0)</f>
        <v>0</v>
      </c>
      <c r="BJ208" s="13" t="s">
        <v>76</v>
      </c>
      <c r="BK208" s="130">
        <f t="shared" ref="BK208:BK213" si="11">ROUND(I208*H208,2)</f>
        <v>83.16</v>
      </c>
      <c r="BL208" s="13" t="s">
        <v>235</v>
      </c>
      <c r="BM208" s="129" t="s">
        <v>296</v>
      </c>
    </row>
    <row r="209" spans="2:65" s="1" customFormat="1" ht="16.5" customHeight="1" x14ac:dyDescent="0.2">
      <c r="B209" s="118"/>
      <c r="C209" s="119" t="s">
        <v>297</v>
      </c>
      <c r="D209" s="119" t="s">
        <v>231</v>
      </c>
      <c r="E209" s="120" t="s">
        <v>1219</v>
      </c>
      <c r="F209" s="121" t="s">
        <v>1220</v>
      </c>
      <c r="G209" s="122" t="s">
        <v>1194</v>
      </c>
      <c r="H209" s="123">
        <v>2</v>
      </c>
      <c r="I209" s="124">
        <v>14.05</v>
      </c>
      <c r="J209" s="124">
        <f t="shared" si="1"/>
        <v>28.1</v>
      </c>
      <c r="K209" s="121" t="s">
        <v>1</v>
      </c>
      <c r="L209" s="24"/>
      <c r="M209" s="125" t="s">
        <v>1</v>
      </c>
      <c r="N209" s="126" t="s">
        <v>32</v>
      </c>
      <c r="O209" s="127">
        <v>0</v>
      </c>
      <c r="P209" s="127">
        <f t="shared" si="2"/>
        <v>0</v>
      </c>
      <c r="Q209" s="127">
        <v>0</v>
      </c>
      <c r="R209" s="127">
        <f t="shared" si="3"/>
        <v>0</v>
      </c>
      <c r="S209" s="127">
        <v>0</v>
      </c>
      <c r="T209" s="128">
        <f t="shared" si="4"/>
        <v>0</v>
      </c>
      <c r="W209" s="199"/>
      <c r="X209" s="119" t="s">
        <v>297</v>
      </c>
      <c r="Y209" s="119" t="s">
        <v>231</v>
      </c>
      <c r="Z209" s="120" t="s">
        <v>1219</v>
      </c>
      <c r="AA209" s="121" t="s">
        <v>1220</v>
      </c>
      <c r="AB209" s="122" t="s">
        <v>1194</v>
      </c>
      <c r="AC209" s="123">
        <v>2</v>
      </c>
      <c r="AD209" s="124">
        <v>14.05</v>
      </c>
      <c r="AE209" s="200">
        <f t="shared" si="5"/>
        <v>28.1</v>
      </c>
      <c r="AF209" s="227"/>
      <c r="AG209" s="130"/>
      <c r="AH209" s="130"/>
      <c r="AR209" s="129" t="s">
        <v>235</v>
      </c>
      <c r="AT209" s="129" t="s">
        <v>231</v>
      </c>
      <c r="AU209" s="129" t="s">
        <v>76</v>
      </c>
      <c r="AY209" s="13" t="s">
        <v>228</v>
      </c>
      <c r="BE209" s="130">
        <f t="shared" si="6"/>
        <v>0</v>
      </c>
      <c r="BF209" s="130">
        <f t="shared" si="7"/>
        <v>28.1</v>
      </c>
      <c r="BG209" s="130">
        <f t="shared" si="8"/>
        <v>0</v>
      </c>
      <c r="BH209" s="130">
        <f t="shared" si="9"/>
        <v>0</v>
      </c>
      <c r="BI209" s="130">
        <f t="shared" si="10"/>
        <v>0</v>
      </c>
      <c r="BJ209" s="13" t="s">
        <v>76</v>
      </c>
      <c r="BK209" s="130">
        <f t="shared" si="11"/>
        <v>28.1</v>
      </c>
      <c r="BL209" s="13" t="s">
        <v>235</v>
      </c>
      <c r="BM209" s="129" t="s">
        <v>300</v>
      </c>
    </row>
    <row r="210" spans="2:65" s="1" customFormat="1" ht="16.5" customHeight="1" x14ac:dyDescent="0.2">
      <c r="B210" s="118"/>
      <c r="C210" s="119" t="s">
        <v>7</v>
      </c>
      <c r="D210" s="119" t="s">
        <v>231</v>
      </c>
      <c r="E210" s="120" t="s">
        <v>1221</v>
      </c>
      <c r="F210" s="121" t="s">
        <v>1222</v>
      </c>
      <c r="G210" s="122" t="s">
        <v>1194</v>
      </c>
      <c r="H210" s="123">
        <v>4</v>
      </c>
      <c r="I210" s="124">
        <v>15.7</v>
      </c>
      <c r="J210" s="124">
        <f t="shared" si="1"/>
        <v>62.8</v>
      </c>
      <c r="K210" s="121" t="s">
        <v>1</v>
      </c>
      <c r="L210" s="24"/>
      <c r="M210" s="125" t="s">
        <v>1</v>
      </c>
      <c r="N210" s="126" t="s">
        <v>32</v>
      </c>
      <c r="O210" s="127">
        <v>0</v>
      </c>
      <c r="P210" s="127">
        <f t="shared" si="2"/>
        <v>0</v>
      </c>
      <c r="Q210" s="127">
        <v>0</v>
      </c>
      <c r="R210" s="127">
        <f t="shared" si="3"/>
        <v>0</v>
      </c>
      <c r="S210" s="127">
        <v>0</v>
      </c>
      <c r="T210" s="128">
        <f t="shared" si="4"/>
        <v>0</v>
      </c>
      <c r="W210" s="199"/>
      <c r="X210" s="119" t="s">
        <v>7</v>
      </c>
      <c r="Y210" s="119" t="s">
        <v>231</v>
      </c>
      <c r="Z210" s="120" t="s">
        <v>1221</v>
      </c>
      <c r="AA210" s="121" t="s">
        <v>1222</v>
      </c>
      <c r="AB210" s="122" t="s">
        <v>1194</v>
      </c>
      <c r="AC210" s="123">
        <v>4</v>
      </c>
      <c r="AD210" s="124">
        <v>15.7</v>
      </c>
      <c r="AE210" s="200">
        <f t="shared" si="5"/>
        <v>62.8</v>
      </c>
      <c r="AF210" s="227"/>
      <c r="AG210" s="130"/>
      <c r="AH210" s="130"/>
      <c r="AR210" s="129" t="s">
        <v>235</v>
      </c>
      <c r="AT210" s="129" t="s">
        <v>231</v>
      </c>
      <c r="AU210" s="129" t="s">
        <v>76</v>
      </c>
      <c r="AY210" s="13" t="s">
        <v>228</v>
      </c>
      <c r="BE210" s="130">
        <f t="shared" si="6"/>
        <v>0</v>
      </c>
      <c r="BF210" s="130">
        <f t="shared" si="7"/>
        <v>62.8</v>
      </c>
      <c r="BG210" s="130">
        <f t="shared" si="8"/>
        <v>0</v>
      </c>
      <c r="BH210" s="130">
        <f t="shared" si="9"/>
        <v>0</v>
      </c>
      <c r="BI210" s="130">
        <f t="shared" si="10"/>
        <v>0</v>
      </c>
      <c r="BJ210" s="13" t="s">
        <v>76</v>
      </c>
      <c r="BK210" s="130">
        <f t="shared" si="11"/>
        <v>62.8</v>
      </c>
      <c r="BL210" s="13" t="s">
        <v>235</v>
      </c>
      <c r="BM210" s="129" t="s">
        <v>303</v>
      </c>
    </row>
    <row r="211" spans="2:65" s="1" customFormat="1" ht="16.5" customHeight="1" x14ac:dyDescent="0.2">
      <c r="B211" s="118"/>
      <c r="C211" s="205" t="s">
        <v>305</v>
      </c>
      <c r="D211" s="119" t="s">
        <v>231</v>
      </c>
      <c r="E211" s="120" t="s">
        <v>1223</v>
      </c>
      <c r="F211" s="121" t="s">
        <v>1224</v>
      </c>
      <c r="G211" s="122" t="s">
        <v>1194</v>
      </c>
      <c r="H211" s="206">
        <v>2</v>
      </c>
      <c r="I211" s="124">
        <v>17.670000000000002</v>
      </c>
      <c r="J211" s="124">
        <f t="shared" si="1"/>
        <v>35.340000000000003</v>
      </c>
      <c r="K211" s="121" t="s">
        <v>1</v>
      </c>
      <c r="L211" s="24"/>
      <c r="M211" s="125" t="s">
        <v>1</v>
      </c>
      <c r="N211" s="126" t="s">
        <v>32</v>
      </c>
      <c r="O211" s="127">
        <v>0</v>
      </c>
      <c r="P211" s="127">
        <f t="shared" si="2"/>
        <v>0</v>
      </c>
      <c r="Q211" s="127">
        <v>0</v>
      </c>
      <c r="R211" s="127">
        <f t="shared" si="3"/>
        <v>0</v>
      </c>
      <c r="S211" s="127">
        <v>0</v>
      </c>
      <c r="T211" s="128">
        <f t="shared" si="4"/>
        <v>0</v>
      </c>
      <c r="W211" s="199"/>
      <c r="X211" s="205" t="s">
        <v>305</v>
      </c>
      <c r="Y211" s="119" t="s">
        <v>231</v>
      </c>
      <c r="Z211" s="120" t="s">
        <v>1223</v>
      </c>
      <c r="AA211" s="121" t="s">
        <v>1224</v>
      </c>
      <c r="AB211" s="122" t="s">
        <v>1194</v>
      </c>
      <c r="AC211" s="206">
        <v>0</v>
      </c>
      <c r="AD211" s="124">
        <v>17.670000000000002</v>
      </c>
      <c r="AE211" s="200">
        <f t="shared" si="5"/>
        <v>0</v>
      </c>
      <c r="AF211" s="227">
        <v>7</v>
      </c>
      <c r="AG211" s="130"/>
      <c r="AH211" s="130"/>
      <c r="AR211" s="129" t="s">
        <v>235</v>
      </c>
      <c r="AT211" s="129" t="s">
        <v>231</v>
      </c>
      <c r="AU211" s="129" t="s">
        <v>76</v>
      </c>
      <c r="AY211" s="13" t="s">
        <v>228</v>
      </c>
      <c r="BE211" s="130">
        <f t="shared" si="6"/>
        <v>0</v>
      </c>
      <c r="BF211" s="130">
        <f t="shared" si="7"/>
        <v>35.340000000000003</v>
      </c>
      <c r="BG211" s="130">
        <f t="shared" si="8"/>
        <v>0</v>
      </c>
      <c r="BH211" s="130">
        <f t="shared" si="9"/>
        <v>0</v>
      </c>
      <c r="BI211" s="130">
        <f t="shared" si="10"/>
        <v>0</v>
      </c>
      <c r="BJ211" s="13" t="s">
        <v>76</v>
      </c>
      <c r="BK211" s="130">
        <f t="shared" si="11"/>
        <v>35.340000000000003</v>
      </c>
      <c r="BL211" s="13" t="s">
        <v>235</v>
      </c>
      <c r="BM211" s="129" t="s">
        <v>308</v>
      </c>
    </row>
    <row r="212" spans="2:65" s="1" customFormat="1" ht="16.5" customHeight="1" x14ac:dyDescent="0.2">
      <c r="B212" s="118"/>
      <c r="C212" s="119" t="s">
        <v>268</v>
      </c>
      <c r="D212" s="119" t="s">
        <v>231</v>
      </c>
      <c r="E212" s="120" t="s">
        <v>1225</v>
      </c>
      <c r="F212" s="121" t="s">
        <v>1226</v>
      </c>
      <c r="G212" s="122" t="s">
        <v>1194</v>
      </c>
      <c r="H212" s="123">
        <v>4</v>
      </c>
      <c r="I212" s="124">
        <v>17.77</v>
      </c>
      <c r="J212" s="124">
        <f t="shared" si="1"/>
        <v>71.08</v>
      </c>
      <c r="K212" s="121" t="s">
        <v>1</v>
      </c>
      <c r="L212" s="24"/>
      <c r="M212" s="125" t="s">
        <v>1</v>
      </c>
      <c r="N212" s="126" t="s">
        <v>32</v>
      </c>
      <c r="O212" s="127">
        <v>0</v>
      </c>
      <c r="P212" s="127">
        <f t="shared" si="2"/>
        <v>0</v>
      </c>
      <c r="Q212" s="127">
        <v>0</v>
      </c>
      <c r="R212" s="127">
        <f t="shared" si="3"/>
        <v>0</v>
      </c>
      <c r="S212" s="127">
        <v>0</v>
      </c>
      <c r="T212" s="128">
        <f t="shared" si="4"/>
        <v>0</v>
      </c>
      <c r="W212" s="199"/>
      <c r="X212" s="119" t="s">
        <v>268</v>
      </c>
      <c r="Y212" s="119" t="s">
        <v>231</v>
      </c>
      <c r="Z212" s="120" t="s">
        <v>1225</v>
      </c>
      <c r="AA212" s="121" t="s">
        <v>1226</v>
      </c>
      <c r="AB212" s="122" t="s">
        <v>1194</v>
      </c>
      <c r="AC212" s="123">
        <v>4</v>
      </c>
      <c r="AD212" s="124">
        <v>17.77</v>
      </c>
      <c r="AE212" s="200">
        <f t="shared" si="5"/>
        <v>71.08</v>
      </c>
      <c r="AF212" s="227"/>
      <c r="AG212" s="130"/>
      <c r="AH212" s="130"/>
      <c r="AR212" s="129" t="s">
        <v>235</v>
      </c>
      <c r="AT212" s="129" t="s">
        <v>231</v>
      </c>
      <c r="AU212" s="129" t="s">
        <v>76</v>
      </c>
      <c r="AY212" s="13" t="s">
        <v>228</v>
      </c>
      <c r="BE212" s="130">
        <f t="shared" si="6"/>
        <v>0</v>
      </c>
      <c r="BF212" s="130">
        <f t="shared" si="7"/>
        <v>71.08</v>
      </c>
      <c r="BG212" s="130">
        <f t="shared" si="8"/>
        <v>0</v>
      </c>
      <c r="BH212" s="130">
        <f t="shared" si="9"/>
        <v>0</v>
      </c>
      <c r="BI212" s="130">
        <f t="shared" si="10"/>
        <v>0</v>
      </c>
      <c r="BJ212" s="13" t="s">
        <v>76</v>
      </c>
      <c r="BK212" s="130">
        <f t="shared" si="11"/>
        <v>71.08</v>
      </c>
      <c r="BL212" s="13" t="s">
        <v>235</v>
      </c>
      <c r="BM212" s="129" t="s">
        <v>312</v>
      </c>
    </row>
    <row r="213" spans="2:65" s="1" customFormat="1" ht="16.5" customHeight="1" x14ac:dyDescent="0.2">
      <c r="B213" s="118"/>
      <c r="C213" s="205" t="s">
        <v>313</v>
      </c>
      <c r="D213" s="119" t="s">
        <v>231</v>
      </c>
      <c r="E213" s="120" t="s">
        <v>3566</v>
      </c>
      <c r="F213" s="121" t="s">
        <v>3567</v>
      </c>
      <c r="G213" s="122" t="s">
        <v>1194</v>
      </c>
      <c r="H213" s="206">
        <v>2</v>
      </c>
      <c r="I213" s="124">
        <v>27.18</v>
      </c>
      <c r="J213" s="124">
        <f t="shared" si="1"/>
        <v>54.36</v>
      </c>
      <c r="K213" s="121" t="s">
        <v>1</v>
      </c>
      <c r="L213" s="24"/>
      <c r="M213" s="125" t="s">
        <v>1</v>
      </c>
      <c r="N213" s="126" t="s">
        <v>32</v>
      </c>
      <c r="O213" s="127">
        <v>0</v>
      </c>
      <c r="P213" s="127">
        <f t="shared" si="2"/>
        <v>0</v>
      </c>
      <c r="Q213" s="127">
        <v>0</v>
      </c>
      <c r="R213" s="127">
        <f t="shared" si="3"/>
        <v>0</v>
      </c>
      <c r="S213" s="127">
        <v>0</v>
      </c>
      <c r="T213" s="128">
        <f t="shared" si="4"/>
        <v>0</v>
      </c>
      <c r="W213" s="199"/>
      <c r="X213" s="205" t="s">
        <v>313</v>
      </c>
      <c r="Y213" s="119" t="s">
        <v>231</v>
      </c>
      <c r="Z213" s="120" t="s">
        <v>3566</v>
      </c>
      <c r="AA213" s="121" t="s">
        <v>3567</v>
      </c>
      <c r="AB213" s="122" t="s">
        <v>1194</v>
      </c>
      <c r="AC213" s="206">
        <v>0</v>
      </c>
      <c r="AD213" s="124">
        <v>27.18</v>
      </c>
      <c r="AE213" s="200">
        <f t="shared" si="5"/>
        <v>0</v>
      </c>
      <c r="AF213" s="227">
        <v>7</v>
      </c>
      <c r="AG213" s="130"/>
      <c r="AH213" s="130"/>
      <c r="AR213" s="129" t="s">
        <v>235</v>
      </c>
      <c r="AT213" s="129" t="s">
        <v>231</v>
      </c>
      <c r="AU213" s="129" t="s">
        <v>76</v>
      </c>
      <c r="AY213" s="13" t="s">
        <v>228</v>
      </c>
      <c r="BE213" s="130">
        <f t="shared" si="6"/>
        <v>0</v>
      </c>
      <c r="BF213" s="130">
        <f t="shared" si="7"/>
        <v>54.36</v>
      </c>
      <c r="BG213" s="130">
        <f t="shared" si="8"/>
        <v>0</v>
      </c>
      <c r="BH213" s="130">
        <f t="shared" si="9"/>
        <v>0</v>
      </c>
      <c r="BI213" s="130">
        <f t="shared" si="10"/>
        <v>0</v>
      </c>
      <c r="BJ213" s="13" t="s">
        <v>76</v>
      </c>
      <c r="BK213" s="130">
        <f t="shared" si="11"/>
        <v>54.36</v>
      </c>
      <c r="BL213" s="13" t="s">
        <v>235</v>
      </c>
      <c r="BM213" s="129" t="s">
        <v>316</v>
      </c>
    </row>
    <row r="214" spans="2:65" s="11" customFormat="1" ht="22.95" customHeight="1" x14ac:dyDescent="0.25">
      <c r="B214" s="106"/>
      <c r="D214" s="107" t="s">
        <v>57</v>
      </c>
      <c r="E214" s="116" t="s">
        <v>1269</v>
      </c>
      <c r="F214" s="116" t="s">
        <v>3568</v>
      </c>
      <c r="J214" s="117">
        <f>BK214</f>
        <v>153.72</v>
      </c>
      <c r="L214" s="106"/>
      <c r="M214" s="110"/>
      <c r="N214" s="111"/>
      <c r="O214" s="111"/>
      <c r="P214" s="112">
        <f>SUM(P215:P218)</f>
        <v>0</v>
      </c>
      <c r="Q214" s="111"/>
      <c r="R214" s="112">
        <f>SUM(R215:R218)</f>
        <v>0</v>
      </c>
      <c r="S214" s="111"/>
      <c r="T214" s="113">
        <f>SUM(T215:T218)</f>
        <v>0</v>
      </c>
      <c r="W214" s="195"/>
      <c r="X214" s="111"/>
      <c r="Y214" s="196" t="s">
        <v>57</v>
      </c>
      <c r="Z214" s="201" t="s">
        <v>1269</v>
      </c>
      <c r="AA214" s="201" t="s">
        <v>3568</v>
      </c>
      <c r="AB214" s="111"/>
      <c r="AC214" s="111"/>
      <c r="AD214" s="111"/>
      <c r="AE214" s="202">
        <f>SUM(AE215:AE218)</f>
        <v>161.30000000000001</v>
      </c>
      <c r="AF214" s="248"/>
      <c r="AG214" s="130"/>
      <c r="AH214" s="130"/>
      <c r="AR214" s="107" t="s">
        <v>63</v>
      </c>
      <c r="AT214" s="114" t="s">
        <v>57</v>
      </c>
      <c r="AU214" s="114" t="s">
        <v>63</v>
      </c>
      <c r="AY214" s="107" t="s">
        <v>228</v>
      </c>
      <c r="BK214" s="115">
        <f>SUM(BK215:BK218)</f>
        <v>153.72</v>
      </c>
    </row>
    <row r="215" spans="2:65" s="1" customFormat="1" ht="16.5" customHeight="1" x14ac:dyDescent="0.2">
      <c r="B215" s="118"/>
      <c r="C215" s="119" t="s">
        <v>272</v>
      </c>
      <c r="D215" s="119" t="s">
        <v>231</v>
      </c>
      <c r="E215" s="120" t="s">
        <v>3569</v>
      </c>
      <c r="F215" s="121" t="s">
        <v>3570</v>
      </c>
      <c r="G215" s="122" t="s">
        <v>1194</v>
      </c>
      <c r="H215" s="123">
        <v>8</v>
      </c>
      <c r="I215" s="124">
        <v>9.5399999999999991</v>
      </c>
      <c r="J215" s="124">
        <f>ROUND(I215*H215,2)</f>
        <v>76.319999999999993</v>
      </c>
      <c r="K215" s="121" t="s">
        <v>1</v>
      </c>
      <c r="L215" s="24"/>
      <c r="M215" s="125" t="s">
        <v>1</v>
      </c>
      <c r="N215" s="126" t="s">
        <v>32</v>
      </c>
      <c r="O215" s="127">
        <v>0</v>
      </c>
      <c r="P215" s="127">
        <f>O215*H215</f>
        <v>0</v>
      </c>
      <c r="Q215" s="127">
        <v>0</v>
      </c>
      <c r="R215" s="127">
        <f>Q215*H215</f>
        <v>0</v>
      </c>
      <c r="S215" s="127">
        <v>0</v>
      </c>
      <c r="T215" s="128">
        <f>S215*H215</f>
        <v>0</v>
      </c>
      <c r="W215" s="199"/>
      <c r="X215" s="119" t="s">
        <v>272</v>
      </c>
      <c r="Y215" s="119" t="s">
        <v>231</v>
      </c>
      <c r="Z215" s="120" t="s">
        <v>3569</v>
      </c>
      <c r="AA215" s="121" t="s">
        <v>3570</v>
      </c>
      <c r="AB215" s="122" t="s">
        <v>1194</v>
      </c>
      <c r="AC215" s="123">
        <v>8</v>
      </c>
      <c r="AD215" s="124">
        <v>9.5399999999999991</v>
      </c>
      <c r="AE215" s="200">
        <f>ROUND(AD215*AC215,2)</f>
        <v>76.319999999999993</v>
      </c>
      <c r="AF215" s="227"/>
      <c r="AG215" s="130"/>
      <c r="AH215" s="130"/>
      <c r="AR215" s="129" t="s">
        <v>235</v>
      </c>
      <c r="AT215" s="129" t="s">
        <v>231</v>
      </c>
      <c r="AU215" s="129" t="s">
        <v>76</v>
      </c>
      <c r="AY215" s="13" t="s">
        <v>228</v>
      </c>
      <c r="BE215" s="130">
        <f>IF(N215="základná",J215,0)</f>
        <v>0</v>
      </c>
      <c r="BF215" s="130">
        <f>IF(N215="znížená",J215,0)</f>
        <v>76.319999999999993</v>
      </c>
      <c r="BG215" s="130">
        <f>IF(N215="zákl. prenesená",J215,0)</f>
        <v>0</v>
      </c>
      <c r="BH215" s="130">
        <f>IF(N215="zníž. prenesená",J215,0)</f>
        <v>0</v>
      </c>
      <c r="BI215" s="130">
        <f>IF(N215="nulová",J215,0)</f>
        <v>0</v>
      </c>
      <c r="BJ215" s="13" t="s">
        <v>76</v>
      </c>
      <c r="BK215" s="130">
        <f>ROUND(I215*H215,2)</f>
        <v>76.319999999999993</v>
      </c>
      <c r="BL215" s="13" t="s">
        <v>235</v>
      </c>
      <c r="BM215" s="129" t="s">
        <v>319</v>
      </c>
    </row>
    <row r="216" spans="2:65" s="1" customFormat="1" ht="16.5" customHeight="1" x14ac:dyDescent="0.2">
      <c r="B216" s="118"/>
      <c r="C216" s="1234" t="s">
        <v>5205</v>
      </c>
      <c r="D216" s="1235"/>
      <c r="E216" s="1235"/>
      <c r="F216" s="1235"/>
      <c r="G216" s="1235"/>
      <c r="H216" s="1235"/>
      <c r="I216" s="1235"/>
      <c r="J216" s="1236"/>
      <c r="K216" s="121"/>
      <c r="L216" s="24"/>
      <c r="M216" s="125"/>
      <c r="N216" s="126"/>
      <c r="O216" s="127"/>
      <c r="P216" s="127"/>
      <c r="Q216" s="127"/>
      <c r="R216" s="127"/>
      <c r="S216" s="127"/>
      <c r="T216" s="128"/>
      <c r="W216" s="199"/>
      <c r="X216" s="215" t="s">
        <v>5215</v>
      </c>
      <c r="Y216" s="207"/>
      <c r="Z216" s="216" t="s">
        <v>5232</v>
      </c>
      <c r="AA216" s="217" t="s">
        <v>4486</v>
      </c>
      <c r="AB216" s="210" t="s">
        <v>1194</v>
      </c>
      <c r="AC216" s="211">
        <v>2</v>
      </c>
      <c r="AD216" s="212">
        <v>14.14</v>
      </c>
      <c r="AE216" s="214">
        <f>ROUND(AD216*AC216,2)</f>
        <v>28.28</v>
      </c>
      <c r="AF216" s="227">
        <v>7</v>
      </c>
      <c r="AG216" s="130"/>
      <c r="AH216" s="130"/>
      <c r="AR216" s="129"/>
      <c r="AT216" s="129"/>
      <c r="AU216" s="129"/>
      <c r="AY216" s="13"/>
      <c r="BE216" s="130"/>
      <c r="BF216" s="130"/>
      <c r="BG216" s="130"/>
      <c r="BH216" s="130"/>
      <c r="BI216" s="130"/>
      <c r="BJ216" s="13"/>
      <c r="BK216" s="130"/>
      <c r="BL216" s="13"/>
      <c r="BM216" s="129"/>
    </row>
    <row r="217" spans="2:65" s="1" customFormat="1" ht="16.2" customHeight="1" x14ac:dyDescent="0.2">
      <c r="B217" s="118"/>
      <c r="C217" s="1234" t="s">
        <v>5205</v>
      </c>
      <c r="D217" s="1235"/>
      <c r="E217" s="1235"/>
      <c r="F217" s="1235"/>
      <c r="G217" s="1235"/>
      <c r="H217" s="1235"/>
      <c r="I217" s="1235"/>
      <c r="J217" s="1236"/>
      <c r="K217" s="121"/>
      <c r="L217" s="24"/>
      <c r="M217" s="125"/>
      <c r="N217" s="126"/>
      <c r="O217" s="127"/>
      <c r="P217" s="127"/>
      <c r="Q217" s="127"/>
      <c r="R217" s="127"/>
      <c r="S217" s="127"/>
      <c r="T217" s="128"/>
      <c r="W217" s="199"/>
      <c r="X217" s="215" t="s">
        <v>5234</v>
      </c>
      <c r="Y217" s="207"/>
      <c r="Z217" s="216" t="s">
        <v>5233</v>
      </c>
      <c r="AA217" s="217" t="s">
        <v>5231</v>
      </c>
      <c r="AB217" s="210" t="s">
        <v>1194</v>
      </c>
      <c r="AC217" s="211">
        <v>2</v>
      </c>
      <c r="AD217" s="212">
        <v>28.35</v>
      </c>
      <c r="AE217" s="214">
        <f>ROUND(AD217*AC217,2)</f>
        <v>56.7</v>
      </c>
      <c r="AF217" s="227">
        <v>7</v>
      </c>
      <c r="AG217" s="130"/>
      <c r="AH217" s="130"/>
      <c r="AR217" s="129"/>
      <c r="AT217" s="129"/>
      <c r="AU217" s="129"/>
      <c r="AY217" s="13"/>
      <c r="BE217" s="130"/>
      <c r="BF217" s="130"/>
      <c r="BG217" s="130"/>
      <c r="BH217" s="130"/>
      <c r="BI217" s="130"/>
      <c r="BJ217" s="13"/>
      <c r="BK217" s="130"/>
      <c r="BL217" s="13"/>
      <c r="BM217" s="129"/>
    </row>
    <row r="218" spans="2:65" s="1" customFormat="1" ht="16.5" customHeight="1" x14ac:dyDescent="0.2">
      <c r="B218" s="118"/>
      <c r="C218" s="205" t="s">
        <v>320</v>
      </c>
      <c r="D218" s="119" t="s">
        <v>231</v>
      </c>
      <c r="E218" s="120" t="s">
        <v>3571</v>
      </c>
      <c r="F218" s="121" t="s">
        <v>3572</v>
      </c>
      <c r="G218" s="122" t="s">
        <v>1194</v>
      </c>
      <c r="H218" s="206">
        <v>2</v>
      </c>
      <c r="I218" s="124">
        <v>38.700000000000003</v>
      </c>
      <c r="J218" s="124">
        <f>ROUND(I218*H218,2)</f>
        <v>77.400000000000006</v>
      </c>
      <c r="K218" s="121" t="s">
        <v>1</v>
      </c>
      <c r="L218" s="24"/>
      <c r="M218" s="125" t="s">
        <v>1</v>
      </c>
      <c r="N218" s="126" t="s">
        <v>32</v>
      </c>
      <c r="O218" s="127">
        <v>0</v>
      </c>
      <c r="P218" s="127">
        <f>O218*H218</f>
        <v>0</v>
      </c>
      <c r="Q218" s="127">
        <v>0</v>
      </c>
      <c r="R218" s="127">
        <f>Q218*H218</f>
        <v>0</v>
      </c>
      <c r="S218" s="127">
        <v>0</v>
      </c>
      <c r="T218" s="128">
        <f>S218*H218</f>
        <v>0</v>
      </c>
      <c r="W218" s="199"/>
      <c r="X218" s="205" t="s">
        <v>320</v>
      </c>
      <c r="Y218" s="119" t="s">
        <v>231</v>
      </c>
      <c r="Z218" s="120" t="s">
        <v>3571</v>
      </c>
      <c r="AA218" s="121" t="s">
        <v>3572</v>
      </c>
      <c r="AB218" s="122" t="s">
        <v>1194</v>
      </c>
      <c r="AC218" s="206">
        <v>0</v>
      </c>
      <c r="AD218" s="124">
        <v>38.700000000000003</v>
      </c>
      <c r="AE218" s="200">
        <f>ROUND(AD218*AC218,2)</f>
        <v>0</v>
      </c>
      <c r="AF218" s="227"/>
      <c r="AG218" s="130"/>
      <c r="AH218" s="130"/>
      <c r="AR218" s="129" t="s">
        <v>235</v>
      </c>
      <c r="AT218" s="129" t="s">
        <v>231</v>
      </c>
      <c r="AU218" s="129" t="s">
        <v>76</v>
      </c>
      <c r="AY218" s="13" t="s">
        <v>228</v>
      </c>
      <c r="BE218" s="130">
        <f>IF(N218="základná",J218,0)</f>
        <v>0</v>
      </c>
      <c r="BF218" s="130">
        <f>IF(N218="znížená",J218,0)</f>
        <v>77.400000000000006</v>
      </c>
      <c r="BG218" s="130">
        <f>IF(N218="zákl. prenesená",J218,0)</f>
        <v>0</v>
      </c>
      <c r="BH218" s="130">
        <f>IF(N218="zníž. prenesená",J218,0)</f>
        <v>0</v>
      </c>
      <c r="BI218" s="130">
        <f>IF(N218="nulová",J218,0)</f>
        <v>0</v>
      </c>
      <c r="BJ218" s="13" t="s">
        <v>76</v>
      </c>
      <c r="BK218" s="130">
        <f>ROUND(I218*H218,2)</f>
        <v>77.400000000000006</v>
      </c>
      <c r="BL218" s="13" t="s">
        <v>235</v>
      </c>
      <c r="BM218" s="129" t="s">
        <v>323</v>
      </c>
    </row>
    <row r="219" spans="2:65" s="11" customFormat="1" ht="22.95" customHeight="1" x14ac:dyDescent="0.25">
      <c r="B219" s="106"/>
      <c r="D219" s="107" t="s">
        <v>57</v>
      </c>
      <c r="E219" s="116" t="s">
        <v>1943</v>
      </c>
      <c r="F219" s="116" t="s">
        <v>1228</v>
      </c>
      <c r="J219" s="117">
        <f>BK219</f>
        <v>682.99</v>
      </c>
      <c r="L219" s="106"/>
      <c r="M219" s="110"/>
      <c r="N219" s="111"/>
      <c r="O219" s="111"/>
      <c r="P219" s="112">
        <f>SUM(P221:P223)</f>
        <v>0</v>
      </c>
      <c r="Q219" s="111"/>
      <c r="R219" s="112">
        <f>SUM(R221:R223)</f>
        <v>0</v>
      </c>
      <c r="S219" s="111"/>
      <c r="T219" s="113">
        <f>SUM(T221:T223)</f>
        <v>0</v>
      </c>
      <c r="W219" s="195"/>
      <c r="X219" s="111"/>
      <c r="Y219" s="196" t="s">
        <v>57</v>
      </c>
      <c r="Z219" s="201" t="s">
        <v>1943</v>
      </c>
      <c r="AA219" s="201" t="s">
        <v>1228</v>
      </c>
      <c r="AB219" s="111"/>
      <c r="AC219" s="111"/>
      <c r="AD219" s="111"/>
      <c r="AE219" s="202">
        <f>SUM(AE220:AE223)</f>
        <v>555.04</v>
      </c>
      <c r="AF219" s="248"/>
      <c r="AG219" s="130"/>
      <c r="AH219" s="130"/>
      <c r="AR219" s="107" t="s">
        <v>63</v>
      </c>
      <c r="AT219" s="114" t="s">
        <v>57</v>
      </c>
      <c r="AU219" s="114" t="s">
        <v>63</v>
      </c>
      <c r="AY219" s="107" t="s">
        <v>228</v>
      </c>
      <c r="BK219" s="115">
        <f>SUM(BK221:BK223)</f>
        <v>682.99</v>
      </c>
    </row>
    <row r="220" spans="2:65" s="11" customFormat="1" ht="16.2" customHeight="1" x14ac:dyDescent="0.2">
      <c r="B220" s="106"/>
      <c r="C220" s="1234" t="s">
        <v>5205</v>
      </c>
      <c r="D220" s="1235"/>
      <c r="E220" s="1235"/>
      <c r="F220" s="1235"/>
      <c r="G220" s="1235"/>
      <c r="H220" s="1235"/>
      <c r="I220" s="1235"/>
      <c r="J220" s="1236"/>
      <c r="L220" s="106"/>
      <c r="M220" s="110"/>
      <c r="N220" s="111"/>
      <c r="O220" s="111"/>
      <c r="P220" s="112"/>
      <c r="Q220" s="111"/>
      <c r="R220" s="112"/>
      <c r="S220" s="111"/>
      <c r="T220" s="113"/>
      <c r="W220" s="195"/>
      <c r="X220" s="215" t="s">
        <v>5218</v>
      </c>
      <c r="Y220" s="207" t="s">
        <v>231</v>
      </c>
      <c r="Z220" s="216" t="s">
        <v>5235</v>
      </c>
      <c r="AA220" s="209" t="s">
        <v>1210</v>
      </c>
      <c r="AB220" s="210" t="s">
        <v>1194</v>
      </c>
      <c r="AC220" s="211">
        <v>2</v>
      </c>
      <c r="AD220" s="212">
        <v>44.26</v>
      </c>
      <c r="AE220" s="214">
        <f>ROUND(AD220*AC220,2)</f>
        <v>88.52</v>
      </c>
      <c r="AF220" s="248">
        <v>7</v>
      </c>
      <c r="AG220" s="130"/>
      <c r="AH220" s="130"/>
      <c r="AR220" s="107"/>
      <c r="AT220" s="114"/>
      <c r="AU220" s="114"/>
      <c r="AY220" s="107"/>
      <c r="BK220" s="115"/>
    </row>
    <row r="221" spans="2:65" s="1" customFormat="1" ht="16.5" customHeight="1" x14ac:dyDescent="0.2">
      <c r="B221" s="118"/>
      <c r="C221" s="205" t="s">
        <v>276</v>
      </c>
      <c r="D221" s="119" t="s">
        <v>231</v>
      </c>
      <c r="E221" s="120" t="s">
        <v>3573</v>
      </c>
      <c r="F221" s="121" t="s">
        <v>3562</v>
      </c>
      <c r="G221" s="122" t="s">
        <v>1194</v>
      </c>
      <c r="H221" s="206">
        <v>2</v>
      </c>
      <c r="I221" s="124">
        <v>110.85</v>
      </c>
      <c r="J221" s="124">
        <f>ROUND(I221*H221,2)</f>
        <v>221.7</v>
      </c>
      <c r="K221" s="121" t="s">
        <v>1</v>
      </c>
      <c r="L221" s="24"/>
      <c r="M221" s="125" t="s">
        <v>1</v>
      </c>
      <c r="N221" s="126" t="s">
        <v>32</v>
      </c>
      <c r="O221" s="127">
        <v>0</v>
      </c>
      <c r="P221" s="127">
        <f>O221*H221</f>
        <v>0</v>
      </c>
      <c r="Q221" s="127">
        <v>0</v>
      </c>
      <c r="R221" s="127">
        <f>Q221*H221</f>
        <v>0</v>
      </c>
      <c r="S221" s="127">
        <v>0</v>
      </c>
      <c r="T221" s="128">
        <f>S221*H221</f>
        <v>0</v>
      </c>
      <c r="W221" s="199"/>
      <c r="X221" s="205" t="s">
        <v>276</v>
      </c>
      <c r="Y221" s="119" t="s">
        <v>231</v>
      </c>
      <c r="Z221" s="120" t="s">
        <v>3573</v>
      </c>
      <c r="AA221" s="121" t="s">
        <v>3562</v>
      </c>
      <c r="AB221" s="122" t="s">
        <v>1194</v>
      </c>
      <c r="AC221" s="206">
        <v>0</v>
      </c>
      <c r="AD221" s="124">
        <v>110.85</v>
      </c>
      <c r="AE221" s="200">
        <f>ROUND(AD221*AC221,2)</f>
        <v>0</v>
      </c>
      <c r="AF221" s="227">
        <v>7</v>
      </c>
      <c r="AG221" s="130"/>
      <c r="AH221" s="130"/>
      <c r="AR221" s="129" t="s">
        <v>235</v>
      </c>
      <c r="AT221" s="129" t="s">
        <v>231</v>
      </c>
      <c r="AU221" s="129" t="s">
        <v>76</v>
      </c>
      <c r="AY221" s="13" t="s">
        <v>228</v>
      </c>
      <c r="BE221" s="130">
        <f>IF(N221="základná",J221,0)</f>
        <v>0</v>
      </c>
      <c r="BF221" s="130">
        <f>IF(N221="znížená",J221,0)</f>
        <v>221.7</v>
      </c>
      <c r="BG221" s="130">
        <f>IF(N221="zákl. prenesená",J221,0)</f>
        <v>0</v>
      </c>
      <c r="BH221" s="130">
        <f>IF(N221="zníž. prenesená",J221,0)</f>
        <v>0</v>
      </c>
      <c r="BI221" s="130">
        <f>IF(N221="nulová",J221,0)</f>
        <v>0</v>
      </c>
      <c r="BJ221" s="13" t="s">
        <v>76</v>
      </c>
      <c r="BK221" s="130">
        <f>ROUND(I221*H221,2)</f>
        <v>221.7</v>
      </c>
      <c r="BL221" s="13" t="s">
        <v>235</v>
      </c>
      <c r="BM221" s="129" t="s">
        <v>326</v>
      </c>
    </row>
    <row r="222" spans="2:65" s="1" customFormat="1" ht="16.5" customHeight="1" x14ac:dyDescent="0.2">
      <c r="B222" s="118"/>
      <c r="C222" s="119" t="s">
        <v>327</v>
      </c>
      <c r="D222" s="119" t="s">
        <v>231</v>
      </c>
      <c r="E222" s="120" t="s">
        <v>1230</v>
      </c>
      <c r="F222" s="121" t="s">
        <v>1231</v>
      </c>
      <c r="G222" s="122" t="s">
        <v>292</v>
      </c>
      <c r="H222" s="123">
        <v>340</v>
      </c>
      <c r="I222" s="124">
        <v>0.62</v>
      </c>
      <c r="J222" s="124">
        <f>ROUND(I222*H222,2)</f>
        <v>210.8</v>
      </c>
      <c r="K222" s="121" t="s">
        <v>1</v>
      </c>
      <c r="L222" s="24"/>
      <c r="M222" s="125" t="s">
        <v>1</v>
      </c>
      <c r="N222" s="126" t="s">
        <v>32</v>
      </c>
      <c r="O222" s="127">
        <v>0</v>
      </c>
      <c r="P222" s="127">
        <f>O222*H222</f>
        <v>0</v>
      </c>
      <c r="Q222" s="127">
        <v>0</v>
      </c>
      <c r="R222" s="127">
        <f>Q222*H222</f>
        <v>0</v>
      </c>
      <c r="S222" s="127">
        <v>0</v>
      </c>
      <c r="T222" s="128">
        <f>S222*H222</f>
        <v>0</v>
      </c>
      <c r="W222" s="199"/>
      <c r="X222" s="119" t="s">
        <v>327</v>
      </c>
      <c r="Y222" s="119" t="s">
        <v>231</v>
      </c>
      <c r="Z222" s="120" t="s">
        <v>1230</v>
      </c>
      <c r="AA222" s="121" t="s">
        <v>1231</v>
      </c>
      <c r="AB222" s="122" t="s">
        <v>292</v>
      </c>
      <c r="AC222" s="123">
        <v>346</v>
      </c>
      <c r="AD222" s="124">
        <v>0.62</v>
      </c>
      <c r="AE222" s="200">
        <f>ROUND(AD222*AC222,2)</f>
        <v>214.52</v>
      </c>
      <c r="AF222" s="227"/>
      <c r="AG222" s="130"/>
      <c r="AH222" s="130"/>
      <c r="AR222" s="129" t="s">
        <v>235</v>
      </c>
      <c r="AT222" s="129" t="s">
        <v>231</v>
      </c>
      <c r="AU222" s="129" t="s">
        <v>76</v>
      </c>
      <c r="AY222" s="13" t="s">
        <v>228</v>
      </c>
      <c r="BE222" s="130">
        <f>IF(N222="základná",J222,0)</f>
        <v>0</v>
      </c>
      <c r="BF222" s="130">
        <f>IF(N222="znížená",J222,0)</f>
        <v>210.8</v>
      </c>
      <c r="BG222" s="130">
        <f>IF(N222="zákl. prenesená",J222,0)</f>
        <v>0</v>
      </c>
      <c r="BH222" s="130">
        <f>IF(N222="zníž. prenesená",J222,0)</f>
        <v>0</v>
      </c>
      <c r="BI222" s="130">
        <f>IF(N222="nulová",J222,0)</f>
        <v>0</v>
      </c>
      <c r="BJ222" s="13" t="s">
        <v>76</v>
      </c>
      <c r="BK222" s="130">
        <f>ROUND(I222*H222,2)</f>
        <v>210.8</v>
      </c>
      <c r="BL222" s="13" t="s">
        <v>235</v>
      </c>
      <c r="BM222" s="129" t="s">
        <v>330</v>
      </c>
    </row>
    <row r="223" spans="2:65" s="1" customFormat="1" ht="16.5" customHeight="1" x14ac:dyDescent="0.2">
      <c r="B223" s="118"/>
      <c r="C223" s="205" t="s">
        <v>280</v>
      </c>
      <c r="D223" s="119" t="s">
        <v>231</v>
      </c>
      <c r="E223" s="120" t="s">
        <v>1232</v>
      </c>
      <c r="F223" s="121" t="s">
        <v>1233</v>
      </c>
      <c r="G223" s="122" t="s">
        <v>570</v>
      </c>
      <c r="H223" s="123">
        <v>1.8</v>
      </c>
      <c r="I223" s="213">
        <v>139.16</v>
      </c>
      <c r="J223" s="124">
        <f>ROUND(I223*H223,2)</f>
        <v>250.49</v>
      </c>
      <c r="K223" s="121" t="s">
        <v>1</v>
      </c>
      <c r="L223" s="24"/>
      <c r="M223" s="125" t="s">
        <v>1</v>
      </c>
      <c r="N223" s="126" t="s">
        <v>32</v>
      </c>
      <c r="O223" s="127">
        <v>0</v>
      </c>
      <c r="P223" s="127">
        <f>O223*H223</f>
        <v>0</v>
      </c>
      <c r="Q223" s="127">
        <v>0</v>
      </c>
      <c r="R223" s="127">
        <f>Q223*H223</f>
        <v>0</v>
      </c>
      <c r="S223" s="127">
        <v>0</v>
      </c>
      <c r="T223" s="128">
        <f>S223*H223</f>
        <v>0</v>
      </c>
      <c r="W223" s="199"/>
      <c r="X223" s="205" t="s">
        <v>280</v>
      </c>
      <c r="Y223" s="119" t="s">
        <v>231</v>
      </c>
      <c r="Z223" s="120" t="s">
        <v>1232</v>
      </c>
      <c r="AA223" s="121" t="s">
        <v>1233</v>
      </c>
      <c r="AB223" s="122" t="s">
        <v>570</v>
      </c>
      <c r="AC223" s="123">
        <v>1.8</v>
      </c>
      <c r="AD223" s="213">
        <v>140</v>
      </c>
      <c r="AE223" s="200">
        <f>ROUND(AD223*AC223,2)</f>
        <v>252</v>
      </c>
      <c r="AF223" s="227">
        <v>7</v>
      </c>
      <c r="AG223" s="130"/>
      <c r="AH223" s="130"/>
      <c r="AR223" s="129" t="s">
        <v>235</v>
      </c>
      <c r="AT223" s="129" t="s">
        <v>231</v>
      </c>
      <c r="AU223" s="129" t="s">
        <v>76</v>
      </c>
      <c r="AY223" s="13" t="s">
        <v>228</v>
      </c>
      <c r="BE223" s="130">
        <f>IF(N223="základná",J223,0)</f>
        <v>0</v>
      </c>
      <c r="BF223" s="130">
        <f>IF(N223="znížená",J223,0)</f>
        <v>250.49</v>
      </c>
      <c r="BG223" s="130">
        <f>IF(N223="zákl. prenesená",J223,0)</f>
        <v>0</v>
      </c>
      <c r="BH223" s="130">
        <f>IF(N223="zníž. prenesená",J223,0)</f>
        <v>0</v>
      </c>
      <c r="BI223" s="130">
        <f>IF(N223="nulová",J223,0)</f>
        <v>0</v>
      </c>
      <c r="BJ223" s="13" t="s">
        <v>76</v>
      </c>
      <c r="BK223" s="130">
        <f>ROUND(I223*H223,2)</f>
        <v>250.49</v>
      </c>
      <c r="BL223" s="13" t="s">
        <v>235</v>
      </c>
      <c r="BM223" s="129" t="s">
        <v>333</v>
      </c>
    </row>
    <row r="224" spans="2:65" s="11" customFormat="1" ht="25.95" customHeight="1" x14ac:dyDescent="0.25">
      <c r="B224" s="106"/>
      <c r="D224" s="107" t="s">
        <v>57</v>
      </c>
      <c r="E224" s="108" t="s">
        <v>1234</v>
      </c>
      <c r="F224" s="108" t="s">
        <v>1235</v>
      </c>
      <c r="J224" s="109">
        <f>BK224</f>
        <v>7753.8499999999995</v>
      </c>
      <c r="L224" s="106"/>
      <c r="M224" s="110"/>
      <c r="N224" s="111"/>
      <c r="O224" s="111"/>
      <c r="P224" s="112">
        <f>P230+SUM(P231:P242)+P249+P254+P260+P268+P272+P275+P283</f>
        <v>0</v>
      </c>
      <c r="Q224" s="111"/>
      <c r="R224" s="112">
        <f>R230+SUM(R231:R242)+R249+R254+R260+R268+R272+R275+R283</f>
        <v>0</v>
      </c>
      <c r="S224" s="111"/>
      <c r="T224" s="113">
        <f>T230+SUM(T231:T242)+T249+T254+T260+T268+T272+T275+T283</f>
        <v>0</v>
      </c>
      <c r="W224" s="195"/>
      <c r="X224" s="111"/>
      <c r="Y224" s="196" t="s">
        <v>57</v>
      </c>
      <c r="Z224" s="197" t="s">
        <v>1234</v>
      </c>
      <c r="AA224" s="197" t="s">
        <v>1235</v>
      </c>
      <c r="AB224" s="111"/>
      <c r="AC224" s="111"/>
      <c r="AD224" s="111"/>
      <c r="AE224" s="198">
        <f>AE226+AE228+AE242+AE249+AE254+AE260+AE268+AE272+AE275+AE283</f>
        <v>4132.21</v>
      </c>
      <c r="AF224" s="248"/>
      <c r="AG224" s="130"/>
      <c r="AH224" s="130"/>
      <c r="AR224" s="107" t="s">
        <v>63</v>
      </c>
      <c r="AT224" s="114" t="s">
        <v>57</v>
      </c>
      <c r="AU224" s="114" t="s">
        <v>58</v>
      </c>
      <c r="AY224" s="107" t="s">
        <v>228</v>
      </c>
      <c r="BK224" s="115">
        <f>BK230+SUM(BK231:BK242)+BK249+BK254+BK260+BK268+BK272+BK275+BK283</f>
        <v>7753.8499999999995</v>
      </c>
    </row>
    <row r="225" spans="2:65" s="11" customFormat="1" ht="16.95" customHeight="1" x14ac:dyDescent="0.25">
      <c r="B225" s="106"/>
      <c r="C225" s="231"/>
      <c r="D225" s="232"/>
      <c r="E225" s="233"/>
      <c r="F225" s="233"/>
      <c r="G225" s="231"/>
      <c r="H225" s="231"/>
      <c r="I225" s="231"/>
      <c r="J225" s="234"/>
      <c r="L225" s="106"/>
      <c r="M225" s="110"/>
      <c r="N225" s="111"/>
      <c r="O225" s="111"/>
      <c r="P225" s="112"/>
      <c r="Q225" s="111"/>
      <c r="R225" s="112"/>
      <c r="S225" s="111"/>
      <c r="T225" s="113"/>
      <c r="W225" s="195"/>
      <c r="X225" s="271"/>
      <c r="Y225" s="325" t="s">
        <v>57</v>
      </c>
      <c r="Z225" s="326" t="s">
        <v>5236</v>
      </c>
      <c r="AA225" s="326" t="s">
        <v>5237</v>
      </c>
      <c r="AB225" s="327"/>
      <c r="AC225" s="327"/>
      <c r="AD225" s="327"/>
      <c r="AE225" s="273"/>
      <c r="AF225" s="248"/>
      <c r="AG225" s="130"/>
      <c r="AH225" s="130"/>
      <c r="AR225" s="107"/>
      <c r="AT225" s="114"/>
      <c r="AU225" s="114"/>
      <c r="AY225" s="107"/>
      <c r="BK225" s="115"/>
    </row>
    <row r="226" spans="2:65" s="11" customFormat="1" ht="16.95" customHeight="1" x14ac:dyDescent="0.25">
      <c r="B226" s="106"/>
      <c r="C226" s="231"/>
      <c r="D226" s="232"/>
      <c r="E226" s="235"/>
      <c r="F226" s="235"/>
      <c r="G226" s="231"/>
      <c r="H226" s="231"/>
      <c r="I226" s="231"/>
      <c r="J226" s="236"/>
      <c r="L226" s="106"/>
      <c r="M226" s="110"/>
      <c r="N226" s="111"/>
      <c r="O226" s="111"/>
      <c r="P226" s="112"/>
      <c r="Q226" s="111"/>
      <c r="R226" s="112"/>
      <c r="S226" s="111"/>
      <c r="T226" s="113"/>
      <c r="W226" s="195"/>
      <c r="X226" s="271"/>
      <c r="Y226" s="272" t="s">
        <v>57</v>
      </c>
      <c r="Z226" s="274" t="s">
        <v>2043</v>
      </c>
      <c r="AA226" s="274" t="s">
        <v>1241</v>
      </c>
      <c r="AB226" s="271"/>
      <c r="AC226" s="271"/>
      <c r="AD226" s="271"/>
      <c r="AE226" s="275">
        <f>AE227</f>
        <v>9.2200000000000006</v>
      </c>
      <c r="AF226" s="248"/>
      <c r="AG226" s="130"/>
      <c r="AH226" s="130"/>
      <c r="AR226" s="107"/>
      <c r="AT226" s="114"/>
      <c r="AU226" s="114"/>
      <c r="AY226" s="107"/>
      <c r="BK226" s="115"/>
    </row>
    <row r="227" spans="2:65" s="11" customFormat="1" ht="16.95" customHeight="1" x14ac:dyDescent="0.2">
      <c r="B227" s="106"/>
      <c r="C227" s="1234" t="s">
        <v>5205</v>
      </c>
      <c r="D227" s="1235"/>
      <c r="E227" s="1235"/>
      <c r="F227" s="1235"/>
      <c r="G227" s="1235"/>
      <c r="H227" s="1235"/>
      <c r="I227" s="1235"/>
      <c r="J227" s="1236"/>
      <c r="L227" s="106"/>
      <c r="M227" s="110"/>
      <c r="N227" s="111"/>
      <c r="O227" s="111"/>
      <c r="P227" s="112"/>
      <c r="Q227" s="111"/>
      <c r="R227" s="112"/>
      <c r="S227" s="111"/>
      <c r="T227" s="113"/>
      <c r="W227" s="195"/>
      <c r="X227" s="215" t="s">
        <v>5241</v>
      </c>
      <c r="Y227" s="215" t="s">
        <v>231</v>
      </c>
      <c r="Z227" s="216" t="s">
        <v>5238</v>
      </c>
      <c r="AA227" s="217" t="s">
        <v>5239</v>
      </c>
      <c r="AB227" s="218" t="s">
        <v>1194</v>
      </c>
      <c r="AC227" s="219">
        <v>2</v>
      </c>
      <c r="AD227" s="220">
        <v>4.6100000000000003</v>
      </c>
      <c r="AE227" s="221">
        <f>ROUND(AD227*AC227,2)</f>
        <v>9.2200000000000006</v>
      </c>
      <c r="AF227" s="248">
        <v>7</v>
      </c>
      <c r="AG227" s="130"/>
      <c r="AH227" s="130"/>
      <c r="AR227" s="107"/>
      <c r="AT227" s="114"/>
      <c r="AU227" s="114"/>
      <c r="AY227" s="107"/>
      <c r="BK227" s="115"/>
    </row>
    <row r="228" spans="2:65" s="11" customFormat="1" ht="16.95" customHeight="1" x14ac:dyDescent="0.25">
      <c r="B228" s="106"/>
      <c r="C228" s="231"/>
      <c r="D228" s="232"/>
      <c r="E228" s="235"/>
      <c r="F228" s="235"/>
      <c r="G228" s="231"/>
      <c r="H228" s="231"/>
      <c r="I228" s="231"/>
      <c r="J228" s="236"/>
      <c r="L228" s="106"/>
      <c r="M228" s="110"/>
      <c r="N228" s="111"/>
      <c r="O228" s="111"/>
      <c r="P228" s="112"/>
      <c r="Q228" s="111"/>
      <c r="R228" s="112"/>
      <c r="S228" s="111"/>
      <c r="T228" s="113"/>
      <c r="W228" s="195"/>
      <c r="X228" s="271"/>
      <c r="Y228" s="272" t="s">
        <v>57</v>
      </c>
      <c r="Z228" s="274" t="s">
        <v>2065</v>
      </c>
      <c r="AA228" s="274" t="s">
        <v>3604</v>
      </c>
      <c r="AB228" s="271"/>
      <c r="AC228" s="271"/>
      <c r="AD228" s="271"/>
      <c r="AE228" s="275">
        <f>SUM(AE229:AE241)</f>
        <v>839.01</v>
      </c>
      <c r="AF228" s="248"/>
      <c r="AG228" s="130"/>
      <c r="AH228" s="130"/>
      <c r="AR228" s="107"/>
      <c r="AT228" s="114"/>
      <c r="AU228" s="114"/>
      <c r="AY228" s="107"/>
      <c r="BK228" s="115"/>
    </row>
    <row r="229" spans="2:65" s="11" customFormat="1" ht="16.95" customHeight="1" x14ac:dyDescent="0.2">
      <c r="B229" s="106"/>
      <c r="C229" s="1234" t="s">
        <v>5205</v>
      </c>
      <c r="D229" s="1235"/>
      <c r="E229" s="1235"/>
      <c r="F229" s="1235"/>
      <c r="G229" s="1235"/>
      <c r="H229" s="1235"/>
      <c r="I229" s="1235"/>
      <c r="J229" s="1236"/>
      <c r="L229" s="106"/>
      <c r="M229" s="110"/>
      <c r="N229" s="111"/>
      <c r="O229" s="111"/>
      <c r="P229" s="112"/>
      <c r="Q229" s="111"/>
      <c r="R229" s="112"/>
      <c r="S229" s="111"/>
      <c r="T229" s="113"/>
      <c r="W229" s="195"/>
      <c r="X229" s="215" t="s">
        <v>5242</v>
      </c>
      <c r="Y229" s="215" t="s">
        <v>231</v>
      </c>
      <c r="Z229" s="216" t="s">
        <v>5240</v>
      </c>
      <c r="AA229" s="217" t="s">
        <v>5239</v>
      </c>
      <c r="AB229" s="218" t="s">
        <v>1194</v>
      </c>
      <c r="AC229" s="219">
        <v>2</v>
      </c>
      <c r="AD229" s="220">
        <v>21.31</v>
      </c>
      <c r="AE229" s="221">
        <f>ROUND(AD229*AC229,2)</f>
        <v>42.62</v>
      </c>
      <c r="AF229" s="248">
        <v>7</v>
      </c>
      <c r="AG229" s="130"/>
      <c r="AH229" s="130"/>
      <c r="AR229" s="107"/>
      <c r="AT229" s="114"/>
      <c r="AU229" s="114"/>
      <c r="AY229" s="107"/>
      <c r="BK229" s="115"/>
    </row>
    <row r="230" spans="2:65" s="1" customFormat="1" ht="16.5" customHeight="1" x14ac:dyDescent="0.2">
      <c r="B230" s="118"/>
      <c r="C230" s="119" t="s">
        <v>334</v>
      </c>
      <c r="D230" s="119" t="s">
        <v>231</v>
      </c>
      <c r="E230" s="120" t="s">
        <v>3574</v>
      </c>
      <c r="F230" s="121" t="s">
        <v>3575</v>
      </c>
      <c r="G230" s="122" t="s">
        <v>1194</v>
      </c>
      <c r="H230" s="123">
        <v>3</v>
      </c>
      <c r="I230" s="124">
        <v>48.32</v>
      </c>
      <c r="J230" s="124">
        <f t="shared" ref="J230:J236" si="12">ROUND(I230*H230,2)</f>
        <v>144.96</v>
      </c>
      <c r="K230" s="121" t="s">
        <v>1</v>
      </c>
      <c r="L230" s="24"/>
      <c r="M230" s="125" t="s">
        <v>1</v>
      </c>
      <c r="N230" s="126" t="s">
        <v>32</v>
      </c>
      <c r="O230" s="127">
        <v>0</v>
      </c>
      <c r="P230" s="127">
        <f t="shared" ref="P230:P236" si="13">O230*H230</f>
        <v>0</v>
      </c>
      <c r="Q230" s="127">
        <v>0</v>
      </c>
      <c r="R230" s="127">
        <f t="shared" ref="R230:R236" si="14">Q230*H230</f>
        <v>0</v>
      </c>
      <c r="S230" s="127">
        <v>0</v>
      </c>
      <c r="T230" s="128">
        <f t="shared" ref="T230:T236" si="15">S230*H230</f>
        <v>0</v>
      </c>
      <c r="W230" s="199"/>
      <c r="X230" s="119" t="s">
        <v>334</v>
      </c>
      <c r="Y230" s="119" t="s">
        <v>231</v>
      </c>
      <c r="Z230" s="120" t="s">
        <v>3574</v>
      </c>
      <c r="AA230" s="121" t="s">
        <v>3575</v>
      </c>
      <c r="AB230" s="122" t="s">
        <v>1194</v>
      </c>
      <c r="AC230" s="123">
        <v>3</v>
      </c>
      <c r="AD230" s="124">
        <v>48.32</v>
      </c>
      <c r="AE230" s="200">
        <f t="shared" ref="AE230:AE236" si="16">ROUND(AD230*AC230,2)</f>
        <v>144.96</v>
      </c>
      <c r="AF230" s="227"/>
      <c r="AG230" s="130"/>
      <c r="AH230" s="130"/>
      <c r="AR230" s="129" t="s">
        <v>235</v>
      </c>
      <c r="AT230" s="129" t="s">
        <v>231</v>
      </c>
      <c r="AU230" s="129" t="s">
        <v>63</v>
      </c>
      <c r="AY230" s="13" t="s">
        <v>228</v>
      </c>
      <c r="BE230" s="130">
        <f t="shared" ref="BE230:BE236" si="17">IF(N230="základná",J230,0)</f>
        <v>0</v>
      </c>
      <c r="BF230" s="130">
        <f t="shared" ref="BF230:BF236" si="18">IF(N230="znížená",J230,0)</f>
        <v>144.96</v>
      </c>
      <c r="BG230" s="130">
        <f t="shared" ref="BG230:BG236" si="19">IF(N230="zákl. prenesená",J230,0)</f>
        <v>0</v>
      </c>
      <c r="BH230" s="130">
        <f t="shared" ref="BH230:BH236" si="20">IF(N230="zníž. prenesená",J230,0)</f>
        <v>0</v>
      </c>
      <c r="BI230" s="130">
        <f t="shared" ref="BI230:BI236" si="21">IF(N230="nulová",J230,0)</f>
        <v>0</v>
      </c>
      <c r="BJ230" s="13" t="s">
        <v>76</v>
      </c>
      <c r="BK230" s="130">
        <f t="shared" ref="BK230:BK236" si="22">ROUND(I230*H230,2)</f>
        <v>144.96</v>
      </c>
      <c r="BL230" s="13" t="s">
        <v>235</v>
      </c>
      <c r="BM230" s="129" t="s">
        <v>337</v>
      </c>
    </row>
    <row r="231" spans="2:65" s="1" customFormat="1" ht="16.5" customHeight="1" x14ac:dyDescent="0.2">
      <c r="B231" s="118"/>
      <c r="C231" s="205" t="s">
        <v>285</v>
      </c>
      <c r="D231" s="119" t="s">
        <v>231</v>
      </c>
      <c r="E231" s="120" t="s">
        <v>3576</v>
      </c>
      <c r="F231" s="121" t="s">
        <v>3577</v>
      </c>
      <c r="G231" s="122" t="s">
        <v>1194</v>
      </c>
      <c r="H231" s="206">
        <v>5</v>
      </c>
      <c r="I231" s="124">
        <v>62.84</v>
      </c>
      <c r="J231" s="124">
        <f t="shared" si="12"/>
        <v>314.2</v>
      </c>
      <c r="K231" s="121" t="s">
        <v>1</v>
      </c>
      <c r="L231" s="24"/>
      <c r="M231" s="125" t="s">
        <v>1</v>
      </c>
      <c r="N231" s="126" t="s">
        <v>32</v>
      </c>
      <c r="O231" s="127">
        <v>0</v>
      </c>
      <c r="P231" s="127">
        <f t="shared" si="13"/>
        <v>0</v>
      </c>
      <c r="Q231" s="127">
        <v>0</v>
      </c>
      <c r="R231" s="127">
        <f t="shared" si="14"/>
        <v>0</v>
      </c>
      <c r="S231" s="127">
        <v>0</v>
      </c>
      <c r="T231" s="128">
        <f t="shared" si="15"/>
        <v>0</v>
      </c>
      <c r="W231" s="199"/>
      <c r="X231" s="205" t="s">
        <v>285</v>
      </c>
      <c r="Y231" s="119" t="s">
        <v>231</v>
      </c>
      <c r="Z231" s="120" t="s">
        <v>3576</v>
      </c>
      <c r="AA231" s="121" t="s">
        <v>3577</v>
      </c>
      <c r="AB231" s="122" t="s">
        <v>1194</v>
      </c>
      <c r="AC231" s="206">
        <v>0</v>
      </c>
      <c r="AD231" s="124">
        <v>62.84</v>
      </c>
      <c r="AE231" s="200">
        <f t="shared" si="16"/>
        <v>0</v>
      </c>
      <c r="AF231" s="227">
        <v>7</v>
      </c>
      <c r="AG231" s="130"/>
      <c r="AH231" s="130"/>
      <c r="AR231" s="129" t="s">
        <v>235</v>
      </c>
      <c r="AT231" s="129" t="s">
        <v>231</v>
      </c>
      <c r="AU231" s="129" t="s">
        <v>63</v>
      </c>
      <c r="AY231" s="13" t="s">
        <v>228</v>
      </c>
      <c r="BE231" s="130">
        <f t="shared" si="17"/>
        <v>0</v>
      </c>
      <c r="BF231" s="130">
        <f t="shared" si="18"/>
        <v>314.2</v>
      </c>
      <c r="BG231" s="130">
        <f t="shared" si="19"/>
        <v>0</v>
      </c>
      <c r="BH231" s="130">
        <f t="shared" si="20"/>
        <v>0</v>
      </c>
      <c r="BI231" s="130">
        <f t="shared" si="21"/>
        <v>0</v>
      </c>
      <c r="BJ231" s="13" t="s">
        <v>76</v>
      </c>
      <c r="BK231" s="130">
        <f t="shared" si="22"/>
        <v>314.2</v>
      </c>
      <c r="BL231" s="13" t="s">
        <v>235</v>
      </c>
      <c r="BM231" s="129" t="s">
        <v>340</v>
      </c>
    </row>
    <row r="232" spans="2:65" s="1" customFormat="1" ht="16.5" customHeight="1" x14ac:dyDescent="0.2">
      <c r="B232" s="118"/>
      <c r="C232" s="119" t="s">
        <v>341</v>
      </c>
      <c r="D232" s="119" t="s">
        <v>231</v>
      </c>
      <c r="E232" s="120" t="s">
        <v>3578</v>
      </c>
      <c r="F232" s="121" t="s">
        <v>3579</v>
      </c>
      <c r="G232" s="122" t="s">
        <v>1194</v>
      </c>
      <c r="H232" s="123">
        <v>3</v>
      </c>
      <c r="I232" s="124">
        <v>98.1</v>
      </c>
      <c r="J232" s="124">
        <f t="shared" si="12"/>
        <v>294.3</v>
      </c>
      <c r="K232" s="121" t="s">
        <v>1</v>
      </c>
      <c r="L232" s="24"/>
      <c r="M232" s="125" t="s">
        <v>1</v>
      </c>
      <c r="N232" s="126" t="s">
        <v>32</v>
      </c>
      <c r="O232" s="127">
        <v>0</v>
      </c>
      <c r="P232" s="127">
        <f t="shared" si="13"/>
        <v>0</v>
      </c>
      <c r="Q232" s="127">
        <v>0</v>
      </c>
      <c r="R232" s="127">
        <f t="shared" si="14"/>
        <v>0</v>
      </c>
      <c r="S232" s="127">
        <v>0</v>
      </c>
      <c r="T232" s="128">
        <f t="shared" si="15"/>
        <v>0</v>
      </c>
      <c r="W232" s="199"/>
      <c r="X232" s="119" t="s">
        <v>341</v>
      </c>
      <c r="Y232" s="119" t="s">
        <v>231</v>
      </c>
      <c r="Z232" s="120" t="s">
        <v>3578</v>
      </c>
      <c r="AA232" s="121" t="s">
        <v>3579</v>
      </c>
      <c r="AB232" s="122" t="s">
        <v>1194</v>
      </c>
      <c r="AC232" s="123">
        <v>3</v>
      </c>
      <c r="AD232" s="124">
        <v>98.1</v>
      </c>
      <c r="AE232" s="200">
        <f t="shared" si="16"/>
        <v>294.3</v>
      </c>
      <c r="AF232" s="227"/>
      <c r="AG232" s="130"/>
      <c r="AH232" s="130"/>
      <c r="AR232" s="129" t="s">
        <v>235</v>
      </c>
      <c r="AT232" s="129" t="s">
        <v>231</v>
      </c>
      <c r="AU232" s="129" t="s">
        <v>63</v>
      </c>
      <c r="AY232" s="13" t="s">
        <v>228</v>
      </c>
      <c r="BE232" s="130">
        <f t="shared" si="17"/>
        <v>0</v>
      </c>
      <c r="BF232" s="130">
        <f t="shared" si="18"/>
        <v>294.3</v>
      </c>
      <c r="BG232" s="130">
        <f t="shared" si="19"/>
        <v>0</v>
      </c>
      <c r="BH232" s="130">
        <f t="shared" si="20"/>
        <v>0</v>
      </c>
      <c r="BI232" s="130">
        <f t="shared" si="21"/>
        <v>0</v>
      </c>
      <c r="BJ232" s="13" t="s">
        <v>76</v>
      </c>
      <c r="BK232" s="130">
        <f t="shared" si="22"/>
        <v>294.3</v>
      </c>
      <c r="BL232" s="13" t="s">
        <v>235</v>
      </c>
      <c r="BM232" s="129" t="s">
        <v>344</v>
      </c>
    </row>
    <row r="233" spans="2:65" s="1" customFormat="1" ht="16.5" customHeight="1" x14ac:dyDescent="0.2">
      <c r="B233" s="118"/>
      <c r="C233" s="205" t="s">
        <v>288</v>
      </c>
      <c r="D233" s="119" t="s">
        <v>231</v>
      </c>
      <c r="E233" s="120" t="s">
        <v>3580</v>
      </c>
      <c r="F233" s="121" t="s">
        <v>3581</v>
      </c>
      <c r="G233" s="122" t="s">
        <v>1194</v>
      </c>
      <c r="H233" s="206">
        <v>5</v>
      </c>
      <c r="I233" s="124">
        <v>112.62</v>
      </c>
      <c r="J233" s="124">
        <f t="shared" si="12"/>
        <v>563.1</v>
      </c>
      <c r="K233" s="121" t="s">
        <v>1</v>
      </c>
      <c r="L233" s="24"/>
      <c r="M233" s="125" t="s">
        <v>1</v>
      </c>
      <c r="N233" s="126" t="s">
        <v>32</v>
      </c>
      <c r="O233" s="127">
        <v>0</v>
      </c>
      <c r="P233" s="127">
        <f t="shared" si="13"/>
        <v>0</v>
      </c>
      <c r="Q233" s="127">
        <v>0</v>
      </c>
      <c r="R233" s="127">
        <f t="shared" si="14"/>
        <v>0</v>
      </c>
      <c r="S233" s="127">
        <v>0</v>
      </c>
      <c r="T233" s="128">
        <f t="shared" si="15"/>
        <v>0</v>
      </c>
      <c r="W233" s="199"/>
      <c r="X233" s="205" t="s">
        <v>288</v>
      </c>
      <c r="Y233" s="119" t="s">
        <v>231</v>
      </c>
      <c r="Z233" s="120" t="s">
        <v>3580</v>
      </c>
      <c r="AA233" s="121" t="s">
        <v>3581</v>
      </c>
      <c r="AB233" s="122" t="s">
        <v>1194</v>
      </c>
      <c r="AC233" s="206">
        <v>0</v>
      </c>
      <c r="AD233" s="124">
        <v>112.62</v>
      </c>
      <c r="AE233" s="200">
        <f t="shared" si="16"/>
        <v>0</v>
      </c>
      <c r="AF233" s="227">
        <v>7</v>
      </c>
      <c r="AG233" s="130"/>
      <c r="AH233" s="130"/>
      <c r="AR233" s="129" t="s">
        <v>235</v>
      </c>
      <c r="AT233" s="129" t="s">
        <v>231</v>
      </c>
      <c r="AU233" s="129" t="s">
        <v>63</v>
      </c>
      <c r="AY233" s="13" t="s">
        <v>228</v>
      </c>
      <c r="BE233" s="130">
        <f t="shared" si="17"/>
        <v>0</v>
      </c>
      <c r="BF233" s="130">
        <f t="shared" si="18"/>
        <v>563.1</v>
      </c>
      <c r="BG233" s="130">
        <f t="shared" si="19"/>
        <v>0</v>
      </c>
      <c r="BH233" s="130">
        <f t="shared" si="20"/>
        <v>0</v>
      </c>
      <c r="BI233" s="130">
        <f t="shared" si="21"/>
        <v>0</v>
      </c>
      <c r="BJ233" s="13" t="s">
        <v>76</v>
      </c>
      <c r="BK233" s="130">
        <f t="shared" si="22"/>
        <v>563.1</v>
      </c>
      <c r="BL233" s="13" t="s">
        <v>235</v>
      </c>
      <c r="BM233" s="129" t="s">
        <v>347</v>
      </c>
    </row>
    <row r="234" spans="2:65" s="1" customFormat="1" ht="16.5" customHeight="1" x14ac:dyDescent="0.2">
      <c r="B234" s="118"/>
      <c r="C234" s="205" t="s">
        <v>348</v>
      </c>
      <c r="D234" s="119" t="s">
        <v>231</v>
      </c>
      <c r="E234" s="120" t="s">
        <v>3582</v>
      </c>
      <c r="F234" s="121" t="s">
        <v>3583</v>
      </c>
      <c r="G234" s="122" t="s">
        <v>1194</v>
      </c>
      <c r="H234" s="206">
        <v>3</v>
      </c>
      <c r="I234" s="124">
        <v>59.91</v>
      </c>
      <c r="J234" s="124">
        <f t="shared" si="12"/>
        <v>179.73</v>
      </c>
      <c r="K234" s="121" t="s">
        <v>1</v>
      </c>
      <c r="L234" s="24"/>
      <c r="M234" s="125" t="s">
        <v>1</v>
      </c>
      <c r="N234" s="126" t="s">
        <v>32</v>
      </c>
      <c r="O234" s="127">
        <v>0</v>
      </c>
      <c r="P234" s="127">
        <f t="shared" si="13"/>
        <v>0</v>
      </c>
      <c r="Q234" s="127">
        <v>0</v>
      </c>
      <c r="R234" s="127">
        <f t="shared" si="14"/>
        <v>0</v>
      </c>
      <c r="S234" s="127">
        <v>0</v>
      </c>
      <c r="T234" s="128">
        <f t="shared" si="15"/>
        <v>0</v>
      </c>
      <c r="W234" s="199"/>
      <c r="X234" s="205" t="s">
        <v>348</v>
      </c>
      <c r="Y234" s="119" t="s">
        <v>231</v>
      </c>
      <c r="Z234" s="120" t="s">
        <v>3582</v>
      </c>
      <c r="AA234" s="121" t="s">
        <v>3583</v>
      </c>
      <c r="AB234" s="122" t="s">
        <v>1194</v>
      </c>
      <c r="AC234" s="206">
        <v>1</v>
      </c>
      <c r="AD234" s="124">
        <v>59.91</v>
      </c>
      <c r="AE234" s="200">
        <f t="shared" si="16"/>
        <v>59.91</v>
      </c>
      <c r="AF234" s="227">
        <v>7</v>
      </c>
      <c r="AG234" s="130"/>
      <c r="AH234" s="130"/>
      <c r="AR234" s="129" t="s">
        <v>235</v>
      </c>
      <c r="AT234" s="129" t="s">
        <v>231</v>
      </c>
      <c r="AU234" s="129" t="s">
        <v>63</v>
      </c>
      <c r="AY234" s="13" t="s">
        <v>228</v>
      </c>
      <c r="BE234" s="130">
        <f t="shared" si="17"/>
        <v>0</v>
      </c>
      <c r="BF234" s="130">
        <f t="shared" si="18"/>
        <v>179.73</v>
      </c>
      <c r="BG234" s="130">
        <f t="shared" si="19"/>
        <v>0</v>
      </c>
      <c r="BH234" s="130">
        <f t="shared" si="20"/>
        <v>0</v>
      </c>
      <c r="BI234" s="130">
        <f t="shared" si="21"/>
        <v>0</v>
      </c>
      <c r="BJ234" s="13" t="s">
        <v>76</v>
      </c>
      <c r="BK234" s="130">
        <f t="shared" si="22"/>
        <v>179.73</v>
      </c>
      <c r="BL234" s="13" t="s">
        <v>235</v>
      </c>
      <c r="BM234" s="129" t="s">
        <v>351</v>
      </c>
    </row>
    <row r="235" spans="2:65" s="1" customFormat="1" ht="16.5" customHeight="1" x14ac:dyDescent="0.2">
      <c r="B235" s="118"/>
      <c r="C235" s="205" t="s">
        <v>293</v>
      </c>
      <c r="D235" s="119" t="s">
        <v>231</v>
      </c>
      <c r="E235" s="120" t="s">
        <v>3584</v>
      </c>
      <c r="F235" s="121" t="s">
        <v>3585</v>
      </c>
      <c r="G235" s="122" t="s">
        <v>1194</v>
      </c>
      <c r="H235" s="206">
        <v>1</v>
      </c>
      <c r="I235" s="124">
        <v>76.67</v>
      </c>
      <c r="J235" s="124">
        <f t="shared" si="12"/>
        <v>76.67</v>
      </c>
      <c r="K235" s="121" t="s">
        <v>1</v>
      </c>
      <c r="L235" s="24"/>
      <c r="M235" s="125" t="s">
        <v>1</v>
      </c>
      <c r="N235" s="126" t="s">
        <v>32</v>
      </c>
      <c r="O235" s="127">
        <v>0</v>
      </c>
      <c r="P235" s="127">
        <f t="shared" si="13"/>
        <v>0</v>
      </c>
      <c r="Q235" s="127">
        <v>0</v>
      </c>
      <c r="R235" s="127">
        <f t="shared" si="14"/>
        <v>0</v>
      </c>
      <c r="S235" s="127">
        <v>0</v>
      </c>
      <c r="T235" s="128">
        <f t="shared" si="15"/>
        <v>0</v>
      </c>
      <c r="W235" s="199"/>
      <c r="X235" s="205" t="s">
        <v>293</v>
      </c>
      <c r="Y235" s="119" t="s">
        <v>231</v>
      </c>
      <c r="Z235" s="120" t="s">
        <v>3584</v>
      </c>
      <c r="AA235" s="121" t="s">
        <v>3585</v>
      </c>
      <c r="AB235" s="122" t="s">
        <v>1194</v>
      </c>
      <c r="AC235" s="206">
        <v>0</v>
      </c>
      <c r="AD235" s="124">
        <v>76.67</v>
      </c>
      <c r="AE235" s="200">
        <f t="shared" si="16"/>
        <v>0</v>
      </c>
      <c r="AF235" s="227">
        <v>7</v>
      </c>
      <c r="AG235" s="130"/>
      <c r="AH235" s="130"/>
      <c r="AR235" s="129" t="s">
        <v>235</v>
      </c>
      <c r="AT235" s="129" t="s">
        <v>231</v>
      </c>
      <c r="AU235" s="129" t="s">
        <v>63</v>
      </c>
      <c r="AY235" s="13" t="s">
        <v>228</v>
      </c>
      <c r="BE235" s="130">
        <f t="shared" si="17"/>
        <v>0</v>
      </c>
      <c r="BF235" s="130">
        <f t="shared" si="18"/>
        <v>76.67</v>
      </c>
      <c r="BG235" s="130">
        <f t="shared" si="19"/>
        <v>0</v>
      </c>
      <c r="BH235" s="130">
        <f t="shared" si="20"/>
        <v>0</v>
      </c>
      <c r="BI235" s="130">
        <f t="shared" si="21"/>
        <v>0</v>
      </c>
      <c r="BJ235" s="13" t="s">
        <v>76</v>
      </c>
      <c r="BK235" s="130">
        <f t="shared" si="22"/>
        <v>76.67</v>
      </c>
      <c r="BL235" s="13" t="s">
        <v>235</v>
      </c>
      <c r="BM235" s="129" t="s">
        <v>354</v>
      </c>
    </row>
    <row r="236" spans="2:65" s="1" customFormat="1" ht="24" customHeight="1" x14ac:dyDescent="0.2">
      <c r="B236" s="118"/>
      <c r="C236" s="119" t="s">
        <v>355</v>
      </c>
      <c r="D236" s="119" t="s">
        <v>231</v>
      </c>
      <c r="E236" s="120" t="s">
        <v>3586</v>
      </c>
      <c r="F236" s="121" t="s">
        <v>3587</v>
      </c>
      <c r="G236" s="122" t="s">
        <v>1194</v>
      </c>
      <c r="H236" s="123">
        <v>1</v>
      </c>
      <c r="I236" s="124">
        <v>297.22000000000003</v>
      </c>
      <c r="J236" s="124">
        <f t="shared" si="12"/>
        <v>297.22000000000003</v>
      </c>
      <c r="K236" s="121" t="s">
        <v>1</v>
      </c>
      <c r="L236" s="24"/>
      <c r="M236" s="125" t="s">
        <v>1</v>
      </c>
      <c r="N236" s="126" t="s">
        <v>32</v>
      </c>
      <c r="O236" s="127">
        <v>0</v>
      </c>
      <c r="P236" s="127">
        <f t="shared" si="13"/>
        <v>0</v>
      </c>
      <c r="Q236" s="127">
        <v>0</v>
      </c>
      <c r="R236" s="127">
        <f t="shared" si="14"/>
        <v>0</v>
      </c>
      <c r="S236" s="127">
        <v>0</v>
      </c>
      <c r="T236" s="128">
        <f t="shared" si="15"/>
        <v>0</v>
      </c>
      <c r="W236" s="199"/>
      <c r="X236" s="119" t="s">
        <v>355</v>
      </c>
      <c r="Y236" s="119" t="s">
        <v>231</v>
      </c>
      <c r="Z236" s="120" t="s">
        <v>3586</v>
      </c>
      <c r="AA236" s="121" t="s">
        <v>3587</v>
      </c>
      <c r="AB236" s="122" t="s">
        <v>1194</v>
      </c>
      <c r="AC236" s="123">
        <v>1</v>
      </c>
      <c r="AD236" s="124">
        <v>297.22000000000003</v>
      </c>
      <c r="AE236" s="200">
        <f t="shared" si="16"/>
        <v>297.22000000000003</v>
      </c>
      <c r="AF236" s="227"/>
      <c r="AG236" s="130"/>
      <c r="AH236" s="130"/>
      <c r="AR236" s="129" t="s">
        <v>235</v>
      </c>
      <c r="AT236" s="129" t="s">
        <v>231</v>
      </c>
      <c r="AU236" s="129" t="s">
        <v>63</v>
      </c>
      <c r="AY236" s="13" t="s">
        <v>228</v>
      </c>
      <c r="BE236" s="130">
        <f t="shared" si="17"/>
        <v>0</v>
      </c>
      <c r="BF236" s="130">
        <f t="shared" si="18"/>
        <v>297.22000000000003</v>
      </c>
      <c r="BG236" s="130">
        <f t="shared" si="19"/>
        <v>0</v>
      </c>
      <c r="BH236" s="130">
        <f t="shared" si="20"/>
        <v>0</v>
      </c>
      <c r="BI236" s="130">
        <f t="shared" si="21"/>
        <v>0</v>
      </c>
      <c r="BJ236" s="13" t="s">
        <v>76</v>
      </c>
      <c r="BK236" s="130">
        <f t="shared" si="22"/>
        <v>297.22000000000003</v>
      </c>
      <c r="BL236" s="13" t="s">
        <v>235</v>
      </c>
      <c r="BM236" s="129" t="s">
        <v>358</v>
      </c>
    </row>
    <row r="237" spans="2:65" s="1" customFormat="1" ht="28.8" x14ac:dyDescent="0.2">
      <c r="B237" s="24"/>
      <c r="D237" s="144" t="s">
        <v>1259</v>
      </c>
      <c r="F237" s="145" t="s">
        <v>3588</v>
      </c>
      <c r="L237" s="24"/>
      <c r="M237" s="146"/>
      <c r="N237" s="42"/>
      <c r="O237" s="42"/>
      <c r="P237" s="42"/>
      <c r="Q237" s="42"/>
      <c r="R237" s="42"/>
      <c r="S237" s="42"/>
      <c r="T237" s="43"/>
      <c r="W237" s="158"/>
      <c r="X237" s="283"/>
      <c r="Y237" s="203" t="s">
        <v>1259</v>
      </c>
      <c r="Z237" s="283"/>
      <c r="AA237" s="204" t="s">
        <v>3588</v>
      </c>
      <c r="AB237" s="283"/>
      <c r="AC237" s="283"/>
      <c r="AD237" s="283"/>
      <c r="AE237" s="159"/>
      <c r="AF237" s="227"/>
      <c r="AG237" s="130"/>
      <c r="AH237" s="130"/>
      <c r="AT237" s="13" t="s">
        <v>1259</v>
      </c>
      <c r="AU237" s="13" t="s">
        <v>63</v>
      </c>
    </row>
    <row r="238" spans="2:65" s="1" customFormat="1" ht="24" customHeight="1" x14ac:dyDescent="0.2">
      <c r="B238" s="118"/>
      <c r="C238" s="205" t="s">
        <v>296</v>
      </c>
      <c r="D238" s="119" t="s">
        <v>231</v>
      </c>
      <c r="E238" s="120" t="s">
        <v>3589</v>
      </c>
      <c r="F238" s="121" t="s">
        <v>3590</v>
      </c>
      <c r="G238" s="122" t="s">
        <v>1194</v>
      </c>
      <c r="H238" s="206">
        <v>1</v>
      </c>
      <c r="I238" s="124">
        <v>337.85</v>
      </c>
      <c r="J238" s="124">
        <f>ROUND(I238*H238,2)</f>
        <v>337.85</v>
      </c>
      <c r="K238" s="121" t="s">
        <v>1</v>
      </c>
      <c r="L238" s="24"/>
      <c r="M238" s="125" t="s">
        <v>1</v>
      </c>
      <c r="N238" s="126" t="s">
        <v>32</v>
      </c>
      <c r="O238" s="127">
        <v>0</v>
      </c>
      <c r="P238" s="127">
        <f>O238*H238</f>
        <v>0</v>
      </c>
      <c r="Q238" s="127">
        <v>0</v>
      </c>
      <c r="R238" s="127">
        <f>Q238*H238</f>
        <v>0</v>
      </c>
      <c r="S238" s="127">
        <v>0</v>
      </c>
      <c r="T238" s="128">
        <f>S238*H238</f>
        <v>0</v>
      </c>
      <c r="W238" s="199"/>
      <c r="X238" s="205" t="s">
        <v>296</v>
      </c>
      <c r="Y238" s="119" t="s">
        <v>231</v>
      </c>
      <c r="Z238" s="120" t="s">
        <v>3589</v>
      </c>
      <c r="AA238" s="121" t="s">
        <v>3590</v>
      </c>
      <c r="AB238" s="122" t="s">
        <v>1194</v>
      </c>
      <c r="AC238" s="206">
        <v>0</v>
      </c>
      <c r="AD238" s="124">
        <v>337.85</v>
      </c>
      <c r="AE238" s="200">
        <f>ROUND(AD238*AC238,2)</f>
        <v>0</v>
      </c>
      <c r="AF238" s="227">
        <v>7</v>
      </c>
      <c r="AG238" s="130"/>
      <c r="AH238" s="130"/>
      <c r="AR238" s="129" t="s">
        <v>235</v>
      </c>
      <c r="AT238" s="129" t="s">
        <v>231</v>
      </c>
      <c r="AU238" s="129" t="s">
        <v>63</v>
      </c>
      <c r="AY238" s="13" t="s">
        <v>228</v>
      </c>
      <c r="BE238" s="130">
        <f>IF(N238="základná",J238,0)</f>
        <v>0</v>
      </c>
      <c r="BF238" s="130">
        <f>IF(N238="znížená",J238,0)</f>
        <v>337.85</v>
      </c>
      <c r="BG238" s="130">
        <f>IF(N238="zákl. prenesená",J238,0)</f>
        <v>0</v>
      </c>
      <c r="BH238" s="130">
        <f>IF(N238="zníž. prenesená",J238,0)</f>
        <v>0</v>
      </c>
      <c r="BI238" s="130">
        <f>IF(N238="nulová",J238,0)</f>
        <v>0</v>
      </c>
      <c r="BJ238" s="13" t="s">
        <v>76</v>
      </c>
      <c r="BK238" s="130">
        <f>ROUND(I238*H238,2)</f>
        <v>337.85</v>
      </c>
      <c r="BL238" s="13" t="s">
        <v>235</v>
      </c>
      <c r="BM238" s="129" t="s">
        <v>361</v>
      </c>
    </row>
    <row r="239" spans="2:65" s="1" customFormat="1" ht="38.4" x14ac:dyDescent="0.2">
      <c r="B239" s="24"/>
      <c r="D239" s="144" t="s">
        <v>1259</v>
      </c>
      <c r="F239" s="145" t="s">
        <v>3591</v>
      </c>
      <c r="L239" s="24"/>
      <c r="M239" s="146"/>
      <c r="N239" s="42"/>
      <c r="O239" s="42"/>
      <c r="P239" s="42"/>
      <c r="Q239" s="42"/>
      <c r="R239" s="42"/>
      <c r="S239" s="42"/>
      <c r="T239" s="43"/>
      <c r="W239" s="158"/>
      <c r="X239" s="283"/>
      <c r="Y239" s="203" t="s">
        <v>1259</v>
      </c>
      <c r="Z239" s="283"/>
      <c r="AA239" s="204" t="s">
        <v>3591</v>
      </c>
      <c r="AB239" s="283"/>
      <c r="AC239" s="283"/>
      <c r="AD239" s="283"/>
      <c r="AE239" s="159"/>
      <c r="AF239" s="227"/>
      <c r="AG239" s="130"/>
      <c r="AH239" s="130"/>
      <c r="AT239" s="13" t="s">
        <v>1259</v>
      </c>
      <c r="AU239" s="13" t="s">
        <v>63</v>
      </c>
    </row>
    <row r="240" spans="2:65" s="1" customFormat="1" ht="16.5" customHeight="1" x14ac:dyDescent="0.2">
      <c r="B240" s="118"/>
      <c r="C240" s="205" t="s">
        <v>362</v>
      </c>
      <c r="D240" s="119" t="s">
        <v>231</v>
      </c>
      <c r="E240" s="120" t="s">
        <v>3592</v>
      </c>
      <c r="F240" s="121" t="s">
        <v>3593</v>
      </c>
      <c r="G240" s="122" t="s">
        <v>1194</v>
      </c>
      <c r="H240" s="206">
        <v>1</v>
      </c>
      <c r="I240" s="124">
        <v>135.84</v>
      </c>
      <c r="J240" s="124">
        <f>ROUND(I240*H240,2)</f>
        <v>135.84</v>
      </c>
      <c r="K240" s="121" t="s">
        <v>1</v>
      </c>
      <c r="L240" s="24"/>
      <c r="M240" s="125" t="s">
        <v>1</v>
      </c>
      <c r="N240" s="126" t="s">
        <v>32</v>
      </c>
      <c r="O240" s="127">
        <v>0</v>
      </c>
      <c r="P240" s="127">
        <f>O240*H240</f>
        <v>0</v>
      </c>
      <c r="Q240" s="127">
        <v>0</v>
      </c>
      <c r="R240" s="127">
        <f>Q240*H240</f>
        <v>0</v>
      </c>
      <c r="S240" s="127">
        <v>0</v>
      </c>
      <c r="T240" s="128">
        <f>S240*H240</f>
        <v>0</v>
      </c>
      <c r="W240" s="199"/>
      <c r="X240" s="205" t="s">
        <v>362</v>
      </c>
      <c r="Y240" s="119" t="s">
        <v>231</v>
      </c>
      <c r="Z240" s="120" t="s">
        <v>3592</v>
      </c>
      <c r="AA240" s="121" t="s">
        <v>3593</v>
      </c>
      <c r="AB240" s="122" t="s">
        <v>1194</v>
      </c>
      <c r="AC240" s="206">
        <v>0</v>
      </c>
      <c r="AD240" s="124">
        <v>135.84</v>
      </c>
      <c r="AE240" s="200">
        <f>ROUND(AD240*AC240,2)</f>
        <v>0</v>
      </c>
      <c r="AF240" s="227">
        <v>7</v>
      </c>
      <c r="AG240" s="130"/>
      <c r="AH240" s="130"/>
      <c r="AR240" s="129" t="s">
        <v>235</v>
      </c>
      <c r="AT240" s="129" t="s">
        <v>231</v>
      </c>
      <c r="AU240" s="129" t="s">
        <v>63</v>
      </c>
      <c r="AY240" s="13" t="s">
        <v>228</v>
      </c>
      <c r="BE240" s="130">
        <f>IF(N240="základná",J240,0)</f>
        <v>0</v>
      </c>
      <c r="BF240" s="130">
        <f>IF(N240="znížená",J240,0)</f>
        <v>135.84</v>
      </c>
      <c r="BG240" s="130">
        <f>IF(N240="zákl. prenesená",J240,0)</f>
        <v>0</v>
      </c>
      <c r="BH240" s="130">
        <f>IF(N240="zníž. prenesená",J240,0)</f>
        <v>0</v>
      </c>
      <c r="BI240" s="130">
        <f>IF(N240="nulová",J240,0)</f>
        <v>0</v>
      </c>
      <c r="BJ240" s="13" t="s">
        <v>76</v>
      </c>
      <c r="BK240" s="130">
        <f>ROUND(I240*H240,2)</f>
        <v>135.84</v>
      </c>
      <c r="BL240" s="13" t="s">
        <v>235</v>
      </c>
      <c r="BM240" s="129" t="s">
        <v>365</v>
      </c>
    </row>
    <row r="241" spans="2:65" s="1" customFormat="1" ht="16.5" customHeight="1" x14ac:dyDescent="0.2">
      <c r="B241" s="118"/>
      <c r="C241" s="205" t="s">
        <v>300</v>
      </c>
      <c r="D241" s="119" t="s">
        <v>231</v>
      </c>
      <c r="E241" s="120" t="s">
        <v>3594</v>
      </c>
      <c r="F241" s="121" t="s">
        <v>3595</v>
      </c>
      <c r="G241" s="122" t="s">
        <v>1194</v>
      </c>
      <c r="H241" s="123">
        <v>1</v>
      </c>
      <c r="I241" s="124">
        <v>185.76</v>
      </c>
      <c r="J241" s="124">
        <f>ROUND(I241*H241,2)</f>
        <v>185.76</v>
      </c>
      <c r="K241" s="121" t="s">
        <v>1</v>
      </c>
      <c r="L241" s="24"/>
      <c r="M241" s="125" t="s">
        <v>1</v>
      </c>
      <c r="N241" s="126" t="s">
        <v>32</v>
      </c>
      <c r="O241" s="127">
        <v>0</v>
      </c>
      <c r="P241" s="127">
        <f>O241*H241</f>
        <v>0</v>
      </c>
      <c r="Q241" s="127">
        <v>0</v>
      </c>
      <c r="R241" s="127">
        <f>Q241*H241</f>
        <v>0</v>
      </c>
      <c r="S241" s="127">
        <v>0</v>
      </c>
      <c r="T241" s="128">
        <f>S241*H241</f>
        <v>0</v>
      </c>
      <c r="W241" s="199"/>
      <c r="X241" s="205" t="s">
        <v>300</v>
      </c>
      <c r="Y241" s="119" t="s">
        <v>231</v>
      </c>
      <c r="Z241" s="120" t="s">
        <v>3594</v>
      </c>
      <c r="AA241" s="121" t="s">
        <v>3595</v>
      </c>
      <c r="AB241" s="122" t="s">
        <v>1194</v>
      </c>
      <c r="AC241" s="206">
        <v>0</v>
      </c>
      <c r="AD241" s="124">
        <v>185.76</v>
      </c>
      <c r="AE241" s="200">
        <f>ROUND(AD241*AC241,2)</f>
        <v>0</v>
      </c>
      <c r="AF241" s="227">
        <v>7</v>
      </c>
      <c r="AG241" s="130"/>
      <c r="AH241" s="130"/>
      <c r="AR241" s="129" t="s">
        <v>235</v>
      </c>
      <c r="AT241" s="129" t="s">
        <v>231</v>
      </c>
      <c r="AU241" s="129" t="s">
        <v>63</v>
      </c>
      <c r="AY241" s="13" t="s">
        <v>228</v>
      </c>
      <c r="BE241" s="130">
        <f>IF(N241="základná",J241,0)</f>
        <v>0</v>
      </c>
      <c r="BF241" s="130">
        <f>IF(N241="znížená",J241,0)</f>
        <v>185.76</v>
      </c>
      <c r="BG241" s="130">
        <f>IF(N241="zákl. prenesená",J241,0)</f>
        <v>0</v>
      </c>
      <c r="BH241" s="130">
        <f>IF(N241="zníž. prenesená",J241,0)</f>
        <v>0</v>
      </c>
      <c r="BI241" s="130">
        <f>IF(N241="nulová",J241,0)</f>
        <v>0</v>
      </c>
      <c r="BJ241" s="13" t="s">
        <v>76</v>
      </c>
      <c r="BK241" s="130">
        <f>ROUND(I241*H241,2)</f>
        <v>185.76</v>
      </c>
      <c r="BL241" s="13" t="s">
        <v>235</v>
      </c>
      <c r="BM241" s="129" t="s">
        <v>368</v>
      </c>
    </row>
    <row r="242" spans="2:65" s="11" customFormat="1" ht="22.95" customHeight="1" x14ac:dyDescent="0.25">
      <c r="B242" s="106"/>
      <c r="D242" s="107" t="s">
        <v>57</v>
      </c>
      <c r="E242" s="116" t="s">
        <v>2036</v>
      </c>
      <c r="F242" s="116" t="s">
        <v>3596</v>
      </c>
      <c r="J242" s="117">
        <f>BK242</f>
        <v>605.15</v>
      </c>
      <c r="L242" s="106"/>
      <c r="M242" s="110"/>
      <c r="N242" s="111"/>
      <c r="O242" s="111"/>
      <c r="P242" s="112">
        <f>SUM(P243:P248)</f>
        <v>0</v>
      </c>
      <c r="Q242" s="111"/>
      <c r="R242" s="112">
        <f>SUM(R243:R248)</f>
        <v>0</v>
      </c>
      <c r="S242" s="111"/>
      <c r="T242" s="113">
        <f>SUM(T243:T248)</f>
        <v>0</v>
      </c>
      <c r="W242" s="195"/>
      <c r="X242" s="111"/>
      <c r="Y242" s="196" t="s">
        <v>57</v>
      </c>
      <c r="Z242" s="201" t="s">
        <v>2036</v>
      </c>
      <c r="AA242" s="201" t="s">
        <v>3596</v>
      </c>
      <c r="AB242" s="111"/>
      <c r="AC242" s="111"/>
      <c r="AD242" s="111"/>
      <c r="AE242" s="202">
        <f>SUM(AE243:AE248)</f>
        <v>189.54999999999998</v>
      </c>
      <c r="AF242" s="248"/>
      <c r="AG242" s="130"/>
      <c r="AH242" s="130"/>
      <c r="AR242" s="107" t="s">
        <v>63</v>
      </c>
      <c r="AT242" s="114" t="s">
        <v>57</v>
      </c>
      <c r="AU242" s="114" t="s">
        <v>63</v>
      </c>
      <c r="AY242" s="107" t="s">
        <v>228</v>
      </c>
      <c r="BK242" s="115">
        <f>SUM(BK243:BK248)</f>
        <v>605.15</v>
      </c>
    </row>
    <row r="243" spans="2:65" s="1" customFormat="1" ht="16.5" customHeight="1" x14ac:dyDescent="0.2">
      <c r="B243" s="118"/>
      <c r="C243" s="205" t="s">
        <v>369</v>
      </c>
      <c r="D243" s="119" t="s">
        <v>231</v>
      </c>
      <c r="E243" s="120" t="s">
        <v>3597</v>
      </c>
      <c r="F243" s="121" t="s">
        <v>1208</v>
      </c>
      <c r="G243" s="122" t="s">
        <v>1194</v>
      </c>
      <c r="H243" s="206">
        <v>2</v>
      </c>
      <c r="I243" s="124">
        <v>20.68</v>
      </c>
      <c r="J243" s="124">
        <f t="shared" ref="J243:J248" si="23">ROUND(I243*H243,2)</f>
        <v>41.36</v>
      </c>
      <c r="K243" s="121" t="s">
        <v>1</v>
      </c>
      <c r="L243" s="24"/>
      <c r="M243" s="125" t="s">
        <v>1</v>
      </c>
      <c r="N243" s="126" t="s">
        <v>32</v>
      </c>
      <c r="O243" s="127">
        <v>0</v>
      </c>
      <c r="P243" s="127">
        <f t="shared" ref="P243:P248" si="24">O243*H243</f>
        <v>0</v>
      </c>
      <c r="Q243" s="127">
        <v>0</v>
      </c>
      <c r="R243" s="127">
        <f t="shared" ref="R243:R248" si="25">Q243*H243</f>
        <v>0</v>
      </c>
      <c r="S243" s="127">
        <v>0</v>
      </c>
      <c r="T243" s="128">
        <f t="shared" ref="T243:T248" si="26">S243*H243</f>
        <v>0</v>
      </c>
      <c r="W243" s="199"/>
      <c r="X243" s="205" t="s">
        <v>369</v>
      </c>
      <c r="Y243" s="119" t="s">
        <v>231</v>
      </c>
      <c r="Z243" s="120" t="s">
        <v>3597</v>
      </c>
      <c r="AA243" s="121" t="s">
        <v>1208</v>
      </c>
      <c r="AB243" s="122" t="s">
        <v>1194</v>
      </c>
      <c r="AC243" s="206">
        <v>0</v>
      </c>
      <c r="AD243" s="124">
        <v>20.68</v>
      </c>
      <c r="AE243" s="200">
        <f t="shared" ref="AE243:AE248" si="27">ROUND(AD243*AC243,2)</f>
        <v>0</v>
      </c>
      <c r="AF243" s="227">
        <v>7</v>
      </c>
      <c r="AG243" s="130"/>
      <c r="AH243" s="130"/>
      <c r="AR243" s="129" t="s">
        <v>235</v>
      </c>
      <c r="AT243" s="129" t="s">
        <v>231</v>
      </c>
      <c r="AU243" s="129" t="s">
        <v>76</v>
      </c>
      <c r="AY243" s="13" t="s">
        <v>228</v>
      </c>
      <c r="BE243" s="130">
        <f t="shared" ref="BE243:BE248" si="28">IF(N243="základná",J243,0)</f>
        <v>0</v>
      </c>
      <c r="BF243" s="130">
        <f t="shared" ref="BF243:BF248" si="29">IF(N243="znížená",J243,0)</f>
        <v>41.36</v>
      </c>
      <c r="BG243" s="130">
        <f t="shared" ref="BG243:BG248" si="30">IF(N243="zákl. prenesená",J243,0)</f>
        <v>0</v>
      </c>
      <c r="BH243" s="130">
        <f t="shared" ref="BH243:BH248" si="31">IF(N243="zníž. prenesená",J243,0)</f>
        <v>0</v>
      </c>
      <c r="BI243" s="130">
        <f t="shared" ref="BI243:BI248" si="32">IF(N243="nulová",J243,0)</f>
        <v>0</v>
      </c>
      <c r="BJ243" s="13" t="s">
        <v>76</v>
      </c>
      <c r="BK243" s="130">
        <f t="shared" ref="BK243:BK248" si="33">ROUND(I243*H243,2)</f>
        <v>41.36</v>
      </c>
      <c r="BL243" s="13" t="s">
        <v>235</v>
      </c>
      <c r="BM243" s="129" t="s">
        <v>372</v>
      </c>
    </row>
    <row r="244" spans="2:65" s="1" customFormat="1" ht="16.5" customHeight="1" x14ac:dyDescent="0.2">
      <c r="B244" s="118"/>
      <c r="C244" s="205" t="s">
        <v>303</v>
      </c>
      <c r="D244" s="119" t="s">
        <v>231</v>
      </c>
      <c r="E244" s="120" t="s">
        <v>3598</v>
      </c>
      <c r="F244" s="121" t="s">
        <v>3599</v>
      </c>
      <c r="G244" s="122" t="s">
        <v>1194</v>
      </c>
      <c r="H244" s="206">
        <v>2</v>
      </c>
      <c r="I244" s="124">
        <v>30.04</v>
      </c>
      <c r="J244" s="124">
        <f t="shared" si="23"/>
        <v>60.08</v>
      </c>
      <c r="K244" s="121" t="s">
        <v>1</v>
      </c>
      <c r="L244" s="24"/>
      <c r="M244" s="125" t="s">
        <v>1</v>
      </c>
      <c r="N244" s="126" t="s">
        <v>32</v>
      </c>
      <c r="O244" s="127">
        <v>0</v>
      </c>
      <c r="P244" s="127">
        <f t="shared" si="24"/>
        <v>0</v>
      </c>
      <c r="Q244" s="127">
        <v>0</v>
      </c>
      <c r="R244" s="127">
        <f t="shared" si="25"/>
        <v>0</v>
      </c>
      <c r="S244" s="127">
        <v>0</v>
      </c>
      <c r="T244" s="128">
        <f t="shared" si="26"/>
        <v>0</v>
      </c>
      <c r="W244" s="199"/>
      <c r="X244" s="205" t="s">
        <v>303</v>
      </c>
      <c r="Y244" s="119" t="s">
        <v>231</v>
      </c>
      <c r="Z244" s="120" t="s">
        <v>3598</v>
      </c>
      <c r="AA244" s="121" t="s">
        <v>3599</v>
      </c>
      <c r="AB244" s="122" t="s">
        <v>1194</v>
      </c>
      <c r="AC244" s="206">
        <v>0</v>
      </c>
      <c r="AD244" s="124">
        <v>30.04</v>
      </c>
      <c r="AE244" s="200">
        <f t="shared" si="27"/>
        <v>0</v>
      </c>
      <c r="AF244" s="227">
        <v>7</v>
      </c>
      <c r="AG244" s="130"/>
      <c r="AH244" s="130"/>
      <c r="AR244" s="129" t="s">
        <v>235</v>
      </c>
      <c r="AT244" s="129" t="s">
        <v>231</v>
      </c>
      <c r="AU244" s="129" t="s">
        <v>76</v>
      </c>
      <c r="AY244" s="13" t="s">
        <v>228</v>
      </c>
      <c r="BE244" s="130">
        <f t="shared" si="28"/>
        <v>0</v>
      </c>
      <c r="BF244" s="130">
        <f t="shared" si="29"/>
        <v>60.08</v>
      </c>
      <c r="BG244" s="130">
        <f t="shared" si="30"/>
        <v>0</v>
      </c>
      <c r="BH244" s="130">
        <f t="shared" si="31"/>
        <v>0</v>
      </c>
      <c r="BI244" s="130">
        <f t="shared" si="32"/>
        <v>0</v>
      </c>
      <c r="BJ244" s="13" t="s">
        <v>76</v>
      </c>
      <c r="BK244" s="130">
        <f t="shared" si="33"/>
        <v>60.08</v>
      </c>
      <c r="BL244" s="13" t="s">
        <v>235</v>
      </c>
      <c r="BM244" s="129" t="s">
        <v>375</v>
      </c>
    </row>
    <row r="245" spans="2:65" s="1" customFormat="1" ht="16.5" customHeight="1" x14ac:dyDescent="0.2">
      <c r="B245" s="118"/>
      <c r="C245" s="119" t="s">
        <v>376</v>
      </c>
      <c r="D245" s="119" t="s">
        <v>231</v>
      </c>
      <c r="E245" s="120" t="s">
        <v>3600</v>
      </c>
      <c r="F245" s="121" t="s">
        <v>3601</v>
      </c>
      <c r="G245" s="122" t="s">
        <v>1194</v>
      </c>
      <c r="H245" s="123">
        <v>2</v>
      </c>
      <c r="I245" s="124">
        <v>40.28</v>
      </c>
      <c r="J245" s="124">
        <f t="shared" si="23"/>
        <v>80.56</v>
      </c>
      <c r="K245" s="121" t="s">
        <v>1</v>
      </c>
      <c r="L245" s="24"/>
      <c r="M245" s="125" t="s">
        <v>1</v>
      </c>
      <c r="N245" s="126" t="s">
        <v>32</v>
      </c>
      <c r="O245" s="127">
        <v>0</v>
      </c>
      <c r="P245" s="127">
        <f t="shared" si="24"/>
        <v>0</v>
      </c>
      <c r="Q245" s="127">
        <v>0</v>
      </c>
      <c r="R245" s="127">
        <f t="shared" si="25"/>
        <v>0</v>
      </c>
      <c r="S245" s="127">
        <v>0</v>
      </c>
      <c r="T245" s="128">
        <f t="shared" si="26"/>
        <v>0</v>
      </c>
      <c r="W245" s="199"/>
      <c r="X245" s="119" t="s">
        <v>376</v>
      </c>
      <c r="Y245" s="119" t="s">
        <v>231</v>
      </c>
      <c r="Z245" s="120" t="s">
        <v>3600</v>
      </c>
      <c r="AA245" s="121" t="s">
        <v>3601</v>
      </c>
      <c r="AB245" s="122" t="s">
        <v>1194</v>
      </c>
      <c r="AC245" s="123">
        <v>2</v>
      </c>
      <c r="AD245" s="124">
        <v>40.28</v>
      </c>
      <c r="AE245" s="200">
        <f t="shared" si="27"/>
        <v>80.56</v>
      </c>
      <c r="AF245" s="227"/>
      <c r="AG245" s="130"/>
      <c r="AH245" s="130"/>
      <c r="AR245" s="129" t="s">
        <v>235</v>
      </c>
      <c r="AT245" s="129" t="s">
        <v>231</v>
      </c>
      <c r="AU245" s="129" t="s">
        <v>76</v>
      </c>
      <c r="AY245" s="13" t="s">
        <v>228</v>
      </c>
      <c r="BE245" s="130">
        <f t="shared" si="28"/>
        <v>0</v>
      </c>
      <c r="BF245" s="130">
        <f t="shared" si="29"/>
        <v>80.56</v>
      </c>
      <c r="BG245" s="130">
        <f t="shared" si="30"/>
        <v>0</v>
      </c>
      <c r="BH245" s="130">
        <f t="shared" si="31"/>
        <v>0</v>
      </c>
      <c r="BI245" s="130">
        <f t="shared" si="32"/>
        <v>0</v>
      </c>
      <c r="BJ245" s="13" t="s">
        <v>76</v>
      </c>
      <c r="BK245" s="130">
        <f t="shared" si="33"/>
        <v>80.56</v>
      </c>
      <c r="BL245" s="13" t="s">
        <v>235</v>
      </c>
      <c r="BM245" s="129" t="s">
        <v>379</v>
      </c>
    </row>
    <row r="246" spans="2:65" s="1" customFormat="1" ht="16.5" customHeight="1" x14ac:dyDescent="0.2">
      <c r="B246" s="118"/>
      <c r="C246" s="205" t="s">
        <v>308</v>
      </c>
      <c r="D246" s="119" t="s">
        <v>231</v>
      </c>
      <c r="E246" s="120" t="s">
        <v>3602</v>
      </c>
      <c r="F246" s="121" t="s">
        <v>3603</v>
      </c>
      <c r="G246" s="122" t="s">
        <v>1194</v>
      </c>
      <c r="H246" s="206">
        <v>6</v>
      </c>
      <c r="I246" s="124">
        <v>52.36</v>
      </c>
      <c r="J246" s="124">
        <f t="shared" si="23"/>
        <v>314.16000000000003</v>
      </c>
      <c r="K246" s="121" t="s">
        <v>1</v>
      </c>
      <c r="L246" s="24"/>
      <c r="M246" s="125" t="s">
        <v>1</v>
      </c>
      <c r="N246" s="126" t="s">
        <v>32</v>
      </c>
      <c r="O246" s="127">
        <v>0</v>
      </c>
      <c r="P246" s="127">
        <f t="shared" si="24"/>
        <v>0</v>
      </c>
      <c r="Q246" s="127">
        <v>0</v>
      </c>
      <c r="R246" s="127">
        <f t="shared" si="25"/>
        <v>0</v>
      </c>
      <c r="S246" s="127">
        <v>0</v>
      </c>
      <c r="T246" s="128">
        <f t="shared" si="26"/>
        <v>0</v>
      </c>
      <c r="W246" s="199"/>
      <c r="X246" s="205" t="s">
        <v>308</v>
      </c>
      <c r="Y246" s="119" t="s">
        <v>231</v>
      </c>
      <c r="Z246" s="120" t="s">
        <v>3602</v>
      </c>
      <c r="AA246" s="121" t="s">
        <v>3603</v>
      </c>
      <c r="AB246" s="122" t="s">
        <v>1194</v>
      </c>
      <c r="AC246" s="206">
        <v>0</v>
      </c>
      <c r="AD246" s="124">
        <v>52.36</v>
      </c>
      <c r="AE246" s="200">
        <f t="shared" si="27"/>
        <v>0</v>
      </c>
      <c r="AF246" s="227">
        <v>7</v>
      </c>
      <c r="AG246" s="130"/>
      <c r="AH246" s="130"/>
      <c r="AR246" s="129" t="s">
        <v>235</v>
      </c>
      <c r="AT246" s="129" t="s">
        <v>231</v>
      </c>
      <c r="AU246" s="129" t="s">
        <v>76</v>
      </c>
      <c r="AY246" s="13" t="s">
        <v>228</v>
      </c>
      <c r="BE246" s="130">
        <f t="shared" si="28"/>
        <v>0</v>
      </c>
      <c r="BF246" s="130">
        <f t="shared" si="29"/>
        <v>314.16000000000003</v>
      </c>
      <c r="BG246" s="130">
        <f t="shared" si="30"/>
        <v>0</v>
      </c>
      <c r="BH246" s="130">
        <f t="shared" si="31"/>
        <v>0</v>
      </c>
      <c r="BI246" s="130">
        <f t="shared" si="32"/>
        <v>0</v>
      </c>
      <c r="BJ246" s="13" t="s">
        <v>76</v>
      </c>
      <c r="BK246" s="130">
        <f t="shared" si="33"/>
        <v>314.16000000000003</v>
      </c>
      <c r="BL246" s="13" t="s">
        <v>235</v>
      </c>
      <c r="BM246" s="129" t="s">
        <v>382</v>
      </c>
    </row>
    <row r="247" spans="2:65" s="1" customFormat="1" ht="16.5" customHeight="1" x14ac:dyDescent="0.2">
      <c r="B247" s="118"/>
      <c r="C247" s="119" t="s">
        <v>383</v>
      </c>
      <c r="D247" s="119" t="s">
        <v>231</v>
      </c>
      <c r="E247" s="120" t="s">
        <v>1236</v>
      </c>
      <c r="F247" s="121" t="s">
        <v>1237</v>
      </c>
      <c r="G247" s="122" t="s">
        <v>1194</v>
      </c>
      <c r="H247" s="123">
        <v>9</v>
      </c>
      <c r="I247" s="124">
        <v>11.12</v>
      </c>
      <c r="J247" s="124">
        <f t="shared" si="23"/>
        <v>100.08</v>
      </c>
      <c r="K247" s="121" t="s">
        <v>1</v>
      </c>
      <c r="L247" s="24"/>
      <c r="M247" s="125" t="s">
        <v>1</v>
      </c>
      <c r="N247" s="126" t="s">
        <v>32</v>
      </c>
      <c r="O247" s="127">
        <v>0</v>
      </c>
      <c r="P247" s="127">
        <f t="shared" si="24"/>
        <v>0</v>
      </c>
      <c r="Q247" s="127">
        <v>0</v>
      </c>
      <c r="R247" s="127">
        <f t="shared" si="25"/>
        <v>0</v>
      </c>
      <c r="S247" s="127">
        <v>0</v>
      </c>
      <c r="T247" s="128">
        <f t="shared" si="26"/>
        <v>0</v>
      </c>
      <c r="W247" s="199"/>
      <c r="X247" s="119" t="s">
        <v>383</v>
      </c>
      <c r="Y247" s="119" t="s">
        <v>231</v>
      </c>
      <c r="Z247" s="120" t="s">
        <v>1236</v>
      </c>
      <c r="AA247" s="121" t="s">
        <v>1237</v>
      </c>
      <c r="AB247" s="122" t="s">
        <v>1194</v>
      </c>
      <c r="AC247" s="123">
        <v>9</v>
      </c>
      <c r="AD247" s="124">
        <v>11.12</v>
      </c>
      <c r="AE247" s="200">
        <f t="shared" si="27"/>
        <v>100.08</v>
      </c>
      <c r="AF247" s="227"/>
      <c r="AG247" s="130"/>
      <c r="AH247" s="130"/>
      <c r="AR247" s="129" t="s">
        <v>235</v>
      </c>
      <c r="AT247" s="129" t="s">
        <v>231</v>
      </c>
      <c r="AU247" s="129" t="s">
        <v>76</v>
      </c>
      <c r="AY247" s="13" t="s">
        <v>228</v>
      </c>
      <c r="BE247" s="130">
        <f t="shared" si="28"/>
        <v>0</v>
      </c>
      <c r="BF247" s="130">
        <f t="shared" si="29"/>
        <v>100.08</v>
      </c>
      <c r="BG247" s="130">
        <f t="shared" si="30"/>
        <v>0</v>
      </c>
      <c r="BH247" s="130">
        <f t="shared" si="31"/>
        <v>0</v>
      </c>
      <c r="BI247" s="130">
        <f t="shared" si="32"/>
        <v>0</v>
      </c>
      <c r="BJ247" s="13" t="s">
        <v>76</v>
      </c>
      <c r="BK247" s="130">
        <f t="shared" si="33"/>
        <v>100.08</v>
      </c>
      <c r="BL247" s="13" t="s">
        <v>235</v>
      </c>
      <c r="BM247" s="129" t="s">
        <v>386</v>
      </c>
    </row>
    <row r="248" spans="2:65" s="1" customFormat="1" ht="16.5" customHeight="1" x14ac:dyDescent="0.2">
      <c r="B248" s="118"/>
      <c r="C248" s="119" t="s">
        <v>312</v>
      </c>
      <c r="D248" s="119" t="s">
        <v>231</v>
      </c>
      <c r="E248" s="120" t="s">
        <v>1238</v>
      </c>
      <c r="F248" s="121" t="s">
        <v>1239</v>
      </c>
      <c r="G248" s="122" t="s">
        <v>1194</v>
      </c>
      <c r="H248" s="123">
        <v>9</v>
      </c>
      <c r="I248" s="124">
        <v>0.99</v>
      </c>
      <c r="J248" s="124">
        <f t="shared" si="23"/>
        <v>8.91</v>
      </c>
      <c r="K248" s="121" t="s">
        <v>1</v>
      </c>
      <c r="L248" s="24"/>
      <c r="M248" s="125" t="s">
        <v>1</v>
      </c>
      <c r="N248" s="126" t="s">
        <v>32</v>
      </c>
      <c r="O248" s="127">
        <v>0</v>
      </c>
      <c r="P248" s="127">
        <f t="shared" si="24"/>
        <v>0</v>
      </c>
      <c r="Q248" s="127">
        <v>0</v>
      </c>
      <c r="R248" s="127">
        <f t="shared" si="25"/>
        <v>0</v>
      </c>
      <c r="S248" s="127">
        <v>0</v>
      </c>
      <c r="T248" s="128">
        <f t="shared" si="26"/>
        <v>0</v>
      </c>
      <c r="W248" s="199"/>
      <c r="X248" s="119" t="s">
        <v>312</v>
      </c>
      <c r="Y248" s="119" t="s">
        <v>231</v>
      </c>
      <c r="Z248" s="120" t="s">
        <v>1238</v>
      </c>
      <c r="AA248" s="121" t="s">
        <v>1239</v>
      </c>
      <c r="AB248" s="122" t="s">
        <v>1194</v>
      </c>
      <c r="AC248" s="123">
        <v>9</v>
      </c>
      <c r="AD248" s="124">
        <v>0.99</v>
      </c>
      <c r="AE248" s="200">
        <f t="shared" si="27"/>
        <v>8.91</v>
      </c>
      <c r="AF248" s="227"/>
      <c r="AG248" s="130"/>
      <c r="AH248" s="130"/>
      <c r="AR248" s="129" t="s">
        <v>235</v>
      </c>
      <c r="AT248" s="129" t="s">
        <v>231</v>
      </c>
      <c r="AU248" s="129" t="s">
        <v>76</v>
      </c>
      <c r="AY248" s="13" t="s">
        <v>228</v>
      </c>
      <c r="BE248" s="130">
        <f t="shared" si="28"/>
        <v>0</v>
      </c>
      <c r="BF248" s="130">
        <f t="shared" si="29"/>
        <v>8.91</v>
      </c>
      <c r="BG248" s="130">
        <f t="shared" si="30"/>
        <v>0</v>
      </c>
      <c r="BH248" s="130">
        <f t="shared" si="31"/>
        <v>0</v>
      </c>
      <c r="BI248" s="130">
        <f t="shared" si="32"/>
        <v>0</v>
      </c>
      <c r="BJ248" s="13" t="s">
        <v>76</v>
      </c>
      <c r="BK248" s="130">
        <f t="shared" si="33"/>
        <v>8.91</v>
      </c>
      <c r="BL248" s="13" t="s">
        <v>235</v>
      </c>
      <c r="BM248" s="129" t="s">
        <v>389</v>
      </c>
    </row>
    <row r="249" spans="2:65" s="11" customFormat="1" ht="22.95" customHeight="1" x14ac:dyDescent="0.25">
      <c r="B249" s="106"/>
      <c r="D249" s="107" t="s">
        <v>57</v>
      </c>
      <c r="E249" s="116" t="s">
        <v>2043</v>
      </c>
      <c r="F249" s="116" t="s">
        <v>1241</v>
      </c>
      <c r="J249" s="117">
        <f>BK249</f>
        <v>62.099999999999994</v>
      </c>
      <c r="L249" s="106"/>
      <c r="M249" s="110"/>
      <c r="N249" s="111"/>
      <c r="O249" s="111"/>
      <c r="P249" s="112">
        <f>SUM(P251:P253)</f>
        <v>0</v>
      </c>
      <c r="Q249" s="111"/>
      <c r="R249" s="112">
        <f>SUM(R251:R253)</f>
        <v>0</v>
      </c>
      <c r="S249" s="111"/>
      <c r="T249" s="113">
        <f>SUM(T251:T253)</f>
        <v>0</v>
      </c>
      <c r="W249" s="195"/>
      <c r="X249" s="111"/>
      <c r="Y249" s="196" t="s">
        <v>57</v>
      </c>
      <c r="Z249" s="201" t="s">
        <v>2043</v>
      </c>
      <c r="AA249" s="201" t="s">
        <v>1241</v>
      </c>
      <c r="AB249" s="111"/>
      <c r="AC249" s="111"/>
      <c r="AD249" s="111"/>
      <c r="AE249" s="202">
        <f>SUM(AE250:AE253)</f>
        <v>55.49</v>
      </c>
      <c r="AF249" s="248"/>
      <c r="AG249" s="130"/>
      <c r="AH249" s="130"/>
      <c r="AR249" s="107" t="s">
        <v>63</v>
      </c>
      <c r="AT249" s="114" t="s">
        <v>57</v>
      </c>
      <c r="AU249" s="114" t="s">
        <v>63</v>
      </c>
      <c r="AY249" s="107" t="s">
        <v>228</v>
      </c>
      <c r="BK249" s="115">
        <f>SUM(BK251:BK253)</f>
        <v>62.099999999999994</v>
      </c>
    </row>
    <row r="250" spans="2:65" s="11" customFormat="1" ht="16.95" customHeight="1" x14ac:dyDescent="0.2">
      <c r="B250" s="106"/>
      <c r="C250" s="1234" t="s">
        <v>5205</v>
      </c>
      <c r="D250" s="1235"/>
      <c r="E250" s="1235"/>
      <c r="F250" s="1235"/>
      <c r="G250" s="1235"/>
      <c r="H250" s="1235"/>
      <c r="I250" s="1235"/>
      <c r="J250" s="1236"/>
      <c r="L250" s="106"/>
      <c r="M250" s="110"/>
      <c r="N250" s="111"/>
      <c r="O250" s="111"/>
      <c r="P250" s="112"/>
      <c r="Q250" s="111"/>
      <c r="R250" s="112"/>
      <c r="S250" s="111"/>
      <c r="T250" s="113"/>
      <c r="W250" s="195"/>
      <c r="X250" s="215" t="s">
        <v>5244</v>
      </c>
      <c r="Y250" s="215" t="s">
        <v>231</v>
      </c>
      <c r="Z250" s="216" t="s">
        <v>5243</v>
      </c>
      <c r="AA250" s="217" t="s">
        <v>5207</v>
      </c>
      <c r="AB250" s="218" t="s">
        <v>1194</v>
      </c>
      <c r="AC250" s="219">
        <v>2</v>
      </c>
      <c r="AD250" s="220">
        <v>2.87</v>
      </c>
      <c r="AE250" s="221">
        <f>ROUND(AD250*AC250,2)</f>
        <v>5.74</v>
      </c>
      <c r="AF250" s="248">
        <v>7</v>
      </c>
      <c r="AG250" s="130"/>
      <c r="AH250" s="130"/>
      <c r="AR250" s="107"/>
      <c r="AT250" s="114"/>
      <c r="AU250" s="114"/>
      <c r="AY250" s="107"/>
      <c r="BK250" s="115"/>
    </row>
    <row r="251" spans="2:65" s="1" customFormat="1" ht="16.2" customHeight="1" x14ac:dyDescent="0.2">
      <c r="B251" s="118"/>
      <c r="C251" s="205" t="s">
        <v>390</v>
      </c>
      <c r="D251" s="119" t="s">
        <v>231</v>
      </c>
      <c r="E251" s="120" t="s">
        <v>1242</v>
      </c>
      <c r="F251" s="121" t="s">
        <v>1204</v>
      </c>
      <c r="G251" s="122" t="s">
        <v>1194</v>
      </c>
      <c r="H251" s="206">
        <v>12</v>
      </c>
      <c r="I251" s="124">
        <v>2.87</v>
      </c>
      <c r="J251" s="124">
        <f>ROUND(I251*H251,2)</f>
        <v>34.44</v>
      </c>
      <c r="K251" s="121" t="s">
        <v>1</v>
      </c>
      <c r="L251" s="24"/>
      <c r="M251" s="125" t="s">
        <v>1</v>
      </c>
      <c r="N251" s="126" t="s">
        <v>32</v>
      </c>
      <c r="O251" s="127">
        <v>0</v>
      </c>
      <c r="P251" s="127">
        <f>O251*H251</f>
        <v>0</v>
      </c>
      <c r="Q251" s="127">
        <v>0</v>
      </c>
      <c r="R251" s="127">
        <f>Q251*H251</f>
        <v>0</v>
      </c>
      <c r="S251" s="127">
        <v>0</v>
      </c>
      <c r="T251" s="128">
        <f>S251*H251</f>
        <v>0</v>
      </c>
      <c r="W251" s="199"/>
      <c r="X251" s="205" t="s">
        <v>390</v>
      </c>
      <c r="Y251" s="119" t="s">
        <v>231</v>
      </c>
      <c r="Z251" s="120" t="s">
        <v>1242</v>
      </c>
      <c r="AA251" s="121" t="s">
        <v>1204</v>
      </c>
      <c r="AB251" s="122" t="s">
        <v>1194</v>
      </c>
      <c r="AC251" s="206">
        <v>8</v>
      </c>
      <c r="AD251" s="124">
        <v>2.87</v>
      </c>
      <c r="AE251" s="200">
        <f>ROUND(AD251*AC251,2)</f>
        <v>22.96</v>
      </c>
      <c r="AF251" s="227">
        <v>7</v>
      </c>
      <c r="AG251" s="130"/>
      <c r="AH251" s="130"/>
      <c r="AR251" s="129" t="s">
        <v>235</v>
      </c>
      <c r="AT251" s="129" t="s">
        <v>231</v>
      </c>
      <c r="AU251" s="129" t="s">
        <v>76</v>
      </c>
      <c r="AY251" s="13" t="s">
        <v>228</v>
      </c>
      <c r="BE251" s="130">
        <f>IF(N251="základná",J251,0)</f>
        <v>0</v>
      </c>
      <c r="BF251" s="130">
        <f>IF(N251="znížená",J251,0)</f>
        <v>34.44</v>
      </c>
      <c r="BG251" s="130">
        <f>IF(N251="zákl. prenesená",J251,0)</f>
        <v>0</v>
      </c>
      <c r="BH251" s="130">
        <f>IF(N251="zníž. prenesená",J251,0)</f>
        <v>0</v>
      </c>
      <c r="BI251" s="130">
        <f>IF(N251="nulová",J251,0)</f>
        <v>0</v>
      </c>
      <c r="BJ251" s="13" t="s">
        <v>76</v>
      </c>
      <c r="BK251" s="130">
        <f>ROUND(I251*H251,2)</f>
        <v>34.44</v>
      </c>
      <c r="BL251" s="13" t="s">
        <v>235</v>
      </c>
      <c r="BM251" s="129" t="s">
        <v>393</v>
      </c>
    </row>
    <row r="252" spans="2:65" s="1" customFormat="1" ht="16.2" customHeight="1" x14ac:dyDescent="0.2">
      <c r="B252" s="118"/>
      <c r="C252" s="1234" t="s">
        <v>5205</v>
      </c>
      <c r="D252" s="1235"/>
      <c r="E252" s="1235"/>
      <c r="F252" s="1235"/>
      <c r="G252" s="1235"/>
      <c r="H252" s="1235"/>
      <c r="I252" s="1235"/>
      <c r="J252" s="1236"/>
      <c r="K252" s="121"/>
      <c r="L252" s="24"/>
      <c r="M252" s="125"/>
      <c r="N252" s="126"/>
      <c r="O252" s="127"/>
      <c r="P252" s="127"/>
      <c r="Q252" s="127"/>
      <c r="R252" s="127"/>
      <c r="S252" s="127"/>
      <c r="T252" s="128"/>
      <c r="W252" s="199"/>
      <c r="X252" s="215" t="s">
        <v>5245</v>
      </c>
      <c r="Y252" s="215" t="s">
        <v>231</v>
      </c>
      <c r="Z252" s="216" t="s">
        <v>4514</v>
      </c>
      <c r="AA252" s="217" t="s">
        <v>1208</v>
      </c>
      <c r="AB252" s="218" t="s">
        <v>1194</v>
      </c>
      <c r="AC252" s="219">
        <v>3</v>
      </c>
      <c r="AD252" s="220">
        <v>4.32</v>
      </c>
      <c r="AE252" s="221">
        <f>ROUND(AD252*AC252,2)</f>
        <v>12.96</v>
      </c>
      <c r="AF252" s="227">
        <v>7</v>
      </c>
      <c r="AG252" s="130"/>
      <c r="AH252" s="130"/>
      <c r="AR252" s="129"/>
      <c r="AT252" s="129"/>
      <c r="AU252" s="129"/>
      <c r="AY252" s="13"/>
      <c r="BE252" s="130"/>
      <c r="BF252" s="130"/>
      <c r="BG252" s="130"/>
      <c r="BH252" s="130"/>
      <c r="BI252" s="130"/>
      <c r="BJ252" s="13"/>
      <c r="BK252" s="130"/>
      <c r="BL252" s="13"/>
      <c r="BM252" s="129"/>
    </row>
    <row r="253" spans="2:65" s="1" customFormat="1" ht="16.5" customHeight="1" x14ac:dyDescent="0.2">
      <c r="B253" s="118"/>
      <c r="C253" s="205" t="s">
        <v>316</v>
      </c>
      <c r="D253" s="119" t="s">
        <v>231</v>
      </c>
      <c r="E253" s="120" t="s">
        <v>1244</v>
      </c>
      <c r="F253" s="121" t="s">
        <v>1210</v>
      </c>
      <c r="G253" s="122" t="s">
        <v>1194</v>
      </c>
      <c r="H253" s="206">
        <v>6</v>
      </c>
      <c r="I253" s="124">
        <v>4.6100000000000003</v>
      </c>
      <c r="J253" s="124">
        <f>ROUND(I253*H253,2)</f>
        <v>27.66</v>
      </c>
      <c r="K253" s="121" t="s">
        <v>1</v>
      </c>
      <c r="L253" s="24"/>
      <c r="M253" s="125" t="s">
        <v>1</v>
      </c>
      <c r="N253" s="126" t="s">
        <v>32</v>
      </c>
      <c r="O253" s="127">
        <v>0</v>
      </c>
      <c r="P253" s="127">
        <f>O253*H253</f>
        <v>0</v>
      </c>
      <c r="Q253" s="127">
        <v>0</v>
      </c>
      <c r="R253" s="127">
        <f>Q253*H253</f>
        <v>0</v>
      </c>
      <c r="S253" s="127">
        <v>0</v>
      </c>
      <c r="T253" s="128">
        <f>S253*H253</f>
        <v>0</v>
      </c>
      <c r="W253" s="199"/>
      <c r="X253" s="205" t="s">
        <v>316</v>
      </c>
      <c r="Y253" s="119" t="s">
        <v>231</v>
      </c>
      <c r="Z253" s="120" t="s">
        <v>1244</v>
      </c>
      <c r="AA253" s="121" t="s">
        <v>1210</v>
      </c>
      <c r="AB253" s="122" t="s">
        <v>1194</v>
      </c>
      <c r="AC253" s="206">
        <v>3</v>
      </c>
      <c r="AD253" s="124">
        <v>4.6100000000000003</v>
      </c>
      <c r="AE253" s="200">
        <f>ROUND(AD253*AC253,2)</f>
        <v>13.83</v>
      </c>
      <c r="AF253" s="227">
        <v>7</v>
      </c>
      <c r="AG253" s="130"/>
      <c r="AH253" s="130"/>
      <c r="AR253" s="129" t="s">
        <v>235</v>
      </c>
      <c r="AT253" s="129" t="s">
        <v>231</v>
      </c>
      <c r="AU253" s="129" t="s">
        <v>76</v>
      </c>
      <c r="AY253" s="13" t="s">
        <v>228</v>
      </c>
      <c r="BE253" s="130">
        <f>IF(N253="základná",J253,0)</f>
        <v>0</v>
      </c>
      <c r="BF253" s="130">
        <f>IF(N253="znížená",J253,0)</f>
        <v>27.66</v>
      </c>
      <c r="BG253" s="130">
        <f>IF(N253="zákl. prenesená",J253,0)</f>
        <v>0</v>
      </c>
      <c r="BH253" s="130">
        <f>IF(N253="zníž. prenesená",J253,0)</f>
        <v>0</v>
      </c>
      <c r="BI253" s="130">
        <f>IF(N253="nulová",J253,0)</f>
        <v>0</v>
      </c>
      <c r="BJ253" s="13" t="s">
        <v>76</v>
      </c>
      <c r="BK253" s="130">
        <f>ROUND(I253*H253,2)</f>
        <v>27.66</v>
      </c>
      <c r="BL253" s="13" t="s">
        <v>235</v>
      </c>
      <c r="BM253" s="129" t="s">
        <v>396</v>
      </c>
    </row>
    <row r="254" spans="2:65" s="11" customFormat="1" ht="22.95" customHeight="1" x14ac:dyDescent="0.25">
      <c r="B254" s="106"/>
      <c r="D254" s="107" t="s">
        <v>57</v>
      </c>
      <c r="E254" s="116" t="s">
        <v>2065</v>
      </c>
      <c r="F254" s="116" t="s">
        <v>3604</v>
      </c>
      <c r="J254" s="117">
        <f>BK254</f>
        <v>142.97</v>
      </c>
      <c r="L254" s="106"/>
      <c r="M254" s="110"/>
      <c r="N254" s="111"/>
      <c r="O254" s="111"/>
      <c r="P254" s="112">
        <f>SUM(P255:P259)</f>
        <v>0</v>
      </c>
      <c r="Q254" s="111"/>
      <c r="R254" s="112">
        <f>SUM(R255:R259)</f>
        <v>0</v>
      </c>
      <c r="S254" s="111"/>
      <c r="T254" s="113">
        <f>SUM(T255:T259)</f>
        <v>0</v>
      </c>
      <c r="W254" s="195"/>
      <c r="X254" s="111"/>
      <c r="Y254" s="196" t="s">
        <v>57</v>
      </c>
      <c r="Z254" s="201" t="s">
        <v>2065</v>
      </c>
      <c r="AA254" s="201" t="s">
        <v>3604</v>
      </c>
      <c r="AB254" s="111"/>
      <c r="AC254" s="111"/>
      <c r="AD254" s="111"/>
      <c r="AE254" s="202">
        <f>SUM(AE255:AE259)</f>
        <v>120.72</v>
      </c>
      <c r="AF254" s="248"/>
      <c r="AG254" s="130"/>
      <c r="AH254" s="130"/>
      <c r="AR254" s="107" t="s">
        <v>63</v>
      </c>
      <c r="AT254" s="114" t="s">
        <v>57</v>
      </c>
      <c r="AU254" s="114" t="s">
        <v>63</v>
      </c>
      <c r="AY254" s="107" t="s">
        <v>228</v>
      </c>
      <c r="BK254" s="115">
        <f>SUM(BK255:BK259)</f>
        <v>142.97</v>
      </c>
    </row>
    <row r="255" spans="2:65" s="1" customFormat="1" ht="16.5" customHeight="1" x14ac:dyDescent="0.2">
      <c r="B255" s="118"/>
      <c r="C255" s="119" t="s">
        <v>397</v>
      </c>
      <c r="D255" s="119" t="s">
        <v>231</v>
      </c>
      <c r="E255" s="120" t="s">
        <v>1242</v>
      </c>
      <c r="F255" s="121" t="s">
        <v>1204</v>
      </c>
      <c r="G255" s="122" t="s">
        <v>1194</v>
      </c>
      <c r="H255" s="123">
        <v>6</v>
      </c>
      <c r="I255" s="124">
        <v>6.1</v>
      </c>
      <c r="J255" s="124">
        <f>ROUND(I255*H255,2)</f>
        <v>36.6</v>
      </c>
      <c r="K255" s="121" t="s">
        <v>1</v>
      </c>
      <c r="L255" s="24"/>
      <c r="M255" s="125" t="s">
        <v>1</v>
      </c>
      <c r="N255" s="126" t="s">
        <v>32</v>
      </c>
      <c r="O255" s="127">
        <v>0</v>
      </c>
      <c r="P255" s="127">
        <f>O255*H255</f>
        <v>0</v>
      </c>
      <c r="Q255" s="127">
        <v>0</v>
      </c>
      <c r="R255" s="127">
        <f>Q255*H255</f>
        <v>0</v>
      </c>
      <c r="S255" s="127">
        <v>0</v>
      </c>
      <c r="T255" s="128">
        <f>S255*H255</f>
        <v>0</v>
      </c>
      <c r="W255" s="199"/>
      <c r="X255" s="119" t="s">
        <v>397</v>
      </c>
      <c r="Y255" s="119" t="s">
        <v>231</v>
      </c>
      <c r="Z255" s="120" t="s">
        <v>1242</v>
      </c>
      <c r="AA255" s="121" t="s">
        <v>1204</v>
      </c>
      <c r="AB255" s="122" t="s">
        <v>1194</v>
      </c>
      <c r="AC255" s="123">
        <v>6</v>
      </c>
      <c r="AD255" s="124">
        <v>6.1</v>
      </c>
      <c r="AE255" s="200">
        <f>ROUND(AD255*AC255,2)</f>
        <v>36.6</v>
      </c>
      <c r="AF255" s="227"/>
      <c r="AG255" s="130"/>
      <c r="AH255" s="130"/>
      <c r="AR255" s="129" t="s">
        <v>235</v>
      </c>
      <c r="AT255" s="129" t="s">
        <v>231</v>
      </c>
      <c r="AU255" s="129" t="s">
        <v>76</v>
      </c>
      <c r="AY255" s="13" t="s">
        <v>228</v>
      </c>
      <c r="BE255" s="130">
        <f>IF(N255="základná",J255,0)</f>
        <v>0</v>
      </c>
      <c r="BF255" s="130">
        <f>IF(N255="znížená",J255,0)</f>
        <v>36.6</v>
      </c>
      <c r="BG255" s="130">
        <f>IF(N255="zákl. prenesená",J255,0)</f>
        <v>0</v>
      </c>
      <c r="BH255" s="130">
        <f>IF(N255="zníž. prenesená",J255,0)</f>
        <v>0</v>
      </c>
      <c r="BI255" s="130">
        <f>IF(N255="nulová",J255,0)</f>
        <v>0</v>
      </c>
      <c r="BJ255" s="13" t="s">
        <v>76</v>
      </c>
      <c r="BK255" s="130">
        <f>ROUND(I255*H255,2)</f>
        <v>36.6</v>
      </c>
      <c r="BL255" s="13" t="s">
        <v>235</v>
      </c>
      <c r="BM255" s="129" t="s">
        <v>400</v>
      </c>
    </row>
    <row r="256" spans="2:65" s="1" customFormat="1" ht="16.5" customHeight="1" x14ac:dyDescent="0.2">
      <c r="B256" s="118"/>
      <c r="C256" s="1234" t="s">
        <v>5205</v>
      </c>
      <c r="D256" s="1235"/>
      <c r="E256" s="1235"/>
      <c r="F256" s="1235"/>
      <c r="G256" s="1235"/>
      <c r="H256" s="1235"/>
      <c r="I256" s="1235"/>
      <c r="J256" s="1236"/>
      <c r="K256" s="121"/>
      <c r="L256" s="24"/>
      <c r="M256" s="125"/>
      <c r="N256" s="126"/>
      <c r="O256" s="127"/>
      <c r="P256" s="127"/>
      <c r="Q256" s="127"/>
      <c r="R256" s="127"/>
      <c r="S256" s="127"/>
      <c r="T256" s="128"/>
      <c r="W256" s="199"/>
      <c r="X256" s="215" t="s">
        <v>5247</v>
      </c>
      <c r="Y256" s="215" t="s">
        <v>231</v>
      </c>
      <c r="Z256" s="216" t="s">
        <v>5246</v>
      </c>
      <c r="AA256" s="217" t="s">
        <v>1208</v>
      </c>
      <c r="AB256" s="218" t="s">
        <v>1194</v>
      </c>
      <c r="AC256" s="219">
        <v>2</v>
      </c>
      <c r="AD256" s="220">
        <v>13.2</v>
      </c>
      <c r="AE256" s="221">
        <f>ROUND(AD256*AC256,2)</f>
        <v>26.4</v>
      </c>
      <c r="AF256" s="227">
        <v>7</v>
      </c>
      <c r="AG256" s="130"/>
      <c r="AH256" s="130"/>
      <c r="AR256" s="129"/>
      <c r="AT256" s="129"/>
      <c r="AU256" s="129"/>
      <c r="AY256" s="13"/>
      <c r="BE256" s="130"/>
      <c r="BF256" s="130"/>
      <c r="BG256" s="130"/>
      <c r="BH256" s="130"/>
      <c r="BI256" s="130"/>
      <c r="BJ256" s="13"/>
      <c r="BK256" s="130"/>
      <c r="BL256" s="13"/>
      <c r="BM256" s="129"/>
    </row>
    <row r="257" spans="2:65" s="1" customFormat="1" ht="16.5" customHeight="1" x14ac:dyDescent="0.2">
      <c r="B257" s="118"/>
      <c r="C257" s="119" t="s">
        <v>319</v>
      </c>
      <c r="D257" s="119" t="s">
        <v>231</v>
      </c>
      <c r="E257" s="120" t="s">
        <v>1214</v>
      </c>
      <c r="F257" s="121" t="s">
        <v>1210</v>
      </c>
      <c r="G257" s="122" t="s">
        <v>1194</v>
      </c>
      <c r="H257" s="123">
        <v>3</v>
      </c>
      <c r="I257" s="124">
        <v>19.239999999999998</v>
      </c>
      <c r="J257" s="124">
        <f>ROUND(I257*H257,2)</f>
        <v>57.72</v>
      </c>
      <c r="K257" s="121" t="s">
        <v>1</v>
      </c>
      <c r="L257" s="24"/>
      <c r="M257" s="125" t="s">
        <v>1</v>
      </c>
      <c r="N257" s="126" t="s">
        <v>32</v>
      </c>
      <c r="O257" s="127">
        <v>0</v>
      </c>
      <c r="P257" s="127">
        <f>O257*H257</f>
        <v>0</v>
      </c>
      <c r="Q257" s="127">
        <v>0</v>
      </c>
      <c r="R257" s="127">
        <f>Q257*H257</f>
        <v>0</v>
      </c>
      <c r="S257" s="127">
        <v>0</v>
      </c>
      <c r="T257" s="128">
        <f>S257*H257</f>
        <v>0</v>
      </c>
      <c r="W257" s="199"/>
      <c r="X257" s="119" t="s">
        <v>319</v>
      </c>
      <c r="Y257" s="119" t="s">
        <v>231</v>
      </c>
      <c r="Z257" s="120" t="s">
        <v>1214</v>
      </c>
      <c r="AA257" s="121" t="s">
        <v>1210</v>
      </c>
      <c r="AB257" s="122" t="s">
        <v>1194</v>
      </c>
      <c r="AC257" s="123">
        <v>3</v>
      </c>
      <c r="AD257" s="124">
        <v>19.239999999999998</v>
      </c>
      <c r="AE257" s="200">
        <f>ROUND(AD257*AC257,2)</f>
        <v>57.72</v>
      </c>
      <c r="AF257" s="227"/>
      <c r="AG257" s="130"/>
      <c r="AH257" s="130"/>
      <c r="AR257" s="129" t="s">
        <v>235</v>
      </c>
      <c r="AT257" s="129" t="s">
        <v>231</v>
      </c>
      <c r="AU257" s="129" t="s">
        <v>76</v>
      </c>
      <c r="AY257" s="13" t="s">
        <v>228</v>
      </c>
      <c r="BE257" s="130">
        <f>IF(N257="základná",J257,0)</f>
        <v>0</v>
      </c>
      <c r="BF257" s="130">
        <f>IF(N257="znížená",J257,0)</f>
        <v>57.72</v>
      </c>
      <c r="BG257" s="130">
        <f>IF(N257="zákl. prenesená",J257,0)</f>
        <v>0</v>
      </c>
      <c r="BH257" s="130">
        <f>IF(N257="zníž. prenesená",J257,0)</f>
        <v>0</v>
      </c>
      <c r="BI257" s="130">
        <f>IF(N257="nulová",J257,0)</f>
        <v>0</v>
      </c>
      <c r="BJ257" s="13" t="s">
        <v>76</v>
      </c>
      <c r="BK257" s="130">
        <f>ROUND(I257*H257,2)</f>
        <v>57.72</v>
      </c>
      <c r="BL257" s="13" t="s">
        <v>235</v>
      </c>
      <c r="BM257" s="129" t="s">
        <v>404</v>
      </c>
    </row>
    <row r="258" spans="2:65" s="1" customFormat="1" ht="16.5" customHeight="1" x14ac:dyDescent="0.2">
      <c r="B258" s="118"/>
      <c r="C258" s="205" t="s">
        <v>407</v>
      </c>
      <c r="D258" s="119" t="s">
        <v>231</v>
      </c>
      <c r="E258" s="120" t="s">
        <v>3605</v>
      </c>
      <c r="F258" s="121" t="s">
        <v>3606</v>
      </c>
      <c r="G258" s="122" t="s">
        <v>1194</v>
      </c>
      <c r="H258" s="206">
        <v>1</v>
      </c>
      <c r="I258" s="124">
        <v>15.12</v>
      </c>
      <c r="J258" s="124">
        <f>ROUND(I258*H258,2)</f>
        <v>15.12</v>
      </c>
      <c r="K258" s="121" t="s">
        <v>1</v>
      </c>
      <c r="L258" s="24"/>
      <c r="M258" s="125" t="s">
        <v>1</v>
      </c>
      <c r="N258" s="126" t="s">
        <v>32</v>
      </c>
      <c r="O258" s="127">
        <v>0</v>
      </c>
      <c r="P258" s="127">
        <f>O258*H258</f>
        <v>0</v>
      </c>
      <c r="Q258" s="127">
        <v>0</v>
      </c>
      <c r="R258" s="127">
        <f>Q258*H258</f>
        <v>0</v>
      </c>
      <c r="S258" s="127">
        <v>0</v>
      </c>
      <c r="T258" s="128">
        <f>S258*H258</f>
        <v>0</v>
      </c>
      <c r="W258" s="199"/>
      <c r="X258" s="205" t="s">
        <v>407</v>
      </c>
      <c r="Y258" s="119" t="s">
        <v>231</v>
      </c>
      <c r="Z258" s="120" t="s">
        <v>3605</v>
      </c>
      <c r="AA258" s="121" t="s">
        <v>3606</v>
      </c>
      <c r="AB258" s="122" t="s">
        <v>1194</v>
      </c>
      <c r="AC258" s="206">
        <v>0</v>
      </c>
      <c r="AD258" s="124">
        <v>15.12</v>
      </c>
      <c r="AE258" s="200">
        <f>ROUND(AD258*AC258,2)</f>
        <v>0</v>
      </c>
      <c r="AF258" s="227">
        <v>7</v>
      </c>
      <c r="AG258" s="130"/>
      <c r="AH258" s="130"/>
      <c r="AR258" s="129" t="s">
        <v>235</v>
      </c>
      <c r="AT258" s="129" t="s">
        <v>231</v>
      </c>
      <c r="AU258" s="129" t="s">
        <v>76</v>
      </c>
      <c r="AY258" s="13" t="s">
        <v>228</v>
      </c>
      <c r="BE258" s="130">
        <f>IF(N258="základná",J258,0)</f>
        <v>0</v>
      </c>
      <c r="BF258" s="130">
        <f>IF(N258="znížená",J258,0)</f>
        <v>15.12</v>
      </c>
      <c r="BG258" s="130">
        <f>IF(N258="zákl. prenesená",J258,0)</f>
        <v>0</v>
      </c>
      <c r="BH258" s="130">
        <f>IF(N258="zníž. prenesená",J258,0)</f>
        <v>0</v>
      </c>
      <c r="BI258" s="130">
        <f>IF(N258="nulová",J258,0)</f>
        <v>0</v>
      </c>
      <c r="BJ258" s="13" t="s">
        <v>76</v>
      </c>
      <c r="BK258" s="130">
        <f>ROUND(I258*H258,2)</f>
        <v>15.12</v>
      </c>
      <c r="BL258" s="13" t="s">
        <v>235</v>
      </c>
      <c r="BM258" s="129" t="s">
        <v>410</v>
      </c>
    </row>
    <row r="259" spans="2:65" s="1" customFormat="1" ht="16.5" customHeight="1" x14ac:dyDescent="0.2">
      <c r="B259" s="118"/>
      <c r="C259" s="205" t="s">
        <v>323</v>
      </c>
      <c r="D259" s="119" t="s">
        <v>231</v>
      </c>
      <c r="E259" s="120" t="s">
        <v>3607</v>
      </c>
      <c r="F259" s="121" t="s">
        <v>3608</v>
      </c>
      <c r="G259" s="122" t="s">
        <v>1194</v>
      </c>
      <c r="H259" s="206">
        <v>1</v>
      </c>
      <c r="I259" s="124">
        <v>33.53</v>
      </c>
      <c r="J259" s="124">
        <f>ROUND(I259*H259,2)</f>
        <v>33.53</v>
      </c>
      <c r="K259" s="121" t="s">
        <v>1</v>
      </c>
      <c r="L259" s="24"/>
      <c r="M259" s="125" t="s">
        <v>1</v>
      </c>
      <c r="N259" s="126" t="s">
        <v>32</v>
      </c>
      <c r="O259" s="127">
        <v>0</v>
      </c>
      <c r="P259" s="127">
        <f>O259*H259</f>
        <v>0</v>
      </c>
      <c r="Q259" s="127">
        <v>0</v>
      </c>
      <c r="R259" s="127">
        <f>Q259*H259</f>
        <v>0</v>
      </c>
      <c r="S259" s="127">
        <v>0</v>
      </c>
      <c r="T259" s="128">
        <f>S259*H259</f>
        <v>0</v>
      </c>
      <c r="W259" s="199"/>
      <c r="X259" s="205" t="s">
        <v>323</v>
      </c>
      <c r="Y259" s="119" t="s">
        <v>231</v>
      </c>
      <c r="Z259" s="120" t="s">
        <v>3607</v>
      </c>
      <c r="AA259" s="121" t="s">
        <v>3608</v>
      </c>
      <c r="AB259" s="122" t="s">
        <v>1194</v>
      </c>
      <c r="AC259" s="206">
        <v>0</v>
      </c>
      <c r="AD259" s="124">
        <v>33.53</v>
      </c>
      <c r="AE259" s="200">
        <f>ROUND(AD259*AC259,2)</f>
        <v>0</v>
      </c>
      <c r="AF259" s="227">
        <v>7</v>
      </c>
      <c r="AG259" s="130"/>
      <c r="AH259" s="130"/>
      <c r="AR259" s="129" t="s">
        <v>235</v>
      </c>
      <c r="AT259" s="129" t="s">
        <v>231</v>
      </c>
      <c r="AU259" s="129" t="s">
        <v>76</v>
      </c>
      <c r="AY259" s="13" t="s">
        <v>228</v>
      </c>
      <c r="BE259" s="130">
        <f>IF(N259="základná",J259,0)</f>
        <v>0</v>
      </c>
      <c r="BF259" s="130">
        <f>IF(N259="znížená",J259,0)</f>
        <v>33.53</v>
      </c>
      <c r="BG259" s="130">
        <f>IF(N259="zákl. prenesená",J259,0)</f>
        <v>0</v>
      </c>
      <c r="BH259" s="130">
        <f>IF(N259="zníž. prenesená",J259,0)</f>
        <v>0</v>
      </c>
      <c r="BI259" s="130">
        <f>IF(N259="nulová",J259,0)</f>
        <v>0</v>
      </c>
      <c r="BJ259" s="13" t="s">
        <v>76</v>
      </c>
      <c r="BK259" s="130">
        <f>ROUND(I259*H259,2)</f>
        <v>33.53</v>
      </c>
      <c r="BL259" s="13" t="s">
        <v>235</v>
      </c>
      <c r="BM259" s="129" t="s">
        <v>414</v>
      </c>
    </row>
    <row r="260" spans="2:65" s="11" customFormat="1" ht="22.95" customHeight="1" x14ac:dyDescent="0.25">
      <c r="B260" s="106"/>
      <c r="D260" s="107" t="s">
        <v>57</v>
      </c>
      <c r="E260" s="116" t="s">
        <v>2175</v>
      </c>
      <c r="F260" s="116" t="s">
        <v>3609</v>
      </c>
      <c r="J260" s="117">
        <f>BK260</f>
        <v>967.06</v>
      </c>
      <c r="L260" s="106"/>
      <c r="M260" s="110"/>
      <c r="N260" s="111"/>
      <c r="O260" s="111"/>
      <c r="P260" s="112">
        <f>SUM(P262:P267)</f>
        <v>0</v>
      </c>
      <c r="Q260" s="111"/>
      <c r="R260" s="112">
        <f>SUM(R262:R267)</f>
        <v>0</v>
      </c>
      <c r="S260" s="111"/>
      <c r="T260" s="113">
        <f>SUM(T262:T267)</f>
        <v>0</v>
      </c>
      <c r="W260" s="195"/>
      <c r="X260" s="111"/>
      <c r="Y260" s="196" t="s">
        <v>57</v>
      </c>
      <c r="Z260" s="201" t="s">
        <v>2175</v>
      </c>
      <c r="AA260" s="201" t="s">
        <v>3609</v>
      </c>
      <c r="AB260" s="111"/>
      <c r="AC260" s="111"/>
      <c r="AD260" s="111"/>
      <c r="AE260" s="202">
        <f>SUM(AE261:AE267)</f>
        <v>327.5</v>
      </c>
      <c r="AF260" s="248"/>
      <c r="AG260" s="130"/>
      <c r="AH260" s="130"/>
      <c r="AR260" s="107" t="s">
        <v>63</v>
      </c>
      <c r="AT260" s="114" t="s">
        <v>57</v>
      </c>
      <c r="AU260" s="114" t="s">
        <v>63</v>
      </c>
      <c r="AY260" s="107" t="s">
        <v>228</v>
      </c>
      <c r="BK260" s="115">
        <f>SUM(BK262:BK267)</f>
        <v>967.06</v>
      </c>
    </row>
    <row r="261" spans="2:65" s="11" customFormat="1" ht="16.95" customHeight="1" x14ac:dyDescent="0.2">
      <c r="B261" s="106"/>
      <c r="C261" s="1234" t="s">
        <v>5205</v>
      </c>
      <c r="D261" s="1235"/>
      <c r="E261" s="1235"/>
      <c r="F261" s="1235"/>
      <c r="G261" s="1235"/>
      <c r="H261" s="1235"/>
      <c r="I261" s="1235"/>
      <c r="J261" s="1236"/>
      <c r="L261" s="106"/>
      <c r="M261" s="110"/>
      <c r="N261" s="111"/>
      <c r="O261" s="111"/>
      <c r="P261" s="112"/>
      <c r="Q261" s="111"/>
      <c r="R261" s="112"/>
      <c r="S261" s="111"/>
      <c r="T261" s="113"/>
      <c r="W261" s="195"/>
      <c r="X261" s="207" t="s">
        <v>5248</v>
      </c>
      <c r="Y261" s="207" t="s">
        <v>231</v>
      </c>
      <c r="Z261" s="208" t="s">
        <v>5206</v>
      </c>
      <c r="AA261" s="209" t="s">
        <v>5207</v>
      </c>
      <c r="AB261" s="210" t="s">
        <v>1194</v>
      </c>
      <c r="AC261" s="211">
        <v>2</v>
      </c>
      <c r="AD261" s="212">
        <v>61.3</v>
      </c>
      <c r="AE261" s="214">
        <f>ROUND(AD261*AC261,2)</f>
        <v>122.6</v>
      </c>
      <c r="AF261" s="248">
        <v>7</v>
      </c>
      <c r="AG261" s="130"/>
      <c r="AH261" s="130"/>
      <c r="AR261" s="107"/>
      <c r="AT261" s="114"/>
      <c r="AU261" s="114"/>
      <c r="AY261" s="107"/>
      <c r="BK261" s="115"/>
    </row>
    <row r="262" spans="2:65" s="1" customFormat="1" ht="16.5" customHeight="1" x14ac:dyDescent="0.2">
      <c r="B262" s="118"/>
      <c r="C262" s="205" t="s">
        <v>415</v>
      </c>
      <c r="D262" s="119" t="s">
        <v>231</v>
      </c>
      <c r="E262" s="120" t="s">
        <v>1242</v>
      </c>
      <c r="F262" s="121" t="s">
        <v>1204</v>
      </c>
      <c r="G262" s="122" t="s">
        <v>1194</v>
      </c>
      <c r="H262" s="206">
        <v>6</v>
      </c>
      <c r="I262" s="124">
        <v>61.3</v>
      </c>
      <c r="J262" s="124">
        <f>ROUND(I262*H262,2)</f>
        <v>367.8</v>
      </c>
      <c r="K262" s="121" t="s">
        <v>1</v>
      </c>
      <c r="L262" s="24"/>
      <c r="M262" s="125" t="s">
        <v>1</v>
      </c>
      <c r="N262" s="126" t="s">
        <v>32</v>
      </c>
      <c r="O262" s="127">
        <v>0</v>
      </c>
      <c r="P262" s="127">
        <f>O262*H262</f>
        <v>0</v>
      </c>
      <c r="Q262" s="127">
        <v>0</v>
      </c>
      <c r="R262" s="127">
        <f>Q262*H262</f>
        <v>0</v>
      </c>
      <c r="S262" s="127">
        <v>0</v>
      </c>
      <c r="T262" s="128">
        <f>S262*H262</f>
        <v>0</v>
      </c>
      <c r="W262" s="199"/>
      <c r="X262" s="205" t="s">
        <v>415</v>
      </c>
      <c r="Y262" s="119" t="s">
        <v>231</v>
      </c>
      <c r="Z262" s="120" t="s">
        <v>1242</v>
      </c>
      <c r="AA262" s="121" t="s">
        <v>1204</v>
      </c>
      <c r="AB262" s="122" t="s">
        <v>1194</v>
      </c>
      <c r="AC262" s="206">
        <v>2</v>
      </c>
      <c r="AD262" s="124">
        <v>61.3</v>
      </c>
      <c r="AE262" s="200">
        <f>ROUND(AD262*AC262,2)</f>
        <v>122.6</v>
      </c>
      <c r="AF262" s="227">
        <v>7</v>
      </c>
      <c r="AG262" s="130"/>
      <c r="AH262" s="130"/>
      <c r="AR262" s="129" t="s">
        <v>235</v>
      </c>
      <c r="AT262" s="129" t="s">
        <v>231</v>
      </c>
      <c r="AU262" s="129" t="s">
        <v>76</v>
      </c>
      <c r="AY262" s="13" t="s">
        <v>228</v>
      </c>
      <c r="BE262" s="130">
        <f>IF(N262="základná",J262,0)</f>
        <v>0</v>
      </c>
      <c r="BF262" s="130">
        <f>IF(N262="znížená",J262,0)</f>
        <v>367.8</v>
      </c>
      <c r="BG262" s="130">
        <f>IF(N262="zákl. prenesená",J262,0)</f>
        <v>0</v>
      </c>
      <c r="BH262" s="130">
        <f>IF(N262="zníž. prenesená",J262,0)</f>
        <v>0</v>
      </c>
      <c r="BI262" s="130">
        <f>IF(N262="nulová",J262,0)</f>
        <v>0</v>
      </c>
      <c r="BJ262" s="13" t="s">
        <v>76</v>
      </c>
      <c r="BK262" s="130">
        <f>ROUND(I262*H262,2)</f>
        <v>367.8</v>
      </c>
      <c r="BL262" s="13" t="s">
        <v>235</v>
      </c>
      <c r="BM262" s="129" t="s">
        <v>418</v>
      </c>
    </row>
    <row r="263" spans="2:65" s="151" customFormat="1" ht="16.5" customHeight="1" x14ac:dyDescent="0.2">
      <c r="B263" s="118"/>
      <c r="C263" s="1234" t="s">
        <v>5205</v>
      </c>
      <c r="D263" s="1235"/>
      <c r="E263" s="1235"/>
      <c r="F263" s="1235"/>
      <c r="G263" s="1235"/>
      <c r="H263" s="1235"/>
      <c r="I263" s="1235"/>
      <c r="J263" s="1236"/>
      <c r="K263" s="121"/>
      <c r="L263" s="24"/>
      <c r="M263" s="125"/>
      <c r="N263" s="126"/>
      <c r="O263" s="127"/>
      <c r="P263" s="127"/>
      <c r="Q263" s="127"/>
      <c r="R263" s="127"/>
      <c r="S263" s="127"/>
      <c r="T263" s="128"/>
      <c r="W263" s="199"/>
      <c r="X263" s="207" t="s">
        <v>5249</v>
      </c>
      <c r="Y263" s="207" t="s">
        <v>231</v>
      </c>
      <c r="Z263" s="208" t="s">
        <v>4514</v>
      </c>
      <c r="AA263" s="209" t="s">
        <v>1208</v>
      </c>
      <c r="AB263" s="210" t="s">
        <v>1194</v>
      </c>
      <c r="AC263" s="211">
        <v>1</v>
      </c>
      <c r="AD263" s="212">
        <v>82.3</v>
      </c>
      <c r="AE263" s="214">
        <f>ROUND(AD263*AC263,2)</f>
        <v>82.3</v>
      </c>
      <c r="AF263" s="227">
        <v>7</v>
      </c>
      <c r="AG263" s="130"/>
      <c r="AH263" s="130"/>
      <c r="AR263" s="129"/>
      <c r="AT263" s="129"/>
      <c r="AU263" s="129"/>
      <c r="AY263" s="13"/>
      <c r="BE263" s="130"/>
      <c r="BF263" s="130"/>
      <c r="BG263" s="130"/>
      <c r="BH263" s="130"/>
      <c r="BI263" s="130"/>
      <c r="BJ263" s="13"/>
      <c r="BK263" s="130"/>
      <c r="BL263" s="13"/>
      <c r="BM263" s="129"/>
    </row>
    <row r="264" spans="2:65" s="1" customFormat="1" ht="16.5" customHeight="1" x14ac:dyDescent="0.2">
      <c r="B264" s="118"/>
      <c r="C264" s="205" t="s">
        <v>326</v>
      </c>
      <c r="D264" s="119" t="s">
        <v>231</v>
      </c>
      <c r="E264" s="120" t="s">
        <v>1214</v>
      </c>
      <c r="F264" s="121" t="s">
        <v>1210</v>
      </c>
      <c r="G264" s="122" t="s">
        <v>1194</v>
      </c>
      <c r="H264" s="206">
        <v>1</v>
      </c>
      <c r="I264" s="124">
        <v>97.52</v>
      </c>
      <c r="J264" s="124">
        <f>ROUND(I264*H264,2)</f>
        <v>97.52</v>
      </c>
      <c r="K264" s="121" t="s">
        <v>1</v>
      </c>
      <c r="L264" s="24"/>
      <c r="M264" s="125" t="s">
        <v>1</v>
      </c>
      <c r="N264" s="126" t="s">
        <v>32</v>
      </c>
      <c r="O264" s="127">
        <v>0</v>
      </c>
      <c r="P264" s="127">
        <f>O264*H264</f>
        <v>0</v>
      </c>
      <c r="Q264" s="127">
        <v>0</v>
      </c>
      <c r="R264" s="127">
        <f>Q264*H264</f>
        <v>0</v>
      </c>
      <c r="S264" s="127">
        <v>0</v>
      </c>
      <c r="T264" s="128">
        <f>S264*H264</f>
        <v>0</v>
      </c>
      <c r="W264" s="199"/>
      <c r="X264" s="205" t="s">
        <v>326</v>
      </c>
      <c r="Y264" s="119" t="s">
        <v>231</v>
      </c>
      <c r="Z264" s="120" t="s">
        <v>1214</v>
      </c>
      <c r="AA264" s="121" t="s">
        <v>1210</v>
      </c>
      <c r="AB264" s="122" t="s">
        <v>1194</v>
      </c>
      <c r="AC264" s="206">
        <v>0</v>
      </c>
      <c r="AD264" s="124">
        <v>97.52</v>
      </c>
      <c r="AE264" s="200">
        <f>ROUND(AD264*AC264,2)</f>
        <v>0</v>
      </c>
      <c r="AF264" s="227">
        <v>7</v>
      </c>
      <c r="AG264" s="130"/>
      <c r="AH264" s="130"/>
      <c r="AR264" s="129" t="s">
        <v>235</v>
      </c>
      <c r="AT264" s="129" t="s">
        <v>231</v>
      </c>
      <c r="AU264" s="129" t="s">
        <v>76</v>
      </c>
      <c r="AY264" s="13" t="s">
        <v>228</v>
      </c>
      <c r="BE264" s="130">
        <f>IF(N264="základná",J264,0)</f>
        <v>0</v>
      </c>
      <c r="BF264" s="130">
        <f>IF(N264="znížená",J264,0)</f>
        <v>97.52</v>
      </c>
      <c r="BG264" s="130">
        <f>IF(N264="zákl. prenesená",J264,0)</f>
        <v>0</v>
      </c>
      <c r="BH264" s="130">
        <f>IF(N264="zníž. prenesená",J264,0)</f>
        <v>0</v>
      </c>
      <c r="BI264" s="130">
        <f>IF(N264="nulová",J264,0)</f>
        <v>0</v>
      </c>
      <c r="BJ264" s="13" t="s">
        <v>76</v>
      </c>
      <c r="BK264" s="130">
        <f>ROUND(I264*H264,2)</f>
        <v>97.52</v>
      </c>
      <c r="BL264" s="13" t="s">
        <v>235</v>
      </c>
      <c r="BM264" s="129" t="s">
        <v>421</v>
      </c>
    </row>
    <row r="265" spans="2:65" s="1" customFormat="1" ht="16.5" customHeight="1" x14ac:dyDescent="0.2">
      <c r="B265" s="118"/>
      <c r="C265" s="205" t="s">
        <v>422</v>
      </c>
      <c r="D265" s="119" t="s">
        <v>231</v>
      </c>
      <c r="E265" s="120" t="s">
        <v>3610</v>
      </c>
      <c r="F265" s="121" t="s">
        <v>3611</v>
      </c>
      <c r="G265" s="122" t="s">
        <v>1194</v>
      </c>
      <c r="H265" s="206">
        <v>1</v>
      </c>
      <c r="I265" s="124">
        <v>5.87</v>
      </c>
      <c r="J265" s="124">
        <f>ROUND(I265*H265,2)</f>
        <v>5.87</v>
      </c>
      <c r="K265" s="121" t="s">
        <v>1</v>
      </c>
      <c r="L265" s="24"/>
      <c r="M265" s="125" t="s">
        <v>1</v>
      </c>
      <c r="N265" s="126" t="s">
        <v>32</v>
      </c>
      <c r="O265" s="127">
        <v>0</v>
      </c>
      <c r="P265" s="127">
        <f>O265*H265</f>
        <v>0</v>
      </c>
      <c r="Q265" s="127">
        <v>0</v>
      </c>
      <c r="R265" s="127">
        <f>Q265*H265</f>
        <v>0</v>
      </c>
      <c r="S265" s="127">
        <v>0</v>
      </c>
      <c r="T265" s="128">
        <f>S265*H265</f>
        <v>0</v>
      </c>
      <c r="W265" s="199"/>
      <c r="X265" s="205" t="s">
        <v>422</v>
      </c>
      <c r="Y265" s="119" t="s">
        <v>231</v>
      </c>
      <c r="Z265" s="120" t="s">
        <v>3610</v>
      </c>
      <c r="AA265" s="121" t="s">
        <v>3611</v>
      </c>
      <c r="AB265" s="122" t="s">
        <v>1194</v>
      </c>
      <c r="AC265" s="206">
        <v>0</v>
      </c>
      <c r="AD265" s="124">
        <v>5.87</v>
      </c>
      <c r="AE265" s="200">
        <f>ROUND(AD265*AC265,2)</f>
        <v>0</v>
      </c>
      <c r="AF265" s="227">
        <v>7</v>
      </c>
      <c r="AG265" s="130"/>
      <c r="AH265" s="130"/>
      <c r="AR265" s="129" t="s">
        <v>235</v>
      </c>
      <c r="AT265" s="129" t="s">
        <v>231</v>
      </c>
      <c r="AU265" s="129" t="s">
        <v>76</v>
      </c>
      <c r="AY265" s="13" t="s">
        <v>228</v>
      </c>
      <c r="BE265" s="130">
        <f>IF(N265="základná",J265,0)</f>
        <v>0</v>
      </c>
      <c r="BF265" s="130">
        <f>IF(N265="znížená",J265,0)</f>
        <v>5.87</v>
      </c>
      <c r="BG265" s="130">
        <f>IF(N265="zákl. prenesená",J265,0)</f>
        <v>0</v>
      </c>
      <c r="BH265" s="130">
        <f>IF(N265="zníž. prenesená",J265,0)</f>
        <v>0</v>
      </c>
      <c r="BI265" s="130">
        <f>IF(N265="nulová",J265,0)</f>
        <v>0</v>
      </c>
      <c r="BJ265" s="13" t="s">
        <v>76</v>
      </c>
      <c r="BK265" s="130">
        <f>ROUND(I265*H265,2)</f>
        <v>5.87</v>
      </c>
      <c r="BL265" s="13" t="s">
        <v>235</v>
      </c>
      <c r="BM265" s="129" t="s">
        <v>425</v>
      </c>
    </row>
    <row r="266" spans="2:65" s="1" customFormat="1" ht="28.8" x14ac:dyDescent="0.2">
      <c r="B266" s="24"/>
      <c r="D266" s="144" t="s">
        <v>1259</v>
      </c>
      <c r="F266" s="145" t="s">
        <v>3612</v>
      </c>
      <c r="L266" s="24"/>
      <c r="M266" s="146"/>
      <c r="N266" s="42"/>
      <c r="O266" s="42"/>
      <c r="P266" s="42"/>
      <c r="Q266" s="42"/>
      <c r="R266" s="42"/>
      <c r="S266" s="42"/>
      <c r="T266" s="43"/>
      <c r="W266" s="158"/>
      <c r="X266" s="283"/>
      <c r="Y266" s="203" t="s">
        <v>1259</v>
      </c>
      <c r="Z266" s="283"/>
      <c r="AA266" s="204" t="s">
        <v>3612</v>
      </c>
      <c r="AB266" s="283"/>
      <c r="AC266" s="283"/>
      <c r="AD266" s="283"/>
      <c r="AE266" s="159"/>
      <c r="AF266" s="227"/>
      <c r="AG266" s="130"/>
      <c r="AH266" s="130"/>
      <c r="AT266" s="13" t="s">
        <v>1259</v>
      </c>
      <c r="AU266" s="13" t="s">
        <v>76</v>
      </c>
    </row>
    <row r="267" spans="2:65" s="1" customFormat="1" ht="24" customHeight="1" x14ac:dyDescent="0.2">
      <c r="B267" s="118"/>
      <c r="C267" s="205" t="s">
        <v>330</v>
      </c>
      <c r="D267" s="119" t="s">
        <v>231</v>
      </c>
      <c r="E267" s="120" t="s">
        <v>3613</v>
      </c>
      <c r="F267" s="121" t="s">
        <v>3614</v>
      </c>
      <c r="G267" s="122" t="s">
        <v>1194</v>
      </c>
      <c r="H267" s="206">
        <v>1</v>
      </c>
      <c r="I267" s="124">
        <v>495.87</v>
      </c>
      <c r="J267" s="124">
        <f>ROUND(I267*H267,2)</f>
        <v>495.87</v>
      </c>
      <c r="K267" s="121" t="s">
        <v>1</v>
      </c>
      <c r="L267" s="24"/>
      <c r="M267" s="125" t="s">
        <v>1</v>
      </c>
      <c r="N267" s="126" t="s">
        <v>32</v>
      </c>
      <c r="O267" s="127">
        <v>0</v>
      </c>
      <c r="P267" s="127">
        <f>O267*H267</f>
        <v>0</v>
      </c>
      <c r="Q267" s="127">
        <v>0</v>
      </c>
      <c r="R267" s="127">
        <f>Q267*H267</f>
        <v>0</v>
      </c>
      <c r="S267" s="127">
        <v>0</v>
      </c>
      <c r="T267" s="128">
        <f>S267*H267</f>
        <v>0</v>
      </c>
      <c r="W267" s="199"/>
      <c r="X267" s="205" t="s">
        <v>330</v>
      </c>
      <c r="Y267" s="119" t="s">
        <v>231</v>
      </c>
      <c r="Z267" s="120" t="s">
        <v>3613</v>
      </c>
      <c r="AA267" s="121" t="s">
        <v>3614</v>
      </c>
      <c r="AB267" s="122" t="s">
        <v>1194</v>
      </c>
      <c r="AC267" s="206">
        <v>0</v>
      </c>
      <c r="AD267" s="124">
        <v>495.87</v>
      </c>
      <c r="AE267" s="200">
        <f>ROUND(AD267*AC267,2)</f>
        <v>0</v>
      </c>
      <c r="AF267" s="227">
        <v>7</v>
      </c>
      <c r="AG267" s="130"/>
      <c r="AH267" s="130"/>
      <c r="AR267" s="129" t="s">
        <v>235</v>
      </c>
      <c r="AT267" s="129" t="s">
        <v>231</v>
      </c>
      <c r="AU267" s="129" t="s">
        <v>76</v>
      </c>
      <c r="AY267" s="13" t="s">
        <v>228</v>
      </c>
      <c r="BE267" s="130">
        <f>IF(N267="základná",J267,0)</f>
        <v>0</v>
      </c>
      <c r="BF267" s="130">
        <f>IF(N267="znížená",J267,0)</f>
        <v>495.87</v>
      </c>
      <c r="BG267" s="130">
        <f>IF(N267="zákl. prenesená",J267,0)</f>
        <v>0</v>
      </c>
      <c r="BH267" s="130">
        <f>IF(N267="zníž. prenesená",J267,0)</f>
        <v>0</v>
      </c>
      <c r="BI267" s="130">
        <f>IF(N267="nulová",J267,0)</f>
        <v>0</v>
      </c>
      <c r="BJ267" s="13" t="s">
        <v>76</v>
      </c>
      <c r="BK267" s="130">
        <f>ROUND(I267*H267,2)</f>
        <v>495.87</v>
      </c>
      <c r="BL267" s="13" t="s">
        <v>235</v>
      </c>
      <c r="BM267" s="129" t="s">
        <v>428</v>
      </c>
    </row>
    <row r="268" spans="2:65" s="11" customFormat="1" ht="22.95" customHeight="1" x14ac:dyDescent="0.25">
      <c r="B268" s="106"/>
      <c r="D268" s="107" t="s">
        <v>57</v>
      </c>
      <c r="E268" s="116" t="s">
        <v>2196</v>
      </c>
      <c r="F268" s="116" t="s">
        <v>1253</v>
      </c>
      <c r="J268" s="117">
        <f>BK268</f>
        <v>104.43</v>
      </c>
      <c r="L268" s="106"/>
      <c r="M268" s="110"/>
      <c r="N268" s="111"/>
      <c r="O268" s="111"/>
      <c r="P268" s="112">
        <f>SUM(P270:P271)</f>
        <v>0</v>
      </c>
      <c r="Q268" s="111"/>
      <c r="R268" s="112">
        <f>SUM(R270:R271)</f>
        <v>0</v>
      </c>
      <c r="S268" s="111"/>
      <c r="T268" s="113">
        <f>SUM(T270:T271)</f>
        <v>0</v>
      </c>
      <c r="W268" s="195"/>
      <c r="X268" s="111"/>
      <c r="Y268" s="196" t="s">
        <v>57</v>
      </c>
      <c r="Z268" s="201" t="s">
        <v>2196</v>
      </c>
      <c r="AA268" s="201" t="s">
        <v>1253</v>
      </c>
      <c r="AB268" s="111"/>
      <c r="AC268" s="111"/>
      <c r="AD268" s="111"/>
      <c r="AE268" s="202">
        <f>SUM(AE269:AE271)</f>
        <v>64.98</v>
      </c>
      <c r="AF268" s="248"/>
      <c r="AG268" s="130"/>
      <c r="AH268" s="130"/>
      <c r="AR268" s="107" t="s">
        <v>63</v>
      </c>
      <c r="AT268" s="114" t="s">
        <v>57</v>
      </c>
      <c r="AU268" s="114" t="s">
        <v>63</v>
      </c>
      <c r="AY268" s="107" t="s">
        <v>228</v>
      </c>
      <c r="BK268" s="115">
        <f>SUM(BK270:BK271)</f>
        <v>104.43</v>
      </c>
    </row>
    <row r="269" spans="2:65" s="11" customFormat="1" ht="16.95" customHeight="1" x14ac:dyDescent="0.2">
      <c r="B269" s="106"/>
      <c r="C269" s="1234" t="s">
        <v>5205</v>
      </c>
      <c r="D269" s="1235"/>
      <c r="E269" s="1235"/>
      <c r="F269" s="1235"/>
      <c r="G269" s="1235"/>
      <c r="H269" s="1235"/>
      <c r="I269" s="1235"/>
      <c r="J269" s="1236"/>
      <c r="L269" s="106"/>
      <c r="M269" s="110"/>
      <c r="N269" s="111"/>
      <c r="O269" s="111"/>
      <c r="P269" s="112"/>
      <c r="Q269" s="111"/>
      <c r="R269" s="112"/>
      <c r="S269" s="111"/>
      <c r="T269" s="113"/>
      <c r="W269" s="195"/>
      <c r="X269" s="207" t="s">
        <v>5251</v>
      </c>
      <c r="Y269" s="207" t="s">
        <v>231</v>
      </c>
      <c r="Z269" s="208" t="s">
        <v>5250</v>
      </c>
      <c r="AA269" s="209" t="s">
        <v>5207</v>
      </c>
      <c r="AB269" s="210" t="s">
        <v>1194</v>
      </c>
      <c r="AC269" s="211">
        <v>4</v>
      </c>
      <c r="AD269" s="212">
        <v>5.57</v>
      </c>
      <c r="AE269" s="214">
        <f>ROUND(AD269*AC269,2)</f>
        <v>22.28</v>
      </c>
      <c r="AF269" s="248">
        <v>7</v>
      </c>
      <c r="AG269" s="130"/>
      <c r="AH269" s="130"/>
      <c r="AR269" s="107"/>
      <c r="AT269" s="114"/>
      <c r="AU269" s="114"/>
      <c r="AY269" s="107"/>
      <c r="BK269" s="115"/>
    </row>
    <row r="270" spans="2:65" s="1" customFormat="1" ht="16.5" customHeight="1" x14ac:dyDescent="0.2">
      <c r="B270" s="118"/>
      <c r="C270" s="205" t="s">
        <v>429</v>
      </c>
      <c r="D270" s="119" t="s">
        <v>231</v>
      </c>
      <c r="E270" s="120" t="s">
        <v>1254</v>
      </c>
      <c r="F270" s="121" t="s">
        <v>1204</v>
      </c>
      <c r="G270" s="122" t="s">
        <v>1194</v>
      </c>
      <c r="H270" s="206">
        <v>6</v>
      </c>
      <c r="I270" s="124">
        <v>5.57</v>
      </c>
      <c r="J270" s="124">
        <f>ROUND(I270*H270,2)</f>
        <v>33.42</v>
      </c>
      <c r="K270" s="121" t="s">
        <v>1</v>
      </c>
      <c r="L270" s="24"/>
      <c r="M270" s="125" t="s">
        <v>1</v>
      </c>
      <c r="N270" s="126" t="s">
        <v>32</v>
      </c>
      <c r="O270" s="127">
        <v>0</v>
      </c>
      <c r="P270" s="127">
        <f>O270*H270</f>
        <v>0</v>
      </c>
      <c r="Q270" s="127">
        <v>0</v>
      </c>
      <c r="R270" s="127">
        <f>Q270*H270</f>
        <v>0</v>
      </c>
      <c r="S270" s="127">
        <v>0</v>
      </c>
      <c r="T270" s="128">
        <f>S270*H270</f>
        <v>0</v>
      </c>
      <c r="W270" s="199"/>
      <c r="X270" s="205" t="s">
        <v>429</v>
      </c>
      <c r="Y270" s="119" t="s">
        <v>231</v>
      </c>
      <c r="Z270" s="120" t="s">
        <v>1254</v>
      </c>
      <c r="AA270" s="121" t="s">
        <v>1204</v>
      </c>
      <c r="AB270" s="122" t="s">
        <v>1194</v>
      </c>
      <c r="AC270" s="206">
        <v>2</v>
      </c>
      <c r="AD270" s="124">
        <v>5.57</v>
      </c>
      <c r="AE270" s="200">
        <f>ROUND(AD270*AC270,2)</f>
        <v>11.14</v>
      </c>
      <c r="AF270" s="227">
        <v>7</v>
      </c>
      <c r="AG270" s="130"/>
      <c r="AH270" s="130"/>
      <c r="AR270" s="129" t="s">
        <v>235</v>
      </c>
      <c r="AT270" s="129" t="s">
        <v>231</v>
      </c>
      <c r="AU270" s="129" t="s">
        <v>76</v>
      </c>
      <c r="AY270" s="13" t="s">
        <v>228</v>
      </c>
      <c r="BE270" s="130">
        <f>IF(N270="základná",J270,0)</f>
        <v>0</v>
      </c>
      <c r="BF270" s="130">
        <f>IF(N270="znížená",J270,0)</f>
        <v>33.42</v>
      </c>
      <c r="BG270" s="130">
        <f>IF(N270="zákl. prenesená",J270,0)</f>
        <v>0</v>
      </c>
      <c r="BH270" s="130">
        <f>IF(N270="zníž. prenesená",J270,0)</f>
        <v>0</v>
      </c>
      <c r="BI270" s="130">
        <f>IF(N270="nulová",J270,0)</f>
        <v>0</v>
      </c>
      <c r="BJ270" s="13" t="s">
        <v>76</v>
      </c>
      <c r="BK270" s="130">
        <f>ROUND(I270*H270,2)</f>
        <v>33.42</v>
      </c>
      <c r="BL270" s="13" t="s">
        <v>235</v>
      </c>
      <c r="BM270" s="129" t="s">
        <v>432</v>
      </c>
    </row>
    <row r="271" spans="2:65" s="1" customFormat="1" ht="16.5" customHeight="1" x14ac:dyDescent="0.2">
      <c r="B271" s="118"/>
      <c r="C271" s="205" t="s">
        <v>333</v>
      </c>
      <c r="D271" s="119" t="s">
        <v>231</v>
      </c>
      <c r="E271" s="120" t="s">
        <v>3615</v>
      </c>
      <c r="F271" s="121" t="s">
        <v>1206</v>
      </c>
      <c r="G271" s="122" t="s">
        <v>1194</v>
      </c>
      <c r="H271" s="206">
        <v>9</v>
      </c>
      <c r="I271" s="124">
        <v>7.89</v>
      </c>
      <c r="J271" s="124">
        <f>ROUND(I271*H271,2)</f>
        <v>71.010000000000005</v>
      </c>
      <c r="K271" s="121" t="s">
        <v>1</v>
      </c>
      <c r="L271" s="24"/>
      <c r="M271" s="125" t="s">
        <v>1</v>
      </c>
      <c r="N271" s="126" t="s">
        <v>32</v>
      </c>
      <c r="O271" s="127">
        <v>0</v>
      </c>
      <c r="P271" s="127">
        <f>O271*H271</f>
        <v>0</v>
      </c>
      <c r="Q271" s="127">
        <v>0</v>
      </c>
      <c r="R271" s="127">
        <f>Q271*H271</f>
        <v>0</v>
      </c>
      <c r="S271" s="127">
        <v>0</v>
      </c>
      <c r="T271" s="128">
        <f>S271*H271</f>
        <v>0</v>
      </c>
      <c r="W271" s="199"/>
      <c r="X271" s="205" t="s">
        <v>333</v>
      </c>
      <c r="Y271" s="119" t="s">
        <v>231</v>
      </c>
      <c r="Z271" s="120" t="s">
        <v>3615</v>
      </c>
      <c r="AA271" s="121" t="s">
        <v>1206</v>
      </c>
      <c r="AB271" s="122" t="s">
        <v>1194</v>
      </c>
      <c r="AC271" s="206">
        <v>4</v>
      </c>
      <c r="AD271" s="124">
        <v>7.89</v>
      </c>
      <c r="AE271" s="200">
        <f>ROUND(AD271*AC271,2)</f>
        <v>31.56</v>
      </c>
      <c r="AF271" s="227">
        <v>7</v>
      </c>
      <c r="AG271" s="130"/>
      <c r="AH271" s="130"/>
      <c r="AR271" s="129" t="s">
        <v>235</v>
      </c>
      <c r="AT271" s="129" t="s">
        <v>231</v>
      </c>
      <c r="AU271" s="129" t="s">
        <v>76</v>
      </c>
      <c r="AY271" s="13" t="s">
        <v>228</v>
      </c>
      <c r="BE271" s="130">
        <f>IF(N271="základná",J271,0)</f>
        <v>0</v>
      </c>
      <c r="BF271" s="130">
        <f>IF(N271="znížená",J271,0)</f>
        <v>71.010000000000005</v>
      </c>
      <c r="BG271" s="130">
        <f>IF(N271="zákl. prenesená",J271,0)</f>
        <v>0</v>
      </c>
      <c r="BH271" s="130">
        <f>IF(N271="zníž. prenesená",J271,0)</f>
        <v>0</v>
      </c>
      <c r="BI271" s="130">
        <f>IF(N271="nulová",J271,0)</f>
        <v>0</v>
      </c>
      <c r="BJ271" s="13" t="s">
        <v>76</v>
      </c>
      <c r="BK271" s="130">
        <f>ROUND(I271*H271,2)</f>
        <v>71.010000000000005</v>
      </c>
      <c r="BL271" s="13" t="s">
        <v>235</v>
      </c>
      <c r="BM271" s="129" t="s">
        <v>435</v>
      </c>
    </row>
    <row r="272" spans="2:65" s="11" customFormat="1" ht="22.95" customHeight="1" x14ac:dyDescent="0.25">
      <c r="B272" s="106"/>
      <c r="D272" s="107" t="s">
        <v>57</v>
      </c>
      <c r="E272" s="116" t="s">
        <v>2218</v>
      </c>
      <c r="F272" s="116" t="s">
        <v>3616</v>
      </c>
      <c r="J272" s="117">
        <f>BK272</f>
        <v>491.36</v>
      </c>
      <c r="L272" s="106"/>
      <c r="M272" s="110"/>
      <c r="N272" s="111"/>
      <c r="O272" s="111"/>
      <c r="P272" s="112">
        <f>SUM(P273:P274)</f>
        <v>0</v>
      </c>
      <c r="Q272" s="111"/>
      <c r="R272" s="112">
        <f>SUM(R273:R274)</f>
        <v>0</v>
      </c>
      <c r="S272" s="111"/>
      <c r="T272" s="113">
        <f>SUM(T273:T274)</f>
        <v>0</v>
      </c>
      <c r="W272" s="195"/>
      <c r="X272" s="111"/>
      <c r="Y272" s="196" t="s">
        <v>57</v>
      </c>
      <c r="Z272" s="201" t="s">
        <v>2218</v>
      </c>
      <c r="AA272" s="201" t="s">
        <v>3616</v>
      </c>
      <c r="AB272" s="111"/>
      <c r="AC272" s="111"/>
      <c r="AD272" s="111"/>
      <c r="AE272" s="202">
        <f>SUM(AE273:AE274)</f>
        <v>245.68</v>
      </c>
      <c r="AF272" s="248"/>
      <c r="AG272" s="130"/>
      <c r="AH272" s="130"/>
      <c r="AR272" s="107" t="s">
        <v>63</v>
      </c>
      <c r="AT272" s="114" t="s">
        <v>57</v>
      </c>
      <c r="AU272" s="114" t="s">
        <v>63</v>
      </c>
      <c r="AY272" s="107" t="s">
        <v>228</v>
      </c>
      <c r="BK272" s="115">
        <f>SUM(BK273:BK274)</f>
        <v>491.36</v>
      </c>
    </row>
    <row r="273" spans="2:65" s="1" customFormat="1" ht="16.5" customHeight="1" x14ac:dyDescent="0.2">
      <c r="B273" s="118"/>
      <c r="C273" s="205" t="s">
        <v>438</v>
      </c>
      <c r="D273" s="119" t="s">
        <v>231</v>
      </c>
      <c r="E273" s="120" t="s">
        <v>3617</v>
      </c>
      <c r="F273" s="121" t="s">
        <v>3618</v>
      </c>
      <c r="G273" s="122" t="s">
        <v>1194</v>
      </c>
      <c r="H273" s="1071">
        <v>8</v>
      </c>
      <c r="I273" s="124">
        <v>41.45</v>
      </c>
      <c r="J273" s="124">
        <f>ROUND(I273*H273,2)</f>
        <v>331.6</v>
      </c>
      <c r="K273" s="121" t="s">
        <v>1</v>
      </c>
      <c r="L273" s="24"/>
      <c r="M273" s="125" t="s">
        <v>1</v>
      </c>
      <c r="N273" s="126" t="s">
        <v>32</v>
      </c>
      <c r="O273" s="127">
        <v>0</v>
      </c>
      <c r="P273" s="127">
        <f>O273*H273</f>
        <v>0</v>
      </c>
      <c r="Q273" s="127">
        <v>0</v>
      </c>
      <c r="R273" s="127">
        <f>Q273*H273</f>
        <v>0</v>
      </c>
      <c r="S273" s="127">
        <v>0</v>
      </c>
      <c r="T273" s="128">
        <f>S273*H273</f>
        <v>0</v>
      </c>
      <c r="W273" s="199"/>
      <c r="X273" s="205" t="s">
        <v>438</v>
      </c>
      <c r="Y273" s="119" t="s">
        <v>231</v>
      </c>
      <c r="Z273" s="120" t="s">
        <v>3617</v>
      </c>
      <c r="AA273" s="121" t="s">
        <v>3618</v>
      </c>
      <c r="AB273" s="122" t="s">
        <v>1194</v>
      </c>
      <c r="AC273" s="206">
        <v>4</v>
      </c>
      <c r="AD273" s="124">
        <v>41.45</v>
      </c>
      <c r="AE273" s="200">
        <f>ROUND(AD273*AC273,2)</f>
        <v>165.8</v>
      </c>
      <c r="AF273" s="227">
        <v>7</v>
      </c>
      <c r="AG273" s="130"/>
      <c r="AH273" s="130"/>
      <c r="AR273" s="129" t="s">
        <v>235</v>
      </c>
      <c r="AT273" s="129" t="s">
        <v>231</v>
      </c>
      <c r="AU273" s="129" t="s">
        <v>76</v>
      </c>
      <c r="AY273" s="13" t="s">
        <v>228</v>
      </c>
      <c r="BE273" s="130">
        <f>IF(N273="základná",J273,0)</f>
        <v>0</v>
      </c>
      <c r="BF273" s="130">
        <f>IF(N273="znížená",J273,0)</f>
        <v>331.6</v>
      </c>
      <c r="BG273" s="130">
        <f>IF(N273="zákl. prenesená",J273,0)</f>
        <v>0</v>
      </c>
      <c r="BH273" s="130">
        <f>IF(N273="zníž. prenesená",J273,0)</f>
        <v>0</v>
      </c>
      <c r="BI273" s="130">
        <f>IF(N273="nulová",J273,0)</f>
        <v>0</v>
      </c>
      <c r="BJ273" s="13" t="s">
        <v>76</v>
      </c>
      <c r="BK273" s="130">
        <f>ROUND(I273*H273,2)</f>
        <v>331.6</v>
      </c>
      <c r="BL273" s="13" t="s">
        <v>235</v>
      </c>
      <c r="BM273" s="129" t="s">
        <v>441</v>
      </c>
    </row>
    <row r="274" spans="2:65" s="1" customFormat="1" ht="16.5" customHeight="1" x14ac:dyDescent="0.2">
      <c r="B274" s="118"/>
      <c r="C274" s="205" t="s">
        <v>337</v>
      </c>
      <c r="D274" s="119" t="s">
        <v>231</v>
      </c>
      <c r="E274" s="120" t="s">
        <v>3619</v>
      </c>
      <c r="F274" s="121" t="s">
        <v>3620</v>
      </c>
      <c r="G274" s="122" t="s">
        <v>1194</v>
      </c>
      <c r="H274" s="1071">
        <v>8</v>
      </c>
      <c r="I274" s="124">
        <v>19.97</v>
      </c>
      <c r="J274" s="124">
        <f>ROUND(I274*H274,2)</f>
        <v>159.76</v>
      </c>
      <c r="K274" s="121" t="s">
        <v>1</v>
      </c>
      <c r="L274" s="24"/>
      <c r="M274" s="125" t="s">
        <v>1</v>
      </c>
      <c r="N274" s="126" t="s">
        <v>32</v>
      </c>
      <c r="O274" s="127">
        <v>0</v>
      </c>
      <c r="P274" s="127">
        <f>O274*H274</f>
        <v>0</v>
      </c>
      <c r="Q274" s="127">
        <v>0</v>
      </c>
      <c r="R274" s="127">
        <f>Q274*H274</f>
        <v>0</v>
      </c>
      <c r="S274" s="127">
        <v>0</v>
      </c>
      <c r="T274" s="128">
        <f>S274*H274</f>
        <v>0</v>
      </c>
      <c r="W274" s="199"/>
      <c r="X274" s="205" t="s">
        <v>337</v>
      </c>
      <c r="Y274" s="119" t="s">
        <v>231</v>
      </c>
      <c r="Z274" s="120" t="s">
        <v>3619</v>
      </c>
      <c r="AA274" s="121" t="s">
        <v>3620</v>
      </c>
      <c r="AB274" s="122" t="s">
        <v>1194</v>
      </c>
      <c r="AC274" s="206">
        <v>4</v>
      </c>
      <c r="AD274" s="124">
        <v>19.97</v>
      </c>
      <c r="AE274" s="200">
        <f>ROUND(AD274*AC274,2)</f>
        <v>79.88</v>
      </c>
      <c r="AF274" s="227">
        <v>7</v>
      </c>
      <c r="AG274" s="130"/>
      <c r="AH274" s="130"/>
      <c r="AR274" s="129" t="s">
        <v>235</v>
      </c>
      <c r="AT274" s="129" t="s">
        <v>231</v>
      </c>
      <c r="AU274" s="129" t="s">
        <v>76</v>
      </c>
      <c r="AY274" s="13" t="s">
        <v>228</v>
      </c>
      <c r="BE274" s="130">
        <f>IF(N274="základná",J274,0)</f>
        <v>0</v>
      </c>
      <c r="BF274" s="130">
        <f>IF(N274="znížená",J274,0)</f>
        <v>159.76</v>
      </c>
      <c r="BG274" s="130">
        <f>IF(N274="zákl. prenesená",J274,0)</f>
        <v>0</v>
      </c>
      <c r="BH274" s="130">
        <f>IF(N274="zníž. prenesená",J274,0)</f>
        <v>0</v>
      </c>
      <c r="BI274" s="130">
        <f>IF(N274="nulová",J274,0)</f>
        <v>0</v>
      </c>
      <c r="BJ274" s="13" t="s">
        <v>76</v>
      </c>
      <c r="BK274" s="130">
        <f>ROUND(I274*H274,2)</f>
        <v>159.76</v>
      </c>
      <c r="BL274" s="13" t="s">
        <v>235</v>
      </c>
      <c r="BM274" s="129" t="s">
        <v>444</v>
      </c>
    </row>
    <row r="275" spans="2:65" s="11" customFormat="1" ht="22.95" customHeight="1" x14ac:dyDescent="0.25">
      <c r="B275" s="106"/>
      <c r="D275" s="107" t="s">
        <v>57</v>
      </c>
      <c r="E275" s="116" t="s">
        <v>2229</v>
      </c>
      <c r="F275" s="116" t="s">
        <v>3621</v>
      </c>
      <c r="J275" s="117">
        <f>BK275</f>
        <v>994.16</v>
      </c>
      <c r="L275" s="106"/>
      <c r="M275" s="110"/>
      <c r="N275" s="111"/>
      <c r="O275" s="111"/>
      <c r="P275" s="112">
        <f>SUM(P276:P282)</f>
        <v>0</v>
      </c>
      <c r="Q275" s="111"/>
      <c r="R275" s="112">
        <f>SUM(R276:R282)</f>
        <v>0</v>
      </c>
      <c r="S275" s="111"/>
      <c r="T275" s="113">
        <f>SUM(T276:T282)</f>
        <v>0</v>
      </c>
      <c r="W275" s="195"/>
      <c r="X275" s="111"/>
      <c r="Y275" s="196" t="s">
        <v>57</v>
      </c>
      <c r="Z275" s="201" t="s">
        <v>2229</v>
      </c>
      <c r="AA275" s="201" t="s">
        <v>3621</v>
      </c>
      <c r="AB275" s="111"/>
      <c r="AC275" s="111"/>
      <c r="AD275" s="111"/>
      <c r="AE275" s="202">
        <f>SUM(AE276:AE282)</f>
        <v>486.36</v>
      </c>
      <c r="AF275" s="248"/>
      <c r="AG275" s="130"/>
      <c r="AH275" s="130"/>
      <c r="AR275" s="107" t="s">
        <v>63</v>
      </c>
      <c r="AT275" s="114" t="s">
        <v>57</v>
      </c>
      <c r="AU275" s="114" t="s">
        <v>63</v>
      </c>
      <c r="AY275" s="107" t="s">
        <v>228</v>
      </c>
      <c r="BK275" s="115">
        <f>SUM(BK276:BK282)</f>
        <v>994.16</v>
      </c>
    </row>
    <row r="276" spans="2:65" s="1" customFormat="1" ht="16.5" customHeight="1" x14ac:dyDescent="0.2">
      <c r="B276" s="118"/>
      <c r="C276" s="205" t="s">
        <v>445</v>
      </c>
      <c r="D276" s="119" t="s">
        <v>231</v>
      </c>
      <c r="E276" s="120" t="s">
        <v>3622</v>
      </c>
      <c r="F276" s="121" t="s">
        <v>3623</v>
      </c>
      <c r="G276" s="122" t="s">
        <v>1194</v>
      </c>
      <c r="H276" s="206">
        <v>8</v>
      </c>
      <c r="I276" s="124">
        <v>51.26</v>
      </c>
      <c r="J276" s="124">
        <f t="shared" ref="J276:J282" si="34">ROUND(I276*H276,2)</f>
        <v>410.08</v>
      </c>
      <c r="K276" s="121" t="s">
        <v>1</v>
      </c>
      <c r="L276" s="24"/>
      <c r="M276" s="125" t="s">
        <v>1</v>
      </c>
      <c r="N276" s="126" t="s">
        <v>32</v>
      </c>
      <c r="O276" s="127">
        <v>0</v>
      </c>
      <c r="P276" s="127">
        <f t="shared" ref="P276:P282" si="35">O276*H276</f>
        <v>0</v>
      </c>
      <c r="Q276" s="127">
        <v>0</v>
      </c>
      <c r="R276" s="127">
        <f t="shared" ref="R276:R282" si="36">Q276*H276</f>
        <v>0</v>
      </c>
      <c r="S276" s="127">
        <v>0</v>
      </c>
      <c r="T276" s="128">
        <f t="shared" ref="T276:T282" si="37">S276*H276</f>
        <v>0</v>
      </c>
      <c r="W276" s="199"/>
      <c r="X276" s="205" t="s">
        <v>445</v>
      </c>
      <c r="Y276" s="119" t="s">
        <v>231</v>
      </c>
      <c r="Z276" s="120" t="s">
        <v>3622</v>
      </c>
      <c r="AA276" s="121" t="s">
        <v>3623</v>
      </c>
      <c r="AB276" s="122" t="s">
        <v>1194</v>
      </c>
      <c r="AC276" s="206">
        <v>4</v>
      </c>
      <c r="AD276" s="124">
        <v>51.26</v>
      </c>
      <c r="AE276" s="200">
        <f t="shared" ref="AE276:AE282" si="38">ROUND(AD276*AC276,2)</f>
        <v>205.04</v>
      </c>
      <c r="AF276" s="227">
        <v>7</v>
      </c>
      <c r="AG276" s="130"/>
      <c r="AH276" s="130"/>
      <c r="AR276" s="129" t="s">
        <v>235</v>
      </c>
      <c r="AT276" s="129" t="s">
        <v>231</v>
      </c>
      <c r="AU276" s="129" t="s">
        <v>76</v>
      </c>
      <c r="AY276" s="13" t="s">
        <v>228</v>
      </c>
      <c r="BE276" s="130">
        <f t="shared" ref="BE276:BE282" si="39">IF(N276="základná",J276,0)</f>
        <v>0</v>
      </c>
      <c r="BF276" s="130">
        <f t="shared" ref="BF276:BF282" si="40">IF(N276="znížená",J276,0)</f>
        <v>410.08</v>
      </c>
      <c r="BG276" s="130">
        <f t="shared" ref="BG276:BG282" si="41">IF(N276="zákl. prenesená",J276,0)</f>
        <v>0</v>
      </c>
      <c r="BH276" s="130">
        <f t="shared" ref="BH276:BH282" si="42">IF(N276="zníž. prenesená",J276,0)</f>
        <v>0</v>
      </c>
      <c r="BI276" s="130">
        <f t="shared" ref="BI276:BI282" si="43">IF(N276="nulová",J276,0)</f>
        <v>0</v>
      </c>
      <c r="BJ276" s="13" t="s">
        <v>76</v>
      </c>
      <c r="BK276" s="130">
        <f t="shared" ref="BK276:BK282" si="44">ROUND(I276*H276,2)</f>
        <v>410.08</v>
      </c>
      <c r="BL276" s="13" t="s">
        <v>235</v>
      </c>
      <c r="BM276" s="129" t="s">
        <v>448</v>
      </c>
    </row>
    <row r="277" spans="2:65" s="1" customFormat="1" ht="16.5" customHeight="1" x14ac:dyDescent="0.2">
      <c r="B277" s="118"/>
      <c r="C277" s="205" t="s">
        <v>340</v>
      </c>
      <c r="D277" s="119" t="s">
        <v>231</v>
      </c>
      <c r="E277" s="120" t="s">
        <v>3624</v>
      </c>
      <c r="F277" s="121" t="s">
        <v>3625</v>
      </c>
      <c r="G277" s="122" t="s">
        <v>1194</v>
      </c>
      <c r="H277" s="206">
        <v>8</v>
      </c>
      <c r="I277" s="124">
        <v>27.4</v>
      </c>
      <c r="J277" s="124">
        <f t="shared" si="34"/>
        <v>219.2</v>
      </c>
      <c r="K277" s="121" t="s">
        <v>1</v>
      </c>
      <c r="L277" s="24"/>
      <c r="M277" s="125" t="s">
        <v>1</v>
      </c>
      <c r="N277" s="126" t="s">
        <v>32</v>
      </c>
      <c r="O277" s="127">
        <v>0</v>
      </c>
      <c r="P277" s="127">
        <f t="shared" si="35"/>
        <v>0</v>
      </c>
      <c r="Q277" s="127">
        <v>0</v>
      </c>
      <c r="R277" s="127">
        <f t="shared" si="36"/>
        <v>0</v>
      </c>
      <c r="S277" s="127">
        <v>0</v>
      </c>
      <c r="T277" s="128">
        <f t="shared" si="37"/>
        <v>0</v>
      </c>
      <c r="W277" s="199"/>
      <c r="X277" s="205" t="s">
        <v>340</v>
      </c>
      <c r="Y277" s="119" t="s">
        <v>231</v>
      </c>
      <c r="Z277" s="120" t="s">
        <v>3624</v>
      </c>
      <c r="AA277" s="121" t="s">
        <v>3625</v>
      </c>
      <c r="AB277" s="122" t="s">
        <v>1194</v>
      </c>
      <c r="AC277" s="206">
        <v>4</v>
      </c>
      <c r="AD277" s="124">
        <v>27.4</v>
      </c>
      <c r="AE277" s="200">
        <f t="shared" si="38"/>
        <v>109.6</v>
      </c>
      <c r="AF277" s="227">
        <v>7</v>
      </c>
      <c r="AG277" s="130"/>
      <c r="AH277" s="130"/>
      <c r="AR277" s="129" t="s">
        <v>235</v>
      </c>
      <c r="AT277" s="129" t="s">
        <v>231</v>
      </c>
      <c r="AU277" s="129" t="s">
        <v>76</v>
      </c>
      <c r="AY277" s="13" t="s">
        <v>228</v>
      </c>
      <c r="BE277" s="130">
        <f t="shared" si="39"/>
        <v>0</v>
      </c>
      <c r="BF277" s="130">
        <f t="shared" si="40"/>
        <v>219.2</v>
      </c>
      <c r="BG277" s="130">
        <f t="shared" si="41"/>
        <v>0</v>
      </c>
      <c r="BH277" s="130">
        <f t="shared" si="42"/>
        <v>0</v>
      </c>
      <c r="BI277" s="130">
        <f t="shared" si="43"/>
        <v>0</v>
      </c>
      <c r="BJ277" s="13" t="s">
        <v>76</v>
      </c>
      <c r="BK277" s="130">
        <f t="shared" si="44"/>
        <v>219.2</v>
      </c>
      <c r="BL277" s="13" t="s">
        <v>235</v>
      </c>
      <c r="BM277" s="129" t="s">
        <v>451</v>
      </c>
    </row>
    <row r="278" spans="2:65" s="1" customFormat="1" ht="16.5" customHeight="1" x14ac:dyDescent="0.2">
      <c r="B278" s="118"/>
      <c r="C278" s="205" t="s">
        <v>452</v>
      </c>
      <c r="D278" s="119" t="s">
        <v>231</v>
      </c>
      <c r="E278" s="120" t="s">
        <v>3626</v>
      </c>
      <c r="F278" s="121" t="s">
        <v>3627</v>
      </c>
      <c r="G278" s="122" t="s">
        <v>1194</v>
      </c>
      <c r="H278" s="206">
        <v>8</v>
      </c>
      <c r="I278" s="124">
        <v>14.09</v>
      </c>
      <c r="J278" s="124">
        <f t="shared" si="34"/>
        <v>112.72</v>
      </c>
      <c r="K278" s="121" t="s">
        <v>1</v>
      </c>
      <c r="L278" s="24"/>
      <c r="M278" s="125" t="s">
        <v>1</v>
      </c>
      <c r="N278" s="126" t="s">
        <v>32</v>
      </c>
      <c r="O278" s="127">
        <v>0</v>
      </c>
      <c r="P278" s="127">
        <f t="shared" si="35"/>
        <v>0</v>
      </c>
      <c r="Q278" s="127">
        <v>0</v>
      </c>
      <c r="R278" s="127">
        <f t="shared" si="36"/>
        <v>0</v>
      </c>
      <c r="S278" s="127">
        <v>0</v>
      </c>
      <c r="T278" s="128">
        <f t="shared" si="37"/>
        <v>0</v>
      </c>
      <c r="W278" s="199"/>
      <c r="X278" s="205" t="s">
        <v>452</v>
      </c>
      <c r="Y278" s="119" t="s">
        <v>231</v>
      </c>
      <c r="Z278" s="120" t="s">
        <v>3626</v>
      </c>
      <c r="AA278" s="121" t="s">
        <v>3627</v>
      </c>
      <c r="AB278" s="122" t="s">
        <v>1194</v>
      </c>
      <c r="AC278" s="206">
        <v>4</v>
      </c>
      <c r="AD278" s="124">
        <v>14.09</v>
      </c>
      <c r="AE278" s="200">
        <f t="shared" si="38"/>
        <v>56.36</v>
      </c>
      <c r="AF278" s="227">
        <v>7</v>
      </c>
      <c r="AG278" s="130"/>
      <c r="AH278" s="130"/>
      <c r="AR278" s="129" t="s">
        <v>235</v>
      </c>
      <c r="AT278" s="129" t="s">
        <v>231</v>
      </c>
      <c r="AU278" s="129" t="s">
        <v>76</v>
      </c>
      <c r="AY278" s="13" t="s">
        <v>228</v>
      </c>
      <c r="BE278" s="130">
        <f t="shared" si="39"/>
        <v>0</v>
      </c>
      <c r="BF278" s="130">
        <f t="shared" si="40"/>
        <v>112.72</v>
      </c>
      <c r="BG278" s="130">
        <f t="shared" si="41"/>
        <v>0</v>
      </c>
      <c r="BH278" s="130">
        <f t="shared" si="42"/>
        <v>0</v>
      </c>
      <c r="BI278" s="130">
        <f t="shared" si="43"/>
        <v>0</v>
      </c>
      <c r="BJ278" s="13" t="s">
        <v>76</v>
      </c>
      <c r="BK278" s="130">
        <f t="shared" si="44"/>
        <v>112.72</v>
      </c>
      <c r="BL278" s="13" t="s">
        <v>235</v>
      </c>
      <c r="BM278" s="129" t="s">
        <v>455</v>
      </c>
    </row>
    <row r="279" spans="2:65" s="1" customFormat="1" ht="16.5" customHeight="1" x14ac:dyDescent="0.2">
      <c r="B279" s="118"/>
      <c r="C279" s="205" t="s">
        <v>344</v>
      </c>
      <c r="D279" s="119" t="s">
        <v>231</v>
      </c>
      <c r="E279" s="120" t="s">
        <v>3628</v>
      </c>
      <c r="F279" s="121" t="s">
        <v>3629</v>
      </c>
      <c r="G279" s="122" t="s">
        <v>1194</v>
      </c>
      <c r="H279" s="206">
        <v>8</v>
      </c>
      <c r="I279" s="124">
        <v>9.89</v>
      </c>
      <c r="J279" s="124">
        <f t="shared" si="34"/>
        <v>79.12</v>
      </c>
      <c r="K279" s="121" t="s">
        <v>1</v>
      </c>
      <c r="L279" s="24"/>
      <c r="M279" s="125" t="s">
        <v>1</v>
      </c>
      <c r="N279" s="126" t="s">
        <v>32</v>
      </c>
      <c r="O279" s="127">
        <v>0</v>
      </c>
      <c r="P279" s="127">
        <f t="shared" si="35"/>
        <v>0</v>
      </c>
      <c r="Q279" s="127">
        <v>0</v>
      </c>
      <c r="R279" s="127">
        <f t="shared" si="36"/>
        <v>0</v>
      </c>
      <c r="S279" s="127">
        <v>0</v>
      </c>
      <c r="T279" s="128">
        <f t="shared" si="37"/>
        <v>0</v>
      </c>
      <c r="W279" s="199"/>
      <c r="X279" s="205" t="s">
        <v>344</v>
      </c>
      <c r="Y279" s="119" t="s">
        <v>231</v>
      </c>
      <c r="Z279" s="120" t="s">
        <v>3628</v>
      </c>
      <c r="AA279" s="121" t="s">
        <v>3629</v>
      </c>
      <c r="AB279" s="122" t="s">
        <v>1194</v>
      </c>
      <c r="AC279" s="206">
        <v>4</v>
      </c>
      <c r="AD279" s="124">
        <v>9.89</v>
      </c>
      <c r="AE279" s="200">
        <f t="shared" si="38"/>
        <v>39.56</v>
      </c>
      <c r="AF279" s="227">
        <v>7</v>
      </c>
      <c r="AG279" s="130"/>
      <c r="AH279" s="130"/>
      <c r="AR279" s="129" t="s">
        <v>235</v>
      </c>
      <c r="AT279" s="129" t="s">
        <v>231</v>
      </c>
      <c r="AU279" s="129" t="s">
        <v>76</v>
      </c>
      <c r="AY279" s="13" t="s">
        <v>228</v>
      </c>
      <c r="BE279" s="130">
        <f t="shared" si="39"/>
        <v>0</v>
      </c>
      <c r="BF279" s="130">
        <f t="shared" si="40"/>
        <v>79.12</v>
      </c>
      <c r="BG279" s="130">
        <f t="shared" si="41"/>
        <v>0</v>
      </c>
      <c r="BH279" s="130">
        <f t="shared" si="42"/>
        <v>0</v>
      </c>
      <c r="BI279" s="130">
        <f t="shared" si="43"/>
        <v>0</v>
      </c>
      <c r="BJ279" s="13" t="s">
        <v>76</v>
      </c>
      <c r="BK279" s="130">
        <f t="shared" si="44"/>
        <v>79.12</v>
      </c>
      <c r="BL279" s="13" t="s">
        <v>235</v>
      </c>
      <c r="BM279" s="129" t="s">
        <v>458</v>
      </c>
    </row>
    <row r="280" spans="2:65" s="1" customFormat="1" ht="16.5" customHeight="1" x14ac:dyDescent="0.2">
      <c r="B280" s="118"/>
      <c r="C280" s="205" t="s">
        <v>459</v>
      </c>
      <c r="D280" s="119" t="s">
        <v>231</v>
      </c>
      <c r="E280" s="120" t="s">
        <v>3630</v>
      </c>
      <c r="F280" s="121" t="s">
        <v>3631</v>
      </c>
      <c r="G280" s="122" t="s">
        <v>1194</v>
      </c>
      <c r="H280" s="206">
        <v>8</v>
      </c>
      <c r="I280" s="124">
        <v>9.89</v>
      </c>
      <c r="J280" s="124">
        <f t="shared" si="34"/>
        <v>79.12</v>
      </c>
      <c r="K280" s="121" t="s">
        <v>1</v>
      </c>
      <c r="L280" s="24"/>
      <c r="M280" s="125" t="s">
        <v>1</v>
      </c>
      <c r="N280" s="126" t="s">
        <v>32</v>
      </c>
      <c r="O280" s="127">
        <v>0</v>
      </c>
      <c r="P280" s="127">
        <f t="shared" si="35"/>
        <v>0</v>
      </c>
      <c r="Q280" s="127">
        <v>0</v>
      </c>
      <c r="R280" s="127">
        <f t="shared" si="36"/>
        <v>0</v>
      </c>
      <c r="S280" s="127">
        <v>0</v>
      </c>
      <c r="T280" s="128">
        <f t="shared" si="37"/>
        <v>0</v>
      </c>
      <c r="W280" s="199"/>
      <c r="X280" s="205" t="s">
        <v>459</v>
      </c>
      <c r="Y280" s="119" t="s">
        <v>231</v>
      </c>
      <c r="Z280" s="120" t="s">
        <v>3630</v>
      </c>
      <c r="AA280" s="121" t="s">
        <v>3631</v>
      </c>
      <c r="AB280" s="122" t="s">
        <v>1194</v>
      </c>
      <c r="AC280" s="206">
        <v>4</v>
      </c>
      <c r="AD280" s="124">
        <v>9.89</v>
      </c>
      <c r="AE280" s="200">
        <f t="shared" si="38"/>
        <v>39.56</v>
      </c>
      <c r="AF280" s="227">
        <v>7</v>
      </c>
      <c r="AG280" s="130"/>
      <c r="AH280" s="130"/>
      <c r="AR280" s="129" t="s">
        <v>235</v>
      </c>
      <c r="AT280" s="129" t="s">
        <v>231</v>
      </c>
      <c r="AU280" s="129" t="s">
        <v>76</v>
      </c>
      <c r="AY280" s="13" t="s">
        <v>228</v>
      </c>
      <c r="BE280" s="130">
        <f t="shared" si="39"/>
        <v>0</v>
      </c>
      <c r="BF280" s="130">
        <f t="shared" si="40"/>
        <v>79.12</v>
      </c>
      <c r="BG280" s="130">
        <f t="shared" si="41"/>
        <v>0</v>
      </c>
      <c r="BH280" s="130">
        <f t="shared" si="42"/>
        <v>0</v>
      </c>
      <c r="BI280" s="130">
        <f t="shared" si="43"/>
        <v>0</v>
      </c>
      <c r="BJ280" s="13" t="s">
        <v>76</v>
      </c>
      <c r="BK280" s="130">
        <f t="shared" si="44"/>
        <v>79.12</v>
      </c>
      <c r="BL280" s="13" t="s">
        <v>235</v>
      </c>
      <c r="BM280" s="129" t="s">
        <v>462</v>
      </c>
    </row>
    <row r="281" spans="2:65" s="1" customFormat="1" ht="16.5" customHeight="1" x14ac:dyDescent="0.2">
      <c r="B281" s="118"/>
      <c r="C281" s="205" t="s">
        <v>347</v>
      </c>
      <c r="D281" s="119" t="s">
        <v>231</v>
      </c>
      <c r="E281" s="120" t="s">
        <v>3632</v>
      </c>
      <c r="F281" s="121" t="s">
        <v>3633</v>
      </c>
      <c r="G281" s="122" t="s">
        <v>1194</v>
      </c>
      <c r="H281" s="206">
        <v>4</v>
      </c>
      <c r="I281" s="124">
        <v>9.89</v>
      </c>
      <c r="J281" s="124">
        <f t="shared" si="34"/>
        <v>39.56</v>
      </c>
      <c r="K281" s="121" t="s">
        <v>1</v>
      </c>
      <c r="L281" s="24"/>
      <c r="M281" s="125" t="s">
        <v>1</v>
      </c>
      <c r="N281" s="126" t="s">
        <v>32</v>
      </c>
      <c r="O281" s="127">
        <v>0</v>
      </c>
      <c r="P281" s="127">
        <f t="shared" si="35"/>
        <v>0</v>
      </c>
      <c r="Q281" s="127">
        <v>0</v>
      </c>
      <c r="R281" s="127">
        <f t="shared" si="36"/>
        <v>0</v>
      </c>
      <c r="S281" s="127">
        <v>0</v>
      </c>
      <c r="T281" s="128">
        <f t="shared" si="37"/>
        <v>0</v>
      </c>
      <c r="W281" s="199"/>
      <c r="X281" s="205" t="s">
        <v>347</v>
      </c>
      <c r="Y281" s="119" t="s">
        <v>231</v>
      </c>
      <c r="Z281" s="120" t="s">
        <v>3632</v>
      </c>
      <c r="AA281" s="121" t="s">
        <v>3633</v>
      </c>
      <c r="AB281" s="122" t="s">
        <v>1194</v>
      </c>
      <c r="AC281" s="206">
        <v>0</v>
      </c>
      <c r="AD281" s="124">
        <v>9.89</v>
      </c>
      <c r="AE281" s="200">
        <f t="shared" si="38"/>
        <v>0</v>
      </c>
      <c r="AF281" s="227">
        <v>7</v>
      </c>
      <c r="AG281" s="130"/>
      <c r="AH281" s="130"/>
      <c r="AR281" s="129" t="s">
        <v>235</v>
      </c>
      <c r="AT281" s="129" t="s">
        <v>231</v>
      </c>
      <c r="AU281" s="129" t="s">
        <v>76</v>
      </c>
      <c r="AY281" s="13" t="s">
        <v>228</v>
      </c>
      <c r="BE281" s="130">
        <f t="shared" si="39"/>
        <v>0</v>
      </c>
      <c r="BF281" s="130">
        <f t="shared" si="40"/>
        <v>39.56</v>
      </c>
      <c r="BG281" s="130">
        <f t="shared" si="41"/>
        <v>0</v>
      </c>
      <c r="BH281" s="130">
        <f t="shared" si="42"/>
        <v>0</v>
      </c>
      <c r="BI281" s="130">
        <f t="shared" si="43"/>
        <v>0</v>
      </c>
      <c r="BJ281" s="13" t="s">
        <v>76</v>
      </c>
      <c r="BK281" s="130">
        <f t="shared" si="44"/>
        <v>39.56</v>
      </c>
      <c r="BL281" s="13" t="s">
        <v>235</v>
      </c>
      <c r="BM281" s="129" t="s">
        <v>465</v>
      </c>
    </row>
    <row r="282" spans="2:65" s="1" customFormat="1" ht="16.5" customHeight="1" x14ac:dyDescent="0.2">
      <c r="B282" s="118"/>
      <c r="C282" s="205" t="s">
        <v>466</v>
      </c>
      <c r="D282" s="119" t="s">
        <v>231</v>
      </c>
      <c r="E282" s="120" t="s">
        <v>1255</v>
      </c>
      <c r="F282" s="121" t="s">
        <v>1256</v>
      </c>
      <c r="G282" s="122" t="s">
        <v>1194</v>
      </c>
      <c r="H282" s="206">
        <v>9</v>
      </c>
      <c r="I282" s="124">
        <v>6.04</v>
      </c>
      <c r="J282" s="124">
        <f t="shared" si="34"/>
        <v>54.36</v>
      </c>
      <c r="K282" s="121" t="s">
        <v>1</v>
      </c>
      <c r="L282" s="24"/>
      <c r="M282" s="125" t="s">
        <v>1</v>
      </c>
      <c r="N282" s="126" t="s">
        <v>32</v>
      </c>
      <c r="O282" s="127">
        <v>0</v>
      </c>
      <c r="P282" s="127">
        <f t="shared" si="35"/>
        <v>0</v>
      </c>
      <c r="Q282" s="127">
        <v>0</v>
      </c>
      <c r="R282" s="127">
        <f t="shared" si="36"/>
        <v>0</v>
      </c>
      <c r="S282" s="127">
        <v>0</v>
      </c>
      <c r="T282" s="128">
        <f t="shared" si="37"/>
        <v>0</v>
      </c>
      <c r="W282" s="199"/>
      <c r="X282" s="205" t="s">
        <v>466</v>
      </c>
      <c r="Y282" s="119" t="s">
        <v>231</v>
      </c>
      <c r="Z282" s="120" t="s">
        <v>1255</v>
      </c>
      <c r="AA282" s="121" t="s">
        <v>1256</v>
      </c>
      <c r="AB282" s="122" t="s">
        <v>1194</v>
      </c>
      <c r="AC282" s="206">
        <v>6</v>
      </c>
      <c r="AD282" s="124">
        <v>6.04</v>
      </c>
      <c r="AE282" s="200">
        <f t="shared" si="38"/>
        <v>36.24</v>
      </c>
      <c r="AF282" s="227">
        <v>7</v>
      </c>
      <c r="AG282" s="130"/>
      <c r="AH282" s="130"/>
      <c r="AR282" s="129" t="s">
        <v>235</v>
      </c>
      <c r="AT282" s="129" t="s">
        <v>231</v>
      </c>
      <c r="AU282" s="129" t="s">
        <v>76</v>
      </c>
      <c r="AY282" s="13" t="s">
        <v>228</v>
      </c>
      <c r="BE282" s="130">
        <f t="shared" si="39"/>
        <v>0</v>
      </c>
      <c r="BF282" s="130">
        <f t="shared" si="40"/>
        <v>54.36</v>
      </c>
      <c r="BG282" s="130">
        <f t="shared" si="41"/>
        <v>0</v>
      </c>
      <c r="BH282" s="130">
        <f t="shared" si="42"/>
        <v>0</v>
      </c>
      <c r="BI282" s="130">
        <f t="shared" si="43"/>
        <v>0</v>
      </c>
      <c r="BJ282" s="13" t="s">
        <v>76</v>
      </c>
      <c r="BK282" s="130">
        <f t="shared" si="44"/>
        <v>54.36</v>
      </c>
      <c r="BL282" s="13" t="s">
        <v>235</v>
      </c>
      <c r="BM282" s="129" t="s">
        <v>469</v>
      </c>
    </row>
    <row r="283" spans="2:65" s="11" customFormat="1" ht="22.95" customHeight="1" x14ac:dyDescent="0.25">
      <c r="B283" s="106"/>
      <c r="D283" s="107" t="s">
        <v>57</v>
      </c>
      <c r="E283" s="116" t="s">
        <v>2253</v>
      </c>
      <c r="F283" s="116" t="s">
        <v>3634</v>
      </c>
      <c r="J283" s="117">
        <f>BK283</f>
        <v>1856.9899999999998</v>
      </c>
      <c r="L283" s="106"/>
      <c r="M283" s="110"/>
      <c r="N283" s="111"/>
      <c r="O283" s="111"/>
      <c r="P283" s="112">
        <f>SUM(P284:P290)</f>
        <v>0</v>
      </c>
      <c r="Q283" s="111"/>
      <c r="R283" s="112">
        <f>SUM(R284:R290)</f>
        <v>0</v>
      </c>
      <c r="S283" s="111"/>
      <c r="T283" s="113">
        <f>SUM(T284:T290)</f>
        <v>0</v>
      </c>
      <c r="W283" s="195"/>
      <c r="X283" s="111"/>
      <c r="Y283" s="196" t="s">
        <v>57</v>
      </c>
      <c r="Z283" s="201" t="s">
        <v>2253</v>
      </c>
      <c r="AA283" s="201" t="s">
        <v>3634</v>
      </c>
      <c r="AB283" s="111"/>
      <c r="AC283" s="111"/>
      <c r="AD283" s="111"/>
      <c r="AE283" s="202">
        <f>SUM(AE284:AE290)</f>
        <v>1793.6999999999998</v>
      </c>
      <c r="AF283" s="248"/>
      <c r="AG283" s="130"/>
      <c r="AH283" s="130"/>
      <c r="AR283" s="107" t="s">
        <v>63</v>
      </c>
      <c r="AT283" s="114" t="s">
        <v>57</v>
      </c>
      <c r="AU283" s="114" t="s">
        <v>63</v>
      </c>
      <c r="AY283" s="107" t="s">
        <v>228</v>
      </c>
      <c r="BK283" s="115">
        <f>SUM(BK284:BK290)</f>
        <v>1856.9899999999998</v>
      </c>
    </row>
    <row r="284" spans="2:65" s="1" customFormat="1" ht="27.75" customHeight="1" x14ac:dyDescent="0.2">
      <c r="B284" s="118"/>
      <c r="C284" s="1070" t="s">
        <v>351</v>
      </c>
      <c r="D284" s="119" t="s">
        <v>231</v>
      </c>
      <c r="E284" s="120" t="s">
        <v>3635</v>
      </c>
      <c r="F284" s="239" t="s">
        <v>3636</v>
      </c>
      <c r="G284" s="122" t="s">
        <v>1194</v>
      </c>
      <c r="H284" s="1071">
        <v>35</v>
      </c>
      <c r="I284" s="124">
        <v>21.97</v>
      </c>
      <c r="J284" s="124">
        <f>ROUND(I284*H284,2)</f>
        <v>768.95</v>
      </c>
      <c r="K284" s="121" t="s">
        <v>1</v>
      </c>
      <c r="L284" s="24"/>
      <c r="M284" s="125" t="s">
        <v>1</v>
      </c>
      <c r="N284" s="126" t="s">
        <v>32</v>
      </c>
      <c r="O284" s="127">
        <v>0</v>
      </c>
      <c r="P284" s="127">
        <f>O284*H284</f>
        <v>0</v>
      </c>
      <c r="Q284" s="127">
        <v>0</v>
      </c>
      <c r="R284" s="127">
        <f>Q284*H284</f>
        <v>0</v>
      </c>
      <c r="S284" s="127">
        <v>0</v>
      </c>
      <c r="T284" s="128">
        <f>S284*H284</f>
        <v>0</v>
      </c>
      <c r="W284" s="199"/>
      <c r="X284" s="205" t="s">
        <v>351</v>
      </c>
      <c r="Y284" s="119" t="s">
        <v>231</v>
      </c>
      <c r="Z284" s="120" t="s">
        <v>3635</v>
      </c>
      <c r="AA284" s="239" t="s">
        <v>5254</v>
      </c>
      <c r="AB284" s="122" t="s">
        <v>1194</v>
      </c>
      <c r="AC284" s="206">
        <v>28</v>
      </c>
      <c r="AD284" s="124">
        <v>21.97</v>
      </c>
      <c r="AE284" s="200">
        <f>ROUND(AD284*AC284,2)</f>
        <v>615.16</v>
      </c>
      <c r="AF284" s="227">
        <v>7</v>
      </c>
      <c r="AG284" s="130"/>
      <c r="AH284" s="130"/>
      <c r="AR284" s="129" t="s">
        <v>235</v>
      </c>
      <c r="AT284" s="129" t="s">
        <v>231</v>
      </c>
      <c r="AU284" s="129" t="s">
        <v>76</v>
      </c>
      <c r="AY284" s="13" t="s">
        <v>228</v>
      </c>
      <c r="BE284" s="130">
        <f>IF(N284="základná",J284,0)</f>
        <v>0</v>
      </c>
      <c r="BF284" s="130">
        <f>IF(N284="znížená",J284,0)</f>
        <v>768.95</v>
      </c>
      <c r="BG284" s="130">
        <f>IF(N284="zákl. prenesená",J284,0)</f>
        <v>0</v>
      </c>
      <c r="BH284" s="130">
        <f>IF(N284="zníž. prenesená",J284,0)</f>
        <v>0</v>
      </c>
      <c r="BI284" s="130">
        <f>IF(N284="nulová",J284,0)</f>
        <v>0</v>
      </c>
      <c r="BJ284" s="13" t="s">
        <v>76</v>
      </c>
      <c r="BK284" s="130">
        <f>ROUND(I284*H284,2)</f>
        <v>768.95</v>
      </c>
      <c r="BL284" s="13" t="s">
        <v>235</v>
      </c>
      <c r="BM284" s="129" t="s">
        <v>472</v>
      </c>
    </row>
    <row r="285" spans="2:65" s="1" customFormat="1" ht="19.2" x14ac:dyDescent="0.2">
      <c r="B285" s="24"/>
      <c r="D285" s="144" t="s">
        <v>1259</v>
      </c>
      <c r="F285" s="145" t="s">
        <v>1260</v>
      </c>
      <c r="L285" s="24"/>
      <c r="M285" s="146"/>
      <c r="N285" s="42"/>
      <c r="O285" s="42"/>
      <c r="P285" s="42"/>
      <c r="Q285" s="42"/>
      <c r="R285" s="42"/>
      <c r="S285" s="42"/>
      <c r="T285" s="43"/>
      <c r="W285" s="158"/>
      <c r="X285" s="283"/>
      <c r="Y285" s="203" t="s">
        <v>1259</v>
      </c>
      <c r="Z285" s="283"/>
      <c r="AA285" s="204" t="s">
        <v>1260</v>
      </c>
      <c r="AB285" s="283"/>
      <c r="AC285" s="283"/>
      <c r="AD285" s="283"/>
      <c r="AE285" s="159"/>
      <c r="AF285" s="227"/>
      <c r="AG285" s="130"/>
      <c r="AH285" s="130"/>
      <c r="AT285" s="13" t="s">
        <v>1259</v>
      </c>
      <c r="AU285" s="13" t="s">
        <v>76</v>
      </c>
    </row>
    <row r="286" spans="2:65" s="151" customFormat="1" ht="22.8" x14ac:dyDescent="0.2">
      <c r="B286" s="24"/>
      <c r="C286" s="1234" t="s">
        <v>5205</v>
      </c>
      <c r="D286" s="1235"/>
      <c r="E286" s="1235"/>
      <c r="F286" s="1235"/>
      <c r="G286" s="1235"/>
      <c r="H286" s="1235"/>
      <c r="I286" s="1235"/>
      <c r="J286" s="1236"/>
      <c r="L286" s="24"/>
      <c r="M286" s="146"/>
      <c r="N286" s="160"/>
      <c r="O286" s="160"/>
      <c r="P286" s="160"/>
      <c r="Q286" s="160"/>
      <c r="R286" s="160"/>
      <c r="S286" s="160"/>
      <c r="T286" s="43"/>
      <c r="W286" s="158"/>
      <c r="X286" s="215" t="s">
        <v>5255</v>
      </c>
      <c r="Y286" s="215" t="s">
        <v>231</v>
      </c>
      <c r="Z286" s="216" t="s">
        <v>5252</v>
      </c>
      <c r="AA286" s="217" t="s">
        <v>5253</v>
      </c>
      <c r="AB286" s="218" t="s">
        <v>1194</v>
      </c>
      <c r="AC286" s="219">
        <v>7</v>
      </c>
      <c r="AD286" s="220">
        <v>21.97</v>
      </c>
      <c r="AE286" s="221">
        <f>ROUND(AD286*AC286,2)</f>
        <v>153.79</v>
      </c>
      <c r="AF286" s="227">
        <v>7</v>
      </c>
      <c r="AG286" s="130"/>
      <c r="AH286" s="130"/>
      <c r="AT286" s="13"/>
      <c r="AU286" s="13"/>
    </row>
    <row r="287" spans="2:65" s="151" customFormat="1" ht="19.2" x14ac:dyDescent="0.2">
      <c r="B287" s="24"/>
      <c r="D287" s="144"/>
      <c r="F287" s="145"/>
      <c r="L287" s="24"/>
      <c r="M287" s="146"/>
      <c r="N287" s="160"/>
      <c r="O287" s="160"/>
      <c r="P287" s="160"/>
      <c r="Q287" s="160"/>
      <c r="R287" s="160"/>
      <c r="S287" s="160"/>
      <c r="T287" s="43"/>
      <c r="W287" s="158"/>
      <c r="X287" s="267"/>
      <c r="Y287" s="268" t="s">
        <v>1259</v>
      </c>
      <c r="Z287" s="267"/>
      <c r="AA287" s="269" t="s">
        <v>1260</v>
      </c>
      <c r="AB287" s="267"/>
      <c r="AC287" s="267"/>
      <c r="AD287" s="267"/>
      <c r="AE287" s="270"/>
      <c r="AF287" s="227"/>
      <c r="AG287" s="130"/>
      <c r="AH287" s="130"/>
      <c r="AT287" s="13"/>
      <c r="AU287" s="13"/>
    </row>
    <row r="288" spans="2:65" s="1" customFormat="1" ht="24" customHeight="1" x14ac:dyDescent="0.2">
      <c r="B288" s="118"/>
      <c r="C288" s="119" t="s">
        <v>473</v>
      </c>
      <c r="D288" s="119" t="s">
        <v>231</v>
      </c>
      <c r="E288" s="120" t="s">
        <v>3637</v>
      </c>
      <c r="F288" s="121" t="s">
        <v>3638</v>
      </c>
      <c r="G288" s="122" t="s">
        <v>1194</v>
      </c>
      <c r="H288" s="123">
        <v>35</v>
      </c>
      <c r="I288" s="124">
        <v>15.09</v>
      </c>
      <c r="J288" s="124">
        <f>ROUND(I288*H288,2)</f>
        <v>528.15</v>
      </c>
      <c r="K288" s="121" t="s">
        <v>1</v>
      </c>
      <c r="L288" s="24"/>
      <c r="M288" s="125" t="s">
        <v>1</v>
      </c>
      <c r="N288" s="126" t="s">
        <v>32</v>
      </c>
      <c r="O288" s="127">
        <v>0</v>
      </c>
      <c r="P288" s="127">
        <f>O288*H288</f>
        <v>0</v>
      </c>
      <c r="Q288" s="127">
        <v>0</v>
      </c>
      <c r="R288" s="127">
        <f>Q288*H288</f>
        <v>0</v>
      </c>
      <c r="S288" s="127">
        <v>0</v>
      </c>
      <c r="T288" s="128">
        <f>S288*H288</f>
        <v>0</v>
      </c>
      <c r="W288" s="199"/>
      <c r="X288" s="119" t="s">
        <v>473</v>
      </c>
      <c r="Y288" s="119" t="s">
        <v>231</v>
      </c>
      <c r="Z288" s="120" t="s">
        <v>3637</v>
      </c>
      <c r="AA288" s="121" t="s">
        <v>3638</v>
      </c>
      <c r="AB288" s="122" t="s">
        <v>1194</v>
      </c>
      <c r="AC288" s="123">
        <v>35</v>
      </c>
      <c r="AD288" s="124">
        <v>15.09</v>
      </c>
      <c r="AE288" s="200">
        <f>ROUND(AD288*AC288,2)</f>
        <v>528.15</v>
      </c>
      <c r="AF288" s="227"/>
      <c r="AG288" s="130"/>
      <c r="AH288" s="130"/>
      <c r="AR288" s="129" t="s">
        <v>235</v>
      </c>
      <c r="AT288" s="129" t="s">
        <v>231</v>
      </c>
      <c r="AU288" s="129" t="s">
        <v>76</v>
      </c>
      <c r="AY288" s="13" t="s">
        <v>228</v>
      </c>
      <c r="BE288" s="130">
        <f>IF(N288="základná",J288,0)</f>
        <v>0</v>
      </c>
      <c r="BF288" s="130">
        <f>IF(N288="znížená",J288,0)</f>
        <v>528.15</v>
      </c>
      <c r="BG288" s="130">
        <f>IF(N288="zákl. prenesená",J288,0)</f>
        <v>0</v>
      </c>
      <c r="BH288" s="130">
        <f>IF(N288="zníž. prenesená",J288,0)</f>
        <v>0</v>
      </c>
      <c r="BI288" s="130">
        <f>IF(N288="nulová",J288,0)</f>
        <v>0</v>
      </c>
      <c r="BJ288" s="13" t="s">
        <v>76</v>
      </c>
      <c r="BK288" s="130">
        <f>ROUND(I288*H288,2)</f>
        <v>528.15</v>
      </c>
      <c r="BL288" s="13" t="s">
        <v>235</v>
      </c>
      <c r="BM288" s="129" t="s">
        <v>476</v>
      </c>
    </row>
    <row r="289" spans="2:65" s="1" customFormat="1" ht="24" customHeight="1" x14ac:dyDescent="0.2">
      <c r="B289" s="118"/>
      <c r="C289" s="119" t="s">
        <v>354</v>
      </c>
      <c r="D289" s="119" t="s">
        <v>231</v>
      </c>
      <c r="E289" s="120" t="s">
        <v>3639</v>
      </c>
      <c r="F289" s="121" t="s">
        <v>3640</v>
      </c>
      <c r="G289" s="122" t="s">
        <v>1194</v>
      </c>
      <c r="H289" s="123">
        <v>70</v>
      </c>
      <c r="I289" s="124">
        <v>6.04</v>
      </c>
      <c r="J289" s="124">
        <f>ROUND(I289*H289,2)</f>
        <v>422.8</v>
      </c>
      <c r="K289" s="121" t="s">
        <v>1</v>
      </c>
      <c r="L289" s="24"/>
      <c r="M289" s="125" t="s">
        <v>1</v>
      </c>
      <c r="N289" s="126" t="s">
        <v>32</v>
      </c>
      <c r="O289" s="127">
        <v>0</v>
      </c>
      <c r="P289" s="127">
        <f>O289*H289</f>
        <v>0</v>
      </c>
      <c r="Q289" s="127">
        <v>0</v>
      </c>
      <c r="R289" s="127">
        <f>Q289*H289</f>
        <v>0</v>
      </c>
      <c r="S289" s="127">
        <v>0</v>
      </c>
      <c r="T289" s="128">
        <f>S289*H289</f>
        <v>0</v>
      </c>
      <c r="W289" s="199"/>
      <c r="X289" s="119" t="s">
        <v>354</v>
      </c>
      <c r="Y289" s="119" t="s">
        <v>231</v>
      </c>
      <c r="Z289" s="120" t="s">
        <v>3639</v>
      </c>
      <c r="AA289" s="121" t="s">
        <v>3640</v>
      </c>
      <c r="AB289" s="122" t="s">
        <v>1194</v>
      </c>
      <c r="AC289" s="123">
        <v>70</v>
      </c>
      <c r="AD289" s="124">
        <v>6.04</v>
      </c>
      <c r="AE289" s="200">
        <f>ROUND(AD289*AC289,2)</f>
        <v>422.8</v>
      </c>
      <c r="AF289" s="227"/>
      <c r="AG289" s="130"/>
      <c r="AH289" s="130"/>
      <c r="AR289" s="129" t="s">
        <v>235</v>
      </c>
      <c r="AT289" s="129" t="s">
        <v>231</v>
      </c>
      <c r="AU289" s="129" t="s">
        <v>76</v>
      </c>
      <c r="AY289" s="13" t="s">
        <v>228</v>
      </c>
      <c r="BE289" s="130">
        <f>IF(N289="základná",J289,0)</f>
        <v>0</v>
      </c>
      <c r="BF289" s="130">
        <f>IF(N289="znížená",J289,0)</f>
        <v>422.8</v>
      </c>
      <c r="BG289" s="130">
        <f>IF(N289="zákl. prenesená",J289,0)</f>
        <v>0</v>
      </c>
      <c r="BH289" s="130">
        <f>IF(N289="zníž. prenesená",J289,0)</f>
        <v>0</v>
      </c>
      <c r="BI289" s="130">
        <f>IF(N289="nulová",J289,0)</f>
        <v>0</v>
      </c>
      <c r="BJ289" s="13" t="s">
        <v>76</v>
      </c>
      <c r="BK289" s="130">
        <f>ROUND(I289*H289,2)</f>
        <v>422.8</v>
      </c>
      <c r="BL289" s="13" t="s">
        <v>235</v>
      </c>
      <c r="BM289" s="129" t="s">
        <v>479</v>
      </c>
    </row>
    <row r="290" spans="2:65" s="1" customFormat="1" ht="16.5" customHeight="1" x14ac:dyDescent="0.2">
      <c r="B290" s="118"/>
      <c r="C290" s="205" t="s">
        <v>480</v>
      </c>
      <c r="D290" s="119" t="s">
        <v>231</v>
      </c>
      <c r="E290" s="120" t="s">
        <v>1261</v>
      </c>
      <c r="F290" s="121" t="s">
        <v>1262</v>
      </c>
      <c r="G290" s="122" t="s">
        <v>570</v>
      </c>
      <c r="H290" s="123">
        <v>1.8</v>
      </c>
      <c r="I290" s="213">
        <v>76.16</v>
      </c>
      <c r="J290" s="124">
        <f>ROUND(I290*H290,2)</f>
        <v>137.09</v>
      </c>
      <c r="K290" s="121" t="s">
        <v>1</v>
      </c>
      <c r="L290" s="24"/>
      <c r="M290" s="125" t="s">
        <v>1</v>
      </c>
      <c r="N290" s="126" t="s">
        <v>32</v>
      </c>
      <c r="O290" s="127">
        <v>0</v>
      </c>
      <c r="P290" s="127">
        <f>O290*H290</f>
        <v>0</v>
      </c>
      <c r="Q290" s="127">
        <v>0</v>
      </c>
      <c r="R290" s="127">
        <f>Q290*H290</f>
        <v>0</v>
      </c>
      <c r="S290" s="127">
        <v>0</v>
      </c>
      <c r="T290" s="128">
        <f>S290*H290</f>
        <v>0</v>
      </c>
      <c r="W290" s="199"/>
      <c r="X290" s="205" t="s">
        <v>480</v>
      </c>
      <c r="Y290" s="119" t="s">
        <v>231</v>
      </c>
      <c r="Z290" s="120" t="s">
        <v>1261</v>
      </c>
      <c r="AA290" s="121" t="s">
        <v>1262</v>
      </c>
      <c r="AB290" s="122" t="s">
        <v>570</v>
      </c>
      <c r="AC290" s="123">
        <v>1.8</v>
      </c>
      <c r="AD290" s="213">
        <v>41</v>
      </c>
      <c r="AE290" s="200">
        <f>ROUND(AD290*AC290,2)</f>
        <v>73.8</v>
      </c>
      <c r="AF290" s="227">
        <v>7</v>
      </c>
      <c r="AG290" s="130"/>
      <c r="AH290" s="130"/>
      <c r="AR290" s="129" t="s">
        <v>235</v>
      </c>
      <c r="AT290" s="129" t="s">
        <v>231</v>
      </c>
      <c r="AU290" s="129" t="s">
        <v>76</v>
      </c>
      <c r="AY290" s="13" t="s">
        <v>228</v>
      </c>
      <c r="BE290" s="130">
        <f>IF(N290="základná",J290,0)</f>
        <v>0</v>
      </c>
      <c r="BF290" s="130">
        <f>IF(N290="znížená",J290,0)</f>
        <v>137.09</v>
      </c>
      <c r="BG290" s="130">
        <f>IF(N290="zákl. prenesená",J290,0)</f>
        <v>0</v>
      </c>
      <c r="BH290" s="130">
        <f>IF(N290="zníž. prenesená",J290,0)</f>
        <v>0</v>
      </c>
      <c r="BI290" s="130">
        <f>IF(N290="nulová",J290,0)</f>
        <v>0</v>
      </c>
      <c r="BJ290" s="13" t="s">
        <v>76</v>
      </c>
      <c r="BK290" s="130">
        <f>ROUND(I290*H290,2)</f>
        <v>137.09</v>
      </c>
      <c r="BL290" s="13" t="s">
        <v>235</v>
      </c>
      <c r="BM290" s="129" t="s">
        <v>483</v>
      </c>
    </row>
    <row r="291" spans="2:65" s="11" customFormat="1" ht="25.95" customHeight="1" x14ac:dyDescent="0.25">
      <c r="B291" s="106"/>
      <c r="D291" s="107" t="s">
        <v>57</v>
      </c>
      <c r="E291" s="108" t="s">
        <v>3641</v>
      </c>
      <c r="F291" s="108" t="s">
        <v>3642</v>
      </c>
      <c r="J291" s="109">
        <f>BK291</f>
        <v>7397.34</v>
      </c>
      <c r="L291" s="106"/>
      <c r="M291" s="110"/>
      <c r="N291" s="111"/>
      <c r="O291" s="111"/>
      <c r="P291" s="112">
        <f>P292+SUM(P293:P307)+P310</f>
        <v>0</v>
      </c>
      <c r="Q291" s="111"/>
      <c r="R291" s="112">
        <f>R292+SUM(R293:R307)+R310</f>
        <v>0</v>
      </c>
      <c r="S291" s="111"/>
      <c r="T291" s="113">
        <f>T292+SUM(T293:T307)+T310</f>
        <v>0</v>
      </c>
      <c r="W291" s="195"/>
      <c r="X291" s="111"/>
      <c r="Y291" s="196" t="s">
        <v>57</v>
      </c>
      <c r="Z291" s="197" t="s">
        <v>3641</v>
      </c>
      <c r="AA291" s="197" t="s">
        <v>3642</v>
      </c>
      <c r="AB291" s="111"/>
      <c r="AC291" s="111"/>
      <c r="AD291" s="111"/>
      <c r="AE291" s="198">
        <f>SUM(AE292:AE306)+AE307+AE310</f>
        <v>7779.5400000000009</v>
      </c>
      <c r="AF291" s="248"/>
      <c r="AG291" s="130"/>
      <c r="AH291" s="130"/>
      <c r="AR291" s="107" t="s">
        <v>63</v>
      </c>
      <c r="AT291" s="114" t="s">
        <v>57</v>
      </c>
      <c r="AU291" s="114" t="s">
        <v>58</v>
      </c>
      <c r="AY291" s="107" t="s">
        <v>228</v>
      </c>
      <c r="BK291" s="115">
        <f>BK292+SUM(BK293:BK307)+BK310</f>
        <v>7397.34</v>
      </c>
    </row>
    <row r="292" spans="2:65" s="1" customFormat="1" ht="24" customHeight="1" x14ac:dyDescent="0.2">
      <c r="B292" s="118"/>
      <c r="C292" s="205" t="s">
        <v>358</v>
      </c>
      <c r="D292" s="119" t="s">
        <v>231</v>
      </c>
      <c r="E292" s="120" t="s">
        <v>3643</v>
      </c>
      <c r="F292" s="121" t="s">
        <v>3644</v>
      </c>
      <c r="G292" s="122" t="s">
        <v>1194</v>
      </c>
      <c r="H292" s="206">
        <v>6</v>
      </c>
      <c r="I292" s="124">
        <v>149.91</v>
      </c>
      <c r="J292" s="124">
        <f>ROUND(I292*H292,2)</f>
        <v>899.46</v>
      </c>
      <c r="K292" s="121" t="s">
        <v>1</v>
      </c>
      <c r="L292" s="24"/>
      <c r="M292" s="125" t="s">
        <v>1</v>
      </c>
      <c r="N292" s="126" t="s">
        <v>32</v>
      </c>
      <c r="O292" s="127">
        <v>0</v>
      </c>
      <c r="P292" s="127">
        <f>O292*H292</f>
        <v>0</v>
      </c>
      <c r="Q292" s="127">
        <v>0</v>
      </c>
      <c r="R292" s="127">
        <f>Q292*H292</f>
        <v>0</v>
      </c>
      <c r="S292" s="127">
        <v>0</v>
      </c>
      <c r="T292" s="128">
        <f>S292*H292</f>
        <v>0</v>
      </c>
      <c r="W292" s="199"/>
      <c r="X292" s="205" t="s">
        <v>358</v>
      </c>
      <c r="Y292" s="119" t="s">
        <v>231</v>
      </c>
      <c r="Z292" s="120" t="s">
        <v>3643</v>
      </c>
      <c r="AA292" s="121" t="s">
        <v>3644</v>
      </c>
      <c r="AB292" s="122" t="s">
        <v>1194</v>
      </c>
      <c r="AC292" s="206">
        <v>7</v>
      </c>
      <c r="AD292" s="124">
        <v>149.91</v>
      </c>
      <c r="AE292" s="200">
        <f>ROUND(AD292*AC292,2)</f>
        <v>1049.3699999999999</v>
      </c>
      <c r="AF292" s="227">
        <v>7</v>
      </c>
      <c r="AG292" s="130"/>
      <c r="AH292" s="130"/>
      <c r="AR292" s="129" t="s">
        <v>235</v>
      </c>
      <c r="AT292" s="129" t="s">
        <v>231</v>
      </c>
      <c r="AU292" s="129" t="s">
        <v>63</v>
      </c>
      <c r="AY292" s="13" t="s">
        <v>228</v>
      </c>
      <c r="BE292" s="130">
        <f>IF(N292="základná",J292,0)</f>
        <v>0</v>
      </c>
      <c r="BF292" s="130">
        <f>IF(N292="znížená",J292,0)</f>
        <v>899.46</v>
      </c>
      <c r="BG292" s="130">
        <f>IF(N292="zákl. prenesená",J292,0)</f>
        <v>0</v>
      </c>
      <c r="BH292" s="130">
        <f>IF(N292="zníž. prenesená",J292,0)</f>
        <v>0</v>
      </c>
      <c r="BI292" s="130">
        <f>IF(N292="nulová",J292,0)</f>
        <v>0</v>
      </c>
      <c r="BJ292" s="13" t="s">
        <v>76</v>
      </c>
      <c r="BK292" s="130">
        <f>ROUND(I292*H292,2)</f>
        <v>899.46</v>
      </c>
      <c r="BL292" s="13" t="s">
        <v>235</v>
      </c>
      <c r="BM292" s="129" t="s">
        <v>486</v>
      </c>
    </row>
    <row r="293" spans="2:65" s="1" customFormat="1" ht="48" x14ac:dyDescent="0.2">
      <c r="B293" s="24"/>
      <c r="D293" s="144" t="s">
        <v>1259</v>
      </c>
      <c r="F293" s="145" t="s">
        <v>3645</v>
      </c>
      <c r="L293" s="24"/>
      <c r="M293" s="146"/>
      <c r="N293" s="42"/>
      <c r="O293" s="42"/>
      <c r="P293" s="42"/>
      <c r="Q293" s="42"/>
      <c r="R293" s="42"/>
      <c r="S293" s="42"/>
      <c r="T293" s="43"/>
      <c r="W293" s="158"/>
      <c r="X293" s="283"/>
      <c r="Y293" s="203" t="s">
        <v>1259</v>
      </c>
      <c r="Z293" s="283"/>
      <c r="AA293" s="204" t="s">
        <v>3645</v>
      </c>
      <c r="AB293" s="283"/>
      <c r="AC293" s="283"/>
      <c r="AD293" s="283"/>
      <c r="AE293" s="159"/>
      <c r="AF293" s="227"/>
      <c r="AG293" s="130"/>
      <c r="AH293" s="130"/>
      <c r="AT293" s="13" t="s">
        <v>1259</v>
      </c>
      <c r="AU293" s="13" t="s">
        <v>63</v>
      </c>
    </row>
    <row r="294" spans="2:65" s="1" customFormat="1" ht="16.5" customHeight="1" x14ac:dyDescent="0.2">
      <c r="B294" s="118"/>
      <c r="C294" s="119" t="s">
        <v>487</v>
      </c>
      <c r="D294" s="119" t="s">
        <v>231</v>
      </c>
      <c r="E294" s="120" t="s">
        <v>3646</v>
      </c>
      <c r="F294" s="121" t="s">
        <v>3647</v>
      </c>
      <c r="G294" s="122" t="s">
        <v>1194</v>
      </c>
      <c r="H294" s="123">
        <v>1</v>
      </c>
      <c r="I294" s="124">
        <v>136.79</v>
      </c>
      <c r="J294" s="124">
        <f t="shared" ref="J294:J306" si="45">ROUND(I294*H294,2)</f>
        <v>136.79</v>
      </c>
      <c r="K294" s="121" t="s">
        <v>1</v>
      </c>
      <c r="L294" s="24"/>
      <c r="M294" s="125" t="s">
        <v>1</v>
      </c>
      <c r="N294" s="126" t="s">
        <v>32</v>
      </c>
      <c r="O294" s="127">
        <v>0</v>
      </c>
      <c r="P294" s="127">
        <f t="shared" ref="P294:P306" si="46">O294*H294</f>
        <v>0</v>
      </c>
      <c r="Q294" s="127">
        <v>0</v>
      </c>
      <c r="R294" s="127">
        <f t="shared" ref="R294:R306" si="47">Q294*H294</f>
        <v>0</v>
      </c>
      <c r="S294" s="127">
        <v>0</v>
      </c>
      <c r="T294" s="128">
        <f t="shared" ref="T294:T306" si="48">S294*H294</f>
        <v>0</v>
      </c>
      <c r="W294" s="199"/>
      <c r="X294" s="119" t="s">
        <v>487</v>
      </c>
      <c r="Y294" s="119" t="s">
        <v>231</v>
      </c>
      <c r="Z294" s="120" t="s">
        <v>3646</v>
      </c>
      <c r="AA294" s="121" t="s">
        <v>3647</v>
      </c>
      <c r="AB294" s="122" t="s">
        <v>1194</v>
      </c>
      <c r="AC294" s="123">
        <v>1</v>
      </c>
      <c r="AD294" s="124">
        <v>136.79</v>
      </c>
      <c r="AE294" s="200">
        <f t="shared" ref="AE294:AE306" si="49">ROUND(AD294*AC294,2)</f>
        <v>136.79</v>
      </c>
      <c r="AF294" s="227"/>
      <c r="AG294" s="130"/>
      <c r="AH294" s="130"/>
      <c r="AR294" s="129" t="s">
        <v>235</v>
      </c>
      <c r="AT294" s="129" t="s">
        <v>231</v>
      </c>
      <c r="AU294" s="129" t="s">
        <v>63</v>
      </c>
      <c r="AY294" s="13" t="s">
        <v>228</v>
      </c>
      <c r="BE294" s="130">
        <f t="shared" ref="BE294:BE306" si="50">IF(N294="základná",J294,0)</f>
        <v>0</v>
      </c>
      <c r="BF294" s="130">
        <f t="shared" ref="BF294:BF306" si="51">IF(N294="znížená",J294,0)</f>
        <v>136.79</v>
      </c>
      <c r="BG294" s="130">
        <f t="shared" ref="BG294:BG306" si="52">IF(N294="zákl. prenesená",J294,0)</f>
        <v>0</v>
      </c>
      <c r="BH294" s="130">
        <f t="shared" ref="BH294:BH306" si="53">IF(N294="zníž. prenesená",J294,0)</f>
        <v>0</v>
      </c>
      <c r="BI294" s="130">
        <f t="shared" ref="BI294:BI306" si="54">IF(N294="nulová",J294,0)</f>
        <v>0</v>
      </c>
      <c r="BJ294" s="13" t="s">
        <v>76</v>
      </c>
      <c r="BK294" s="130">
        <f t="shared" ref="BK294:BK306" si="55">ROUND(I294*H294,2)</f>
        <v>136.79</v>
      </c>
      <c r="BL294" s="13" t="s">
        <v>235</v>
      </c>
      <c r="BM294" s="129" t="s">
        <v>490</v>
      </c>
    </row>
    <row r="295" spans="2:65" s="1" customFormat="1" ht="16.5" customHeight="1" x14ac:dyDescent="0.2">
      <c r="B295" s="118"/>
      <c r="C295" s="205" t="s">
        <v>361</v>
      </c>
      <c r="D295" s="119" t="s">
        <v>231</v>
      </c>
      <c r="E295" s="120" t="s">
        <v>3648</v>
      </c>
      <c r="F295" s="121" t="s">
        <v>3649</v>
      </c>
      <c r="G295" s="122" t="s">
        <v>1194</v>
      </c>
      <c r="H295" s="206">
        <v>3</v>
      </c>
      <c r="I295" s="124">
        <v>140.68</v>
      </c>
      <c r="J295" s="124">
        <f t="shared" si="45"/>
        <v>422.04</v>
      </c>
      <c r="K295" s="121" t="s">
        <v>1</v>
      </c>
      <c r="L295" s="24"/>
      <c r="M295" s="125" t="s">
        <v>1</v>
      </c>
      <c r="N295" s="126" t="s">
        <v>32</v>
      </c>
      <c r="O295" s="127">
        <v>0</v>
      </c>
      <c r="P295" s="127">
        <f t="shared" si="46"/>
        <v>0</v>
      </c>
      <c r="Q295" s="127">
        <v>0</v>
      </c>
      <c r="R295" s="127">
        <f t="shared" si="47"/>
        <v>0</v>
      </c>
      <c r="S295" s="127">
        <v>0</v>
      </c>
      <c r="T295" s="128">
        <f t="shared" si="48"/>
        <v>0</v>
      </c>
      <c r="W295" s="199"/>
      <c r="X295" s="205" t="s">
        <v>361</v>
      </c>
      <c r="Y295" s="119" t="s">
        <v>231</v>
      </c>
      <c r="Z295" s="120" t="s">
        <v>3648</v>
      </c>
      <c r="AA295" s="121" t="s">
        <v>3649</v>
      </c>
      <c r="AB295" s="122" t="s">
        <v>1194</v>
      </c>
      <c r="AC295" s="206">
        <v>0</v>
      </c>
      <c r="AD295" s="124">
        <v>140.68</v>
      </c>
      <c r="AE295" s="200">
        <f t="shared" si="49"/>
        <v>0</v>
      </c>
      <c r="AF295" s="227">
        <v>7</v>
      </c>
      <c r="AG295" s="130"/>
      <c r="AH295" s="130"/>
      <c r="AR295" s="129" t="s">
        <v>235</v>
      </c>
      <c r="AT295" s="129" t="s">
        <v>231</v>
      </c>
      <c r="AU295" s="129" t="s">
        <v>63</v>
      </c>
      <c r="AY295" s="13" t="s">
        <v>228</v>
      </c>
      <c r="BE295" s="130">
        <f t="shared" si="50"/>
        <v>0</v>
      </c>
      <c r="BF295" s="130">
        <f t="shared" si="51"/>
        <v>422.04</v>
      </c>
      <c r="BG295" s="130">
        <f t="shared" si="52"/>
        <v>0</v>
      </c>
      <c r="BH295" s="130">
        <f t="shared" si="53"/>
        <v>0</v>
      </c>
      <c r="BI295" s="130">
        <f t="shared" si="54"/>
        <v>0</v>
      </c>
      <c r="BJ295" s="13" t="s">
        <v>76</v>
      </c>
      <c r="BK295" s="130">
        <f t="shared" si="55"/>
        <v>422.04</v>
      </c>
      <c r="BL295" s="13" t="s">
        <v>235</v>
      </c>
      <c r="BM295" s="129" t="s">
        <v>493</v>
      </c>
    </row>
    <row r="296" spans="2:65" s="1" customFormat="1" ht="16.5" customHeight="1" x14ac:dyDescent="0.2">
      <c r="B296" s="118"/>
      <c r="C296" s="119" t="s">
        <v>494</v>
      </c>
      <c r="D296" s="119" t="s">
        <v>231</v>
      </c>
      <c r="E296" s="120" t="s">
        <v>3650</v>
      </c>
      <c r="F296" s="121" t="s">
        <v>3651</v>
      </c>
      <c r="G296" s="122" t="s">
        <v>1194</v>
      </c>
      <c r="H296" s="123">
        <v>1</v>
      </c>
      <c r="I296" s="124">
        <v>155.47</v>
      </c>
      <c r="J296" s="124">
        <f t="shared" si="45"/>
        <v>155.47</v>
      </c>
      <c r="K296" s="121" t="s">
        <v>1</v>
      </c>
      <c r="L296" s="24"/>
      <c r="M296" s="125" t="s">
        <v>1</v>
      </c>
      <c r="N296" s="126" t="s">
        <v>32</v>
      </c>
      <c r="O296" s="127">
        <v>0</v>
      </c>
      <c r="P296" s="127">
        <f t="shared" si="46"/>
        <v>0</v>
      </c>
      <c r="Q296" s="127">
        <v>0</v>
      </c>
      <c r="R296" s="127">
        <f t="shared" si="47"/>
        <v>0</v>
      </c>
      <c r="S296" s="127">
        <v>0</v>
      </c>
      <c r="T296" s="128">
        <f t="shared" si="48"/>
        <v>0</v>
      </c>
      <c r="W296" s="199"/>
      <c r="X296" s="119" t="s">
        <v>494</v>
      </c>
      <c r="Y296" s="119" t="s">
        <v>231</v>
      </c>
      <c r="Z296" s="120" t="s">
        <v>3650</v>
      </c>
      <c r="AA296" s="121" t="s">
        <v>3651</v>
      </c>
      <c r="AB296" s="122" t="s">
        <v>1194</v>
      </c>
      <c r="AC296" s="123">
        <v>1</v>
      </c>
      <c r="AD296" s="124">
        <v>155.47</v>
      </c>
      <c r="AE296" s="200">
        <f t="shared" si="49"/>
        <v>155.47</v>
      </c>
      <c r="AF296" s="227"/>
      <c r="AG296" s="130"/>
      <c r="AH296" s="130"/>
      <c r="AR296" s="129" t="s">
        <v>235</v>
      </c>
      <c r="AT296" s="129" t="s">
        <v>231</v>
      </c>
      <c r="AU296" s="129" t="s">
        <v>63</v>
      </c>
      <c r="AY296" s="13" t="s">
        <v>228</v>
      </c>
      <c r="BE296" s="130">
        <f t="shared" si="50"/>
        <v>0</v>
      </c>
      <c r="BF296" s="130">
        <f t="shared" si="51"/>
        <v>155.47</v>
      </c>
      <c r="BG296" s="130">
        <f t="shared" si="52"/>
        <v>0</v>
      </c>
      <c r="BH296" s="130">
        <f t="shared" si="53"/>
        <v>0</v>
      </c>
      <c r="BI296" s="130">
        <f t="shared" si="54"/>
        <v>0</v>
      </c>
      <c r="BJ296" s="13" t="s">
        <v>76</v>
      </c>
      <c r="BK296" s="130">
        <f t="shared" si="55"/>
        <v>155.47</v>
      </c>
      <c r="BL296" s="13" t="s">
        <v>235</v>
      </c>
      <c r="BM296" s="129" t="s">
        <v>497</v>
      </c>
    </row>
    <row r="297" spans="2:65" s="1" customFormat="1" ht="16.5" customHeight="1" x14ac:dyDescent="0.2">
      <c r="B297" s="118"/>
      <c r="C297" s="205" t="s">
        <v>365</v>
      </c>
      <c r="D297" s="119" t="s">
        <v>231</v>
      </c>
      <c r="E297" s="120" t="s">
        <v>3652</v>
      </c>
      <c r="F297" s="121" t="s">
        <v>3653</v>
      </c>
      <c r="G297" s="122" t="s">
        <v>1194</v>
      </c>
      <c r="H297" s="206">
        <v>2</v>
      </c>
      <c r="I297" s="124">
        <v>157.15</v>
      </c>
      <c r="J297" s="124">
        <f t="shared" si="45"/>
        <v>314.3</v>
      </c>
      <c r="K297" s="121" t="s">
        <v>1</v>
      </c>
      <c r="L297" s="24"/>
      <c r="M297" s="125" t="s">
        <v>1</v>
      </c>
      <c r="N297" s="126" t="s">
        <v>32</v>
      </c>
      <c r="O297" s="127">
        <v>0</v>
      </c>
      <c r="P297" s="127">
        <f t="shared" si="46"/>
        <v>0</v>
      </c>
      <c r="Q297" s="127">
        <v>0</v>
      </c>
      <c r="R297" s="127">
        <f t="shared" si="47"/>
        <v>0</v>
      </c>
      <c r="S297" s="127">
        <v>0</v>
      </c>
      <c r="T297" s="128">
        <f t="shared" si="48"/>
        <v>0</v>
      </c>
      <c r="W297" s="199"/>
      <c r="X297" s="205" t="s">
        <v>365</v>
      </c>
      <c r="Y297" s="119" t="s">
        <v>231</v>
      </c>
      <c r="Z297" s="120" t="s">
        <v>3652</v>
      </c>
      <c r="AA297" s="121" t="s">
        <v>3653</v>
      </c>
      <c r="AB297" s="122" t="s">
        <v>1194</v>
      </c>
      <c r="AC297" s="206">
        <v>3</v>
      </c>
      <c r="AD297" s="124">
        <v>157.15</v>
      </c>
      <c r="AE297" s="200">
        <f t="shared" si="49"/>
        <v>471.45</v>
      </c>
      <c r="AF297" s="227">
        <v>7</v>
      </c>
      <c r="AG297" s="130"/>
      <c r="AH297" s="130"/>
      <c r="AR297" s="129" t="s">
        <v>235</v>
      </c>
      <c r="AT297" s="129" t="s">
        <v>231</v>
      </c>
      <c r="AU297" s="129" t="s">
        <v>63</v>
      </c>
      <c r="AY297" s="13" t="s">
        <v>228</v>
      </c>
      <c r="BE297" s="130">
        <f t="shared" si="50"/>
        <v>0</v>
      </c>
      <c r="BF297" s="130">
        <f t="shared" si="51"/>
        <v>314.3</v>
      </c>
      <c r="BG297" s="130">
        <f t="shared" si="52"/>
        <v>0</v>
      </c>
      <c r="BH297" s="130">
        <f t="shared" si="53"/>
        <v>0</v>
      </c>
      <c r="BI297" s="130">
        <f t="shared" si="54"/>
        <v>0</v>
      </c>
      <c r="BJ297" s="13" t="s">
        <v>76</v>
      </c>
      <c r="BK297" s="130">
        <f t="shared" si="55"/>
        <v>314.3</v>
      </c>
      <c r="BL297" s="13" t="s">
        <v>235</v>
      </c>
      <c r="BM297" s="129" t="s">
        <v>500</v>
      </c>
    </row>
    <row r="298" spans="2:65" s="1" customFormat="1" ht="16.5" customHeight="1" x14ac:dyDescent="0.2">
      <c r="B298" s="118"/>
      <c r="C298" s="205" t="s">
        <v>501</v>
      </c>
      <c r="D298" s="119" t="s">
        <v>231</v>
      </c>
      <c r="E298" s="120" t="s">
        <v>3654</v>
      </c>
      <c r="F298" s="121" t="s">
        <v>3655</v>
      </c>
      <c r="G298" s="122" t="s">
        <v>1194</v>
      </c>
      <c r="H298" s="206">
        <v>3</v>
      </c>
      <c r="I298" s="124">
        <v>163.68</v>
      </c>
      <c r="J298" s="124">
        <f t="shared" si="45"/>
        <v>491.04</v>
      </c>
      <c r="K298" s="121" t="s">
        <v>1</v>
      </c>
      <c r="L298" s="24"/>
      <c r="M298" s="125" t="s">
        <v>1</v>
      </c>
      <c r="N298" s="126" t="s">
        <v>32</v>
      </c>
      <c r="O298" s="127">
        <v>0</v>
      </c>
      <c r="P298" s="127">
        <f t="shared" si="46"/>
        <v>0</v>
      </c>
      <c r="Q298" s="127">
        <v>0</v>
      </c>
      <c r="R298" s="127">
        <f t="shared" si="47"/>
        <v>0</v>
      </c>
      <c r="S298" s="127">
        <v>0</v>
      </c>
      <c r="T298" s="128">
        <f t="shared" si="48"/>
        <v>0</v>
      </c>
      <c r="W298" s="199"/>
      <c r="X298" s="205" t="s">
        <v>501</v>
      </c>
      <c r="Y298" s="119" t="s">
        <v>231</v>
      </c>
      <c r="Z298" s="120" t="s">
        <v>3654</v>
      </c>
      <c r="AA298" s="121" t="s">
        <v>3655</v>
      </c>
      <c r="AB298" s="122" t="s">
        <v>1194</v>
      </c>
      <c r="AC298" s="206">
        <v>4</v>
      </c>
      <c r="AD298" s="124">
        <v>163.68</v>
      </c>
      <c r="AE298" s="200">
        <f t="shared" si="49"/>
        <v>654.72</v>
      </c>
      <c r="AF298" s="227">
        <v>7</v>
      </c>
      <c r="AG298" s="130"/>
      <c r="AH298" s="130"/>
      <c r="AR298" s="129" t="s">
        <v>235</v>
      </c>
      <c r="AT298" s="129" t="s">
        <v>231</v>
      </c>
      <c r="AU298" s="129" t="s">
        <v>63</v>
      </c>
      <c r="AY298" s="13" t="s">
        <v>228</v>
      </c>
      <c r="BE298" s="130">
        <f t="shared" si="50"/>
        <v>0</v>
      </c>
      <c r="BF298" s="130">
        <f t="shared" si="51"/>
        <v>491.04</v>
      </c>
      <c r="BG298" s="130">
        <f t="shared" si="52"/>
        <v>0</v>
      </c>
      <c r="BH298" s="130">
        <f t="shared" si="53"/>
        <v>0</v>
      </c>
      <c r="BI298" s="130">
        <f t="shared" si="54"/>
        <v>0</v>
      </c>
      <c r="BJ298" s="13" t="s">
        <v>76</v>
      </c>
      <c r="BK298" s="130">
        <f t="shared" si="55"/>
        <v>491.04</v>
      </c>
      <c r="BL298" s="13" t="s">
        <v>235</v>
      </c>
      <c r="BM298" s="129" t="s">
        <v>504</v>
      </c>
    </row>
    <row r="299" spans="2:65" s="1" customFormat="1" ht="16.5" customHeight="1" x14ac:dyDescent="0.2">
      <c r="B299" s="118"/>
      <c r="C299" s="119" t="s">
        <v>368</v>
      </c>
      <c r="D299" s="119" t="s">
        <v>231</v>
      </c>
      <c r="E299" s="120" t="s">
        <v>3656</v>
      </c>
      <c r="F299" s="121" t="s">
        <v>3657</v>
      </c>
      <c r="G299" s="122" t="s">
        <v>1194</v>
      </c>
      <c r="H299" s="123">
        <v>5</v>
      </c>
      <c r="I299" s="124">
        <v>176.75</v>
      </c>
      <c r="J299" s="124">
        <f t="shared" si="45"/>
        <v>883.75</v>
      </c>
      <c r="K299" s="121" t="s">
        <v>1</v>
      </c>
      <c r="L299" s="24"/>
      <c r="M299" s="125" t="s">
        <v>1</v>
      </c>
      <c r="N299" s="126" t="s">
        <v>32</v>
      </c>
      <c r="O299" s="127">
        <v>0</v>
      </c>
      <c r="P299" s="127">
        <f t="shared" si="46"/>
        <v>0</v>
      </c>
      <c r="Q299" s="127">
        <v>0</v>
      </c>
      <c r="R299" s="127">
        <f t="shared" si="47"/>
        <v>0</v>
      </c>
      <c r="S299" s="127">
        <v>0</v>
      </c>
      <c r="T299" s="128">
        <f t="shared" si="48"/>
        <v>0</v>
      </c>
      <c r="W299" s="199"/>
      <c r="X299" s="119" t="s">
        <v>368</v>
      </c>
      <c r="Y299" s="119" t="s">
        <v>231</v>
      </c>
      <c r="Z299" s="120" t="s">
        <v>3656</v>
      </c>
      <c r="AA299" s="121" t="s">
        <v>3657</v>
      </c>
      <c r="AB299" s="122" t="s">
        <v>1194</v>
      </c>
      <c r="AC299" s="123">
        <v>5</v>
      </c>
      <c r="AD299" s="124">
        <v>176.75</v>
      </c>
      <c r="AE299" s="200">
        <f t="shared" si="49"/>
        <v>883.75</v>
      </c>
      <c r="AF299" s="227"/>
      <c r="AG299" s="130"/>
      <c r="AH299" s="130"/>
      <c r="AR299" s="129" t="s">
        <v>235</v>
      </c>
      <c r="AT299" s="129" t="s">
        <v>231</v>
      </c>
      <c r="AU299" s="129" t="s">
        <v>63</v>
      </c>
      <c r="AY299" s="13" t="s">
        <v>228</v>
      </c>
      <c r="BE299" s="130">
        <f t="shared" si="50"/>
        <v>0</v>
      </c>
      <c r="BF299" s="130">
        <f t="shared" si="51"/>
        <v>883.75</v>
      </c>
      <c r="BG299" s="130">
        <f t="shared" si="52"/>
        <v>0</v>
      </c>
      <c r="BH299" s="130">
        <f t="shared" si="53"/>
        <v>0</v>
      </c>
      <c r="BI299" s="130">
        <f t="shared" si="54"/>
        <v>0</v>
      </c>
      <c r="BJ299" s="13" t="s">
        <v>76</v>
      </c>
      <c r="BK299" s="130">
        <f t="shared" si="55"/>
        <v>883.75</v>
      </c>
      <c r="BL299" s="13" t="s">
        <v>235</v>
      </c>
      <c r="BM299" s="129" t="s">
        <v>507</v>
      </c>
    </row>
    <row r="300" spans="2:65" s="1" customFormat="1" ht="16.5" customHeight="1" x14ac:dyDescent="0.2">
      <c r="B300" s="118"/>
      <c r="C300" s="119" t="s">
        <v>508</v>
      </c>
      <c r="D300" s="119" t="s">
        <v>231</v>
      </c>
      <c r="E300" s="120" t="s">
        <v>3658</v>
      </c>
      <c r="F300" s="121" t="s">
        <v>3659</v>
      </c>
      <c r="G300" s="122" t="s">
        <v>1194</v>
      </c>
      <c r="H300" s="123">
        <v>4</v>
      </c>
      <c r="I300" s="124">
        <v>183.28</v>
      </c>
      <c r="J300" s="124">
        <f t="shared" si="45"/>
        <v>733.12</v>
      </c>
      <c r="K300" s="121" t="s">
        <v>1</v>
      </c>
      <c r="L300" s="24"/>
      <c r="M300" s="125" t="s">
        <v>1</v>
      </c>
      <c r="N300" s="126" t="s">
        <v>32</v>
      </c>
      <c r="O300" s="127">
        <v>0</v>
      </c>
      <c r="P300" s="127">
        <f t="shared" si="46"/>
        <v>0</v>
      </c>
      <c r="Q300" s="127">
        <v>0</v>
      </c>
      <c r="R300" s="127">
        <f t="shared" si="47"/>
        <v>0</v>
      </c>
      <c r="S300" s="127">
        <v>0</v>
      </c>
      <c r="T300" s="128">
        <f t="shared" si="48"/>
        <v>0</v>
      </c>
      <c r="W300" s="199"/>
      <c r="X300" s="119" t="s">
        <v>508</v>
      </c>
      <c r="Y300" s="119" t="s">
        <v>231</v>
      </c>
      <c r="Z300" s="120" t="s">
        <v>3658</v>
      </c>
      <c r="AA300" s="121" t="s">
        <v>3659</v>
      </c>
      <c r="AB300" s="122" t="s">
        <v>1194</v>
      </c>
      <c r="AC300" s="123">
        <v>4</v>
      </c>
      <c r="AD300" s="124">
        <v>183.28</v>
      </c>
      <c r="AE300" s="200">
        <f t="shared" si="49"/>
        <v>733.12</v>
      </c>
      <c r="AF300" s="227"/>
      <c r="AG300" s="130"/>
      <c r="AH300" s="130"/>
      <c r="AR300" s="129" t="s">
        <v>235</v>
      </c>
      <c r="AT300" s="129" t="s">
        <v>231</v>
      </c>
      <c r="AU300" s="129" t="s">
        <v>63</v>
      </c>
      <c r="AY300" s="13" t="s">
        <v>228</v>
      </c>
      <c r="BE300" s="130">
        <f t="shared" si="50"/>
        <v>0</v>
      </c>
      <c r="BF300" s="130">
        <f t="shared" si="51"/>
        <v>733.12</v>
      </c>
      <c r="BG300" s="130">
        <f t="shared" si="52"/>
        <v>0</v>
      </c>
      <c r="BH300" s="130">
        <f t="shared" si="53"/>
        <v>0</v>
      </c>
      <c r="BI300" s="130">
        <f t="shared" si="54"/>
        <v>0</v>
      </c>
      <c r="BJ300" s="13" t="s">
        <v>76</v>
      </c>
      <c r="BK300" s="130">
        <f t="shared" si="55"/>
        <v>733.12</v>
      </c>
      <c r="BL300" s="13" t="s">
        <v>235</v>
      </c>
      <c r="BM300" s="129" t="s">
        <v>511</v>
      </c>
    </row>
    <row r="301" spans="2:65" s="1" customFormat="1" ht="16.5" customHeight="1" x14ac:dyDescent="0.2">
      <c r="B301" s="118"/>
      <c r="C301" s="119" t="s">
        <v>372</v>
      </c>
      <c r="D301" s="119" t="s">
        <v>231</v>
      </c>
      <c r="E301" s="120" t="s">
        <v>3660</v>
      </c>
      <c r="F301" s="121" t="s">
        <v>3661</v>
      </c>
      <c r="G301" s="122" t="s">
        <v>1194</v>
      </c>
      <c r="H301" s="123">
        <v>5</v>
      </c>
      <c r="I301" s="124">
        <v>189.81</v>
      </c>
      <c r="J301" s="124">
        <f t="shared" si="45"/>
        <v>949.05</v>
      </c>
      <c r="K301" s="121" t="s">
        <v>1</v>
      </c>
      <c r="L301" s="24"/>
      <c r="M301" s="125" t="s">
        <v>1</v>
      </c>
      <c r="N301" s="126" t="s">
        <v>32</v>
      </c>
      <c r="O301" s="127">
        <v>0</v>
      </c>
      <c r="P301" s="127">
        <f t="shared" si="46"/>
        <v>0</v>
      </c>
      <c r="Q301" s="127">
        <v>0</v>
      </c>
      <c r="R301" s="127">
        <f t="shared" si="47"/>
        <v>0</v>
      </c>
      <c r="S301" s="127">
        <v>0</v>
      </c>
      <c r="T301" s="128">
        <f t="shared" si="48"/>
        <v>0</v>
      </c>
      <c r="W301" s="199"/>
      <c r="X301" s="119" t="s">
        <v>372</v>
      </c>
      <c r="Y301" s="119" t="s">
        <v>231</v>
      </c>
      <c r="Z301" s="120" t="s">
        <v>3660</v>
      </c>
      <c r="AA301" s="121" t="s">
        <v>3661</v>
      </c>
      <c r="AB301" s="122" t="s">
        <v>1194</v>
      </c>
      <c r="AC301" s="123">
        <v>5</v>
      </c>
      <c r="AD301" s="124">
        <v>189.81</v>
      </c>
      <c r="AE301" s="200">
        <f t="shared" si="49"/>
        <v>949.05</v>
      </c>
      <c r="AF301" s="227"/>
      <c r="AG301" s="130"/>
      <c r="AH301" s="130"/>
      <c r="AR301" s="129" t="s">
        <v>235</v>
      </c>
      <c r="AT301" s="129" t="s">
        <v>231</v>
      </c>
      <c r="AU301" s="129" t="s">
        <v>63</v>
      </c>
      <c r="AY301" s="13" t="s">
        <v>228</v>
      </c>
      <c r="BE301" s="130">
        <f t="shared" si="50"/>
        <v>0</v>
      </c>
      <c r="BF301" s="130">
        <f t="shared" si="51"/>
        <v>949.05</v>
      </c>
      <c r="BG301" s="130">
        <f t="shared" si="52"/>
        <v>0</v>
      </c>
      <c r="BH301" s="130">
        <f t="shared" si="53"/>
        <v>0</v>
      </c>
      <c r="BI301" s="130">
        <f t="shared" si="54"/>
        <v>0</v>
      </c>
      <c r="BJ301" s="13" t="s">
        <v>76</v>
      </c>
      <c r="BK301" s="130">
        <f t="shared" si="55"/>
        <v>949.05</v>
      </c>
      <c r="BL301" s="13" t="s">
        <v>235</v>
      </c>
      <c r="BM301" s="129" t="s">
        <v>514</v>
      </c>
    </row>
    <row r="302" spans="2:65" s="1" customFormat="1" ht="16.5" customHeight="1" x14ac:dyDescent="0.2">
      <c r="B302" s="118"/>
      <c r="C302" s="119" t="s">
        <v>515</v>
      </c>
      <c r="D302" s="119" t="s">
        <v>231</v>
      </c>
      <c r="E302" s="120" t="s">
        <v>3662</v>
      </c>
      <c r="F302" s="121" t="s">
        <v>3663</v>
      </c>
      <c r="G302" s="122" t="s">
        <v>1194</v>
      </c>
      <c r="H302" s="123">
        <v>4</v>
      </c>
      <c r="I302" s="124">
        <v>213.12</v>
      </c>
      <c r="J302" s="124">
        <f t="shared" si="45"/>
        <v>852.48</v>
      </c>
      <c r="K302" s="121" t="s">
        <v>1</v>
      </c>
      <c r="L302" s="24"/>
      <c r="M302" s="125" t="s">
        <v>1</v>
      </c>
      <c r="N302" s="126" t="s">
        <v>32</v>
      </c>
      <c r="O302" s="127">
        <v>0</v>
      </c>
      <c r="P302" s="127">
        <f t="shared" si="46"/>
        <v>0</v>
      </c>
      <c r="Q302" s="127">
        <v>0</v>
      </c>
      <c r="R302" s="127">
        <f t="shared" si="47"/>
        <v>0</v>
      </c>
      <c r="S302" s="127">
        <v>0</v>
      </c>
      <c r="T302" s="128">
        <f t="shared" si="48"/>
        <v>0</v>
      </c>
      <c r="W302" s="199"/>
      <c r="X302" s="119" t="s">
        <v>515</v>
      </c>
      <c r="Y302" s="119" t="s">
        <v>231</v>
      </c>
      <c r="Z302" s="120" t="s">
        <v>3662</v>
      </c>
      <c r="AA302" s="121" t="s">
        <v>3663</v>
      </c>
      <c r="AB302" s="122" t="s">
        <v>1194</v>
      </c>
      <c r="AC302" s="123">
        <v>4</v>
      </c>
      <c r="AD302" s="124">
        <v>213.12</v>
      </c>
      <c r="AE302" s="200">
        <f t="shared" si="49"/>
        <v>852.48</v>
      </c>
      <c r="AF302" s="227"/>
      <c r="AG302" s="130"/>
      <c r="AH302" s="130"/>
      <c r="AR302" s="129" t="s">
        <v>235</v>
      </c>
      <c r="AT302" s="129" t="s">
        <v>231</v>
      </c>
      <c r="AU302" s="129" t="s">
        <v>63</v>
      </c>
      <c r="AY302" s="13" t="s">
        <v>228</v>
      </c>
      <c r="BE302" s="130">
        <f t="shared" si="50"/>
        <v>0</v>
      </c>
      <c r="BF302" s="130">
        <f t="shared" si="51"/>
        <v>852.48</v>
      </c>
      <c r="BG302" s="130">
        <f t="shared" si="52"/>
        <v>0</v>
      </c>
      <c r="BH302" s="130">
        <f t="shared" si="53"/>
        <v>0</v>
      </c>
      <c r="BI302" s="130">
        <f t="shared" si="54"/>
        <v>0</v>
      </c>
      <c r="BJ302" s="13" t="s">
        <v>76</v>
      </c>
      <c r="BK302" s="130">
        <f t="shared" si="55"/>
        <v>852.48</v>
      </c>
      <c r="BL302" s="13" t="s">
        <v>235</v>
      </c>
      <c r="BM302" s="129" t="s">
        <v>518</v>
      </c>
    </row>
    <row r="303" spans="2:65" s="1" customFormat="1" ht="16.5" customHeight="1" x14ac:dyDescent="0.2">
      <c r="B303" s="118"/>
      <c r="C303" s="119" t="s">
        <v>375</v>
      </c>
      <c r="D303" s="119" t="s">
        <v>231</v>
      </c>
      <c r="E303" s="120" t="s">
        <v>3664</v>
      </c>
      <c r="F303" s="121" t="s">
        <v>3665</v>
      </c>
      <c r="G303" s="122" t="s">
        <v>1194</v>
      </c>
      <c r="H303" s="123">
        <v>1</v>
      </c>
      <c r="I303" s="124">
        <v>226.19</v>
      </c>
      <c r="J303" s="124">
        <f t="shared" si="45"/>
        <v>226.19</v>
      </c>
      <c r="K303" s="121" t="s">
        <v>1</v>
      </c>
      <c r="L303" s="24"/>
      <c r="M303" s="125" t="s">
        <v>1</v>
      </c>
      <c r="N303" s="126" t="s">
        <v>32</v>
      </c>
      <c r="O303" s="127">
        <v>0</v>
      </c>
      <c r="P303" s="127">
        <f t="shared" si="46"/>
        <v>0</v>
      </c>
      <c r="Q303" s="127">
        <v>0</v>
      </c>
      <c r="R303" s="127">
        <f t="shared" si="47"/>
        <v>0</v>
      </c>
      <c r="S303" s="127">
        <v>0</v>
      </c>
      <c r="T303" s="128">
        <f t="shared" si="48"/>
        <v>0</v>
      </c>
      <c r="W303" s="199"/>
      <c r="X303" s="119" t="s">
        <v>375</v>
      </c>
      <c r="Y303" s="119" t="s">
        <v>231</v>
      </c>
      <c r="Z303" s="120" t="s">
        <v>3664</v>
      </c>
      <c r="AA303" s="121" t="s">
        <v>3665</v>
      </c>
      <c r="AB303" s="122" t="s">
        <v>1194</v>
      </c>
      <c r="AC303" s="123">
        <v>1</v>
      </c>
      <c r="AD303" s="124">
        <v>226.19</v>
      </c>
      <c r="AE303" s="200">
        <f t="shared" si="49"/>
        <v>226.19</v>
      </c>
      <c r="AF303" s="227"/>
      <c r="AG303" s="130"/>
      <c r="AH303" s="130"/>
      <c r="AR303" s="129" t="s">
        <v>235</v>
      </c>
      <c r="AT303" s="129" t="s">
        <v>231</v>
      </c>
      <c r="AU303" s="129" t="s">
        <v>63</v>
      </c>
      <c r="AY303" s="13" t="s">
        <v>228</v>
      </c>
      <c r="BE303" s="130">
        <f t="shared" si="50"/>
        <v>0</v>
      </c>
      <c r="BF303" s="130">
        <f t="shared" si="51"/>
        <v>226.19</v>
      </c>
      <c r="BG303" s="130">
        <f t="shared" si="52"/>
        <v>0</v>
      </c>
      <c r="BH303" s="130">
        <f t="shared" si="53"/>
        <v>0</v>
      </c>
      <c r="BI303" s="130">
        <f t="shared" si="54"/>
        <v>0</v>
      </c>
      <c r="BJ303" s="13" t="s">
        <v>76</v>
      </c>
      <c r="BK303" s="130">
        <f t="shared" si="55"/>
        <v>226.19</v>
      </c>
      <c r="BL303" s="13" t="s">
        <v>235</v>
      </c>
      <c r="BM303" s="129" t="s">
        <v>521</v>
      </c>
    </row>
    <row r="304" spans="2:65" s="1" customFormat="1" ht="16.5" customHeight="1" x14ac:dyDescent="0.2">
      <c r="B304" s="118"/>
      <c r="C304" s="205" t="s">
        <v>522</v>
      </c>
      <c r="D304" s="119" t="s">
        <v>231</v>
      </c>
      <c r="E304" s="120" t="s">
        <v>3666</v>
      </c>
      <c r="F304" s="121" t="s">
        <v>3667</v>
      </c>
      <c r="G304" s="122" t="s">
        <v>1194</v>
      </c>
      <c r="H304" s="206">
        <v>35</v>
      </c>
      <c r="I304" s="124">
        <v>4.0599999999999996</v>
      </c>
      <c r="J304" s="124">
        <f t="shared" si="45"/>
        <v>142.1</v>
      </c>
      <c r="K304" s="121" t="s">
        <v>1</v>
      </c>
      <c r="L304" s="24"/>
      <c r="M304" s="125" t="s">
        <v>1</v>
      </c>
      <c r="N304" s="126" t="s">
        <v>32</v>
      </c>
      <c r="O304" s="127">
        <v>0</v>
      </c>
      <c r="P304" s="127">
        <f t="shared" si="46"/>
        <v>0</v>
      </c>
      <c r="Q304" s="127">
        <v>0</v>
      </c>
      <c r="R304" s="127">
        <f t="shared" si="47"/>
        <v>0</v>
      </c>
      <c r="S304" s="127">
        <v>0</v>
      </c>
      <c r="T304" s="128">
        <f t="shared" si="48"/>
        <v>0</v>
      </c>
      <c r="W304" s="199"/>
      <c r="X304" s="205" t="s">
        <v>522</v>
      </c>
      <c r="Y304" s="119" t="s">
        <v>231</v>
      </c>
      <c r="Z304" s="120" t="s">
        <v>3666</v>
      </c>
      <c r="AA304" s="121" t="s">
        <v>3667</v>
      </c>
      <c r="AB304" s="122" t="s">
        <v>1194</v>
      </c>
      <c r="AC304" s="206">
        <v>28</v>
      </c>
      <c r="AD304" s="124">
        <v>4.0599999999999996</v>
      </c>
      <c r="AE304" s="200">
        <f t="shared" si="49"/>
        <v>113.68</v>
      </c>
      <c r="AF304" s="227">
        <v>7</v>
      </c>
      <c r="AG304" s="130"/>
      <c r="AH304" s="130"/>
      <c r="AR304" s="129" t="s">
        <v>235</v>
      </c>
      <c r="AT304" s="129" t="s">
        <v>231</v>
      </c>
      <c r="AU304" s="129" t="s">
        <v>63</v>
      </c>
      <c r="AY304" s="13" t="s">
        <v>228</v>
      </c>
      <c r="BE304" s="130">
        <f t="shared" si="50"/>
        <v>0</v>
      </c>
      <c r="BF304" s="130">
        <f t="shared" si="51"/>
        <v>142.1</v>
      </c>
      <c r="BG304" s="130">
        <f t="shared" si="52"/>
        <v>0</v>
      </c>
      <c r="BH304" s="130">
        <f t="shared" si="53"/>
        <v>0</v>
      </c>
      <c r="BI304" s="130">
        <f t="shared" si="54"/>
        <v>0</v>
      </c>
      <c r="BJ304" s="13" t="s">
        <v>76</v>
      </c>
      <c r="BK304" s="130">
        <f t="shared" si="55"/>
        <v>142.1</v>
      </c>
      <c r="BL304" s="13" t="s">
        <v>235</v>
      </c>
      <c r="BM304" s="129" t="s">
        <v>525</v>
      </c>
    </row>
    <row r="305" spans="2:65" s="151" customFormat="1" ht="16.5" customHeight="1" x14ac:dyDescent="0.2">
      <c r="B305" s="118"/>
      <c r="C305" s="1234" t="s">
        <v>5205</v>
      </c>
      <c r="D305" s="1235"/>
      <c r="E305" s="1235"/>
      <c r="F305" s="1235"/>
      <c r="G305" s="1235"/>
      <c r="H305" s="1235"/>
      <c r="I305" s="1235"/>
      <c r="J305" s="1236"/>
      <c r="K305" s="121"/>
      <c r="L305" s="24"/>
      <c r="M305" s="125"/>
      <c r="N305" s="126"/>
      <c r="O305" s="127"/>
      <c r="P305" s="127"/>
      <c r="Q305" s="127"/>
      <c r="R305" s="127"/>
      <c r="S305" s="127"/>
      <c r="T305" s="128"/>
      <c r="W305" s="199"/>
      <c r="X305" s="215" t="s">
        <v>5258</v>
      </c>
      <c r="Y305" s="215" t="s">
        <v>231</v>
      </c>
      <c r="Z305" s="216" t="s">
        <v>5256</v>
      </c>
      <c r="AA305" s="217" t="s">
        <v>5257</v>
      </c>
      <c r="AB305" s="218" t="s">
        <v>1194</v>
      </c>
      <c r="AC305" s="219">
        <v>14</v>
      </c>
      <c r="AD305" s="220">
        <v>25</v>
      </c>
      <c r="AE305" s="221">
        <f t="shared" si="49"/>
        <v>350</v>
      </c>
      <c r="AF305" s="227">
        <v>7</v>
      </c>
      <c r="AG305" s="130"/>
      <c r="AH305" s="130"/>
      <c r="AR305" s="129"/>
      <c r="AT305" s="129"/>
      <c r="AU305" s="129"/>
      <c r="AY305" s="13"/>
      <c r="BE305" s="130"/>
      <c r="BF305" s="130"/>
      <c r="BG305" s="130"/>
      <c r="BH305" s="130"/>
      <c r="BI305" s="130"/>
      <c r="BJ305" s="13"/>
      <c r="BK305" s="130"/>
      <c r="BL305" s="13"/>
      <c r="BM305" s="129"/>
    </row>
    <row r="306" spans="2:65" s="1" customFormat="1" ht="16.5" customHeight="1" x14ac:dyDescent="0.2">
      <c r="B306" s="118"/>
      <c r="C306" s="119" t="s">
        <v>379</v>
      </c>
      <c r="D306" s="119" t="s">
        <v>231</v>
      </c>
      <c r="E306" s="120" t="s">
        <v>3668</v>
      </c>
      <c r="F306" s="121" t="s">
        <v>3669</v>
      </c>
      <c r="G306" s="122" t="s">
        <v>1194</v>
      </c>
      <c r="H306" s="123">
        <v>35</v>
      </c>
      <c r="I306" s="124">
        <v>2.29</v>
      </c>
      <c r="J306" s="124">
        <f t="shared" si="45"/>
        <v>80.150000000000006</v>
      </c>
      <c r="K306" s="121" t="s">
        <v>1</v>
      </c>
      <c r="L306" s="24"/>
      <c r="M306" s="125" t="s">
        <v>1</v>
      </c>
      <c r="N306" s="126" t="s">
        <v>32</v>
      </c>
      <c r="O306" s="127">
        <v>0</v>
      </c>
      <c r="P306" s="127">
        <f t="shared" si="46"/>
        <v>0</v>
      </c>
      <c r="Q306" s="127">
        <v>0</v>
      </c>
      <c r="R306" s="127">
        <f t="shared" si="47"/>
        <v>0</v>
      </c>
      <c r="S306" s="127">
        <v>0</v>
      </c>
      <c r="T306" s="128">
        <f t="shared" si="48"/>
        <v>0</v>
      </c>
      <c r="W306" s="199"/>
      <c r="X306" s="119" t="s">
        <v>379</v>
      </c>
      <c r="Y306" s="119" t="s">
        <v>231</v>
      </c>
      <c r="Z306" s="120" t="s">
        <v>3668</v>
      </c>
      <c r="AA306" s="121" t="s">
        <v>3669</v>
      </c>
      <c r="AB306" s="122" t="s">
        <v>1194</v>
      </c>
      <c r="AC306" s="123">
        <v>35</v>
      </c>
      <c r="AD306" s="124">
        <v>2.29</v>
      </c>
      <c r="AE306" s="200">
        <f t="shared" si="49"/>
        <v>80.150000000000006</v>
      </c>
      <c r="AF306" s="227"/>
      <c r="AG306" s="130"/>
      <c r="AH306" s="130"/>
      <c r="AR306" s="129" t="s">
        <v>235</v>
      </c>
      <c r="AT306" s="129" t="s">
        <v>231</v>
      </c>
      <c r="AU306" s="129" t="s">
        <v>63</v>
      </c>
      <c r="AY306" s="13" t="s">
        <v>228</v>
      </c>
      <c r="BE306" s="130">
        <f t="shared" si="50"/>
        <v>0</v>
      </c>
      <c r="BF306" s="130">
        <f t="shared" si="51"/>
        <v>80.150000000000006</v>
      </c>
      <c r="BG306" s="130">
        <f t="shared" si="52"/>
        <v>0</v>
      </c>
      <c r="BH306" s="130">
        <f t="shared" si="53"/>
        <v>0</v>
      </c>
      <c r="BI306" s="130">
        <f t="shared" si="54"/>
        <v>0</v>
      </c>
      <c r="BJ306" s="13" t="s">
        <v>76</v>
      </c>
      <c r="BK306" s="130">
        <f t="shared" si="55"/>
        <v>80.150000000000006</v>
      </c>
      <c r="BL306" s="13" t="s">
        <v>235</v>
      </c>
      <c r="BM306" s="129" t="s">
        <v>528</v>
      </c>
    </row>
    <row r="307" spans="2:65" s="11" customFormat="1" ht="22.95" customHeight="1" x14ac:dyDescent="0.25">
      <c r="B307" s="106"/>
      <c r="D307" s="107" t="s">
        <v>57</v>
      </c>
      <c r="E307" s="116" t="s">
        <v>2284</v>
      </c>
      <c r="F307" s="116" t="s">
        <v>3670</v>
      </c>
      <c r="J307" s="117">
        <f>BK307</f>
        <v>244.99</v>
      </c>
      <c r="L307" s="106"/>
      <c r="M307" s="110"/>
      <c r="N307" s="111"/>
      <c r="O307" s="111"/>
      <c r="P307" s="112">
        <f>SUM(P308:P309)</f>
        <v>0</v>
      </c>
      <c r="Q307" s="111"/>
      <c r="R307" s="112">
        <f>SUM(R308:R309)</f>
        <v>0</v>
      </c>
      <c r="S307" s="111"/>
      <c r="T307" s="113">
        <f>SUM(T308:T309)</f>
        <v>0</v>
      </c>
      <c r="W307" s="195"/>
      <c r="X307" s="111"/>
      <c r="Y307" s="196" t="s">
        <v>57</v>
      </c>
      <c r="Z307" s="201" t="s">
        <v>2284</v>
      </c>
      <c r="AA307" s="201" t="s">
        <v>3670</v>
      </c>
      <c r="AB307" s="111"/>
      <c r="AC307" s="111"/>
      <c r="AD307" s="111"/>
      <c r="AE307" s="202">
        <f>SUM(AE308:AE309)</f>
        <v>255.76</v>
      </c>
      <c r="AF307" s="248"/>
      <c r="AG307" s="130"/>
      <c r="AH307" s="130"/>
      <c r="AR307" s="107" t="s">
        <v>63</v>
      </c>
      <c r="AT307" s="114" t="s">
        <v>57</v>
      </c>
      <c r="AU307" s="114" t="s">
        <v>63</v>
      </c>
      <c r="AY307" s="107" t="s">
        <v>228</v>
      </c>
      <c r="BK307" s="115">
        <f>SUM(BK308:BK309)</f>
        <v>244.99</v>
      </c>
    </row>
    <row r="308" spans="2:65" s="1" customFormat="1" ht="16.5" customHeight="1" x14ac:dyDescent="0.2">
      <c r="B308" s="118"/>
      <c r="C308" s="205" t="s">
        <v>529</v>
      </c>
      <c r="D308" s="119" t="s">
        <v>231</v>
      </c>
      <c r="E308" s="120" t="s">
        <v>3671</v>
      </c>
      <c r="F308" s="121" t="s">
        <v>3672</v>
      </c>
      <c r="G308" s="122" t="s">
        <v>1194</v>
      </c>
      <c r="H308" s="206">
        <v>4</v>
      </c>
      <c r="I308" s="124">
        <v>3.82</v>
      </c>
      <c r="J308" s="124">
        <f>ROUND(I308*H308,2)</f>
        <v>15.28</v>
      </c>
      <c r="K308" s="121" t="s">
        <v>1</v>
      </c>
      <c r="L308" s="24"/>
      <c r="M308" s="125" t="s">
        <v>1</v>
      </c>
      <c r="N308" s="126" t="s">
        <v>32</v>
      </c>
      <c r="O308" s="127">
        <v>0</v>
      </c>
      <c r="P308" s="127">
        <f>O308*H308</f>
        <v>0</v>
      </c>
      <c r="Q308" s="127">
        <v>0</v>
      </c>
      <c r="R308" s="127">
        <f>Q308*H308</f>
        <v>0</v>
      </c>
      <c r="S308" s="127">
        <v>0</v>
      </c>
      <c r="T308" s="128">
        <f>S308*H308</f>
        <v>0</v>
      </c>
      <c r="W308" s="199"/>
      <c r="X308" s="205" t="s">
        <v>529</v>
      </c>
      <c r="Y308" s="119" t="s">
        <v>231</v>
      </c>
      <c r="Z308" s="120" t="s">
        <v>3671</v>
      </c>
      <c r="AA308" s="121" t="s">
        <v>3672</v>
      </c>
      <c r="AB308" s="122" t="s">
        <v>1194</v>
      </c>
      <c r="AC308" s="206">
        <v>1</v>
      </c>
      <c r="AD308" s="124">
        <v>3.82</v>
      </c>
      <c r="AE308" s="200">
        <f>ROUND(AD308*AC308,2)</f>
        <v>3.82</v>
      </c>
      <c r="AF308" s="227">
        <v>7</v>
      </c>
      <c r="AG308" s="130"/>
      <c r="AH308" s="130"/>
      <c r="AR308" s="129" t="s">
        <v>235</v>
      </c>
      <c r="AT308" s="129" t="s">
        <v>231</v>
      </c>
      <c r="AU308" s="129" t="s">
        <v>76</v>
      </c>
      <c r="AY308" s="13" t="s">
        <v>228</v>
      </c>
      <c r="BE308" s="130">
        <f>IF(N308="základná",J308,0)</f>
        <v>0</v>
      </c>
      <c r="BF308" s="130">
        <f>IF(N308="znížená",J308,0)</f>
        <v>15.28</v>
      </c>
      <c r="BG308" s="130">
        <f>IF(N308="zákl. prenesená",J308,0)</f>
        <v>0</v>
      </c>
      <c r="BH308" s="130">
        <f>IF(N308="zníž. prenesená",J308,0)</f>
        <v>0</v>
      </c>
      <c r="BI308" s="130">
        <f>IF(N308="nulová",J308,0)</f>
        <v>0</v>
      </c>
      <c r="BJ308" s="13" t="s">
        <v>76</v>
      </c>
      <c r="BK308" s="130">
        <f>ROUND(I308*H308,2)</f>
        <v>15.28</v>
      </c>
      <c r="BL308" s="13" t="s">
        <v>235</v>
      </c>
      <c r="BM308" s="129" t="s">
        <v>532</v>
      </c>
    </row>
    <row r="309" spans="2:65" s="1" customFormat="1" ht="16.5" customHeight="1" x14ac:dyDescent="0.2">
      <c r="B309" s="118"/>
      <c r="C309" s="205" t="s">
        <v>382</v>
      </c>
      <c r="D309" s="119" t="s">
        <v>231</v>
      </c>
      <c r="E309" s="120" t="s">
        <v>3673</v>
      </c>
      <c r="F309" s="121" t="s">
        <v>3674</v>
      </c>
      <c r="G309" s="122" t="s">
        <v>1194</v>
      </c>
      <c r="H309" s="206">
        <v>31</v>
      </c>
      <c r="I309" s="124">
        <v>7.41</v>
      </c>
      <c r="J309" s="124">
        <f>ROUND(I309*H309,2)</f>
        <v>229.71</v>
      </c>
      <c r="K309" s="121" t="s">
        <v>1</v>
      </c>
      <c r="L309" s="24"/>
      <c r="M309" s="125" t="s">
        <v>1</v>
      </c>
      <c r="N309" s="126" t="s">
        <v>32</v>
      </c>
      <c r="O309" s="127">
        <v>0</v>
      </c>
      <c r="P309" s="127">
        <f>O309*H309</f>
        <v>0</v>
      </c>
      <c r="Q309" s="127">
        <v>0</v>
      </c>
      <c r="R309" s="127">
        <f>Q309*H309</f>
        <v>0</v>
      </c>
      <c r="S309" s="127">
        <v>0</v>
      </c>
      <c r="T309" s="128">
        <f>S309*H309</f>
        <v>0</v>
      </c>
      <c r="W309" s="199"/>
      <c r="X309" s="205" t="s">
        <v>382</v>
      </c>
      <c r="Y309" s="119" t="s">
        <v>231</v>
      </c>
      <c r="Z309" s="120" t="s">
        <v>3673</v>
      </c>
      <c r="AA309" s="121" t="s">
        <v>3674</v>
      </c>
      <c r="AB309" s="122" t="s">
        <v>1194</v>
      </c>
      <c r="AC309" s="206">
        <v>34</v>
      </c>
      <c r="AD309" s="124">
        <v>7.41</v>
      </c>
      <c r="AE309" s="200">
        <f>ROUND(AD309*AC309,2)</f>
        <v>251.94</v>
      </c>
      <c r="AF309" s="227">
        <v>7</v>
      </c>
      <c r="AG309" s="130"/>
      <c r="AH309" s="130"/>
      <c r="AR309" s="129" t="s">
        <v>235</v>
      </c>
      <c r="AT309" s="129" t="s">
        <v>231</v>
      </c>
      <c r="AU309" s="129" t="s">
        <v>76</v>
      </c>
      <c r="AY309" s="13" t="s">
        <v>228</v>
      </c>
      <c r="BE309" s="130">
        <f>IF(N309="základná",J309,0)</f>
        <v>0</v>
      </c>
      <c r="BF309" s="130">
        <f>IF(N309="znížená",J309,0)</f>
        <v>229.71</v>
      </c>
      <c r="BG309" s="130">
        <f>IF(N309="zákl. prenesená",J309,0)</f>
        <v>0</v>
      </c>
      <c r="BH309" s="130">
        <f>IF(N309="zníž. prenesená",J309,0)</f>
        <v>0</v>
      </c>
      <c r="BI309" s="130">
        <f>IF(N309="nulová",J309,0)</f>
        <v>0</v>
      </c>
      <c r="BJ309" s="13" t="s">
        <v>76</v>
      </c>
      <c r="BK309" s="130">
        <f>ROUND(I309*H309,2)</f>
        <v>229.71</v>
      </c>
      <c r="BL309" s="13" t="s">
        <v>235</v>
      </c>
      <c r="BM309" s="129" t="s">
        <v>535</v>
      </c>
    </row>
    <row r="310" spans="2:65" s="11" customFormat="1" ht="22.95" customHeight="1" x14ac:dyDescent="0.25">
      <c r="B310" s="106"/>
      <c r="D310" s="107" t="s">
        <v>57</v>
      </c>
      <c r="E310" s="116" t="s">
        <v>2355</v>
      </c>
      <c r="F310" s="116" t="s">
        <v>3675</v>
      </c>
      <c r="J310" s="117">
        <f>BK310</f>
        <v>866.41000000000008</v>
      </c>
      <c r="L310" s="106"/>
      <c r="M310" s="110"/>
      <c r="N310" s="111"/>
      <c r="O310" s="111"/>
      <c r="P310" s="112">
        <f>SUM(P311:P316)</f>
        <v>0</v>
      </c>
      <c r="Q310" s="111"/>
      <c r="R310" s="112">
        <f>SUM(R311:R316)</f>
        <v>0</v>
      </c>
      <c r="S310" s="111"/>
      <c r="T310" s="113">
        <f>SUM(T311:T316)</f>
        <v>0</v>
      </c>
      <c r="W310" s="195"/>
      <c r="X310" s="111"/>
      <c r="Y310" s="196" t="s">
        <v>57</v>
      </c>
      <c r="Z310" s="201" t="s">
        <v>2355</v>
      </c>
      <c r="AA310" s="201" t="s">
        <v>3675</v>
      </c>
      <c r="AB310" s="111"/>
      <c r="AC310" s="111"/>
      <c r="AD310" s="111"/>
      <c r="AE310" s="202">
        <f>SUM(AE311:AE316)</f>
        <v>867.56</v>
      </c>
      <c r="AF310" s="248"/>
      <c r="AG310" s="130"/>
      <c r="AH310" s="130"/>
      <c r="AR310" s="107" t="s">
        <v>63</v>
      </c>
      <c r="AT310" s="114" t="s">
        <v>57</v>
      </c>
      <c r="AU310" s="114" t="s">
        <v>63</v>
      </c>
      <c r="AY310" s="107" t="s">
        <v>228</v>
      </c>
      <c r="BK310" s="115">
        <f>SUM(BK311:BK316)</f>
        <v>866.41000000000008</v>
      </c>
    </row>
    <row r="311" spans="2:65" s="1" customFormat="1" ht="16.5" customHeight="1" x14ac:dyDescent="0.2">
      <c r="B311" s="118"/>
      <c r="C311" s="205" t="s">
        <v>536</v>
      </c>
      <c r="D311" s="119" t="s">
        <v>231</v>
      </c>
      <c r="E311" s="120" t="s">
        <v>3676</v>
      </c>
      <c r="F311" s="121" t="s">
        <v>3677</v>
      </c>
      <c r="G311" s="122" t="s">
        <v>1194</v>
      </c>
      <c r="H311" s="206">
        <v>4</v>
      </c>
      <c r="I311" s="124">
        <v>20.350000000000001</v>
      </c>
      <c r="J311" s="124">
        <f t="shared" ref="J311:J316" si="56">ROUND(I311*H311,2)</f>
        <v>81.400000000000006</v>
      </c>
      <c r="K311" s="121" t="s">
        <v>1</v>
      </c>
      <c r="L311" s="24"/>
      <c r="M311" s="125" t="s">
        <v>1</v>
      </c>
      <c r="N311" s="126" t="s">
        <v>32</v>
      </c>
      <c r="O311" s="127">
        <v>0</v>
      </c>
      <c r="P311" s="127">
        <f t="shared" ref="P311:P316" si="57">O311*H311</f>
        <v>0</v>
      </c>
      <c r="Q311" s="127">
        <v>0</v>
      </c>
      <c r="R311" s="127">
        <f t="shared" ref="R311:R316" si="58">Q311*H311</f>
        <v>0</v>
      </c>
      <c r="S311" s="127">
        <v>0</v>
      </c>
      <c r="T311" s="128">
        <f t="shared" ref="T311:T316" si="59">S311*H311</f>
        <v>0</v>
      </c>
      <c r="W311" s="199"/>
      <c r="X311" s="205" t="s">
        <v>536</v>
      </c>
      <c r="Y311" s="119" t="s">
        <v>231</v>
      </c>
      <c r="Z311" s="120" t="s">
        <v>3676</v>
      </c>
      <c r="AA311" s="121" t="s">
        <v>3677</v>
      </c>
      <c r="AB311" s="122" t="s">
        <v>1194</v>
      </c>
      <c r="AC311" s="206">
        <v>1</v>
      </c>
      <c r="AD311" s="124">
        <v>20.350000000000001</v>
      </c>
      <c r="AE311" s="200">
        <f t="shared" ref="AE311:AE316" si="60">ROUND(AD311*AC311,2)</f>
        <v>20.350000000000001</v>
      </c>
      <c r="AF311" s="227">
        <v>7</v>
      </c>
      <c r="AG311" s="130"/>
      <c r="AH311" s="130"/>
      <c r="AR311" s="129" t="s">
        <v>235</v>
      </c>
      <c r="AT311" s="129" t="s">
        <v>231</v>
      </c>
      <c r="AU311" s="129" t="s">
        <v>76</v>
      </c>
      <c r="AY311" s="13" t="s">
        <v>228</v>
      </c>
      <c r="BE311" s="130">
        <f t="shared" ref="BE311:BE316" si="61">IF(N311="základná",J311,0)</f>
        <v>0</v>
      </c>
      <c r="BF311" s="130">
        <f t="shared" ref="BF311:BF316" si="62">IF(N311="znížená",J311,0)</f>
        <v>81.400000000000006</v>
      </c>
      <c r="BG311" s="130">
        <f t="shared" ref="BG311:BG316" si="63">IF(N311="zákl. prenesená",J311,0)</f>
        <v>0</v>
      </c>
      <c r="BH311" s="130">
        <f t="shared" ref="BH311:BH316" si="64">IF(N311="zníž. prenesená",J311,0)</f>
        <v>0</v>
      </c>
      <c r="BI311" s="130">
        <f t="shared" ref="BI311:BI316" si="65">IF(N311="nulová",J311,0)</f>
        <v>0</v>
      </c>
      <c r="BJ311" s="13" t="s">
        <v>76</v>
      </c>
      <c r="BK311" s="130">
        <f t="shared" ref="BK311:BK316" si="66">ROUND(I311*H311,2)</f>
        <v>81.400000000000006</v>
      </c>
      <c r="BL311" s="13" t="s">
        <v>235</v>
      </c>
      <c r="BM311" s="129" t="s">
        <v>539</v>
      </c>
    </row>
    <row r="312" spans="2:65" s="1" customFormat="1" ht="16.5" customHeight="1" x14ac:dyDescent="0.2">
      <c r="B312" s="118"/>
      <c r="C312" s="205" t="s">
        <v>386</v>
      </c>
      <c r="D312" s="119" t="s">
        <v>231</v>
      </c>
      <c r="E312" s="120" t="s">
        <v>3678</v>
      </c>
      <c r="F312" s="121" t="s">
        <v>3679</v>
      </c>
      <c r="G312" s="122" t="s">
        <v>1194</v>
      </c>
      <c r="H312" s="206">
        <v>6</v>
      </c>
      <c r="I312" s="124">
        <v>20.43</v>
      </c>
      <c r="J312" s="124">
        <f t="shared" si="56"/>
        <v>122.58</v>
      </c>
      <c r="K312" s="121" t="s">
        <v>1</v>
      </c>
      <c r="L312" s="24"/>
      <c r="M312" s="125" t="s">
        <v>1</v>
      </c>
      <c r="N312" s="126" t="s">
        <v>32</v>
      </c>
      <c r="O312" s="127">
        <v>0</v>
      </c>
      <c r="P312" s="127">
        <f t="shared" si="57"/>
        <v>0</v>
      </c>
      <c r="Q312" s="127">
        <v>0</v>
      </c>
      <c r="R312" s="127">
        <f t="shared" si="58"/>
        <v>0</v>
      </c>
      <c r="S312" s="127">
        <v>0</v>
      </c>
      <c r="T312" s="128">
        <f t="shared" si="59"/>
        <v>0</v>
      </c>
      <c r="W312" s="199"/>
      <c r="X312" s="205" t="s">
        <v>386</v>
      </c>
      <c r="Y312" s="119" t="s">
        <v>231</v>
      </c>
      <c r="Z312" s="120" t="s">
        <v>3678</v>
      </c>
      <c r="AA312" s="121" t="s">
        <v>3679</v>
      </c>
      <c r="AB312" s="122" t="s">
        <v>1194</v>
      </c>
      <c r="AC312" s="206">
        <v>8</v>
      </c>
      <c r="AD312" s="124">
        <v>20.43</v>
      </c>
      <c r="AE312" s="200">
        <f t="shared" si="60"/>
        <v>163.44</v>
      </c>
      <c r="AF312" s="227">
        <v>7</v>
      </c>
      <c r="AG312" s="130"/>
      <c r="AH312" s="130"/>
      <c r="AR312" s="129" t="s">
        <v>235</v>
      </c>
      <c r="AT312" s="129" t="s">
        <v>231</v>
      </c>
      <c r="AU312" s="129" t="s">
        <v>76</v>
      </c>
      <c r="AY312" s="13" t="s">
        <v>228</v>
      </c>
      <c r="BE312" s="130">
        <f t="shared" si="61"/>
        <v>0</v>
      </c>
      <c r="BF312" s="130">
        <f t="shared" si="62"/>
        <v>122.58</v>
      </c>
      <c r="BG312" s="130">
        <f t="shared" si="63"/>
        <v>0</v>
      </c>
      <c r="BH312" s="130">
        <f t="shared" si="64"/>
        <v>0</v>
      </c>
      <c r="BI312" s="130">
        <f t="shared" si="65"/>
        <v>0</v>
      </c>
      <c r="BJ312" s="13" t="s">
        <v>76</v>
      </c>
      <c r="BK312" s="130">
        <f t="shared" si="66"/>
        <v>122.58</v>
      </c>
      <c r="BL312" s="13" t="s">
        <v>235</v>
      </c>
      <c r="BM312" s="129" t="s">
        <v>542</v>
      </c>
    </row>
    <row r="313" spans="2:65" s="1" customFormat="1" ht="16.5" customHeight="1" x14ac:dyDescent="0.2">
      <c r="B313" s="118"/>
      <c r="C313" s="119" t="s">
        <v>543</v>
      </c>
      <c r="D313" s="119" t="s">
        <v>231</v>
      </c>
      <c r="E313" s="120" t="s">
        <v>3680</v>
      </c>
      <c r="F313" s="121" t="s">
        <v>3681</v>
      </c>
      <c r="G313" s="122" t="s">
        <v>1194</v>
      </c>
      <c r="H313" s="123">
        <v>9</v>
      </c>
      <c r="I313" s="124">
        <v>20.9</v>
      </c>
      <c r="J313" s="124">
        <f t="shared" si="56"/>
        <v>188.1</v>
      </c>
      <c r="K313" s="121" t="s">
        <v>1</v>
      </c>
      <c r="L313" s="24"/>
      <c r="M313" s="125" t="s">
        <v>1</v>
      </c>
      <c r="N313" s="126" t="s">
        <v>32</v>
      </c>
      <c r="O313" s="127">
        <v>0</v>
      </c>
      <c r="P313" s="127">
        <f t="shared" si="57"/>
        <v>0</v>
      </c>
      <c r="Q313" s="127">
        <v>0</v>
      </c>
      <c r="R313" s="127">
        <f t="shared" si="58"/>
        <v>0</v>
      </c>
      <c r="S313" s="127">
        <v>0</v>
      </c>
      <c r="T313" s="128">
        <f t="shared" si="59"/>
        <v>0</v>
      </c>
      <c r="W313" s="199"/>
      <c r="X313" s="119" t="s">
        <v>543</v>
      </c>
      <c r="Y313" s="119" t="s">
        <v>231</v>
      </c>
      <c r="Z313" s="120" t="s">
        <v>3680</v>
      </c>
      <c r="AA313" s="121" t="s">
        <v>3681</v>
      </c>
      <c r="AB313" s="122" t="s">
        <v>1194</v>
      </c>
      <c r="AC313" s="123">
        <v>9</v>
      </c>
      <c r="AD313" s="124">
        <v>20.9</v>
      </c>
      <c r="AE313" s="200">
        <f t="shared" si="60"/>
        <v>188.1</v>
      </c>
      <c r="AF313" s="227"/>
      <c r="AG313" s="130"/>
      <c r="AH313" s="130"/>
      <c r="AR313" s="129" t="s">
        <v>235</v>
      </c>
      <c r="AT313" s="129" t="s">
        <v>231</v>
      </c>
      <c r="AU313" s="129" t="s">
        <v>76</v>
      </c>
      <c r="AY313" s="13" t="s">
        <v>228</v>
      </c>
      <c r="BE313" s="130">
        <f t="shared" si="61"/>
        <v>0</v>
      </c>
      <c r="BF313" s="130">
        <f t="shared" si="62"/>
        <v>188.1</v>
      </c>
      <c r="BG313" s="130">
        <f t="shared" si="63"/>
        <v>0</v>
      </c>
      <c r="BH313" s="130">
        <f t="shared" si="64"/>
        <v>0</v>
      </c>
      <c r="BI313" s="130">
        <f t="shared" si="65"/>
        <v>0</v>
      </c>
      <c r="BJ313" s="13" t="s">
        <v>76</v>
      </c>
      <c r="BK313" s="130">
        <f t="shared" si="66"/>
        <v>188.1</v>
      </c>
      <c r="BL313" s="13" t="s">
        <v>235</v>
      </c>
      <c r="BM313" s="129" t="s">
        <v>546</v>
      </c>
    </row>
    <row r="314" spans="2:65" s="1" customFormat="1" ht="16.5" customHeight="1" x14ac:dyDescent="0.2">
      <c r="B314" s="118"/>
      <c r="C314" s="205" t="s">
        <v>389</v>
      </c>
      <c r="D314" s="119" t="s">
        <v>231</v>
      </c>
      <c r="E314" s="120" t="s">
        <v>3682</v>
      </c>
      <c r="F314" s="121" t="s">
        <v>3683</v>
      </c>
      <c r="G314" s="122" t="s">
        <v>1194</v>
      </c>
      <c r="H314" s="206">
        <v>15</v>
      </c>
      <c r="I314" s="124">
        <v>21.34</v>
      </c>
      <c r="J314" s="124">
        <f t="shared" si="56"/>
        <v>320.10000000000002</v>
      </c>
      <c r="K314" s="121" t="s">
        <v>1</v>
      </c>
      <c r="L314" s="24"/>
      <c r="M314" s="125" t="s">
        <v>1</v>
      </c>
      <c r="N314" s="126" t="s">
        <v>32</v>
      </c>
      <c r="O314" s="127">
        <v>0</v>
      </c>
      <c r="P314" s="127">
        <f t="shared" si="57"/>
        <v>0</v>
      </c>
      <c r="Q314" s="127">
        <v>0</v>
      </c>
      <c r="R314" s="127">
        <f t="shared" si="58"/>
        <v>0</v>
      </c>
      <c r="S314" s="127">
        <v>0</v>
      </c>
      <c r="T314" s="128">
        <f t="shared" si="59"/>
        <v>0</v>
      </c>
      <c r="W314" s="199"/>
      <c r="X314" s="205" t="s">
        <v>389</v>
      </c>
      <c r="Y314" s="119" t="s">
        <v>231</v>
      </c>
      <c r="Z314" s="120" t="s">
        <v>3682</v>
      </c>
      <c r="AA314" s="121" t="s">
        <v>3683</v>
      </c>
      <c r="AB314" s="122" t="s">
        <v>1194</v>
      </c>
      <c r="AC314" s="206">
        <v>16</v>
      </c>
      <c r="AD314" s="124">
        <v>21.34</v>
      </c>
      <c r="AE314" s="200">
        <f t="shared" si="60"/>
        <v>341.44</v>
      </c>
      <c r="AF314" s="227">
        <v>7</v>
      </c>
      <c r="AG314" s="130"/>
      <c r="AH314" s="130"/>
      <c r="AR314" s="129" t="s">
        <v>235</v>
      </c>
      <c r="AT314" s="129" t="s">
        <v>231</v>
      </c>
      <c r="AU314" s="129" t="s">
        <v>76</v>
      </c>
      <c r="AY314" s="13" t="s">
        <v>228</v>
      </c>
      <c r="BE314" s="130">
        <f t="shared" si="61"/>
        <v>0</v>
      </c>
      <c r="BF314" s="130">
        <f t="shared" si="62"/>
        <v>320.10000000000002</v>
      </c>
      <c r="BG314" s="130">
        <f t="shared" si="63"/>
        <v>0</v>
      </c>
      <c r="BH314" s="130">
        <f t="shared" si="64"/>
        <v>0</v>
      </c>
      <c r="BI314" s="130">
        <f t="shared" si="65"/>
        <v>0</v>
      </c>
      <c r="BJ314" s="13" t="s">
        <v>76</v>
      </c>
      <c r="BK314" s="130">
        <f t="shared" si="66"/>
        <v>320.10000000000002</v>
      </c>
      <c r="BL314" s="13" t="s">
        <v>235</v>
      </c>
      <c r="BM314" s="129" t="s">
        <v>549</v>
      </c>
    </row>
    <row r="315" spans="2:65" s="1" customFormat="1" ht="16.5" customHeight="1" x14ac:dyDescent="0.2">
      <c r="B315" s="118"/>
      <c r="C315" s="119" t="s">
        <v>552</v>
      </c>
      <c r="D315" s="119" t="s">
        <v>231</v>
      </c>
      <c r="E315" s="120" t="s">
        <v>3684</v>
      </c>
      <c r="F315" s="121" t="s">
        <v>3685</v>
      </c>
      <c r="G315" s="122" t="s">
        <v>1194</v>
      </c>
      <c r="H315" s="123">
        <v>1</v>
      </c>
      <c r="I315" s="124">
        <v>23.44</v>
      </c>
      <c r="J315" s="124">
        <f t="shared" si="56"/>
        <v>23.44</v>
      </c>
      <c r="K315" s="121" t="s">
        <v>1</v>
      </c>
      <c r="L315" s="24"/>
      <c r="M315" s="125" t="s">
        <v>1</v>
      </c>
      <c r="N315" s="126" t="s">
        <v>32</v>
      </c>
      <c r="O315" s="127">
        <v>0</v>
      </c>
      <c r="P315" s="127">
        <f t="shared" si="57"/>
        <v>0</v>
      </c>
      <c r="Q315" s="127">
        <v>0</v>
      </c>
      <c r="R315" s="127">
        <f t="shared" si="58"/>
        <v>0</v>
      </c>
      <c r="S315" s="127">
        <v>0</v>
      </c>
      <c r="T315" s="128">
        <f t="shared" si="59"/>
        <v>0</v>
      </c>
      <c r="W315" s="199"/>
      <c r="X315" s="119" t="s">
        <v>552</v>
      </c>
      <c r="Y315" s="119" t="s">
        <v>231</v>
      </c>
      <c r="Z315" s="120" t="s">
        <v>3684</v>
      </c>
      <c r="AA315" s="121" t="s">
        <v>3685</v>
      </c>
      <c r="AB315" s="122" t="s">
        <v>1194</v>
      </c>
      <c r="AC315" s="123">
        <v>1</v>
      </c>
      <c r="AD315" s="124">
        <v>23.44</v>
      </c>
      <c r="AE315" s="200">
        <f t="shared" si="60"/>
        <v>23.44</v>
      </c>
      <c r="AF315" s="227"/>
      <c r="AG315" s="130"/>
      <c r="AH315" s="130"/>
      <c r="AR315" s="129" t="s">
        <v>235</v>
      </c>
      <c r="AT315" s="129" t="s">
        <v>231</v>
      </c>
      <c r="AU315" s="129" t="s">
        <v>76</v>
      </c>
      <c r="AY315" s="13" t="s">
        <v>228</v>
      </c>
      <c r="BE315" s="130">
        <f t="shared" si="61"/>
        <v>0</v>
      </c>
      <c r="BF315" s="130">
        <f t="shared" si="62"/>
        <v>23.44</v>
      </c>
      <c r="BG315" s="130">
        <f t="shared" si="63"/>
        <v>0</v>
      </c>
      <c r="BH315" s="130">
        <f t="shared" si="64"/>
        <v>0</v>
      </c>
      <c r="BI315" s="130">
        <f t="shared" si="65"/>
        <v>0</v>
      </c>
      <c r="BJ315" s="13" t="s">
        <v>76</v>
      </c>
      <c r="BK315" s="130">
        <f t="shared" si="66"/>
        <v>23.44</v>
      </c>
      <c r="BL315" s="13" t="s">
        <v>235</v>
      </c>
      <c r="BM315" s="129" t="s">
        <v>555</v>
      </c>
    </row>
    <row r="316" spans="2:65" s="1" customFormat="1" ht="16.5" customHeight="1" x14ac:dyDescent="0.2">
      <c r="B316" s="118"/>
      <c r="C316" s="119" t="s">
        <v>393</v>
      </c>
      <c r="D316" s="119" t="s">
        <v>231</v>
      </c>
      <c r="E316" s="120" t="s">
        <v>3686</v>
      </c>
      <c r="F316" s="121" t="s">
        <v>3687</v>
      </c>
      <c r="G316" s="122" t="s">
        <v>570</v>
      </c>
      <c r="H316" s="123">
        <v>1.8</v>
      </c>
      <c r="I316" s="124">
        <v>72.66</v>
      </c>
      <c r="J316" s="124">
        <f t="shared" si="56"/>
        <v>130.79</v>
      </c>
      <c r="K316" s="121" t="s">
        <v>1</v>
      </c>
      <c r="L316" s="24"/>
      <c r="M316" s="125" t="s">
        <v>1</v>
      </c>
      <c r="N316" s="126" t="s">
        <v>32</v>
      </c>
      <c r="O316" s="127">
        <v>0</v>
      </c>
      <c r="P316" s="127">
        <f t="shared" si="57"/>
        <v>0</v>
      </c>
      <c r="Q316" s="127">
        <v>0</v>
      </c>
      <c r="R316" s="127">
        <f t="shared" si="58"/>
        <v>0</v>
      </c>
      <c r="S316" s="127">
        <v>0</v>
      </c>
      <c r="T316" s="128">
        <f t="shared" si="59"/>
        <v>0</v>
      </c>
      <c r="W316" s="199"/>
      <c r="X316" s="119" t="s">
        <v>393</v>
      </c>
      <c r="Y316" s="119" t="s">
        <v>231</v>
      </c>
      <c r="Z316" s="120" t="s">
        <v>3686</v>
      </c>
      <c r="AA316" s="121" t="s">
        <v>3687</v>
      </c>
      <c r="AB316" s="122" t="s">
        <v>570</v>
      </c>
      <c r="AC316" s="123">
        <v>1.8</v>
      </c>
      <c r="AD316" s="124">
        <v>72.66</v>
      </c>
      <c r="AE316" s="200">
        <f t="shared" si="60"/>
        <v>130.79</v>
      </c>
      <c r="AF316" s="227"/>
      <c r="AG316" s="130"/>
      <c r="AH316" s="130"/>
      <c r="AR316" s="129" t="s">
        <v>235</v>
      </c>
      <c r="AT316" s="129" t="s">
        <v>231</v>
      </c>
      <c r="AU316" s="129" t="s">
        <v>76</v>
      </c>
      <c r="AY316" s="13" t="s">
        <v>228</v>
      </c>
      <c r="BE316" s="130">
        <f t="shared" si="61"/>
        <v>0</v>
      </c>
      <c r="BF316" s="130">
        <f t="shared" si="62"/>
        <v>130.79</v>
      </c>
      <c r="BG316" s="130">
        <f t="shared" si="63"/>
        <v>0</v>
      </c>
      <c r="BH316" s="130">
        <f t="shared" si="64"/>
        <v>0</v>
      </c>
      <c r="BI316" s="130">
        <f t="shared" si="65"/>
        <v>0</v>
      </c>
      <c r="BJ316" s="13" t="s">
        <v>76</v>
      </c>
      <c r="BK316" s="130">
        <f t="shared" si="66"/>
        <v>130.79</v>
      </c>
      <c r="BL316" s="13" t="s">
        <v>235</v>
      </c>
      <c r="BM316" s="129" t="s">
        <v>562</v>
      </c>
    </row>
    <row r="317" spans="2:65" s="11" customFormat="1" ht="25.95" customHeight="1" x14ac:dyDescent="0.25">
      <c r="B317" s="106"/>
      <c r="D317" s="107" t="s">
        <v>57</v>
      </c>
      <c r="E317" s="108" t="s">
        <v>2399</v>
      </c>
      <c r="F317" s="108" t="s">
        <v>3688</v>
      </c>
      <c r="J317" s="109"/>
      <c r="L317" s="106"/>
      <c r="M317" s="110"/>
      <c r="N317" s="111"/>
      <c r="O317" s="111"/>
      <c r="P317" s="112">
        <v>0</v>
      </c>
      <c r="Q317" s="111"/>
      <c r="R317" s="112">
        <v>0</v>
      </c>
      <c r="S317" s="111"/>
      <c r="T317" s="113">
        <v>0</v>
      </c>
      <c r="W317" s="195"/>
      <c r="X317" s="111"/>
      <c r="Y317" s="196" t="s">
        <v>57</v>
      </c>
      <c r="Z317" s="197" t="s">
        <v>2399</v>
      </c>
      <c r="AA317" s="197" t="s">
        <v>3688</v>
      </c>
      <c r="AB317" s="111"/>
      <c r="AC317" s="111"/>
      <c r="AD317" s="111"/>
      <c r="AE317" s="198"/>
      <c r="AF317" s="248"/>
      <c r="AG317" s="130"/>
      <c r="AH317" s="130"/>
      <c r="AR317" s="107" t="s">
        <v>63</v>
      </c>
      <c r="AT317" s="114" t="s">
        <v>57</v>
      </c>
      <c r="AU317" s="114" t="s">
        <v>58</v>
      </c>
      <c r="AY317" s="107" t="s">
        <v>228</v>
      </c>
      <c r="BK317" s="115">
        <v>0</v>
      </c>
    </row>
    <row r="318" spans="2:65" s="11" customFormat="1" ht="25.95" customHeight="1" x14ac:dyDescent="0.25">
      <c r="B318" s="106"/>
      <c r="D318" s="107" t="s">
        <v>57</v>
      </c>
      <c r="E318" s="108" t="s">
        <v>2414</v>
      </c>
      <c r="F318" s="108" t="s">
        <v>3689</v>
      </c>
      <c r="J318" s="109">
        <f>BK318</f>
        <v>3141.4</v>
      </c>
      <c r="L318" s="106"/>
      <c r="M318" s="110"/>
      <c r="N318" s="111"/>
      <c r="O318" s="111"/>
      <c r="P318" s="112">
        <f>P319+P323+P327+P328</f>
        <v>0</v>
      </c>
      <c r="Q318" s="111"/>
      <c r="R318" s="112">
        <f>R319+R323+R327+R328</f>
        <v>0</v>
      </c>
      <c r="S318" s="111"/>
      <c r="T318" s="113">
        <f>T319+T323+T327+T328</f>
        <v>0</v>
      </c>
      <c r="W318" s="195"/>
      <c r="X318" s="111"/>
      <c r="Y318" s="196" t="s">
        <v>57</v>
      </c>
      <c r="Z318" s="197" t="s">
        <v>2414</v>
      </c>
      <c r="AA318" s="197" t="s">
        <v>3689</v>
      </c>
      <c r="AB318" s="111"/>
      <c r="AC318" s="111"/>
      <c r="AD318" s="111"/>
      <c r="AE318" s="198">
        <f>AE319+AE323+AE327+AE328</f>
        <v>3348.91</v>
      </c>
      <c r="AF318" s="248"/>
      <c r="AG318" s="130"/>
      <c r="AH318" s="130"/>
      <c r="AR318" s="107" t="s">
        <v>63</v>
      </c>
      <c r="AT318" s="114" t="s">
        <v>57</v>
      </c>
      <c r="AU318" s="114" t="s">
        <v>58</v>
      </c>
      <c r="AY318" s="107" t="s">
        <v>228</v>
      </c>
      <c r="BK318" s="115">
        <f>BK319+BK323+BK327+BK328</f>
        <v>3141.4</v>
      </c>
    </row>
    <row r="319" spans="2:65" s="11" customFormat="1" ht="22.95" customHeight="1" x14ac:dyDescent="0.25">
      <c r="B319" s="106"/>
      <c r="D319" s="107" t="s">
        <v>57</v>
      </c>
      <c r="E319" s="116" t="s">
        <v>2438</v>
      </c>
      <c r="F319" s="116" t="s">
        <v>3690</v>
      </c>
      <c r="J319" s="117">
        <f>BK319</f>
        <v>1394.2399999999998</v>
      </c>
      <c r="L319" s="106"/>
      <c r="M319" s="110"/>
      <c r="N319" s="111"/>
      <c r="O319" s="111"/>
      <c r="P319" s="112">
        <f>SUM(P320:P322)</f>
        <v>0</v>
      </c>
      <c r="Q319" s="111"/>
      <c r="R319" s="112">
        <f>SUM(R320:R322)</f>
        <v>0</v>
      </c>
      <c r="S319" s="111"/>
      <c r="T319" s="113">
        <f>SUM(T320:T322)</f>
        <v>0</v>
      </c>
      <c r="W319" s="195"/>
      <c r="X319" s="111"/>
      <c r="Y319" s="196" t="s">
        <v>57</v>
      </c>
      <c r="Z319" s="201" t="s">
        <v>2438</v>
      </c>
      <c r="AA319" s="201" t="s">
        <v>3690</v>
      </c>
      <c r="AB319" s="111"/>
      <c r="AC319" s="111"/>
      <c r="AD319" s="111"/>
      <c r="AE319" s="202">
        <f>SUM(AE320:AE322)</f>
        <v>1664.3400000000001</v>
      </c>
      <c r="AF319" s="248"/>
      <c r="AG319" s="130"/>
      <c r="AH319" s="130"/>
      <c r="AR319" s="107" t="s">
        <v>63</v>
      </c>
      <c r="AT319" s="114" t="s">
        <v>57</v>
      </c>
      <c r="AU319" s="114" t="s">
        <v>63</v>
      </c>
      <c r="AY319" s="107" t="s">
        <v>228</v>
      </c>
      <c r="BK319" s="115">
        <f>SUM(BK320:BK322)</f>
        <v>1394.2399999999998</v>
      </c>
    </row>
    <row r="320" spans="2:65" s="1" customFormat="1" ht="16.5" customHeight="1" x14ac:dyDescent="0.2">
      <c r="B320" s="118"/>
      <c r="C320" s="205" t="s">
        <v>563</v>
      </c>
      <c r="D320" s="119" t="s">
        <v>231</v>
      </c>
      <c r="E320" s="120" t="s">
        <v>3691</v>
      </c>
      <c r="F320" s="121" t="s">
        <v>3692</v>
      </c>
      <c r="G320" s="122" t="s">
        <v>292</v>
      </c>
      <c r="H320" s="206">
        <v>212</v>
      </c>
      <c r="I320" s="124">
        <v>5.32</v>
      </c>
      <c r="J320" s="124">
        <f>ROUND(I320*H320,2)</f>
        <v>1127.8399999999999</v>
      </c>
      <c r="K320" s="121" t="s">
        <v>1</v>
      </c>
      <c r="L320" s="24"/>
      <c r="M320" s="125" t="s">
        <v>1</v>
      </c>
      <c r="N320" s="126" t="s">
        <v>32</v>
      </c>
      <c r="O320" s="127">
        <v>0</v>
      </c>
      <c r="P320" s="127">
        <f>O320*H320</f>
        <v>0</v>
      </c>
      <c r="Q320" s="127">
        <v>0</v>
      </c>
      <c r="R320" s="127">
        <f>Q320*H320</f>
        <v>0</v>
      </c>
      <c r="S320" s="127">
        <v>0</v>
      </c>
      <c r="T320" s="128">
        <f>S320*H320</f>
        <v>0</v>
      </c>
      <c r="W320" s="199"/>
      <c r="X320" s="205" t="s">
        <v>563</v>
      </c>
      <c r="Y320" s="119" t="s">
        <v>231</v>
      </c>
      <c r="Z320" s="120" t="s">
        <v>3691</v>
      </c>
      <c r="AA320" s="121" t="s">
        <v>3692</v>
      </c>
      <c r="AB320" s="122" t="s">
        <v>292</v>
      </c>
      <c r="AC320" s="206">
        <v>249</v>
      </c>
      <c r="AD320" s="124">
        <v>5.32</v>
      </c>
      <c r="AE320" s="200">
        <f>ROUND(AD320*AC320,2)</f>
        <v>1324.68</v>
      </c>
      <c r="AF320" s="227">
        <v>7</v>
      </c>
      <c r="AG320" s="130"/>
      <c r="AH320" s="130"/>
      <c r="AR320" s="129" t="s">
        <v>235</v>
      </c>
      <c r="AT320" s="129" t="s">
        <v>231</v>
      </c>
      <c r="AU320" s="129" t="s">
        <v>76</v>
      </c>
      <c r="AY320" s="13" t="s">
        <v>228</v>
      </c>
      <c r="BE320" s="130">
        <f>IF(N320="základná",J320,0)</f>
        <v>0</v>
      </c>
      <c r="BF320" s="130">
        <f>IF(N320="znížená",J320,0)</f>
        <v>1127.8399999999999</v>
      </c>
      <c r="BG320" s="130">
        <f>IF(N320="zákl. prenesená",J320,0)</f>
        <v>0</v>
      </c>
      <c r="BH320" s="130">
        <f>IF(N320="zníž. prenesená",J320,0)</f>
        <v>0</v>
      </c>
      <c r="BI320" s="130">
        <f>IF(N320="nulová",J320,0)</f>
        <v>0</v>
      </c>
      <c r="BJ320" s="13" t="s">
        <v>76</v>
      </c>
      <c r="BK320" s="130">
        <f>ROUND(I320*H320,2)</f>
        <v>1127.8399999999999</v>
      </c>
      <c r="BL320" s="13" t="s">
        <v>235</v>
      </c>
      <c r="BM320" s="129" t="s">
        <v>567</v>
      </c>
    </row>
    <row r="321" spans="2:65" s="1" customFormat="1" ht="16.5" customHeight="1" x14ac:dyDescent="0.2">
      <c r="B321" s="118"/>
      <c r="C321" s="205" t="s">
        <v>396</v>
      </c>
      <c r="D321" s="119" t="s">
        <v>231</v>
      </c>
      <c r="E321" s="120" t="s">
        <v>3693</v>
      </c>
      <c r="F321" s="121" t="s">
        <v>3694</v>
      </c>
      <c r="G321" s="122" t="s">
        <v>292</v>
      </c>
      <c r="H321" s="206">
        <v>30</v>
      </c>
      <c r="I321" s="124">
        <v>6.66</v>
      </c>
      <c r="J321" s="124">
        <f>ROUND(I321*H321,2)</f>
        <v>199.8</v>
      </c>
      <c r="K321" s="121" t="s">
        <v>1</v>
      </c>
      <c r="L321" s="24"/>
      <c r="M321" s="125" t="s">
        <v>1</v>
      </c>
      <c r="N321" s="126" t="s">
        <v>32</v>
      </c>
      <c r="O321" s="127">
        <v>0</v>
      </c>
      <c r="P321" s="127">
        <f>O321*H321</f>
        <v>0</v>
      </c>
      <c r="Q321" s="127">
        <v>0</v>
      </c>
      <c r="R321" s="127">
        <f>Q321*H321</f>
        <v>0</v>
      </c>
      <c r="S321" s="127">
        <v>0</v>
      </c>
      <c r="T321" s="128">
        <f>S321*H321</f>
        <v>0</v>
      </c>
      <c r="W321" s="199"/>
      <c r="X321" s="205" t="s">
        <v>396</v>
      </c>
      <c r="Y321" s="119" t="s">
        <v>231</v>
      </c>
      <c r="Z321" s="120" t="s">
        <v>3693</v>
      </c>
      <c r="AA321" s="121" t="s">
        <v>3694</v>
      </c>
      <c r="AB321" s="122" t="s">
        <v>292</v>
      </c>
      <c r="AC321" s="206">
        <v>39</v>
      </c>
      <c r="AD321" s="124">
        <v>6.66</v>
      </c>
      <c r="AE321" s="200">
        <f>ROUND(AD321*AC321,2)</f>
        <v>259.74</v>
      </c>
      <c r="AF321" s="227">
        <v>7</v>
      </c>
      <c r="AG321" s="130"/>
      <c r="AH321" s="130"/>
      <c r="AR321" s="129" t="s">
        <v>235</v>
      </c>
      <c r="AT321" s="129" t="s">
        <v>231</v>
      </c>
      <c r="AU321" s="129" t="s">
        <v>76</v>
      </c>
      <c r="AY321" s="13" t="s">
        <v>228</v>
      </c>
      <c r="BE321" s="130">
        <f>IF(N321="základná",J321,0)</f>
        <v>0</v>
      </c>
      <c r="BF321" s="130">
        <f>IF(N321="znížená",J321,0)</f>
        <v>199.8</v>
      </c>
      <c r="BG321" s="130">
        <f>IF(N321="zákl. prenesená",J321,0)</f>
        <v>0</v>
      </c>
      <c r="BH321" s="130">
        <f>IF(N321="zníž. prenesená",J321,0)</f>
        <v>0</v>
      </c>
      <c r="BI321" s="130">
        <f>IF(N321="nulová",J321,0)</f>
        <v>0</v>
      </c>
      <c r="BJ321" s="13" t="s">
        <v>76</v>
      </c>
      <c r="BK321" s="130">
        <f>ROUND(I321*H321,2)</f>
        <v>199.8</v>
      </c>
      <c r="BL321" s="13" t="s">
        <v>235</v>
      </c>
      <c r="BM321" s="129" t="s">
        <v>571</v>
      </c>
    </row>
    <row r="322" spans="2:65" s="1" customFormat="1" ht="16.5" customHeight="1" x14ac:dyDescent="0.2">
      <c r="B322" s="118"/>
      <c r="C322" s="205" t="s">
        <v>574</v>
      </c>
      <c r="D322" s="119" t="s">
        <v>231</v>
      </c>
      <c r="E322" s="120" t="s">
        <v>3695</v>
      </c>
      <c r="F322" s="121" t="s">
        <v>3696</v>
      </c>
      <c r="G322" s="122" t="s">
        <v>292</v>
      </c>
      <c r="H322" s="206">
        <v>10</v>
      </c>
      <c r="I322" s="124">
        <v>6.66</v>
      </c>
      <c r="J322" s="124">
        <f>ROUND(I322*H322,2)</f>
        <v>66.599999999999994</v>
      </c>
      <c r="K322" s="121" t="s">
        <v>1</v>
      </c>
      <c r="L322" s="24"/>
      <c r="M322" s="125" t="s">
        <v>1</v>
      </c>
      <c r="N322" s="126" t="s">
        <v>32</v>
      </c>
      <c r="O322" s="127">
        <v>0</v>
      </c>
      <c r="P322" s="127">
        <f>O322*H322</f>
        <v>0</v>
      </c>
      <c r="Q322" s="127">
        <v>0</v>
      </c>
      <c r="R322" s="127">
        <f>Q322*H322</f>
        <v>0</v>
      </c>
      <c r="S322" s="127">
        <v>0</v>
      </c>
      <c r="T322" s="128">
        <f>S322*H322</f>
        <v>0</v>
      </c>
      <c r="W322" s="199"/>
      <c r="X322" s="205" t="s">
        <v>574</v>
      </c>
      <c r="Y322" s="119" t="s">
        <v>231</v>
      </c>
      <c r="Z322" s="120" t="s">
        <v>3695</v>
      </c>
      <c r="AA322" s="121" t="s">
        <v>3696</v>
      </c>
      <c r="AB322" s="122" t="s">
        <v>292</v>
      </c>
      <c r="AC322" s="206">
        <v>12</v>
      </c>
      <c r="AD322" s="124">
        <v>6.66</v>
      </c>
      <c r="AE322" s="200">
        <f>ROUND(AD322*AC322,2)</f>
        <v>79.92</v>
      </c>
      <c r="AF322" s="227">
        <v>7</v>
      </c>
      <c r="AG322" s="130"/>
      <c r="AH322" s="130"/>
      <c r="AR322" s="129" t="s">
        <v>235</v>
      </c>
      <c r="AT322" s="129" t="s">
        <v>231</v>
      </c>
      <c r="AU322" s="129" t="s">
        <v>76</v>
      </c>
      <c r="AY322" s="13" t="s">
        <v>228</v>
      </c>
      <c r="BE322" s="130">
        <f>IF(N322="základná",J322,0)</f>
        <v>0</v>
      </c>
      <c r="BF322" s="130">
        <f>IF(N322="znížená",J322,0)</f>
        <v>66.599999999999994</v>
      </c>
      <c r="BG322" s="130">
        <f>IF(N322="zákl. prenesená",J322,0)</f>
        <v>0</v>
      </c>
      <c r="BH322" s="130">
        <f>IF(N322="zníž. prenesená",J322,0)</f>
        <v>0</v>
      </c>
      <c r="BI322" s="130">
        <f>IF(N322="nulová",J322,0)</f>
        <v>0</v>
      </c>
      <c r="BJ322" s="13" t="s">
        <v>76</v>
      </c>
      <c r="BK322" s="130">
        <f>ROUND(I322*H322,2)</f>
        <v>66.599999999999994</v>
      </c>
      <c r="BL322" s="13" t="s">
        <v>235</v>
      </c>
      <c r="BM322" s="129" t="s">
        <v>577</v>
      </c>
    </row>
    <row r="323" spans="2:65" s="11" customFormat="1" ht="22.95" customHeight="1" x14ac:dyDescent="0.25">
      <c r="B323" s="106"/>
      <c r="D323" s="107" t="s">
        <v>57</v>
      </c>
      <c r="E323" s="116" t="s">
        <v>2454</v>
      </c>
      <c r="F323" s="116" t="s">
        <v>3697</v>
      </c>
      <c r="J323" s="117">
        <f>BK323</f>
        <v>32.159999999999997</v>
      </c>
      <c r="L323" s="106"/>
      <c r="M323" s="110"/>
      <c r="N323" s="111"/>
      <c r="O323" s="111"/>
      <c r="P323" s="112">
        <f>SUM(P324:P326)</f>
        <v>0</v>
      </c>
      <c r="Q323" s="111"/>
      <c r="R323" s="112">
        <f>SUM(R324:R326)</f>
        <v>0</v>
      </c>
      <c r="S323" s="111"/>
      <c r="T323" s="113">
        <f>SUM(T324:T326)</f>
        <v>0</v>
      </c>
      <c r="W323" s="195"/>
      <c r="X323" s="111"/>
      <c r="Y323" s="196" t="s">
        <v>57</v>
      </c>
      <c r="Z323" s="201" t="s">
        <v>2454</v>
      </c>
      <c r="AA323" s="201" t="s">
        <v>3697</v>
      </c>
      <c r="AB323" s="111"/>
      <c r="AC323" s="111"/>
      <c r="AD323" s="111"/>
      <c r="AE323" s="202">
        <f>SUM(AE324:AE326)</f>
        <v>32.159999999999997</v>
      </c>
      <c r="AF323" s="248"/>
      <c r="AG323" s="130"/>
      <c r="AH323" s="130"/>
      <c r="AR323" s="107" t="s">
        <v>63</v>
      </c>
      <c r="AT323" s="114" t="s">
        <v>57</v>
      </c>
      <c r="AU323" s="114" t="s">
        <v>63</v>
      </c>
      <c r="AY323" s="107" t="s">
        <v>228</v>
      </c>
      <c r="BK323" s="115">
        <f>SUM(BK324:BK326)</f>
        <v>32.159999999999997</v>
      </c>
    </row>
    <row r="324" spans="2:65" s="1" customFormat="1" ht="16.5" customHeight="1" x14ac:dyDescent="0.2">
      <c r="B324" s="118"/>
      <c r="C324" s="119" t="s">
        <v>400</v>
      </c>
      <c r="D324" s="119" t="s">
        <v>231</v>
      </c>
      <c r="E324" s="120" t="s">
        <v>3698</v>
      </c>
      <c r="F324" s="121" t="s">
        <v>3699</v>
      </c>
      <c r="G324" s="122" t="s">
        <v>1194</v>
      </c>
      <c r="H324" s="123">
        <v>2</v>
      </c>
      <c r="I324" s="124">
        <v>3.9</v>
      </c>
      <c r="J324" s="124">
        <f>ROUND(I324*H324,2)</f>
        <v>7.8</v>
      </c>
      <c r="K324" s="121" t="s">
        <v>1</v>
      </c>
      <c r="L324" s="24"/>
      <c r="M324" s="125" t="s">
        <v>1</v>
      </c>
      <c r="N324" s="126" t="s">
        <v>32</v>
      </c>
      <c r="O324" s="127">
        <v>0</v>
      </c>
      <c r="P324" s="127">
        <f>O324*H324</f>
        <v>0</v>
      </c>
      <c r="Q324" s="127">
        <v>0</v>
      </c>
      <c r="R324" s="127">
        <f>Q324*H324</f>
        <v>0</v>
      </c>
      <c r="S324" s="127">
        <v>0</v>
      </c>
      <c r="T324" s="128">
        <f>S324*H324</f>
        <v>0</v>
      </c>
      <c r="W324" s="199"/>
      <c r="X324" s="119" t="s">
        <v>400</v>
      </c>
      <c r="Y324" s="119" t="s">
        <v>231</v>
      </c>
      <c r="Z324" s="120" t="s">
        <v>3698</v>
      </c>
      <c r="AA324" s="121" t="s">
        <v>3699</v>
      </c>
      <c r="AB324" s="122" t="s">
        <v>1194</v>
      </c>
      <c r="AC324" s="123">
        <v>2</v>
      </c>
      <c r="AD324" s="124">
        <v>3.9</v>
      </c>
      <c r="AE324" s="200">
        <f>ROUND(AD324*AC324,2)</f>
        <v>7.8</v>
      </c>
      <c r="AF324" s="227"/>
      <c r="AG324" s="130"/>
      <c r="AH324" s="130"/>
      <c r="AR324" s="129" t="s">
        <v>235</v>
      </c>
      <c r="AT324" s="129" t="s">
        <v>231</v>
      </c>
      <c r="AU324" s="129" t="s">
        <v>76</v>
      </c>
      <c r="AY324" s="13" t="s">
        <v>228</v>
      </c>
      <c r="BE324" s="130">
        <f>IF(N324="základná",J324,0)</f>
        <v>0</v>
      </c>
      <c r="BF324" s="130">
        <f>IF(N324="znížená",J324,0)</f>
        <v>7.8</v>
      </c>
      <c r="BG324" s="130">
        <f>IF(N324="zákl. prenesená",J324,0)</f>
        <v>0</v>
      </c>
      <c r="BH324" s="130">
        <f>IF(N324="zníž. prenesená",J324,0)</f>
        <v>0</v>
      </c>
      <c r="BI324" s="130">
        <f>IF(N324="nulová",J324,0)</f>
        <v>0</v>
      </c>
      <c r="BJ324" s="13" t="s">
        <v>76</v>
      </c>
      <c r="BK324" s="130">
        <f>ROUND(I324*H324,2)</f>
        <v>7.8</v>
      </c>
      <c r="BL324" s="13" t="s">
        <v>235</v>
      </c>
      <c r="BM324" s="129" t="s">
        <v>580</v>
      </c>
    </row>
    <row r="325" spans="2:65" s="1" customFormat="1" ht="16.5" customHeight="1" x14ac:dyDescent="0.2">
      <c r="B325" s="118"/>
      <c r="C325" s="119" t="s">
        <v>405</v>
      </c>
      <c r="D325" s="119" t="s">
        <v>231</v>
      </c>
      <c r="E325" s="120" t="s">
        <v>3700</v>
      </c>
      <c r="F325" s="121" t="s">
        <v>3701</v>
      </c>
      <c r="G325" s="122" t="s">
        <v>1194</v>
      </c>
      <c r="H325" s="123">
        <v>4</v>
      </c>
      <c r="I325" s="124">
        <v>4.0599999999999996</v>
      </c>
      <c r="J325" s="124">
        <f>ROUND(I325*H325,2)</f>
        <v>16.239999999999998</v>
      </c>
      <c r="K325" s="121" t="s">
        <v>1</v>
      </c>
      <c r="L325" s="24"/>
      <c r="M325" s="125" t="s">
        <v>1</v>
      </c>
      <c r="N325" s="126" t="s">
        <v>32</v>
      </c>
      <c r="O325" s="127">
        <v>0</v>
      </c>
      <c r="P325" s="127">
        <f>O325*H325</f>
        <v>0</v>
      </c>
      <c r="Q325" s="127">
        <v>0</v>
      </c>
      <c r="R325" s="127">
        <f>Q325*H325</f>
        <v>0</v>
      </c>
      <c r="S325" s="127">
        <v>0</v>
      </c>
      <c r="T325" s="128">
        <f>S325*H325</f>
        <v>0</v>
      </c>
      <c r="W325" s="199"/>
      <c r="X325" s="119" t="s">
        <v>405</v>
      </c>
      <c r="Y325" s="119" t="s">
        <v>231</v>
      </c>
      <c r="Z325" s="120" t="s">
        <v>3700</v>
      </c>
      <c r="AA325" s="121" t="s">
        <v>3701</v>
      </c>
      <c r="AB325" s="122" t="s">
        <v>1194</v>
      </c>
      <c r="AC325" s="123">
        <v>4</v>
      </c>
      <c r="AD325" s="124">
        <v>4.0599999999999996</v>
      </c>
      <c r="AE325" s="200">
        <f>ROUND(AD325*AC325,2)</f>
        <v>16.239999999999998</v>
      </c>
      <c r="AF325" s="227"/>
      <c r="AG325" s="130"/>
      <c r="AH325" s="130"/>
      <c r="AR325" s="129" t="s">
        <v>235</v>
      </c>
      <c r="AT325" s="129" t="s">
        <v>231</v>
      </c>
      <c r="AU325" s="129" t="s">
        <v>76</v>
      </c>
      <c r="AY325" s="13" t="s">
        <v>228</v>
      </c>
      <c r="BE325" s="130">
        <f>IF(N325="základná",J325,0)</f>
        <v>0</v>
      </c>
      <c r="BF325" s="130">
        <f>IF(N325="znížená",J325,0)</f>
        <v>16.239999999999998</v>
      </c>
      <c r="BG325" s="130">
        <f>IF(N325="zákl. prenesená",J325,0)</f>
        <v>0</v>
      </c>
      <c r="BH325" s="130">
        <f>IF(N325="zníž. prenesená",J325,0)</f>
        <v>0</v>
      </c>
      <c r="BI325" s="130">
        <f>IF(N325="nulová",J325,0)</f>
        <v>0</v>
      </c>
      <c r="BJ325" s="13" t="s">
        <v>76</v>
      </c>
      <c r="BK325" s="130">
        <f>ROUND(I325*H325,2)</f>
        <v>16.239999999999998</v>
      </c>
      <c r="BL325" s="13" t="s">
        <v>235</v>
      </c>
      <c r="BM325" s="129" t="s">
        <v>585</v>
      </c>
    </row>
    <row r="326" spans="2:65" s="1" customFormat="1" ht="16.5" customHeight="1" x14ac:dyDescent="0.2">
      <c r="B326" s="118"/>
      <c r="C326" s="119" t="s">
        <v>404</v>
      </c>
      <c r="D326" s="119" t="s">
        <v>231</v>
      </c>
      <c r="E326" s="120" t="s">
        <v>3702</v>
      </c>
      <c r="F326" s="121" t="s">
        <v>3703</v>
      </c>
      <c r="G326" s="122" t="s">
        <v>1194</v>
      </c>
      <c r="H326" s="123">
        <v>2</v>
      </c>
      <c r="I326" s="124">
        <v>4.0599999999999996</v>
      </c>
      <c r="J326" s="124">
        <f>ROUND(I326*H326,2)</f>
        <v>8.1199999999999992</v>
      </c>
      <c r="K326" s="121" t="s">
        <v>1</v>
      </c>
      <c r="L326" s="24"/>
      <c r="M326" s="125" t="s">
        <v>1</v>
      </c>
      <c r="N326" s="126" t="s">
        <v>32</v>
      </c>
      <c r="O326" s="127">
        <v>0</v>
      </c>
      <c r="P326" s="127">
        <f>O326*H326</f>
        <v>0</v>
      </c>
      <c r="Q326" s="127">
        <v>0</v>
      </c>
      <c r="R326" s="127">
        <f>Q326*H326</f>
        <v>0</v>
      </c>
      <c r="S326" s="127">
        <v>0</v>
      </c>
      <c r="T326" s="128">
        <f>S326*H326</f>
        <v>0</v>
      </c>
      <c r="W326" s="199"/>
      <c r="X326" s="119" t="s">
        <v>404</v>
      </c>
      <c r="Y326" s="119" t="s">
        <v>231</v>
      </c>
      <c r="Z326" s="120" t="s">
        <v>3702</v>
      </c>
      <c r="AA326" s="121" t="s">
        <v>3703</v>
      </c>
      <c r="AB326" s="122" t="s">
        <v>1194</v>
      </c>
      <c r="AC326" s="123">
        <v>2</v>
      </c>
      <c r="AD326" s="124">
        <v>4.0599999999999996</v>
      </c>
      <c r="AE326" s="200">
        <f>ROUND(AD326*AC326,2)</f>
        <v>8.1199999999999992</v>
      </c>
      <c r="AF326" s="227"/>
      <c r="AG326" s="130"/>
      <c r="AH326" s="130"/>
      <c r="AR326" s="129" t="s">
        <v>235</v>
      </c>
      <c r="AT326" s="129" t="s">
        <v>231</v>
      </c>
      <c r="AU326" s="129" t="s">
        <v>76</v>
      </c>
      <c r="AY326" s="13" t="s">
        <v>228</v>
      </c>
      <c r="BE326" s="130">
        <f>IF(N326="základná",J326,0)</f>
        <v>0</v>
      </c>
      <c r="BF326" s="130">
        <f>IF(N326="znížená",J326,0)</f>
        <v>8.1199999999999992</v>
      </c>
      <c r="BG326" s="130">
        <f>IF(N326="zákl. prenesená",J326,0)</f>
        <v>0</v>
      </c>
      <c r="BH326" s="130">
        <f>IF(N326="zníž. prenesená",J326,0)</f>
        <v>0</v>
      </c>
      <c r="BI326" s="130">
        <f>IF(N326="nulová",J326,0)</f>
        <v>0</v>
      </c>
      <c r="BJ326" s="13" t="s">
        <v>76</v>
      </c>
      <c r="BK326" s="130">
        <f>ROUND(I326*H326,2)</f>
        <v>8.1199999999999992</v>
      </c>
      <c r="BL326" s="13" t="s">
        <v>235</v>
      </c>
      <c r="BM326" s="129" t="s">
        <v>588</v>
      </c>
    </row>
    <row r="327" spans="2:65" s="11" customFormat="1" ht="22.95" customHeight="1" x14ac:dyDescent="0.25">
      <c r="B327" s="106"/>
      <c r="D327" s="107" t="s">
        <v>57</v>
      </c>
      <c r="E327" s="116" t="s">
        <v>2467</v>
      </c>
      <c r="F327" s="116" t="s">
        <v>3704</v>
      </c>
      <c r="J327" s="117"/>
      <c r="L327" s="106"/>
      <c r="M327" s="110"/>
      <c r="N327" s="111"/>
      <c r="O327" s="111"/>
      <c r="P327" s="112">
        <v>0</v>
      </c>
      <c r="Q327" s="111"/>
      <c r="R327" s="112">
        <v>0</v>
      </c>
      <c r="S327" s="111"/>
      <c r="T327" s="113">
        <v>0</v>
      </c>
      <c r="W327" s="195"/>
      <c r="X327" s="111"/>
      <c r="Y327" s="196" t="s">
        <v>57</v>
      </c>
      <c r="Z327" s="201" t="s">
        <v>2467</v>
      </c>
      <c r="AA327" s="201" t="s">
        <v>3704</v>
      </c>
      <c r="AB327" s="111"/>
      <c r="AC327" s="111"/>
      <c r="AD327" s="111"/>
      <c r="AE327" s="202"/>
      <c r="AF327" s="248"/>
      <c r="AG327" s="130"/>
      <c r="AH327" s="130"/>
      <c r="AR327" s="107" t="s">
        <v>63</v>
      </c>
      <c r="AT327" s="114" t="s">
        <v>57</v>
      </c>
      <c r="AU327" s="114" t="s">
        <v>63</v>
      </c>
      <c r="AY327" s="107" t="s">
        <v>228</v>
      </c>
      <c r="BK327" s="115">
        <v>0</v>
      </c>
    </row>
    <row r="328" spans="2:65" s="11" customFormat="1" ht="22.95" customHeight="1" x14ac:dyDescent="0.25">
      <c r="B328" s="106"/>
      <c r="D328" s="107" t="s">
        <v>57</v>
      </c>
      <c r="E328" s="116" t="s">
        <v>2473</v>
      </c>
      <c r="F328" s="116" t="s">
        <v>3705</v>
      </c>
      <c r="J328" s="117">
        <f>BK328</f>
        <v>1715.0000000000002</v>
      </c>
      <c r="L328" s="106"/>
      <c r="M328" s="110"/>
      <c r="N328" s="111"/>
      <c r="O328" s="111"/>
      <c r="P328" s="112">
        <f>SUM(P329:P342)</f>
        <v>0</v>
      </c>
      <c r="Q328" s="111"/>
      <c r="R328" s="112">
        <f>SUM(R329:R342)</f>
        <v>0</v>
      </c>
      <c r="S328" s="111"/>
      <c r="T328" s="113">
        <f>SUM(T329:T342)</f>
        <v>0</v>
      </c>
      <c r="W328" s="195"/>
      <c r="X328" s="111"/>
      <c r="Y328" s="196" t="s">
        <v>57</v>
      </c>
      <c r="Z328" s="201" t="s">
        <v>2473</v>
      </c>
      <c r="AA328" s="201" t="s">
        <v>3705</v>
      </c>
      <c r="AB328" s="111"/>
      <c r="AC328" s="111"/>
      <c r="AD328" s="111"/>
      <c r="AE328" s="202">
        <f>SUM(AE329:AE342)</f>
        <v>1652.4099999999999</v>
      </c>
      <c r="AF328" s="248"/>
      <c r="AG328" s="130"/>
      <c r="AH328" s="130"/>
      <c r="AR328" s="107" t="s">
        <v>63</v>
      </c>
      <c r="AT328" s="114" t="s">
        <v>57</v>
      </c>
      <c r="AU328" s="114" t="s">
        <v>63</v>
      </c>
      <c r="AY328" s="107" t="s">
        <v>228</v>
      </c>
      <c r="BK328" s="115">
        <f>SUM(BK329:BK342)</f>
        <v>1715.0000000000002</v>
      </c>
    </row>
    <row r="329" spans="2:65" s="1" customFormat="1" ht="16.5" customHeight="1" x14ac:dyDescent="0.2">
      <c r="B329" s="118"/>
      <c r="C329" s="205" t="s">
        <v>436</v>
      </c>
      <c r="D329" s="119" t="s">
        <v>231</v>
      </c>
      <c r="E329" s="120" t="s">
        <v>3706</v>
      </c>
      <c r="F329" s="121" t="s">
        <v>3707</v>
      </c>
      <c r="G329" s="122" t="s">
        <v>1194</v>
      </c>
      <c r="H329" s="206">
        <v>34</v>
      </c>
      <c r="I329" s="124">
        <v>6</v>
      </c>
      <c r="J329" s="124">
        <f t="shared" ref="J329:J337" si="67">ROUND(I329*H329,2)</f>
        <v>204</v>
      </c>
      <c r="K329" s="121" t="s">
        <v>1</v>
      </c>
      <c r="L329" s="24"/>
      <c r="M329" s="125" t="s">
        <v>1</v>
      </c>
      <c r="N329" s="126" t="s">
        <v>32</v>
      </c>
      <c r="O329" s="127">
        <v>0</v>
      </c>
      <c r="P329" s="127">
        <f t="shared" ref="P329:P337" si="68">O329*H329</f>
        <v>0</v>
      </c>
      <c r="Q329" s="127">
        <v>0</v>
      </c>
      <c r="R329" s="127">
        <f t="shared" ref="R329:R337" si="69">Q329*H329</f>
        <v>0</v>
      </c>
      <c r="S329" s="127">
        <v>0</v>
      </c>
      <c r="T329" s="128">
        <f t="shared" ref="T329:T337" si="70">S329*H329</f>
        <v>0</v>
      </c>
      <c r="W329" s="199"/>
      <c r="X329" s="205" t="s">
        <v>436</v>
      </c>
      <c r="Y329" s="119" t="s">
        <v>231</v>
      </c>
      <c r="Z329" s="120" t="s">
        <v>3706</v>
      </c>
      <c r="AA329" s="121" t="s">
        <v>3707</v>
      </c>
      <c r="AB329" s="122" t="s">
        <v>1194</v>
      </c>
      <c r="AC329" s="206">
        <v>30</v>
      </c>
      <c r="AD329" s="124">
        <v>6</v>
      </c>
      <c r="AE329" s="200">
        <f t="shared" ref="AE329:AE337" si="71">ROUND(AD329*AC329,2)</f>
        <v>180</v>
      </c>
      <c r="AF329" s="227">
        <v>7</v>
      </c>
      <c r="AG329" s="130"/>
      <c r="AH329" s="130"/>
      <c r="AR329" s="129" t="s">
        <v>235</v>
      </c>
      <c r="AT329" s="129" t="s">
        <v>231</v>
      </c>
      <c r="AU329" s="129" t="s">
        <v>76</v>
      </c>
      <c r="AY329" s="13" t="s">
        <v>228</v>
      </c>
      <c r="BE329" s="130">
        <f t="shared" ref="BE329:BE337" si="72">IF(N329="základná",J329,0)</f>
        <v>0</v>
      </c>
      <c r="BF329" s="130">
        <f t="shared" ref="BF329:BF337" si="73">IF(N329="znížená",J329,0)</f>
        <v>204</v>
      </c>
      <c r="BG329" s="130">
        <f t="shared" ref="BG329:BG337" si="74">IF(N329="zákl. prenesená",J329,0)</f>
        <v>0</v>
      </c>
      <c r="BH329" s="130">
        <f t="shared" ref="BH329:BH337" si="75">IF(N329="zníž. prenesená",J329,0)</f>
        <v>0</v>
      </c>
      <c r="BI329" s="130">
        <f t="shared" ref="BI329:BI337" si="76">IF(N329="nulová",J329,0)</f>
        <v>0</v>
      </c>
      <c r="BJ329" s="13" t="s">
        <v>76</v>
      </c>
      <c r="BK329" s="130">
        <f t="shared" ref="BK329:BK337" si="77">ROUND(I329*H329,2)</f>
        <v>204</v>
      </c>
      <c r="BL329" s="13" t="s">
        <v>235</v>
      </c>
      <c r="BM329" s="129" t="s">
        <v>591</v>
      </c>
    </row>
    <row r="330" spans="2:65" s="1" customFormat="1" ht="16.5" customHeight="1" x14ac:dyDescent="0.2">
      <c r="B330" s="118"/>
      <c r="C330" s="205" t="s">
        <v>410</v>
      </c>
      <c r="D330" s="119" t="s">
        <v>231</v>
      </c>
      <c r="E330" s="120" t="s">
        <v>3708</v>
      </c>
      <c r="F330" s="121" t="s">
        <v>3709</v>
      </c>
      <c r="G330" s="122" t="s">
        <v>1194</v>
      </c>
      <c r="H330" s="206">
        <v>10</v>
      </c>
      <c r="I330" s="124">
        <v>7.28</v>
      </c>
      <c r="J330" s="124">
        <f t="shared" si="67"/>
        <v>72.8</v>
      </c>
      <c r="K330" s="121" t="s">
        <v>1</v>
      </c>
      <c r="L330" s="24"/>
      <c r="M330" s="125" t="s">
        <v>1</v>
      </c>
      <c r="N330" s="126" t="s">
        <v>32</v>
      </c>
      <c r="O330" s="127">
        <v>0</v>
      </c>
      <c r="P330" s="127">
        <f t="shared" si="68"/>
        <v>0</v>
      </c>
      <c r="Q330" s="127">
        <v>0</v>
      </c>
      <c r="R330" s="127">
        <f t="shared" si="69"/>
        <v>0</v>
      </c>
      <c r="S330" s="127">
        <v>0</v>
      </c>
      <c r="T330" s="128">
        <f t="shared" si="70"/>
        <v>0</v>
      </c>
      <c r="W330" s="199"/>
      <c r="X330" s="205" t="s">
        <v>410</v>
      </c>
      <c r="Y330" s="119" t="s">
        <v>231</v>
      </c>
      <c r="Z330" s="120" t="s">
        <v>3708</v>
      </c>
      <c r="AA330" s="121" t="s">
        <v>3709</v>
      </c>
      <c r="AB330" s="122" t="s">
        <v>1194</v>
      </c>
      <c r="AC330" s="206">
        <v>6</v>
      </c>
      <c r="AD330" s="124">
        <v>7.28</v>
      </c>
      <c r="AE330" s="200">
        <f t="shared" si="71"/>
        <v>43.68</v>
      </c>
      <c r="AF330" s="227">
        <v>7</v>
      </c>
      <c r="AG330" s="130"/>
      <c r="AH330" s="130"/>
      <c r="AR330" s="129" t="s">
        <v>235</v>
      </c>
      <c r="AT330" s="129" t="s">
        <v>231</v>
      </c>
      <c r="AU330" s="129" t="s">
        <v>76</v>
      </c>
      <c r="AY330" s="13" t="s">
        <v>228</v>
      </c>
      <c r="BE330" s="130">
        <f t="shared" si="72"/>
        <v>0</v>
      </c>
      <c r="BF330" s="130">
        <f t="shared" si="73"/>
        <v>72.8</v>
      </c>
      <c r="BG330" s="130">
        <f t="shared" si="74"/>
        <v>0</v>
      </c>
      <c r="BH330" s="130">
        <f t="shared" si="75"/>
        <v>0</v>
      </c>
      <c r="BI330" s="130">
        <f t="shared" si="76"/>
        <v>0</v>
      </c>
      <c r="BJ330" s="13" t="s">
        <v>76</v>
      </c>
      <c r="BK330" s="130">
        <f t="shared" si="77"/>
        <v>72.8</v>
      </c>
      <c r="BL330" s="13" t="s">
        <v>235</v>
      </c>
      <c r="BM330" s="129" t="s">
        <v>594</v>
      </c>
    </row>
    <row r="331" spans="2:65" s="1" customFormat="1" ht="16.5" customHeight="1" x14ac:dyDescent="0.2">
      <c r="B331" s="118"/>
      <c r="C331" s="205" t="s">
        <v>595</v>
      </c>
      <c r="D331" s="119" t="s">
        <v>231</v>
      </c>
      <c r="E331" s="120" t="s">
        <v>3710</v>
      </c>
      <c r="F331" s="121" t="s">
        <v>3711</v>
      </c>
      <c r="G331" s="122" t="s">
        <v>1194</v>
      </c>
      <c r="H331" s="206">
        <v>6</v>
      </c>
      <c r="I331" s="124">
        <v>7.66</v>
      </c>
      <c r="J331" s="124">
        <f t="shared" si="67"/>
        <v>45.96</v>
      </c>
      <c r="K331" s="121" t="s">
        <v>1</v>
      </c>
      <c r="L331" s="24"/>
      <c r="M331" s="125" t="s">
        <v>1</v>
      </c>
      <c r="N331" s="126" t="s">
        <v>32</v>
      </c>
      <c r="O331" s="127">
        <v>0</v>
      </c>
      <c r="P331" s="127">
        <f t="shared" si="68"/>
        <v>0</v>
      </c>
      <c r="Q331" s="127">
        <v>0</v>
      </c>
      <c r="R331" s="127">
        <f t="shared" si="69"/>
        <v>0</v>
      </c>
      <c r="S331" s="127">
        <v>0</v>
      </c>
      <c r="T331" s="128">
        <f t="shared" si="70"/>
        <v>0</v>
      </c>
      <c r="W331" s="199"/>
      <c r="X331" s="205" t="s">
        <v>595</v>
      </c>
      <c r="Y331" s="119" t="s">
        <v>231</v>
      </c>
      <c r="Z331" s="120" t="s">
        <v>3710</v>
      </c>
      <c r="AA331" s="121" t="s">
        <v>3711</v>
      </c>
      <c r="AB331" s="122" t="s">
        <v>1194</v>
      </c>
      <c r="AC331" s="206">
        <v>4</v>
      </c>
      <c r="AD331" s="124">
        <v>7.66</v>
      </c>
      <c r="AE331" s="200">
        <f t="shared" si="71"/>
        <v>30.64</v>
      </c>
      <c r="AF331" s="227">
        <v>7</v>
      </c>
      <c r="AG331" s="130"/>
      <c r="AH331" s="130"/>
      <c r="AR331" s="129" t="s">
        <v>235</v>
      </c>
      <c r="AT331" s="129" t="s">
        <v>231</v>
      </c>
      <c r="AU331" s="129" t="s">
        <v>76</v>
      </c>
      <c r="AY331" s="13" t="s">
        <v>228</v>
      </c>
      <c r="BE331" s="130">
        <f t="shared" si="72"/>
        <v>0</v>
      </c>
      <c r="BF331" s="130">
        <f t="shared" si="73"/>
        <v>45.96</v>
      </c>
      <c r="BG331" s="130">
        <f t="shared" si="74"/>
        <v>0</v>
      </c>
      <c r="BH331" s="130">
        <f t="shared" si="75"/>
        <v>0</v>
      </c>
      <c r="BI331" s="130">
        <f t="shared" si="76"/>
        <v>0</v>
      </c>
      <c r="BJ331" s="13" t="s">
        <v>76</v>
      </c>
      <c r="BK331" s="130">
        <f t="shared" si="77"/>
        <v>45.96</v>
      </c>
      <c r="BL331" s="13" t="s">
        <v>235</v>
      </c>
      <c r="BM331" s="129" t="s">
        <v>598</v>
      </c>
    </row>
    <row r="332" spans="2:65" s="1" customFormat="1" ht="16.5" customHeight="1" x14ac:dyDescent="0.2">
      <c r="B332" s="118"/>
      <c r="C332" s="119" t="s">
        <v>414</v>
      </c>
      <c r="D332" s="119" t="s">
        <v>231</v>
      </c>
      <c r="E332" s="120" t="s">
        <v>3712</v>
      </c>
      <c r="F332" s="121" t="s">
        <v>3713</v>
      </c>
      <c r="G332" s="122" t="s">
        <v>1194</v>
      </c>
      <c r="H332" s="123">
        <v>2</v>
      </c>
      <c r="I332" s="124">
        <v>8.4499999999999993</v>
      </c>
      <c r="J332" s="124">
        <f t="shared" si="67"/>
        <v>16.899999999999999</v>
      </c>
      <c r="K332" s="121" t="s">
        <v>1</v>
      </c>
      <c r="L332" s="24"/>
      <c r="M332" s="125" t="s">
        <v>1</v>
      </c>
      <c r="N332" s="126" t="s">
        <v>32</v>
      </c>
      <c r="O332" s="127">
        <v>0</v>
      </c>
      <c r="P332" s="127">
        <f t="shared" si="68"/>
        <v>0</v>
      </c>
      <c r="Q332" s="127">
        <v>0</v>
      </c>
      <c r="R332" s="127">
        <f t="shared" si="69"/>
        <v>0</v>
      </c>
      <c r="S332" s="127">
        <v>0</v>
      </c>
      <c r="T332" s="128">
        <f t="shared" si="70"/>
        <v>0</v>
      </c>
      <c r="W332" s="199"/>
      <c r="X332" s="119" t="s">
        <v>414</v>
      </c>
      <c r="Y332" s="119" t="s">
        <v>231</v>
      </c>
      <c r="Z332" s="120" t="s">
        <v>3712</v>
      </c>
      <c r="AA332" s="121" t="s">
        <v>3713</v>
      </c>
      <c r="AB332" s="122" t="s">
        <v>1194</v>
      </c>
      <c r="AC332" s="123">
        <v>2</v>
      </c>
      <c r="AD332" s="124">
        <v>8.4499999999999993</v>
      </c>
      <c r="AE332" s="200">
        <f t="shared" si="71"/>
        <v>16.899999999999999</v>
      </c>
      <c r="AF332" s="227"/>
      <c r="AG332" s="130"/>
      <c r="AH332" s="130"/>
      <c r="AR332" s="129" t="s">
        <v>235</v>
      </c>
      <c r="AT332" s="129" t="s">
        <v>231</v>
      </c>
      <c r="AU332" s="129" t="s">
        <v>76</v>
      </c>
      <c r="AY332" s="13" t="s">
        <v>228</v>
      </c>
      <c r="BE332" s="130">
        <f t="shared" si="72"/>
        <v>0</v>
      </c>
      <c r="BF332" s="130">
        <f t="shared" si="73"/>
        <v>16.899999999999999</v>
      </c>
      <c r="BG332" s="130">
        <f t="shared" si="74"/>
        <v>0</v>
      </c>
      <c r="BH332" s="130">
        <f t="shared" si="75"/>
        <v>0</v>
      </c>
      <c r="BI332" s="130">
        <f t="shared" si="76"/>
        <v>0</v>
      </c>
      <c r="BJ332" s="13" t="s">
        <v>76</v>
      </c>
      <c r="BK332" s="130">
        <f t="shared" si="77"/>
        <v>16.899999999999999</v>
      </c>
      <c r="BL332" s="13" t="s">
        <v>235</v>
      </c>
      <c r="BM332" s="129" t="s">
        <v>601</v>
      </c>
    </row>
    <row r="333" spans="2:65" s="1" customFormat="1" ht="16.5" customHeight="1" x14ac:dyDescent="0.2">
      <c r="B333" s="118"/>
      <c r="C333" s="119" t="s">
        <v>602</v>
      </c>
      <c r="D333" s="119" t="s">
        <v>231</v>
      </c>
      <c r="E333" s="120" t="s">
        <v>3714</v>
      </c>
      <c r="F333" s="121" t="s">
        <v>3715</v>
      </c>
      <c r="G333" s="122" t="s">
        <v>1194</v>
      </c>
      <c r="H333" s="123">
        <v>2</v>
      </c>
      <c r="I333" s="124">
        <v>8.44</v>
      </c>
      <c r="J333" s="124">
        <f t="shared" si="67"/>
        <v>16.88</v>
      </c>
      <c r="K333" s="121" t="s">
        <v>1</v>
      </c>
      <c r="L333" s="24"/>
      <c r="M333" s="125" t="s">
        <v>1</v>
      </c>
      <c r="N333" s="126" t="s">
        <v>32</v>
      </c>
      <c r="O333" s="127">
        <v>0</v>
      </c>
      <c r="P333" s="127">
        <f t="shared" si="68"/>
        <v>0</v>
      </c>
      <c r="Q333" s="127">
        <v>0</v>
      </c>
      <c r="R333" s="127">
        <f t="shared" si="69"/>
        <v>0</v>
      </c>
      <c r="S333" s="127">
        <v>0</v>
      </c>
      <c r="T333" s="128">
        <f t="shared" si="70"/>
        <v>0</v>
      </c>
      <c r="W333" s="199"/>
      <c r="X333" s="119" t="s">
        <v>602</v>
      </c>
      <c r="Y333" s="119" t="s">
        <v>231</v>
      </c>
      <c r="Z333" s="120" t="s">
        <v>3714</v>
      </c>
      <c r="AA333" s="121" t="s">
        <v>3715</v>
      </c>
      <c r="AB333" s="122" t="s">
        <v>1194</v>
      </c>
      <c r="AC333" s="123">
        <v>2</v>
      </c>
      <c r="AD333" s="124">
        <v>8.44</v>
      </c>
      <c r="AE333" s="200">
        <f t="shared" si="71"/>
        <v>16.88</v>
      </c>
      <c r="AF333" s="227"/>
      <c r="AG333" s="130"/>
      <c r="AH333" s="130"/>
      <c r="AR333" s="129" t="s">
        <v>235</v>
      </c>
      <c r="AT333" s="129" t="s">
        <v>231</v>
      </c>
      <c r="AU333" s="129" t="s">
        <v>76</v>
      </c>
      <c r="AY333" s="13" t="s">
        <v>228</v>
      </c>
      <c r="BE333" s="130">
        <f t="shared" si="72"/>
        <v>0</v>
      </c>
      <c r="BF333" s="130">
        <f t="shared" si="73"/>
        <v>16.88</v>
      </c>
      <c r="BG333" s="130">
        <f t="shared" si="74"/>
        <v>0</v>
      </c>
      <c r="BH333" s="130">
        <f t="shared" si="75"/>
        <v>0</v>
      </c>
      <c r="BI333" s="130">
        <f t="shared" si="76"/>
        <v>0</v>
      </c>
      <c r="BJ333" s="13" t="s">
        <v>76</v>
      </c>
      <c r="BK333" s="130">
        <f t="shared" si="77"/>
        <v>16.88</v>
      </c>
      <c r="BL333" s="13" t="s">
        <v>235</v>
      </c>
      <c r="BM333" s="129" t="s">
        <v>605</v>
      </c>
    </row>
    <row r="334" spans="2:65" s="1" customFormat="1" ht="16.5" customHeight="1" x14ac:dyDescent="0.2">
      <c r="B334" s="118"/>
      <c r="C334" s="119" t="s">
        <v>418</v>
      </c>
      <c r="D334" s="119" t="s">
        <v>231</v>
      </c>
      <c r="E334" s="120" t="s">
        <v>3716</v>
      </c>
      <c r="F334" s="121" t="s">
        <v>3717</v>
      </c>
      <c r="G334" s="122" t="s">
        <v>1194</v>
      </c>
      <c r="H334" s="123">
        <v>2</v>
      </c>
      <c r="I334" s="124">
        <v>7.28</v>
      </c>
      <c r="J334" s="124">
        <f t="shared" si="67"/>
        <v>14.56</v>
      </c>
      <c r="K334" s="121" t="s">
        <v>1</v>
      </c>
      <c r="L334" s="24"/>
      <c r="M334" s="125" t="s">
        <v>1</v>
      </c>
      <c r="N334" s="126" t="s">
        <v>32</v>
      </c>
      <c r="O334" s="127">
        <v>0</v>
      </c>
      <c r="P334" s="127">
        <f t="shared" si="68"/>
        <v>0</v>
      </c>
      <c r="Q334" s="127">
        <v>0</v>
      </c>
      <c r="R334" s="127">
        <f t="shared" si="69"/>
        <v>0</v>
      </c>
      <c r="S334" s="127">
        <v>0</v>
      </c>
      <c r="T334" s="128">
        <f t="shared" si="70"/>
        <v>0</v>
      </c>
      <c r="W334" s="199"/>
      <c r="X334" s="119" t="s">
        <v>418</v>
      </c>
      <c r="Y334" s="119" t="s">
        <v>231</v>
      </c>
      <c r="Z334" s="120" t="s">
        <v>3716</v>
      </c>
      <c r="AA334" s="121" t="s">
        <v>3717</v>
      </c>
      <c r="AB334" s="122" t="s">
        <v>1194</v>
      </c>
      <c r="AC334" s="123">
        <v>2</v>
      </c>
      <c r="AD334" s="124">
        <v>7.28</v>
      </c>
      <c r="AE334" s="200">
        <f t="shared" si="71"/>
        <v>14.56</v>
      </c>
      <c r="AF334" s="227"/>
      <c r="AG334" s="130"/>
      <c r="AH334" s="130"/>
      <c r="AR334" s="129" t="s">
        <v>235</v>
      </c>
      <c r="AT334" s="129" t="s">
        <v>231</v>
      </c>
      <c r="AU334" s="129" t="s">
        <v>76</v>
      </c>
      <c r="AY334" s="13" t="s">
        <v>228</v>
      </c>
      <c r="BE334" s="130">
        <f t="shared" si="72"/>
        <v>0</v>
      </c>
      <c r="BF334" s="130">
        <f t="shared" si="73"/>
        <v>14.56</v>
      </c>
      <c r="BG334" s="130">
        <f t="shared" si="74"/>
        <v>0</v>
      </c>
      <c r="BH334" s="130">
        <f t="shared" si="75"/>
        <v>0</v>
      </c>
      <c r="BI334" s="130">
        <f t="shared" si="76"/>
        <v>0</v>
      </c>
      <c r="BJ334" s="13" t="s">
        <v>76</v>
      </c>
      <c r="BK334" s="130">
        <f t="shared" si="77"/>
        <v>14.56</v>
      </c>
      <c r="BL334" s="13" t="s">
        <v>235</v>
      </c>
      <c r="BM334" s="129" t="s">
        <v>610</v>
      </c>
    </row>
    <row r="335" spans="2:65" s="151" customFormat="1" ht="16.5" customHeight="1" x14ac:dyDescent="0.2">
      <c r="B335" s="118"/>
      <c r="C335" s="1234" t="s">
        <v>5205</v>
      </c>
      <c r="D335" s="1235"/>
      <c r="E335" s="1235"/>
      <c r="F335" s="1235"/>
      <c r="G335" s="1235"/>
      <c r="H335" s="1235"/>
      <c r="I335" s="1235"/>
      <c r="J335" s="1236"/>
      <c r="K335" s="121"/>
      <c r="L335" s="24"/>
      <c r="M335" s="125"/>
      <c r="N335" s="126"/>
      <c r="O335" s="127"/>
      <c r="P335" s="127"/>
      <c r="Q335" s="127"/>
      <c r="R335" s="127"/>
      <c r="S335" s="127"/>
      <c r="T335" s="128"/>
      <c r="W335" s="199"/>
      <c r="X335" s="215" t="s">
        <v>5261</v>
      </c>
      <c r="Y335" s="215" t="s">
        <v>231</v>
      </c>
      <c r="Z335" s="216" t="s">
        <v>5259</v>
      </c>
      <c r="AA335" s="217" t="s">
        <v>5260</v>
      </c>
      <c r="AB335" s="218" t="s">
        <v>1194</v>
      </c>
      <c r="AC335" s="219">
        <v>2</v>
      </c>
      <c r="AD335" s="220">
        <v>7.28</v>
      </c>
      <c r="AE335" s="221">
        <f t="shared" si="71"/>
        <v>14.56</v>
      </c>
      <c r="AF335" s="227">
        <v>7</v>
      </c>
      <c r="AG335" s="130"/>
      <c r="AH335" s="130"/>
      <c r="AR335" s="129"/>
      <c r="AT335" s="129"/>
      <c r="AU335" s="129"/>
      <c r="AY335" s="13"/>
      <c r="BE335" s="130"/>
      <c r="BF335" s="130"/>
      <c r="BG335" s="130"/>
      <c r="BH335" s="130"/>
      <c r="BI335" s="130"/>
      <c r="BJ335" s="13"/>
      <c r="BK335" s="130"/>
      <c r="BL335" s="13"/>
      <c r="BM335" s="129"/>
    </row>
    <row r="336" spans="2:65" s="1" customFormat="1" ht="24" customHeight="1" x14ac:dyDescent="0.2">
      <c r="B336" s="118"/>
      <c r="C336" s="205" t="s">
        <v>613</v>
      </c>
      <c r="D336" s="119" t="s">
        <v>231</v>
      </c>
      <c r="E336" s="120" t="s">
        <v>3718</v>
      </c>
      <c r="F336" s="121" t="s">
        <v>3719</v>
      </c>
      <c r="G336" s="122" t="s">
        <v>1194</v>
      </c>
      <c r="H336" s="206">
        <v>58</v>
      </c>
      <c r="I336" s="124">
        <v>4.1399999999999997</v>
      </c>
      <c r="J336" s="124">
        <f t="shared" si="67"/>
        <v>240.12</v>
      </c>
      <c r="K336" s="121" t="s">
        <v>1</v>
      </c>
      <c r="L336" s="24"/>
      <c r="M336" s="125" t="s">
        <v>1</v>
      </c>
      <c r="N336" s="126" t="s">
        <v>32</v>
      </c>
      <c r="O336" s="127">
        <v>0</v>
      </c>
      <c r="P336" s="127">
        <f t="shared" si="68"/>
        <v>0</v>
      </c>
      <c r="Q336" s="127">
        <v>0</v>
      </c>
      <c r="R336" s="127">
        <f t="shared" si="69"/>
        <v>0</v>
      </c>
      <c r="S336" s="127">
        <v>0</v>
      </c>
      <c r="T336" s="128">
        <f t="shared" si="70"/>
        <v>0</v>
      </c>
      <c r="W336" s="199"/>
      <c r="X336" s="205" t="s">
        <v>613</v>
      </c>
      <c r="Y336" s="119" t="s">
        <v>231</v>
      </c>
      <c r="Z336" s="120" t="s">
        <v>3718</v>
      </c>
      <c r="AA336" s="121" t="s">
        <v>3719</v>
      </c>
      <c r="AB336" s="122" t="s">
        <v>1194</v>
      </c>
      <c r="AC336" s="206">
        <v>56</v>
      </c>
      <c r="AD336" s="124">
        <v>4.1399999999999997</v>
      </c>
      <c r="AE336" s="200">
        <f t="shared" si="71"/>
        <v>231.84</v>
      </c>
      <c r="AF336" s="227">
        <v>7</v>
      </c>
      <c r="AG336" s="130"/>
      <c r="AH336" s="130"/>
      <c r="AR336" s="129" t="s">
        <v>235</v>
      </c>
      <c r="AT336" s="129" t="s">
        <v>231</v>
      </c>
      <c r="AU336" s="129" t="s">
        <v>76</v>
      </c>
      <c r="AY336" s="13" t="s">
        <v>228</v>
      </c>
      <c r="BE336" s="130">
        <f t="shared" si="72"/>
        <v>0</v>
      </c>
      <c r="BF336" s="130">
        <f t="shared" si="73"/>
        <v>240.12</v>
      </c>
      <c r="BG336" s="130">
        <f t="shared" si="74"/>
        <v>0</v>
      </c>
      <c r="BH336" s="130">
        <f t="shared" si="75"/>
        <v>0</v>
      </c>
      <c r="BI336" s="130">
        <f t="shared" si="76"/>
        <v>0</v>
      </c>
      <c r="BJ336" s="13" t="s">
        <v>76</v>
      </c>
      <c r="BK336" s="130">
        <f t="shared" si="77"/>
        <v>240.12</v>
      </c>
      <c r="BL336" s="13" t="s">
        <v>235</v>
      </c>
      <c r="BM336" s="129" t="s">
        <v>616</v>
      </c>
    </row>
    <row r="337" spans="2:65" s="1" customFormat="1" ht="24" customHeight="1" x14ac:dyDescent="0.2">
      <c r="B337" s="118"/>
      <c r="C337" s="205" t="s">
        <v>421</v>
      </c>
      <c r="D337" s="119" t="s">
        <v>231</v>
      </c>
      <c r="E337" s="120" t="s">
        <v>3720</v>
      </c>
      <c r="F337" s="121" t="s">
        <v>3721</v>
      </c>
      <c r="G337" s="122" t="s">
        <v>3722</v>
      </c>
      <c r="H337" s="206">
        <v>29</v>
      </c>
      <c r="I337" s="124">
        <v>14.68</v>
      </c>
      <c r="J337" s="124">
        <f t="shared" si="67"/>
        <v>425.72</v>
      </c>
      <c r="K337" s="121" t="s">
        <v>1</v>
      </c>
      <c r="L337" s="24"/>
      <c r="M337" s="125" t="s">
        <v>1</v>
      </c>
      <c r="N337" s="126" t="s">
        <v>32</v>
      </c>
      <c r="O337" s="127">
        <v>0</v>
      </c>
      <c r="P337" s="127">
        <f t="shared" si="68"/>
        <v>0</v>
      </c>
      <c r="Q337" s="127">
        <v>0</v>
      </c>
      <c r="R337" s="127">
        <f t="shared" si="69"/>
        <v>0</v>
      </c>
      <c r="S337" s="127">
        <v>0</v>
      </c>
      <c r="T337" s="128">
        <f t="shared" si="70"/>
        <v>0</v>
      </c>
      <c r="W337" s="199"/>
      <c r="X337" s="205" t="s">
        <v>421</v>
      </c>
      <c r="Y337" s="119" t="s">
        <v>231</v>
      </c>
      <c r="Z337" s="120" t="s">
        <v>3720</v>
      </c>
      <c r="AA337" s="121" t="s">
        <v>3721</v>
      </c>
      <c r="AB337" s="122" t="s">
        <v>3722</v>
      </c>
      <c r="AC337" s="206">
        <v>28</v>
      </c>
      <c r="AD337" s="124">
        <v>14.68</v>
      </c>
      <c r="AE337" s="200">
        <f t="shared" si="71"/>
        <v>411.04</v>
      </c>
      <c r="AF337" s="227">
        <v>7</v>
      </c>
      <c r="AG337" s="130"/>
      <c r="AH337" s="130"/>
      <c r="AR337" s="129" t="s">
        <v>235</v>
      </c>
      <c r="AT337" s="129" t="s">
        <v>231</v>
      </c>
      <c r="AU337" s="129" t="s">
        <v>76</v>
      </c>
      <c r="AY337" s="13" t="s">
        <v>228</v>
      </c>
      <c r="BE337" s="130">
        <f t="shared" si="72"/>
        <v>0</v>
      </c>
      <c r="BF337" s="130">
        <f t="shared" si="73"/>
        <v>425.72</v>
      </c>
      <c r="BG337" s="130">
        <f t="shared" si="74"/>
        <v>0</v>
      </c>
      <c r="BH337" s="130">
        <f t="shared" si="75"/>
        <v>0</v>
      </c>
      <c r="BI337" s="130">
        <f t="shared" si="76"/>
        <v>0</v>
      </c>
      <c r="BJ337" s="13" t="s">
        <v>76</v>
      </c>
      <c r="BK337" s="130">
        <f t="shared" si="77"/>
        <v>425.72</v>
      </c>
      <c r="BL337" s="13" t="s">
        <v>235</v>
      </c>
      <c r="BM337" s="129" t="s">
        <v>619</v>
      </c>
    </row>
    <row r="338" spans="2:65" s="1" customFormat="1" ht="19.2" x14ac:dyDescent="0.2">
      <c r="B338" s="24"/>
      <c r="D338" s="144" t="s">
        <v>1259</v>
      </c>
      <c r="F338" s="145" t="s">
        <v>3723</v>
      </c>
      <c r="L338" s="24"/>
      <c r="M338" s="146"/>
      <c r="N338" s="42"/>
      <c r="O338" s="42"/>
      <c r="P338" s="42"/>
      <c r="Q338" s="42"/>
      <c r="R338" s="42"/>
      <c r="S338" s="42"/>
      <c r="T338" s="43"/>
      <c r="W338" s="158"/>
      <c r="X338" s="283"/>
      <c r="Y338" s="203" t="s">
        <v>1259</v>
      </c>
      <c r="Z338" s="283"/>
      <c r="AA338" s="204" t="s">
        <v>3723</v>
      </c>
      <c r="AB338" s="283"/>
      <c r="AC338" s="283"/>
      <c r="AD338" s="283"/>
      <c r="AE338" s="159"/>
      <c r="AF338" s="227"/>
      <c r="AG338" s="130"/>
      <c r="AH338" s="130"/>
      <c r="AT338" s="13" t="s">
        <v>1259</v>
      </c>
      <c r="AU338" s="13" t="s">
        <v>76</v>
      </c>
    </row>
    <row r="339" spans="2:65" s="1" customFormat="1" ht="16.5" customHeight="1" x14ac:dyDescent="0.2">
      <c r="B339" s="118"/>
      <c r="C339" s="205" t="s">
        <v>620</v>
      </c>
      <c r="D339" s="119" t="s">
        <v>231</v>
      </c>
      <c r="E339" s="120" t="s">
        <v>3724</v>
      </c>
      <c r="F339" s="121" t="s">
        <v>3725</v>
      </c>
      <c r="G339" s="122" t="s">
        <v>1194</v>
      </c>
      <c r="H339" s="206">
        <v>29</v>
      </c>
      <c r="I339" s="124">
        <v>15.67</v>
      </c>
      <c r="J339" s="124">
        <f>ROUND(I339*H339,2)</f>
        <v>454.43</v>
      </c>
      <c r="K339" s="121" t="s">
        <v>1</v>
      </c>
      <c r="L339" s="24"/>
      <c r="M339" s="125" t="s">
        <v>1</v>
      </c>
      <c r="N339" s="126" t="s">
        <v>32</v>
      </c>
      <c r="O339" s="127">
        <v>0</v>
      </c>
      <c r="P339" s="127">
        <f>O339*H339</f>
        <v>0</v>
      </c>
      <c r="Q339" s="127">
        <v>0</v>
      </c>
      <c r="R339" s="127">
        <f>Q339*H339</f>
        <v>0</v>
      </c>
      <c r="S339" s="127">
        <v>0</v>
      </c>
      <c r="T339" s="128">
        <f>S339*H339</f>
        <v>0</v>
      </c>
      <c r="W339" s="199"/>
      <c r="X339" s="205" t="s">
        <v>620</v>
      </c>
      <c r="Y339" s="119" t="s">
        <v>231</v>
      </c>
      <c r="Z339" s="120" t="s">
        <v>3724</v>
      </c>
      <c r="AA339" s="121" t="s">
        <v>3725</v>
      </c>
      <c r="AB339" s="122" t="s">
        <v>1194</v>
      </c>
      <c r="AC339" s="206">
        <v>28</v>
      </c>
      <c r="AD339" s="124">
        <v>15.67</v>
      </c>
      <c r="AE339" s="200">
        <f>ROUND(AD339*AC339,2)</f>
        <v>438.76</v>
      </c>
      <c r="AF339" s="227">
        <v>7</v>
      </c>
      <c r="AG339" s="130"/>
      <c r="AH339" s="130"/>
      <c r="AR339" s="129" t="s">
        <v>235</v>
      </c>
      <c r="AT339" s="129" t="s">
        <v>231</v>
      </c>
      <c r="AU339" s="129" t="s">
        <v>76</v>
      </c>
      <c r="AY339" s="13" t="s">
        <v>228</v>
      </c>
      <c r="BE339" s="130">
        <f>IF(N339="základná",J339,0)</f>
        <v>0</v>
      </c>
      <c r="BF339" s="130">
        <f>IF(N339="znížená",J339,0)</f>
        <v>454.43</v>
      </c>
      <c r="BG339" s="130">
        <f>IF(N339="zákl. prenesená",J339,0)</f>
        <v>0</v>
      </c>
      <c r="BH339" s="130">
        <f>IF(N339="zníž. prenesená",J339,0)</f>
        <v>0</v>
      </c>
      <c r="BI339" s="130">
        <f>IF(N339="nulová",J339,0)</f>
        <v>0</v>
      </c>
      <c r="BJ339" s="13" t="s">
        <v>76</v>
      </c>
      <c r="BK339" s="130">
        <f>ROUND(I339*H339,2)</f>
        <v>454.43</v>
      </c>
      <c r="BL339" s="13" t="s">
        <v>235</v>
      </c>
      <c r="BM339" s="129" t="s">
        <v>623</v>
      </c>
    </row>
    <row r="340" spans="2:65" s="1" customFormat="1" ht="16.5" customHeight="1" x14ac:dyDescent="0.2">
      <c r="B340" s="118"/>
      <c r="C340" s="205" t="s">
        <v>425</v>
      </c>
      <c r="D340" s="119" t="s">
        <v>231</v>
      </c>
      <c r="E340" s="120" t="s">
        <v>3726</v>
      </c>
      <c r="F340" s="121" t="s">
        <v>3727</v>
      </c>
      <c r="G340" s="122" t="s">
        <v>1194</v>
      </c>
      <c r="H340" s="206">
        <v>130</v>
      </c>
      <c r="I340" s="124">
        <v>0.44</v>
      </c>
      <c r="J340" s="124">
        <f>ROUND(I340*H340,2)</f>
        <v>57.2</v>
      </c>
      <c r="K340" s="121" t="s">
        <v>1</v>
      </c>
      <c r="L340" s="24"/>
      <c r="M340" s="125" t="s">
        <v>1</v>
      </c>
      <c r="N340" s="126" t="s">
        <v>32</v>
      </c>
      <c r="O340" s="127">
        <v>0</v>
      </c>
      <c r="P340" s="127">
        <f>O340*H340</f>
        <v>0</v>
      </c>
      <c r="Q340" s="127">
        <v>0</v>
      </c>
      <c r="R340" s="127">
        <f>Q340*H340</f>
        <v>0</v>
      </c>
      <c r="S340" s="127">
        <v>0</v>
      </c>
      <c r="T340" s="128">
        <f>S340*H340</f>
        <v>0</v>
      </c>
      <c r="W340" s="199"/>
      <c r="X340" s="205" t="s">
        <v>425</v>
      </c>
      <c r="Y340" s="119" t="s">
        <v>231</v>
      </c>
      <c r="Z340" s="120" t="s">
        <v>3726</v>
      </c>
      <c r="AA340" s="121" t="s">
        <v>3727</v>
      </c>
      <c r="AB340" s="122" t="s">
        <v>1194</v>
      </c>
      <c r="AC340" s="206">
        <v>150</v>
      </c>
      <c r="AD340" s="124">
        <v>0.44</v>
      </c>
      <c r="AE340" s="200">
        <f>ROUND(AD340*AC340,2)</f>
        <v>66</v>
      </c>
      <c r="AF340" s="227">
        <v>7</v>
      </c>
      <c r="AG340" s="130"/>
      <c r="AH340" s="130"/>
      <c r="AR340" s="129" t="s">
        <v>235</v>
      </c>
      <c r="AT340" s="129" t="s">
        <v>231</v>
      </c>
      <c r="AU340" s="129" t="s">
        <v>76</v>
      </c>
      <c r="AY340" s="13" t="s">
        <v>228</v>
      </c>
      <c r="BE340" s="130">
        <f>IF(N340="základná",J340,0)</f>
        <v>0</v>
      </c>
      <c r="BF340" s="130">
        <f>IF(N340="znížená",J340,0)</f>
        <v>57.2</v>
      </c>
      <c r="BG340" s="130">
        <f>IF(N340="zákl. prenesená",J340,0)</f>
        <v>0</v>
      </c>
      <c r="BH340" s="130">
        <f>IF(N340="zníž. prenesená",J340,0)</f>
        <v>0</v>
      </c>
      <c r="BI340" s="130">
        <f>IF(N340="nulová",J340,0)</f>
        <v>0</v>
      </c>
      <c r="BJ340" s="13" t="s">
        <v>76</v>
      </c>
      <c r="BK340" s="130">
        <f>ROUND(I340*H340,2)</f>
        <v>57.2</v>
      </c>
      <c r="BL340" s="13" t="s">
        <v>235</v>
      </c>
      <c r="BM340" s="129" t="s">
        <v>626</v>
      </c>
    </row>
    <row r="341" spans="2:65" s="1" customFormat="1" ht="16.5" customHeight="1" x14ac:dyDescent="0.2">
      <c r="B341" s="118"/>
      <c r="C341" s="205" t="s">
        <v>627</v>
      </c>
      <c r="D341" s="119" t="s">
        <v>231</v>
      </c>
      <c r="E341" s="120" t="s">
        <v>3728</v>
      </c>
      <c r="F341" s="121" t="s">
        <v>3729</v>
      </c>
      <c r="G341" s="122" t="s">
        <v>292</v>
      </c>
      <c r="H341" s="206">
        <v>252</v>
      </c>
      <c r="I341" s="124">
        <v>0.44</v>
      </c>
      <c r="J341" s="124">
        <f>ROUND(I341*H341,2)</f>
        <v>110.88</v>
      </c>
      <c r="K341" s="121" t="s">
        <v>1</v>
      </c>
      <c r="L341" s="24"/>
      <c r="M341" s="125" t="s">
        <v>1</v>
      </c>
      <c r="N341" s="126" t="s">
        <v>32</v>
      </c>
      <c r="O341" s="127">
        <v>0</v>
      </c>
      <c r="P341" s="127">
        <f>O341*H341</f>
        <v>0</v>
      </c>
      <c r="Q341" s="127">
        <v>0</v>
      </c>
      <c r="R341" s="127">
        <f>Q341*H341</f>
        <v>0</v>
      </c>
      <c r="S341" s="127">
        <v>0</v>
      </c>
      <c r="T341" s="128">
        <f>S341*H341</f>
        <v>0</v>
      </c>
      <c r="W341" s="199"/>
      <c r="X341" s="205" t="s">
        <v>627</v>
      </c>
      <c r="Y341" s="119" t="s">
        <v>231</v>
      </c>
      <c r="Z341" s="120" t="s">
        <v>3728</v>
      </c>
      <c r="AA341" s="121" t="s">
        <v>3729</v>
      </c>
      <c r="AB341" s="122" t="s">
        <v>292</v>
      </c>
      <c r="AC341" s="206">
        <v>300</v>
      </c>
      <c r="AD341" s="124">
        <v>0.44</v>
      </c>
      <c r="AE341" s="200">
        <f>ROUND(AD341*AC341,2)</f>
        <v>132</v>
      </c>
      <c r="AF341" s="227">
        <v>7</v>
      </c>
      <c r="AG341" s="130"/>
      <c r="AH341" s="130"/>
      <c r="AR341" s="129" t="s">
        <v>235</v>
      </c>
      <c r="AT341" s="129" t="s">
        <v>231</v>
      </c>
      <c r="AU341" s="129" t="s">
        <v>76</v>
      </c>
      <c r="AY341" s="13" t="s">
        <v>228</v>
      </c>
      <c r="BE341" s="130">
        <f>IF(N341="základná",J341,0)</f>
        <v>0</v>
      </c>
      <c r="BF341" s="130">
        <f>IF(N341="znížená",J341,0)</f>
        <v>110.88</v>
      </c>
      <c r="BG341" s="130">
        <f>IF(N341="zákl. prenesená",J341,0)</f>
        <v>0</v>
      </c>
      <c r="BH341" s="130">
        <f>IF(N341="zníž. prenesená",J341,0)</f>
        <v>0</v>
      </c>
      <c r="BI341" s="130">
        <f>IF(N341="nulová",J341,0)</f>
        <v>0</v>
      </c>
      <c r="BJ341" s="13" t="s">
        <v>76</v>
      </c>
      <c r="BK341" s="130">
        <f>ROUND(I341*H341,2)</f>
        <v>110.88</v>
      </c>
      <c r="BL341" s="13" t="s">
        <v>235</v>
      </c>
      <c r="BM341" s="129" t="s">
        <v>630</v>
      </c>
    </row>
    <row r="342" spans="2:65" s="1" customFormat="1" ht="16.5" customHeight="1" x14ac:dyDescent="0.2">
      <c r="B342" s="118"/>
      <c r="C342" s="119" t="s">
        <v>428</v>
      </c>
      <c r="D342" s="119" t="s">
        <v>231</v>
      </c>
      <c r="E342" s="120" t="s">
        <v>3730</v>
      </c>
      <c r="F342" s="121" t="s">
        <v>3731</v>
      </c>
      <c r="G342" s="122" t="s">
        <v>570</v>
      </c>
      <c r="H342" s="123">
        <v>1.8</v>
      </c>
      <c r="I342" s="124">
        <v>30.86</v>
      </c>
      <c r="J342" s="124">
        <f>ROUND(I342*H342,2)</f>
        <v>55.55</v>
      </c>
      <c r="K342" s="121" t="s">
        <v>1</v>
      </c>
      <c r="L342" s="24"/>
      <c r="M342" s="125" t="s">
        <v>1</v>
      </c>
      <c r="N342" s="126" t="s">
        <v>32</v>
      </c>
      <c r="O342" s="127">
        <v>0</v>
      </c>
      <c r="P342" s="127">
        <f>O342*H342</f>
        <v>0</v>
      </c>
      <c r="Q342" s="127">
        <v>0</v>
      </c>
      <c r="R342" s="127">
        <f>Q342*H342</f>
        <v>0</v>
      </c>
      <c r="S342" s="127">
        <v>0</v>
      </c>
      <c r="T342" s="128">
        <f>S342*H342</f>
        <v>0</v>
      </c>
      <c r="W342" s="199"/>
      <c r="X342" s="119" t="s">
        <v>428</v>
      </c>
      <c r="Y342" s="119" t="s">
        <v>231</v>
      </c>
      <c r="Z342" s="120" t="s">
        <v>3730</v>
      </c>
      <c r="AA342" s="121" t="s">
        <v>3731</v>
      </c>
      <c r="AB342" s="122" t="s">
        <v>570</v>
      </c>
      <c r="AC342" s="123">
        <v>1.8</v>
      </c>
      <c r="AD342" s="124">
        <v>30.859380000000002</v>
      </c>
      <c r="AE342" s="200">
        <f>ROUND(AD342*AC342,2)</f>
        <v>55.55</v>
      </c>
      <c r="AF342" s="227"/>
      <c r="AG342" s="130"/>
      <c r="AH342" s="130"/>
      <c r="AR342" s="129" t="s">
        <v>235</v>
      </c>
      <c r="AT342" s="129" t="s">
        <v>231</v>
      </c>
      <c r="AU342" s="129" t="s">
        <v>76</v>
      </c>
      <c r="AY342" s="13" t="s">
        <v>228</v>
      </c>
      <c r="BE342" s="130">
        <f>IF(N342="základná",J342,0)</f>
        <v>0</v>
      </c>
      <c r="BF342" s="130">
        <f>IF(N342="znížená",J342,0)</f>
        <v>55.55</v>
      </c>
      <c r="BG342" s="130">
        <f>IF(N342="zákl. prenesená",J342,0)</f>
        <v>0</v>
      </c>
      <c r="BH342" s="130">
        <f>IF(N342="zníž. prenesená",J342,0)</f>
        <v>0</v>
      </c>
      <c r="BI342" s="130">
        <f>IF(N342="nulová",J342,0)</f>
        <v>0</v>
      </c>
      <c r="BJ342" s="13" t="s">
        <v>76</v>
      </c>
      <c r="BK342" s="130">
        <f>ROUND(I342*H342,2)</f>
        <v>55.55</v>
      </c>
      <c r="BL342" s="13" t="s">
        <v>235</v>
      </c>
      <c r="BM342" s="129" t="s">
        <v>635</v>
      </c>
    </row>
    <row r="343" spans="2:65" s="11" customFormat="1" ht="25.95" customHeight="1" x14ac:dyDescent="0.25">
      <c r="B343" s="106"/>
      <c r="D343" s="107" t="s">
        <v>57</v>
      </c>
      <c r="E343" s="108" t="s">
        <v>882</v>
      </c>
      <c r="F343" s="108" t="s">
        <v>1263</v>
      </c>
      <c r="J343" s="109">
        <f>BK343</f>
        <v>213.60000000000002</v>
      </c>
      <c r="L343" s="106"/>
      <c r="M343" s="110"/>
      <c r="N343" s="111"/>
      <c r="O343" s="111"/>
      <c r="P343" s="112">
        <f>SUM(P348:P350)</f>
        <v>0</v>
      </c>
      <c r="Q343" s="111"/>
      <c r="R343" s="112">
        <f>SUM(R348:R350)</f>
        <v>0</v>
      </c>
      <c r="S343" s="111"/>
      <c r="T343" s="113">
        <f>SUM(T348:T350)</f>
        <v>0</v>
      </c>
      <c r="W343" s="195"/>
      <c r="X343" s="111"/>
      <c r="Y343" s="196" t="s">
        <v>57</v>
      </c>
      <c r="Z343" s="197" t="s">
        <v>882</v>
      </c>
      <c r="AA343" s="197" t="s">
        <v>1263</v>
      </c>
      <c r="AB343" s="111"/>
      <c r="AC343" s="111"/>
      <c r="AD343" s="111"/>
      <c r="AE343" s="198">
        <f>AE344</f>
        <v>345.59999999999997</v>
      </c>
      <c r="AF343" s="248"/>
      <c r="AG343" s="130"/>
      <c r="AH343" s="130"/>
      <c r="AR343" s="107" t="s">
        <v>63</v>
      </c>
      <c r="AT343" s="114" t="s">
        <v>57</v>
      </c>
      <c r="AU343" s="114" t="s">
        <v>58</v>
      </c>
      <c r="AY343" s="107" t="s">
        <v>228</v>
      </c>
      <c r="BK343" s="115">
        <f>SUM(BK348:BK350)</f>
        <v>213.60000000000002</v>
      </c>
    </row>
    <row r="344" spans="2:65" s="11" customFormat="1" ht="25.95" customHeight="1" x14ac:dyDescent="0.25">
      <c r="B344" s="106"/>
      <c r="D344" s="107"/>
      <c r="E344" s="108"/>
      <c r="F344" s="108"/>
      <c r="J344" s="109"/>
      <c r="L344" s="106"/>
      <c r="M344" s="110"/>
      <c r="N344" s="111"/>
      <c r="O344" s="111"/>
      <c r="P344" s="112"/>
      <c r="Q344" s="111"/>
      <c r="R344" s="112"/>
      <c r="S344" s="111"/>
      <c r="T344" s="113"/>
      <c r="W344" s="195"/>
      <c r="X344" s="271"/>
      <c r="Y344" s="272" t="s">
        <v>57</v>
      </c>
      <c r="Z344" s="266"/>
      <c r="AA344" s="266" t="s">
        <v>5262</v>
      </c>
      <c r="AB344" s="271"/>
      <c r="AC344" s="271"/>
      <c r="AD344" s="271"/>
      <c r="AE344" s="273">
        <f>SUM(AE345:AE350)</f>
        <v>345.59999999999997</v>
      </c>
      <c r="AF344" s="248"/>
      <c r="AG344" s="130"/>
      <c r="AH344" s="130"/>
      <c r="AR344" s="107"/>
      <c r="AT344" s="114"/>
      <c r="AU344" s="114"/>
      <c r="AY344" s="107"/>
      <c r="BK344" s="115"/>
    </row>
    <row r="345" spans="2:65" s="11" customFormat="1" ht="25.95" customHeight="1" x14ac:dyDescent="0.2">
      <c r="B345" s="106"/>
      <c r="C345" s="1234" t="s">
        <v>5205</v>
      </c>
      <c r="D345" s="1235"/>
      <c r="E345" s="1235"/>
      <c r="F345" s="1235"/>
      <c r="G345" s="1235"/>
      <c r="H345" s="1235"/>
      <c r="I345" s="1235"/>
      <c r="J345" s="1236"/>
      <c r="L345" s="106"/>
      <c r="M345" s="110"/>
      <c r="N345" s="111"/>
      <c r="O345" s="111"/>
      <c r="P345" s="112"/>
      <c r="Q345" s="111"/>
      <c r="R345" s="112"/>
      <c r="S345" s="111"/>
      <c r="T345" s="113"/>
      <c r="W345" s="195"/>
      <c r="X345" s="215" t="s">
        <v>432</v>
      </c>
      <c r="Y345" s="215" t="s">
        <v>231</v>
      </c>
      <c r="Z345" s="216" t="s">
        <v>1264</v>
      </c>
      <c r="AA345" s="217" t="s">
        <v>1265</v>
      </c>
      <c r="AB345" s="218" t="s">
        <v>292</v>
      </c>
      <c r="AC345" s="219">
        <v>36</v>
      </c>
      <c r="AD345" s="220">
        <v>0.46</v>
      </c>
      <c r="AE345" s="221">
        <f t="shared" ref="AE345:AE350" si="78">ROUND(AD345*AC345,2)</f>
        <v>16.559999999999999</v>
      </c>
      <c r="AF345" s="248">
        <v>7</v>
      </c>
      <c r="AG345" s="130"/>
      <c r="AH345" s="130"/>
      <c r="AR345" s="107"/>
      <c r="AT345" s="114"/>
      <c r="AU345" s="114"/>
      <c r="AY345" s="107"/>
      <c r="BK345" s="115"/>
    </row>
    <row r="346" spans="2:65" s="11" customFormat="1" ht="25.95" customHeight="1" x14ac:dyDescent="0.2">
      <c r="B346" s="106"/>
      <c r="C346" s="1234" t="s">
        <v>5205</v>
      </c>
      <c r="D346" s="1235"/>
      <c r="E346" s="1235"/>
      <c r="F346" s="1235"/>
      <c r="G346" s="1235"/>
      <c r="H346" s="1235"/>
      <c r="I346" s="1235"/>
      <c r="J346" s="1236"/>
      <c r="L346" s="106"/>
      <c r="M346" s="110"/>
      <c r="N346" s="111"/>
      <c r="O346" s="111"/>
      <c r="P346" s="112"/>
      <c r="Q346" s="111"/>
      <c r="R346" s="112"/>
      <c r="S346" s="111"/>
      <c r="T346" s="113"/>
      <c r="W346" s="195"/>
      <c r="X346" s="215" t="s">
        <v>643</v>
      </c>
      <c r="Y346" s="215" t="s">
        <v>231</v>
      </c>
      <c r="Z346" s="216" t="s">
        <v>3732</v>
      </c>
      <c r="AA346" s="217" t="s">
        <v>3733</v>
      </c>
      <c r="AB346" s="218" t="s">
        <v>292</v>
      </c>
      <c r="AC346" s="219">
        <v>46</v>
      </c>
      <c r="AD346" s="220">
        <v>0.46</v>
      </c>
      <c r="AE346" s="221">
        <f t="shared" si="78"/>
        <v>21.16</v>
      </c>
      <c r="AF346" s="248">
        <v>7</v>
      </c>
      <c r="AG346" s="130"/>
      <c r="AH346" s="130"/>
      <c r="AR346" s="107"/>
      <c r="AT346" s="114"/>
      <c r="AU346" s="114"/>
      <c r="AY346" s="107"/>
      <c r="BK346" s="115"/>
    </row>
    <row r="347" spans="2:65" s="11" customFormat="1" ht="25.95" customHeight="1" x14ac:dyDescent="0.2">
      <c r="B347" s="106"/>
      <c r="C347" s="1234" t="s">
        <v>5205</v>
      </c>
      <c r="D347" s="1235"/>
      <c r="E347" s="1235"/>
      <c r="F347" s="1235"/>
      <c r="G347" s="1235"/>
      <c r="H347" s="1235"/>
      <c r="I347" s="1235"/>
      <c r="J347" s="1236"/>
      <c r="L347" s="106"/>
      <c r="M347" s="110"/>
      <c r="N347" s="111"/>
      <c r="O347" s="111"/>
      <c r="P347" s="112"/>
      <c r="Q347" s="111"/>
      <c r="R347" s="112"/>
      <c r="S347" s="111"/>
      <c r="T347" s="113"/>
      <c r="W347" s="195"/>
      <c r="X347" s="215" t="s">
        <v>435</v>
      </c>
      <c r="Y347" s="215" t="s">
        <v>231</v>
      </c>
      <c r="Z347" s="216" t="s">
        <v>1266</v>
      </c>
      <c r="AA347" s="217" t="s">
        <v>1267</v>
      </c>
      <c r="AB347" s="218" t="s">
        <v>284</v>
      </c>
      <c r="AC347" s="219">
        <v>5</v>
      </c>
      <c r="AD347" s="220">
        <v>11.44</v>
      </c>
      <c r="AE347" s="221">
        <f t="shared" si="78"/>
        <v>57.2</v>
      </c>
      <c r="AF347" s="248">
        <v>7</v>
      </c>
      <c r="AG347" s="130"/>
      <c r="AH347" s="130"/>
      <c r="AR347" s="107"/>
      <c r="AT347" s="114"/>
      <c r="AU347" s="114"/>
      <c r="AY347" s="107"/>
      <c r="BK347" s="115"/>
    </row>
    <row r="348" spans="2:65" s="1" customFormat="1" ht="22.8" x14ac:dyDescent="0.2">
      <c r="B348" s="118"/>
      <c r="C348" s="205" t="s">
        <v>636</v>
      </c>
      <c r="D348" s="119" t="s">
        <v>231</v>
      </c>
      <c r="E348" s="120" t="s">
        <v>1264</v>
      </c>
      <c r="F348" s="121" t="s">
        <v>1265</v>
      </c>
      <c r="G348" s="122" t="s">
        <v>292</v>
      </c>
      <c r="H348" s="206">
        <v>252</v>
      </c>
      <c r="I348" s="124">
        <v>0.46</v>
      </c>
      <c r="J348" s="124">
        <f>ROUND(I348*H348,2)</f>
        <v>115.92</v>
      </c>
      <c r="K348" s="121" t="s">
        <v>1</v>
      </c>
      <c r="L348" s="24"/>
      <c r="M348" s="125" t="s">
        <v>1</v>
      </c>
      <c r="N348" s="126" t="s">
        <v>32</v>
      </c>
      <c r="O348" s="127">
        <v>0</v>
      </c>
      <c r="P348" s="127">
        <f>O348*H348</f>
        <v>0</v>
      </c>
      <c r="Q348" s="127">
        <v>0</v>
      </c>
      <c r="R348" s="127">
        <f>Q348*H348</f>
        <v>0</v>
      </c>
      <c r="S348" s="127">
        <v>0</v>
      </c>
      <c r="T348" s="128">
        <f>S348*H348</f>
        <v>0</v>
      </c>
      <c r="W348" s="199"/>
      <c r="X348" s="205" t="s">
        <v>636</v>
      </c>
      <c r="Y348" s="119" t="s">
        <v>231</v>
      </c>
      <c r="Z348" s="120" t="s">
        <v>1264</v>
      </c>
      <c r="AA348" s="121" t="s">
        <v>1265</v>
      </c>
      <c r="AB348" s="122" t="s">
        <v>292</v>
      </c>
      <c r="AC348" s="206">
        <v>302</v>
      </c>
      <c r="AD348" s="124">
        <v>0.46</v>
      </c>
      <c r="AE348" s="200">
        <f t="shared" si="78"/>
        <v>138.91999999999999</v>
      </c>
      <c r="AF348" s="227">
        <v>7</v>
      </c>
      <c r="AG348" s="130"/>
      <c r="AH348" s="130"/>
      <c r="AR348" s="129" t="s">
        <v>235</v>
      </c>
      <c r="AT348" s="129" t="s">
        <v>231</v>
      </c>
      <c r="AU348" s="129" t="s">
        <v>63</v>
      </c>
      <c r="AY348" s="13" t="s">
        <v>228</v>
      </c>
      <c r="BE348" s="130">
        <f>IF(N348="základná",J348,0)</f>
        <v>0</v>
      </c>
      <c r="BF348" s="130">
        <f>IF(N348="znížená",J348,0)</f>
        <v>115.92</v>
      </c>
      <c r="BG348" s="130">
        <f>IF(N348="zákl. prenesená",J348,0)</f>
        <v>0</v>
      </c>
      <c r="BH348" s="130">
        <f>IF(N348="zníž. prenesená",J348,0)</f>
        <v>0</v>
      </c>
      <c r="BI348" s="130">
        <f>IF(N348="nulová",J348,0)</f>
        <v>0</v>
      </c>
      <c r="BJ348" s="13" t="s">
        <v>76</v>
      </c>
      <c r="BK348" s="130">
        <f>ROUND(I348*H348,2)</f>
        <v>115.92</v>
      </c>
      <c r="BL348" s="13" t="s">
        <v>235</v>
      </c>
      <c r="BM348" s="129" t="s">
        <v>639</v>
      </c>
    </row>
    <row r="349" spans="2:65" s="1" customFormat="1" ht="24" customHeight="1" x14ac:dyDescent="0.2">
      <c r="B349" s="118"/>
      <c r="C349" s="205" t="s">
        <v>432</v>
      </c>
      <c r="D349" s="119" t="s">
        <v>231</v>
      </c>
      <c r="E349" s="120" t="s">
        <v>3732</v>
      </c>
      <c r="F349" s="121" t="s">
        <v>3733</v>
      </c>
      <c r="G349" s="122" t="s">
        <v>292</v>
      </c>
      <c r="H349" s="206">
        <v>88</v>
      </c>
      <c r="I349" s="124">
        <v>0.46</v>
      </c>
      <c r="J349" s="124">
        <f>ROUND(I349*H349,2)</f>
        <v>40.479999999999997</v>
      </c>
      <c r="K349" s="121" t="s">
        <v>1</v>
      </c>
      <c r="L349" s="24"/>
      <c r="M349" s="125" t="s">
        <v>1</v>
      </c>
      <c r="N349" s="126" t="s">
        <v>32</v>
      </c>
      <c r="O349" s="127">
        <v>0</v>
      </c>
      <c r="P349" s="127">
        <f>O349*H349</f>
        <v>0</v>
      </c>
      <c r="Q349" s="127">
        <v>0</v>
      </c>
      <c r="R349" s="127">
        <f>Q349*H349</f>
        <v>0</v>
      </c>
      <c r="S349" s="127">
        <v>0</v>
      </c>
      <c r="T349" s="128">
        <f>S349*H349</f>
        <v>0</v>
      </c>
      <c r="W349" s="199"/>
      <c r="X349" s="205" t="s">
        <v>432</v>
      </c>
      <c r="Y349" s="119" t="s">
        <v>231</v>
      </c>
      <c r="Z349" s="120" t="s">
        <v>3732</v>
      </c>
      <c r="AA349" s="121" t="s">
        <v>3733</v>
      </c>
      <c r="AB349" s="122" t="s">
        <v>292</v>
      </c>
      <c r="AC349" s="206">
        <v>44</v>
      </c>
      <c r="AD349" s="124">
        <v>0.46</v>
      </c>
      <c r="AE349" s="200">
        <f t="shared" si="78"/>
        <v>20.239999999999998</v>
      </c>
      <c r="AF349" s="227">
        <v>7</v>
      </c>
      <c r="AG349" s="130"/>
      <c r="AH349" s="130"/>
      <c r="AR349" s="129" t="s">
        <v>235</v>
      </c>
      <c r="AT349" s="129" t="s">
        <v>231</v>
      </c>
      <c r="AU349" s="129" t="s">
        <v>63</v>
      </c>
      <c r="AY349" s="13" t="s">
        <v>228</v>
      </c>
      <c r="BE349" s="130">
        <f>IF(N349="základná",J349,0)</f>
        <v>0</v>
      </c>
      <c r="BF349" s="130">
        <f>IF(N349="znížená",J349,0)</f>
        <v>40.479999999999997</v>
      </c>
      <c r="BG349" s="130">
        <f>IF(N349="zákl. prenesená",J349,0)</f>
        <v>0</v>
      </c>
      <c r="BH349" s="130">
        <f>IF(N349="zníž. prenesená",J349,0)</f>
        <v>0</v>
      </c>
      <c r="BI349" s="130">
        <f>IF(N349="nulová",J349,0)</f>
        <v>0</v>
      </c>
      <c r="BJ349" s="13" t="s">
        <v>76</v>
      </c>
      <c r="BK349" s="130">
        <f>ROUND(I349*H349,2)</f>
        <v>40.479999999999997</v>
      </c>
      <c r="BL349" s="13" t="s">
        <v>235</v>
      </c>
      <c r="BM349" s="129" t="s">
        <v>642</v>
      </c>
    </row>
    <row r="350" spans="2:65" s="1" customFormat="1" ht="24" customHeight="1" x14ac:dyDescent="0.2">
      <c r="B350" s="118"/>
      <c r="C350" s="205" t="s">
        <v>643</v>
      </c>
      <c r="D350" s="119" t="s">
        <v>231</v>
      </c>
      <c r="E350" s="120" t="s">
        <v>1266</v>
      </c>
      <c r="F350" s="121" t="s">
        <v>1267</v>
      </c>
      <c r="G350" s="122" t="s">
        <v>284</v>
      </c>
      <c r="H350" s="206">
        <v>5</v>
      </c>
      <c r="I350" s="124">
        <v>11.44</v>
      </c>
      <c r="J350" s="124">
        <f>ROUND(I350*H350,2)</f>
        <v>57.2</v>
      </c>
      <c r="K350" s="121" t="s">
        <v>1</v>
      </c>
      <c r="L350" s="24"/>
      <c r="M350" s="125" t="s">
        <v>1</v>
      </c>
      <c r="N350" s="126" t="s">
        <v>32</v>
      </c>
      <c r="O350" s="127">
        <v>0</v>
      </c>
      <c r="P350" s="127">
        <f>O350*H350</f>
        <v>0</v>
      </c>
      <c r="Q350" s="127">
        <v>0</v>
      </c>
      <c r="R350" s="127">
        <f>Q350*H350</f>
        <v>0</v>
      </c>
      <c r="S350" s="127">
        <v>0</v>
      </c>
      <c r="T350" s="128">
        <f>S350*H350</f>
        <v>0</v>
      </c>
      <c r="W350" s="199"/>
      <c r="X350" s="205" t="s">
        <v>643</v>
      </c>
      <c r="Y350" s="119" t="s">
        <v>231</v>
      </c>
      <c r="Z350" s="120" t="s">
        <v>1266</v>
      </c>
      <c r="AA350" s="121" t="s">
        <v>1267</v>
      </c>
      <c r="AB350" s="122" t="s">
        <v>284</v>
      </c>
      <c r="AC350" s="206">
        <v>8</v>
      </c>
      <c r="AD350" s="124">
        <v>11.44</v>
      </c>
      <c r="AE350" s="200">
        <f t="shared" si="78"/>
        <v>91.52</v>
      </c>
      <c r="AF350" s="227">
        <v>7</v>
      </c>
      <c r="AG350" s="130"/>
      <c r="AH350" s="130"/>
      <c r="AR350" s="129" t="s">
        <v>235</v>
      </c>
      <c r="AT350" s="129" t="s">
        <v>231</v>
      </c>
      <c r="AU350" s="129" t="s">
        <v>63</v>
      </c>
      <c r="AY350" s="13" t="s">
        <v>228</v>
      </c>
      <c r="BE350" s="130">
        <f>IF(N350="základná",J350,0)</f>
        <v>0</v>
      </c>
      <c r="BF350" s="130">
        <f>IF(N350="znížená",J350,0)</f>
        <v>57.2</v>
      </c>
      <c r="BG350" s="130">
        <f>IF(N350="zákl. prenesená",J350,0)</f>
        <v>0</v>
      </c>
      <c r="BH350" s="130">
        <f>IF(N350="zníž. prenesená",J350,0)</f>
        <v>0</v>
      </c>
      <c r="BI350" s="130">
        <f>IF(N350="nulová",J350,0)</f>
        <v>0</v>
      </c>
      <c r="BJ350" s="13" t="s">
        <v>76</v>
      </c>
      <c r="BK350" s="130">
        <f>ROUND(I350*H350,2)</f>
        <v>57.2</v>
      </c>
      <c r="BL350" s="13" t="s">
        <v>235</v>
      </c>
      <c r="BM350" s="129" t="s">
        <v>646</v>
      </c>
    </row>
    <row r="351" spans="2:65" s="11" customFormat="1" ht="25.95" customHeight="1" x14ac:dyDescent="0.25">
      <c r="B351" s="106"/>
      <c r="D351" s="107" t="s">
        <v>57</v>
      </c>
      <c r="E351" s="108" t="s">
        <v>939</v>
      </c>
      <c r="F351" s="108" t="s">
        <v>1268</v>
      </c>
      <c r="J351" s="109">
        <f>BK351</f>
        <v>1798.58</v>
      </c>
      <c r="L351" s="106"/>
      <c r="M351" s="110"/>
      <c r="N351" s="111"/>
      <c r="O351" s="111"/>
      <c r="P351" s="112">
        <f>P362+P371</f>
        <v>0</v>
      </c>
      <c r="Q351" s="111"/>
      <c r="R351" s="112">
        <f>R362+R371</f>
        <v>0</v>
      </c>
      <c r="S351" s="111"/>
      <c r="T351" s="113">
        <f>T362+T371</f>
        <v>0</v>
      </c>
      <c r="W351" s="195"/>
      <c r="X351" s="111"/>
      <c r="Y351" s="196" t="s">
        <v>57</v>
      </c>
      <c r="Z351" s="197" t="s">
        <v>939</v>
      </c>
      <c r="AA351" s="197" t="s">
        <v>1268</v>
      </c>
      <c r="AB351" s="111"/>
      <c r="AC351" s="111"/>
      <c r="AD351" s="111"/>
      <c r="AE351" s="198">
        <f>AE352+AE362+AE371</f>
        <v>2745.3</v>
      </c>
      <c r="AF351" s="248"/>
      <c r="AG351" s="130"/>
      <c r="AH351" s="130"/>
      <c r="AR351" s="107" t="s">
        <v>63</v>
      </c>
      <c r="AT351" s="114" t="s">
        <v>57</v>
      </c>
      <c r="AU351" s="114" t="s">
        <v>58</v>
      </c>
      <c r="AY351" s="107" t="s">
        <v>228</v>
      </c>
      <c r="BK351" s="115">
        <f>BK362+BK371</f>
        <v>1798.58</v>
      </c>
    </row>
    <row r="352" spans="2:65" s="11" customFormat="1" ht="25.95" customHeight="1" x14ac:dyDescent="0.25">
      <c r="B352" s="106"/>
      <c r="D352" s="107"/>
      <c r="E352" s="108"/>
      <c r="F352" s="108"/>
      <c r="J352" s="109"/>
      <c r="L352" s="106"/>
      <c r="M352" s="110"/>
      <c r="N352" s="111"/>
      <c r="O352" s="111"/>
      <c r="P352" s="112"/>
      <c r="Q352" s="111"/>
      <c r="R352" s="112"/>
      <c r="S352" s="111"/>
      <c r="T352" s="113"/>
      <c r="W352" s="195"/>
      <c r="X352" s="271"/>
      <c r="Y352" s="272" t="s">
        <v>57</v>
      </c>
      <c r="Z352" s="266" t="s">
        <v>5263</v>
      </c>
      <c r="AA352" s="266" t="s">
        <v>5264</v>
      </c>
      <c r="AB352" s="271"/>
      <c r="AC352" s="271"/>
      <c r="AD352" s="271"/>
      <c r="AE352" s="273">
        <f>AE353+AE356</f>
        <v>614.28</v>
      </c>
      <c r="AF352" s="248"/>
      <c r="AG352" s="130"/>
      <c r="AH352" s="130"/>
      <c r="AR352" s="107"/>
      <c r="AT352" s="114"/>
      <c r="AU352" s="114"/>
      <c r="AY352" s="107"/>
      <c r="BK352" s="115"/>
    </row>
    <row r="353" spans="2:65" s="11" customFormat="1" ht="25.95" customHeight="1" x14ac:dyDescent="0.25">
      <c r="B353" s="106"/>
      <c r="D353" s="107"/>
      <c r="E353" s="108"/>
      <c r="F353" s="108"/>
      <c r="J353" s="109"/>
      <c r="L353" s="106"/>
      <c r="M353" s="110"/>
      <c r="N353" s="111"/>
      <c r="O353" s="111"/>
      <c r="P353" s="112"/>
      <c r="Q353" s="111"/>
      <c r="R353" s="112"/>
      <c r="S353" s="111"/>
      <c r="T353" s="113"/>
      <c r="W353" s="195"/>
      <c r="X353" s="271"/>
      <c r="Y353" s="272" t="s">
        <v>57</v>
      </c>
      <c r="Z353" s="274" t="s">
        <v>2508</v>
      </c>
      <c r="AA353" s="274" t="s">
        <v>3734</v>
      </c>
      <c r="AB353" s="271"/>
      <c r="AC353" s="271"/>
      <c r="AD353" s="271"/>
      <c r="AE353" s="275">
        <f>SUM(AE354:AE355)</f>
        <v>62.42</v>
      </c>
      <c r="AF353" s="248"/>
      <c r="AG353" s="130"/>
      <c r="AH353" s="130"/>
      <c r="AR353" s="107"/>
      <c r="AT353" s="114"/>
      <c r="AU353" s="114"/>
      <c r="AY353" s="107"/>
      <c r="BK353" s="115"/>
    </row>
    <row r="354" spans="2:65" s="11" customFormat="1" ht="16.5" customHeight="1" x14ac:dyDescent="0.2">
      <c r="B354" s="106"/>
      <c r="C354" s="1234" t="s">
        <v>5205</v>
      </c>
      <c r="D354" s="1235"/>
      <c r="E354" s="1235"/>
      <c r="F354" s="1235"/>
      <c r="G354" s="1235"/>
      <c r="H354" s="1235"/>
      <c r="I354" s="1235"/>
      <c r="J354" s="1236"/>
      <c r="L354" s="106"/>
      <c r="M354" s="110"/>
      <c r="N354" s="111"/>
      <c r="O354" s="111"/>
      <c r="P354" s="112"/>
      <c r="Q354" s="111"/>
      <c r="R354" s="112"/>
      <c r="S354" s="111"/>
      <c r="T354" s="113"/>
      <c r="W354" s="195"/>
      <c r="X354" s="215" t="s">
        <v>5277</v>
      </c>
      <c r="Y354" s="215" t="s">
        <v>231</v>
      </c>
      <c r="Z354" s="216" t="s">
        <v>1271</v>
      </c>
      <c r="AA354" s="217" t="s">
        <v>1272</v>
      </c>
      <c r="AB354" s="218" t="s">
        <v>292</v>
      </c>
      <c r="AC354" s="219">
        <v>7</v>
      </c>
      <c r="AD354" s="220">
        <v>3.26</v>
      </c>
      <c r="AE354" s="221">
        <f>ROUND(AD354*AC354,2)</f>
        <v>22.82</v>
      </c>
      <c r="AF354" s="248">
        <v>7</v>
      </c>
      <c r="AG354" s="130"/>
      <c r="AH354" s="130"/>
      <c r="AR354" s="107"/>
      <c r="AT354" s="114"/>
      <c r="AU354" s="114"/>
      <c r="AY354" s="107"/>
      <c r="BK354" s="115"/>
    </row>
    <row r="355" spans="2:65" s="11" customFormat="1" ht="16.5" customHeight="1" x14ac:dyDescent="0.2">
      <c r="B355" s="106"/>
      <c r="C355" s="1234" t="s">
        <v>5205</v>
      </c>
      <c r="D355" s="1235"/>
      <c r="E355" s="1235"/>
      <c r="F355" s="1235"/>
      <c r="G355" s="1235"/>
      <c r="H355" s="1235"/>
      <c r="I355" s="1235"/>
      <c r="J355" s="1236"/>
      <c r="L355" s="106"/>
      <c r="M355" s="110"/>
      <c r="N355" s="111"/>
      <c r="O355" s="111"/>
      <c r="P355" s="112"/>
      <c r="Q355" s="111"/>
      <c r="R355" s="112"/>
      <c r="S355" s="111"/>
      <c r="T355" s="113"/>
      <c r="W355" s="195"/>
      <c r="X355" s="215" t="s">
        <v>5278</v>
      </c>
      <c r="Y355" s="215" t="s">
        <v>231</v>
      </c>
      <c r="Z355" s="216" t="s">
        <v>1273</v>
      </c>
      <c r="AA355" s="217" t="s">
        <v>1274</v>
      </c>
      <c r="AB355" s="218" t="s">
        <v>292</v>
      </c>
      <c r="AC355" s="219">
        <v>11</v>
      </c>
      <c r="AD355" s="220">
        <v>3.6</v>
      </c>
      <c r="AE355" s="221">
        <f>ROUND(AD355*AC355,2)</f>
        <v>39.6</v>
      </c>
      <c r="AF355" s="248">
        <v>7</v>
      </c>
      <c r="AG355" s="130"/>
      <c r="AH355" s="130"/>
      <c r="AR355" s="107"/>
      <c r="AT355" s="114"/>
      <c r="AU355" s="114"/>
      <c r="AY355" s="107"/>
      <c r="BK355" s="115"/>
    </row>
    <row r="356" spans="2:65" s="11" customFormat="1" ht="24.75" customHeight="1" x14ac:dyDescent="0.25">
      <c r="B356" s="106"/>
      <c r="D356" s="107"/>
      <c r="E356" s="108"/>
      <c r="F356" s="108"/>
      <c r="J356" s="109"/>
      <c r="L356" s="106"/>
      <c r="M356" s="110"/>
      <c r="N356" s="111"/>
      <c r="O356" s="111"/>
      <c r="P356" s="112"/>
      <c r="Q356" s="111"/>
      <c r="R356" s="112"/>
      <c r="S356" s="111"/>
      <c r="T356" s="113"/>
      <c r="W356" s="195"/>
      <c r="X356" s="271"/>
      <c r="Y356" s="272" t="s">
        <v>57</v>
      </c>
      <c r="Z356" s="274" t="s">
        <v>5265</v>
      </c>
      <c r="AA356" s="274" t="s">
        <v>5266</v>
      </c>
      <c r="AB356" s="271"/>
      <c r="AC356" s="271"/>
      <c r="AD356" s="271"/>
      <c r="AE356" s="275">
        <f>SUM(AE357:AE361)</f>
        <v>551.86</v>
      </c>
      <c r="AF356" s="248"/>
      <c r="AG356" s="130"/>
      <c r="AH356" s="130"/>
      <c r="AR356" s="107"/>
      <c r="AT356" s="114"/>
      <c r="AU356" s="114"/>
      <c r="AY356" s="107"/>
      <c r="BK356" s="115"/>
    </row>
    <row r="357" spans="2:65" s="11" customFormat="1" ht="16.5" customHeight="1" x14ac:dyDescent="0.2">
      <c r="B357" s="106"/>
      <c r="C357" s="1234" t="s">
        <v>5205</v>
      </c>
      <c r="D357" s="1235"/>
      <c r="E357" s="1235"/>
      <c r="F357" s="1235"/>
      <c r="G357" s="1235"/>
      <c r="H357" s="1235"/>
      <c r="I357" s="1235"/>
      <c r="J357" s="1236"/>
      <c r="L357" s="106"/>
      <c r="M357" s="110"/>
      <c r="N357" s="111"/>
      <c r="O357" s="111"/>
      <c r="P357" s="112"/>
      <c r="Q357" s="111"/>
      <c r="R357" s="112"/>
      <c r="S357" s="111"/>
      <c r="T357" s="113"/>
      <c r="W357" s="195"/>
      <c r="X357" s="215" t="s">
        <v>5279</v>
      </c>
      <c r="Y357" s="215" t="s">
        <v>231</v>
      </c>
      <c r="Z357" s="216" t="s">
        <v>1275</v>
      </c>
      <c r="AA357" s="217" t="s">
        <v>1276</v>
      </c>
      <c r="AB357" s="218" t="s">
        <v>292</v>
      </c>
      <c r="AC357" s="219">
        <v>7</v>
      </c>
      <c r="AD357" s="220">
        <v>3.77</v>
      </c>
      <c r="AE357" s="221">
        <f>ROUND(AD357*AC357,2)</f>
        <v>26.39</v>
      </c>
      <c r="AF357" s="248">
        <v>7</v>
      </c>
      <c r="AG357" s="130"/>
      <c r="AH357" s="130"/>
      <c r="AR357" s="107"/>
      <c r="AT357" s="114"/>
      <c r="AU357" s="114"/>
      <c r="AY357" s="107"/>
      <c r="BK357" s="115"/>
    </row>
    <row r="358" spans="2:65" s="11" customFormat="1" ht="34.200000000000003" customHeight="1" x14ac:dyDescent="0.2">
      <c r="B358" s="106"/>
      <c r="C358" s="1234" t="s">
        <v>5205</v>
      </c>
      <c r="D358" s="1235"/>
      <c r="E358" s="1235"/>
      <c r="F358" s="1235"/>
      <c r="G358" s="1235"/>
      <c r="H358" s="1235"/>
      <c r="I358" s="1235"/>
      <c r="J358" s="1236"/>
      <c r="L358" s="106"/>
      <c r="M358" s="110"/>
      <c r="N358" s="111"/>
      <c r="O358" s="111"/>
      <c r="P358" s="112"/>
      <c r="Q358" s="111"/>
      <c r="R358" s="112"/>
      <c r="S358" s="111"/>
      <c r="T358" s="113"/>
      <c r="W358" s="195"/>
      <c r="X358" s="215" t="s">
        <v>5280</v>
      </c>
      <c r="Y358" s="215" t="s">
        <v>231</v>
      </c>
      <c r="Z358" s="216" t="s">
        <v>5267</v>
      </c>
      <c r="AA358" s="217" t="s">
        <v>5268</v>
      </c>
      <c r="AB358" s="218" t="s">
        <v>292</v>
      </c>
      <c r="AC358" s="219">
        <v>4</v>
      </c>
      <c r="AD358" s="220">
        <v>7.4</v>
      </c>
      <c r="AE358" s="221">
        <f>ROUND(AD358*AC358,2)</f>
        <v>29.6</v>
      </c>
      <c r="AF358" s="248">
        <v>7</v>
      </c>
      <c r="AG358" s="130"/>
      <c r="AH358" s="130"/>
      <c r="AR358" s="107"/>
      <c r="AT358" s="114"/>
      <c r="AU358" s="114"/>
      <c r="AY358" s="107"/>
      <c r="BK358" s="115"/>
    </row>
    <row r="359" spans="2:65" s="11" customFormat="1" ht="34.200000000000003" customHeight="1" x14ac:dyDescent="0.2">
      <c r="B359" s="106"/>
      <c r="C359" s="1234" t="s">
        <v>5205</v>
      </c>
      <c r="D359" s="1235"/>
      <c r="E359" s="1235"/>
      <c r="F359" s="1235"/>
      <c r="G359" s="1235"/>
      <c r="H359" s="1235"/>
      <c r="I359" s="1235"/>
      <c r="J359" s="1236"/>
      <c r="L359" s="106"/>
      <c r="M359" s="110"/>
      <c r="N359" s="111"/>
      <c r="O359" s="111"/>
      <c r="P359" s="112"/>
      <c r="Q359" s="111"/>
      <c r="R359" s="112"/>
      <c r="S359" s="111"/>
      <c r="T359" s="113"/>
      <c r="W359" s="195"/>
      <c r="X359" s="215" t="s">
        <v>5281</v>
      </c>
      <c r="Y359" s="215" t="s">
        <v>231</v>
      </c>
      <c r="Z359" s="216" t="s">
        <v>5269</v>
      </c>
      <c r="AA359" s="217" t="s">
        <v>5270</v>
      </c>
      <c r="AB359" s="218" t="s">
        <v>292</v>
      </c>
      <c r="AC359" s="219">
        <v>7</v>
      </c>
      <c r="AD359" s="220">
        <v>8.1</v>
      </c>
      <c r="AE359" s="221">
        <f>ROUND(AD359*AC359,2)</f>
        <v>56.7</v>
      </c>
      <c r="AF359" s="248">
        <v>7</v>
      </c>
      <c r="AG359" s="130"/>
      <c r="AH359" s="130"/>
      <c r="AR359" s="107"/>
      <c r="AT359" s="114"/>
      <c r="AU359" s="114"/>
      <c r="AY359" s="107"/>
      <c r="BK359" s="115"/>
    </row>
    <row r="360" spans="2:65" s="11" customFormat="1" ht="34.200000000000003" customHeight="1" x14ac:dyDescent="0.2">
      <c r="B360" s="106"/>
      <c r="C360" s="1234" t="s">
        <v>5205</v>
      </c>
      <c r="D360" s="1235"/>
      <c r="E360" s="1235"/>
      <c r="F360" s="1235"/>
      <c r="G360" s="1235"/>
      <c r="H360" s="1235"/>
      <c r="I360" s="1235"/>
      <c r="J360" s="1236"/>
      <c r="L360" s="106"/>
      <c r="M360" s="110"/>
      <c r="N360" s="111"/>
      <c r="O360" s="111"/>
      <c r="P360" s="112"/>
      <c r="Q360" s="111"/>
      <c r="R360" s="112"/>
      <c r="S360" s="111"/>
      <c r="T360" s="113"/>
      <c r="W360" s="195"/>
      <c r="X360" s="215" t="s">
        <v>5282</v>
      </c>
      <c r="Y360" s="215" t="s">
        <v>231</v>
      </c>
      <c r="Z360" s="216" t="s">
        <v>5271</v>
      </c>
      <c r="AA360" s="217" t="s">
        <v>5272</v>
      </c>
      <c r="AB360" s="218" t="s">
        <v>292</v>
      </c>
      <c r="AC360" s="219">
        <v>41</v>
      </c>
      <c r="AD360" s="220">
        <v>9.3699999999999992</v>
      </c>
      <c r="AE360" s="221">
        <f>ROUND(AD360*AC360,2)</f>
        <v>384.17</v>
      </c>
      <c r="AF360" s="248">
        <v>7</v>
      </c>
      <c r="AG360" s="130"/>
      <c r="AH360" s="130"/>
      <c r="AR360" s="107"/>
      <c r="AT360" s="114"/>
      <c r="AU360" s="114"/>
      <c r="AY360" s="107"/>
      <c r="BK360" s="115"/>
    </row>
    <row r="361" spans="2:65" s="11" customFormat="1" ht="34.200000000000003" customHeight="1" x14ac:dyDescent="0.2">
      <c r="B361" s="106"/>
      <c r="C361" s="1234" t="s">
        <v>5205</v>
      </c>
      <c r="D361" s="1235"/>
      <c r="E361" s="1235"/>
      <c r="F361" s="1235"/>
      <c r="G361" s="1235"/>
      <c r="H361" s="1235"/>
      <c r="I361" s="1235"/>
      <c r="J361" s="1236"/>
      <c r="L361" s="106"/>
      <c r="M361" s="110"/>
      <c r="N361" s="111"/>
      <c r="O361" s="111"/>
      <c r="P361" s="112"/>
      <c r="Q361" s="111"/>
      <c r="R361" s="112"/>
      <c r="S361" s="111"/>
      <c r="T361" s="113"/>
      <c r="W361" s="195"/>
      <c r="X361" s="215" t="s">
        <v>5283</v>
      </c>
      <c r="Y361" s="215" t="s">
        <v>231</v>
      </c>
      <c r="Z361" s="216" t="s">
        <v>5273</v>
      </c>
      <c r="AA361" s="217" t="s">
        <v>5274</v>
      </c>
      <c r="AB361" s="218" t="s">
        <v>292</v>
      </c>
      <c r="AC361" s="219">
        <v>5</v>
      </c>
      <c r="AD361" s="220">
        <v>11</v>
      </c>
      <c r="AE361" s="221">
        <f>ROUND(AD361*AC361,2)</f>
        <v>55</v>
      </c>
      <c r="AF361" s="248">
        <v>7</v>
      </c>
      <c r="AG361" s="130"/>
      <c r="AH361" s="130"/>
      <c r="AR361" s="107"/>
      <c r="AT361" s="114"/>
      <c r="AU361" s="114"/>
      <c r="AY361" s="107"/>
      <c r="BK361" s="115"/>
    </row>
    <row r="362" spans="2:65" s="11" customFormat="1" ht="22.95" customHeight="1" x14ac:dyDescent="0.25">
      <c r="B362" s="106"/>
      <c r="D362" s="107" t="s">
        <v>57</v>
      </c>
      <c r="E362" s="116" t="s">
        <v>2508</v>
      </c>
      <c r="F362" s="116" t="s">
        <v>3734</v>
      </c>
      <c r="J362" s="117">
        <f>BK362</f>
        <v>1228.48</v>
      </c>
      <c r="L362" s="106"/>
      <c r="M362" s="110"/>
      <c r="N362" s="111"/>
      <c r="O362" s="111"/>
      <c r="P362" s="112">
        <f>SUM(P363:P368)</f>
        <v>0</v>
      </c>
      <c r="Q362" s="111"/>
      <c r="R362" s="112">
        <f>SUM(R363:R368)</f>
        <v>0</v>
      </c>
      <c r="S362" s="111"/>
      <c r="T362" s="113">
        <f>SUM(T363:T368)</f>
        <v>0</v>
      </c>
      <c r="W362" s="195"/>
      <c r="X362" s="111"/>
      <c r="Y362" s="196" t="s">
        <v>57</v>
      </c>
      <c r="Z362" s="201" t="s">
        <v>2508</v>
      </c>
      <c r="AA362" s="201" t="s">
        <v>3734</v>
      </c>
      <c r="AB362" s="111"/>
      <c r="AC362" s="111"/>
      <c r="AD362" s="111"/>
      <c r="AE362" s="202">
        <f>SUM(AE363:AE370)</f>
        <v>1443.94</v>
      </c>
      <c r="AF362" s="248"/>
      <c r="AG362" s="130"/>
      <c r="AH362" s="130"/>
      <c r="AR362" s="107" t="s">
        <v>63</v>
      </c>
      <c r="AT362" s="114" t="s">
        <v>57</v>
      </c>
      <c r="AU362" s="114" t="s">
        <v>63</v>
      </c>
      <c r="AY362" s="107" t="s">
        <v>228</v>
      </c>
      <c r="BK362" s="115">
        <f>SUM(BK363:BK368)</f>
        <v>1228.48</v>
      </c>
    </row>
    <row r="363" spans="2:65" s="1" customFormat="1" ht="16.5" customHeight="1" x14ac:dyDescent="0.2">
      <c r="B363" s="118"/>
      <c r="C363" s="205" t="s">
        <v>435</v>
      </c>
      <c r="D363" s="119" t="s">
        <v>231</v>
      </c>
      <c r="E363" s="120" t="s">
        <v>1271</v>
      </c>
      <c r="F363" s="121" t="s">
        <v>1272</v>
      </c>
      <c r="G363" s="122" t="s">
        <v>292</v>
      </c>
      <c r="H363" s="206">
        <v>102</v>
      </c>
      <c r="I363" s="124">
        <v>3.26</v>
      </c>
      <c r="J363" s="124">
        <f t="shared" ref="J363:J368" si="79">ROUND(I363*H363,2)</f>
        <v>332.52</v>
      </c>
      <c r="K363" s="121" t="s">
        <v>1</v>
      </c>
      <c r="L363" s="24"/>
      <c r="M363" s="125" t="s">
        <v>1</v>
      </c>
      <c r="N363" s="126" t="s">
        <v>32</v>
      </c>
      <c r="O363" s="127">
        <v>0</v>
      </c>
      <c r="P363" s="127">
        <f t="shared" ref="P363:P368" si="80">O363*H363</f>
        <v>0</v>
      </c>
      <c r="Q363" s="127">
        <v>0</v>
      </c>
      <c r="R363" s="127">
        <f t="shared" ref="R363:R368" si="81">Q363*H363</f>
        <v>0</v>
      </c>
      <c r="S363" s="127">
        <v>0</v>
      </c>
      <c r="T363" s="128">
        <f t="shared" ref="T363:T368" si="82">S363*H363</f>
        <v>0</v>
      </c>
      <c r="W363" s="199"/>
      <c r="X363" s="205" t="s">
        <v>435</v>
      </c>
      <c r="Y363" s="119" t="s">
        <v>231</v>
      </c>
      <c r="Z363" s="120" t="s">
        <v>1271</v>
      </c>
      <c r="AA363" s="121" t="s">
        <v>1272</v>
      </c>
      <c r="AB363" s="122" t="s">
        <v>292</v>
      </c>
      <c r="AC363" s="206">
        <v>70</v>
      </c>
      <c r="AD363" s="124">
        <v>3.26</v>
      </c>
      <c r="AE363" s="200">
        <f t="shared" ref="AE363:AE368" si="83">ROUND(AD363*AC363,2)</f>
        <v>228.2</v>
      </c>
      <c r="AF363" s="227">
        <v>7</v>
      </c>
      <c r="AG363" s="130"/>
      <c r="AH363" s="130"/>
      <c r="AR363" s="129" t="s">
        <v>235</v>
      </c>
      <c r="AT363" s="129" t="s">
        <v>231</v>
      </c>
      <c r="AU363" s="129" t="s">
        <v>76</v>
      </c>
      <c r="AY363" s="13" t="s">
        <v>228</v>
      </c>
      <c r="BE363" s="130">
        <f t="shared" ref="BE363:BE368" si="84">IF(N363="základná",J363,0)</f>
        <v>0</v>
      </c>
      <c r="BF363" s="130">
        <f t="shared" ref="BF363:BF368" si="85">IF(N363="znížená",J363,0)</f>
        <v>332.52</v>
      </c>
      <c r="BG363" s="130">
        <f t="shared" ref="BG363:BG368" si="86">IF(N363="zákl. prenesená",J363,0)</f>
        <v>0</v>
      </c>
      <c r="BH363" s="130">
        <f t="shared" ref="BH363:BH368" si="87">IF(N363="zníž. prenesená",J363,0)</f>
        <v>0</v>
      </c>
      <c r="BI363" s="130">
        <f t="shared" ref="BI363:BI368" si="88">IF(N363="nulová",J363,0)</f>
        <v>0</v>
      </c>
      <c r="BJ363" s="13" t="s">
        <v>76</v>
      </c>
      <c r="BK363" s="130">
        <f t="shared" ref="BK363:BK368" si="89">ROUND(I363*H363,2)</f>
        <v>332.52</v>
      </c>
      <c r="BL363" s="13" t="s">
        <v>235</v>
      </c>
      <c r="BM363" s="129" t="s">
        <v>649</v>
      </c>
    </row>
    <row r="364" spans="2:65" s="1" customFormat="1" ht="16.5" customHeight="1" x14ac:dyDescent="0.2">
      <c r="B364" s="118"/>
      <c r="C364" s="205" t="s">
        <v>650</v>
      </c>
      <c r="D364" s="119" t="s">
        <v>231</v>
      </c>
      <c r="E364" s="120" t="s">
        <v>1273</v>
      </c>
      <c r="F364" s="121" t="s">
        <v>1274</v>
      </c>
      <c r="G364" s="122" t="s">
        <v>292</v>
      </c>
      <c r="H364" s="206">
        <v>32</v>
      </c>
      <c r="I364" s="124">
        <v>3.6</v>
      </c>
      <c r="J364" s="124">
        <f t="shared" si="79"/>
        <v>115.2</v>
      </c>
      <c r="K364" s="121" t="s">
        <v>1</v>
      </c>
      <c r="L364" s="24"/>
      <c r="M364" s="125" t="s">
        <v>1</v>
      </c>
      <c r="N364" s="126" t="s">
        <v>32</v>
      </c>
      <c r="O364" s="127">
        <v>0</v>
      </c>
      <c r="P364" s="127">
        <f t="shared" si="80"/>
        <v>0</v>
      </c>
      <c r="Q364" s="127">
        <v>0</v>
      </c>
      <c r="R364" s="127">
        <f t="shared" si="81"/>
        <v>0</v>
      </c>
      <c r="S364" s="127">
        <v>0</v>
      </c>
      <c r="T364" s="128">
        <f t="shared" si="82"/>
        <v>0</v>
      </c>
      <c r="W364" s="199"/>
      <c r="X364" s="205" t="s">
        <v>650</v>
      </c>
      <c r="Y364" s="119" t="s">
        <v>231</v>
      </c>
      <c r="Z364" s="120" t="s">
        <v>1273</v>
      </c>
      <c r="AA364" s="121" t="s">
        <v>1274</v>
      </c>
      <c r="AB364" s="122" t="s">
        <v>292</v>
      </c>
      <c r="AC364" s="206">
        <v>38</v>
      </c>
      <c r="AD364" s="124">
        <v>3.6</v>
      </c>
      <c r="AE364" s="200">
        <f t="shared" si="83"/>
        <v>136.80000000000001</v>
      </c>
      <c r="AF364" s="227">
        <v>7</v>
      </c>
      <c r="AG364" s="130"/>
      <c r="AH364" s="130"/>
      <c r="AR364" s="129" t="s">
        <v>235</v>
      </c>
      <c r="AT364" s="129" t="s">
        <v>231</v>
      </c>
      <c r="AU364" s="129" t="s">
        <v>76</v>
      </c>
      <c r="AY364" s="13" t="s">
        <v>228</v>
      </c>
      <c r="BE364" s="130">
        <f t="shared" si="84"/>
        <v>0</v>
      </c>
      <c r="BF364" s="130">
        <f t="shared" si="85"/>
        <v>115.2</v>
      </c>
      <c r="BG364" s="130">
        <f t="shared" si="86"/>
        <v>0</v>
      </c>
      <c r="BH364" s="130">
        <f t="shared" si="87"/>
        <v>0</v>
      </c>
      <c r="BI364" s="130">
        <f t="shared" si="88"/>
        <v>0</v>
      </c>
      <c r="BJ364" s="13" t="s">
        <v>76</v>
      </c>
      <c r="BK364" s="130">
        <f t="shared" si="89"/>
        <v>115.2</v>
      </c>
      <c r="BL364" s="13" t="s">
        <v>235</v>
      </c>
      <c r="BM364" s="129" t="s">
        <v>653</v>
      </c>
    </row>
    <row r="365" spans="2:65" s="1" customFormat="1" ht="16.5" customHeight="1" x14ac:dyDescent="0.2">
      <c r="B365" s="118"/>
      <c r="C365" s="205" t="s">
        <v>441</v>
      </c>
      <c r="D365" s="119" t="s">
        <v>231</v>
      </c>
      <c r="E365" s="120" t="s">
        <v>1275</v>
      </c>
      <c r="F365" s="239" t="s">
        <v>1276</v>
      </c>
      <c r="G365" s="122" t="s">
        <v>292</v>
      </c>
      <c r="H365" s="206">
        <v>14</v>
      </c>
      <c r="I365" s="124">
        <v>3.77</v>
      </c>
      <c r="J365" s="124">
        <f t="shared" si="79"/>
        <v>52.78</v>
      </c>
      <c r="K365" s="121" t="s">
        <v>1</v>
      </c>
      <c r="L365" s="24"/>
      <c r="M365" s="125" t="s">
        <v>1</v>
      </c>
      <c r="N365" s="126" t="s">
        <v>32</v>
      </c>
      <c r="O365" s="127">
        <v>0</v>
      </c>
      <c r="P365" s="127">
        <f t="shared" si="80"/>
        <v>0</v>
      </c>
      <c r="Q365" s="127">
        <v>0</v>
      </c>
      <c r="R365" s="127">
        <f t="shared" si="81"/>
        <v>0</v>
      </c>
      <c r="S365" s="127">
        <v>0</v>
      </c>
      <c r="T365" s="128">
        <f t="shared" si="82"/>
        <v>0</v>
      </c>
      <c r="W365" s="199"/>
      <c r="X365" s="205" t="s">
        <v>441</v>
      </c>
      <c r="Y365" s="119" t="s">
        <v>231</v>
      </c>
      <c r="Z365" s="120" t="s">
        <v>1275</v>
      </c>
      <c r="AA365" s="239" t="s">
        <v>5275</v>
      </c>
      <c r="AB365" s="122" t="s">
        <v>292</v>
      </c>
      <c r="AC365" s="206">
        <v>42</v>
      </c>
      <c r="AD365" s="124">
        <v>3.77</v>
      </c>
      <c r="AE365" s="200">
        <f t="shared" si="83"/>
        <v>158.34</v>
      </c>
      <c r="AF365" s="227">
        <v>7</v>
      </c>
      <c r="AG365" s="130"/>
      <c r="AH365" s="130"/>
      <c r="AR365" s="129" t="s">
        <v>235</v>
      </c>
      <c r="AT365" s="129" t="s">
        <v>231</v>
      </c>
      <c r="AU365" s="129" t="s">
        <v>76</v>
      </c>
      <c r="AY365" s="13" t="s">
        <v>228</v>
      </c>
      <c r="BE365" s="130">
        <f t="shared" si="84"/>
        <v>0</v>
      </c>
      <c r="BF365" s="130">
        <f t="shared" si="85"/>
        <v>52.78</v>
      </c>
      <c r="BG365" s="130">
        <f t="shared" si="86"/>
        <v>0</v>
      </c>
      <c r="BH365" s="130">
        <f t="shared" si="87"/>
        <v>0</v>
      </c>
      <c r="BI365" s="130">
        <f t="shared" si="88"/>
        <v>0</v>
      </c>
      <c r="BJ365" s="13" t="s">
        <v>76</v>
      </c>
      <c r="BK365" s="130">
        <f t="shared" si="89"/>
        <v>52.78</v>
      </c>
      <c r="BL365" s="13" t="s">
        <v>235</v>
      </c>
      <c r="BM365" s="129" t="s">
        <v>656</v>
      </c>
    </row>
    <row r="366" spans="2:65" s="1" customFormat="1" ht="16.5" customHeight="1" x14ac:dyDescent="0.2">
      <c r="B366" s="118"/>
      <c r="C366" s="205" t="s">
        <v>657</v>
      </c>
      <c r="D366" s="119" t="s">
        <v>231</v>
      </c>
      <c r="E366" s="120" t="s">
        <v>1277</v>
      </c>
      <c r="F366" s="121" t="s">
        <v>1278</v>
      </c>
      <c r="G366" s="122" t="s">
        <v>292</v>
      </c>
      <c r="H366" s="206">
        <v>9</v>
      </c>
      <c r="I366" s="124">
        <v>4.18</v>
      </c>
      <c r="J366" s="124">
        <f t="shared" si="79"/>
        <v>37.619999999999997</v>
      </c>
      <c r="K366" s="121" t="s">
        <v>1</v>
      </c>
      <c r="L366" s="24"/>
      <c r="M366" s="125" t="s">
        <v>1</v>
      </c>
      <c r="N366" s="126" t="s">
        <v>32</v>
      </c>
      <c r="O366" s="127">
        <v>0</v>
      </c>
      <c r="P366" s="127">
        <f t="shared" si="80"/>
        <v>0</v>
      </c>
      <c r="Q366" s="127">
        <v>0</v>
      </c>
      <c r="R366" s="127">
        <f t="shared" si="81"/>
        <v>0</v>
      </c>
      <c r="S366" s="127">
        <v>0</v>
      </c>
      <c r="T366" s="128">
        <f t="shared" si="82"/>
        <v>0</v>
      </c>
      <c r="W366" s="199"/>
      <c r="X366" s="205" t="s">
        <v>657</v>
      </c>
      <c r="Y366" s="119" t="s">
        <v>231</v>
      </c>
      <c r="Z366" s="120" t="s">
        <v>1277</v>
      </c>
      <c r="AA366" s="240" t="s">
        <v>5276</v>
      </c>
      <c r="AB366" s="122" t="s">
        <v>292</v>
      </c>
      <c r="AC366" s="206">
        <v>0</v>
      </c>
      <c r="AD366" s="124">
        <v>4.18</v>
      </c>
      <c r="AE366" s="200">
        <f t="shared" si="83"/>
        <v>0</v>
      </c>
      <c r="AF366" s="227">
        <v>7</v>
      </c>
      <c r="AG366" s="130"/>
      <c r="AH366" s="130"/>
      <c r="AR366" s="129" t="s">
        <v>235</v>
      </c>
      <c r="AT366" s="129" t="s">
        <v>231</v>
      </c>
      <c r="AU366" s="129" t="s">
        <v>76</v>
      </c>
      <c r="AY366" s="13" t="s">
        <v>228</v>
      </c>
      <c r="BE366" s="130">
        <f t="shared" si="84"/>
        <v>0</v>
      </c>
      <c r="BF366" s="130">
        <f t="shared" si="85"/>
        <v>37.619999999999997</v>
      </c>
      <c r="BG366" s="130">
        <f t="shared" si="86"/>
        <v>0</v>
      </c>
      <c r="BH366" s="130">
        <f t="shared" si="87"/>
        <v>0</v>
      </c>
      <c r="BI366" s="130">
        <f t="shared" si="88"/>
        <v>0</v>
      </c>
      <c r="BJ366" s="13" t="s">
        <v>76</v>
      </c>
      <c r="BK366" s="130">
        <f t="shared" si="89"/>
        <v>37.619999999999997</v>
      </c>
      <c r="BL366" s="13" t="s">
        <v>235</v>
      </c>
      <c r="BM366" s="129" t="s">
        <v>660</v>
      </c>
    </row>
    <row r="367" spans="2:65" s="1" customFormat="1" ht="16.5" customHeight="1" x14ac:dyDescent="0.2">
      <c r="B367" s="118"/>
      <c r="C367" s="205" t="s">
        <v>444</v>
      </c>
      <c r="D367" s="119" t="s">
        <v>231</v>
      </c>
      <c r="E367" s="120" t="s">
        <v>3735</v>
      </c>
      <c r="F367" s="121" t="s">
        <v>3736</v>
      </c>
      <c r="G367" s="122" t="s">
        <v>292</v>
      </c>
      <c r="H367" s="206">
        <v>30</v>
      </c>
      <c r="I367" s="124">
        <v>5.96</v>
      </c>
      <c r="J367" s="124">
        <f t="shared" si="79"/>
        <v>178.8</v>
      </c>
      <c r="K367" s="121" t="s">
        <v>1</v>
      </c>
      <c r="L367" s="24"/>
      <c r="M367" s="125" t="s">
        <v>1</v>
      </c>
      <c r="N367" s="126" t="s">
        <v>32</v>
      </c>
      <c r="O367" s="127">
        <v>0</v>
      </c>
      <c r="P367" s="127">
        <f t="shared" si="80"/>
        <v>0</v>
      </c>
      <c r="Q367" s="127">
        <v>0</v>
      </c>
      <c r="R367" s="127">
        <f t="shared" si="81"/>
        <v>0</v>
      </c>
      <c r="S367" s="127">
        <v>0</v>
      </c>
      <c r="T367" s="128">
        <f t="shared" si="82"/>
        <v>0</v>
      </c>
      <c r="W367" s="199"/>
      <c r="X367" s="205" t="s">
        <v>444</v>
      </c>
      <c r="Y367" s="119" t="s">
        <v>231</v>
      </c>
      <c r="Z367" s="120" t="s">
        <v>3735</v>
      </c>
      <c r="AA367" s="240" t="s">
        <v>3736</v>
      </c>
      <c r="AB367" s="122" t="s">
        <v>292</v>
      </c>
      <c r="AC367" s="206">
        <v>0</v>
      </c>
      <c r="AD367" s="124">
        <v>5.96</v>
      </c>
      <c r="AE367" s="200">
        <f t="shared" si="83"/>
        <v>0</v>
      </c>
      <c r="AF367" s="227">
        <v>7</v>
      </c>
      <c r="AG367" s="130"/>
      <c r="AH367" s="130"/>
      <c r="AR367" s="129" t="s">
        <v>235</v>
      </c>
      <c r="AT367" s="129" t="s">
        <v>231</v>
      </c>
      <c r="AU367" s="129" t="s">
        <v>76</v>
      </c>
      <c r="AY367" s="13" t="s">
        <v>228</v>
      </c>
      <c r="BE367" s="130">
        <f t="shared" si="84"/>
        <v>0</v>
      </c>
      <c r="BF367" s="130">
        <f t="shared" si="85"/>
        <v>178.8</v>
      </c>
      <c r="BG367" s="130">
        <f t="shared" si="86"/>
        <v>0</v>
      </c>
      <c r="BH367" s="130">
        <f t="shared" si="87"/>
        <v>0</v>
      </c>
      <c r="BI367" s="130">
        <f t="shared" si="88"/>
        <v>0</v>
      </c>
      <c r="BJ367" s="13" t="s">
        <v>76</v>
      </c>
      <c r="BK367" s="130">
        <f t="shared" si="89"/>
        <v>178.8</v>
      </c>
      <c r="BL367" s="13" t="s">
        <v>235</v>
      </c>
      <c r="BM367" s="129" t="s">
        <v>663</v>
      </c>
    </row>
    <row r="368" spans="2:65" s="1" customFormat="1" ht="16.5" customHeight="1" x14ac:dyDescent="0.2">
      <c r="B368" s="118"/>
      <c r="C368" s="205" t="s">
        <v>664</v>
      </c>
      <c r="D368" s="119" t="s">
        <v>231</v>
      </c>
      <c r="E368" s="120" t="s">
        <v>3737</v>
      </c>
      <c r="F368" s="121" t="s">
        <v>3738</v>
      </c>
      <c r="G368" s="122" t="s">
        <v>292</v>
      </c>
      <c r="H368" s="206">
        <v>58</v>
      </c>
      <c r="I368" s="124">
        <v>8.82</v>
      </c>
      <c r="J368" s="124">
        <f t="shared" si="79"/>
        <v>511.56</v>
      </c>
      <c r="K368" s="121" t="s">
        <v>1</v>
      </c>
      <c r="L368" s="24"/>
      <c r="M368" s="125" t="s">
        <v>1</v>
      </c>
      <c r="N368" s="126" t="s">
        <v>32</v>
      </c>
      <c r="O368" s="127">
        <v>0</v>
      </c>
      <c r="P368" s="127">
        <f t="shared" si="80"/>
        <v>0</v>
      </c>
      <c r="Q368" s="127">
        <v>0</v>
      </c>
      <c r="R368" s="127">
        <f t="shared" si="81"/>
        <v>0</v>
      </c>
      <c r="S368" s="127">
        <v>0</v>
      </c>
      <c r="T368" s="128">
        <f t="shared" si="82"/>
        <v>0</v>
      </c>
      <c r="W368" s="199"/>
      <c r="X368" s="205" t="s">
        <v>664</v>
      </c>
      <c r="Y368" s="119" t="s">
        <v>231</v>
      </c>
      <c r="Z368" s="120" t="s">
        <v>3737</v>
      </c>
      <c r="AA368" s="240" t="s">
        <v>3738</v>
      </c>
      <c r="AB368" s="122" t="s">
        <v>292</v>
      </c>
      <c r="AC368" s="206">
        <v>0</v>
      </c>
      <c r="AD368" s="124">
        <v>8.82</v>
      </c>
      <c r="AE368" s="200">
        <f t="shared" si="83"/>
        <v>0</v>
      </c>
      <c r="AF368" s="227">
        <v>7</v>
      </c>
      <c r="AG368" s="130"/>
      <c r="AH368" s="130"/>
      <c r="AR368" s="129" t="s">
        <v>235</v>
      </c>
      <c r="AT368" s="129" t="s">
        <v>231</v>
      </c>
      <c r="AU368" s="129" t="s">
        <v>76</v>
      </c>
      <c r="AY368" s="13" t="s">
        <v>228</v>
      </c>
      <c r="BE368" s="130">
        <f t="shared" si="84"/>
        <v>0</v>
      </c>
      <c r="BF368" s="130">
        <f t="shared" si="85"/>
        <v>511.56</v>
      </c>
      <c r="BG368" s="130">
        <f t="shared" si="86"/>
        <v>0</v>
      </c>
      <c r="BH368" s="130">
        <f t="shared" si="87"/>
        <v>0</v>
      </c>
      <c r="BI368" s="130">
        <f t="shared" si="88"/>
        <v>0</v>
      </c>
      <c r="BJ368" s="13" t="s">
        <v>76</v>
      </c>
      <c r="BK368" s="130">
        <f t="shared" si="89"/>
        <v>511.56</v>
      </c>
      <c r="BL368" s="13" t="s">
        <v>235</v>
      </c>
      <c r="BM368" s="129" t="s">
        <v>667</v>
      </c>
    </row>
    <row r="369" spans="2:65" s="151" customFormat="1" ht="33" customHeight="1" x14ac:dyDescent="0.2">
      <c r="B369" s="118"/>
      <c r="C369" s="1234" t="s">
        <v>5205</v>
      </c>
      <c r="D369" s="1235"/>
      <c r="E369" s="1235"/>
      <c r="F369" s="1235"/>
      <c r="G369" s="1235"/>
      <c r="H369" s="1235"/>
      <c r="I369" s="1235"/>
      <c r="J369" s="1236"/>
      <c r="K369" s="222"/>
      <c r="L369" s="24"/>
      <c r="M369" s="125"/>
      <c r="N369" s="126"/>
      <c r="O369" s="127"/>
      <c r="P369" s="127"/>
      <c r="Q369" s="127"/>
      <c r="R369" s="127"/>
      <c r="S369" s="127"/>
      <c r="T369" s="128"/>
      <c r="W369" s="199"/>
      <c r="X369" s="215" t="s">
        <v>5284</v>
      </c>
      <c r="Y369" s="215" t="s">
        <v>231</v>
      </c>
      <c r="Z369" s="216" t="s">
        <v>5267</v>
      </c>
      <c r="AA369" s="217" t="s">
        <v>5268</v>
      </c>
      <c r="AB369" s="218" t="s">
        <v>292</v>
      </c>
      <c r="AC369" s="219">
        <v>59</v>
      </c>
      <c r="AD369" s="220">
        <v>7.4</v>
      </c>
      <c r="AE369" s="221">
        <f>ROUND(AD369*AC369,2)</f>
        <v>436.6</v>
      </c>
      <c r="AF369" s="227">
        <v>7</v>
      </c>
      <c r="AG369" s="130"/>
      <c r="AH369" s="130"/>
      <c r="AR369" s="129"/>
      <c r="AT369" s="129"/>
      <c r="AU369" s="129"/>
      <c r="AY369" s="13"/>
      <c r="BE369" s="130"/>
      <c r="BF369" s="130"/>
      <c r="BG369" s="130"/>
      <c r="BH369" s="130"/>
      <c r="BI369" s="130"/>
      <c r="BJ369" s="13"/>
      <c r="BK369" s="130"/>
      <c r="BL369" s="13"/>
      <c r="BM369" s="129"/>
    </row>
    <row r="370" spans="2:65" s="151" customFormat="1" ht="31.5" customHeight="1" x14ac:dyDescent="0.2">
      <c r="B370" s="118"/>
      <c r="C370" s="1234" t="s">
        <v>5205</v>
      </c>
      <c r="D370" s="1235"/>
      <c r="E370" s="1235"/>
      <c r="F370" s="1235"/>
      <c r="G370" s="1235"/>
      <c r="H370" s="1235"/>
      <c r="I370" s="1235"/>
      <c r="J370" s="1236"/>
      <c r="K370" s="222"/>
      <c r="L370" s="24"/>
      <c r="M370" s="125"/>
      <c r="N370" s="126"/>
      <c r="O370" s="127"/>
      <c r="P370" s="127"/>
      <c r="Q370" s="127"/>
      <c r="R370" s="127"/>
      <c r="S370" s="127"/>
      <c r="T370" s="128"/>
      <c r="W370" s="199"/>
      <c r="X370" s="215" t="s">
        <v>5285</v>
      </c>
      <c r="Y370" s="215" t="s">
        <v>231</v>
      </c>
      <c r="Z370" s="216" t="s">
        <v>5273</v>
      </c>
      <c r="AA370" s="217" t="s">
        <v>5274</v>
      </c>
      <c r="AB370" s="218" t="s">
        <v>292</v>
      </c>
      <c r="AC370" s="219">
        <v>44</v>
      </c>
      <c r="AD370" s="220">
        <v>11</v>
      </c>
      <c r="AE370" s="221">
        <f>ROUND(AD370*AC370,2)</f>
        <v>484</v>
      </c>
      <c r="AF370" s="227">
        <v>7</v>
      </c>
      <c r="AG370" s="130"/>
      <c r="AH370" s="130"/>
      <c r="AR370" s="129"/>
      <c r="AT370" s="129"/>
      <c r="AU370" s="129"/>
      <c r="AY370" s="13"/>
      <c r="BE370" s="130"/>
      <c r="BF370" s="130"/>
      <c r="BG370" s="130"/>
      <c r="BH370" s="130"/>
      <c r="BI370" s="130"/>
      <c r="BJ370" s="13"/>
      <c r="BK370" s="130"/>
      <c r="BL370" s="13"/>
      <c r="BM370" s="129"/>
    </row>
    <row r="371" spans="2:65" s="11" customFormat="1" ht="22.95" customHeight="1" x14ac:dyDescent="0.25">
      <c r="B371" s="106"/>
      <c r="D371" s="107" t="s">
        <v>57</v>
      </c>
      <c r="E371" s="116" t="s">
        <v>3739</v>
      </c>
      <c r="F371" s="116" t="s">
        <v>3740</v>
      </c>
      <c r="J371" s="117">
        <f>BK371</f>
        <v>570.09999999999991</v>
      </c>
      <c r="L371" s="106"/>
      <c r="M371" s="110"/>
      <c r="N371" s="111"/>
      <c r="O371" s="111"/>
      <c r="P371" s="112">
        <f>SUM(P372:P377)</f>
        <v>0</v>
      </c>
      <c r="Q371" s="111"/>
      <c r="R371" s="112">
        <f>SUM(R372:R377)</f>
        <v>0</v>
      </c>
      <c r="S371" s="111"/>
      <c r="T371" s="113">
        <f>SUM(T372:T377)</f>
        <v>0</v>
      </c>
      <c r="W371" s="195"/>
      <c r="X371" s="111"/>
      <c r="Y371" s="196" t="s">
        <v>57</v>
      </c>
      <c r="Z371" s="201" t="s">
        <v>3739</v>
      </c>
      <c r="AA371" s="201" t="s">
        <v>3740</v>
      </c>
      <c r="AB371" s="111"/>
      <c r="AC371" s="111"/>
      <c r="AD371" s="111"/>
      <c r="AE371" s="202">
        <f>SUM(AE372:AE377)</f>
        <v>687.08</v>
      </c>
      <c r="AF371" s="248"/>
      <c r="AG371" s="130"/>
      <c r="AH371" s="130"/>
      <c r="AR371" s="107" t="s">
        <v>63</v>
      </c>
      <c r="AT371" s="114" t="s">
        <v>57</v>
      </c>
      <c r="AU371" s="114" t="s">
        <v>63</v>
      </c>
      <c r="AY371" s="107" t="s">
        <v>228</v>
      </c>
      <c r="BK371" s="115">
        <f>SUM(BK372:BK377)</f>
        <v>570.09999999999991</v>
      </c>
    </row>
    <row r="372" spans="2:65" s="1" customFormat="1" ht="16.5" customHeight="1" x14ac:dyDescent="0.2">
      <c r="B372" s="118"/>
      <c r="C372" s="205" t="s">
        <v>448</v>
      </c>
      <c r="D372" s="119" t="s">
        <v>231</v>
      </c>
      <c r="E372" s="120" t="s">
        <v>3741</v>
      </c>
      <c r="F372" s="121" t="s">
        <v>3742</v>
      </c>
      <c r="G372" s="122" t="s">
        <v>292</v>
      </c>
      <c r="H372" s="206">
        <v>212</v>
      </c>
      <c r="I372" s="124">
        <v>1.95</v>
      </c>
      <c r="J372" s="124">
        <f>ROUND(I372*H372,2)</f>
        <v>413.4</v>
      </c>
      <c r="K372" s="121" t="s">
        <v>1</v>
      </c>
      <c r="L372" s="24"/>
      <c r="M372" s="125" t="s">
        <v>1</v>
      </c>
      <c r="N372" s="126" t="s">
        <v>32</v>
      </c>
      <c r="O372" s="127">
        <v>0</v>
      </c>
      <c r="P372" s="127">
        <f>O372*H372</f>
        <v>0</v>
      </c>
      <c r="Q372" s="127">
        <v>0</v>
      </c>
      <c r="R372" s="127">
        <f>Q372*H372</f>
        <v>0</v>
      </c>
      <c r="S372" s="127">
        <v>0</v>
      </c>
      <c r="T372" s="128">
        <f>S372*H372</f>
        <v>0</v>
      </c>
      <c r="W372" s="199"/>
      <c r="X372" s="205" t="s">
        <v>448</v>
      </c>
      <c r="Y372" s="119" t="s">
        <v>231</v>
      </c>
      <c r="Z372" s="120" t="s">
        <v>3741</v>
      </c>
      <c r="AA372" s="121" t="s">
        <v>3742</v>
      </c>
      <c r="AB372" s="122" t="s">
        <v>292</v>
      </c>
      <c r="AC372" s="206">
        <v>249</v>
      </c>
      <c r="AD372" s="124">
        <v>1.95</v>
      </c>
      <c r="AE372" s="200">
        <f>ROUND(AD372*AC372,2)</f>
        <v>485.55</v>
      </c>
      <c r="AF372" s="227">
        <v>7</v>
      </c>
      <c r="AG372" s="130"/>
      <c r="AH372" s="130"/>
      <c r="AR372" s="129" t="s">
        <v>235</v>
      </c>
      <c r="AT372" s="129" t="s">
        <v>231</v>
      </c>
      <c r="AU372" s="129" t="s">
        <v>76</v>
      </c>
      <c r="AY372" s="13" t="s">
        <v>228</v>
      </c>
      <c r="BE372" s="130">
        <f>IF(N372="základná",J372,0)</f>
        <v>0</v>
      </c>
      <c r="BF372" s="130">
        <f>IF(N372="znížená",J372,0)</f>
        <v>413.4</v>
      </c>
      <c r="BG372" s="130">
        <f>IF(N372="zákl. prenesená",J372,0)</f>
        <v>0</v>
      </c>
      <c r="BH372" s="130">
        <f>IF(N372="zníž. prenesená",J372,0)</f>
        <v>0</v>
      </c>
      <c r="BI372" s="130">
        <f>IF(N372="nulová",J372,0)</f>
        <v>0</v>
      </c>
      <c r="BJ372" s="13" t="s">
        <v>76</v>
      </c>
      <c r="BK372" s="130">
        <f>ROUND(I372*H372,2)</f>
        <v>413.4</v>
      </c>
      <c r="BL372" s="13" t="s">
        <v>235</v>
      </c>
      <c r="BM372" s="129" t="s">
        <v>670</v>
      </c>
    </row>
    <row r="373" spans="2:65" s="1" customFormat="1" ht="16.5" customHeight="1" x14ac:dyDescent="0.2">
      <c r="B373" s="118"/>
      <c r="C373" s="205" t="s">
        <v>671</v>
      </c>
      <c r="D373" s="119" t="s">
        <v>231</v>
      </c>
      <c r="E373" s="120" t="s">
        <v>3743</v>
      </c>
      <c r="F373" s="121" t="s">
        <v>3744</v>
      </c>
      <c r="G373" s="122" t="s">
        <v>292</v>
      </c>
      <c r="H373" s="206">
        <v>30</v>
      </c>
      <c r="I373" s="124">
        <v>1.99</v>
      </c>
      <c r="J373" s="124">
        <f>ROUND(I373*H373,2)</f>
        <v>59.7</v>
      </c>
      <c r="K373" s="121" t="s">
        <v>1</v>
      </c>
      <c r="L373" s="24"/>
      <c r="M373" s="125" t="s">
        <v>1</v>
      </c>
      <c r="N373" s="126" t="s">
        <v>32</v>
      </c>
      <c r="O373" s="127">
        <v>0</v>
      </c>
      <c r="P373" s="127">
        <f>O373*H373</f>
        <v>0</v>
      </c>
      <c r="Q373" s="127">
        <v>0</v>
      </c>
      <c r="R373" s="127">
        <f>Q373*H373</f>
        <v>0</v>
      </c>
      <c r="S373" s="127">
        <v>0</v>
      </c>
      <c r="T373" s="128">
        <f>S373*H373</f>
        <v>0</v>
      </c>
      <c r="W373" s="199"/>
      <c r="X373" s="205" t="s">
        <v>671</v>
      </c>
      <c r="Y373" s="119" t="s">
        <v>231</v>
      </c>
      <c r="Z373" s="120" t="s">
        <v>3743</v>
      </c>
      <c r="AA373" s="121" t="s">
        <v>3744</v>
      </c>
      <c r="AB373" s="122" t="s">
        <v>292</v>
      </c>
      <c r="AC373" s="206">
        <v>39</v>
      </c>
      <c r="AD373" s="124">
        <v>1.99</v>
      </c>
      <c r="AE373" s="200">
        <f>ROUND(AD373*AC373,2)</f>
        <v>77.61</v>
      </c>
      <c r="AF373" s="227">
        <v>7</v>
      </c>
      <c r="AG373" s="130"/>
      <c r="AH373" s="130"/>
      <c r="AR373" s="129" t="s">
        <v>235</v>
      </c>
      <c r="AT373" s="129" t="s">
        <v>231</v>
      </c>
      <c r="AU373" s="129" t="s">
        <v>76</v>
      </c>
      <c r="AY373" s="13" t="s">
        <v>228</v>
      </c>
      <c r="BE373" s="130">
        <f>IF(N373="základná",J373,0)</f>
        <v>0</v>
      </c>
      <c r="BF373" s="130">
        <f>IF(N373="znížená",J373,0)</f>
        <v>59.7</v>
      </c>
      <c r="BG373" s="130">
        <f>IF(N373="zákl. prenesená",J373,0)</f>
        <v>0</v>
      </c>
      <c r="BH373" s="130">
        <f>IF(N373="zníž. prenesená",J373,0)</f>
        <v>0</v>
      </c>
      <c r="BI373" s="130">
        <f>IF(N373="nulová",J373,0)</f>
        <v>0</v>
      </c>
      <c r="BJ373" s="13" t="s">
        <v>76</v>
      </c>
      <c r="BK373" s="130">
        <f>ROUND(I373*H373,2)</f>
        <v>59.7</v>
      </c>
      <c r="BL373" s="13" t="s">
        <v>235</v>
      </c>
      <c r="BM373" s="129" t="s">
        <v>674</v>
      </c>
    </row>
    <row r="374" spans="2:65" s="1" customFormat="1" ht="16.5" customHeight="1" x14ac:dyDescent="0.2">
      <c r="B374" s="118"/>
      <c r="C374" s="205" t="s">
        <v>451</v>
      </c>
      <c r="D374" s="119" t="s">
        <v>231</v>
      </c>
      <c r="E374" s="120" t="s">
        <v>3745</v>
      </c>
      <c r="F374" s="121" t="s">
        <v>3746</v>
      </c>
      <c r="G374" s="122" t="s">
        <v>292</v>
      </c>
      <c r="H374" s="206">
        <v>10</v>
      </c>
      <c r="I374" s="124">
        <v>2.0099999999999998</v>
      </c>
      <c r="J374" s="124">
        <f>ROUND(I374*H374,2)</f>
        <v>20.100000000000001</v>
      </c>
      <c r="K374" s="121" t="s">
        <v>1</v>
      </c>
      <c r="L374" s="24"/>
      <c r="M374" s="125" t="s">
        <v>1</v>
      </c>
      <c r="N374" s="126" t="s">
        <v>32</v>
      </c>
      <c r="O374" s="127">
        <v>0</v>
      </c>
      <c r="P374" s="127">
        <f>O374*H374</f>
        <v>0</v>
      </c>
      <c r="Q374" s="127">
        <v>0</v>
      </c>
      <c r="R374" s="127">
        <f>Q374*H374</f>
        <v>0</v>
      </c>
      <c r="S374" s="127">
        <v>0</v>
      </c>
      <c r="T374" s="128">
        <f>S374*H374</f>
        <v>0</v>
      </c>
      <c r="W374" s="199"/>
      <c r="X374" s="205" t="s">
        <v>451</v>
      </c>
      <c r="Y374" s="119" t="s">
        <v>231</v>
      </c>
      <c r="Z374" s="120" t="s">
        <v>3745</v>
      </c>
      <c r="AA374" s="121" t="s">
        <v>3746</v>
      </c>
      <c r="AB374" s="122" t="s">
        <v>292</v>
      </c>
      <c r="AC374" s="206">
        <v>12</v>
      </c>
      <c r="AD374" s="124">
        <v>2.0099999999999998</v>
      </c>
      <c r="AE374" s="200">
        <f>ROUND(AD374*AC374,2)</f>
        <v>24.12</v>
      </c>
      <c r="AF374" s="227">
        <v>7</v>
      </c>
      <c r="AG374" s="130"/>
      <c r="AH374" s="130"/>
      <c r="AR374" s="129" t="s">
        <v>235</v>
      </c>
      <c r="AT374" s="129" t="s">
        <v>231</v>
      </c>
      <c r="AU374" s="129" t="s">
        <v>76</v>
      </c>
      <c r="AY374" s="13" t="s">
        <v>228</v>
      </c>
      <c r="BE374" s="130">
        <f>IF(N374="základná",J374,0)</f>
        <v>0</v>
      </c>
      <c r="BF374" s="130">
        <f>IF(N374="znížená",J374,0)</f>
        <v>20.100000000000001</v>
      </c>
      <c r="BG374" s="130">
        <f>IF(N374="zákl. prenesená",J374,0)</f>
        <v>0</v>
      </c>
      <c r="BH374" s="130">
        <f>IF(N374="zníž. prenesená",J374,0)</f>
        <v>0</v>
      </c>
      <c r="BI374" s="130">
        <f>IF(N374="nulová",J374,0)</f>
        <v>0</v>
      </c>
      <c r="BJ374" s="13" t="s">
        <v>76</v>
      </c>
      <c r="BK374" s="130">
        <f>ROUND(I374*H374,2)</f>
        <v>20.100000000000001</v>
      </c>
      <c r="BL374" s="13" t="s">
        <v>235</v>
      </c>
      <c r="BM374" s="129" t="s">
        <v>677</v>
      </c>
    </row>
    <row r="375" spans="2:65" s="1" customFormat="1" ht="24" customHeight="1" x14ac:dyDescent="0.2">
      <c r="B375" s="118"/>
      <c r="C375" s="119" t="s">
        <v>678</v>
      </c>
      <c r="D375" s="119" t="s">
        <v>231</v>
      </c>
      <c r="E375" s="120" t="s">
        <v>1279</v>
      </c>
      <c r="F375" s="121" t="s">
        <v>1280</v>
      </c>
      <c r="G375" s="122" t="s">
        <v>284</v>
      </c>
      <c r="H375" s="123">
        <v>2</v>
      </c>
      <c r="I375" s="124">
        <v>14.8</v>
      </c>
      <c r="J375" s="124">
        <f>ROUND(I375*H375,2)</f>
        <v>29.6</v>
      </c>
      <c r="K375" s="121" t="s">
        <v>1</v>
      </c>
      <c r="L375" s="24"/>
      <c r="M375" s="125" t="s">
        <v>1</v>
      </c>
      <c r="N375" s="126" t="s">
        <v>32</v>
      </c>
      <c r="O375" s="127">
        <v>0</v>
      </c>
      <c r="P375" s="127">
        <f>O375*H375</f>
        <v>0</v>
      </c>
      <c r="Q375" s="127">
        <v>0</v>
      </c>
      <c r="R375" s="127">
        <f>Q375*H375</f>
        <v>0</v>
      </c>
      <c r="S375" s="127">
        <v>0</v>
      </c>
      <c r="T375" s="128">
        <f>S375*H375</f>
        <v>0</v>
      </c>
      <c r="W375" s="199"/>
      <c r="X375" s="119" t="s">
        <v>678</v>
      </c>
      <c r="Y375" s="119" t="s">
        <v>231</v>
      </c>
      <c r="Z375" s="120" t="s">
        <v>1279</v>
      </c>
      <c r="AA375" s="121" t="s">
        <v>1280</v>
      </c>
      <c r="AB375" s="122" t="s">
        <v>284</v>
      </c>
      <c r="AC375" s="123">
        <v>2</v>
      </c>
      <c r="AD375" s="124">
        <v>14.8</v>
      </c>
      <c r="AE375" s="200">
        <f>ROUND(AD375*AC375,2)</f>
        <v>29.6</v>
      </c>
      <c r="AF375" s="227"/>
      <c r="AG375" s="130"/>
      <c r="AH375" s="130"/>
      <c r="AR375" s="129" t="s">
        <v>235</v>
      </c>
      <c r="AT375" s="129" t="s">
        <v>231</v>
      </c>
      <c r="AU375" s="129" t="s">
        <v>76</v>
      </c>
      <c r="AY375" s="13" t="s">
        <v>228</v>
      </c>
      <c r="BE375" s="130">
        <f>IF(N375="základná",J375,0)</f>
        <v>0</v>
      </c>
      <c r="BF375" s="130">
        <f>IF(N375="znížená",J375,0)</f>
        <v>29.6</v>
      </c>
      <c r="BG375" s="130">
        <f>IF(N375="zákl. prenesená",J375,0)</f>
        <v>0</v>
      </c>
      <c r="BH375" s="130">
        <f>IF(N375="zníž. prenesená",J375,0)</f>
        <v>0</v>
      </c>
      <c r="BI375" s="130">
        <f>IF(N375="nulová",J375,0)</f>
        <v>0</v>
      </c>
      <c r="BJ375" s="13" t="s">
        <v>76</v>
      </c>
      <c r="BK375" s="130">
        <f>ROUND(I375*H375,2)</f>
        <v>29.6</v>
      </c>
      <c r="BL375" s="13" t="s">
        <v>235</v>
      </c>
      <c r="BM375" s="129" t="s">
        <v>681</v>
      </c>
    </row>
    <row r="376" spans="2:65" s="1" customFormat="1" ht="19.2" x14ac:dyDescent="0.2">
      <c r="B376" s="24"/>
      <c r="D376" s="144" t="s">
        <v>1259</v>
      </c>
      <c r="F376" s="145" t="s">
        <v>1281</v>
      </c>
      <c r="L376" s="24"/>
      <c r="M376" s="146"/>
      <c r="N376" s="42"/>
      <c r="O376" s="42"/>
      <c r="P376" s="42"/>
      <c r="Q376" s="42"/>
      <c r="R376" s="42"/>
      <c r="S376" s="42"/>
      <c r="T376" s="43"/>
      <c r="W376" s="158"/>
      <c r="X376" s="283"/>
      <c r="Y376" s="203" t="s">
        <v>1259</v>
      </c>
      <c r="Z376" s="283"/>
      <c r="AA376" s="204" t="s">
        <v>1281</v>
      </c>
      <c r="AB376" s="283"/>
      <c r="AC376" s="283"/>
      <c r="AD376" s="283"/>
      <c r="AE376" s="159"/>
      <c r="AF376" s="227"/>
      <c r="AG376" s="130"/>
      <c r="AH376" s="130"/>
      <c r="AT376" s="13" t="s">
        <v>1259</v>
      </c>
      <c r="AU376" s="13" t="s">
        <v>76</v>
      </c>
    </row>
    <row r="377" spans="2:65" s="1" customFormat="1" ht="16.5" customHeight="1" x14ac:dyDescent="0.2">
      <c r="B377" s="118"/>
      <c r="C377" s="205" t="s">
        <v>455</v>
      </c>
      <c r="D377" s="119" t="s">
        <v>231</v>
      </c>
      <c r="E377" s="120" t="s">
        <v>1282</v>
      </c>
      <c r="F377" s="121" t="s">
        <v>1283</v>
      </c>
      <c r="G377" s="122" t="s">
        <v>570</v>
      </c>
      <c r="H377" s="123">
        <v>2.7</v>
      </c>
      <c r="I377" s="213">
        <v>17.52</v>
      </c>
      <c r="J377" s="124">
        <f>ROUND(I377*H377,2)</f>
        <v>47.3</v>
      </c>
      <c r="K377" s="121" t="s">
        <v>1</v>
      </c>
      <c r="L377" s="24"/>
      <c r="M377" s="125" t="s">
        <v>1</v>
      </c>
      <c r="N377" s="126" t="s">
        <v>32</v>
      </c>
      <c r="O377" s="127">
        <v>0</v>
      </c>
      <c r="P377" s="127">
        <f>O377*H377</f>
        <v>0</v>
      </c>
      <c r="Q377" s="127">
        <v>0</v>
      </c>
      <c r="R377" s="127">
        <f>Q377*H377</f>
        <v>0</v>
      </c>
      <c r="S377" s="127">
        <v>0</v>
      </c>
      <c r="T377" s="128">
        <f>S377*H377</f>
        <v>0</v>
      </c>
      <c r="W377" s="199"/>
      <c r="X377" s="205" t="s">
        <v>455</v>
      </c>
      <c r="Y377" s="119" t="s">
        <v>231</v>
      </c>
      <c r="Z377" s="120" t="s">
        <v>1282</v>
      </c>
      <c r="AA377" s="121" t="s">
        <v>1283</v>
      </c>
      <c r="AB377" s="122" t="s">
        <v>570</v>
      </c>
      <c r="AC377" s="123">
        <v>2.7</v>
      </c>
      <c r="AD377" s="213">
        <v>26</v>
      </c>
      <c r="AE377" s="200">
        <f>ROUND(AD377*AC377,2)</f>
        <v>70.2</v>
      </c>
      <c r="AF377" s="227">
        <v>7</v>
      </c>
      <c r="AG377" s="130"/>
      <c r="AH377" s="130"/>
      <c r="AR377" s="129" t="s">
        <v>235</v>
      </c>
      <c r="AT377" s="129" t="s">
        <v>231</v>
      </c>
      <c r="AU377" s="129" t="s">
        <v>76</v>
      </c>
      <c r="AY377" s="13" t="s">
        <v>228</v>
      </c>
      <c r="BE377" s="130">
        <f>IF(N377="základná",J377,0)</f>
        <v>0</v>
      </c>
      <c r="BF377" s="130">
        <f>IF(N377="znížená",J377,0)</f>
        <v>47.3</v>
      </c>
      <c r="BG377" s="130">
        <f>IF(N377="zákl. prenesená",J377,0)</f>
        <v>0</v>
      </c>
      <c r="BH377" s="130">
        <f>IF(N377="zníž. prenesená",J377,0)</f>
        <v>0</v>
      </c>
      <c r="BI377" s="130">
        <f>IF(N377="nulová",J377,0)</f>
        <v>0</v>
      </c>
      <c r="BJ377" s="13" t="s">
        <v>76</v>
      </c>
      <c r="BK377" s="130">
        <f>ROUND(I377*H377,2)</f>
        <v>47.3</v>
      </c>
      <c r="BL377" s="13" t="s">
        <v>235</v>
      </c>
      <c r="BM377" s="129" t="s">
        <v>684</v>
      </c>
    </row>
    <row r="378" spans="2:65" s="11" customFormat="1" ht="25.95" customHeight="1" x14ac:dyDescent="0.25">
      <c r="B378" s="106"/>
      <c r="D378" s="107" t="s">
        <v>57</v>
      </c>
      <c r="E378" s="108" t="s">
        <v>717</v>
      </c>
      <c r="F378" s="108" t="s">
        <v>1284</v>
      </c>
      <c r="J378" s="109">
        <f>BK378</f>
        <v>556.75</v>
      </c>
      <c r="L378" s="106"/>
      <c r="M378" s="110"/>
      <c r="N378" s="111"/>
      <c r="O378" s="111"/>
      <c r="P378" s="112">
        <f>SUM(P382:P385)</f>
        <v>0</v>
      </c>
      <c r="Q378" s="111"/>
      <c r="R378" s="112">
        <f>SUM(R382:R385)</f>
        <v>0</v>
      </c>
      <c r="S378" s="111"/>
      <c r="T378" s="113">
        <f>SUM(T382:T385)</f>
        <v>0</v>
      </c>
      <c r="W378" s="195"/>
      <c r="X378" s="111"/>
      <c r="Y378" s="196" t="s">
        <v>57</v>
      </c>
      <c r="Z378" s="197" t="s">
        <v>717</v>
      </c>
      <c r="AA378" s="197" t="s">
        <v>1284</v>
      </c>
      <c r="AB378" s="111"/>
      <c r="AC378" s="111"/>
      <c r="AD378" s="111"/>
      <c r="AE378" s="198">
        <f>AE379</f>
        <v>1343</v>
      </c>
      <c r="AF378" s="248"/>
      <c r="AG378" s="130"/>
      <c r="AH378" s="130"/>
      <c r="AR378" s="107" t="s">
        <v>63</v>
      </c>
      <c r="AT378" s="114" t="s">
        <v>57</v>
      </c>
      <c r="AU378" s="114" t="s">
        <v>58</v>
      </c>
      <c r="AY378" s="107" t="s">
        <v>228</v>
      </c>
      <c r="BK378" s="115">
        <f>SUM(BK382:BK385)</f>
        <v>556.75</v>
      </c>
    </row>
    <row r="379" spans="2:65" s="11" customFormat="1" ht="25.95" customHeight="1" x14ac:dyDescent="0.25">
      <c r="B379" s="106"/>
      <c r="D379" s="107"/>
      <c r="E379" s="108"/>
      <c r="F379" s="108"/>
      <c r="J379" s="109"/>
      <c r="L379" s="106"/>
      <c r="M379" s="110"/>
      <c r="N379" s="111"/>
      <c r="O379" s="111"/>
      <c r="P379" s="112"/>
      <c r="Q379" s="111"/>
      <c r="R379" s="112"/>
      <c r="S379" s="111"/>
      <c r="T379" s="113"/>
      <c r="W379" s="195"/>
      <c r="X379" s="271"/>
      <c r="Y379" s="272" t="s">
        <v>57</v>
      </c>
      <c r="Z379" s="266" t="s">
        <v>5286</v>
      </c>
      <c r="AA379" s="266" t="s">
        <v>5287</v>
      </c>
      <c r="AB379" s="271"/>
      <c r="AC379" s="271"/>
      <c r="AD379" s="271"/>
      <c r="AE379" s="273">
        <f>SUM(AE380:AE384)</f>
        <v>1343</v>
      </c>
      <c r="AF379" s="248"/>
      <c r="AG379" s="130"/>
      <c r="AH379" s="130"/>
      <c r="AR379" s="107"/>
      <c r="AT379" s="114"/>
      <c r="AU379" s="114"/>
      <c r="AY379" s="107"/>
      <c r="BK379" s="115"/>
    </row>
    <row r="380" spans="2:65" s="11" customFormat="1" ht="17.25" customHeight="1" x14ac:dyDescent="0.2">
      <c r="B380" s="106"/>
      <c r="C380" s="1234" t="s">
        <v>5205</v>
      </c>
      <c r="D380" s="1235"/>
      <c r="E380" s="1235"/>
      <c r="F380" s="1235"/>
      <c r="G380" s="1235"/>
      <c r="H380" s="1235"/>
      <c r="I380" s="1235"/>
      <c r="J380" s="1236"/>
      <c r="L380" s="106"/>
      <c r="M380" s="110"/>
      <c r="N380" s="111"/>
      <c r="O380" s="111"/>
      <c r="P380" s="112"/>
      <c r="Q380" s="111"/>
      <c r="R380" s="112"/>
      <c r="S380" s="111"/>
      <c r="T380" s="113"/>
      <c r="W380" s="195"/>
      <c r="X380" s="215" t="s">
        <v>5288</v>
      </c>
      <c r="Y380" s="215" t="s">
        <v>231</v>
      </c>
      <c r="Z380" s="216" t="s">
        <v>1285</v>
      </c>
      <c r="AA380" s="217" t="s">
        <v>1286</v>
      </c>
      <c r="AB380" s="218" t="s">
        <v>1035</v>
      </c>
      <c r="AC380" s="219">
        <v>70</v>
      </c>
      <c r="AD380" s="220">
        <v>6.16</v>
      </c>
      <c r="AE380" s="221">
        <f>ROUND(AD380*AC380,2)</f>
        <v>431.2</v>
      </c>
      <c r="AF380" s="248">
        <v>7</v>
      </c>
      <c r="AG380" s="130"/>
      <c r="AH380" s="130"/>
      <c r="AR380" s="107"/>
      <c r="AT380" s="114"/>
      <c r="AU380" s="114"/>
      <c r="AY380" s="107"/>
      <c r="BK380" s="115"/>
    </row>
    <row r="381" spans="2:65" s="11" customFormat="1" ht="17.25" customHeight="1" x14ac:dyDescent="0.2">
      <c r="B381" s="106"/>
      <c r="C381" s="1234" t="s">
        <v>5205</v>
      </c>
      <c r="D381" s="1235"/>
      <c r="E381" s="1235"/>
      <c r="F381" s="1235"/>
      <c r="G381" s="1235"/>
      <c r="H381" s="1235"/>
      <c r="I381" s="1235"/>
      <c r="J381" s="1236"/>
      <c r="L381" s="106"/>
      <c r="M381" s="110"/>
      <c r="N381" s="111"/>
      <c r="O381" s="111"/>
      <c r="P381" s="112"/>
      <c r="Q381" s="111"/>
      <c r="R381" s="112"/>
      <c r="S381" s="111"/>
      <c r="T381" s="113"/>
      <c r="W381" s="195"/>
      <c r="X381" s="215" t="s">
        <v>5289</v>
      </c>
      <c r="Y381" s="215" t="s">
        <v>231</v>
      </c>
      <c r="Z381" s="216" t="s">
        <v>1287</v>
      </c>
      <c r="AA381" s="217" t="s">
        <v>1288</v>
      </c>
      <c r="AB381" s="218" t="s">
        <v>1035</v>
      </c>
      <c r="AC381" s="219">
        <v>70</v>
      </c>
      <c r="AD381" s="220">
        <v>4.88</v>
      </c>
      <c r="AE381" s="221">
        <f>ROUND(AD381*AC381,2)</f>
        <v>341.6</v>
      </c>
      <c r="AF381" s="248">
        <v>7</v>
      </c>
      <c r="AG381" s="130"/>
      <c r="AH381" s="130"/>
      <c r="AR381" s="107"/>
      <c r="AT381" s="114"/>
      <c r="AU381" s="114"/>
      <c r="AY381" s="107"/>
      <c r="BK381" s="115"/>
    </row>
    <row r="382" spans="2:65" s="1" customFormat="1" ht="16.5" customHeight="1" x14ac:dyDescent="0.2">
      <c r="B382" s="118"/>
      <c r="C382" s="119" t="s">
        <v>685</v>
      </c>
      <c r="D382" s="119" t="s">
        <v>231</v>
      </c>
      <c r="E382" s="120" t="s">
        <v>1285</v>
      </c>
      <c r="F382" s="121" t="s">
        <v>1286</v>
      </c>
      <c r="G382" s="122" t="s">
        <v>1035</v>
      </c>
      <c r="H382" s="123">
        <v>50</v>
      </c>
      <c r="I382" s="124">
        <v>6.16</v>
      </c>
      <c r="J382" s="124">
        <f>ROUND(I382*H382,2)</f>
        <v>308</v>
      </c>
      <c r="K382" s="121" t="s">
        <v>1</v>
      </c>
      <c r="L382" s="24"/>
      <c r="M382" s="125" t="s">
        <v>1</v>
      </c>
      <c r="N382" s="126" t="s">
        <v>32</v>
      </c>
      <c r="O382" s="127">
        <v>0</v>
      </c>
      <c r="P382" s="127">
        <f>O382*H382</f>
        <v>0</v>
      </c>
      <c r="Q382" s="127">
        <v>0</v>
      </c>
      <c r="R382" s="127">
        <f>Q382*H382</f>
        <v>0</v>
      </c>
      <c r="S382" s="127">
        <v>0</v>
      </c>
      <c r="T382" s="128">
        <f>S382*H382</f>
        <v>0</v>
      </c>
      <c r="W382" s="199"/>
      <c r="X382" s="119" t="s">
        <v>685</v>
      </c>
      <c r="Y382" s="119" t="s">
        <v>231</v>
      </c>
      <c r="Z382" s="120" t="s">
        <v>1285</v>
      </c>
      <c r="AA382" s="121" t="s">
        <v>1286</v>
      </c>
      <c r="AB382" s="122" t="s">
        <v>1035</v>
      </c>
      <c r="AC382" s="123">
        <v>50</v>
      </c>
      <c r="AD382" s="124">
        <v>6.16</v>
      </c>
      <c r="AE382" s="200">
        <f>ROUND(AD382*AC382,2)</f>
        <v>308</v>
      </c>
      <c r="AF382" s="227"/>
      <c r="AG382" s="130"/>
      <c r="AH382" s="130"/>
      <c r="AR382" s="129" t="s">
        <v>235</v>
      </c>
      <c r="AT382" s="129" t="s">
        <v>231</v>
      </c>
      <c r="AU382" s="129" t="s">
        <v>63</v>
      </c>
      <c r="AY382" s="13" t="s">
        <v>228</v>
      </c>
      <c r="BE382" s="130">
        <f>IF(N382="základná",J382,0)</f>
        <v>0</v>
      </c>
      <c r="BF382" s="130">
        <f>IF(N382="znížená",J382,0)</f>
        <v>308</v>
      </c>
      <c r="BG382" s="130">
        <f>IF(N382="zákl. prenesená",J382,0)</f>
        <v>0</v>
      </c>
      <c r="BH382" s="130">
        <f>IF(N382="zníž. prenesená",J382,0)</f>
        <v>0</v>
      </c>
      <c r="BI382" s="130">
        <f>IF(N382="nulová",J382,0)</f>
        <v>0</v>
      </c>
      <c r="BJ382" s="13" t="s">
        <v>76</v>
      </c>
      <c r="BK382" s="130">
        <f>ROUND(I382*H382,2)</f>
        <v>308</v>
      </c>
      <c r="BL382" s="13" t="s">
        <v>235</v>
      </c>
      <c r="BM382" s="129" t="s">
        <v>688</v>
      </c>
    </row>
    <row r="383" spans="2:65" s="1" customFormat="1" ht="16.5" customHeight="1" x14ac:dyDescent="0.2">
      <c r="B383" s="118"/>
      <c r="C383" s="119" t="s">
        <v>458</v>
      </c>
      <c r="D383" s="119" t="s">
        <v>231</v>
      </c>
      <c r="E383" s="120" t="s">
        <v>1287</v>
      </c>
      <c r="F383" s="121" t="s">
        <v>1288</v>
      </c>
      <c r="G383" s="122" t="s">
        <v>1035</v>
      </c>
      <c r="H383" s="123">
        <v>50</v>
      </c>
      <c r="I383" s="124">
        <v>4.88</v>
      </c>
      <c r="J383" s="124">
        <f>ROUND(I383*H383,2)</f>
        <v>244</v>
      </c>
      <c r="K383" s="121" t="s">
        <v>1</v>
      </c>
      <c r="L383" s="24"/>
      <c r="M383" s="125" t="s">
        <v>1</v>
      </c>
      <c r="N383" s="126" t="s">
        <v>32</v>
      </c>
      <c r="O383" s="127">
        <v>0</v>
      </c>
      <c r="P383" s="127">
        <f>O383*H383</f>
        <v>0</v>
      </c>
      <c r="Q383" s="127">
        <v>0</v>
      </c>
      <c r="R383" s="127">
        <f>Q383*H383</f>
        <v>0</v>
      </c>
      <c r="S383" s="127">
        <v>0</v>
      </c>
      <c r="T383" s="128">
        <f>S383*H383</f>
        <v>0</v>
      </c>
      <c r="W383" s="199"/>
      <c r="X383" s="119" t="s">
        <v>458</v>
      </c>
      <c r="Y383" s="119" t="s">
        <v>231</v>
      </c>
      <c r="Z383" s="120" t="s">
        <v>1287</v>
      </c>
      <c r="AA383" s="121" t="s">
        <v>1288</v>
      </c>
      <c r="AB383" s="122" t="s">
        <v>1035</v>
      </c>
      <c r="AC383" s="123">
        <v>50</v>
      </c>
      <c r="AD383" s="124">
        <v>4.88</v>
      </c>
      <c r="AE383" s="200">
        <f>ROUND(AD383*AC383,2)</f>
        <v>244</v>
      </c>
      <c r="AF383" s="227"/>
      <c r="AG383" s="130"/>
      <c r="AH383" s="130"/>
      <c r="AR383" s="129" t="s">
        <v>235</v>
      </c>
      <c r="AT383" s="129" t="s">
        <v>231</v>
      </c>
      <c r="AU383" s="129" t="s">
        <v>63</v>
      </c>
      <c r="AY383" s="13" t="s">
        <v>228</v>
      </c>
      <c r="BE383" s="130">
        <f>IF(N383="základná",J383,0)</f>
        <v>0</v>
      </c>
      <c r="BF383" s="130">
        <f>IF(N383="znížená",J383,0)</f>
        <v>244</v>
      </c>
      <c r="BG383" s="130">
        <f>IF(N383="zákl. prenesená",J383,0)</f>
        <v>0</v>
      </c>
      <c r="BH383" s="130">
        <f>IF(N383="zníž. prenesená",J383,0)</f>
        <v>0</v>
      </c>
      <c r="BI383" s="130">
        <f>IF(N383="nulová",J383,0)</f>
        <v>0</v>
      </c>
      <c r="BJ383" s="13" t="s">
        <v>76</v>
      </c>
      <c r="BK383" s="130">
        <f>ROUND(I383*H383,2)</f>
        <v>244</v>
      </c>
      <c r="BL383" s="13" t="s">
        <v>235</v>
      </c>
      <c r="BM383" s="129" t="s">
        <v>691</v>
      </c>
    </row>
    <row r="384" spans="2:65" s="1" customFormat="1" ht="16.5" customHeight="1" x14ac:dyDescent="0.2">
      <c r="B384" s="118"/>
      <c r="C384" s="205" t="s">
        <v>692</v>
      </c>
      <c r="D384" s="119" t="s">
        <v>231</v>
      </c>
      <c r="E384" s="120" t="s">
        <v>1289</v>
      </c>
      <c r="F384" s="121" t="s">
        <v>1290</v>
      </c>
      <c r="G384" s="122" t="s">
        <v>570</v>
      </c>
      <c r="H384" s="123">
        <v>1.4</v>
      </c>
      <c r="I384" s="213">
        <v>3.39</v>
      </c>
      <c r="J384" s="124">
        <f>ROUND(I384*H384,2)</f>
        <v>4.75</v>
      </c>
      <c r="K384" s="121" t="s">
        <v>1</v>
      </c>
      <c r="L384" s="24"/>
      <c r="M384" s="125" t="s">
        <v>1</v>
      </c>
      <c r="N384" s="126" t="s">
        <v>32</v>
      </c>
      <c r="O384" s="127">
        <v>0</v>
      </c>
      <c r="P384" s="127">
        <f>O384*H384</f>
        <v>0</v>
      </c>
      <c r="Q384" s="127">
        <v>0</v>
      </c>
      <c r="R384" s="127">
        <f>Q384*H384</f>
        <v>0</v>
      </c>
      <c r="S384" s="127">
        <v>0</v>
      </c>
      <c r="T384" s="128">
        <f>S384*H384</f>
        <v>0</v>
      </c>
      <c r="W384" s="199"/>
      <c r="X384" s="205" t="s">
        <v>692</v>
      </c>
      <c r="Y384" s="119" t="s">
        <v>231</v>
      </c>
      <c r="Z384" s="120" t="s">
        <v>1289</v>
      </c>
      <c r="AA384" s="121" t="s">
        <v>1290</v>
      </c>
      <c r="AB384" s="122" t="s">
        <v>570</v>
      </c>
      <c r="AC384" s="123">
        <v>1.4</v>
      </c>
      <c r="AD384" s="213">
        <v>13</v>
      </c>
      <c r="AE384" s="200">
        <f>ROUND(AD384*AC384,2)</f>
        <v>18.2</v>
      </c>
      <c r="AF384" s="227">
        <v>7</v>
      </c>
      <c r="AG384" s="130"/>
      <c r="AH384" s="130"/>
      <c r="AR384" s="129" t="s">
        <v>235</v>
      </c>
      <c r="AT384" s="129" t="s">
        <v>231</v>
      </c>
      <c r="AU384" s="129" t="s">
        <v>63</v>
      </c>
      <c r="AY384" s="13" t="s">
        <v>228</v>
      </c>
      <c r="BE384" s="130">
        <f>IF(N384="základná",J384,0)</f>
        <v>0</v>
      </c>
      <c r="BF384" s="130">
        <f>IF(N384="znížená",J384,0)</f>
        <v>4.75</v>
      </c>
      <c r="BG384" s="130">
        <f>IF(N384="zákl. prenesená",J384,0)</f>
        <v>0</v>
      </c>
      <c r="BH384" s="130">
        <f>IF(N384="zníž. prenesená",J384,0)</f>
        <v>0</v>
      </c>
      <c r="BI384" s="130">
        <f>IF(N384="nulová",J384,0)</f>
        <v>0</v>
      </c>
      <c r="BJ384" s="13" t="s">
        <v>76</v>
      </c>
      <c r="BK384" s="130">
        <f>ROUND(I384*H384,2)</f>
        <v>4.75</v>
      </c>
      <c r="BL384" s="13" t="s">
        <v>235</v>
      </c>
      <c r="BM384" s="129" t="s">
        <v>695</v>
      </c>
    </row>
    <row r="385" spans="2:65" s="1" customFormat="1" ht="19.2" x14ac:dyDescent="0.2">
      <c r="B385" s="24"/>
      <c r="D385" s="144" t="s">
        <v>1259</v>
      </c>
      <c r="F385" s="145" t="s">
        <v>1291</v>
      </c>
      <c r="L385" s="24"/>
      <c r="M385" s="146"/>
      <c r="N385" s="42"/>
      <c r="O385" s="42"/>
      <c r="P385" s="42"/>
      <c r="Q385" s="42"/>
      <c r="R385" s="42"/>
      <c r="S385" s="42"/>
      <c r="T385" s="43"/>
      <c r="W385" s="158"/>
      <c r="X385" s="283"/>
      <c r="Y385" s="203" t="s">
        <v>1259</v>
      </c>
      <c r="Z385" s="283"/>
      <c r="AA385" s="204" t="s">
        <v>1291</v>
      </c>
      <c r="AB385" s="283"/>
      <c r="AC385" s="283"/>
      <c r="AD385" s="283"/>
      <c r="AE385" s="159"/>
      <c r="AF385" s="227"/>
      <c r="AG385" s="130"/>
      <c r="AH385" s="130"/>
      <c r="AT385" s="13" t="s">
        <v>1259</v>
      </c>
      <c r="AU385" s="13" t="s">
        <v>63</v>
      </c>
    </row>
    <row r="386" spans="2:65" s="11" customFormat="1" ht="25.95" customHeight="1" x14ac:dyDescent="0.25">
      <c r="B386" s="106"/>
      <c r="D386" s="107" t="s">
        <v>57</v>
      </c>
      <c r="E386" s="108" t="s">
        <v>3747</v>
      </c>
      <c r="F386" s="108" t="s">
        <v>227</v>
      </c>
      <c r="J386" s="109">
        <f>BK386</f>
        <v>582.56999999999994</v>
      </c>
      <c r="L386" s="106"/>
      <c r="M386" s="110"/>
      <c r="N386" s="111"/>
      <c r="O386" s="111"/>
      <c r="P386" s="112">
        <f>P387</f>
        <v>0</v>
      </c>
      <c r="Q386" s="111"/>
      <c r="R386" s="112">
        <f>R387</f>
        <v>0</v>
      </c>
      <c r="S386" s="111"/>
      <c r="T386" s="113">
        <f>T387</f>
        <v>0</v>
      </c>
      <c r="W386" s="195"/>
      <c r="X386" s="111"/>
      <c r="Y386" s="196" t="s">
        <v>57</v>
      </c>
      <c r="Z386" s="197" t="s">
        <v>3747</v>
      </c>
      <c r="AA386" s="197" t="s">
        <v>227</v>
      </c>
      <c r="AB386" s="111"/>
      <c r="AC386" s="111"/>
      <c r="AD386" s="111"/>
      <c r="AE386" s="198">
        <f>AE387</f>
        <v>1633</v>
      </c>
      <c r="AF386" s="248"/>
      <c r="AG386" s="130"/>
      <c r="AH386" s="130"/>
      <c r="AR386" s="107" t="s">
        <v>63</v>
      </c>
      <c r="AT386" s="114" t="s">
        <v>57</v>
      </c>
      <c r="AU386" s="114" t="s">
        <v>58</v>
      </c>
      <c r="AY386" s="107" t="s">
        <v>228</v>
      </c>
      <c r="BK386" s="115">
        <f>BK387</f>
        <v>582.56999999999994</v>
      </c>
    </row>
    <row r="387" spans="2:65" s="11" customFormat="1" ht="22.95" customHeight="1" x14ac:dyDescent="0.25">
      <c r="B387" s="106"/>
      <c r="D387" s="107" t="s">
        <v>57</v>
      </c>
      <c r="E387" s="116" t="s">
        <v>3748</v>
      </c>
      <c r="F387" s="116" t="s">
        <v>3749</v>
      </c>
      <c r="J387" s="117">
        <f>BK387</f>
        <v>582.56999999999994</v>
      </c>
      <c r="L387" s="106"/>
      <c r="M387" s="110"/>
      <c r="N387" s="111"/>
      <c r="O387" s="111"/>
      <c r="P387" s="112">
        <f>SUM(P388:P396)</f>
        <v>0</v>
      </c>
      <c r="Q387" s="111"/>
      <c r="R387" s="112">
        <f>SUM(R388:R396)</f>
        <v>0</v>
      </c>
      <c r="S387" s="111"/>
      <c r="T387" s="113">
        <f>SUM(T388:T396)</f>
        <v>0</v>
      </c>
      <c r="W387" s="195"/>
      <c r="X387" s="111"/>
      <c r="Y387" s="196" t="s">
        <v>57</v>
      </c>
      <c r="Z387" s="201" t="s">
        <v>3748</v>
      </c>
      <c r="AA387" s="201" t="s">
        <v>3749</v>
      </c>
      <c r="AB387" s="111"/>
      <c r="AC387" s="111"/>
      <c r="AD387" s="111"/>
      <c r="AE387" s="202">
        <f>SUM(AE388:AE396)</f>
        <v>1633</v>
      </c>
      <c r="AF387" s="248"/>
      <c r="AG387" s="130"/>
      <c r="AH387" s="130"/>
      <c r="AR387" s="107" t="s">
        <v>63</v>
      </c>
      <c r="AT387" s="114" t="s">
        <v>57</v>
      </c>
      <c r="AU387" s="114" t="s">
        <v>63</v>
      </c>
      <c r="AY387" s="107" t="s">
        <v>228</v>
      </c>
      <c r="BK387" s="115">
        <f>SUM(BK388:BK396)</f>
        <v>582.56999999999994</v>
      </c>
    </row>
    <row r="388" spans="2:65" s="1" customFormat="1" ht="16.5" customHeight="1" x14ac:dyDescent="0.2">
      <c r="B388" s="118"/>
      <c r="C388" s="205" t="s">
        <v>462</v>
      </c>
      <c r="D388" s="119" t="s">
        <v>231</v>
      </c>
      <c r="E388" s="120" t="s">
        <v>3750</v>
      </c>
      <c r="F388" s="121" t="s">
        <v>3751</v>
      </c>
      <c r="G388" s="122" t="s">
        <v>234</v>
      </c>
      <c r="H388" s="206">
        <v>10.5</v>
      </c>
      <c r="I388" s="124">
        <v>17.420000000000002</v>
      </c>
      <c r="J388" s="124">
        <f t="shared" ref="J388:J396" si="90">ROUND(I388*H388,2)</f>
        <v>182.91</v>
      </c>
      <c r="K388" s="121" t="s">
        <v>1</v>
      </c>
      <c r="L388" s="24"/>
      <c r="M388" s="125" t="s">
        <v>1</v>
      </c>
      <c r="N388" s="126" t="s">
        <v>32</v>
      </c>
      <c r="O388" s="127">
        <v>0</v>
      </c>
      <c r="P388" s="127">
        <f t="shared" ref="P388:P396" si="91">O388*H388</f>
        <v>0</v>
      </c>
      <c r="Q388" s="127">
        <v>0</v>
      </c>
      <c r="R388" s="127">
        <f t="shared" ref="R388:R396" si="92">Q388*H388</f>
        <v>0</v>
      </c>
      <c r="S388" s="127">
        <v>0</v>
      </c>
      <c r="T388" s="128">
        <f t="shared" ref="T388:T396" si="93">S388*H388</f>
        <v>0</v>
      </c>
      <c r="W388" s="199"/>
      <c r="X388" s="205" t="s">
        <v>462</v>
      </c>
      <c r="Y388" s="119" t="s">
        <v>231</v>
      </c>
      <c r="Z388" s="120" t="s">
        <v>3750</v>
      </c>
      <c r="AA388" s="121" t="s">
        <v>3751</v>
      </c>
      <c r="AB388" s="122" t="s">
        <v>234</v>
      </c>
      <c r="AC388" s="206">
        <v>29</v>
      </c>
      <c r="AD388" s="124">
        <v>17.420000000000002</v>
      </c>
      <c r="AE388" s="200">
        <f t="shared" ref="AE388:AE396" si="94">ROUND(AD388*AC388,2)</f>
        <v>505.18</v>
      </c>
      <c r="AF388" s="227">
        <v>7</v>
      </c>
      <c r="AG388" s="130"/>
      <c r="AH388" s="130"/>
      <c r="AR388" s="129" t="s">
        <v>235</v>
      </c>
      <c r="AT388" s="129" t="s">
        <v>231</v>
      </c>
      <c r="AU388" s="129" t="s">
        <v>76</v>
      </c>
      <c r="AY388" s="13" t="s">
        <v>228</v>
      </c>
      <c r="BE388" s="130">
        <f t="shared" ref="BE388:BE396" si="95">IF(N388="základná",J388,0)</f>
        <v>0</v>
      </c>
      <c r="BF388" s="130">
        <f t="shared" ref="BF388:BF396" si="96">IF(N388="znížená",J388,0)</f>
        <v>182.91</v>
      </c>
      <c r="BG388" s="130">
        <f t="shared" ref="BG388:BG396" si="97">IF(N388="zákl. prenesená",J388,0)</f>
        <v>0</v>
      </c>
      <c r="BH388" s="130">
        <f t="shared" ref="BH388:BH396" si="98">IF(N388="zníž. prenesená",J388,0)</f>
        <v>0</v>
      </c>
      <c r="BI388" s="130">
        <f t="shared" ref="BI388:BI396" si="99">IF(N388="nulová",J388,0)</f>
        <v>0</v>
      </c>
      <c r="BJ388" s="13" t="s">
        <v>76</v>
      </c>
      <c r="BK388" s="130">
        <f t="shared" ref="BK388:BK396" si="100">ROUND(I388*H388,2)</f>
        <v>182.91</v>
      </c>
      <c r="BL388" s="13" t="s">
        <v>235</v>
      </c>
      <c r="BM388" s="129" t="s">
        <v>698</v>
      </c>
    </row>
    <row r="389" spans="2:65" s="1" customFormat="1" ht="16.5" customHeight="1" x14ac:dyDescent="0.2">
      <c r="B389" s="118"/>
      <c r="C389" s="205" t="s">
        <v>699</v>
      </c>
      <c r="D389" s="119" t="s">
        <v>231</v>
      </c>
      <c r="E389" s="120" t="s">
        <v>3752</v>
      </c>
      <c r="F389" s="121" t="s">
        <v>3753</v>
      </c>
      <c r="G389" s="122" t="s">
        <v>234</v>
      </c>
      <c r="H389" s="206">
        <v>5.25</v>
      </c>
      <c r="I389" s="124">
        <v>2.3199999999999998</v>
      </c>
      <c r="J389" s="124">
        <f t="shared" si="90"/>
        <v>12.18</v>
      </c>
      <c r="K389" s="121" t="s">
        <v>1</v>
      </c>
      <c r="L389" s="24"/>
      <c r="M389" s="125" t="s">
        <v>1</v>
      </c>
      <c r="N389" s="126" t="s">
        <v>32</v>
      </c>
      <c r="O389" s="127">
        <v>0</v>
      </c>
      <c r="P389" s="127">
        <f t="shared" si="91"/>
        <v>0</v>
      </c>
      <c r="Q389" s="127">
        <v>0</v>
      </c>
      <c r="R389" s="127">
        <f t="shared" si="92"/>
        <v>0</v>
      </c>
      <c r="S389" s="127">
        <v>0</v>
      </c>
      <c r="T389" s="128">
        <f t="shared" si="93"/>
        <v>0</v>
      </c>
      <c r="W389" s="199"/>
      <c r="X389" s="205" t="s">
        <v>699</v>
      </c>
      <c r="Y389" s="119" t="s">
        <v>231</v>
      </c>
      <c r="Z389" s="120" t="s">
        <v>3752</v>
      </c>
      <c r="AA389" s="121" t="s">
        <v>3753</v>
      </c>
      <c r="AB389" s="122" t="s">
        <v>234</v>
      </c>
      <c r="AC389" s="206">
        <v>14.5</v>
      </c>
      <c r="AD389" s="124">
        <v>2.3199999999999998</v>
      </c>
      <c r="AE389" s="200">
        <f t="shared" si="94"/>
        <v>33.64</v>
      </c>
      <c r="AF389" s="227">
        <v>7</v>
      </c>
      <c r="AG389" s="130"/>
      <c r="AH389" s="130"/>
      <c r="AR389" s="129" t="s">
        <v>235</v>
      </c>
      <c r="AT389" s="129" t="s">
        <v>231</v>
      </c>
      <c r="AU389" s="129" t="s">
        <v>76</v>
      </c>
      <c r="AY389" s="13" t="s">
        <v>228</v>
      </c>
      <c r="BE389" s="130">
        <f t="shared" si="95"/>
        <v>0</v>
      </c>
      <c r="BF389" s="130">
        <f t="shared" si="96"/>
        <v>12.18</v>
      </c>
      <c r="BG389" s="130">
        <f t="shared" si="97"/>
        <v>0</v>
      </c>
      <c r="BH389" s="130">
        <f t="shared" si="98"/>
        <v>0</v>
      </c>
      <c r="BI389" s="130">
        <f t="shared" si="99"/>
        <v>0</v>
      </c>
      <c r="BJ389" s="13" t="s">
        <v>76</v>
      </c>
      <c r="BK389" s="130">
        <f t="shared" si="100"/>
        <v>12.18</v>
      </c>
      <c r="BL389" s="13" t="s">
        <v>235</v>
      </c>
      <c r="BM389" s="129" t="s">
        <v>702</v>
      </c>
    </row>
    <row r="390" spans="2:65" s="1" customFormat="1" ht="22.8" x14ac:dyDescent="0.2">
      <c r="B390" s="118"/>
      <c r="C390" s="205" t="s">
        <v>465</v>
      </c>
      <c r="D390" s="119" t="s">
        <v>231</v>
      </c>
      <c r="E390" s="120" t="s">
        <v>901</v>
      </c>
      <c r="F390" s="121" t="s">
        <v>902</v>
      </c>
      <c r="G390" s="122" t="s">
        <v>234</v>
      </c>
      <c r="H390" s="206">
        <v>3</v>
      </c>
      <c r="I390" s="124">
        <v>1.43</v>
      </c>
      <c r="J390" s="124">
        <f t="shared" si="90"/>
        <v>4.29</v>
      </c>
      <c r="K390" s="121" t="s">
        <v>1</v>
      </c>
      <c r="L390" s="24"/>
      <c r="M390" s="125" t="s">
        <v>1</v>
      </c>
      <c r="N390" s="126" t="s">
        <v>32</v>
      </c>
      <c r="O390" s="127">
        <v>0</v>
      </c>
      <c r="P390" s="127">
        <f t="shared" si="91"/>
        <v>0</v>
      </c>
      <c r="Q390" s="127">
        <v>0</v>
      </c>
      <c r="R390" s="127">
        <f t="shared" si="92"/>
        <v>0</v>
      </c>
      <c r="S390" s="127">
        <v>0</v>
      </c>
      <c r="T390" s="128">
        <f t="shared" si="93"/>
        <v>0</v>
      </c>
      <c r="W390" s="199"/>
      <c r="X390" s="205" t="s">
        <v>465</v>
      </c>
      <c r="Y390" s="119" t="s">
        <v>231</v>
      </c>
      <c r="Z390" s="120" t="s">
        <v>901</v>
      </c>
      <c r="AA390" s="121" t="s">
        <v>902</v>
      </c>
      <c r="AB390" s="122" t="s">
        <v>234</v>
      </c>
      <c r="AC390" s="206">
        <v>10</v>
      </c>
      <c r="AD390" s="124">
        <v>1.43</v>
      </c>
      <c r="AE390" s="200">
        <f t="shared" si="94"/>
        <v>14.3</v>
      </c>
      <c r="AF390" s="227">
        <v>7</v>
      </c>
      <c r="AG390" s="130"/>
      <c r="AH390" s="130"/>
      <c r="AR390" s="129" t="s">
        <v>235</v>
      </c>
      <c r="AT390" s="129" t="s">
        <v>231</v>
      </c>
      <c r="AU390" s="129" t="s">
        <v>76</v>
      </c>
      <c r="AY390" s="13" t="s">
        <v>228</v>
      </c>
      <c r="BE390" s="130">
        <f t="shared" si="95"/>
        <v>0</v>
      </c>
      <c r="BF390" s="130">
        <f t="shared" si="96"/>
        <v>4.29</v>
      </c>
      <c r="BG390" s="130">
        <f t="shared" si="97"/>
        <v>0</v>
      </c>
      <c r="BH390" s="130">
        <f t="shared" si="98"/>
        <v>0</v>
      </c>
      <c r="BI390" s="130">
        <f t="shared" si="99"/>
        <v>0</v>
      </c>
      <c r="BJ390" s="13" t="s">
        <v>76</v>
      </c>
      <c r="BK390" s="130">
        <f t="shared" si="100"/>
        <v>4.29</v>
      </c>
      <c r="BL390" s="13" t="s">
        <v>235</v>
      </c>
      <c r="BM390" s="129" t="s">
        <v>705</v>
      </c>
    </row>
    <row r="391" spans="2:65" s="1" customFormat="1" ht="22.8" x14ac:dyDescent="0.2">
      <c r="B391" s="118"/>
      <c r="C391" s="205" t="s">
        <v>706</v>
      </c>
      <c r="D391" s="119" t="s">
        <v>231</v>
      </c>
      <c r="E391" s="120" t="s">
        <v>3754</v>
      </c>
      <c r="F391" s="121" t="s">
        <v>3755</v>
      </c>
      <c r="G391" s="122" t="s">
        <v>234</v>
      </c>
      <c r="H391" s="206">
        <v>3</v>
      </c>
      <c r="I391" s="124">
        <v>6.97</v>
      </c>
      <c r="J391" s="124">
        <f t="shared" si="90"/>
        <v>20.91</v>
      </c>
      <c r="K391" s="121" t="s">
        <v>1</v>
      </c>
      <c r="L391" s="24"/>
      <c r="M391" s="125" t="s">
        <v>1</v>
      </c>
      <c r="N391" s="126" t="s">
        <v>32</v>
      </c>
      <c r="O391" s="127">
        <v>0</v>
      </c>
      <c r="P391" s="127">
        <f t="shared" si="91"/>
        <v>0</v>
      </c>
      <c r="Q391" s="127">
        <v>0</v>
      </c>
      <c r="R391" s="127">
        <f t="shared" si="92"/>
        <v>0</v>
      </c>
      <c r="S391" s="127">
        <v>0</v>
      </c>
      <c r="T391" s="128">
        <f t="shared" si="93"/>
        <v>0</v>
      </c>
      <c r="W391" s="199"/>
      <c r="X391" s="205" t="s">
        <v>706</v>
      </c>
      <c r="Y391" s="119" t="s">
        <v>231</v>
      </c>
      <c r="Z391" s="120" t="s">
        <v>3754</v>
      </c>
      <c r="AA391" s="121" t="s">
        <v>3755</v>
      </c>
      <c r="AB391" s="122" t="s">
        <v>234</v>
      </c>
      <c r="AC391" s="206">
        <v>10</v>
      </c>
      <c r="AD391" s="124">
        <v>6.97</v>
      </c>
      <c r="AE391" s="200">
        <f t="shared" si="94"/>
        <v>69.7</v>
      </c>
      <c r="AF391" s="227">
        <v>7</v>
      </c>
      <c r="AG391" s="130"/>
      <c r="AH391" s="130"/>
      <c r="AR391" s="129" t="s">
        <v>235</v>
      </c>
      <c r="AT391" s="129" t="s">
        <v>231</v>
      </c>
      <c r="AU391" s="129" t="s">
        <v>76</v>
      </c>
      <c r="AY391" s="13" t="s">
        <v>228</v>
      </c>
      <c r="BE391" s="130">
        <f t="shared" si="95"/>
        <v>0</v>
      </c>
      <c r="BF391" s="130">
        <f t="shared" si="96"/>
        <v>20.91</v>
      </c>
      <c r="BG391" s="130">
        <f t="shared" si="97"/>
        <v>0</v>
      </c>
      <c r="BH391" s="130">
        <f t="shared" si="98"/>
        <v>0</v>
      </c>
      <c r="BI391" s="130">
        <f t="shared" si="99"/>
        <v>0</v>
      </c>
      <c r="BJ391" s="13" t="s">
        <v>76</v>
      </c>
      <c r="BK391" s="130">
        <f t="shared" si="100"/>
        <v>20.91</v>
      </c>
      <c r="BL391" s="13" t="s">
        <v>235</v>
      </c>
      <c r="BM391" s="129" t="s">
        <v>709</v>
      </c>
    </row>
    <row r="392" spans="2:65" s="1" customFormat="1" ht="16.5" customHeight="1" x14ac:dyDescent="0.2">
      <c r="B392" s="118"/>
      <c r="C392" s="205" t="s">
        <v>469</v>
      </c>
      <c r="D392" s="119" t="s">
        <v>231</v>
      </c>
      <c r="E392" s="120" t="s">
        <v>3447</v>
      </c>
      <c r="F392" s="121" t="s">
        <v>3448</v>
      </c>
      <c r="G392" s="122" t="s">
        <v>234</v>
      </c>
      <c r="H392" s="206">
        <v>3</v>
      </c>
      <c r="I392" s="124">
        <v>5.81</v>
      </c>
      <c r="J392" s="124">
        <f t="shared" si="90"/>
        <v>17.43</v>
      </c>
      <c r="K392" s="121" t="s">
        <v>1</v>
      </c>
      <c r="L392" s="24"/>
      <c r="M392" s="125" t="s">
        <v>1</v>
      </c>
      <c r="N392" s="126" t="s">
        <v>32</v>
      </c>
      <c r="O392" s="127">
        <v>0</v>
      </c>
      <c r="P392" s="127">
        <f t="shared" si="91"/>
        <v>0</v>
      </c>
      <c r="Q392" s="127">
        <v>0</v>
      </c>
      <c r="R392" s="127">
        <f t="shared" si="92"/>
        <v>0</v>
      </c>
      <c r="S392" s="127">
        <v>0</v>
      </c>
      <c r="T392" s="128">
        <f t="shared" si="93"/>
        <v>0</v>
      </c>
      <c r="W392" s="199"/>
      <c r="X392" s="205" t="s">
        <v>469</v>
      </c>
      <c r="Y392" s="119" t="s">
        <v>231</v>
      </c>
      <c r="Z392" s="120" t="s">
        <v>3447</v>
      </c>
      <c r="AA392" s="121" t="s">
        <v>3448</v>
      </c>
      <c r="AB392" s="122" t="s">
        <v>234</v>
      </c>
      <c r="AC392" s="206">
        <v>10</v>
      </c>
      <c r="AD392" s="124">
        <v>5.81</v>
      </c>
      <c r="AE392" s="200">
        <f t="shared" si="94"/>
        <v>58.1</v>
      </c>
      <c r="AF392" s="227">
        <v>7</v>
      </c>
      <c r="AG392" s="130"/>
      <c r="AH392" s="130"/>
      <c r="AR392" s="129" t="s">
        <v>235</v>
      </c>
      <c r="AT392" s="129" t="s">
        <v>231</v>
      </c>
      <c r="AU392" s="129" t="s">
        <v>76</v>
      </c>
      <c r="AY392" s="13" t="s">
        <v>228</v>
      </c>
      <c r="BE392" s="130">
        <f t="shared" si="95"/>
        <v>0</v>
      </c>
      <c r="BF392" s="130">
        <f t="shared" si="96"/>
        <v>17.43</v>
      </c>
      <c r="BG392" s="130">
        <f t="shared" si="97"/>
        <v>0</v>
      </c>
      <c r="BH392" s="130">
        <f t="shared" si="98"/>
        <v>0</v>
      </c>
      <c r="BI392" s="130">
        <f t="shared" si="99"/>
        <v>0</v>
      </c>
      <c r="BJ392" s="13" t="s">
        <v>76</v>
      </c>
      <c r="BK392" s="130">
        <f t="shared" si="100"/>
        <v>17.43</v>
      </c>
      <c r="BL392" s="13" t="s">
        <v>235</v>
      </c>
      <c r="BM392" s="129" t="s">
        <v>712</v>
      </c>
    </row>
    <row r="393" spans="2:65" s="1" customFormat="1" ht="16.5" customHeight="1" x14ac:dyDescent="0.2">
      <c r="B393" s="118"/>
      <c r="C393" s="205" t="s">
        <v>713</v>
      </c>
      <c r="D393" s="119" t="s">
        <v>231</v>
      </c>
      <c r="E393" s="120" t="s">
        <v>3756</v>
      </c>
      <c r="F393" s="121" t="s">
        <v>3757</v>
      </c>
      <c r="G393" s="122" t="s">
        <v>271</v>
      </c>
      <c r="H393" s="206">
        <v>5.4</v>
      </c>
      <c r="I393" s="124">
        <v>9.2899999999999991</v>
      </c>
      <c r="J393" s="124">
        <f t="shared" si="90"/>
        <v>50.17</v>
      </c>
      <c r="K393" s="121" t="s">
        <v>1</v>
      </c>
      <c r="L393" s="24"/>
      <c r="M393" s="125" t="s">
        <v>1</v>
      </c>
      <c r="N393" s="126" t="s">
        <v>32</v>
      </c>
      <c r="O393" s="127">
        <v>0</v>
      </c>
      <c r="P393" s="127">
        <f t="shared" si="91"/>
        <v>0</v>
      </c>
      <c r="Q393" s="127">
        <v>0</v>
      </c>
      <c r="R393" s="127">
        <f t="shared" si="92"/>
        <v>0</v>
      </c>
      <c r="S393" s="127">
        <v>0</v>
      </c>
      <c r="T393" s="128">
        <f t="shared" si="93"/>
        <v>0</v>
      </c>
      <c r="W393" s="199"/>
      <c r="X393" s="205" t="s">
        <v>713</v>
      </c>
      <c r="Y393" s="119" t="s">
        <v>231</v>
      </c>
      <c r="Z393" s="120" t="s">
        <v>3756</v>
      </c>
      <c r="AA393" s="121" t="s">
        <v>3757</v>
      </c>
      <c r="AB393" s="122" t="s">
        <v>271</v>
      </c>
      <c r="AC393" s="206">
        <v>14.9</v>
      </c>
      <c r="AD393" s="124">
        <v>9.2899999999999991</v>
      </c>
      <c r="AE393" s="200">
        <f t="shared" si="94"/>
        <v>138.41999999999999</v>
      </c>
      <c r="AF393" s="227">
        <v>7</v>
      </c>
      <c r="AG393" s="130"/>
      <c r="AH393" s="130"/>
      <c r="AR393" s="129" t="s">
        <v>235</v>
      </c>
      <c r="AT393" s="129" t="s">
        <v>231</v>
      </c>
      <c r="AU393" s="129" t="s">
        <v>76</v>
      </c>
      <c r="AY393" s="13" t="s">
        <v>228</v>
      </c>
      <c r="BE393" s="130">
        <f t="shared" si="95"/>
        <v>0</v>
      </c>
      <c r="BF393" s="130">
        <f t="shared" si="96"/>
        <v>50.17</v>
      </c>
      <c r="BG393" s="130">
        <f t="shared" si="97"/>
        <v>0</v>
      </c>
      <c r="BH393" s="130">
        <f t="shared" si="98"/>
        <v>0</v>
      </c>
      <c r="BI393" s="130">
        <f t="shared" si="99"/>
        <v>0</v>
      </c>
      <c r="BJ393" s="13" t="s">
        <v>76</v>
      </c>
      <c r="BK393" s="130">
        <f t="shared" si="100"/>
        <v>50.17</v>
      </c>
      <c r="BL393" s="13" t="s">
        <v>235</v>
      </c>
      <c r="BM393" s="129" t="s">
        <v>716</v>
      </c>
    </row>
    <row r="394" spans="2:65" s="1" customFormat="1" ht="16.5" customHeight="1" x14ac:dyDescent="0.2">
      <c r="B394" s="118"/>
      <c r="C394" s="205" t="s">
        <v>472</v>
      </c>
      <c r="D394" s="119" t="s">
        <v>231</v>
      </c>
      <c r="E394" s="120" t="s">
        <v>3451</v>
      </c>
      <c r="F394" s="121" t="s">
        <v>3452</v>
      </c>
      <c r="G394" s="122" t="s">
        <v>234</v>
      </c>
      <c r="H394" s="206">
        <v>10.5</v>
      </c>
      <c r="I394" s="124">
        <v>15.09</v>
      </c>
      <c r="J394" s="124">
        <f t="shared" si="90"/>
        <v>158.44999999999999</v>
      </c>
      <c r="K394" s="121" t="s">
        <v>1</v>
      </c>
      <c r="L394" s="24"/>
      <c r="M394" s="125" t="s">
        <v>1</v>
      </c>
      <c r="N394" s="126" t="s">
        <v>32</v>
      </c>
      <c r="O394" s="127">
        <v>0</v>
      </c>
      <c r="P394" s="127">
        <f t="shared" si="91"/>
        <v>0</v>
      </c>
      <c r="Q394" s="127">
        <v>0</v>
      </c>
      <c r="R394" s="127">
        <f t="shared" si="92"/>
        <v>0</v>
      </c>
      <c r="S394" s="127">
        <v>0</v>
      </c>
      <c r="T394" s="128">
        <f t="shared" si="93"/>
        <v>0</v>
      </c>
      <c r="W394" s="199"/>
      <c r="X394" s="205" t="s">
        <v>472</v>
      </c>
      <c r="Y394" s="119" t="s">
        <v>231</v>
      </c>
      <c r="Z394" s="120" t="s">
        <v>3451</v>
      </c>
      <c r="AA394" s="121" t="s">
        <v>3452</v>
      </c>
      <c r="AB394" s="122" t="s">
        <v>234</v>
      </c>
      <c r="AC394" s="206">
        <v>29</v>
      </c>
      <c r="AD394" s="124">
        <v>15.09</v>
      </c>
      <c r="AE394" s="200">
        <f t="shared" si="94"/>
        <v>437.61</v>
      </c>
      <c r="AF394" s="227">
        <v>7</v>
      </c>
      <c r="AG394" s="130"/>
      <c r="AH394" s="130"/>
      <c r="AR394" s="129" t="s">
        <v>235</v>
      </c>
      <c r="AT394" s="129" t="s">
        <v>231</v>
      </c>
      <c r="AU394" s="129" t="s">
        <v>76</v>
      </c>
      <c r="AY394" s="13" t="s">
        <v>228</v>
      </c>
      <c r="BE394" s="130">
        <f t="shared" si="95"/>
        <v>0</v>
      </c>
      <c r="BF394" s="130">
        <f t="shared" si="96"/>
        <v>158.44999999999999</v>
      </c>
      <c r="BG394" s="130">
        <f t="shared" si="97"/>
        <v>0</v>
      </c>
      <c r="BH394" s="130">
        <f t="shared" si="98"/>
        <v>0</v>
      </c>
      <c r="BI394" s="130">
        <f t="shared" si="99"/>
        <v>0</v>
      </c>
      <c r="BJ394" s="13" t="s">
        <v>76</v>
      </c>
      <c r="BK394" s="130">
        <f t="shared" si="100"/>
        <v>158.44999999999999</v>
      </c>
      <c r="BL394" s="13" t="s">
        <v>235</v>
      </c>
      <c r="BM394" s="129" t="s">
        <v>721</v>
      </c>
    </row>
    <row r="395" spans="2:65" s="1" customFormat="1" ht="16.5" customHeight="1" x14ac:dyDescent="0.2">
      <c r="B395" s="118"/>
      <c r="C395" s="205" t="s">
        <v>722</v>
      </c>
      <c r="D395" s="119" t="s">
        <v>231</v>
      </c>
      <c r="E395" s="120" t="s">
        <v>3453</v>
      </c>
      <c r="F395" s="121" t="s">
        <v>3454</v>
      </c>
      <c r="G395" s="122" t="s">
        <v>234</v>
      </c>
      <c r="H395" s="206">
        <v>10.5</v>
      </c>
      <c r="I395" s="124">
        <v>5.81</v>
      </c>
      <c r="J395" s="124">
        <f t="shared" si="90"/>
        <v>61.01</v>
      </c>
      <c r="K395" s="121" t="s">
        <v>1</v>
      </c>
      <c r="L395" s="24"/>
      <c r="M395" s="125" t="s">
        <v>1</v>
      </c>
      <c r="N395" s="126" t="s">
        <v>32</v>
      </c>
      <c r="O395" s="127">
        <v>0</v>
      </c>
      <c r="P395" s="127">
        <f t="shared" si="91"/>
        <v>0</v>
      </c>
      <c r="Q395" s="127">
        <v>0</v>
      </c>
      <c r="R395" s="127">
        <f t="shared" si="92"/>
        <v>0</v>
      </c>
      <c r="S395" s="127">
        <v>0</v>
      </c>
      <c r="T395" s="128">
        <f t="shared" si="93"/>
        <v>0</v>
      </c>
      <c r="W395" s="199"/>
      <c r="X395" s="205" t="s">
        <v>722</v>
      </c>
      <c r="Y395" s="119" t="s">
        <v>231</v>
      </c>
      <c r="Z395" s="120" t="s">
        <v>3453</v>
      </c>
      <c r="AA395" s="121" t="s">
        <v>3454</v>
      </c>
      <c r="AB395" s="122" t="s">
        <v>234</v>
      </c>
      <c r="AC395" s="206">
        <v>29</v>
      </c>
      <c r="AD395" s="124">
        <v>5.81</v>
      </c>
      <c r="AE395" s="200">
        <f t="shared" si="94"/>
        <v>168.49</v>
      </c>
      <c r="AF395" s="227">
        <v>7</v>
      </c>
      <c r="AG395" s="130"/>
      <c r="AH395" s="130"/>
      <c r="AR395" s="129" t="s">
        <v>235</v>
      </c>
      <c r="AT395" s="129" t="s">
        <v>231</v>
      </c>
      <c r="AU395" s="129" t="s">
        <v>76</v>
      </c>
      <c r="AY395" s="13" t="s">
        <v>228</v>
      </c>
      <c r="BE395" s="130">
        <f t="shared" si="95"/>
        <v>0</v>
      </c>
      <c r="BF395" s="130">
        <f t="shared" si="96"/>
        <v>61.01</v>
      </c>
      <c r="BG395" s="130">
        <f t="shared" si="97"/>
        <v>0</v>
      </c>
      <c r="BH395" s="130">
        <f t="shared" si="98"/>
        <v>0</v>
      </c>
      <c r="BI395" s="130">
        <f t="shared" si="99"/>
        <v>0</v>
      </c>
      <c r="BJ395" s="13" t="s">
        <v>76</v>
      </c>
      <c r="BK395" s="130">
        <f t="shared" si="100"/>
        <v>61.01</v>
      </c>
      <c r="BL395" s="13" t="s">
        <v>235</v>
      </c>
      <c r="BM395" s="129" t="s">
        <v>725</v>
      </c>
    </row>
    <row r="396" spans="2:65" s="1" customFormat="1" ht="16.5" customHeight="1" x14ac:dyDescent="0.2">
      <c r="B396" s="118"/>
      <c r="C396" s="242" t="s">
        <v>476</v>
      </c>
      <c r="D396" s="131" t="s">
        <v>277</v>
      </c>
      <c r="E396" s="132" t="s">
        <v>3758</v>
      </c>
      <c r="F396" s="133" t="s">
        <v>3759</v>
      </c>
      <c r="G396" s="134" t="s">
        <v>271</v>
      </c>
      <c r="H396" s="241">
        <v>5.4</v>
      </c>
      <c r="I396" s="136">
        <v>13.93</v>
      </c>
      <c r="J396" s="136">
        <f t="shared" si="90"/>
        <v>75.22</v>
      </c>
      <c r="K396" s="133" t="s">
        <v>1</v>
      </c>
      <c r="L396" s="137"/>
      <c r="M396" s="138" t="s">
        <v>1</v>
      </c>
      <c r="N396" s="139" t="s">
        <v>32</v>
      </c>
      <c r="O396" s="127">
        <v>0</v>
      </c>
      <c r="P396" s="127">
        <f t="shared" si="91"/>
        <v>0</v>
      </c>
      <c r="Q396" s="127">
        <v>0</v>
      </c>
      <c r="R396" s="127">
        <f t="shared" si="92"/>
        <v>0</v>
      </c>
      <c r="S396" s="127">
        <v>0</v>
      </c>
      <c r="T396" s="128">
        <f t="shared" si="93"/>
        <v>0</v>
      </c>
      <c r="W396" s="199"/>
      <c r="X396" s="242" t="s">
        <v>476</v>
      </c>
      <c r="Y396" s="131" t="s">
        <v>277</v>
      </c>
      <c r="Z396" s="132" t="s">
        <v>3758</v>
      </c>
      <c r="AA396" s="133" t="s">
        <v>3759</v>
      </c>
      <c r="AB396" s="134" t="s">
        <v>271</v>
      </c>
      <c r="AC396" s="241">
        <v>14.9</v>
      </c>
      <c r="AD396" s="136">
        <v>13.93</v>
      </c>
      <c r="AE396" s="229">
        <f t="shared" si="94"/>
        <v>207.56</v>
      </c>
      <c r="AF396" s="227">
        <v>7</v>
      </c>
      <c r="AG396" s="130"/>
      <c r="AH396" s="130"/>
      <c r="AR396" s="129" t="s">
        <v>244</v>
      </c>
      <c r="AT396" s="129" t="s">
        <v>277</v>
      </c>
      <c r="AU396" s="129" t="s">
        <v>76</v>
      </c>
      <c r="AY396" s="13" t="s">
        <v>228</v>
      </c>
      <c r="BE396" s="130">
        <f t="shared" si="95"/>
        <v>0</v>
      </c>
      <c r="BF396" s="130">
        <f t="shared" si="96"/>
        <v>75.22</v>
      </c>
      <c r="BG396" s="130">
        <f t="shared" si="97"/>
        <v>0</v>
      </c>
      <c r="BH396" s="130">
        <f t="shared" si="98"/>
        <v>0</v>
      </c>
      <c r="BI396" s="130">
        <f t="shared" si="99"/>
        <v>0</v>
      </c>
      <c r="BJ396" s="13" t="s">
        <v>76</v>
      </c>
      <c r="BK396" s="130">
        <f t="shared" si="100"/>
        <v>75.22</v>
      </c>
      <c r="BL396" s="13" t="s">
        <v>235</v>
      </c>
      <c r="BM396" s="129" t="s">
        <v>728</v>
      </c>
    </row>
    <row r="397" spans="2:65" s="11" customFormat="1" ht="25.95" customHeight="1" x14ac:dyDescent="0.25">
      <c r="B397" s="106"/>
      <c r="D397" s="107" t="s">
        <v>57</v>
      </c>
      <c r="E397" s="108" t="s">
        <v>3760</v>
      </c>
      <c r="F397" s="108" t="s">
        <v>1123</v>
      </c>
      <c r="J397" s="109">
        <f>BK397</f>
        <v>7.68</v>
      </c>
      <c r="L397" s="106"/>
      <c r="M397" s="110"/>
      <c r="N397" s="111"/>
      <c r="O397" s="111"/>
      <c r="P397" s="112">
        <f>P398</f>
        <v>0</v>
      </c>
      <c r="Q397" s="111"/>
      <c r="R397" s="112">
        <f>R398</f>
        <v>0</v>
      </c>
      <c r="S397" s="111"/>
      <c r="T397" s="113">
        <f>T398</f>
        <v>0</v>
      </c>
      <c r="W397" s="195"/>
      <c r="X397" s="111"/>
      <c r="Y397" s="196" t="s">
        <v>57</v>
      </c>
      <c r="Z397" s="197" t="s">
        <v>3760</v>
      </c>
      <c r="AA397" s="197" t="s">
        <v>1123</v>
      </c>
      <c r="AB397" s="111"/>
      <c r="AC397" s="111"/>
      <c r="AD397" s="111"/>
      <c r="AE397" s="198">
        <f>AE398</f>
        <v>15.36</v>
      </c>
      <c r="AF397" s="248"/>
      <c r="AG397" s="130"/>
      <c r="AH397" s="130"/>
      <c r="AR397" s="107" t="s">
        <v>63</v>
      </c>
      <c r="AT397" s="114" t="s">
        <v>57</v>
      </c>
      <c r="AU397" s="114" t="s">
        <v>58</v>
      </c>
      <c r="AY397" s="107" t="s">
        <v>228</v>
      </c>
      <c r="BK397" s="115">
        <f>BK398</f>
        <v>7.68</v>
      </c>
    </row>
    <row r="398" spans="2:65" s="11" customFormat="1" ht="22.95" customHeight="1" x14ac:dyDescent="0.25">
      <c r="B398" s="106"/>
      <c r="D398" s="107" t="s">
        <v>57</v>
      </c>
      <c r="E398" s="116" t="s">
        <v>3761</v>
      </c>
      <c r="F398" s="116" t="s">
        <v>3762</v>
      </c>
      <c r="J398" s="117">
        <f>BK398</f>
        <v>7.68</v>
      </c>
      <c r="L398" s="106"/>
      <c r="M398" s="110"/>
      <c r="N398" s="111"/>
      <c r="O398" s="111"/>
      <c r="P398" s="112">
        <f>SUM(P399:P400)</f>
        <v>0</v>
      </c>
      <c r="Q398" s="111"/>
      <c r="R398" s="112">
        <f>SUM(R399:R400)</f>
        <v>0</v>
      </c>
      <c r="S398" s="111"/>
      <c r="T398" s="113">
        <f>SUM(T399:T400)</f>
        <v>0</v>
      </c>
      <c r="W398" s="195"/>
      <c r="X398" s="111"/>
      <c r="Y398" s="196" t="s">
        <v>57</v>
      </c>
      <c r="Z398" s="201" t="s">
        <v>3761</v>
      </c>
      <c r="AA398" s="201" t="s">
        <v>3762</v>
      </c>
      <c r="AB398" s="111"/>
      <c r="AC398" s="111"/>
      <c r="AD398" s="111"/>
      <c r="AE398" s="202">
        <f>SUM(AE399:AE400)</f>
        <v>15.36</v>
      </c>
      <c r="AF398" s="248"/>
      <c r="AG398" s="130"/>
      <c r="AH398" s="130"/>
      <c r="AR398" s="107" t="s">
        <v>63</v>
      </c>
      <c r="AT398" s="114" t="s">
        <v>57</v>
      </c>
      <c r="AU398" s="114" t="s">
        <v>63</v>
      </c>
      <c r="AY398" s="107" t="s">
        <v>228</v>
      </c>
      <c r="BK398" s="115">
        <f>SUM(BK399:BK400)</f>
        <v>7.68</v>
      </c>
    </row>
    <row r="399" spans="2:65" s="1" customFormat="1" ht="16.5" customHeight="1" x14ac:dyDescent="0.2">
      <c r="B399" s="118"/>
      <c r="C399" s="205" t="s">
        <v>729</v>
      </c>
      <c r="D399" s="119" t="s">
        <v>231</v>
      </c>
      <c r="E399" s="120" t="s">
        <v>3763</v>
      </c>
      <c r="F399" s="121" t="s">
        <v>3764</v>
      </c>
      <c r="G399" s="122" t="s">
        <v>292</v>
      </c>
      <c r="H399" s="206">
        <v>12</v>
      </c>
      <c r="I399" s="124">
        <v>0.35</v>
      </c>
      <c r="J399" s="124">
        <f>ROUND(I399*H399,2)</f>
        <v>4.2</v>
      </c>
      <c r="K399" s="121" t="s">
        <v>1</v>
      </c>
      <c r="L399" s="24"/>
      <c r="M399" s="125" t="s">
        <v>1</v>
      </c>
      <c r="N399" s="126" t="s">
        <v>32</v>
      </c>
      <c r="O399" s="127">
        <v>0</v>
      </c>
      <c r="P399" s="127">
        <f>O399*H399</f>
        <v>0</v>
      </c>
      <c r="Q399" s="127">
        <v>0</v>
      </c>
      <c r="R399" s="127">
        <f>Q399*H399</f>
        <v>0</v>
      </c>
      <c r="S399" s="127">
        <v>0</v>
      </c>
      <c r="T399" s="128">
        <f>S399*H399</f>
        <v>0</v>
      </c>
      <c r="W399" s="199"/>
      <c r="X399" s="205" t="s">
        <v>729</v>
      </c>
      <c r="Y399" s="119" t="s">
        <v>231</v>
      </c>
      <c r="Z399" s="120" t="s">
        <v>3763</v>
      </c>
      <c r="AA399" s="121" t="s">
        <v>3764</v>
      </c>
      <c r="AB399" s="122" t="s">
        <v>292</v>
      </c>
      <c r="AC399" s="206">
        <v>24</v>
      </c>
      <c r="AD399" s="124">
        <v>0.35</v>
      </c>
      <c r="AE399" s="200">
        <f>ROUND(AD399*AC399,2)</f>
        <v>8.4</v>
      </c>
      <c r="AF399" s="227">
        <v>7</v>
      </c>
      <c r="AG399" s="130"/>
      <c r="AH399" s="130"/>
      <c r="AR399" s="129" t="s">
        <v>235</v>
      </c>
      <c r="AT399" s="129" t="s">
        <v>231</v>
      </c>
      <c r="AU399" s="129" t="s">
        <v>76</v>
      </c>
      <c r="AY399" s="13" t="s">
        <v>228</v>
      </c>
      <c r="BE399" s="130">
        <f>IF(N399="základná",J399,0)</f>
        <v>0</v>
      </c>
      <c r="BF399" s="130">
        <f>IF(N399="znížená",J399,0)</f>
        <v>4.2</v>
      </c>
      <c r="BG399" s="130">
        <f>IF(N399="zákl. prenesená",J399,0)</f>
        <v>0</v>
      </c>
      <c r="BH399" s="130">
        <f>IF(N399="zníž. prenesená",J399,0)</f>
        <v>0</v>
      </c>
      <c r="BI399" s="130">
        <f>IF(N399="nulová",J399,0)</f>
        <v>0</v>
      </c>
      <c r="BJ399" s="13" t="s">
        <v>76</v>
      </c>
      <c r="BK399" s="130">
        <f>ROUND(I399*H399,2)</f>
        <v>4.2</v>
      </c>
      <c r="BL399" s="13" t="s">
        <v>235</v>
      </c>
      <c r="BM399" s="129" t="s">
        <v>732</v>
      </c>
    </row>
    <row r="400" spans="2:65" s="1" customFormat="1" ht="16.5" customHeight="1" x14ac:dyDescent="0.2">
      <c r="B400" s="118"/>
      <c r="C400" s="205" t="s">
        <v>479</v>
      </c>
      <c r="D400" s="119" t="s">
        <v>231</v>
      </c>
      <c r="E400" s="120" t="s">
        <v>3765</v>
      </c>
      <c r="F400" s="121" t="s">
        <v>3766</v>
      </c>
      <c r="G400" s="122" t="s">
        <v>292</v>
      </c>
      <c r="H400" s="206">
        <v>12</v>
      </c>
      <c r="I400" s="124">
        <v>0.28999999999999998</v>
      </c>
      <c r="J400" s="124">
        <f>ROUND(I400*H400,2)</f>
        <v>3.48</v>
      </c>
      <c r="K400" s="121" t="s">
        <v>1</v>
      </c>
      <c r="L400" s="24"/>
      <c r="M400" s="125" t="s">
        <v>1</v>
      </c>
      <c r="N400" s="126" t="s">
        <v>32</v>
      </c>
      <c r="O400" s="127">
        <v>0</v>
      </c>
      <c r="P400" s="127">
        <f>O400*H400</f>
        <v>0</v>
      </c>
      <c r="Q400" s="127">
        <v>0</v>
      </c>
      <c r="R400" s="127">
        <f>Q400*H400</f>
        <v>0</v>
      </c>
      <c r="S400" s="127">
        <v>0</v>
      </c>
      <c r="T400" s="128">
        <f>S400*H400</f>
        <v>0</v>
      </c>
      <c r="W400" s="199"/>
      <c r="X400" s="205" t="s">
        <v>479</v>
      </c>
      <c r="Y400" s="119" t="s">
        <v>231</v>
      </c>
      <c r="Z400" s="120" t="s">
        <v>3765</v>
      </c>
      <c r="AA400" s="121" t="s">
        <v>3766</v>
      </c>
      <c r="AB400" s="122" t="s">
        <v>292</v>
      </c>
      <c r="AC400" s="206">
        <v>24</v>
      </c>
      <c r="AD400" s="124">
        <v>0.28999999999999998</v>
      </c>
      <c r="AE400" s="200">
        <f>ROUND(AD400*AC400,2)</f>
        <v>6.96</v>
      </c>
      <c r="AF400" s="227">
        <v>7</v>
      </c>
      <c r="AG400" s="130"/>
      <c r="AH400" s="130"/>
      <c r="AR400" s="129" t="s">
        <v>235</v>
      </c>
      <c r="AT400" s="129" t="s">
        <v>231</v>
      </c>
      <c r="AU400" s="129" t="s">
        <v>76</v>
      </c>
      <c r="AY400" s="13" t="s">
        <v>228</v>
      </c>
      <c r="BE400" s="130">
        <f>IF(N400="základná",J400,0)</f>
        <v>0</v>
      </c>
      <c r="BF400" s="130">
        <f>IF(N400="znížená",J400,0)</f>
        <v>3.48</v>
      </c>
      <c r="BG400" s="130">
        <f>IF(N400="zákl. prenesená",J400,0)</f>
        <v>0</v>
      </c>
      <c r="BH400" s="130">
        <f>IF(N400="zníž. prenesená",J400,0)</f>
        <v>0</v>
      </c>
      <c r="BI400" s="130">
        <f>IF(N400="nulová",J400,0)</f>
        <v>0</v>
      </c>
      <c r="BJ400" s="13" t="s">
        <v>76</v>
      </c>
      <c r="BK400" s="130">
        <f>ROUND(I400*H400,2)</f>
        <v>3.48</v>
      </c>
      <c r="BL400" s="13" t="s">
        <v>235</v>
      </c>
      <c r="BM400" s="129" t="s">
        <v>735</v>
      </c>
    </row>
    <row r="401" spans="2:65" s="11" customFormat="1" ht="25.95" customHeight="1" x14ac:dyDescent="0.25">
      <c r="B401" s="106"/>
      <c r="D401" s="107" t="s">
        <v>57</v>
      </c>
      <c r="E401" s="108" t="s">
        <v>3767</v>
      </c>
      <c r="F401" s="108" t="s">
        <v>3768</v>
      </c>
      <c r="J401" s="109">
        <f>BK401</f>
        <v>3425.3599999999997</v>
      </c>
      <c r="L401" s="106"/>
      <c r="M401" s="110"/>
      <c r="N401" s="111"/>
      <c r="O401" s="111"/>
      <c r="P401" s="112">
        <f>SUM(P414:P426)</f>
        <v>0</v>
      </c>
      <c r="Q401" s="111"/>
      <c r="R401" s="112">
        <f>SUM(R414:R426)</f>
        <v>0</v>
      </c>
      <c r="S401" s="111"/>
      <c r="T401" s="113">
        <f>SUM(T414:T426)</f>
        <v>0</v>
      </c>
      <c r="W401" s="195"/>
      <c r="X401" s="111"/>
      <c r="Y401" s="196" t="s">
        <v>57</v>
      </c>
      <c r="Z401" s="197" t="s">
        <v>3767</v>
      </c>
      <c r="AA401" s="197" t="s">
        <v>3768</v>
      </c>
      <c r="AB401" s="111"/>
      <c r="AC401" s="111"/>
      <c r="AD401" s="111"/>
      <c r="AE401" s="198">
        <f>SUM(AE402:AE426)</f>
        <v>6961.7099999999991</v>
      </c>
      <c r="AF401" s="248"/>
      <c r="AG401" s="130"/>
      <c r="AH401" s="130"/>
      <c r="AR401" s="107" t="s">
        <v>63</v>
      </c>
      <c r="AT401" s="114" t="s">
        <v>57</v>
      </c>
      <c r="AU401" s="114" t="s">
        <v>58</v>
      </c>
      <c r="AY401" s="107" t="s">
        <v>228</v>
      </c>
      <c r="BK401" s="115">
        <f>SUM(BK414:BK426)</f>
        <v>3425.3599999999997</v>
      </c>
    </row>
    <row r="402" spans="2:65" s="11" customFormat="1" ht="27.45" customHeight="1" x14ac:dyDescent="0.2">
      <c r="B402" s="106"/>
      <c r="C402" s="1234" t="s">
        <v>5205</v>
      </c>
      <c r="D402" s="1235"/>
      <c r="E402" s="1235"/>
      <c r="F402" s="1235"/>
      <c r="G402" s="1235"/>
      <c r="H402" s="1235"/>
      <c r="I402" s="1235"/>
      <c r="J402" s="1236"/>
      <c r="L402" s="106"/>
      <c r="M402" s="110"/>
      <c r="N402" s="111"/>
      <c r="O402" s="111"/>
      <c r="P402" s="112"/>
      <c r="Q402" s="111"/>
      <c r="R402" s="112"/>
      <c r="S402" s="111"/>
      <c r="T402" s="113"/>
      <c r="W402" s="195"/>
      <c r="X402" s="215" t="s">
        <v>5309</v>
      </c>
      <c r="Y402" s="215" t="s">
        <v>231</v>
      </c>
      <c r="Z402" s="216" t="s">
        <v>5290</v>
      </c>
      <c r="AA402" s="217" t="s">
        <v>5291</v>
      </c>
      <c r="AB402" s="218" t="s">
        <v>1194</v>
      </c>
      <c r="AC402" s="219">
        <f>4+4</f>
        <v>8</v>
      </c>
      <c r="AD402" s="220">
        <v>180</v>
      </c>
      <c r="AE402" s="221">
        <f t="shared" ref="AE402:AE413" si="101">ROUND(AD402*AC402,2)</f>
        <v>1440</v>
      </c>
      <c r="AF402" s="248" t="s">
        <v>5452</v>
      </c>
      <c r="AG402" s="130"/>
      <c r="AH402" s="130"/>
      <c r="AR402" s="107"/>
      <c r="AT402" s="114"/>
      <c r="AU402" s="114"/>
      <c r="AY402" s="107"/>
      <c r="BK402" s="115"/>
    </row>
    <row r="403" spans="2:65" s="11" customFormat="1" ht="27.45" customHeight="1" x14ac:dyDescent="0.2">
      <c r="B403" s="106"/>
      <c r="C403" s="1234" t="s">
        <v>5205</v>
      </c>
      <c r="D403" s="1235"/>
      <c r="E403" s="1235"/>
      <c r="F403" s="1235"/>
      <c r="G403" s="1235"/>
      <c r="H403" s="1235"/>
      <c r="I403" s="1235"/>
      <c r="J403" s="1236"/>
      <c r="L403" s="106"/>
      <c r="M403" s="110"/>
      <c r="N403" s="111"/>
      <c r="O403" s="111"/>
      <c r="P403" s="112"/>
      <c r="Q403" s="111"/>
      <c r="R403" s="112"/>
      <c r="S403" s="111"/>
      <c r="T403" s="113"/>
      <c r="W403" s="195"/>
      <c r="X403" s="215" t="s">
        <v>5310</v>
      </c>
      <c r="Y403" s="215" t="s">
        <v>231</v>
      </c>
      <c r="Z403" s="216" t="s">
        <v>2413</v>
      </c>
      <c r="AA403" s="217" t="s">
        <v>5292</v>
      </c>
      <c r="AB403" s="218" t="s">
        <v>1194</v>
      </c>
      <c r="AC403" s="219">
        <f>4+4</f>
        <v>8</v>
      </c>
      <c r="AD403" s="220">
        <v>88.11</v>
      </c>
      <c r="AE403" s="221">
        <f t="shared" si="101"/>
        <v>704.88</v>
      </c>
      <c r="AF403" s="248" t="s">
        <v>5452</v>
      </c>
      <c r="AG403" s="130"/>
      <c r="AH403" s="130"/>
      <c r="AR403" s="107"/>
      <c r="AT403" s="114"/>
      <c r="AU403" s="114"/>
      <c r="AY403" s="107"/>
      <c r="BK403" s="115"/>
    </row>
    <row r="404" spans="2:65" s="11" customFormat="1" ht="27.45" customHeight="1" x14ac:dyDescent="0.2">
      <c r="B404" s="106"/>
      <c r="C404" s="1234" t="s">
        <v>5205</v>
      </c>
      <c r="D404" s="1235"/>
      <c r="E404" s="1235"/>
      <c r="F404" s="1235"/>
      <c r="G404" s="1235"/>
      <c r="H404" s="1235"/>
      <c r="I404" s="1235"/>
      <c r="J404" s="1236"/>
      <c r="L404" s="106"/>
      <c r="M404" s="110"/>
      <c r="N404" s="111"/>
      <c r="O404" s="111"/>
      <c r="P404" s="112"/>
      <c r="Q404" s="111"/>
      <c r="R404" s="112"/>
      <c r="S404" s="111"/>
      <c r="T404" s="113"/>
      <c r="W404" s="195"/>
      <c r="X404" s="215" t="s">
        <v>5311</v>
      </c>
      <c r="Y404" s="215" t="s">
        <v>231</v>
      </c>
      <c r="Z404" s="216" t="s">
        <v>5293</v>
      </c>
      <c r="AA404" s="217" t="s">
        <v>5294</v>
      </c>
      <c r="AB404" s="218" t="s">
        <v>1194</v>
      </c>
      <c r="AC404" s="219">
        <f>4+4</f>
        <v>8</v>
      </c>
      <c r="AD404" s="220">
        <v>118.53</v>
      </c>
      <c r="AE404" s="221">
        <f t="shared" si="101"/>
        <v>948.24</v>
      </c>
      <c r="AF404" s="248" t="s">
        <v>5452</v>
      </c>
      <c r="AG404" s="130"/>
      <c r="AH404" s="130"/>
      <c r="AR404" s="107"/>
      <c r="AT404" s="114"/>
      <c r="AU404" s="114"/>
      <c r="AY404" s="107"/>
      <c r="BK404" s="115"/>
    </row>
    <row r="405" spans="2:65" s="11" customFormat="1" ht="16.95" customHeight="1" x14ac:dyDescent="0.2">
      <c r="B405" s="106"/>
      <c r="C405" s="1234" t="s">
        <v>5205</v>
      </c>
      <c r="D405" s="1235"/>
      <c r="E405" s="1235"/>
      <c r="F405" s="1235"/>
      <c r="G405" s="1235"/>
      <c r="H405" s="1235"/>
      <c r="I405" s="1235"/>
      <c r="J405" s="1236"/>
      <c r="L405" s="106"/>
      <c r="M405" s="110"/>
      <c r="N405" s="111"/>
      <c r="O405" s="111"/>
      <c r="P405" s="112"/>
      <c r="Q405" s="111"/>
      <c r="R405" s="112"/>
      <c r="S405" s="111"/>
      <c r="T405" s="113"/>
      <c r="W405" s="195"/>
      <c r="X405" s="215" t="s">
        <v>5312</v>
      </c>
      <c r="Y405" s="215" t="s">
        <v>231</v>
      </c>
      <c r="Z405" s="216" t="s">
        <v>1173</v>
      </c>
      <c r="AA405" s="217" t="s">
        <v>5295</v>
      </c>
      <c r="AB405" s="218" t="s">
        <v>1194</v>
      </c>
      <c r="AC405" s="219">
        <f>12+12</f>
        <v>24</v>
      </c>
      <c r="AD405" s="220">
        <v>14.46</v>
      </c>
      <c r="AE405" s="221">
        <f t="shared" si="101"/>
        <v>347.04</v>
      </c>
      <c r="AF405" s="248" t="s">
        <v>5452</v>
      </c>
      <c r="AG405" s="130"/>
      <c r="AH405" s="130"/>
      <c r="AR405" s="107"/>
      <c r="AT405" s="114"/>
      <c r="AU405" s="114"/>
      <c r="AY405" s="107"/>
      <c r="BK405" s="115"/>
    </row>
    <row r="406" spans="2:65" s="11" customFormat="1" ht="27.45" customHeight="1" x14ac:dyDescent="0.2">
      <c r="B406" s="106"/>
      <c r="C406" s="1234" t="s">
        <v>5205</v>
      </c>
      <c r="D406" s="1235"/>
      <c r="E406" s="1235"/>
      <c r="F406" s="1235"/>
      <c r="G406" s="1235"/>
      <c r="H406" s="1235"/>
      <c r="I406" s="1235"/>
      <c r="J406" s="1236"/>
      <c r="L406" s="106"/>
      <c r="M406" s="110"/>
      <c r="N406" s="111"/>
      <c r="O406" s="111"/>
      <c r="P406" s="112"/>
      <c r="Q406" s="111"/>
      <c r="R406" s="112"/>
      <c r="S406" s="111"/>
      <c r="T406" s="113"/>
      <c r="W406" s="195"/>
      <c r="X406" s="215" t="s">
        <v>5313</v>
      </c>
      <c r="Y406" s="215" t="s">
        <v>231</v>
      </c>
      <c r="Z406" s="216" t="s">
        <v>5296</v>
      </c>
      <c r="AA406" s="217" t="s">
        <v>5297</v>
      </c>
      <c r="AB406" s="218" t="s">
        <v>1194</v>
      </c>
      <c r="AC406" s="219">
        <f>12+12</f>
        <v>24</v>
      </c>
      <c r="AD406" s="220">
        <v>15.96</v>
      </c>
      <c r="AE406" s="221">
        <f t="shared" si="101"/>
        <v>383.04</v>
      </c>
      <c r="AF406" s="248" t="s">
        <v>5452</v>
      </c>
      <c r="AG406" s="130"/>
      <c r="AH406" s="130"/>
      <c r="AR406" s="107"/>
      <c r="AT406" s="114"/>
      <c r="AU406" s="114"/>
      <c r="AY406" s="107"/>
      <c r="BK406" s="115"/>
    </row>
    <row r="407" spans="2:65" s="11" customFormat="1" ht="16.95" customHeight="1" x14ac:dyDescent="0.2">
      <c r="B407" s="106"/>
      <c r="C407" s="1234" t="s">
        <v>5205</v>
      </c>
      <c r="D407" s="1235"/>
      <c r="E407" s="1235"/>
      <c r="F407" s="1235"/>
      <c r="G407" s="1235"/>
      <c r="H407" s="1235"/>
      <c r="I407" s="1235"/>
      <c r="J407" s="1236"/>
      <c r="L407" s="106"/>
      <c r="M407" s="110"/>
      <c r="N407" s="111"/>
      <c r="O407" s="111"/>
      <c r="P407" s="112"/>
      <c r="Q407" s="111"/>
      <c r="R407" s="112"/>
      <c r="S407" s="111"/>
      <c r="T407" s="113"/>
      <c r="W407" s="195"/>
      <c r="X407" s="215" t="s">
        <v>5314</v>
      </c>
      <c r="Y407" s="215" t="s">
        <v>231</v>
      </c>
      <c r="Z407" s="216" t="s">
        <v>2419</v>
      </c>
      <c r="AA407" s="217" t="s">
        <v>5298</v>
      </c>
      <c r="AB407" s="218" t="s">
        <v>1194</v>
      </c>
      <c r="AC407" s="219">
        <f>4+4</f>
        <v>8</v>
      </c>
      <c r="AD407" s="220">
        <v>18.41</v>
      </c>
      <c r="AE407" s="221">
        <f t="shared" si="101"/>
        <v>147.28</v>
      </c>
      <c r="AF407" s="248" t="s">
        <v>5452</v>
      </c>
      <c r="AG407" s="130"/>
      <c r="AH407" s="130"/>
      <c r="AR407" s="107"/>
      <c r="AT407" s="114"/>
      <c r="AU407" s="114"/>
      <c r="AY407" s="107"/>
      <c r="BK407" s="115"/>
    </row>
    <row r="408" spans="2:65" s="11" customFormat="1" ht="16.95" customHeight="1" x14ac:dyDescent="0.2">
      <c r="B408" s="106"/>
      <c r="C408" s="1234" t="s">
        <v>5205</v>
      </c>
      <c r="D408" s="1235"/>
      <c r="E408" s="1235"/>
      <c r="F408" s="1235"/>
      <c r="G408" s="1235"/>
      <c r="H408" s="1235"/>
      <c r="I408" s="1235"/>
      <c r="J408" s="1236"/>
      <c r="L408" s="106"/>
      <c r="M408" s="110"/>
      <c r="N408" s="111"/>
      <c r="O408" s="111"/>
      <c r="P408" s="112"/>
      <c r="Q408" s="111"/>
      <c r="R408" s="112"/>
      <c r="S408" s="111"/>
      <c r="T408" s="113"/>
      <c r="W408" s="195"/>
      <c r="X408" s="215" t="s">
        <v>5315</v>
      </c>
      <c r="Y408" s="215" t="s">
        <v>231</v>
      </c>
      <c r="Z408" s="216" t="s">
        <v>5299</v>
      </c>
      <c r="AA408" s="217" t="s">
        <v>5300</v>
      </c>
      <c r="AB408" s="218" t="s">
        <v>1194</v>
      </c>
      <c r="AC408" s="219">
        <f>4+4</f>
        <v>8</v>
      </c>
      <c r="AD408" s="220">
        <v>8.18</v>
      </c>
      <c r="AE408" s="221">
        <f t="shared" si="101"/>
        <v>65.44</v>
      </c>
      <c r="AF408" s="248" t="s">
        <v>5452</v>
      </c>
      <c r="AG408" s="130"/>
      <c r="AH408" s="130"/>
      <c r="AR408" s="107"/>
      <c r="AT408" s="114"/>
      <c r="AU408" s="114"/>
      <c r="AY408" s="107"/>
      <c r="BK408" s="115"/>
    </row>
    <row r="409" spans="2:65" s="11" customFormat="1" ht="27.45" customHeight="1" x14ac:dyDescent="0.2">
      <c r="B409" s="106"/>
      <c r="C409" s="1234" t="s">
        <v>5205</v>
      </c>
      <c r="D409" s="1235"/>
      <c r="E409" s="1235"/>
      <c r="F409" s="1235"/>
      <c r="G409" s="1235"/>
      <c r="H409" s="1235"/>
      <c r="I409" s="1235"/>
      <c r="J409" s="1236"/>
      <c r="L409" s="106"/>
      <c r="M409" s="110"/>
      <c r="N409" s="111"/>
      <c r="O409" s="111"/>
      <c r="P409" s="112"/>
      <c r="Q409" s="111"/>
      <c r="R409" s="112"/>
      <c r="S409" s="111"/>
      <c r="T409" s="113"/>
      <c r="W409" s="195"/>
      <c r="X409" s="215" t="s">
        <v>5316</v>
      </c>
      <c r="Y409" s="215" t="s">
        <v>231</v>
      </c>
      <c r="Z409" s="216" t="s">
        <v>2421</v>
      </c>
      <c r="AA409" s="217" t="s">
        <v>5301</v>
      </c>
      <c r="AB409" s="218" t="s">
        <v>1194</v>
      </c>
      <c r="AC409" s="219">
        <f>16+16</f>
        <v>32</v>
      </c>
      <c r="AD409" s="220">
        <v>1.91</v>
      </c>
      <c r="AE409" s="221">
        <f t="shared" si="101"/>
        <v>61.12</v>
      </c>
      <c r="AF409" s="248" t="s">
        <v>5452</v>
      </c>
      <c r="AG409" s="130"/>
      <c r="AH409" s="130"/>
      <c r="AR409" s="107"/>
      <c r="AT409" s="114"/>
      <c r="AU409" s="114"/>
      <c r="AY409" s="107"/>
      <c r="BK409" s="115"/>
    </row>
    <row r="410" spans="2:65" s="11" customFormat="1" ht="16.95" customHeight="1" x14ac:dyDescent="0.2">
      <c r="B410" s="106"/>
      <c r="C410" s="1234" t="s">
        <v>5205</v>
      </c>
      <c r="D410" s="1235"/>
      <c r="E410" s="1235"/>
      <c r="F410" s="1235"/>
      <c r="G410" s="1235"/>
      <c r="H410" s="1235"/>
      <c r="I410" s="1235"/>
      <c r="J410" s="1236"/>
      <c r="L410" s="106"/>
      <c r="M410" s="110"/>
      <c r="N410" s="111"/>
      <c r="O410" s="111"/>
      <c r="P410" s="112"/>
      <c r="Q410" s="111"/>
      <c r="R410" s="112"/>
      <c r="S410" s="111"/>
      <c r="T410" s="113"/>
      <c r="W410" s="195"/>
      <c r="X410" s="215" t="s">
        <v>5317</v>
      </c>
      <c r="Y410" s="215" t="s">
        <v>231</v>
      </c>
      <c r="Z410" s="216" t="s">
        <v>2424</v>
      </c>
      <c r="AA410" s="217" t="s">
        <v>5302</v>
      </c>
      <c r="AB410" s="218" t="s">
        <v>1194</v>
      </c>
      <c r="AC410" s="219">
        <v>44</v>
      </c>
      <c r="AD410" s="220">
        <v>0.26</v>
      </c>
      <c r="AE410" s="221">
        <f t="shared" si="101"/>
        <v>11.44</v>
      </c>
      <c r="AF410" s="248">
        <v>7</v>
      </c>
      <c r="AG410" s="130"/>
      <c r="AH410" s="130"/>
      <c r="AR410" s="107"/>
      <c r="AT410" s="114"/>
      <c r="AU410" s="114"/>
      <c r="AY410" s="107"/>
      <c r="BK410" s="115"/>
    </row>
    <row r="411" spans="2:65" s="11" customFormat="1" ht="16.95" customHeight="1" x14ac:dyDescent="0.2">
      <c r="B411" s="106"/>
      <c r="C411" s="1234" t="s">
        <v>5205</v>
      </c>
      <c r="D411" s="1235"/>
      <c r="E411" s="1235"/>
      <c r="F411" s="1235"/>
      <c r="G411" s="1235"/>
      <c r="H411" s="1235"/>
      <c r="I411" s="1235"/>
      <c r="J411" s="1236"/>
      <c r="L411" s="106"/>
      <c r="M411" s="110"/>
      <c r="N411" s="111"/>
      <c r="O411" s="111"/>
      <c r="P411" s="112"/>
      <c r="Q411" s="111"/>
      <c r="R411" s="112"/>
      <c r="S411" s="111"/>
      <c r="T411" s="113"/>
      <c r="W411" s="195"/>
      <c r="X411" s="215" t="s">
        <v>5318</v>
      </c>
      <c r="Y411" s="215" t="s">
        <v>231</v>
      </c>
      <c r="Z411" s="216" t="s">
        <v>5303</v>
      </c>
      <c r="AA411" s="217" t="s">
        <v>5304</v>
      </c>
      <c r="AB411" s="218" t="s">
        <v>1194</v>
      </c>
      <c r="AC411" s="219">
        <v>22</v>
      </c>
      <c r="AD411" s="220">
        <v>0.26</v>
      </c>
      <c r="AE411" s="221">
        <f t="shared" si="101"/>
        <v>5.72</v>
      </c>
      <c r="AF411" s="248">
        <v>7</v>
      </c>
      <c r="AG411" s="130"/>
      <c r="AH411" s="130"/>
      <c r="AR411" s="107"/>
      <c r="AT411" s="114"/>
      <c r="AU411" s="114"/>
      <c r="AY411" s="107"/>
      <c r="BK411" s="115"/>
    </row>
    <row r="412" spans="2:65" s="11" customFormat="1" ht="16.95" customHeight="1" x14ac:dyDescent="0.2">
      <c r="B412" s="106"/>
      <c r="C412" s="1234" t="s">
        <v>5205</v>
      </c>
      <c r="D412" s="1235"/>
      <c r="E412" s="1235"/>
      <c r="F412" s="1235"/>
      <c r="G412" s="1235"/>
      <c r="H412" s="1235"/>
      <c r="I412" s="1235"/>
      <c r="J412" s="1236"/>
      <c r="L412" s="106"/>
      <c r="M412" s="110"/>
      <c r="N412" s="111"/>
      <c r="O412" s="111"/>
      <c r="P412" s="112"/>
      <c r="Q412" s="111"/>
      <c r="R412" s="112"/>
      <c r="S412" s="111"/>
      <c r="T412" s="113"/>
      <c r="W412" s="195"/>
      <c r="X412" s="215" t="s">
        <v>5319</v>
      </c>
      <c r="Y412" s="215" t="s">
        <v>231</v>
      </c>
      <c r="Z412" s="216" t="s">
        <v>2427</v>
      </c>
      <c r="AA412" s="217" t="s">
        <v>5305</v>
      </c>
      <c r="AB412" s="218" t="s">
        <v>1194</v>
      </c>
      <c r="AC412" s="219">
        <v>8</v>
      </c>
      <c r="AD412" s="220">
        <v>6.47</v>
      </c>
      <c r="AE412" s="221">
        <f t="shared" si="101"/>
        <v>51.76</v>
      </c>
      <c r="AF412" s="248">
        <v>7</v>
      </c>
      <c r="AG412" s="130"/>
      <c r="AH412" s="130"/>
      <c r="AR412" s="107"/>
      <c r="AT412" s="114"/>
      <c r="AU412" s="114"/>
      <c r="AY412" s="107"/>
      <c r="BK412" s="115"/>
    </row>
    <row r="413" spans="2:65" s="11" customFormat="1" ht="16.95" customHeight="1" x14ac:dyDescent="0.2">
      <c r="B413" s="106"/>
      <c r="C413" s="1234" t="s">
        <v>5205</v>
      </c>
      <c r="D413" s="1235"/>
      <c r="E413" s="1235"/>
      <c r="F413" s="1235"/>
      <c r="G413" s="1235"/>
      <c r="H413" s="1235"/>
      <c r="I413" s="1235"/>
      <c r="J413" s="1236"/>
      <c r="L413" s="106"/>
      <c r="M413" s="110"/>
      <c r="N413" s="111"/>
      <c r="O413" s="111"/>
      <c r="P413" s="112"/>
      <c r="Q413" s="111"/>
      <c r="R413" s="112"/>
      <c r="S413" s="111"/>
      <c r="T413" s="113"/>
      <c r="W413" s="195"/>
      <c r="X413" s="215" t="s">
        <v>5320</v>
      </c>
      <c r="Y413" s="215" t="s">
        <v>231</v>
      </c>
      <c r="Z413" s="216" t="s">
        <v>5306</v>
      </c>
      <c r="AA413" s="217" t="s">
        <v>5307</v>
      </c>
      <c r="AB413" s="218" t="s">
        <v>1194</v>
      </c>
      <c r="AC413" s="219">
        <v>4</v>
      </c>
      <c r="AD413" s="220">
        <v>6.2</v>
      </c>
      <c r="AE413" s="221">
        <f t="shared" si="101"/>
        <v>24.8</v>
      </c>
      <c r="AF413" s="248">
        <v>7</v>
      </c>
      <c r="AG413" s="130"/>
      <c r="AH413" s="130"/>
      <c r="AR413" s="107"/>
      <c r="AT413" s="114"/>
      <c r="AU413" s="114"/>
      <c r="AY413" s="107"/>
      <c r="BK413" s="115"/>
    </row>
    <row r="414" spans="2:65" s="1" customFormat="1" ht="16.5" customHeight="1" x14ac:dyDescent="0.2">
      <c r="B414" s="118"/>
      <c r="C414" s="205" t="s">
        <v>736</v>
      </c>
      <c r="D414" s="119" t="s">
        <v>231</v>
      </c>
      <c r="E414" s="120" t="s">
        <v>3769</v>
      </c>
      <c r="F414" s="121" t="s">
        <v>3770</v>
      </c>
      <c r="G414" s="122" t="s">
        <v>1194</v>
      </c>
      <c r="H414" s="206">
        <v>2</v>
      </c>
      <c r="I414" s="124">
        <v>216.9</v>
      </c>
      <c r="J414" s="124">
        <f t="shared" ref="J414:J426" si="102">ROUND(I414*H414,2)</f>
        <v>433.8</v>
      </c>
      <c r="K414" s="121" t="s">
        <v>1</v>
      </c>
      <c r="L414" s="24"/>
      <c r="M414" s="125" t="s">
        <v>1</v>
      </c>
      <c r="N414" s="126" t="s">
        <v>32</v>
      </c>
      <c r="O414" s="127">
        <v>0</v>
      </c>
      <c r="P414" s="127">
        <f t="shared" ref="P414:P426" si="103">O414*H414</f>
        <v>0</v>
      </c>
      <c r="Q414" s="127">
        <v>0</v>
      </c>
      <c r="R414" s="127">
        <f t="shared" ref="R414:R426" si="104">Q414*H414</f>
        <v>0</v>
      </c>
      <c r="S414" s="127">
        <v>0</v>
      </c>
      <c r="T414" s="128">
        <f t="shared" ref="T414:T426" si="105">S414*H414</f>
        <v>0</v>
      </c>
      <c r="W414" s="199"/>
      <c r="X414" s="205" t="s">
        <v>736</v>
      </c>
      <c r="Y414" s="119" t="s">
        <v>231</v>
      </c>
      <c r="Z414" s="120" t="s">
        <v>3769</v>
      </c>
      <c r="AA414" s="121" t="s">
        <v>3770</v>
      </c>
      <c r="AB414" s="122" t="s">
        <v>1194</v>
      </c>
      <c r="AC414" s="206">
        <v>0</v>
      </c>
      <c r="AD414" s="124">
        <v>216.9</v>
      </c>
      <c r="AE414" s="200">
        <f t="shared" ref="AE414" si="106">ROUND(AD414*AC414,2)</f>
        <v>0</v>
      </c>
      <c r="AF414" s="227">
        <v>7</v>
      </c>
      <c r="AG414" s="130"/>
      <c r="AH414" s="130"/>
      <c r="AR414" s="129" t="s">
        <v>235</v>
      </c>
      <c r="AT414" s="129" t="s">
        <v>231</v>
      </c>
      <c r="AU414" s="129" t="s">
        <v>63</v>
      </c>
      <c r="AY414" s="13" t="s">
        <v>228</v>
      </c>
      <c r="BE414" s="130">
        <f t="shared" ref="BE414:BE426" si="107">IF(N414="základná",J414,0)</f>
        <v>0</v>
      </c>
      <c r="BF414" s="130">
        <f t="shared" ref="BF414:BF426" si="108">IF(N414="znížená",J414,0)</f>
        <v>433.8</v>
      </c>
      <c r="BG414" s="130">
        <f t="shared" ref="BG414:BG426" si="109">IF(N414="zákl. prenesená",J414,0)</f>
        <v>0</v>
      </c>
      <c r="BH414" s="130">
        <f t="shared" ref="BH414:BH426" si="110">IF(N414="zníž. prenesená",J414,0)</f>
        <v>0</v>
      </c>
      <c r="BI414" s="130">
        <f t="shared" ref="BI414:BI426" si="111">IF(N414="nulová",J414,0)</f>
        <v>0</v>
      </c>
      <c r="BJ414" s="13" t="s">
        <v>76</v>
      </c>
      <c r="BK414" s="130">
        <f t="shared" ref="BK414:BK426" si="112">ROUND(I414*H414,2)</f>
        <v>433.8</v>
      </c>
      <c r="BL414" s="13" t="s">
        <v>235</v>
      </c>
      <c r="BM414" s="129" t="s">
        <v>739</v>
      </c>
    </row>
    <row r="415" spans="2:65" s="1" customFormat="1" ht="16.5" customHeight="1" x14ac:dyDescent="0.2">
      <c r="B415" s="118"/>
      <c r="C415" s="205" t="s">
        <v>483</v>
      </c>
      <c r="D415" s="119" t="s">
        <v>231</v>
      </c>
      <c r="E415" s="120" t="s">
        <v>3771</v>
      </c>
      <c r="F415" s="121" t="s">
        <v>3772</v>
      </c>
      <c r="G415" s="122" t="s">
        <v>1194</v>
      </c>
      <c r="H415" s="206">
        <v>4</v>
      </c>
      <c r="I415" s="124">
        <v>78.02</v>
      </c>
      <c r="J415" s="124">
        <f t="shared" si="102"/>
        <v>312.08</v>
      </c>
      <c r="K415" s="121" t="s">
        <v>1</v>
      </c>
      <c r="L415" s="24"/>
      <c r="M415" s="125" t="s">
        <v>1</v>
      </c>
      <c r="N415" s="126" t="s">
        <v>32</v>
      </c>
      <c r="O415" s="127">
        <v>0</v>
      </c>
      <c r="P415" s="127">
        <f t="shared" si="103"/>
        <v>0</v>
      </c>
      <c r="Q415" s="127">
        <v>0</v>
      </c>
      <c r="R415" s="127">
        <f t="shared" si="104"/>
        <v>0</v>
      </c>
      <c r="S415" s="127">
        <v>0</v>
      </c>
      <c r="T415" s="128">
        <f t="shared" si="105"/>
        <v>0</v>
      </c>
      <c r="W415" s="199"/>
      <c r="X415" s="205" t="s">
        <v>483</v>
      </c>
      <c r="Y415" s="119" t="s">
        <v>231</v>
      </c>
      <c r="Z415" s="120" t="s">
        <v>3771</v>
      </c>
      <c r="AA415" s="121" t="s">
        <v>3772</v>
      </c>
      <c r="AB415" s="122" t="s">
        <v>1194</v>
      </c>
      <c r="AC415" s="206">
        <v>0</v>
      </c>
      <c r="AD415" s="124">
        <v>78.02</v>
      </c>
      <c r="AE415" s="200">
        <f t="shared" ref="AE415:AE426" si="113">ROUND(AD415*AC415,2)</f>
        <v>0</v>
      </c>
      <c r="AF415" s="227">
        <v>7</v>
      </c>
      <c r="AG415" s="130"/>
      <c r="AH415" s="130"/>
      <c r="AR415" s="129" t="s">
        <v>235</v>
      </c>
      <c r="AT415" s="129" t="s">
        <v>231</v>
      </c>
      <c r="AU415" s="129" t="s">
        <v>63</v>
      </c>
      <c r="AY415" s="13" t="s">
        <v>228</v>
      </c>
      <c r="BE415" s="130">
        <f t="shared" si="107"/>
        <v>0</v>
      </c>
      <c r="BF415" s="130">
        <f t="shared" si="108"/>
        <v>312.08</v>
      </c>
      <c r="BG415" s="130">
        <f t="shared" si="109"/>
        <v>0</v>
      </c>
      <c r="BH415" s="130">
        <f t="shared" si="110"/>
        <v>0</v>
      </c>
      <c r="BI415" s="130">
        <f t="shared" si="111"/>
        <v>0</v>
      </c>
      <c r="BJ415" s="13" t="s">
        <v>76</v>
      </c>
      <c r="BK415" s="130">
        <f t="shared" si="112"/>
        <v>312.08</v>
      </c>
      <c r="BL415" s="13" t="s">
        <v>235</v>
      </c>
      <c r="BM415" s="129" t="s">
        <v>742</v>
      </c>
    </row>
    <row r="416" spans="2:65" s="1" customFormat="1" ht="24" customHeight="1" x14ac:dyDescent="0.2">
      <c r="B416" s="118"/>
      <c r="C416" s="205" t="s">
        <v>743</v>
      </c>
      <c r="D416" s="119" t="s">
        <v>231</v>
      </c>
      <c r="E416" s="120" t="s">
        <v>3773</v>
      </c>
      <c r="F416" s="121" t="s">
        <v>3774</v>
      </c>
      <c r="G416" s="122" t="s">
        <v>1194</v>
      </c>
      <c r="H416" s="206">
        <v>4</v>
      </c>
      <c r="I416" s="124">
        <v>154.66999999999999</v>
      </c>
      <c r="J416" s="124">
        <f t="shared" si="102"/>
        <v>618.67999999999995</v>
      </c>
      <c r="K416" s="121" t="s">
        <v>1</v>
      </c>
      <c r="L416" s="24"/>
      <c r="M416" s="125" t="s">
        <v>1</v>
      </c>
      <c r="N416" s="126" t="s">
        <v>32</v>
      </c>
      <c r="O416" s="127">
        <v>0</v>
      </c>
      <c r="P416" s="127">
        <f t="shared" si="103"/>
        <v>0</v>
      </c>
      <c r="Q416" s="127">
        <v>0</v>
      </c>
      <c r="R416" s="127">
        <f t="shared" si="104"/>
        <v>0</v>
      </c>
      <c r="S416" s="127">
        <v>0</v>
      </c>
      <c r="T416" s="128">
        <f t="shared" si="105"/>
        <v>0</v>
      </c>
      <c r="W416" s="199"/>
      <c r="X416" s="205" t="s">
        <v>743</v>
      </c>
      <c r="Y416" s="119" t="s">
        <v>231</v>
      </c>
      <c r="Z416" s="120" t="s">
        <v>3773</v>
      </c>
      <c r="AA416" s="121" t="s">
        <v>3774</v>
      </c>
      <c r="AB416" s="122" t="s">
        <v>1194</v>
      </c>
      <c r="AC416" s="206">
        <v>0</v>
      </c>
      <c r="AD416" s="124">
        <v>154.66999999999999</v>
      </c>
      <c r="AE416" s="200">
        <f t="shared" si="113"/>
        <v>0</v>
      </c>
      <c r="AF416" s="227">
        <v>7</v>
      </c>
      <c r="AG416" s="130"/>
      <c r="AH416" s="130"/>
      <c r="AR416" s="129" t="s">
        <v>235</v>
      </c>
      <c r="AT416" s="129" t="s">
        <v>231</v>
      </c>
      <c r="AU416" s="129" t="s">
        <v>63</v>
      </c>
      <c r="AY416" s="13" t="s">
        <v>228</v>
      </c>
      <c r="BE416" s="130">
        <f t="shared" si="107"/>
        <v>0</v>
      </c>
      <c r="BF416" s="130">
        <f t="shared" si="108"/>
        <v>618.67999999999995</v>
      </c>
      <c r="BG416" s="130">
        <f t="shared" si="109"/>
        <v>0</v>
      </c>
      <c r="BH416" s="130">
        <f t="shared" si="110"/>
        <v>0</v>
      </c>
      <c r="BI416" s="130">
        <f t="shared" si="111"/>
        <v>0</v>
      </c>
      <c r="BJ416" s="13" t="s">
        <v>76</v>
      </c>
      <c r="BK416" s="130">
        <f t="shared" si="112"/>
        <v>618.67999999999995</v>
      </c>
      <c r="BL416" s="13" t="s">
        <v>235</v>
      </c>
      <c r="BM416" s="129" t="s">
        <v>746</v>
      </c>
    </row>
    <row r="417" spans="2:65" s="1" customFormat="1" ht="16.5" customHeight="1" x14ac:dyDescent="0.2">
      <c r="B417" s="118"/>
      <c r="C417" s="205" t="s">
        <v>486</v>
      </c>
      <c r="D417" s="119" t="s">
        <v>231</v>
      </c>
      <c r="E417" s="120" t="s">
        <v>3775</v>
      </c>
      <c r="F417" s="121" t="s">
        <v>3776</v>
      </c>
      <c r="G417" s="122" t="s">
        <v>1194</v>
      </c>
      <c r="H417" s="206">
        <v>12</v>
      </c>
      <c r="I417" s="124">
        <v>32.880000000000003</v>
      </c>
      <c r="J417" s="124">
        <f t="shared" si="102"/>
        <v>394.56</v>
      </c>
      <c r="K417" s="121" t="s">
        <v>1</v>
      </c>
      <c r="L417" s="24"/>
      <c r="M417" s="125" t="s">
        <v>1</v>
      </c>
      <c r="N417" s="126" t="s">
        <v>32</v>
      </c>
      <c r="O417" s="127">
        <v>0</v>
      </c>
      <c r="P417" s="127">
        <f t="shared" si="103"/>
        <v>0</v>
      </c>
      <c r="Q417" s="127">
        <v>0</v>
      </c>
      <c r="R417" s="127">
        <f t="shared" si="104"/>
        <v>0</v>
      </c>
      <c r="S417" s="127">
        <v>0</v>
      </c>
      <c r="T417" s="128">
        <f t="shared" si="105"/>
        <v>0</v>
      </c>
      <c r="W417" s="199"/>
      <c r="X417" s="205" t="s">
        <v>486</v>
      </c>
      <c r="Y417" s="119" t="s">
        <v>231</v>
      </c>
      <c r="Z417" s="120" t="s">
        <v>3775</v>
      </c>
      <c r="AA417" s="121" t="s">
        <v>3776</v>
      </c>
      <c r="AB417" s="122" t="s">
        <v>1194</v>
      </c>
      <c r="AC417" s="206">
        <v>0</v>
      </c>
      <c r="AD417" s="124">
        <v>32.880000000000003</v>
      </c>
      <c r="AE417" s="200">
        <f t="shared" si="113"/>
        <v>0</v>
      </c>
      <c r="AF417" s="227">
        <v>7</v>
      </c>
      <c r="AG417" s="130"/>
      <c r="AH417" s="130"/>
      <c r="AR417" s="129" t="s">
        <v>235</v>
      </c>
      <c r="AT417" s="129" t="s">
        <v>231</v>
      </c>
      <c r="AU417" s="129" t="s">
        <v>63</v>
      </c>
      <c r="AY417" s="13" t="s">
        <v>228</v>
      </c>
      <c r="BE417" s="130">
        <f t="shared" si="107"/>
        <v>0</v>
      </c>
      <c r="BF417" s="130">
        <f t="shared" si="108"/>
        <v>394.56</v>
      </c>
      <c r="BG417" s="130">
        <f t="shared" si="109"/>
        <v>0</v>
      </c>
      <c r="BH417" s="130">
        <f t="shared" si="110"/>
        <v>0</v>
      </c>
      <c r="BI417" s="130">
        <f t="shared" si="111"/>
        <v>0</v>
      </c>
      <c r="BJ417" s="13" t="s">
        <v>76</v>
      </c>
      <c r="BK417" s="130">
        <f t="shared" si="112"/>
        <v>394.56</v>
      </c>
      <c r="BL417" s="13" t="s">
        <v>235</v>
      </c>
      <c r="BM417" s="129" t="s">
        <v>749</v>
      </c>
    </row>
    <row r="418" spans="2:65" s="1" customFormat="1" ht="16.5" customHeight="1" x14ac:dyDescent="0.2">
      <c r="B418" s="118"/>
      <c r="C418" s="205" t="s">
        <v>750</v>
      </c>
      <c r="D418" s="119" t="s">
        <v>231</v>
      </c>
      <c r="E418" s="120" t="s">
        <v>3777</v>
      </c>
      <c r="F418" s="121" t="s">
        <v>3778</v>
      </c>
      <c r="G418" s="122" t="s">
        <v>1194</v>
      </c>
      <c r="H418" s="206">
        <v>4</v>
      </c>
      <c r="I418" s="124">
        <v>8.85</v>
      </c>
      <c r="J418" s="124">
        <f t="shared" si="102"/>
        <v>35.4</v>
      </c>
      <c r="K418" s="121" t="s">
        <v>1</v>
      </c>
      <c r="L418" s="24"/>
      <c r="M418" s="125" t="s">
        <v>1</v>
      </c>
      <c r="N418" s="126" t="s">
        <v>32</v>
      </c>
      <c r="O418" s="127">
        <v>0</v>
      </c>
      <c r="P418" s="127">
        <f t="shared" si="103"/>
        <v>0</v>
      </c>
      <c r="Q418" s="127">
        <v>0</v>
      </c>
      <c r="R418" s="127">
        <f t="shared" si="104"/>
        <v>0</v>
      </c>
      <c r="S418" s="127">
        <v>0</v>
      </c>
      <c r="T418" s="128">
        <f t="shared" si="105"/>
        <v>0</v>
      </c>
      <c r="W418" s="199"/>
      <c r="X418" s="205" t="s">
        <v>750</v>
      </c>
      <c r="Y418" s="119" t="s">
        <v>231</v>
      </c>
      <c r="Z418" s="120" t="s">
        <v>3777</v>
      </c>
      <c r="AA418" s="121" t="s">
        <v>3778</v>
      </c>
      <c r="AB418" s="122" t="s">
        <v>1194</v>
      </c>
      <c r="AC418" s="206">
        <v>0</v>
      </c>
      <c r="AD418" s="124">
        <v>8.85</v>
      </c>
      <c r="AE418" s="200">
        <f t="shared" si="113"/>
        <v>0</v>
      </c>
      <c r="AF418" s="227">
        <v>7</v>
      </c>
      <c r="AG418" s="130"/>
      <c r="AH418" s="130"/>
      <c r="AR418" s="129" t="s">
        <v>235</v>
      </c>
      <c r="AT418" s="129" t="s">
        <v>231</v>
      </c>
      <c r="AU418" s="129" t="s">
        <v>63</v>
      </c>
      <c r="AY418" s="13" t="s">
        <v>228</v>
      </c>
      <c r="BE418" s="130">
        <f t="shared" si="107"/>
        <v>0</v>
      </c>
      <c r="BF418" s="130">
        <f t="shared" si="108"/>
        <v>35.4</v>
      </c>
      <c r="BG418" s="130">
        <f t="shared" si="109"/>
        <v>0</v>
      </c>
      <c r="BH418" s="130">
        <f t="shared" si="110"/>
        <v>0</v>
      </c>
      <c r="BI418" s="130">
        <f t="shared" si="111"/>
        <v>0</v>
      </c>
      <c r="BJ418" s="13" t="s">
        <v>76</v>
      </c>
      <c r="BK418" s="130">
        <f t="shared" si="112"/>
        <v>35.4</v>
      </c>
      <c r="BL418" s="13" t="s">
        <v>235</v>
      </c>
      <c r="BM418" s="129" t="s">
        <v>753</v>
      </c>
    </row>
    <row r="419" spans="2:65" s="1" customFormat="1" ht="16.5" customHeight="1" x14ac:dyDescent="0.2">
      <c r="B419" s="118"/>
      <c r="C419" s="205" t="s">
        <v>490</v>
      </c>
      <c r="D419" s="119" t="s">
        <v>231</v>
      </c>
      <c r="E419" s="120" t="s">
        <v>3779</v>
      </c>
      <c r="F419" s="121" t="s">
        <v>3780</v>
      </c>
      <c r="G419" s="122" t="s">
        <v>1194</v>
      </c>
      <c r="H419" s="206">
        <v>4</v>
      </c>
      <c r="I419" s="124">
        <v>21.25</v>
      </c>
      <c r="J419" s="124">
        <f t="shared" si="102"/>
        <v>85</v>
      </c>
      <c r="K419" s="121" t="s">
        <v>1</v>
      </c>
      <c r="L419" s="24"/>
      <c r="M419" s="125" t="s">
        <v>1</v>
      </c>
      <c r="N419" s="126" t="s">
        <v>32</v>
      </c>
      <c r="O419" s="127">
        <v>0</v>
      </c>
      <c r="P419" s="127">
        <f t="shared" si="103"/>
        <v>0</v>
      </c>
      <c r="Q419" s="127">
        <v>0</v>
      </c>
      <c r="R419" s="127">
        <f t="shared" si="104"/>
        <v>0</v>
      </c>
      <c r="S419" s="127">
        <v>0</v>
      </c>
      <c r="T419" s="128">
        <f t="shared" si="105"/>
        <v>0</v>
      </c>
      <c r="W419" s="199"/>
      <c r="X419" s="205" t="s">
        <v>490</v>
      </c>
      <c r="Y419" s="119" t="s">
        <v>231</v>
      </c>
      <c r="Z419" s="120" t="s">
        <v>3779</v>
      </c>
      <c r="AA419" s="121" t="s">
        <v>3780</v>
      </c>
      <c r="AB419" s="122" t="s">
        <v>1194</v>
      </c>
      <c r="AC419" s="206">
        <v>0</v>
      </c>
      <c r="AD419" s="124">
        <v>21.25</v>
      </c>
      <c r="AE419" s="200">
        <f t="shared" si="113"/>
        <v>0</v>
      </c>
      <c r="AF419" s="227">
        <v>7</v>
      </c>
      <c r="AG419" s="130"/>
      <c r="AH419" s="130"/>
      <c r="AR419" s="129" t="s">
        <v>235</v>
      </c>
      <c r="AT419" s="129" t="s">
        <v>231</v>
      </c>
      <c r="AU419" s="129" t="s">
        <v>63</v>
      </c>
      <c r="AY419" s="13" t="s">
        <v>228</v>
      </c>
      <c r="BE419" s="130">
        <f t="shared" si="107"/>
        <v>0</v>
      </c>
      <c r="BF419" s="130">
        <f t="shared" si="108"/>
        <v>85</v>
      </c>
      <c r="BG419" s="130">
        <f t="shared" si="109"/>
        <v>0</v>
      </c>
      <c r="BH419" s="130">
        <f t="shared" si="110"/>
        <v>0</v>
      </c>
      <c r="BI419" s="130">
        <f t="shared" si="111"/>
        <v>0</v>
      </c>
      <c r="BJ419" s="13" t="s">
        <v>76</v>
      </c>
      <c r="BK419" s="130">
        <f t="shared" si="112"/>
        <v>85</v>
      </c>
      <c r="BL419" s="13" t="s">
        <v>235</v>
      </c>
      <c r="BM419" s="129" t="s">
        <v>756</v>
      </c>
    </row>
    <row r="420" spans="2:65" s="1" customFormat="1" ht="16.5" customHeight="1" x14ac:dyDescent="0.2">
      <c r="B420" s="118"/>
      <c r="C420" s="205" t="s">
        <v>757</v>
      </c>
      <c r="D420" s="119" t="s">
        <v>231</v>
      </c>
      <c r="E420" s="120" t="s">
        <v>3781</v>
      </c>
      <c r="F420" s="121" t="s">
        <v>3782</v>
      </c>
      <c r="G420" s="122" t="s">
        <v>1194</v>
      </c>
      <c r="H420" s="206">
        <v>4</v>
      </c>
      <c r="I420" s="124">
        <v>7.37</v>
      </c>
      <c r="J420" s="124">
        <f t="shared" si="102"/>
        <v>29.48</v>
      </c>
      <c r="K420" s="121" t="s">
        <v>1</v>
      </c>
      <c r="L420" s="24"/>
      <c r="M420" s="125" t="s">
        <v>1</v>
      </c>
      <c r="N420" s="126" t="s">
        <v>32</v>
      </c>
      <c r="O420" s="127">
        <v>0</v>
      </c>
      <c r="P420" s="127">
        <f t="shared" si="103"/>
        <v>0</v>
      </c>
      <c r="Q420" s="127">
        <v>0</v>
      </c>
      <c r="R420" s="127">
        <f t="shared" si="104"/>
        <v>0</v>
      </c>
      <c r="S420" s="127">
        <v>0</v>
      </c>
      <c r="T420" s="128">
        <f t="shared" si="105"/>
        <v>0</v>
      </c>
      <c r="W420" s="199"/>
      <c r="X420" s="205" t="s">
        <v>757</v>
      </c>
      <c r="Y420" s="119" t="s">
        <v>231</v>
      </c>
      <c r="Z420" s="120" t="s">
        <v>3781</v>
      </c>
      <c r="AA420" s="121" t="s">
        <v>3782</v>
      </c>
      <c r="AB420" s="122" t="s">
        <v>1194</v>
      </c>
      <c r="AC420" s="206">
        <v>0</v>
      </c>
      <c r="AD420" s="124">
        <v>7.37</v>
      </c>
      <c r="AE420" s="200">
        <f t="shared" si="113"/>
        <v>0</v>
      </c>
      <c r="AF420" s="227">
        <v>7</v>
      </c>
      <c r="AG420" s="130"/>
      <c r="AH420" s="130"/>
      <c r="AR420" s="129" t="s">
        <v>235</v>
      </c>
      <c r="AT420" s="129" t="s">
        <v>231</v>
      </c>
      <c r="AU420" s="129" t="s">
        <v>63</v>
      </c>
      <c r="AY420" s="13" t="s">
        <v>228</v>
      </c>
      <c r="BE420" s="130">
        <f t="shared" si="107"/>
        <v>0</v>
      </c>
      <c r="BF420" s="130">
        <f t="shared" si="108"/>
        <v>29.48</v>
      </c>
      <c r="BG420" s="130">
        <f t="shared" si="109"/>
        <v>0</v>
      </c>
      <c r="BH420" s="130">
        <f t="shared" si="110"/>
        <v>0</v>
      </c>
      <c r="BI420" s="130">
        <f t="shared" si="111"/>
        <v>0</v>
      </c>
      <c r="BJ420" s="13" t="s">
        <v>76</v>
      </c>
      <c r="BK420" s="130">
        <f t="shared" si="112"/>
        <v>29.48</v>
      </c>
      <c r="BL420" s="13" t="s">
        <v>235</v>
      </c>
      <c r="BM420" s="129" t="s">
        <v>760</v>
      </c>
    </row>
    <row r="421" spans="2:65" s="1" customFormat="1" ht="16.5" customHeight="1" x14ac:dyDescent="0.2">
      <c r="B421" s="118"/>
      <c r="C421" s="205" t="s">
        <v>493</v>
      </c>
      <c r="D421" s="119" t="s">
        <v>231</v>
      </c>
      <c r="E421" s="120" t="s">
        <v>3783</v>
      </c>
      <c r="F421" s="121" t="s">
        <v>3784</v>
      </c>
      <c r="G421" s="122" t="s">
        <v>1194</v>
      </c>
      <c r="H421" s="206">
        <v>8</v>
      </c>
      <c r="I421" s="124">
        <v>5.32</v>
      </c>
      <c r="J421" s="124">
        <f t="shared" si="102"/>
        <v>42.56</v>
      </c>
      <c r="K421" s="121" t="s">
        <v>1</v>
      </c>
      <c r="L421" s="24"/>
      <c r="M421" s="125" t="s">
        <v>1</v>
      </c>
      <c r="N421" s="126" t="s">
        <v>32</v>
      </c>
      <c r="O421" s="127">
        <v>0</v>
      </c>
      <c r="P421" s="127">
        <f t="shared" si="103"/>
        <v>0</v>
      </c>
      <c r="Q421" s="127">
        <v>0</v>
      </c>
      <c r="R421" s="127">
        <f t="shared" si="104"/>
        <v>0</v>
      </c>
      <c r="S421" s="127">
        <v>0</v>
      </c>
      <c r="T421" s="128">
        <f t="shared" si="105"/>
        <v>0</v>
      </c>
      <c r="W421" s="199"/>
      <c r="X421" s="205" t="s">
        <v>493</v>
      </c>
      <c r="Y421" s="119" t="s">
        <v>231</v>
      </c>
      <c r="Z421" s="120" t="s">
        <v>3783</v>
      </c>
      <c r="AA421" s="121" t="s">
        <v>3784</v>
      </c>
      <c r="AB421" s="122" t="s">
        <v>1194</v>
      </c>
      <c r="AC421" s="206">
        <v>0</v>
      </c>
      <c r="AD421" s="124">
        <v>5.32</v>
      </c>
      <c r="AE421" s="200">
        <f t="shared" si="113"/>
        <v>0</v>
      </c>
      <c r="AF421" s="227">
        <v>7</v>
      </c>
      <c r="AG421" s="130"/>
      <c r="AH421" s="130"/>
      <c r="AR421" s="129" t="s">
        <v>235</v>
      </c>
      <c r="AT421" s="129" t="s">
        <v>231</v>
      </c>
      <c r="AU421" s="129" t="s">
        <v>63</v>
      </c>
      <c r="AY421" s="13" t="s">
        <v>228</v>
      </c>
      <c r="BE421" s="130">
        <f t="shared" si="107"/>
        <v>0</v>
      </c>
      <c r="BF421" s="130">
        <f t="shared" si="108"/>
        <v>42.56</v>
      </c>
      <c r="BG421" s="130">
        <f t="shared" si="109"/>
        <v>0</v>
      </c>
      <c r="BH421" s="130">
        <f t="shared" si="110"/>
        <v>0</v>
      </c>
      <c r="BI421" s="130">
        <f t="shared" si="111"/>
        <v>0</v>
      </c>
      <c r="BJ421" s="13" t="s">
        <v>76</v>
      </c>
      <c r="BK421" s="130">
        <f t="shared" si="112"/>
        <v>42.56</v>
      </c>
      <c r="BL421" s="13" t="s">
        <v>235</v>
      </c>
      <c r="BM421" s="129" t="s">
        <v>763</v>
      </c>
    </row>
    <row r="422" spans="2:65" s="1" customFormat="1" ht="16.5" customHeight="1" x14ac:dyDescent="0.2">
      <c r="B422" s="118"/>
      <c r="C422" s="205" t="s">
        <v>764</v>
      </c>
      <c r="D422" s="119" t="s">
        <v>231</v>
      </c>
      <c r="E422" s="120" t="s">
        <v>3785</v>
      </c>
      <c r="F422" s="121" t="s">
        <v>3786</v>
      </c>
      <c r="G422" s="122" t="s">
        <v>1194</v>
      </c>
      <c r="H422" s="206">
        <v>4</v>
      </c>
      <c r="I422" s="124">
        <v>5.17</v>
      </c>
      <c r="J422" s="124">
        <f t="shared" si="102"/>
        <v>20.68</v>
      </c>
      <c r="K422" s="121" t="s">
        <v>1</v>
      </c>
      <c r="L422" s="24"/>
      <c r="M422" s="125" t="s">
        <v>1</v>
      </c>
      <c r="N422" s="126" t="s">
        <v>32</v>
      </c>
      <c r="O422" s="127">
        <v>0</v>
      </c>
      <c r="P422" s="127">
        <f t="shared" si="103"/>
        <v>0</v>
      </c>
      <c r="Q422" s="127">
        <v>0</v>
      </c>
      <c r="R422" s="127">
        <f t="shared" si="104"/>
        <v>0</v>
      </c>
      <c r="S422" s="127">
        <v>0</v>
      </c>
      <c r="T422" s="128">
        <f t="shared" si="105"/>
        <v>0</v>
      </c>
      <c r="W422" s="199"/>
      <c r="X422" s="205" t="s">
        <v>764</v>
      </c>
      <c r="Y422" s="119" t="s">
        <v>231</v>
      </c>
      <c r="Z422" s="120" t="s">
        <v>3785</v>
      </c>
      <c r="AA422" s="121" t="s">
        <v>3786</v>
      </c>
      <c r="AB422" s="122" t="s">
        <v>1194</v>
      </c>
      <c r="AC422" s="206">
        <v>0</v>
      </c>
      <c r="AD422" s="124">
        <v>5.17</v>
      </c>
      <c r="AE422" s="200">
        <f t="shared" si="113"/>
        <v>0</v>
      </c>
      <c r="AF422" s="227">
        <v>7</v>
      </c>
      <c r="AG422" s="130"/>
      <c r="AH422" s="130"/>
      <c r="AR422" s="129" t="s">
        <v>235</v>
      </c>
      <c r="AT422" s="129" t="s">
        <v>231</v>
      </c>
      <c r="AU422" s="129" t="s">
        <v>63</v>
      </c>
      <c r="AY422" s="13" t="s">
        <v>228</v>
      </c>
      <c r="BE422" s="130">
        <f t="shared" si="107"/>
        <v>0</v>
      </c>
      <c r="BF422" s="130">
        <f t="shared" si="108"/>
        <v>20.68</v>
      </c>
      <c r="BG422" s="130">
        <f t="shared" si="109"/>
        <v>0</v>
      </c>
      <c r="BH422" s="130">
        <f t="shared" si="110"/>
        <v>0</v>
      </c>
      <c r="BI422" s="130">
        <f t="shared" si="111"/>
        <v>0</v>
      </c>
      <c r="BJ422" s="13" t="s">
        <v>76</v>
      </c>
      <c r="BK422" s="130">
        <f t="shared" si="112"/>
        <v>20.68</v>
      </c>
      <c r="BL422" s="13" t="s">
        <v>235</v>
      </c>
      <c r="BM422" s="129" t="s">
        <v>767</v>
      </c>
    </row>
    <row r="423" spans="2:65" s="1" customFormat="1" ht="16.5" customHeight="1" x14ac:dyDescent="0.2">
      <c r="B423" s="118"/>
      <c r="C423" s="119" t="s">
        <v>497</v>
      </c>
      <c r="D423" s="119" t="s">
        <v>231</v>
      </c>
      <c r="E423" s="120" t="s">
        <v>3787</v>
      </c>
      <c r="F423" s="121" t="s">
        <v>3788</v>
      </c>
      <c r="G423" s="122" t="s">
        <v>1194</v>
      </c>
      <c r="H423" s="123">
        <v>1</v>
      </c>
      <c r="I423" s="124">
        <v>146.29</v>
      </c>
      <c r="J423" s="124">
        <f t="shared" si="102"/>
        <v>146.29</v>
      </c>
      <c r="K423" s="121" t="s">
        <v>1</v>
      </c>
      <c r="L423" s="24"/>
      <c r="M423" s="125" t="s">
        <v>1</v>
      </c>
      <c r="N423" s="126" t="s">
        <v>32</v>
      </c>
      <c r="O423" s="127">
        <v>0</v>
      </c>
      <c r="P423" s="127">
        <f t="shared" si="103"/>
        <v>0</v>
      </c>
      <c r="Q423" s="127">
        <v>0</v>
      </c>
      <c r="R423" s="127">
        <f t="shared" si="104"/>
        <v>0</v>
      </c>
      <c r="S423" s="127">
        <v>0</v>
      </c>
      <c r="T423" s="128">
        <f t="shared" si="105"/>
        <v>0</v>
      </c>
      <c r="W423" s="199"/>
      <c r="X423" s="119" t="s">
        <v>497</v>
      </c>
      <c r="Y423" s="119" t="s">
        <v>231</v>
      </c>
      <c r="Z423" s="120" t="s">
        <v>3787</v>
      </c>
      <c r="AA423" s="121" t="s">
        <v>3788</v>
      </c>
      <c r="AB423" s="122" t="s">
        <v>1194</v>
      </c>
      <c r="AC423" s="123">
        <v>1</v>
      </c>
      <c r="AD423" s="124">
        <v>146.29</v>
      </c>
      <c r="AE423" s="200">
        <f t="shared" si="113"/>
        <v>146.29</v>
      </c>
      <c r="AF423" s="227"/>
      <c r="AG423" s="130"/>
      <c r="AH423" s="130"/>
      <c r="AR423" s="129" t="s">
        <v>235</v>
      </c>
      <c r="AT423" s="129" t="s">
        <v>231</v>
      </c>
      <c r="AU423" s="129" t="s">
        <v>63</v>
      </c>
      <c r="AY423" s="13" t="s">
        <v>228</v>
      </c>
      <c r="BE423" s="130">
        <f t="shared" si="107"/>
        <v>0</v>
      </c>
      <c r="BF423" s="130">
        <f t="shared" si="108"/>
        <v>146.29</v>
      </c>
      <c r="BG423" s="130">
        <f t="shared" si="109"/>
        <v>0</v>
      </c>
      <c r="BH423" s="130">
        <f t="shared" si="110"/>
        <v>0</v>
      </c>
      <c r="BI423" s="130">
        <f t="shared" si="111"/>
        <v>0</v>
      </c>
      <c r="BJ423" s="13" t="s">
        <v>76</v>
      </c>
      <c r="BK423" s="130">
        <f t="shared" si="112"/>
        <v>146.29</v>
      </c>
      <c r="BL423" s="13" t="s">
        <v>235</v>
      </c>
      <c r="BM423" s="129" t="s">
        <v>770</v>
      </c>
    </row>
    <row r="424" spans="2:65" s="1" customFormat="1" ht="16.5" customHeight="1" x14ac:dyDescent="0.2">
      <c r="B424" s="118"/>
      <c r="C424" s="205" t="s">
        <v>771</v>
      </c>
      <c r="D424" s="119" t="s">
        <v>231</v>
      </c>
      <c r="E424" s="120" t="s">
        <v>3789</v>
      </c>
      <c r="F424" s="121" t="s">
        <v>3790</v>
      </c>
      <c r="G424" s="122" t="s">
        <v>1194</v>
      </c>
      <c r="H424" s="206">
        <v>1</v>
      </c>
      <c r="I424" s="124">
        <v>75.47</v>
      </c>
      <c r="J424" s="124">
        <f t="shared" si="102"/>
        <v>75.47</v>
      </c>
      <c r="K424" s="121" t="s">
        <v>1</v>
      </c>
      <c r="L424" s="24"/>
      <c r="M424" s="125" t="s">
        <v>1</v>
      </c>
      <c r="N424" s="126" t="s">
        <v>32</v>
      </c>
      <c r="O424" s="127">
        <v>0</v>
      </c>
      <c r="P424" s="127">
        <f t="shared" si="103"/>
        <v>0</v>
      </c>
      <c r="Q424" s="127">
        <v>0</v>
      </c>
      <c r="R424" s="127">
        <f t="shared" si="104"/>
        <v>0</v>
      </c>
      <c r="S424" s="127">
        <v>0</v>
      </c>
      <c r="T424" s="128">
        <f t="shared" si="105"/>
        <v>0</v>
      </c>
      <c r="W424" s="199"/>
      <c r="X424" s="205" t="s">
        <v>771</v>
      </c>
      <c r="Y424" s="119" t="s">
        <v>231</v>
      </c>
      <c r="Z424" s="120" t="s">
        <v>3789</v>
      </c>
      <c r="AA424" s="121" t="s">
        <v>3790</v>
      </c>
      <c r="AB424" s="122" t="s">
        <v>1194</v>
      </c>
      <c r="AC424" s="206">
        <v>2</v>
      </c>
      <c r="AD424" s="124">
        <v>75.47</v>
      </c>
      <c r="AE424" s="200">
        <f t="shared" si="113"/>
        <v>150.94</v>
      </c>
      <c r="AF424" s="227">
        <v>7</v>
      </c>
      <c r="AG424" s="130"/>
      <c r="AH424" s="130"/>
      <c r="AR424" s="129" t="s">
        <v>235</v>
      </c>
      <c r="AT424" s="129" t="s">
        <v>231</v>
      </c>
      <c r="AU424" s="129" t="s">
        <v>63</v>
      </c>
      <c r="AY424" s="13" t="s">
        <v>228</v>
      </c>
      <c r="BE424" s="130">
        <f t="shared" si="107"/>
        <v>0</v>
      </c>
      <c r="BF424" s="130">
        <f t="shared" si="108"/>
        <v>75.47</v>
      </c>
      <c r="BG424" s="130">
        <f t="shared" si="109"/>
        <v>0</v>
      </c>
      <c r="BH424" s="130">
        <f t="shared" si="110"/>
        <v>0</v>
      </c>
      <c r="BI424" s="130">
        <f t="shared" si="111"/>
        <v>0</v>
      </c>
      <c r="BJ424" s="13" t="s">
        <v>76</v>
      </c>
      <c r="BK424" s="130">
        <f t="shared" si="112"/>
        <v>75.47</v>
      </c>
      <c r="BL424" s="13" t="s">
        <v>235</v>
      </c>
      <c r="BM424" s="129" t="s">
        <v>774</v>
      </c>
    </row>
    <row r="425" spans="2:65" s="1" customFormat="1" ht="16.5" customHeight="1" x14ac:dyDescent="0.2">
      <c r="B425" s="118"/>
      <c r="C425" s="205" t="s">
        <v>500</v>
      </c>
      <c r="D425" s="119" t="s">
        <v>231</v>
      </c>
      <c r="E425" s="120" t="s">
        <v>3791</v>
      </c>
      <c r="F425" s="121" t="s">
        <v>3792</v>
      </c>
      <c r="G425" s="122" t="s">
        <v>292</v>
      </c>
      <c r="H425" s="206">
        <v>17</v>
      </c>
      <c r="I425" s="124">
        <v>2.5</v>
      </c>
      <c r="J425" s="124">
        <f t="shared" si="102"/>
        <v>42.5</v>
      </c>
      <c r="K425" s="121" t="s">
        <v>1</v>
      </c>
      <c r="L425" s="24"/>
      <c r="M425" s="125" t="s">
        <v>1</v>
      </c>
      <c r="N425" s="126" t="s">
        <v>32</v>
      </c>
      <c r="O425" s="127">
        <v>0</v>
      </c>
      <c r="P425" s="127">
        <f t="shared" si="103"/>
        <v>0</v>
      </c>
      <c r="Q425" s="127">
        <v>0</v>
      </c>
      <c r="R425" s="127">
        <f t="shared" si="104"/>
        <v>0</v>
      </c>
      <c r="S425" s="127">
        <v>0</v>
      </c>
      <c r="T425" s="128">
        <f t="shared" si="105"/>
        <v>0</v>
      </c>
      <c r="W425" s="199"/>
      <c r="X425" s="205" t="s">
        <v>500</v>
      </c>
      <c r="Y425" s="119" t="s">
        <v>231</v>
      </c>
      <c r="Z425" s="120" t="s">
        <v>3791</v>
      </c>
      <c r="AA425" s="121" t="s">
        <v>3792</v>
      </c>
      <c r="AB425" s="122" t="s">
        <v>292</v>
      </c>
      <c r="AC425" s="206">
        <v>60</v>
      </c>
      <c r="AD425" s="124">
        <v>1.6</v>
      </c>
      <c r="AE425" s="200">
        <f t="shared" si="113"/>
        <v>96</v>
      </c>
      <c r="AF425" s="227">
        <v>7</v>
      </c>
      <c r="AG425" s="130"/>
      <c r="AH425" s="130"/>
      <c r="AR425" s="129" t="s">
        <v>235</v>
      </c>
      <c r="AT425" s="129" t="s">
        <v>231</v>
      </c>
      <c r="AU425" s="129" t="s">
        <v>63</v>
      </c>
      <c r="AY425" s="13" t="s">
        <v>228</v>
      </c>
      <c r="BE425" s="130">
        <f t="shared" si="107"/>
        <v>0</v>
      </c>
      <c r="BF425" s="130">
        <f t="shared" si="108"/>
        <v>42.5</v>
      </c>
      <c r="BG425" s="130">
        <f t="shared" si="109"/>
        <v>0</v>
      </c>
      <c r="BH425" s="130">
        <f t="shared" si="110"/>
        <v>0</v>
      </c>
      <c r="BI425" s="130">
        <f t="shared" si="111"/>
        <v>0</v>
      </c>
      <c r="BJ425" s="13" t="s">
        <v>76</v>
      </c>
      <c r="BK425" s="130">
        <f t="shared" si="112"/>
        <v>42.5</v>
      </c>
      <c r="BL425" s="13" t="s">
        <v>235</v>
      </c>
      <c r="BM425" s="129" t="s">
        <v>777</v>
      </c>
    </row>
    <row r="426" spans="2:65" s="1" customFormat="1" ht="16.5" customHeight="1" x14ac:dyDescent="0.2">
      <c r="B426" s="118"/>
      <c r="C426" s="205" t="s">
        <v>778</v>
      </c>
      <c r="D426" s="119" t="s">
        <v>231</v>
      </c>
      <c r="E426" s="120" t="s">
        <v>3793</v>
      </c>
      <c r="F426" s="121" t="s">
        <v>3794</v>
      </c>
      <c r="G426" s="122" t="s">
        <v>1194</v>
      </c>
      <c r="H426" s="206">
        <v>1</v>
      </c>
      <c r="I426" s="124">
        <v>1188.8599999999999</v>
      </c>
      <c r="J426" s="124">
        <f t="shared" si="102"/>
        <v>1188.8599999999999</v>
      </c>
      <c r="K426" s="121" t="s">
        <v>1</v>
      </c>
      <c r="L426" s="24"/>
      <c r="M426" s="125" t="s">
        <v>1</v>
      </c>
      <c r="N426" s="126" t="s">
        <v>32</v>
      </c>
      <c r="O426" s="127">
        <v>0</v>
      </c>
      <c r="P426" s="127">
        <f t="shared" si="103"/>
        <v>0</v>
      </c>
      <c r="Q426" s="127">
        <v>0</v>
      </c>
      <c r="R426" s="127">
        <f t="shared" si="104"/>
        <v>0</v>
      </c>
      <c r="S426" s="127">
        <v>0</v>
      </c>
      <c r="T426" s="128">
        <f t="shared" si="105"/>
        <v>0</v>
      </c>
      <c r="W426" s="199"/>
      <c r="X426" s="205" t="s">
        <v>778</v>
      </c>
      <c r="Y426" s="119" t="s">
        <v>231</v>
      </c>
      <c r="Z426" s="120" t="s">
        <v>3793</v>
      </c>
      <c r="AA426" s="121" t="s">
        <v>3794</v>
      </c>
      <c r="AB426" s="122" t="s">
        <v>1194</v>
      </c>
      <c r="AC426" s="206">
        <v>2</v>
      </c>
      <c r="AD426" s="124">
        <v>1188.8599999999999</v>
      </c>
      <c r="AE426" s="200">
        <f t="shared" si="113"/>
        <v>2377.7199999999998</v>
      </c>
      <c r="AF426" s="227">
        <v>7</v>
      </c>
      <c r="AG426" s="130"/>
      <c r="AH426" s="130"/>
      <c r="AR426" s="129" t="s">
        <v>235</v>
      </c>
      <c r="AT426" s="129" t="s">
        <v>231</v>
      </c>
      <c r="AU426" s="129" t="s">
        <v>63</v>
      </c>
      <c r="AY426" s="13" t="s">
        <v>228</v>
      </c>
      <c r="BE426" s="130">
        <f t="shared" si="107"/>
        <v>0</v>
      </c>
      <c r="BF426" s="130">
        <f t="shared" si="108"/>
        <v>1188.8599999999999</v>
      </c>
      <c r="BG426" s="130">
        <f t="shared" si="109"/>
        <v>0</v>
      </c>
      <c r="BH426" s="130">
        <f t="shared" si="110"/>
        <v>0</v>
      </c>
      <c r="BI426" s="130">
        <f t="shared" si="111"/>
        <v>0</v>
      </c>
      <c r="BJ426" s="13" t="s">
        <v>76</v>
      </c>
      <c r="BK426" s="130">
        <f t="shared" si="112"/>
        <v>1188.8599999999999</v>
      </c>
      <c r="BL426" s="13" t="s">
        <v>235</v>
      </c>
      <c r="BM426" s="129" t="s">
        <v>781</v>
      </c>
    </row>
    <row r="427" spans="2:65" s="11" customFormat="1" ht="25.95" customHeight="1" x14ac:dyDescent="0.25">
      <c r="B427" s="106"/>
      <c r="D427" s="107" t="s">
        <v>57</v>
      </c>
      <c r="E427" s="108" t="s">
        <v>1292</v>
      </c>
      <c r="F427" s="108" t="s">
        <v>1293</v>
      </c>
      <c r="J427" s="109">
        <f>BK427</f>
        <v>190.4</v>
      </c>
      <c r="L427" s="106"/>
      <c r="M427" s="110"/>
      <c r="N427" s="111"/>
      <c r="O427" s="111"/>
      <c r="P427" s="112">
        <f>SUM(P428:P429)</f>
        <v>0</v>
      </c>
      <c r="Q427" s="111"/>
      <c r="R427" s="112">
        <f>SUM(R428:R429)</f>
        <v>0</v>
      </c>
      <c r="S427" s="111"/>
      <c r="T427" s="113">
        <f>SUM(T428:T429)</f>
        <v>0</v>
      </c>
      <c r="W427" s="195"/>
      <c r="X427" s="111"/>
      <c r="Y427" s="196" t="s">
        <v>57</v>
      </c>
      <c r="Z427" s="197" t="s">
        <v>1292</v>
      </c>
      <c r="AA427" s="197" t="s">
        <v>1293</v>
      </c>
      <c r="AB427" s="111"/>
      <c r="AC427" s="111"/>
      <c r="AD427" s="111"/>
      <c r="AE427" s="198">
        <f>SUM(AE428:AE429)</f>
        <v>220</v>
      </c>
      <c r="AF427" s="248"/>
      <c r="AG427" s="130"/>
      <c r="AH427" s="130"/>
      <c r="AR427" s="107" t="s">
        <v>235</v>
      </c>
      <c r="AT427" s="114" t="s">
        <v>57</v>
      </c>
      <c r="AU427" s="114" t="s">
        <v>58</v>
      </c>
      <c r="AY427" s="107" t="s">
        <v>228</v>
      </c>
      <c r="BK427" s="115">
        <f>SUM(BK428:BK429)</f>
        <v>190.4</v>
      </c>
    </row>
    <row r="428" spans="2:65" s="1" customFormat="1" ht="16.5" customHeight="1" x14ac:dyDescent="0.2">
      <c r="B428" s="118"/>
      <c r="C428" s="119" t="s">
        <v>504</v>
      </c>
      <c r="D428" s="119" t="s">
        <v>231</v>
      </c>
      <c r="E428" s="120" t="s">
        <v>3795</v>
      </c>
      <c r="F428" s="121" t="s">
        <v>1295</v>
      </c>
      <c r="G428" s="122" t="s">
        <v>570</v>
      </c>
      <c r="H428" s="123">
        <v>3.6</v>
      </c>
      <c r="I428" s="213">
        <v>25.11</v>
      </c>
      <c r="J428" s="124">
        <f>ROUND(I428*H428,2)</f>
        <v>90.4</v>
      </c>
      <c r="K428" s="121" t="s">
        <v>1</v>
      </c>
      <c r="L428" s="24"/>
      <c r="M428" s="125" t="s">
        <v>1</v>
      </c>
      <c r="N428" s="126" t="s">
        <v>32</v>
      </c>
      <c r="O428" s="127">
        <v>0</v>
      </c>
      <c r="P428" s="127">
        <f>O428*H428</f>
        <v>0</v>
      </c>
      <c r="Q428" s="127">
        <v>0</v>
      </c>
      <c r="R428" s="127">
        <f>Q428*H428</f>
        <v>0</v>
      </c>
      <c r="S428" s="127">
        <v>0</v>
      </c>
      <c r="T428" s="128">
        <f>S428*H428</f>
        <v>0</v>
      </c>
      <c r="W428" s="199"/>
      <c r="X428" s="119" t="s">
        <v>504</v>
      </c>
      <c r="Y428" s="119" t="s">
        <v>231</v>
      </c>
      <c r="Z428" s="120" t="s">
        <v>3795</v>
      </c>
      <c r="AA428" s="121" t="s">
        <v>1295</v>
      </c>
      <c r="AB428" s="122" t="s">
        <v>570</v>
      </c>
      <c r="AC428" s="123">
        <v>3.6</v>
      </c>
      <c r="AD428" s="213">
        <v>33.332999999999998</v>
      </c>
      <c r="AE428" s="200">
        <f>ROUND(AD428*AC428,2)</f>
        <v>120</v>
      </c>
      <c r="AF428" s="227">
        <v>7</v>
      </c>
      <c r="AG428" s="130"/>
      <c r="AH428" s="130"/>
      <c r="AR428" s="129" t="s">
        <v>1173</v>
      </c>
      <c r="AT428" s="129" t="s">
        <v>231</v>
      </c>
      <c r="AU428" s="129" t="s">
        <v>63</v>
      </c>
      <c r="AY428" s="13" t="s">
        <v>228</v>
      </c>
      <c r="BE428" s="130">
        <f>IF(N428="základná",J428,0)</f>
        <v>0</v>
      </c>
      <c r="BF428" s="130">
        <f>IF(N428="znížená",J428,0)</f>
        <v>90.4</v>
      </c>
      <c r="BG428" s="130">
        <f>IF(N428="zákl. prenesená",J428,0)</f>
        <v>0</v>
      </c>
      <c r="BH428" s="130">
        <f>IF(N428="zníž. prenesená",J428,0)</f>
        <v>0</v>
      </c>
      <c r="BI428" s="130">
        <f>IF(N428="nulová",J428,0)</f>
        <v>0</v>
      </c>
      <c r="BJ428" s="13" t="s">
        <v>76</v>
      </c>
      <c r="BK428" s="130">
        <f>ROUND(I428*H428,2)</f>
        <v>90.4</v>
      </c>
      <c r="BL428" s="13" t="s">
        <v>1173</v>
      </c>
      <c r="BM428" s="129" t="s">
        <v>3796</v>
      </c>
    </row>
    <row r="429" spans="2:65" s="1" customFormat="1" ht="16.5" customHeight="1" x14ac:dyDescent="0.2">
      <c r="B429" s="118"/>
      <c r="C429" s="119" t="s">
        <v>787</v>
      </c>
      <c r="D429" s="119" t="s">
        <v>231</v>
      </c>
      <c r="E429" s="120" t="s">
        <v>1297</v>
      </c>
      <c r="F429" s="121" t="s">
        <v>1298</v>
      </c>
      <c r="G429" s="122" t="s">
        <v>1172</v>
      </c>
      <c r="H429" s="123">
        <v>1</v>
      </c>
      <c r="I429" s="124">
        <v>100</v>
      </c>
      <c r="J429" s="124">
        <f>ROUND(I429*H429,2)</f>
        <v>100</v>
      </c>
      <c r="K429" s="121" t="s">
        <v>1</v>
      </c>
      <c r="L429" s="24"/>
      <c r="M429" s="125" t="s">
        <v>1</v>
      </c>
      <c r="N429" s="126" t="s">
        <v>32</v>
      </c>
      <c r="O429" s="127">
        <v>0</v>
      </c>
      <c r="P429" s="127">
        <f>O429*H429</f>
        <v>0</v>
      </c>
      <c r="Q429" s="127">
        <v>0</v>
      </c>
      <c r="R429" s="127">
        <f>Q429*H429</f>
        <v>0</v>
      </c>
      <c r="S429" s="127">
        <v>0</v>
      </c>
      <c r="T429" s="128">
        <f>S429*H429</f>
        <v>0</v>
      </c>
      <c r="W429" s="199"/>
      <c r="X429" s="119" t="s">
        <v>787</v>
      </c>
      <c r="Y429" s="119" t="s">
        <v>231</v>
      </c>
      <c r="Z429" s="120" t="s">
        <v>1297</v>
      </c>
      <c r="AA429" s="121" t="s">
        <v>1298</v>
      </c>
      <c r="AB429" s="122" t="s">
        <v>1172</v>
      </c>
      <c r="AC429" s="123">
        <v>1</v>
      </c>
      <c r="AD429" s="124">
        <v>100</v>
      </c>
      <c r="AE429" s="200">
        <f>ROUND(AD429*AC429,2)</f>
        <v>100</v>
      </c>
      <c r="AF429" s="227"/>
      <c r="AG429" s="130"/>
      <c r="AH429" s="130"/>
      <c r="AR429" s="129" t="s">
        <v>1173</v>
      </c>
      <c r="AT429" s="129" t="s">
        <v>231</v>
      </c>
      <c r="AU429" s="129" t="s">
        <v>63</v>
      </c>
      <c r="AY429" s="13" t="s">
        <v>228</v>
      </c>
      <c r="BE429" s="130">
        <f>IF(N429="základná",J429,0)</f>
        <v>0</v>
      </c>
      <c r="BF429" s="130">
        <f>IF(N429="znížená",J429,0)</f>
        <v>100</v>
      </c>
      <c r="BG429" s="130">
        <f>IF(N429="zákl. prenesená",J429,0)</f>
        <v>0</v>
      </c>
      <c r="BH429" s="130">
        <f>IF(N429="zníž. prenesená",J429,0)</f>
        <v>0</v>
      </c>
      <c r="BI429" s="130">
        <f>IF(N429="nulová",J429,0)</f>
        <v>0</v>
      </c>
      <c r="BJ429" s="13" t="s">
        <v>76</v>
      </c>
      <c r="BK429" s="130">
        <f>ROUND(I429*H429,2)</f>
        <v>100</v>
      </c>
      <c r="BL429" s="13" t="s">
        <v>1173</v>
      </c>
      <c r="BM429" s="129" t="s">
        <v>3797</v>
      </c>
    </row>
    <row r="430" spans="2:65" s="1" customFormat="1" ht="7.05" customHeight="1" x14ac:dyDescent="0.2">
      <c r="B430" s="33"/>
      <c r="C430" s="34"/>
      <c r="D430" s="34"/>
      <c r="E430" s="34"/>
      <c r="F430" s="34"/>
      <c r="G430" s="34"/>
      <c r="H430" s="34"/>
      <c r="I430" s="34"/>
      <c r="J430" s="34"/>
      <c r="K430" s="34"/>
      <c r="L430" s="24"/>
      <c r="W430" s="175"/>
      <c r="X430" s="176"/>
      <c r="Y430" s="176"/>
      <c r="Z430" s="176"/>
      <c r="AA430" s="176"/>
      <c r="AB430" s="176"/>
      <c r="AC430" s="176"/>
      <c r="AD430" s="176"/>
      <c r="AE430" s="177"/>
      <c r="AF430" s="227"/>
      <c r="AG430" s="130"/>
      <c r="AH430" s="130"/>
    </row>
  </sheetData>
  <autoFilter ref="C160:K429" xr:uid="{00000000-0009-0000-0000-000012000000}"/>
  <mergeCells count="86">
    <mergeCell ref="L2:V2"/>
    <mergeCell ref="C358:J358"/>
    <mergeCell ref="Z9:AC9"/>
    <mergeCell ref="Z18:AC18"/>
    <mergeCell ref="Z27:AC27"/>
    <mergeCell ref="E9:H9"/>
    <mergeCell ref="C216:J216"/>
    <mergeCell ref="C217:J217"/>
    <mergeCell ref="C220:J220"/>
    <mergeCell ref="C252:J252"/>
    <mergeCell ref="C256:J256"/>
    <mergeCell ref="C227:J227"/>
    <mergeCell ref="C229:J229"/>
    <mergeCell ref="C250:J250"/>
    <mergeCell ref="E18:H18"/>
    <mergeCell ref="C357:J357"/>
    <mergeCell ref="BB7:BD7"/>
    <mergeCell ref="C180:J180"/>
    <mergeCell ref="E87:H87"/>
    <mergeCell ref="E151:H151"/>
    <mergeCell ref="E153:H153"/>
    <mergeCell ref="Z85:AC85"/>
    <mergeCell ref="Z87:AC87"/>
    <mergeCell ref="Z151:AC151"/>
    <mergeCell ref="Z153:AC153"/>
    <mergeCell ref="AH7:AK7"/>
    <mergeCell ref="AL7:AO7"/>
    <mergeCell ref="E27:H27"/>
    <mergeCell ref="E85:H85"/>
    <mergeCell ref="C178:J178"/>
    <mergeCell ref="C179:J179"/>
    <mergeCell ref="AP7:AS7"/>
    <mergeCell ref="C189:J189"/>
    <mergeCell ref="AT7:AW7"/>
    <mergeCell ref="AX7:BA7"/>
    <mergeCell ref="C261:J261"/>
    <mergeCell ref="C181:J181"/>
    <mergeCell ref="C182:J182"/>
    <mergeCell ref="C184:J184"/>
    <mergeCell ref="C185:J185"/>
    <mergeCell ref="C186:J186"/>
    <mergeCell ref="C187:J187"/>
    <mergeCell ref="C190:J190"/>
    <mergeCell ref="C191:J191"/>
    <mergeCell ref="C207:J207"/>
    <mergeCell ref="Z84:AE84"/>
    <mergeCell ref="E84:J84"/>
    <mergeCell ref="X148:AE148"/>
    <mergeCell ref="C345:J345"/>
    <mergeCell ref="C346:J346"/>
    <mergeCell ref="C347:J347"/>
    <mergeCell ref="C354:J354"/>
    <mergeCell ref="C355:J355"/>
    <mergeCell ref="C263:J263"/>
    <mergeCell ref="C269:J269"/>
    <mergeCell ref="C286:J286"/>
    <mergeCell ref="C305:J305"/>
    <mergeCell ref="C335:J335"/>
    <mergeCell ref="C402:J402"/>
    <mergeCell ref="C359:J359"/>
    <mergeCell ref="C360:J360"/>
    <mergeCell ref="C361:J361"/>
    <mergeCell ref="C369:J369"/>
    <mergeCell ref="C370:J370"/>
    <mergeCell ref="C381:J381"/>
    <mergeCell ref="C380:J380"/>
    <mergeCell ref="C403:J403"/>
    <mergeCell ref="C404:J404"/>
    <mergeCell ref="C405:J405"/>
    <mergeCell ref="C406:J406"/>
    <mergeCell ref="C407:J407"/>
    <mergeCell ref="C413:J413"/>
    <mergeCell ref="C408:J408"/>
    <mergeCell ref="C409:J409"/>
    <mergeCell ref="C410:J410"/>
    <mergeCell ref="C411:J411"/>
    <mergeCell ref="C412:J412"/>
    <mergeCell ref="Z150:AE150"/>
    <mergeCell ref="C148:J148"/>
    <mergeCell ref="E150:J150"/>
    <mergeCell ref="C4:J4"/>
    <mergeCell ref="F6:J7"/>
    <mergeCell ref="X4:AE4"/>
    <mergeCell ref="AA6:AE7"/>
    <mergeCell ref="X82:AE82"/>
    <mergeCell ref="C82:J82"/>
  </mergeCells>
  <phoneticPr fontId="0" type="noConversion"/>
  <pageMargins left="0.39374999999999999" right="0.39374999999999999" top="0.39374999999999999" bottom="0.39374999999999999" header="0" footer="0"/>
  <pageSetup paperSize="9" scale="39" fitToHeight="100" orientation="portrait" blackAndWhite="1" r:id="rId1"/>
  <headerFooter>
    <oddFooter>&amp;CStrana &amp;P z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BM419"/>
  <sheetViews>
    <sheetView showGridLines="0" topLeftCell="A103" zoomScale="80" zoomScaleNormal="80" workbookViewId="0">
      <selection activeCell="I133" sqref="I133"/>
    </sheetView>
  </sheetViews>
  <sheetFormatPr defaultColWidth="8.7109375" defaultRowHeight="10.199999999999999" x14ac:dyDescent="0.2"/>
  <cols>
    <col min="1" max="1" width="8.28515625" customWidth="1"/>
    <col min="2" max="2" width="1.7109375" customWidth="1"/>
    <col min="3" max="4" width="4.28515625" customWidth="1"/>
    <col min="5" max="5" width="17.28515625" customWidth="1"/>
    <col min="6" max="6" width="50.7109375" customWidth="1"/>
    <col min="7" max="7" width="7" customWidth="1"/>
    <col min="8" max="8" width="11.42578125" customWidth="1"/>
    <col min="9" max="10" width="20.28515625" customWidth="1"/>
    <col min="11" max="11" width="20.28515625" hidden="1" customWidth="1"/>
    <col min="12" max="12" width="9.28515625" customWidth="1"/>
    <col min="13" max="13" width="10.7109375" hidden="1" customWidth="1"/>
    <col min="14" max="14" width="9.28515625" hidden="1"/>
    <col min="15" max="20" width="14.28515625" hidden="1" customWidth="1"/>
    <col min="21" max="21" width="16.28515625" hidden="1" customWidth="1"/>
    <col min="22" max="22" width="12.28515625" customWidth="1"/>
    <col min="23" max="23" width="1.7109375" style="361" customWidth="1"/>
    <col min="24" max="24" width="5.7109375" style="361" customWidth="1"/>
    <col min="25" max="25" width="4.28515625" style="361" customWidth="1"/>
    <col min="26" max="26" width="17.28515625" style="361" customWidth="1"/>
    <col min="27" max="27" width="50.7109375" style="361" customWidth="1"/>
    <col min="28" max="28" width="7" style="361" customWidth="1"/>
    <col min="29" max="29" width="11.42578125" style="361" customWidth="1"/>
    <col min="30" max="31" width="20.28515625" style="361" customWidth="1"/>
    <col min="32" max="32" width="15.5703125" customWidth="1"/>
    <col min="35" max="35" width="16.28515625" customWidth="1"/>
    <col min="41" max="41" width="16" customWidth="1"/>
    <col min="44" max="65" width="9.28515625" hidden="1"/>
  </cols>
  <sheetData>
    <row r="1" spans="1:46" x14ac:dyDescent="0.2">
      <c r="A1" s="73"/>
    </row>
    <row r="2" spans="1:46" ht="37.049999999999997" customHeight="1" x14ac:dyDescent="0.2">
      <c r="L2" s="1227" t="s">
        <v>5</v>
      </c>
      <c r="M2" s="1225"/>
      <c r="N2" s="1225"/>
      <c r="O2" s="1225"/>
      <c r="P2" s="1225"/>
      <c r="Q2" s="1225"/>
      <c r="R2" s="1225"/>
      <c r="S2" s="1225"/>
      <c r="T2" s="1225"/>
      <c r="U2" s="1225"/>
      <c r="V2" s="1225"/>
      <c r="AT2" s="13" t="s">
        <v>64</v>
      </c>
    </row>
    <row r="3" spans="1:46" ht="7.05" customHeight="1" x14ac:dyDescent="0.2">
      <c r="B3" s="14"/>
      <c r="C3" s="15"/>
      <c r="D3" s="15"/>
      <c r="E3" s="15"/>
      <c r="F3" s="15"/>
      <c r="G3" s="15"/>
      <c r="H3" s="15"/>
      <c r="I3" s="15"/>
      <c r="J3" s="15"/>
      <c r="K3" s="15"/>
      <c r="L3" s="16"/>
      <c r="W3" s="152"/>
      <c r="X3" s="153"/>
      <c r="Y3" s="153"/>
      <c r="Z3" s="153"/>
      <c r="AA3" s="153"/>
      <c r="AB3" s="153"/>
      <c r="AC3" s="153"/>
      <c r="AD3" s="153"/>
      <c r="AE3" s="154"/>
      <c r="AT3" s="13" t="s">
        <v>58</v>
      </c>
    </row>
    <row r="4" spans="1:46" ht="25.05" customHeight="1" x14ac:dyDescent="0.2">
      <c r="B4" s="16"/>
      <c r="C4" s="1165" t="s">
        <v>185</v>
      </c>
      <c r="D4" s="1165"/>
      <c r="E4" s="1165"/>
      <c r="F4" s="1165"/>
      <c r="G4" s="1165"/>
      <c r="H4" s="1165"/>
      <c r="I4" s="1165"/>
      <c r="J4" s="1165"/>
      <c r="L4" s="16"/>
      <c r="M4" s="74" t="s">
        <v>9</v>
      </c>
      <c r="W4" s="155"/>
      <c r="X4" s="1237" t="s">
        <v>185</v>
      </c>
      <c r="Y4" s="1237"/>
      <c r="Z4" s="1237"/>
      <c r="AA4" s="1237"/>
      <c r="AB4" s="1237"/>
      <c r="AC4" s="1237"/>
      <c r="AD4" s="1237"/>
      <c r="AE4" s="1238"/>
      <c r="AT4" s="13" t="s">
        <v>3</v>
      </c>
    </row>
    <row r="5" spans="1:46" ht="7.05" customHeight="1" x14ac:dyDescent="0.2">
      <c r="B5" s="16"/>
      <c r="L5" s="16"/>
      <c r="W5" s="155"/>
      <c r="X5" s="156"/>
      <c r="Y5" s="156"/>
      <c r="Z5" s="156"/>
      <c r="AA5" s="156"/>
      <c r="AB5" s="156"/>
      <c r="AC5" s="156"/>
      <c r="AD5" s="156"/>
      <c r="AE5" s="157"/>
    </row>
    <row r="6" spans="1:46" ht="12" customHeight="1" x14ac:dyDescent="0.2">
      <c r="B6" s="16"/>
      <c r="D6" s="1253" t="s">
        <v>12</v>
      </c>
      <c r="E6" s="1253"/>
      <c r="F6" s="1254" t="s">
        <v>6176</v>
      </c>
      <c r="G6" s="1254"/>
      <c r="H6" s="1254"/>
      <c r="I6" s="1254"/>
      <c r="J6" s="1254"/>
      <c r="L6" s="16"/>
      <c r="W6" s="155"/>
      <c r="X6" s="156"/>
      <c r="Y6" s="541" t="s">
        <v>12</v>
      </c>
      <c r="Z6" s="156"/>
      <c r="AA6" s="1239" t="s">
        <v>6176</v>
      </c>
      <c r="AB6" s="1239"/>
      <c r="AC6" s="1239"/>
      <c r="AD6" s="1239"/>
      <c r="AE6" s="1240"/>
    </row>
    <row r="7" spans="1:46" ht="25.95" customHeight="1" x14ac:dyDescent="0.2">
      <c r="B7" s="16"/>
      <c r="D7" s="527"/>
      <c r="E7" s="531"/>
      <c r="F7" s="1254"/>
      <c r="G7" s="1254"/>
      <c r="H7" s="1254"/>
      <c r="I7" s="1254"/>
      <c r="J7" s="1254"/>
      <c r="L7" s="16"/>
      <c r="W7" s="155"/>
      <c r="X7" s="156"/>
      <c r="Y7" s="539"/>
      <c r="Z7" s="245"/>
      <c r="AA7" s="1239"/>
      <c r="AB7" s="1239"/>
      <c r="AC7" s="1239"/>
      <c r="AD7" s="1239"/>
      <c r="AE7" s="1240"/>
    </row>
    <row r="8" spans="1:46" s="1" customFormat="1" ht="12" customHeight="1" x14ac:dyDescent="0.2">
      <c r="B8" s="24"/>
      <c r="D8" s="549" t="s">
        <v>186</v>
      </c>
      <c r="F8" s="533" t="s">
        <v>187</v>
      </c>
      <c r="L8" s="24"/>
      <c r="W8" s="158"/>
      <c r="X8" s="557"/>
      <c r="Y8" s="550" t="s">
        <v>186</v>
      </c>
      <c r="Z8" s="557"/>
      <c r="AA8" s="540" t="s">
        <v>187</v>
      </c>
      <c r="AB8" s="557"/>
      <c r="AC8" s="557"/>
      <c r="AD8" s="557"/>
      <c r="AE8" s="159"/>
    </row>
    <row r="9" spans="1:46" s="1" customFormat="1" ht="37.049999999999997" customHeight="1" x14ac:dyDescent="0.2">
      <c r="B9" s="24"/>
      <c r="E9" s="1251"/>
      <c r="F9" s="1252"/>
      <c r="G9" s="1252"/>
      <c r="H9" s="1252"/>
      <c r="L9" s="24"/>
      <c r="W9" s="158"/>
      <c r="X9" s="557"/>
      <c r="Y9" s="557"/>
      <c r="Z9" s="1245"/>
      <c r="AA9" s="1246"/>
      <c r="AB9" s="1246"/>
      <c r="AC9" s="1246"/>
      <c r="AD9" s="557"/>
      <c r="AE9" s="159"/>
    </row>
    <row r="10" spans="1:46" s="1" customFormat="1" x14ac:dyDescent="0.2">
      <c r="B10" s="24"/>
      <c r="L10" s="24"/>
      <c r="W10" s="158"/>
      <c r="X10" s="557"/>
      <c r="Y10" s="557"/>
      <c r="Z10" s="557"/>
      <c r="AA10" s="557"/>
      <c r="AB10" s="557"/>
      <c r="AC10" s="557"/>
      <c r="AD10" s="557"/>
      <c r="AE10" s="159"/>
    </row>
    <row r="11" spans="1:46" s="1" customFormat="1" ht="12" customHeight="1" x14ac:dyDescent="0.2">
      <c r="B11" s="24"/>
      <c r="D11" s="528" t="s">
        <v>13</v>
      </c>
      <c r="F11" s="19" t="s">
        <v>1</v>
      </c>
      <c r="I11" s="528" t="s">
        <v>14</v>
      </c>
      <c r="J11" s="19" t="s">
        <v>1</v>
      </c>
      <c r="L11" s="24"/>
      <c r="W11" s="158"/>
      <c r="X11" s="557"/>
      <c r="Y11" s="538" t="s">
        <v>13</v>
      </c>
      <c r="Z11" s="557"/>
      <c r="AA11" s="558" t="s">
        <v>1</v>
      </c>
      <c r="AB11" s="557"/>
      <c r="AC11" s="557"/>
      <c r="AD11" s="538" t="s">
        <v>14</v>
      </c>
      <c r="AE11" s="161" t="s">
        <v>1</v>
      </c>
    </row>
    <row r="12" spans="1:46" s="1" customFormat="1" ht="12" customHeight="1" x14ac:dyDescent="0.2">
      <c r="B12" s="24"/>
      <c r="D12" s="528" t="s">
        <v>15</v>
      </c>
      <c r="F12" s="19" t="s">
        <v>6173</v>
      </c>
      <c r="I12" s="528" t="s">
        <v>17</v>
      </c>
      <c r="J12" s="39"/>
      <c r="L12" s="24"/>
      <c r="W12" s="158"/>
      <c r="X12" s="557"/>
      <c r="Y12" s="538" t="s">
        <v>15</v>
      </c>
      <c r="Z12" s="557"/>
      <c r="AA12" s="558" t="s">
        <v>6173</v>
      </c>
      <c r="AB12" s="557"/>
      <c r="AC12" s="557"/>
      <c r="AD12" s="538" t="s">
        <v>17</v>
      </c>
      <c r="AE12" s="162"/>
    </row>
    <row r="13" spans="1:46" s="1" customFormat="1" ht="10.95" customHeight="1" x14ac:dyDescent="0.2">
      <c r="B13" s="24"/>
      <c r="D13" s="521"/>
      <c r="E13" s="19" t="str">
        <f>IF('Rekapitulácia stavby'!E9="","",'Rekapitulácia stavby'!E9)</f>
        <v/>
      </c>
      <c r="I13" s="521"/>
      <c r="L13" s="24"/>
      <c r="W13" s="158"/>
      <c r="X13" s="557"/>
      <c r="Y13" s="557"/>
      <c r="Z13" s="558" t="str">
        <f>IF('Rekapitulácia stavby'!Z9="","",'Rekapitulácia stavby'!Z9)</f>
        <v/>
      </c>
      <c r="AA13" s="557"/>
      <c r="AB13" s="557"/>
      <c r="AC13" s="557"/>
      <c r="AD13" s="557"/>
      <c r="AE13" s="159"/>
    </row>
    <row r="14" spans="1:46" s="1" customFormat="1" ht="12" customHeight="1" x14ac:dyDescent="0.2">
      <c r="B14" s="24"/>
      <c r="D14" s="528" t="s">
        <v>18</v>
      </c>
      <c r="F14" s="529" t="s">
        <v>6175</v>
      </c>
      <c r="I14" s="528" t="s">
        <v>19</v>
      </c>
      <c r="J14" s="19" t="str">
        <f>IF('Rekapitulácia stavby'!AN10="","",'Rekapitulácia stavby'!AN10)</f>
        <v/>
      </c>
      <c r="L14" s="24"/>
      <c r="W14" s="158"/>
      <c r="X14" s="557"/>
      <c r="Y14" s="538" t="s">
        <v>18</v>
      </c>
      <c r="Z14" s="557"/>
      <c r="AA14" s="576" t="s">
        <v>6175</v>
      </c>
      <c r="AB14" s="557"/>
      <c r="AC14" s="557"/>
      <c r="AD14" s="538" t="s">
        <v>19</v>
      </c>
      <c r="AE14" s="161" t="str">
        <f>IF('Rekapitulácia stavby'!BI10="","",'Rekapitulácia stavby'!BI10)</f>
        <v/>
      </c>
    </row>
    <row r="15" spans="1:46" s="1" customFormat="1" ht="18" customHeight="1" x14ac:dyDescent="0.2">
      <c r="B15" s="24"/>
      <c r="D15" s="521"/>
      <c r="E15" s="19" t="str">
        <f>IF('Rekapitulácia stavby'!E11="","",'Rekapitulácia stavby'!E11)</f>
        <v/>
      </c>
      <c r="I15" s="528" t="s">
        <v>20</v>
      </c>
      <c r="J15" s="19" t="str">
        <f>IF('Rekapitulácia stavby'!AN11="","",'Rekapitulácia stavby'!AN11)</f>
        <v/>
      </c>
      <c r="L15" s="24"/>
      <c r="W15" s="158"/>
      <c r="X15" s="557"/>
      <c r="Y15" s="557"/>
      <c r="Z15" s="558" t="str">
        <f>IF('Rekapitulácia stavby'!Z11="","",'Rekapitulácia stavby'!Z11)</f>
        <v/>
      </c>
      <c r="AA15" s="557"/>
      <c r="AB15" s="557"/>
      <c r="AC15" s="557"/>
      <c r="AD15" s="538" t="s">
        <v>20</v>
      </c>
      <c r="AE15" s="161" t="str">
        <f>IF('Rekapitulácia stavby'!BI11="","",'Rekapitulácia stavby'!BI11)</f>
        <v/>
      </c>
    </row>
    <row r="16" spans="1:46" s="1" customFormat="1" ht="7.05" customHeight="1" x14ac:dyDescent="0.2">
      <c r="B16" s="24"/>
      <c r="D16" s="521"/>
      <c r="I16" s="521"/>
      <c r="L16" s="24"/>
      <c r="W16" s="158"/>
      <c r="X16" s="557"/>
      <c r="Y16" s="557"/>
      <c r="Z16" s="557"/>
      <c r="AA16" s="557"/>
      <c r="AB16" s="557"/>
      <c r="AC16" s="557"/>
      <c r="AD16" s="557"/>
      <c r="AE16" s="159"/>
    </row>
    <row r="17" spans="2:31" s="1" customFormat="1" ht="12" customHeight="1" x14ac:dyDescent="0.2">
      <c r="B17" s="24"/>
      <c r="D17" s="528" t="s">
        <v>21</v>
      </c>
      <c r="F17" s="529" t="s">
        <v>5202</v>
      </c>
      <c r="I17" s="528" t="s">
        <v>19</v>
      </c>
      <c r="J17" s="19"/>
      <c r="L17" s="24"/>
      <c r="W17" s="158"/>
      <c r="X17" s="557"/>
      <c r="Y17" s="538" t="s">
        <v>21</v>
      </c>
      <c r="Z17" s="557"/>
      <c r="AA17" s="576" t="s">
        <v>5202</v>
      </c>
      <c r="AB17" s="557"/>
      <c r="AC17" s="557"/>
      <c r="AD17" s="538" t="s">
        <v>19</v>
      </c>
      <c r="AE17" s="161"/>
    </row>
    <row r="18" spans="2:31" s="1" customFormat="1" ht="18" customHeight="1" x14ac:dyDescent="0.2">
      <c r="B18" s="24"/>
      <c r="D18" s="521"/>
      <c r="E18" s="1161"/>
      <c r="F18" s="1161"/>
      <c r="G18" s="1161"/>
      <c r="H18" s="1161"/>
      <c r="I18" s="528" t="s">
        <v>20</v>
      </c>
      <c r="J18" s="19" t="str">
        <f>'Rekapitulácia stavby'!AN14</f>
        <v/>
      </c>
      <c r="L18" s="24"/>
      <c r="W18" s="158"/>
      <c r="X18" s="557"/>
      <c r="Y18" s="557"/>
      <c r="Z18" s="1247"/>
      <c r="AA18" s="1247"/>
      <c r="AB18" s="1247"/>
      <c r="AC18" s="1247"/>
      <c r="AD18" s="538" t="s">
        <v>20</v>
      </c>
      <c r="AE18" s="161"/>
    </row>
    <row r="19" spans="2:31" s="1" customFormat="1" ht="7.05" customHeight="1" x14ac:dyDescent="0.2">
      <c r="B19" s="24"/>
      <c r="D19" s="521"/>
      <c r="I19" s="521"/>
      <c r="L19" s="24"/>
      <c r="W19" s="158"/>
      <c r="X19" s="557"/>
      <c r="Y19" s="557"/>
      <c r="Z19" s="557"/>
      <c r="AA19" s="557"/>
      <c r="AB19" s="557"/>
      <c r="AC19" s="557"/>
      <c r="AD19" s="557"/>
      <c r="AE19" s="159"/>
    </row>
    <row r="20" spans="2:31" s="1" customFormat="1" ht="12" customHeight="1" x14ac:dyDescent="0.2">
      <c r="B20" s="24"/>
      <c r="D20" s="528" t="s">
        <v>22</v>
      </c>
      <c r="I20" s="528" t="s">
        <v>19</v>
      </c>
      <c r="J20" s="19" t="str">
        <f>IF('Rekapitulácia stavby'!AN16="","",'Rekapitulácia stavby'!AN16)</f>
        <v/>
      </c>
      <c r="L20" s="24"/>
      <c r="W20" s="158"/>
      <c r="X20" s="557"/>
      <c r="Y20" s="538" t="s">
        <v>22</v>
      </c>
      <c r="Z20" s="557"/>
      <c r="AA20" s="557"/>
      <c r="AB20" s="557"/>
      <c r="AC20" s="557"/>
      <c r="AD20" s="538" t="s">
        <v>19</v>
      </c>
      <c r="AE20" s="161" t="str">
        <f>IF('Rekapitulácia stavby'!BI16="","",'Rekapitulácia stavby'!BI16)</f>
        <v/>
      </c>
    </row>
    <row r="21" spans="2:31" s="1" customFormat="1" ht="18" customHeight="1" x14ac:dyDescent="0.2">
      <c r="B21" s="24"/>
      <c r="D21" s="521"/>
      <c r="E21" s="19" t="str">
        <f>IF('Rekapitulácia stavby'!E17="","",'Rekapitulácia stavby'!E17)</f>
        <v xml:space="preserve"> </v>
      </c>
      <c r="I21" s="528" t="s">
        <v>20</v>
      </c>
      <c r="J21" s="19" t="str">
        <f>IF('Rekapitulácia stavby'!AN17="","",'Rekapitulácia stavby'!AN17)</f>
        <v/>
      </c>
      <c r="L21" s="24"/>
      <c r="W21" s="158"/>
      <c r="X21" s="557"/>
      <c r="Y21" s="557"/>
      <c r="Z21" s="558" t="str">
        <f>IF('Rekapitulácia stavby'!Z17="","",'Rekapitulácia stavby'!Z17)</f>
        <v/>
      </c>
      <c r="AA21" s="557"/>
      <c r="AB21" s="557"/>
      <c r="AC21" s="557"/>
      <c r="AD21" s="538" t="s">
        <v>20</v>
      </c>
      <c r="AE21" s="161" t="str">
        <f>IF('Rekapitulácia stavby'!BI17="","",'Rekapitulácia stavby'!BI17)</f>
        <v/>
      </c>
    </row>
    <row r="22" spans="2:31" s="1" customFormat="1" ht="7.05" customHeight="1" x14ac:dyDescent="0.2">
      <c r="B22" s="24"/>
      <c r="D22" s="521"/>
      <c r="I22" s="521"/>
      <c r="L22" s="24"/>
      <c r="W22" s="158"/>
      <c r="X22" s="557"/>
      <c r="Y22" s="557"/>
      <c r="Z22" s="557"/>
      <c r="AA22" s="557"/>
      <c r="AB22" s="557"/>
      <c r="AC22" s="557"/>
      <c r="AD22" s="557"/>
      <c r="AE22" s="159"/>
    </row>
    <row r="23" spans="2:31" s="1" customFormat="1" ht="12" customHeight="1" x14ac:dyDescent="0.2">
      <c r="B23" s="24"/>
      <c r="D23" s="528" t="s">
        <v>24</v>
      </c>
      <c r="I23" s="528" t="s">
        <v>19</v>
      </c>
      <c r="J23" s="19" t="str">
        <f>IF('Rekapitulácia stavby'!AN19="","",'Rekapitulácia stavby'!AN19)</f>
        <v/>
      </c>
      <c r="L23" s="24"/>
      <c r="W23" s="158"/>
      <c r="X23" s="557"/>
      <c r="Y23" s="538" t="s">
        <v>24</v>
      </c>
      <c r="Z23" s="557"/>
      <c r="AA23" s="557"/>
      <c r="AB23" s="557"/>
      <c r="AC23" s="557"/>
      <c r="AD23" s="538" t="s">
        <v>19</v>
      </c>
      <c r="AE23" s="161" t="str">
        <f>IF('Rekapitulácia stavby'!BI19="","",'Rekapitulácia stavby'!BI19)</f>
        <v/>
      </c>
    </row>
    <row r="24" spans="2:31" s="1" customFormat="1" ht="18" customHeight="1" x14ac:dyDescent="0.2">
      <c r="B24" s="24"/>
      <c r="D24" s="521"/>
      <c r="E24" s="19" t="str">
        <f>IF('Rekapitulácia stavby'!E20="","",'Rekapitulácia stavby'!E20)</f>
        <v xml:space="preserve"> </v>
      </c>
      <c r="I24" s="528" t="s">
        <v>20</v>
      </c>
      <c r="J24" s="19" t="str">
        <f>IF('Rekapitulácia stavby'!AN20="","",'Rekapitulácia stavby'!AN20)</f>
        <v/>
      </c>
      <c r="L24" s="24"/>
      <c r="W24" s="158"/>
      <c r="X24" s="557"/>
      <c r="Y24" s="557"/>
      <c r="Z24" s="558" t="str">
        <f>IF('Rekapitulácia stavby'!Z20="","",'Rekapitulácia stavby'!Z20)</f>
        <v/>
      </c>
      <c r="AA24" s="557"/>
      <c r="AB24" s="557"/>
      <c r="AC24" s="557"/>
      <c r="AD24" s="538" t="s">
        <v>20</v>
      </c>
      <c r="AE24" s="161" t="str">
        <f>IF('Rekapitulácia stavby'!BI20="","",'Rekapitulácia stavby'!BI20)</f>
        <v/>
      </c>
    </row>
    <row r="25" spans="2:31" s="1" customFormat="1" ht="7.05" customHeight="1" x14ac:dyDescent="0.2">
      <c r="B25" s="24"/>
      <c r="D25" s="521"/>
      <c r="L25" s="24"/>
      <c r="W25" s="158"/>
      <c r="X25" s="557"/>
      <c r="Y25" s="557"/>
      <c r="Z25" s="557"/>
      <c r="AA25" s="557"/>
      <c r="AB25" s="557"/>
      <c r="AC25" s="557"/>
      <c r="AD25" s="557"/>
      <c r="AE25" s="159"/>
    </row>
    <row r="26" spans="2:31" s="1" customFormat="1" ht="12" customHeight="1" x14ac:dyDescent="0.2">
      <c r="B26" s="24"/>
      <c r="D26" s="528" t="s">
        <v>25</v>
      </c>
      <c r="L26" s="24"/>
      <c r="W26" s="158"/>
      <c r="X26" s="557"/>
      <c r="Y26" s="538" t="s">
        <v>25</v>
      </c>
      <c r="Z26" s="557"/>
      <c r="AA26" s="557"/>
      <c r="AB26" s="557"/>
      <c r="AC26" s="557"/>
      <c r="AD26" s="557"/>
      <c r="AE26" s="159"/>
    </row>
    <row r="27" spans="2:31" s="7" customFormat="1" ht="16.5" customHeight="1" x14ac:dyDescent="0.2">
      <c r="B27" s="75"/>
      <c r="E27" s="1228" t="s">
        <v>1</v>
      </c>
      <c r="F27" s="1228"/>
      <c r="G27" s="1228"/>
      <c r="H27" s="1228"/>
      <c r="L27" s="75"/>
      <c r="W27" s="163"/>
      <c r="X27" s="164"/>
      <c r="Y27" s="164"/>
      <c r="Z27" s="1248" t="s">
        <v>1</v>
      </c>
      <c r="AA27" s="1248"/>
      <c r="AB27" s="1248"/>
      <c r="AC27" s="1248"/>
      <c r="AD27" s="164"/>
      <c r="AE27" s="165"/>
    </row>
    <row r="28" spans="2:31" s="1" customFormat="1" ht="7.05" customHeight="1" x14ac:dyDescent="0.2">
      <c r="B28" s="24"/>
      <c r="L28" s="24"/>
      <c r="W28" s="158"/>
      <c r="X28" s="557"/>
      <c r="Y28" s="557"/>
      <c r="Z28" s="557"/>
      <c r="AA28" s="557"/>
      <c r="AB28" s="557"/>
      <c r="AC28" s="557"/>
      <c r="AD28" s="557"/>
      <c r="AE28" s="159"/>
    </row>
    <row r="29" spans="2:31" s="1" customFormat="1" ht="7.05" customHeight="1" x14ac:dyDescent="0.2">
      <c r="B29" s="24"/>
      <c r="D29" s="40"/>
      <c r="E29" s="40"/>
      <c r="F29" s="40"/>
      <c r="G29" s="40"/>
      <c r="H29" s="40"/>
      <c r="I29" s="40"/>
      <c r="J29" s="40"/>
      <c r="K29" s="40"/>
      <c r="L29" s="24"/>
      <c r="W29" s="158"/>
      <c r="X29" s="557"/>
      <c r="Y29" s="40"/>
      <c r="Z29" s="40"/>
      <c r="AA29" s="40"/>
      <c r="AB29" s="40"/>
      <c r="AC29" s="40"/>
      <c r="AD29" s="40"/>
      <c r="AE29" s="166"/>
    </row>
    <row r="30" spans="2:31" s="1" customFormat="1" ht="25.2" customHeight="1" x14ac:dyDescent="0.2">
      <c r="B30" s="24"/>
      <c r="D30" s="76" t="s">
        <v>26</v>
      </c>
      <c r="J30" s="53">
        <f>ROUND(J141, 2)</f>
        <v>219243.92</v>
      </c>
      <c r="L30" s="24"/>
      <c r="W30" s="158"/>
      <c r="X30" s="557"/>
      <c r="Y30" s="167" t="s">
        <v>26</v>
      </c>
      <c r="Z30" s="557"/>
      <c r="AA30" s="557"/>
      <c r="AB30" s="557"/>
      <c r="AC30" s="557"/>
      <c r="AD30" s="557"/>
      <c r="AE30" s="168">
        <f>ROUND(AE141, 2)</f>
        <v>359047.83</v>
      </c>
    </row>
    <row r="31" spans="2:31" s="1" customFormat="1" ht="7.05" customHeight="1" x14ac:dyDescent="0.2">
      <c r="B31" s="24"/>
      <c r="D31" s="40"/>
      <c r="E31" s="40"/>
      <c r="F31" s="40"/>
      <c r="G31" s="40"/>
      <c r="H31" s="40"/>
      <c r="I31" s="40"/>
      <c r="J31" s="40"/>
      <c r="K31" s="40"/>
      <c r="L31" s="24"/>
      <c r="W31" s="158"/>
      <c r="X31" s="557"/>
      <c r="Y31" s="40"/>
      <c r="Z31" s="40"/>
      <c r="AA31" s="40"/>
      <c r="AB31" s="40"/>
      <c r="AC31" s="40"/>
      <c r="AD31" s="40"/>
      <c r="AE31" s="166"/>
    </row>
    <row r="32" spans="2:31" s="1" customFormat="1" ht="14.55" customHeight="1" x14ac:dyDescent="0.2">
      <c r="B32" s="24"/>
      <c r="D32" s="521"/>
      <c r="E32" s="521"/>
      <c r="F32" s="534" t="s">
        <v>28</v>
      </c>
      <c r="G32" s="521"/>
      <c r="H32" s="521"/>
      <c r="I32" s="534" t="s">
        <v>27</v>
      </c>
      <c r="J32" s="534" t="s">
        <v>29</v>
      </c>
      <c r="L32" s="24"/>
      <c r="W32" s="158"/>
      <c r="X32" s="557"/>
      <c r="Y32" s="557"/>
      <c r="Z32" s="557"/>
      <c r="AA32" s="542" t="s">
        <v>28</v>
      </c>
      <c r="AB32" s="557"/>
      <c r="AC32" s="557"/>
      <c r="AD32" s="542" t="s">
        <v>27</v>
      </c>
      <c r="AE32" s="543" t="s">
        <v>29</v>
      </c>
    </row>
    <row r="33" spans="2:31" s="1" customFormat="1" ht="14.55" customHeight="1" x14ac:dyDescent="0.2">
      <c r="B33" s="24"/>
      <c r="D33" s="13" t="s">
        <v>30</v>
      </c>
      <c r="E33" s="528" t="s">
        <v>31</v>
      </c>
      <c r="F33" s="398">
        <f>ROUND((SUM(BE141:BE413)),  2)</f>
        <v>0</v>
      </c>
      <c r="G33" s="521"/>
      <c r="H33" s="521"/>
      <c r="I33" s="535">
        <v>0.2</v>
      </c>
      <c r="J33" s="398">
        <f>ROUND(((SUM(BE141:BE413))*I33),  2)</f>
        <v>0</v>
      </c>
      <c r="L33" s="24"/>
      <c r="W33" s="158"/>
      <c r="X33" s="557"/>
      <c r="Y33" s="544" t="s">
        <v>30</v>
      </c>
      <c r="Z33" s="538" t="s">
        <v>31</v>
      </c>
      <c r="AA33" s="545">
        <f>ROUND((SUM(BZ141:BZ413)),  2)</f>
        <v>0</v>
      </c>
      <c r="AB33" s="557"/>
      <c r="AC33" s="557"/>
      <c r="AD33" s="546">
        <v>0.2</v>
      </c>
      <c r="AE33" s="547">
        <f>ROUND(((SUM(BZ141:BZ413))*AD33),  2)</f>
        <v>0</v>
      </c>
    </row>
    <row r="34" spans="2:31" s="1" customFormat="1" ht="14.55" customHeight="1" x14ac:dyDescent="0.2">
      <c r="B34" s="24"/>
      <c r="D34" s="521"/>
      <c r="E34" s="528" t="s">
        <v>32</v>
      </c>
      <c r="F34" s="398">
        <f>ROUND((SUM(BF141:BF413)),  2)</f>
        <v>219243.92</v>
      </c>
      <c r="G34" s="521"/>
      <c r="H34" s="521"/>
      <c r="I34" s="535">
        <v>0.2</v>
      </c>
      <c r="J34" s="398">
        <f>ROUND(((SUM(BF141:BF413))*I34),  2)</f>
        <v>43848.78</v>
      </c>
      <c r="L34" s="24"/>
      <c r="W34" s="158"/>
      <c r="X34" s="557"/>
      <c r="Y34" s="557"/>
      <c r="Z34" s="538" t="s">
        <v>32</v>
      </c>
      <c r="AA34" s="545">
        <f>AE96</f>
        <v>359047.83441125002</v>
      </c>
      <c r="AB34" s="557"/>
      <c r="AC34" s="557"/>
      <c r="AD34" s="546">
        <v>0.2</v>
      </c>
      <c r="AE34" s="547">
        <f>AE30*0.2</f>
        <v>71809.566000000006</v>
      </c>
    </row>
    <row r="35" spans="2:31" s="1" customFormat="1" ht="14.55" hidden="1" customHeight="1" x14ac:dyDescent="0.2">
      <c r="B35" s="24"/>
      <c r="E35" s="21" t="s">
        <v>33</v>
      </c>
      <c r="F35" s="78">
        <f>ROUND((SUM(BG141:BG413)),  2)</f>
        <v>0</v>
      </c>
      <c r="I35" s="79">
        <v>0.2</v>
      </c>
      <c r="J35" s="78">
        <f>0</f>
        <v>0</v>
      </c>
      <c r="L35" s="24"/>
      <c r="W35" s="158"/>
      <c r="X35" s="557"/>
      <c r="Y35" s="557"/>
      <c r="Z35" s="559" t="s">
        <v>33</v>
      </c>
      <c r="AA35" s="170">
        <f>ROUND((SUM(CB141:CB413)),  2)</f>
        <v>0</v>
      </c>
      <c r="AB35" s="557"/>
      <c r="AC35" s="557"/>
      <c r="AD35" s="171">
        <v>0.2</v>
      </c>
      <c r="AE35" s="172">
        <f>0</f>
        <v>0</v>
      </c>
    </row>
    <row r="36" spans="2:31" s="1" customFormat="1" ht="14.55" hidden="1" customHeight="1" x14ac:dyDescent="0.2">
      <c r="B36" s="24"/>
      <c r="E36" s="21" t="s">
        <v>34</v>
      </c>
      <c r="F36" s="78">
        <f>ROUND((SUM(BH141:BH413)),  2)</f>
        <v>0</v>
      </c>
      <c r="I36" s="79">
        <v>0.2</v>
      </c>
      <c r="J36" s="78">
        <f>0</f>
        <v>0</v>
      </c>
      <c r="L36" s="24"/>
      <c r="W36" s="158"/>
      <c r="X36" s="557"/>
      <c r="Y36" s="557"/>
      <c r="Z36" s="559" t="s">
        <v>34</v>
      </c>
      <c r="AA36" s="170">
        <f>ROUND((SUM(CC141:CC413)),  2)</f>
        <v>0</v>
      </c>
      <c r="AB36" s="557"/>
      <c r="AC36" s="557"/>
      <c r="AD36" s="171">
        <v>0.2</v>
      </c>
      <c r="AE36" s="172">
        <f>0</f>
        <v>0</v>
      </c>
    </row>
    <row r="37" spans="2:31" s="1" customFormat="1" ht="14.55" hidden="1" customHeight="1" x14ac:dyDescent="0.2">
      <c r="B37" s="24"/>
      <c r="E37" s="21" t="s">
        <v>35</v>
      </c>
      <c r="F37" s="78">
        <f>ROUND((SUM(BI141:BI413)),  2)</f>
        <v>0</v>
      </c>
      <c r="I37" s="79">
        <v>0</v>
      </c>
      <c r="J37" s="78">
        <f>0</f>
        <v>0</v>
      </c>
      <c r="L37" s="24"/>
      <c r="W37" s="158"/>
      <c r="X37" s="557"/>
      <c r="Y37" s="557"/>
      <c r="Z37" s="559" t="s">
        <v>35</v>
      </c>
      <c r="AA37" s="170">
        <f>ROUND((SUM(CD141:CD413)),  2)</f>
        <v>0</v>
      </c>
      <c r="AB37" s="557"/>
      <c r="AC37" s="557"/>
      <c r="AD37" s="171">
        <v>0</v>
      </c>
      <c r="AE37" s="172">
        <f>0</f>
        <v>0</v>
      </c>
    </row>
    <row r="38" spans="2:31" s="1" customFormat="1" ht="7.05" customHeight="1" x14ac:dyDescent="0.2">
      <c r="B38" s="24"/>
      <c r="L38" s="24"/>
      <c r="W38" s="158"/>
      <c r="X38" s="557"/>
      <c r="Y38" s="557"/>
      <c r="Z38" s="557"/>
      <c r="AA38" s="557"/>
      <c r="AB38" s="557"/>
      <c r="AC38" s="557"/>
      <c r="AD38" s="557"/>
      <c r="AE38" s="159"/>
    </row>
    <row r="39" spans="2:31" s="1" customFormat="1" ht="25.2" customHeight="1" x14ac:dyDescent="0.2">
      <c r="B39" s="24"/>
      <c r="C39" s="80"/>
      <c r="D39" s="81" t="s">
        <v>36</v>
      </c>
      <c r="E39" s="44"/>
      <c r="F39" s="44"/>
      <c r="G39" s="82" t="s">
        <v>37</v>
      </c>
      <c r="H39" s="83" t="s">
        <v>38</v>
      </c>
      <c r="I39" s="44"/>
      <c r="J39" s="84">
        <f>SUM(J30:J37)</f>
        <v>263092.7</v>
      </c>
      <c r="K39" s="85"/>
      <c r="L39" s="24"/>
      <c r="W39" s="158"/>
      <c r="X39" s="173"/>
      <c r="Y39" s="81" t="s">
        <v>36</v>
      </c>
      <c r="Z39" s="44"/>
      <c r="AA39" s="44"/>
      <c r="AB39" s="82" t="s">
        <v>37</v>
      </c>
      <c r="AC39" s="83" t="s">
        <v>38</v>
      </c>
      <c r="AD39" s="44"/>
      <c r="AE39" s="174">
        <f>SUM(AE30:AE37)</f>
        <v>430857.39600000001</v>
      </c>
    </row>
    <row r="40" spans="2:31" s="1" customFormat="1" ht="14.55" customHeight="1" x14ac:dyDescent="0.2">
      <c r="B40" s="24"/>
      <c r="L40" s="24"/>
      <c r="W40" s="158"/>
      <c r="X40" s="557"/>
      <c r="Y40" s="557"/>
      <c r="Z40" s="557"/>
      <c r="AA40" s="557"/>
      <c r="AB40" s="557"/>
      <c r="AC40" s="557"/>
      <c r="AD40" s="557"/>
      <c r="AE40" s="159"/>
    </row>
    <row r="41" spans="2:31" ht="14.55" customHeight="1" x14ac:dyDescent="0.2">
      <c r="B41" s="16"/>
      <c r="L41" s="16"/>
      <c r="W41" s="155"/>
      <c r="X41" s="156"/>
      <c r="Y41" s="156"/>
      <c r="Z41" s="156"/>
      <c r="AA41" s="156"/>
      <c r="AB41" s="156"/>
      <c r="AC41" s="156"/>
      <c r="AD41" s="156"/>
      <c r="AE41" s="157"/>
    </row>
    <row r="42" spans="2:31" ht="14.55" customHeight="1" x14ac:dyDescent="0.2">
      <c r="B42" s="16"/>
      <c r="L42" s="16"/>
      <c r="W42" s="155"/>
      <c r="X42" s="156"/>
      <c r="Y42" s="156"/>
      <c r="Z42" s="156"/>
      <c r="AA42" s="156"/>
      <c r="AB42" s="156"/>
      <c r="AC42" s="156"/>
      <c r="AD42" s="156"/>
      <c r="AE42" s="157"/>
    </row>
    <row r="43" spans="2:31" ht="14.55" customHeight="1" x14ac:dyDescent="0.2">
      <c r="B43" s="16"/>
      <c r="L43" s="16"/>
      <c r="W43" s="155"/>
      <c r="X43" s="156"/>
      <c r="Y43" s="156"/>
      <c r="Z43" s="156"/>
      <c r="AA43" s="156"/>
      <c r="AB43" s="156"/>
      <c r="AC43" s="156"/>
      <c r="AD43" s="156"/>
      <c r="AE43" s="157"/>
    </row>
    <row r="44" spans="2:31" ht="14.55" customHeight="1" x14ac:dyDescent="0.2">
      <c r="B44" s="16"/>
      <c r="L44" s="16"/>
      <c r="W44" s="155"/>
      <c r="X44" s="156"/>
      <c r="Y44" s="156"/>
      <c r="Z44" s="156"/>
      <c r="AA44" s="156"/>
      <c r="AB44" s="156"/>
      <c r="AC44" s="156"/>
      <c r="AD44" s="156"/>
      <c r="AE44" s="157"/>
    </row>
    <row r="45" spans="2:31" ht="14.55" customHeight="1" x14ac:dyDescent="0.2">
      <c r="B45" s="16"/>
      <c r="L45" s="16"/>
      <c r="W45" s="155"/>
      <c r="X45" s="156"/>
      <c r="Y45" s="156"/>
      <c r="Z45" s="156"/>
      <c r="AA45" s="156"/>
      <c r="AB45" s="156"/>
      <c r="AC45" s="156"/>
      <c r="AD45" s="156"/>
      <c r="AE45" s="157"/>
    </row>
    <row r="46" spans="2:31" ht="14.55" customHeight="1" x14ac:dyDescent="0.2">
      <c r="B46" s="16"/>
      <c r="L46" s="16"/>
      <c r="W46" s="155"/>
      <c r="X46" s="156"/>
      <c r="Y46" s="156"/>
      <c r="Z46" s="156"/>
      <c r="AA46" s="156"/>
      <c r="AB46" s="156"/>
      <c r="AC46" s="156"/>
      <c r="AD46" s="156"/>
      <c r="AE46" s="157"/>
    </row>
    <row r="47" spans="2:31" ht="14.55" customHeight="1" x14ac:dyDescent="0.2">
      <c r="B47" s="16"/>
      <c r="L47" s="16"/>
      <c r="W47" s="155"/>
      <c r="X47" s="156"/>
      <c r="Y47" s="156"/>
      <c r="Z47" s="156"/>
      <c r="AA47" s="156"/>
      <c r="AB47" s="156"/>
      <c r="AC47" s="156"/>
      <c r="AD47" s="156"/>
      <c r="AE47" s="157"/>
    </row>
    <row r="48" spans="2:31" ht="14.55" customHeight="1" x14ac:dyDescent="0.2">
      <c r="B48" s="16"/>
      <c r="L48" s="16"/>
      <c r="W48" s="155"/>
      <c r="X48" s="156"/>
      <c r="Y48" s="156"/>
      <c r="Z48" s="156"/>
      <c r="AA48" s="156"/>
      <c r="AB48" s="156"/>
      <c r="AC48" s="156"/>
      <c r="AD48" s="156"/>
      <c r="AE48" s="157"/>
    </row>
    <row r="49" spans="2:31" ht="14.55" customHeight="1" x14ac:dyDescent="0.2">
      <c r="B49" s="16"/>
      <c r="D49" s="156"/>
      <c r="E49" s="156"/>
      <c r="F49" s="156"/>
      <c r="G49" s="156"/>
      <c r="H49" s="156"/>
      <c r="I49" s="156"/>
      <c r="J49" s="156"/>
      <c r="L49" s="16"/>
      <c r="W49" s="155"/>
      <c r="X49" s="156"/>
      <c r="Y49" s="156"/>
      <c r="Z49" s="156"/>
      <c r="AA49" s="156"/>
      <c r="AB49" s="156"/>
      <c r="AC49" s="156"/>
      <c r="AD49" s="156"/>
      <c r="AE49" s="157"/>
    </row>
    <row r="50" spans="2:31" s="1" customFormat="1" ht="14.55" customHeight="1" x14ac:dyDescent="0.2">
      <c r="B50" s="24"/>
      <c r="D50" s="530"/>
      <c r="E50" s="523"/>
      <c r="F50" s="523"/>
      <c r="G50" s="530"/>
      <c r="H50" s="523"/>
      <c r="I50" s="523"/>
      <c r="J50" s="523"/>
      <c r="K50" s="32"/>
      <c r="L50" s="24"/>
      <c r="W50" s="158"/>
      <c r="X50" s="557"/>
      <c r="Y50" s="530"/>
      <c r="Z50" s="557"/>
      <c r="AA50" s="557"/>
      <c r="AB50" s="530"/>
      <c r="AC50" s="557"/>
      <c r="AD50" s="557"/>
      <c r="AE50" s="159"/>
    </row>
    <row r="51" spans="2:31" x14ac:dyDescent="0.2">
      <c r="B51" s="16"/>
      <c r="D51" s="156"/>
      <c r="E51" s="156"/>
      <c r="F51" s="156"/>
      <c r="G51" s="156"/>
      <c r="H51" s="156"/>
      <c r="I51" s="156"/>
      <c r="J51" s="156"/>
      <c r="L51" s="16"/>
      <c r="W51" s="155"/>
      <c r="X51" s="156"/>
      <c r="Y51" s="156"/>
      <c r="Z51" s="156"/>
      <c r="AA51" s="156"/>
      <c r="AB51" s="156"/>
      <c r="AC51" s="156"/>
      <c r="AD51" s="156"/>
      <c r="AE51" s="157"/>
    </row>
    <row r="52" spans="2:31" x14ac:dyDescent="0.2">
      <c r="B52" s="16"/>
      <c r="D52" s="156"/>
      <c r="E52" s="156"/>
      <c r="F52" s="156"/>
      <c r="G52" s="156"/>
      <c r="H52" s="156"/>
      <c r="I52" s="156"/>
      <c r="J52" s="156"/>
      <c r="L52" s="16"/>
      <c r="W52" s="155"/>
      <c r="X52" s="156"/>
      <c r="Y52" s="156"/>
      <c r="Z52" s="156"/>
      <c r="AA52" s="156"/>
      <c r="AB52" s="156"/>
      <c r="AC52" s="156"/>
      <c r="AD52" s="156"/>
      <c r="AE52" s="157"/>
    </row>
    <row r="53" spans="2:31" x14ac:dyDescent="0.2">
      <c r="B53" s="16"/>
      <c r="D53" s="156"/>
      <c r="E53" s="156"/>
      <c r="F53" s="156"/>
      <c r="G53" s="156"/>
      <c r="H53" s="156"/>
      <c r="I53" s="156"/>
      <c r="J53" s="156"/>
      <c r="L53" s="16"/>
      <c r="W53" s="155"/>
      <c r="X53" s="156"/>
      <c r="Y53" s="156"/>
      <c r="Z53" s="156"/>
      <c r="AA53" s="156"/>
      <c r="AB53" s="156"/>
      <c r="AC53" s="156"/>
      <c r="AD53" s="156"/>
      <c r="AE53" s="157"/>
    </row>
    <row r="54" spans="2:31" x14ac:dyDescent="0.2">
      <c r="B54" s="16"/>
      <c r="D54" s="156"/>
      <c r="E54" s="156"/>
      <c r="F54" s="156"/>
      <c r="G54" s="156"/>
      <c r="H54" s="156"/>
      <c r="I54" s="156"/>
      <c r="J54" s="156"/>
      <c r="L54" s="16"/>
      <c r="W54" s="155"/>
      <c r="X54" s="156"/>
      <c r="Y54" s="156"/>
      <c r="Z54" s="156"/>
      <c r="AA54" s="156"/>
      <c r="AB54" s="156"/>
      <c r="AC54" s="156"/>
      <c r="AD54" s="156"/>
      <c r="AE54" s="157"/>
    </row>
    <row r="55" spans="2:31" x14ac:dyDescent="0.2">
      <c r="B55" s="16"/>
      <c r="D55" s="156"/>
      <c r="E55" s="156"/>
      <c r="F55" s="156"/>
      <c r="G55" s="156"/>
      <c r="H55" s="156"/>
      <c r="I55" s="156"/>
      <c r="J55" s="156"/>
      <c r="L55" s="16"/>
      <c r="W55" s="155"/>
      <c r="X55" s="156"/>
      <c r="Y55" s="156"/>
      <c r="Z55" s="156"/>
      <c r="AA55" s="156"/>
      <c r="AB55" s="156"/>
      <c r="AC55" s="156"/>
      <c r="AD55" s="156"/>
      <c r="AE55" s="157"/>
    </row>
    <row r="56" spans="2:31" x14ac:dyDescent="0.2">
      <c r="B56" s="16"/>
      <c r="D56" s="156"/>
      <c r="E56" s="156"/>
      <c r="F56" s="156"/>
      <c r="G56" s="156"/>
      <c r="H56" s="156"/>
      <c r="I56" s="156"/>
      <c r="J56" s="156"/>
      <c r="L56" s="16"/>
      <c r="W56" s="155"/>
      <c r="X56" s="156"/>
      <c r="Y56" s="156"/>
      <c r="Z56" s="156"/>
      <c r="AA56" s="156"/>
      <c r="AB56" s="156"/>
      <c r="AC56" s="156"/>
      <c r="AD56" s="156"/>
      <c r="AE56" s="157"/>
    </row>
    <row r="57" spans="2:31" x14ac:dyDescent="0.2">
      <c r="B57" s="16"/>
      <c r="D57" s="156"/>
      <c r="E57" s="156"/>
      <c r="F57" s="156"/>
      <c r="G57" s="156"/>
      <c r="H57" s="156"/>
      <c r="I57" s="156"/>
      <c r="J57" s="156"/>
      <c r="L57" s="16"/>
      <c r="W57" s="155"/>
      <c r="X57" s="156"/>
      <c r="Y57" s="156"/>
      <c r="Z57" s="156"/>
      <c r="AA57" s="156"/>
      <c r="AB57" s="156"/>
      <c r="AC57" s="156"/>
      <c r="AD57" s="156"/>
      <c r="AE57" s="157"/>
    </row>
    <row r="58" spans="2:31" x14ac:dyDescent="0.2">
      <c r="B58" s="16"/>
      <c r="D58" s="156"/>
      <c r="E58" s="156"/>
      <c r="F58" s="156"/>
      <c r="G58" s="156"/>
      <c r="H58" s="156"/>
      <c r="I58" s="156"/>
      <c r="J58" s="156"/>
      <c r="L58" s="16"/>
      <c r="W58" s="155"/>
      <c r="X58" s="156"/>
      <c r="Y58" s="156"/>
      <c r="Z58" s="156"/>
      <c r="AA58" s="156"/>
      <c r="AB58" s="156"/>
      <c r="AC58" s="156"/>
      <c r="AD58" s="156"/>
      <c r="AE58" s="157"/>
    </row>
    <row r="59" spans="2:31" x14ac:dyDescent="0.2">
      <c r="B59" s="16"/>
      <c r="D59" s="156"/>
      <c r="E59" s="156"/>
      <c r="F59" s="156"/>
      <c r="G59" s="156"/>
      <c r="H59" s="156"/>
      <c r="I59" s="156"/>
      <c r="J59" s="156"/>
      <c r="L59" s="16"/>
      <c r="W59" s="155"/>
      <c r="X59" s="156"/>
      <c r="Y59" s="156"/>
      <c r="Z59" s="156"/>
      <c r="AA59" s="156"/>
      <c r="AB59" s="156"/>
      <c r="AC59" s="156"/>
      <c r="AD59" s="156"/>
      <c r="AE59" s="157"/>
    </row>
    <row r="60" spans="2:31" x14ac:dyDescent="0.2">
      <c r="B60" s="16"/>
      <c r="D60" s="156"/>
      <c r="E60" s="156"/>
      <c r="F60" s="156"/>
      <c r="G60" s="156"/>
      <c r="H60" s="156"/>
      <c r="I60" s="156"/>
      <c r="J60" s="156"/>
      <c r="L60" s="16"/>
      <c r="W60" s="155"/>
      <c r="X60" s="156"/>
      <c r="Y60" s="156"/>
      <c r="Z60" s="156"/>
      <c r="AA60" s="156"/>
      <c r="AB60" s="156"/>
      <c r="AC60" s="156"/>
      <c r="AD60" s="156"/>
      <c r="AE60" s="157"/>
    </row>
    <row r="61" spans="2:31" s="1" customFormat="1" ht="13.2" x14ac:dyDescent="0.2">
      <c r="B61" s="24"/>
      <c r="D61" s="522"/>
      <c r="E61" s="523"/>
      <c r="F61" s="536"/>
      <c r="G61" s="522"/>
      <c r="H61" s="523"/>
      <c r="I61" s="523"/>
      <c r="J61" s="169"/>
      <c r="K61" s="26"/>
      <c r="L61" s="24"/>
      <c r="W61" s="158"/>
      <c r="X61" s="557"/>
      <c r="Y61" s="559"/>
      <c r="Z61" s="557"/>
      <c r="AA61" s="536"/>
      <c r="AB61" s="559"/>
      <c r="AC61" s="557"/>
      <c r="AD61" s="557"/>
      <c r="AE61" s="577"/>
    </row>
    <row r="62" spans="2:31" x14ac:dyDescent="0.2">
      <c r="B62" s="16"/>
      <c r="D62" s="156"/>
      <c r="E62" s="156"/>
      <c r="F62" s="156"/>
      <c r="G62" s="156"/>
      <c r="H62" s="156"/>
      <c r="I62" s="156"/>
      <c r="J62" s="156"/>
      <c r="L62" s="16"/>
      <c r="W62" s="155"/>
      <c r="X62" s="156"/>
      <c r="Y62" s="156"/>
      <c r="Z62" s="156"/>
      <c r="AA62" s="156"/>
      <c r="AB62" s="156"/>
      <c r="AC62" s="156"/>
      <c r="AD62" s="156"/>
      <c r="AE62" s="157"/>
    </row>
    <row r="63" spans="2:31" x14ac:dyDescent="0.2">
      <c r="B63" s="16"/>
      <c r="D63" s="156"/>
      <c r="E63" s="156"/>
      <c r="F63" s="156"/>
      <c r="G63" s="156"/>
      <c r="H63" s="156"/>
      <c r="I63" s="156"/>
      <c r="J63" s="156"/>
      <c r="L63" s="16"/>
      <c r="W63" s="155"/>
      <c r="X63" s="156"/>
      <c r="Y63" s="156"/>
      <c r="Z63" s="156"/>
      <c r="AA63" s="156"/>
      <c r="AB63" s="156"/>
      <c r="AC63" s="156"/>
      <c r="AD63" s="156"/>
      <c r="AE63" s="157"/>
    </row>
    <row r="64" spans="2:31" x14ac:dyDescent="0.2">
      <c r="B64" s="16"/>
      <c r="D64" s="156"/>
      <c r="E64" s="156"/>
      <c r="F64" s="156"/>
      <c r="G64" s="156"/>
      <c r="H64" s="156"/>
      <c r="I64" s="156"/>
      <c r="J64" s="156"/>
      <c r="L64" s="16"/>
      <c r="W64" s="155"/>
      <c r="X64" s="156"/>
      <c r="Y64" s="156"/>
      <c r="Z64" s="156"/>
      <c r="AA64" s="156"/>
      <c r="AB64" s="156"/>
      <c r="AC64" s="156"/>
      <c r="AD64" s="156"/>
      <c r="AE64" s="157"/>
    </row>
    <row r="65" spans="2:31" s="1" customFormat="1" ht="13.2" x14ac:dyDescent="0.2">
      <c r="B65" s="24"/>
      <c r="D65" s="530"/>
      <c r="E65" s="523"/>
      <c r="F65" s="523"/>
      <c r="G65" s="530"/>
      <c r="H65" s="523"/>
      <c r="I65" s="523"/>
      <c r="J65" s="523"/>
      <c r="K65" s="32"/>
      <c r="L65" s="24"/>
      <c r="W65" s="158"/>
      <c r="X65" s="557"/>
      <c r="Y65" s="530"/>
      <c r="Z65" s="557"/>
      <c r="AA65" s="557"/>
      <c r="AB65" s="530"/>
      <c r="AC65" s="557"/>
      <c r="AD65" s="557"/>
      <c r="AE65" s="159"/>
    </row>
    <row r="66" spans="2:31" x14ac:dyDescent="0.2">
      <c r="B66" s="16"/>
      <c r="D66" s="156"/>
      <c r="E66" s="156"/>
      <c r="F66" s="156"/>
      <c r="G66" s="156"/>
      <c r="H66" s="156"/>
      <c r="I66" s="156"/>
      <c r="J66" s="156"/>
      <c r="L66" s="16"/>
      <c r="W66" s="155"/>
      <c r="X66" s="156"/>
      <c r="Y66" s="156"/>
      <c r="Z66" s="156"/>
      <c r="AA66" s="156"/>
      <c r="AB66" s="156"/>
      <c r="AC66" s="156"/>
      <c r="AD66" s="156"/>
      <c r="AE66" s="157"/>
    </row>
    <row r="67" spans="2:31" x14ac:dyDescent="0.2">
      <c r="B67" s="16"/>
      <c r="D67" s="156"/>
      <c r="E67" s="156"/>
      <c r="F67" s="156"/>
      <c r="G67" s="156"/>
      <c r="H67" s="156"/>
      <c r="I67" s="156"/>
      <c r="J67" s="156"/>
      <c r="L67" s="16"/>
      <c r="W67" s="155"/>
      <c r="X67" s="156"/>
      <c r="Y67" s="156"/>
      <c r="Z67" s="156"/>
      <c r="AA67" s="156"/>
      <c r="AB67" s="156"/>
      <c r="AC67" s="156"/>
      <c r="AD67" s="156"/>
      <c r="AE67" s="157"/>
    </row>
    <row r="68" spans="2:31" x14ac:dyDescent="0.2">
      <c r="B68" s="16"/>
      <c r="D68" s="156"/>
      <c r="E68" s="156"/>
      <c r="F68" s="156"/>
      <c r="G68" s="156"/>
      <c r="H68" s="156"/>
      <c r="I68" s="156"/>
      <c r="J68" s="156"/>
      <c r="L68" s="16"/>
      <c r="W68" s="155"/>
      <c r="X68" s="156"/>
      <c r="Y68" s="156"/>
      <c r="Z68" s="156"/>
      <c r="AA68" s="156"/>
      <c r="AB68" s="156"/>
      <c r="AC68" s="156"/>
      <c r="AD68" s="156"/>
      <c r="AE68" s="157"/>
    </row>
    <row r="69" spans="2:31" x14ac:dyDescent="0.2">
      <c r="B69" s="16"/>
      <c r="D69" s="156"/>
      <c r="E69" s="156"/>
      <c r="F69" s="156"/>
      <c r="G69" s="156"/>
      <c r="H69" s="156"/>
      <c r="I69" s="156"/>
      <c r="J69" s="156"/>
      <c r="L69" s="16"/>
      <c r="W69" s="155"/>
      <c r="X69" s="156"/>
      <c r="Y69" s="156"/>
      <c r="Z69" s="156"/>
      <c r="AA69" s="156"/>
      <c r="AB69" s="156"/>
      <c r="AC69" s="156"/>
      <c r="AD69" s="156"/>
      <c r="AE69" s="157"/>
    </row>
    <row r="70" spans="2:31" x14ac:dyDescent="0.2">
      <c r="B70" s="16"/>
      <c r="D70" s="156"/>
      <c r="E70" s="156"/>
      <c r="F70" s="156"/>
      <c r="G70" s="156"/>
      <c r="H70" s="156"/>
      <c r="I70" s="156"/>
      <c r="J70" s="156"/>
      <c r="L70" s="16"/>
      <c r="W70" s="155"/>
      <c r="X70" s="156"/>
      <c r="Y70" s="156"/>
      <c r="Z70" s="156"/>
      <c r="AA70" s="156"/>
      <c r="AB70" s="156"/>
      <c r="AC70" s="156"/>
      <c r="AD70" s="156"/>
      <c r="AE70" s="157"/>
    </row>
    <row r="71" spans="2:31" x14ac:dyDescent="0.2">
      <c r="B71" s="16"/>
      <c r="D71" s="156"/>
      <c r="E71" s="156"/>
      <c r="F71" s="156"/>
      <c r="G71" s="156"/>
      <c r="H71" s="156"/>
      <c r="I71" s="156"/>
      <c r="J71" s="156"/>
      <c r="L71" s="16"/>
      <c r="W71" s="155"/>
      <c r="X71" s="156"/>
      <c r="Y71" s="156"/>
      <c r="Z71" s="156"/>
      <c r="AA71" s="156"/>
      <c r="AB71" s="156"/>
      <c r="AC71" s="156"/>
      <c r="AD71" s="156"/>
      <c r="AE71" s="157"/>
    </row>
    <row r="72" spans="2:31" x14ac:dyDescent="0.2">
      <c r="B72" s="16"/>
      <c r="D72" s="156"/>
      <c r="E72" s="156"/>
      <c r="F72" s="156"/>
      <c r="G72" s="156"/>
      <c r="H72" s="156"/>
      <c r="I72" s="156"/>
      <c r="J72" s="156"/>
      <c r="L72" s="16"/>
      <c r="W72" s="155"/>
      <c r="X72" s="156"/>
      <c r="Y72" s="156"/>
      <c r="Z72" s="156"/>
      <c r="AA72" s="156"/>
      <c r="AB72" s="156"/>
      <c r="AC72" s="156"/>
      <c r="AD72" s="156"/>
      <c r="AE72" s="157"/>
    </row>
    <row r="73" spans="2:31" x14ac:dyDescent="0.2">
      <c r="B73" s="16"/>
      <c r="D73" s="156"/>
      <c r="E73" s="156"/>
      <c r="F73" s="156"/>
      <c r="G73" s="156"/>
      <c r="H73" s="156"/>
      <c r="I73" s="156"/>
      <c r="J73" s="156"/>
      <c r="L73" s="16"/>
      <c r="W73" s="155"/>
      <c r="X73" s="156"/>
      <c r="Y73" s="156"/>
      <c r="Z73" s="156"/>
      <c r="AA73" s="156"/>
      <c r="AB73" s="156"/>
      <c r="AC73" s="156"/>
      <c r="AD73" s="156"/>
      <c r="AE73" s="157"/>
    </row>
    <row r="74" spans="2:31" x14ac:dyDescent="0.2">
      <c r="B74" s="16"/>
      <c r="D74" s="156"/>
      <c r="E74" s="156"/>
      <c r="F74" s="156"/>
      <c r="G74" s="156"/>
      <c r="H74" s="156"/>
      <c r="I74" s="156"/>
      <c r="J74" s="156"/>
      <c r="L74" s="16"/>
      <c r="W74" s="155"/>
      <c r="X74" s="156"/>
      <c r="Y74" s="156"/>
      <c r="Z74" s="156"/>
      <c r="AA74" s="156"/>
      <c r="AB74" s="156"/>
      <c r="AC74" s="156"/>
      <c r="AD74" s="156"/>
      <c r="AE74" s="157"/>
    </row>
    <row r="75" spans="2:31" x14ac:dyDescent="0.2">
      <c r="B75" s="16"/>
      <c r="D75" s="156"/>
      <c r="E75" s="156"/>
      <c r="F75" s="156"/>
      <c r="G75" s="156"/>
      <c r="H75" s="156"/>
      <c r="I75" s="156"/>
      <c r="J75" s="156"/>
      <c r="L75" s="16"/>
      <c r="W75" s="155"/>
      <c r="X75" s="156"/>
      <c r="Y75" s="156"/>
      <c r="Z75" s="156"/>
      <c r="AA75" s="156"/>
      <c r="AB75" s="156"/>
      <c r="AC75" s="156"/>
      <c r="AD75" s="156"/>
      <c r="AE75" s="157"/>
    </row>
    <row r="76" spans="2:31" s="1" customFormat="1" ht="13.2" x14ac:dyDescent="0.2">
      <c r="B76" s="24"/>
      <c r="D76" s="522"/>
      <c r="E76" s="523"/>
      <c r="F76" s="536"/>
      <c r="G76" s="522"/>
      <c r="H76" s="523"/>
      <c r="I76" s="523"/>
      <c r="J76" s="169"/>
      <c r="K76" s="26"/>
      <c r="L76" s="24"/>
      <c r="W76" s="158"/>
      <c r="X76" s="557"/>
      <c r="Y76" s="559"/>
      <c r="Z76" s="557"/>
      <c r="AA76" s="536"/>
      <c r="AB76" s="559"/>
      <c r="AC76" s="557"/>
      <c r="AD76" s="557"/>
      <c r="AE76" s="577"/>
    </row>
    <row r="77" spans="2:31" s="1" customFormat="1" ht="14.55" customHeight="1" x14ac:dyDescent="0.2">
      <c r="B77" s="33"/>
      <c r="C77" s="34"/>
      <c r="D77" s="34"/>
      <c r="E77" s="34"/>
      <c r="F77" s="34"/>
      <c r="G77" s="34"/>
      <c r="H77" s="34"/>
      <c r="I77" s="34"/>
      <c r="J77" s="34"/>
      <c r="K77" s="34"/>
      <c r="L77" s="24"/>
      <c r="W77" s="175"/>
      <c r="X77" s="176"/>
      <c r="Y77" s="176"/>
      <c r="Z77" s="176"/>
      <c r="AA77" s="176"/>
      <c r="AB77" s="176"/>
      <c r="AC77" s="176"/>
      <c r="AD77" s="176"/>
      <c r="AE77" s="177"/>
    </row>
    <row r="81" spans="2:47" s="1" customFormat="1" ht="7.05" customHeight="1" x14ac:dyDescent="0.2">
      <c r="B81" s="35"/>
      <c r="C81" s="36"/>
      <c r="D81" s="36"/>
      <c r="E81" s="36"/>
      <c r="F81" s="36"/>
      <c r="G81" s="36"/>
      <c r="H81" s="36"/>
      <c r="I81" s="36"/>
      <c r="J81" s="36"/>
      <c r="K81" s="36"/>
      <c r="L81" s="24"/>
      <c r="W81" s="178"/>
      <c r="X81" s="179"/>
      <c r="Y81" s="179"/>
      <c r="Z81" s="179"/>
      <c r="AA81" s="179"/>
      <c r="AB81" s="179"/>
      <c r="AC81" s="179"/>
      <c r="AD81" s="179"/>
      <c r="AE81" s="180"/>
    </row>
    <row r="82" spans="2:47" s="1" customFormat="1" ht="25.05" customHeight="1" x14ac:dyDescent="0.2">
      <c r="B82" s="24"/>
      <c r="C82" s="1165" t="s">
        <v>188</v>
      </c>
      <c r="D82" s="1165"/>
      <c r="E82" s="1165"/>
      <c r="F82" s="1165"/>
      <c r="G82" s="1165"/>
      <c r="H82" s="1165"/>
      <c r="I82" s="1165"/>
      <c r="J82" s="1165"/>
      <c r="L82" s="24"/>
      <c r="W82" s="158"/>
      <c r="X82" s="1237" t="s">
        <v>188</v>
      </c>
      <c r="Y82" s="1237"/>
      <c r="Z82" s="1237"/>
      <c r="AA82" s="1237"/>
      <c r="AB82" s="1237"/>
      <c r="AC82" s="1237"/>
      <c r="AD82" s="1237"/>
      <c r="AE82" s="1238"/>
    </row>
    <row r="83" spans="2:47" s="1" customFormat="1" ht="7.05" customHeight="1" x14ac:dyDescent="0.2">
      <c r="B83" s="24"/>
      <c r="L83" s="24"/>
      <c r="W83" s="158"/>
      <c r="X83" s="557"/>
      <c r="Y83" s="557"/>
      <c r="Z83" s="557"/>
      <c r="AA83" s="557"/>
      <c r="AB83" s="557"/>
      <c r="AC83" s="557"/>
      <c r="AD83" s="557"/>
      <c r="AE83" s="159"/>
    </row>
    <row r="84" spans="2:47" s="1" customFormat="1" ht="12" customHeight="1" x14ac:dyDescent="0.2">
      <c r="B84" s="24"/>
      <c r="C84" s="528" t="s">
        <v>12</v>
      </c>
      <c r="E84" s="1242" t="s">
        <v>6177</v>
      </c>
      <c r="F84" s="1242"/>
      <c r="G84" s="1242"/>
      <c r="H84" s="1242"/>
      <c r="I84" s="1242"/>
      <c r="J84" s="1242"/>
      <c r="L84" s="24"/>
      <c r="W84" s="158"/>
      <c r="X84" s="538" t="s">
        <v>12</v>
      </c>
      <c r="Y84" s="557"/>
      <c r="Z84" s="1163" t="s">
        <v>6177</v>
      </c>
      <c r="AA84" s="1163"/>
      <c r="AB84" s="1163"/>
      <c r="AC84" s="1163"/>
      <c r="AD84" s="1163"/>
      <c r="AE84" s="1241"/>
    </row>
    <row r="85" spans="2:47" s="1" customFormat="1" ht="22.2" customHeight="1" x14ac:dyDescent="0.2">
      <c r="B85" s="24"/>
      <c r="C85" s="521"/>
      <c r="E85" s="1243"/>
      <c r="F85" s="1244"/>
      <c r="G85" s="1244"/>
      <c r="H85" s="1244"/>
      <c r="L85" s="24"/>
      <c r="W85" s="158"/>
      <c r="X85" s="557"/>
      <c r="Y85" s="557"/>
      <c r="Z85" s="1249"/>
      <c r="AA85" s="1250"/>
      <c r="AB85" s="1250"/>
      <c r="AC85" s="1250"/>
      <c r="AD85" s="557"/>
      <c r="AE85" s="159"/>
    </row>
    <row r="86" spans="2:47" s="1" customFormat="1" ht="12" customHeight="1" x14ac:dyDescent="0.2">
      <c r="B86" s="24"/>
      <c r="C86" s="528" t="s">
        <v>186</v>
      </c>
      <c r="F86" s="533" t="s">
        <v>187</v>
      </c>
      <c r="L86" s="24"/>
      <c r="W86" s="158"/>
      <c r="X86" s="538" t="s">
        <v>186</v>
      </c>
      <c r="Y86" s="557"/>
      <c r="Z86" s="557"/>
      <c r="AA86" s="540" t="s">
        <v>187</v>
      </c>
      <c r="AB86" s="557"/>
      <c r="AC86" s="557"/>
      <c r="AD86" s="557"/>
      <c r="AE86" s="159"/>
    </row>
    <row r="87" spans="2:47" s="1" customFormat="1" ht="16.5" customHeight="1" x14ac:dyDescent="0.2">
      <c r="B87" s="24"/>
      <c r="C87" s="521"/>
      <c r="E87" s="1251"/>
      <c r="F87" s="1252"/>
      <c r="G87" s="1252"/>
      <c r="H87" s="1252"/>
      <c r="L87" s="24"/>
      <c r="W87" s="158"/>
      <c r="X87" s="557"/>
      <c r="Y87" s="557"/>
      <c r="Z87" s="1245"/>
      <c r="AA87" s="1246"/>
      <c r="AB87" s="1246"/>
      <c r="AC87" s="1246"/>
      <c r="AD87" s="557"/>
      <c r="AE87" s="159"/>
    </row>
    <row r="88" spans="2:47" s="1" customFormat="1" ht="7.05" customHeight="1" x14ac:dyDescent="0.2">
      <c r="B88" s="24"/>
      <c r="C88" s="521"/>
      <c r="L88" s="24"/>
      <c r="W88" s="158"/>
      <c r="X88" s="557"/>
      <c r="Y88" s="557"/>
      <c r="Z88" s="557"/>
      <c r="AA88" s="557"/>
      <c r="AB88" s="557"/>
      <c r="AC88" s="557"/>
      <c r="AD88" s="557"/>
      <c r="AE88" s="159"/>
    </row>
    <row r="89" spans="2:47" s="1" customFormat="1" ht="12" customHeight="1" x14ac:dyDescent="0.2">
      <c r="B89" s="24"/>
      <c r="C89" s="528" t="s">
        <v>15</v>
      </c>
      <c r="F89" s="520" t="s">
        <v>6173</v>
      </c>
      <c r="I89" s="528" t="s">
        <v>17</v>
      </c>
      <c r="J89" s="39" t="str">
        <f>IF(J12="","",J12)</f>
        <v/>
      </c>
      <c r="L89" s="24"/>
      <c r="W89" s="158"/>
      <c r="X89" s="538" t="s">
        <v>15</v>
      </c>
      <c r="Y89" s="557"/>
      <c r="Z89" s="557"/>
      <c r="AA89" s="558" t="s">
        <v>6173</v>
      </c>
      <c r="AB89" s="557"/>
      <c r="AC89" s="557"/>
      <c r="AD89" s="538" t="s">
        <v>17</v>
      </c>
      <c r="AE89" s="162" t="str">
        <f>IF(AE12="","",AE12)</f>
        <v/>
      </c>
    </row>
    <row r="90" spans="2:47" s="1" customFormat="1" ht="7.05" customHeight="1" x14ac:dyDescent="0.2">
      <c r="B90" s="24"/>
      <c r="C90" s="521"/>
      <c r="I90" s="521"/>
      <c r="L90" s="24"/>
      <c r="W90" s="158"/>
      <c r="X90" s="557"/>
      <c r="Y90" s="557"/>
      <c r="Z90" s="557"/>
      <c r="AA90" s="557"/>
      <c r="AB90" s="557"/>
      <c r="AC90" s="557"/>
      <c r="AD90" s="557"/>
      <c r="AE90" s="159"/>
    </row>
    <row r="91" spans="2:47" s="1" customFormat="1" ht="15.3" customHeight="1" x14ac:dyDescent="0.2">
      <c r="B91" s="24"/>
      <c r="C91" s="528" t="s">
        <v>18</v>
      </c>
      <c r="F91" s="529" t="s">
        <v>6175</v>
      </c>
      <c r="I91" s="528" t="s">
        <v>22</v>
      </c>
      <c r="J91" s="22" t="str">
        <f>E21</f>
        <v xml:space="preserve"> </v>
      </c>
      <c r="L91" s="24"/>
      <c r="W91" s="158"/>
      <c r="X91" s="538" t="s">
        <v>18</v>
      </c>
      <c r="Y91" s="557"/>
      <c r="Z91" s="557"/>
      <c r="AA91" s="576" t="s">
        <v>6175</v>
      </c>
      <c r="AB91" s="557"/>
      <c r="AC91" s="557"/>
      <c r="AD91" s="538" t="s">
        <v>22</v>
      </c>
      <c r="AE91" s="181" t="str">
        <f>Z21</f>
        <v/>
      </c>
    </row>
    <row r="92" spans="2:47" s="1" customFormat="1" ht="15.3" customHeight="1" x14ac:dyDescent="0.2">
      <c r="B92" s="24"/>
      <c r="C92" s="528" t="s">
        <v>21</v>
      </c>
      <c r="F92" s="529" t="s">
        <v>5202</v>
      </c>
      <c r="I92" s="528" t="s">
        <v>24</v>
      </c>
      <c r="J92" s="22" t="str">
        <f>E24</f>
        <v xml:space="preserve"> </v>
      </c>
      <c r="L92" s="24"/>
      <c r="W92" s="158"/>
      <c r="X92" s="538" t="s">
        <v>21</v>
      </c>
      <c r="Y92" s="557"/>
      <c r="Z92" s="557"/>
      <c r="AA92" s="576" t="s">
        <v>5202</v>
      </c>
      <c r="AB92" s="557"/>
      <c r="AC92" s="557"/>
      <c r="AD92" s="538" t="s">
        <v>24</v>
      </c>
      <c r="AE92" s="181" t="str">
        <f>Z24</f>
        <v/>
      </c>
    </row>
    <row r="93" spans="2:47" s="1" customFormat="1" ht="10.199999999999999" customHeight="1" x14ac:dyDescent="0.2">
      <c r="B93" s="24"/>
      <c r="L93" s="24"/>
      <c r="W93" s="158"/>
      <c r="X93" s="557"/>
      <c r="Y93" s="557"/>
      <c r="Z93" s="557"/>
      <c r="AA93" s="557"/>
      <c r="AB93" s="557"/>
      <c r="AC93" s="557"/>
      <c r="AD93" s="557"/>
      <c r="AE93" s="159"/>
    </row>
    <row r="94" spans="2:47" s="1" customFormat="1" ht="29.25" customHeight="1" x14ac:dyDescent="0.2">
      <c r="B94" s="24"/>
      <c r="C94" s="86" t="s">
        <v>189</v>
      </c>
      <c r="D94" s="80"/>
      <c r="E94" s="80"/>
      <c r="F94" s="80"/>
      <c r="G94" s="80"/>
      <c r="H94" s="80"/>
      <c r="I94" s="80"/>
      <c r="J94" s="87" t="s">
        <v>190</v>
      </c>
      <c r="K94" s="80"/>
      <c r="L94" s="24"/>
      <c r="W94" s="158"/>
      <c r="X94" s="182" t="s">
        <v>189</v>
      </c>
      <c r="Y94" s="173"/>
      <c r="Z94" s="173"/>
      <c r="AA94" s="173"/>
      <c r="AB94" s="173"/>
      <c r="AC94" s="173"/>
      <c r="AD94" s="173"/>
      <c r="AE94" s="183" t="s">
        <v>190</v>
      </c>
    </row>
    <row r="95" spans="2:47" s="1" customFormat="1" ht="10.199999999999999" customHeight="1" x14ac:dyDescent="0.2">
      <c r="B95" s="24"/>
      <c r="L95" s="24"/>
      <c r="W95" s="158"/>
      <c r="X95" s="557"/>
      <c r="Y95" s="557"/>
      <c r="Z95" s="557"/>
      <c r="AA95" s="557"/>
      <c r="AB95" s="557"/>
      <c r="AC95" s="557"/>
      <c r="AD95" s="557"/>
      <c r="AE95" s="159"/>
    </row>
    <row r="96" spans="2:47" s="1" customFormat="1" ht="22.95" customHeight="1" x14ac:dyDescent="0.2">
      <c r="B96" s="24"/>
      <c r="C96" s="88" t="s">
        <v>191</v>
      </c>
      <c r="J96" s="53">
        <f>J141</f>
        <v>219243.91999999998</v>
      </c>
      <c r="L96" s="24"/>
      <c r="W96" s="158"/>
      <c r="X96" s="184" t="s">
        <v>191</v>
      </c>
      <c r="Y96" s="557"/>
      <c r="Z96" s="557"/>
      <c r="AA96" s="557"/>
      <c r="AB96" s="557"/>
      <c r="AC96" s="557"/>
      <c r="AD96" s="557"/>
      <c r="AE96" s="1155">
        <f>AE141</f>
        <v>359047.83441125002</v>
      </c>
      <c r="AF96" s="1119"/>
      <c r="AU96" s="13" t="s">
        <v>192</v>
      </c>
    </row>
    <row r="97" spans="2:32" s="8" customFormat="1" ht="25.05" customHeight="1" x14ac:dyDescent="0.2">
      <c r="B97" s="89"/>
      <c r="D97" s="90" t="s">
        <v>193</v>
      </c>
      <c r="E97" s="91"/>
      <c r="F97" s="91"/>
      <c r="G97" s="91"/>
      <c r="H97" s="91"/>
      <c r="I97" s="91"/>
      <c r="J97" s="92">
        <f>J142</f>
        <v>82214.929999999993</v>
      </c>
      <c r="L97" s="89"/>
      <c r="W97" s="185"/>
      <c r="X97" s="186"/>
      <c r="Y97" s="90" t="s">
        <v>193</v>
      </c>
      <c r="Z97" s="91"/>
      <c r="AA97" s="91"/>
      <c r="AB97" s="91"/>
      <c r="AC97" s="91"/>
      <c r="AD97" s="91"/>
      <c r="AE97" s="1154">
        <f>AE142</f>
        <v>139098.93044000003</v>
      </c>
      <c r="AF97" s="328"/>
    </row>
    <row r="98" spans="2:32" s="8" customFormat="1" ht="19.95" customHeight="1" x14ac:dyDescent="0.2">
      <c r="B98" s="89"/>
      <c r="D98" s="1234" t="s">
        <v>5205</v>
      </c>
      <c r="E98" s="1235"/>
      <c r="F98" s="1235"/>
      <c r="G98" s="1235"/>
      <c r="H98" s="1235"/>
      <c r="I98" s="1235"/>
      <c r="J98" s="1235"/>
      <c r="K98" s="1236"/>
      <c r="L98" s="89"/>
      <c r="W98" s="185"/>
      <c r="X98" s="186"/>
      <c r="Y98" s="94" t="s">
        <v>892</v>
      </c>
      <c r="Z98" s="91"/>
      <c r="AA98" s="91"/>
      <c r="AB98" s="91"/>
      <c r="AC98" s="91"/>
      <c r="AD98" s="91"/>
      <c r="AE98" s="187">
        <f>AE143</f>
        <v>50.95</v>
      </c>
    </row>
    <row r="99" spans="2:32" s="8" customFormat="1" ht="19.95" customHeight="1" x14ac:dyDescent="0.2">
      <c r="B99" s="89"/>
      <c r="D99" s="1234" t="s">
        <v>5205</v>
      </c>
      <c r="E99" s="1235"/>
      <c r="F99" s="1235"/>
      <c r="G99" s="1235"/>
      <c r="H99" s="1235"/>
      <c r="I99" s="1235"/>
      <c r="J99" s="1235"/>
      <c r="K99" s="1236"/>
      <c r="L99" s="89"/>
      <c r="W99" s="185"/>
      <c r="X99" s="186"/>
      <c r="Y99" s="94" t="s">
        <v>893</v>
      </c>
      <c r="Z99" s="91"/>
      <c r="AA99" s="91"/>
      <c r="AB99" s="91"/>
      <c r="AC99" s="91"/>
      <c r="AD99" s="91"/>
      <c r="AE99" s="187">
        <f>AE145</f>
        <v>169.81</v>
      </c>
    </row>
    <row r="100" spans="2:32" s="9" customFormat="1" ht="19.95" customHeight="1" x14ac:dyDescent="0.2">
      <c r="B100" s="93"/>
      <c r="D100" s="94" t="s">
        <v>194</v>
      </c>
      <c r="E100" s="95"/>
      <c r="F100" s="95"/>
      <c r="G100" s="95"/>
      <c r="H100" s="95"/>
      <c r="I100" s="95"/>
      <c r="J100" s="96">
        <f>J147</f>
        <v>12580.06</v>
      </c>
      <c r="L100" s="93"/>
      <c r="W100" s="188"/>
      <c r="X100" s="189"/>
      <c r="Y100" s="94" t="s">
        <v>194</v>
      </c>
      <c r="Z100" s="95"/>
      <c r="AA100" s="95"/>
      <c r="AB100" s="95"/>
      <c r="AC100" s="95"/>
      <c r="AD100" s="95"/>
      <c r="AE100" s="190">
        <f>AE147</f>
        <v>18318.399440000005</v>
      </c>
    </row>
    <row r="101" spans="2:32" s="9" customFormat="1" ht="19.95" customHeight="1" x14ac:dyDescent="0.2">
      <c r="B101" s="93"/>
      <c r="D101" s="94" t="s">
        <v>195</v>
      </c>
      <c r="E101" s="95"/>
      <c r="F101" s="95"/>
      <c r="G101" s="95"/>
      <c r="H101" s="95"/>
      <c r="I101" s="95"/>
      <c r="J101" s="96">
        <f>J175</f>
        <v>812.56</v>
      </c>
      <c r="L101" s="93"/>
      <c r="W101" s="188"/>
      <c r="X101" s="189"/>
      <c r="Y101" s="94" t="s">
        <v>195</v>
      </c>
      <c r="Z101" s="95"/>
      <c r="AA101" s="95"/>
      <c r="AB101" s="95"/>
      <c r="AC101" s="95"/>
      <c r="AD101" s="95"/>
      <c r="AE101" s="190">
        <f>AE175</f>
        <v>870.6</v>
      </c>
    </row>
    <row r="102" spans="2:32" s="9" customFormat="1" ht="19.95" customHeight="1" x14ac:dyDescent="0.2">
      <c r="B102" s="93"/>
      <c r="D102" s="94" t="s">
        <v>196</v>
      </c>
      <c r="E102" s="95"/>
      <c r="F102" s="95"/>
      <c r="G102" s="95"/>
      <c r="H102" s="95"/>
      <c r="I102" s="95"/>
      <c r="J102" s="96">
        <f>J177</f>
        <v>43446.66</v>
      </c>
      <c r="L102" s="93"/>
      <c r="W102" s="188"/>
      <c r="X102" s="189"/>
      <c r="Y102" s="94" t="s">
        <v>196</v>
      </c>
      <c r="Z102" s="95"/>
      <c r="AA102" s="95"/>
      <c r="AB102" s="95"/>
      <c r="AC102" s="95"/>
      <c r="AD102" s="95"/>
      <c r="AE102" s="190">
        <f>AE177</f>
        <v>79735.34</v>
      </c>
    </row>
    <row r="103" spans="2:32" s="9" customFormat="1" ht="19.95" customHeight="1" x14ac:dyDescent="0.2">
      <c r="B103" s="93"/>
      <c r="D103" s="1234" t="s">
        <v>5205</v>
      </c>
      <c r="E103" s="1235"/>
      <c r="F103" s="1235"/>
      <c r="G103" s="1235"/>
      <c r="H103" s="1235"/>
      <c r="I103" s="1235"/>
      <c r="J103" s="1235"/>
      <c r="K103" s="1236"/>
      <c r="L103" s="93"/>
      <c r="W103" s="188"/>
      <c r="X103" s="189"/>
      <c r="Y103" s="94" t="s">
        <v>6829</v>
      </c>
      <c r="Z103" s="95"/>
      <c r="AA103" s="95"/>
      <c r="AB103" s="95"/>
      <c r="AC103" s="95"/>
      <c r="AD103" s="95"/>
      <c r="AE103" s="190">
        <f>AE213</f>
        <v>335.38</v>
      </c>
    </row>
    <row r="104" spans="2:32" s="9" customFormat="1" ht="19.95" customHeight="1" x14ac:dyDescent="0.2">
      <c r="B104" s="93"/>
      <c r="D104" s="94" t="s">
        <v>197</v>
      </c>
      <c r="E104" s="95"/>
      <c r="F104" s="95"/>
      <c r="G104" s="95"/>
      <c r="H104" s="95"/>
      <c r="I104" s="95"/>
      <c r="J104" s="96">
        <f>J216</f>
        <v>1737.32</v>
      </c>
      <c r="L104" s="93"/>
      <c r="W104" s="188"/>
      <c r="X104" s="189"/>
      <c r="Y104" s="94" t="s">
        <v>197</v>
      </c>
      <c r="Z104" s="95"/>
      <c r="AA104" s="95"/>
      <c r="AB104" s="95"/>
      <c r="AC104" s="95"/>
      <c r="AD104" s="95"/>
      <c r="AE104" s="190">
        <f>AE216</f>
        <v>2748.28</v>
      </c>
    </row>
    <row r="105" spans="2:32" s="9" customFormat="1" ht="19.95" customHeight="1" x14ac:dyDescent="0.2">
      <c r="B105" s="93"/>
      <c r="D105" s="94" t="s">
        <v>198</v>
      </c>
      <c r="E105" s="95"/>
      <c r="F105" s="95"/>
      <c r="G105" s="95"/>
      <c r="H105" s="95"/>
      <c r="I105" s="95"/>
      <c r="J105" s="96">
        <f>J218</f>
        <v>983.13</v>
      </c>
      <c r="L105" s="93"/>
      <c r="W105" s="188"/>
      <c r="X105" s="189"/>
      <c r="Y105" s="94" t="s">
        <v>198</v>
      </c>
      <c r="Z105" s="95"/>
      <c r="AA105" s="95"/>
      <c r="AB105" s="95"/>
      <c r="AC105" s="95"/>
      <c r="AD105" s="95"/>
      <c r="AE105" s="190">
        <f>AE218</f>
        <v>2250.59</v>
      </c>
    </row>
    <row r="106" spans="2:32" s="9" customFormat="1" ht="19.95" customHeight="1" x14ac:dyDescent="0.2">
      <c r="B106" s="93"/>
      <c r="D106" s="94" t="s">
        <v>199</v>
      </c>
      <c r="E106" s="95"/>
      <c r="F106" s="95"/>
      <c r="G106" s="95"/>
      <c r="H106" s="95"/>
      <c r="I106" s="95"/>
      <c r="J106" s="96">
        <f>J222</f>
        <v>1097.83</v>
      </c>
      <c r="L106" s="93"/>
      <c r="W106" s="188"/>
      <c r="X106" s="189"/>
      <c r="Y106" s="94" t="s">
        <v>199</v>
      </c>
      <c r="Z106" s="95"/>
      <c r="AA106" s="95"/>
      <c r="AB106" s="95"/>
      <c r="AC106" s="95"/>
      <c r="AD106" s="95"/>
      <c r="AE106" s="190">
        <f>AE222</f>
        <v>2495.6709999999998</v>
      </c>
    </row>
    <row r="107" spans="2:32" s="9" customFormat="1" ht="19.95" customHeight="1" x14ac:dyDescent="0.2">
      <c r="B107" s="93"/>
      <c r="D107" s="94" t="s">
        <v>200</v>
      </c>
      <c r="E107" s="95"/>
      <c r="F107" s="95"/>
      <c r="G107" s="95"/>
      <c r="H107" s="95"/>
      <c r="I107" s="95"/>
      <c r="J107" s="96">
        <f>J240</f>
        <v>18524.769999999997</v>
      </c>
      <c r="L107" s="93"/>
      <c r="W107" s="188"/>
      <c r="X107" s="189"/>
      <c r="Y107" s="94" t="s">
        <v>200</v>
      </c>
      <c r="Z107" s="95"/>
      <c r="AA107" s="95"/>
      <c r="AB107" s="95"/>
      <c r="AC107" s="95"/>
      <c r="AD107" s="95"/>
      <c r="AE107" s="190">
        <f>AE240</f>
        <v>27081.959999999995</v>
      </c>
    </row>
    <row r="108" spans="2:32" s="9" customFormat="1" ht="19.95" customHeight="1" x14ac:dyDescent="0.2">
      <c r="B108" s="93"/>
      <c r="D108" s="94" t="s">
        <v>201</v>
      </c>
      <c r="E108" s="95"/>
      <c r="F108" s="95"/>
      <c r="G108" s="95"/>
      <c r="H108" s="95"/>
      <c r="I108" s="95"/>
      <c r="J108" s="96">
        <f>J279</f>
        <v>3032.6</v>
      </c>
      <c r="L108" s="93"/>
      <c r="W108" s="188"/>
      <c r="X108" s="189"/>
      <c r="Y108" s="94" t="s">
        <v>201</v>
      </c>
      <c r="Z108" s="95"/>
      <c r="AA108" s="95"/>
      <c r="AB108" s="95"/>
      <c r="AC108" s="95"/>
      <c r="AD108" s="95"/>
      <c r="AE108" s="190">
        <f>AE279</f>
        <v>5041.95</v>
      </c>
    </row>
    <row r="109" spans="2:32" s="8" customFormat="1" ht="25.05" customHeight="1" x14ac:dyDescent="0.2">
      <c r="B109" s="89"/>
      <c r="D109" s="90" t="s">
        <v>202</v>
      </c>
      <c r="E109" s="91"/>
      <c r="F109" s="91"/>
      <c r="G109" s="91"/>
      <c r="H109" s="91"/>
      <c r="I109" s="91"/>
      <c r="J109" s="92">
        <f>J281</f>
        <v>137028.99</v>
      </c>
      <c r="L109" s="89"/>
      <c r="W109" s="185"/>
      <c r="X109" s="186"/>
      <c r="Y109" s="90" t="s">
        <v>202</v>
      </c>
      <c r="Z109" s="91"/>
      <c r="AA109" s="91"/>
      <c r="AB109" s="91"/>
      <c r="AC109" s="91"/>
      <c r="AD109" s="91"/>
      <c r="AE109" s="1154">
        <f>AE281</f>
        <v>209226.20897124996</v>
      </c>
      <c r="AF109" s="328"/>
    </row>
    <row r="110" spans="2:32" s="9" customFormat="1" ht="19.95" customHeight="1" x14ac:dyDescent="0.2">
      <c r="B110" s="93"/>
      <c r="D110" s="94" t="s">
        <v>203</v>
      </c>
      <c r="E110" s="95"/>
      <c r="F110" s="95"/>
      <c r="G110" s="95"/>
      <c r="H110" s="95"/>
      <c r="I110" s="95"/>
      <c r="J110" s="96">
        <f>J282</f>
        <v>3827.2500000000005</v>
      </c>
      <c r="L110" s="93"/>
      <c r="W110" s="188"/>
      <c r="X110" s="189"/>
      <c r="Y110" s="94" t="s">
        <v>203</v>
      </c>
      <c r="Z110" s="95"/>
      <c r="AA110" s="95"/>
      <c r="AB110" s="95"/>
      <c r="AC110" s="95"/>
      <c r="AD110" s="95"/>
      <c r="AE110" s="190">
        <f>AE282</f>
        <v>4040.03</v>
      </c>
    </row>
    <row r="111" spans="2:32" s="9" customFormat="1" ht="19.95" customHeight="1" x14ac:dyDescent="0.2">
      <c r="B111" s="93"/>
      <c r="D111" s="1234" t="s">
        <v>5205</v>
      </c>
      <c r="E111" s="1235"/>
      <c r="F111" s="1235"/>
      <c r="G111" s="1235"/>
      <c r="H111" s="1235"/>
      <c r="I111" s="1235"/>
      <c r="J111" s="1235"/>
      <c r="K111" s="1236"/>
      <c r="L111" s="93"/>
      <c r="W111" s="188"/>
      <c r="X111" s="189"/>
      <c r="Y111" s="94" t="s">
        <v>897</v>
      </c>
      <c r="Z111" s="95"/>
      <c r="AA111" s="95"/>
      <c r="AB111" s="95"/>
      <c r="AC111" s="95"/>
      <c r="AD111" s="95"/>
      <c r="AE111" s="190">
        <f>AE288</f>
        <v>99.36</v>
      </c>
    </row>
    <row r="112" spans="2:32" s="9" customFormat="1" ht="19.95" customHeight="1" x14ac:dyDescent="0.2">
      <c r="B112" s="93"/>
      <c r="D112" s="94" t="s">
        <v>204</v>
      </c>
      <c r="E112" s="95"/>
      <c r="F112" s="95"/>
      <c r="G112" s="95"/>
      <c r="H112" s="95"/>
      <c r="I112" s="95"/>
      <c r="J112" s="96">
        <f>J290</f>
        <v>177.63</v>
      </c>
      <c r="L112" s="93"/>
      <c r="W112" s="188"/>
      <c r="X112" s="189"/>
      <c r="Y112" s="94" t="s">
        <v>204</v>
      </c>
      <c r="Z112" s="95"/>
      <c r="AA112" s="95"/>
      <c r="AB112" s="95"/>
      <c r="AC112" s="95"/>
      <c r="AD112" s="95"/>
      <c r="AE112" s="190">
        <f>AE290</f>
        <v>450.79999999999995</v>
      </c>
    </row>
    <row r="113" spans="2:31" s="9" customFormat="1" ht="19.95" customHeight="1" x14ac:dyDescent="0.2">
      <c r="B113" s="93"/>
      <c r="D113" s="94" t="s">
        <v>205</v>
      </c>
      <c r="E113" s="95"/>
      <c r="F113" s="95"/>
      <c r="G113" s="95"/>
      <c r="H113" s="95"/>
      <c r="I113" s="95"/>
      <c r="J113" s="96">
        <f>J294</f>
        <v>314.42999999999995</v>
      </c>
      <c r="L113" s="93"/>
      <c r="W113" s="188"/>
      <c r="X113" s="189"/>
      <c r="Y113" s="94" t="s">
        <v>205</v>
      </c>
      <c r="Z113" s="95"/>
      <c r="AA113" s="95"/>
      <c r="AB113" s="95"/>
      <c r="AC113" s="95"/>
      <c r="AD113" s="95"/>
      <c r="AE113" s="190">
        <f>AE294</f>
        <v>535.9389712499999</v>
      </c>
    </row>
    <row r="114" spans="2:31" s="9" customFormat="1" ht="19.95" customHeight="1" x14ac:dyDescent="0.2">
      <c r="B114" s="93"/>
      <c r="D114" s="94" t="s">
        <v>206</v>
      </c>
      <c r="E114" s="95"/>
      <c r="F114" s="95"/>
      <c r="G114" s="95"/>
      <c r="H114" s="95"/>
      <c r="I114" s="95"/>
      <c r="J114" s="96">
        <f>J306</f>
        <v>104.58</v>
      </c>
      <c r="L114" s="93"/>
      <c r="W114" s="188"/>
      <c r="X114" s="189"/>
      <c r="Y114" s="94" t="s">
        <v>206</v>
      </c>
      <c r="Z114" s="95"/>
      <c r="AA114" s="95"/>
      <c r="AB114" s="95"/>
      <c r="AC114" s="95"/>
      <c r="AD114" s="95"/>
      <c r="AE114" s="190">
        <f>AE306</f>
        <v>164.65</v>
      </c>
    </row>
    <row r="115" spans="2:31" s="9" customFormat="1" ht="19.95" customHeight="1" x14ac:dyDescent="0.2">
      <c r="B115" s="93"/>
      <c r="D115" s="94" t="s">
        <v>207</v>
      </c>
      <c r="E115" s="95"/>
      <c r="F115" s="95"/>
      <c r="G115" s="95"/>
      <c r="H115" s="95"/>
      <c r="I115" s="95"/>
      <c r="J115" s="96">
        <f>J309</f>
        <v>5856.579999999999</v>
      </c>
      <c r="L115" s="93"/>
      <c r="W115" s="188"/>
      <c r="X115" s="189"/>
      <c r="Y115" s="94" t="s">
        <v>207</v>
      </c>
      <c r="Z115" s="95"/>
      <c r="AA115" s="95"/>
      <c r="AB115" s="95"/>
      <c r="AC115" s="95"/>
      <c r="AD115" s="95"/>
      <c r="AE115" s="190">
        <f>AE309</f>
        <v>7618.6900000000005</v>
      </c>
    </row>
    <row r="116" spans="2:31" s="9" customFormat="1" ht="19.95" customHeight="1" x14ac:dyDescent="0.2">
      <c r="B116" s="93"/>
      <c r="D116" s="94" t="s">
        <v>208</v>
      </c>
      <c r="E116" s="95"/>
      <c r="F116" s="95"/>
      <c r="G116" s="95"/>
      <c r="H116" s="95"/>
      <c r="I116" s="95"/>
      <c r="J116" s="96">
        <f>J315</f>
        <v>23168.119999999995</v>
      </c>
      <c r="L116" s="93"/>
      <c r="W116" s="188"/>
      <c r="X116" s="189"/>
      <c r="Y116" s="94" t="s">
        <v>208</v>
      </c>
      <c r="Z116" s="95"/>
      <c r="AA116" s="95"/>
      <c r="AB116" s="95"/>
      <c r="AC116" s="95"/>
      <c r="AD116" s="95"/>
      <c r="AE116" s="190">
        <f>AE315</f>
        <v>18092.850000000002</v>
      </c>
    </row>
    <row r="117" spans="2:31" s="9" customFormat="1" ht="19.95" customHeight="1" x14ac:dyDescent="0.2">
      <c r="B117" s="93"/>
      <c r="D117" s="94" t="s">
        <v>209</v>
      </c>
      <c r="E117" s="95"/>
      <c r="F117" s="95"/>
      <c r="G117" s="95"/>
      <c r="H117" s="95"/>
      <c r="I117" s="95"/>
      <c r="J117" s="96">
        <f>J344</f>
        <v>52824.159999999996</v>
      </c>
      <c r="L117" s="93"/>
      <c r="W117" s="188"/>
      <c r="X117" s="189"/>
      <c r="Y117" s="94" t="s">
        <v>209</v>
      </c>
      <c r="Z117" s="95"/>
      <c r="AA117" s="95"/>
      <c r="AB117" s="95"/>
      <c r="AC117" s="95"/>
      <c r="AD117" s="95"/>
      <c r="AE117" s="190">
        <f>AE344</f>
        <v>99561.51999999999</v>
      </c>
    </row>
    <row r="118" spans="2:31" s="9" customFormat="1" ht="19.95" customHeight="1" x14ac:dyDescent="0.2">
      <c r="B118" s="93"/>
      <c r="D118" s="94" t="s">
        <v>210</v>
      </c>
      <c r="E118" s="95"/>
      <c r="F118" s="95"/>
      <c r="G118" s="95"/>
      <c r="H118" s="95"/>
      <c r="I118" s="95"/>
      <c r="J118" s="96">
        <f>J378</f>
        <v>10711.71</v>
      </c>
      <c r="L118" s="93"/>
      <c r="W118" s="188"/>
      <c r="X118" s="189"/>
      <c r="Y118" s="94" t="s">
        <v>210</v>
      </c>
      <c r="Z118" s="95"/>
      <c r="AA118" s="95"/>
      <c r="AB118" s="95"/>
      <c r="AC118" s="95"/>
      <c r="AD118" s="95"/>
      <c r="AE118" s="190">
        <f>AE378</f>
        <v>12958.94</v>
      </c>
    </row>
    <row r="119" spans="2:31" s="9" customFormat="1" ht="19.95" customHeight="1" x14ac:dyDescent="0.2">
      <c r="B119" s="93"/>
      <c r="D119" s="94" t="s">
        <v>211</v>
      </c>
      <c r="E119" s="95"/>
      <c r="F119" s="95"/>
      <c r="G119" s="95"/>
      <c r="H119" s="95"/>
      <c r="I119" s="95"/>
      <c r="J119" s="96">
        <f>J389</f>
        <v>11427.720000000001</v>
      </c>
      <c r="L119" s="93"/>
      <c r="W119" s="188"/>
      <c r="X119" s="189"/>
      <c r="Y119" s="94" t="s">
        <v>211</v>
      </c>
      <c r="Z119" s="95"/>
      <c r="AA119" s="95"/>
      <c r="AB119" s="95"/>
      <c r="AC119" s="95"/>
      <c r="AD119" s="95"/>
      <c r="AE119" s="190">
        <f>AE389</f>
        <v>22888.839999999997</v>
      </c>
    </row>
    <row r="120" spans="2:31" s="9" customFormat="1" ht="19.95" customHeight="1" x14ac:dyDescent="0.2">
      <c r="B120" s="93"/>
      <c r="D120" s="94" t="s">
        <v>212</v>
      </c>
      <c r="E120" s="95"/>
      <c r="F120" s="95"/>
      <c r="G120" s="95"/>
      <c r="H120" s="95"/>
      <c r="I120" s="95"/>
      <c r="J120" s="96">
        <f>J401</f>
        <v>18919.84</v>
      </c>
      <c r="L120" s="93"/>
      <c r="W120" s="188"/>
      <c r="X120" s="189"/>
      <c r="Y120" s="94" t="s">
        <v>212</v>
      </c>
      <c r="Z120" s="95"/>
      <c r="AA120" s="95"/>
      <c r="AB120" s="95"/>
      <c r="AC120" s="95"/>
      <c r="AD120" s="95"/>
      <c r="AE120" s="190">
        <f>AE401</f>
        <v>22425.32</v>
      </c>
    </row>
    <row r="121" spans="2:31" s="9" customFormat="1" ht="19.95" customHeight="1" x14ac:dyDescent="0.2">
      <c r="B121" s="93"/>
      <c r="D121" s="94" t="s">
        <v>213</v>
      </c>
      <c r="E121" s="95"/>
      <c r="F121" s="95"/>
      <c r="G121" s="95"/>
      <c r="H121" s="95"/>
      <c r="I121" s="95"/>
      <c r="J121" s="96">
        <f>J407</f>
        <v>9696.9700000000012</v>
      </c>
      <c r="L121" s="93"/>
      <c r="W121" s="188"/>
      <c r="X121" s="189"/>
      <c r="Y121" s="94" t="s">
        <v>213</v>
      </c>
      <c r="Z121" s="95"/>
      <c r="AA121" s="95"/>
      <c r="AB121" s="95"/>
      <c r="AC121" s="95"/>
      <c r="AD121" s="95"/>
      <c r="AE121" s="190">
        <f>AE407</f>
        <v>20389.27</v>
      </c>
    </row>
    <row r="122" spans="2:31" s="1" customFormat="1" ht="21.75" customHeight="1" x14ac:dyDescent="0.2">
      <c r="B122" s="24"/>
      <c r="D122" s="1234" t="s">
        <v>5205</v>
      </c>
      <c r="E122" s="1235"/>
      <c r="F122" s="1235"/>
      <c r="G122" s="1235"/>
      <c r="H122" s="1235"/>
      <c r="I122" s="1235"/>
      <c r="J122" s="1235"/>
      <c r="K122" s="1236"/>
      <c r="L122" s="24"/>
      <c r="W122" s="158"/>
      <c r="X122" s="557"/>
      <c r="Y122" s="90" t="s">
        <v>6830</v>
      </c>
      <c r="Z122" s="91"/>
      <c r="AA122" s="91"/>
      <c r="AB122" s="91"/>
      <c r="AC122" s="91"/>
      <c r="AD122" s="91"/>
      <c r="AE122" s="316">
        <f>AE414</f>
        <v>10722.695</v>
      </c>
    </row>
    <row r="123" spans="2:31" s="1" customFormat="1" ht="7.05" customHeight="1" x14ac:dyDescent="0.2">
      <c r="B123" s="33"/>
      <c r="C123" s="34"/>
      <c r="D123" s="34"/>
      <c r="E123" s="34"/>
      <c r="F123" s="34"/>
      <c r="G123" s="34"/>
      <c r="H123" s="34"/>
      <c r="I123" s="34"/>
      <c r="J123" s="34"/>
      <c r="K123" s="34"/>
      <c r="L123" s="24"/>
      <c r="W123" s="175"/>
      <c r="X123" s="176"/>
      <c r="Y123" s="176"/>
      <c r="Z123" s="176"/>
      <c r="AA123" s="176"/>
      <c r="AB123" s="176"/>
      <c r="AC123" s="176"/>
      <c r="AD123" s="176"/>
      <c r="AE123" s="177"/>
    </row>
    <row r="127" spans="2:31" s="1" customFormat="1" ht="7.05" customHeight="1" x14ac:dyDescent="0.2">
      <c r="B127" s="35"/>
      <c r="C127" s="36"/>
      <c r="D127" s="36"/>
      <c r="E127" s="36"/>
      <c r="F127" s="36"/>
      <c r="G127" s="36"/>
      <c r="H127" s="36"/>
      <c r="I127" s="36"/>
      <c r="J127" s="36"/>
      <c r="K127" s="36"/>
      <c r="L127" s="24"/>
      <c r="W127" s="178"/>
      <c r="X127" s="179"/>
      <c r="Y127" s="179"/>
      <c r="Z127" s="179"/>
      <c r="AA127" s="179"/>
      <c r="AB127" s="179"/>
      <c r="AC127" s="179"/>
      <c r="AD127" s="179"/>
      <c r="AE127" s="180"/>
    </row>
    <row r="128" spans="2:31" s="1" customFormat="1" ht="25.05" customHeight="1" x14ac:dyDescent="0.2">
      <c r="B128" s="24"/>
      <c r="C128" s="1165" t="s">
        <v>214</v>
      </c>
      <c r="D128" s="1165"/>
      <c r="E128" s="1165"/>
      <c r="F128" s="1165"/>
      <c r="G128" s="1165"/>
      <c r="H128" s="1165"/>
      <c r="I128" s="1165"/>
      <c r="J128" s="1165"/>
      <c r="L128" s="24"/>
      <c r="W128" s="158"/>
      <c r="X128" s="1237" t="s">
        <v>214</v>
      </c>
      <c r="Y128" s="1237"/>
      <c r="Z128" s="1237"/>
      <c r="AA128" s="1237"/>
      <c r="AB128" s="1237"/>
      <c r="AC128" s="1237"/>
      <c r="AD128" s="1237"/>
      <c r="AE128" s="1238"/>
    </row>
    <row r="129" spans="2:63" s="1" customFormat="1" ht="7.05" customHeight="1" x14ac:dyDescent="0.2">
      <c r="B129" s="24"/>
      <c r="L129" s="24"/>
      <c r="W129" s="158"/>
      <c r="X129" s="1237"/>
      <c r="Y129" s="1237"/>
      <c r="Z129" s="1237"/>
      <c r="AA129" s="1237"/>
      <c r="AB129" s="1237"/>
      <c r="AC129" s="1237"/>
      <c r="AD129" s="1237"/>
      <c r="AE129" s="1238"/>
    </row>
    <row r="130" spans="2:63" s="1" customFormat="1" ht="12" customHeight="1" x14ac:dyDescent="0.2">
      <c r="B130" s="24"/>
      <c r="C130" s="528" t="s">
        <v>12</v>
      </c>
      <c r="E130" s="1242" t="s">
        <v>6177</v>
      </c>
      <c r="F130" s="1242"/>
      <c r="G130" s="1242"/>
      <c r="H130" s="1242"/>
      <c r="I130" s="1242"/>
      <c r="J130" s="1242"/>
      <c r="L130" s="24"/>
      <c r="W130" s="158"/>
      <c r="X130" s="538" t="s">
        <v>12</v>
      </c>
      <c r="Y130" s="557"/>
      <c r="Z130" s="1163" t="s">
        <v>6177</v>
      </c>
      <c r="AA130" s="1163"/>
      <c r="AB130" s="1163"/>
      <c r="AC130" s="1163"/>
      <c r="AD130" s="1163"/>
      <c r="AE130" s="1241"/>
    </row>
    <row r="131" spans="2:63" s="1" customFormat="1" ht="22.2" customHeight="1" x14ac:dyDescent="0.2">
      <c r="B131" s="24"/>
      <c r="C131" s="521"/>
      <c r="E131" s="1243"/>
      <c r="F131" s="1244"/>
      <c r="G131" s="1244"/>
      <c r="H131" s="1244"/>
      <c r="L131" s="24"/>
      <c r="W131" s="158"/>
      <c r="X131" s="557"/>
      <c r="Y131" s="557"/>
      <c r="Z131" s="1249"/>
      <c r="AA131" s="1250"/>
      <c r="AB131" s="1250"/>
      <c r="AC131" s="1250"/>
      <c r="AD131" s="557"/>
      <c r="AE131" s="159"/>
    </row>
    <row r="132" spans="2:63" s="1" customFormat="1" ht="12" customHeight="1" x14ac:dyDescent="0.3">
      <c r="B132" s="24"/>
      <c r="C132" s="528" t="s">
        <v>186</v>
      </c>
      <c r="F132" s="533" t="s">
        <v>187</v>
      </c>
      <c r="L132" s="24"/>
      <c r="W132" s="158"/>
      <c r="X132" s="538" t="s">
        <v>186</v>
      </c>
      <c r="Y132" s="557"/>
      <c r="Z132" s="557"/>
      <c r="AA132" s="540" t="s">
        <v>187</v>
      </c>
      <c r="AB132" s="557"/>
      <c r="AC132" s="557"/>
      <c r="AD132" s="557"/>
      <c r="AE132" s="159"/>
      <c r="AI132" s="365"/>
      <c r="AJ132" s="363"/>
    </row>
    <row r="133" spans="2:63" s="1" customFormat="1" ht="16.5" customHeight="1" x14ac:dyDescent="0.3">
      <c r="B133" s="24"/>
      <c r="C133" s="521"/>
      <c r="E133" s="1251"/>
      <c r="F133" s="1252"/>
      <c r="G133" s="1252"/>
      <c r="H133" s="1252"/>
      <c r="L133" s="24"/>
      <c r="W133" s="158"/>
      <c r="X133" s="557"/>
      <c r="Y133" s="557"/>
      <c r="Z133" s="1245"/>
      <c r="AA133" s="1246"/>
      <c r="AB133" s="1246"/>
      <c r="AC133" s="1246"/>
      <c r="AD133" s="557"/>
      <c r="AE133" s="159"/>
      <c r="AI133" s="365"/>
      <c r="AJ133" s="363"/>
    </row>
    <row r="134" spans="2:63" s="1" customFormat="1" ht="7.05" customHeight="1" x14ac:dyDescent="0.3">
      <c r="B134" s="24"/>
      <c r="C134" s="521"/>
      <c r="L134" s="24"/>
      <c r="W134" s="158"/>
      <c r="X134" s="557"/>
      <c r="Y134" s="557"/>
      <c r="Z134" s="557"/>
      <c r="AA134" s="557"/>
      <c r="AB134" s="557"/>
      <c r="AC134" s="557"/>
      <c r="AD134" s="557"/>
      <c r="AE134" s="159"/>
      <c r="AI134" s="365"/>
      <c r="AJ134" s="363"/>
    </row>
    <row r="135" spans="2:63" s="1" customFormat="1" ht="12" customHeight="1" x14ac:dyDescent="0.3">
      <c r="B135" s="24"/>
      <c r="C135" s="528" t="s">
        <v>15</v>
      </c>
      <c r="F135" s="520" t="s">
        <v>6173</v>
      </c>
      <c r="I135" s="21" t="s">
        <v>17</v>
      </c>
      <c r="J135" s="39" t="str">
        <f>IF(J12="","",J12)</f>
        <v/>
      </c>
      <c r="L135" s="24"/>
      <c r="W135" s="158"/>
      <c r="X135" s="538" t="s">
        <v>15</v>
      </c>
      <c r="Y135" s="557"/>
      <c r="Z135" s="557"/>
      <c r="AA135" s="558" t="s">
        <v>6173</v>
      </c>
      <c r="AB135" s="557"/>
      <c r="AC135" s="557"/>
      <c r="AD135" s="538" t="s">
        <v>17</v>
      </c>
      <c r="AE135" s="162" t="str">
        <f>IF(AE12="","",AE12)</f>
        <v/>
      </c>
      <c r="AI135" s="365"/>
      <c r="AJ135" s="363"/>
    </row>
    <row r="136" spans="2:63" s="1" customFormat="1" ht="7.05" customHeight="1" x14ac:dyDescent="0.3">
      <c r="B136" s="24"/>
      <c r="C136" s="521"/>
      <c r="F136" s="521"/>
      <c r="L136" s="24"/>
      <c r="W136" s="158"/>
      <c r="X136" s="557"/>
      <c r="Y136" s="557"/>
      <c r="Z136" s="557"/>
      <c r="AA136" s="557"/>
      <c r="AB136" s="557"/>
      <c r="AC136" s="557"/>
      <c r="AD136" s="557"/>
      <c r="AE136" s="159"/>
      <c r="AI136" s="365"/>
      <c r="AJ136" s="363"/>
    </row>
    <row r="137" spans="2:63" s="1" customFormat="1" ht="15.3" customHeight="1" x14ac:dyDescent="0.2">
      <c r="B137" s="24"/>
      <c r="C137" s="528" t="s">
        <v>18</v>
      </c>
      <c r="F137" s="529" t="s">
        <v>6175</v>
      </c>
      <c r="I137" s="21" t="s">
        <v>22</v>
      </c>
      <c r="J137" s="22" t="str">
        <f>E21</f>
        <v xml:space="preserve"> </v>
      </c>
      <c r="L137" s="24"/>
      <c r="W137" s="158"/>
      <c r="X137" s="538" t="s">
        <v>18</v>
      </c>
      <c r="Y137" s="557"/>
      <c r="Z137" s="557"/>
      <c r="AA137" s="576" t="s">
        <v>6175</v>
      </c>
      <c r="AB137" s="557"/>
      <c r="AC137" s="557"/>
      <c r="AD137" s="538" t="s">
        <v>22</v>
      </c>
      <c r="AE137" s="181" t="str">
        <f>Z21</f>
        <v/>
      </c>
      <c r="AI137" s="363"/>
      <c r="AJ137" s="363"/>
    </row>
    <row r="138" spans="2:63" s="1" customFormat="1" ht="15.3" customHeight="1" x14ac:dyDescent="0.2">
      <c r="B138" s="24"/>
      <c r="C138" s="528" t="s">
        <v>21</v>
      </c>
      <c r="F138" s="529" t="s">
        <v>5202</v>
      </c>
      <c r="I138" s="21" t="s">
        <v>24</v>
      </c>
      <c r="J138" s="22" t="str">
        <f>E24</f>
        <v xml:space="preserve"> </v>
      </c>
      <c r="L138" s="24"/>
      <c r="W138" s="158"/>
      <c r="X138" s="538" t="s">
        <v>21</v>
      </c>
      <c r="Y138" s="557"/>
      <c r="Z138" s="557"/>
      <c r="AA138" s="576" t="s">
        <v>5202</v>
      </c>
      <c r="AB138" s="557"/>
      <c r="AC138" s="557"/>
      <c r="AD138" s="538" t="s">
        <v>24</v>
      </c>
      <c r="AE138" s="181" t="str">
        <f>Z24</f>
        <v/>
      </c>
      <c r="AI138" s="363"/>
      <c r="AJ138" s="363"/>
    </row>
    <row r="139" spans="2:63" s="1" customFormat="1" ht="10.199999999999999" customHeight="1" x14ac:dyDescent="0.2">
      <c r="B139" s="24"/>
      <c r="L139" s="24"/>
      <c r="W139" s="158"/>
      <c r="X139" s="557"/>
      <c r="Y139" s="557"/>
      <c r="Z139" s="557"/>
      <c r="AA139" s="557"/>
      <c r="AB139" s="557"/>
      <c r="AC139" s="557"/>
      <c r="AD139" s="557"/>
      <c r="AE139" s="159"/>
      <c r="AI139" s="363"/>
      <c r="AJ139" s="363"/>
    </row>
    <row r="140" spans="2:63" s="10" customFormat="1" ht="29.25" customHeight="1" x14ac:dyDescent="0.2">
      <c r="B140" s="97"/>
      <c r="C140" s="98" t="s">
        <v>215</v>
      </c>
      <c r="D140" s="99" t="s">
        <v>43</v>
      </c>
      <c r="E140" s="99" t="s">
        <v>41</v>
      </c>
      <c r="F140" s="99" t="s">
        <v>42</v>
      </c>
      <c r="G140" s="99" t="s">
        <v>216</v>
      </c>
      <c r="H140" s="99" t="s">
        <v>217</v>
      </c>
      <c r="I140" s="99" t="s">
        <v>218</v>
      </c>
      <c r="J140" s="100" t="s">
        <v>190</v>
      </c>
      <c r="K140" s="101" t="s">
        <v>219</v>
      </c>
      <c r="L140" s="97"/>
      <c r="M140" s="46" t="s">
        <v>1</v>
      </c>
      <c r="N140" s="47" t="s">
        <v>30</v>
      </c>
      <c r="O140" s="47" t="s">
        <v>220</v>
      </c>
      <c r="P140" s="47" t="s">
        <v>221</v>
      </c>
      <c r="Q140" s="47" t="s">
        <v>222</v>
      </c>
      <c r="R140" s="47" t="s">
        <v>223</v>
      </c>
      <c r="S140" s="47" t="s">
        <v>224</v>
      </c>
      <c r="T140" s="48" t="s">
        <v>225</v>
      </c>
      <c r="W140" s="191"/>
      <c r="X140" s="98" t="s">
        <v>215</v>
      </c>
      <c r="Y140" s="99" t="s">
        <v>43</v>
      </c>
      <c r="Z140" s="99" t="s">
        <v>41</v>
      </c>
      <c r="AA140" s="99" t="s">
        <v>42</v>
      </c>
      <c r="AB140" s="99" t="s">
        <v>216</v>
      </c>
      <c r="AC140" s="99" t="s">
        <v>217</v>
      </c>
      <c r="AD140" s="99" t="s">
        <v>218</v>
      </c>
      <c r="AE140" s="192" t="s">
        <v>190</v>
      </c>
      <c r="AF140" s="228" t="s">
        <v>5220</v>
      </c>
      <c r="AI140" s="366"/>
      <c r="AJ140" s="366"/>
    </row>
    <row r="141" spans="2:63" s="1" customFormat="1" ht="22.95" customHeight="1" x14ac:dyDescent="0.3">
      <c r="B141" s="24"/>
      <c r="C141" s="51" t="s">
        <v>191</v>
      </c>
      <c r="J141" s="102">
        <f>BK141</f>
        <v>219243.91999999998</v>
      </c>
      <c r="L141" s="24"/>
      <c r="M141" s="49"/>
      <c r="N141" s="40"/>
      <c r="O141" s="40"/>
      <c r="P141" s="103">
        <f>P142+P281</f>
        <v>2667.92597918</v>
      </c>
      <c r="Q141" s="40"/>
      <c r="R141" s="103">
        <f>R142+R281</f>
        <v>75.869735449999993</v>
      </c>
      <c r="S141" s="40"/>
      <c r="T141" s="104">
        <f>T142+T281</f>
        <v>42.156765999999998</v>
      </c>
      <c r="W141" s="158"/>
      <c r="X141" s="193" t="s">
        <v>191</v>
      </c>
      <c r="Y141" s="557"/>
      <c r="Z141" s="557"/>
      <c r="AA141" s="557"/>
      <c r="AB141" s="557"/>
      <c r="AC141" s="557"/>
      <c r="AD141" s="557"/>
      <c r="AE141" s="194">
        <f>AE142+AE281+AE414</f>
        <v>359047.83441125002</v>
      </c>
      <c r="AF141" s="227"/>
      <c r="AI141" s="365"/>
      <c r="AJ141" s="363"/>
      <c r="AT141" s="13" t="s">
        <v>57</v>
      </c>
      <c r="AU141" s="13" t="s">
        <v>192</v>
      </c>
      <c r="BK141" s="105">
        <f>BK142+BK281</f>
        <v>219243.91999999998</v>
      </c>
    </row>
    <row r="142" spans="2:63" s="11" customFormat="1" ht="25.95" customHeight="1" x14ac:dyDescent="0.3">
      <c r="B142" s="106"/>
      <c r="D142" s="107" t="s">
        <v>57</v>
      </c>
      <c r="E142" s="108" t="s">
        <v>226</v>
      </c>
      <c r="F142" s="108" t="s">
        <v>227</v>
      </c>
      <c r="J142" s="109">
        <f>BK142</f>
        <v>82214.929999999993</v>
      </c>
      <c r="L142" s="106"/>
      <c r="M142" s="110"/>
      <c r="N142" s="111"/>
      <c r="O142" s="111"/>
      <c r="P142" s="112">
        <f>P147+P175+P177+P216+P218+P222+P240+P279</f>
        <v>1935.15046358</v>
      </c>
      <c r="Q142" s="111"/>
      <c r="R142" s="112">
        <f>R147+R175+R177+R216+R218+R222+R240+R279</f>
        <v>75.00383635</v>
      </c>
      <c r="S142" s="111"/>
      <c r="T142" s="113">
        <f>T147+T175+T177+T216+T218+T222+T240+T279</f>
        <v>41.607115999999998</v>
      </c>
      <c r="W142" s="195"/>
      <c r="X142" s="111"/>
      <c r="Y142" s="196" t="s">
        <v>57</v>
      </c>
      <c r="Z142" s="197" t="s">
        <v>226</v>
      </c>
      <c r="AA142" s="197" t="s">
        <v>227</v>
      </c>
      <c r="AB142" s="111"/>
      <c r="AC142" s="111"/>
      <c r="AD142" s="111"/>
      <c r="AE142" s="198">
        <f>AE147+AE175+AE177+AE216+AE218+AE222+AE240+AE279+AE143+AE145+AE213</f>
        <v>139098.93044000003</v>
      </c>
      <c r="AF142" s="354"/>
      <c r="AG142" s="364"/>
      <c r="AO142" s="194"/>
      <c r="AR142" s="107" t="s">
        <v>63</v>
      </c>
      <c r="AT142" s="114" t="s">
        <v>57</v>
      </c>
      <c r="AU142" s="114" t="s">
        <v>58</v>
      </c>
      <c r="AY142" s="107" t="s">
        <v>228</v>
      </c>
      <c r="BK142" s="115">
        <f>BK147+BK175+BK177+BK216+BK218+BK222+BK240+BK279</f>
        <v>82214.929999999993</v>
      </c>
    </row>
    <row r="143" spans="2:63" s="11" customFormat="1" ht="25.95" customHeight="1" x14ac:dyDescent="0.3">
      <c r="B143" s="106"/>
      <c r="D143" s="107"/>
      <c r="E143" s="108"/>
      <c r="F143" s="108"/>
      <c r="J143" s="109"/>
      <c r="L143" s="106"/>
      <c r="M143" s="110"/>
      <c r="N143" s="111"/>
      <c r="O143" s="111"/>
      <c r="P143" s="112"/>
      <c r="Q143" s="111"/>
      <c r="R143" s="112"/>
      <c r="S143" s="111"/>
      <c r="T143" s="113"/>
      <c r="W143" s="195"/>
      <c r="X143" s="357"/>
      <c r="Y143" s="358" t="s">
        <v>57</v>
      </c>
      <c r="Z143" s="359" t="s">
        <v>63</v>
      </c>
      <c r="AA143" s="201" t="s">
        <v>898</v>
      </c>
      <c r="AB143" s="357"/>
      <c r="AC143" s="357"/>
      <c r="AD143" s="357"/>
      <c r="AE143" s="360">
        <f>AE144</f>
        <v>50.95</v>
      </c>
      <c r="AF143" s="354"/>
      <c r="AG143" s="364"/>
      <c r="AO143" s="194"/>
      <c r="AR143" s="107"/>
      <c r="AT143" s="114"/>
      <c r="AU143" s="114"/>
      <c r="AY143" s="107"/>
      <c r="BK143" s="115"/>
    </row>
    <row r="144" spans="2:63" s="11" customFormat="1" ht="25.95" customHeight="1" x14ac:dyDescent="0.3">
      <c r="B144" s="106"/>
      <c r="C144" s="1234" t="s">
        <v>5205</v>
      </c>
      <c r="D144" s="1235"/>
      <c r="E144" s="1235"/>
      <c r="F144" s="1235"/>
      <c r="G144" s="1235"/>
      <c r="H144" s="1235"/>
      <c r="I144" s="1235"/>
      <c r="J144" s="1236"/>
      <c r="L144" s="106"/>
      <c r="M144" s="110"/>
      <c r="N144" s="111"/>
      <c r="O144" s="111"/>
      <c r="P144" s="112"/>
      <c r="Q144" s="111"/>
      <c r="R144" s="112"/>
      <c r="S144" s="111"/>
      <c r="T144" s="113"/>
      <c r="W144" s="195"/>
      <c r="X144" s="341" t="s">
        <v>5323</v>
      </c>
      <c r="Y144" s="341" t="s">
        <v>231</v>
      </c>
      <c r="Z144" s="342" t="s">
        <v>899</v>
      </c>
      <c r="AA144" s="343" t="s">
        <v>900</v>
      </c>
      <c r="AB144" s="344" t="s">
        <v>234</v>
      </c>
      <c r="AC144" s="345">
        <v>2.9249999999999998</v>
      </c>
      <c r="AD144" s="346">
        <v>17.420000000000002</v>
      </c>
      <c r="AE144" s="355">
        <f>ROUND(AD144*AC144,2)</f>
        <v>50.95</v>
      </c>
      <c r="AF144" s="354">
        <v>4</v>
      </c>
      <c r="AG144" s="364"/>
      <c r="AK144" s="364"/>
      <c r="AO144" s="194"/>
      <c r="AR144" s="107"/>
      <c r="AT144" s="114"/>
      <c r="AU144" s="114"/>
      <c r="AY144" s="107"/>
      <c r="BK144" s="115"/>
    </row>
    <row r="145" spans="2:65" s="11" customFormat="1" ht="25.95" customHeight="1" x14ac:dyDescent="0.3">
      <c r="B145" s="106"/>
      <c r="D145" s="107"/>
      <c r="E145" s="108"/>
      <c r="F145" s="108"/>
      <c r="J145" s="109"/>
      <c r="L145" s="106"/>
      <c r="M145" s="110"/>
      <c r="N145" s="111"/>
      <c r="O145" s="111"/>
      <c r="P145" s="112"/>
      <c r="Q145" s="111"/>
      <c r="R145" s="112"/>
      <c r="S145" s="111"/>
      <c r="T145" s="113"/>
      <c r="W145" s="195"/>
      <c r="X145" s="357"/>
      <c r="Y145" s="358" t="s">
        <v>57</v>
      </c>
      <c r="Z145" s="359" t="s">
        <v>76</v>
      </c>
      <c r="AA145" s="201" t="s">
        <v>907</v>
      </c>
      <c r="AB145" s="357"/>
      <c r="AC145" s="357"/>
      <c r="AD145" s="357"/>
      <c r="AE145" s="360">
        <f>AE146</f>
        <v>169.81</v>
      </c>
      <c r="AF145" s="354"/>
      <c r="AG145" s="364"/>
      <c r="AO145" s="194"/>
      <c r="AR145" s="107"/>
      <c r="AT145" s="114"/>
      <c r="AU145" s="114"/>
      <c r="AY145" s="107"/>
      <c r="BK145" s="115"/>
    </row>
    <row r="146" spans="2:65" s="11" customFormat="1" ht="25.95" customHeight="1" x14ac:dyDescent="0.2">
      <c r="B146" s="106"/>
      <c r="C146" s="1234" t="s">
        <v>5205</v>
      </c>
      <c r="D146" s="1235"/>
      <c r="E146" s="1235"/>
      <c r="F146" s="1235"/>
      <c r="G146" s="1235"/>
      <c r="H146" s="1235"/>
      <c r="I146" s="1235"/>
      <c r="J146" s="1236"/>
      <c r="L146" s="106"/>
      <c r="M146" s="110"/>
      <c r="N146" s="111"/>
      <c r="O146" s="111"/>
      <c r="P146" s="112"/>
      <c r="Q146" s="111"/>
      <c r="R146" s="112"/>
      <c r="S146" s="111"/>
      <c r="T146" s="113"/>
      <c r="W146" s="195"/>
      <c r="X146" s="341" t="s">
        <v>5836</v>
      </c>
      <c r="Y146" s="341" t="s">
        <v>231</v>
      </c>
      <c r="Z146" s="342" t="s">
        <v>910</v>
      </c>
      <c r="AA146" s="343" t="s">
        <v>911</v>
      </c>
      <c r="AB146" s="344" t="s">
        <v>234</v>
      </c>
      <c r="AC146" s="345">
        <v>1.95</v>
      </c>
      <c r="AD146" s="346">
        <v>87.08</v>
      </c>
      <c r="AE146" s="355">
        <f>ROUND(AD146*AC146,2)</f>
        <v>169.81</v>
      </c>
      <c r="AF146" s="354">
        <v>4</v>
      </c>
      <c r="AG146" s="364"/>
      <c r="AR146" s="107"/>
      <c r="AT146" s="114"/>
      <c r="AU146" s="114"/>
      <c r="AY146" s="107"/>
      <c r="BK146" s="115"/>
    </row>
    <row r="147" spans="2:65" s="11" customFormat="1" ht="22.95" customHeight="1" x14ac:dyDescent="0.25">
      <c r="B147" s="106"/>
      <c r="D147" s="107" t="s">
        <v>57</v>
      </c>
      <c r="E147" s="116" t="s">
        <v>229</v>
      </c>
      <c r="F147" s="116" t="s">
        <v>230</v>
      </c>
      <c r="J147" s="117">
        <f>BK147</f>
        <v>12580.06</v>
      </c>
      <c r="L147" s="106"/>
      <c r="M147" s="110"/>
      <c r="N147" s="111"/>
      <c r="O147" s="111"/>
      <c r="P147" s="112">
        <f>SUM(P148:P174)</f>
        <v>49.795566700000009</v>
      </c>
      <c r="Q147" s="111"/>
      <c r="R147" s="112">
        <f>SUM(R148:R174)</f>
        <v>10.691199149999999</v>
      </c>
      <c r="S147" s="111"/>
      <c r="T147" s="113">
        <f>SUM(T148:T174)</f>
        <v>0</v>
      </c>
      <c r="W147" s="195"/>
      <c r="X147" s="111"/>
      <c r="Y147" s="196" t="s">
        <v>57</v>
      </c>
      <c r="Z147" s="201" t="s">
        <v>229</v>
      </c>
      <c r="AA147" s="201" t="s">
        <v>230</v>
      </c>
      <c r="AB147" s="111"/>
      <c r="AC147" s="111"/>
      <c r="AD147" s="111"/>
      <c r="AE147" s="202">
        <f>SUM(AE148:AE174)</f>
        <v>18318.399440000005</v>
      </c>
      <c r="AF147" s="354"/>
      <c r="AR147" s="107" t="s">
        <v>63</v>
      </c>
      <c r="AT147" s="114" t="s">
        <v>57</v>
      </c>
      <c r="AU147" s="114" t="s">
        <v>63</v>
      </c>
      <c r="AY147" s="107" t="s">
        <v>228</v>
      </c>
      <c r="BK147" s="115">
        <f>SUM(BK148:BK174)</f>
        <v>12580.06</v>
      </c>
    </row>
    <row r="148" spans="2:65" s="1" customFormat="1" ht="24" customHeight="1" x14ac:dyDescent="0.2">
      <c r="B148" s="118"/>
      <c r="C148" s="119" t="s">
        <v>63</v>
      </c>
      <c r="D148" s="119" t="s">
        <v>231</v>
      </c>
      <c r="E148" s="120" t="s">
        <v>232</v>
      </c>
      <c r="F148" s="121" t="s">
        <v>233</v>
      </c>
      <c r="G148" s="122" t="s">
        <v>234</v>
      </c>
      <c r="H148" s="123">
        <v>0.72899999999999998</v>
      </c>
      <c r="I148" s="124">
        <v>261.23</v>
      </c>
      <c r="J148" s="124">
        <f t="shared" ref="J148:J174" si="0">ROUND(I148*H148,2)</f>
        <v>190.44</v>
      </c>
      <c r="K148" s="121" t="s">
        <v>1</v>
      </c>
      <c r="L148" s="24"/>
      <c r="M148" s="125" t="s">
        <v>1</v>
      </c>
      <c r="N148" s="126" t="s">
        <v>32</v>
      </c>
      <c r="O148" s="127">
        <v>4.6652800000000001</v>
      </c>
      <c r="P148" s="127">
        <f t="shared" ref="P148:P174" si="1">O148*H148</f>
        <v>3.4009891200000002</v>
      </c>
      <c r="Q148" s="127">
        <v>1.9483999999999999</v>
      </c>
      <c r="R148" s="127">
        <f t="shared" ref="R148:R174" si="2">Q148*H148</f>
        <v>1.4203835999999999</v>
      </c>
      <c r="S148" s="127">
        <v>0</v>
      </c>
      <c r="T148" s="128">
        <f t="shared" ref="T148:T174" si="3">S148*H148</f>
        <v>0</v>
      </c>
      <c r="W148" s="199"/>
      <c r="X148" s="119" t="s">
        <v>63</v>
      </c>
      <c r="Y148" s="119" t="s">
        <v>231</v>
      </c>
      <c r="Z148" s="120" t="s">
        <v>232</v>
      </c>
      <c r="AA148" s="121" t="s">
        <v>233</v>
      </c>
      <c r="AB148" s="122" t="s">
        <v>234</v>
      </c>
      <c r="AC148" s="123">
        <v>0.72899999999999998</v>
      </c>
      <c r="AD148" s="124">
        <v>261.23</v>
      </c>
      <c r="AE148" s="200">
        <f t="shared" ref="AE148:AE174" si="4">ROUND(AD148*AC148,2)</f>
        <v>190.44</v>
      </c>
      <c r="AF148" s="956"/>
      <c r="AG148" s="407"/>
      <c r="AR148" s="129" t="s">
        <v>235</v>
      </c>
      <c r="AT148" s="129" t="s">
        <v>231</v>
      </c>
      <c r="AU148" s="129" t="s">
        <v>76</v>
      </c>
      <c r="AY148" s="13" t="s">
        <v>228</v>
      </c>
      <c r="BE148" s="130">
        <f t="shared" ref="BE148:BE174" si="5">IF(N148="základná",J148,0)</f>
        <v>0</v>
      </c>
      <c r="BF148" s="130">
        <f t="shared" ref="BF148:BF174" si="6">IF(N148="znížená",J148,0)</f>
        <v>190.44</v>
      </c>
      <c r="BG148" s="130">
        <f t="shared" ref="BG148:BG174" si="7">IF(N148="zákl. prenesená",J148,0)</f>
        <v>0</v>
      </c>
      <c r="BH148" s="130">
        <f t="shared" ref="BH148:BH174" si="8">IF(N148="zníž. prenesená",J148,0)</f>
        <v>0</v>
      </c>
      <c r="BI148" s="130">
        <f t="shared" ref="BI148:BI174" si="9">IF(N148="nulová",J148,0)</f>
        <v>0</v>
      </c>
      <c r="BJ148" s="13" t="s">
        <v>76</v>
      </c>
      <c r="BK148" s="130">
        <f t="shared" ref="BK148:BK174" si="10">ROUND(I148*H148,2)</f>
        <v>190.44</v>
      </c>
      <c r="BL148" s="13" t="s">
        <v>235</v>
      </c>
      <c r="BM148" s="129" t="s">
        <v>76</v>
      </c>
    </row>
    <row r="149" spans="2:65" s="1" customFormat="1" ht="24" customHeight="1" x14ac:dyDescent="0.2">
      <c r="B149" s="118"/>
      <c r="C149" s="205" t="s">
        <v>76</v>
      </c>
      <c r="D149" s="119" t="s">
        <v>231</v>
      </c>
      <c r="E149" s="120" t="s">
        <v>236</v>
      </c>
      <c r="F149" s="121" t="s">
        <v>237</v>
      </c>
      <c r="G149" s="122" t="s">
        <v>234</v>
      </c>
      <c r="H149" s="206">
        <v>2.9710000000000001</v>
      </c>
      <c r="I149" s="124">
        <v>249.62</v>
      </c>
      <c r="J149" s="124">
        <f t="shared" si="0"/>
        <v>741.62</v>
      </c>
      <c r="K149" s="121" t="s">
        <v>1</v>
      </c>
      <c r="L149" s="24"/>
      <c r="M149" s="125" t="s">
        <v>1</v>
      </c>
      <c r="N149" s="126" t="s">
        <v>32</v>
      </c>
      <c r="O149" s="127">
        <v>3.6562800000000002</v>
      </c>
      <c r="P149" s="127">
        <f t="shared" si="1"/>
        <v>10.86280788</v>
      </c>
      <c r="Q149" s="127">
        <v>1.9483999999999999</v>
      </c>
      <c r="R149" s="127">
        <f t="shared" si="2"/>
        <v>5.7886964000000001</v>
      </c>
      <c r="S149" s="127">
        <v>0</v>
      </c>
      <c r="T149" s="128">
        <f t="shared" si="3"/>
        <v>0</v>
      </c>
      <c r="W149" s="199"/>
      <c r="X149" s="205" t="s">
        <v>76</v>
      </c>
      <c r="Y149" s="119" t="s">
        <v>231</v>
      </c>
      <c r="Z149" s="120" t="s">
        <v>236</v>
      </c>
      <c r="AA149" s="121" t="s">
        <v>237</v>
      </c>
      <c r="AB149" s="122" t="s">
        <v>234</v>
      </c>
      <c r="AC149" s="206">
        <f>2.971+1.3+3.623</f>
        <v>7.8940000000000001</v>
      </c>
      <c r="AD149" s="124">
        <v>249.62</v>
      </c>
      <c r="AE149" s="200">
        <f t="shared" si="4"/>
        <v>1970.5</v>
      </c>
      <c r="AF149" s="956" t="s">
        <v>6323</v>
      </c>
      <c r="AG149" s="407"/>
      <c r="AR149" s="129" t="s">
        <v>235</v>
      </c>
      <c r="AT149" s="129" t="s">
        <v>231</v>
      </c>
      <c r="AU149" s="129" t="s">
        <v>76</v>
      </c>
      <c r="AY149" s="13" t="s">
        <v>228</v>
      </c>
      <c r="BE149" s="130">
        <f t="shared" si="5"/>
        <v>0</v>
      </c>
      <c r="BF149" s="130">
        <f t="shared" si="6"/>
        <v>741.62</v>
      </c>
      <c r="BG149" s="130">
        <f t="shared" si="7"/>
        <v>0</v>
      </c>
      <c r="BH149" s="130">
        <f t="shared" si="8"/>
        <v>0</v>
      </c>
      <c r="BI149" s="130">
        <f t="shared" si="9"/>
        <v>0</v>
      </c>
      <c r="BJ149" s="13" t="s">
        <v>76</v>
      </c>
      <c r="BK149" s="130">
        <f t="shared" si="10"/>
        <v>741.62</v>
      </c>
      <c r="BL149" s="13" t="s">
        <v>235</v>
      </c>
      <c r="BM149" s="129" t="s">
        <v>235</v>
      </c>
    </row>
    <row r="150" spans="2:65" s="362" customFormat="1" ht="27.45" customHeight="1" x14ac:dyDescent="0.2">
      <c r="B150" s="118"/>
      <c r="C150" s="1234" t="s">
        <v>5205</v>
      </c>
      <c r="D150" s="1235"/>
      <c r="E150" s="1235"/>
      <c r="F150" s="1235"/>
      <c r="G150" s="1235"/>
      <c r="H150" s="1235"/>
      <c r="I150" s="1235"/>
      <c r="J150" s="1236"/>
      <c r="K150" s="121"/>
      <c r="L150" s="24"/>
      <c r="M150" s="125"/>
      <c r="N150" s="126"/>
      <c r="O150" s="127"/>
      <c r="P150" s="127"/>
      <c r="Q150" s="127"/>
      <c r="R150" s="127"/>
      <c r="S150" s="127"/>
      <c r="T150" s="128"/>
      <c r="W150" s="199"/>
      <c r="X150" s="341" t="s">
        <v>5837</v>
      </c>
      <c r="Y150" s="341" t="s">
        <v>231</v>
      </c>
      <c r="Z150" s="342" t="s">
        <v>5803</v>
      </c>
      <c r="AA150" s="343" t="s">
        <v>5804</v>
      </c>
      <c r="AB150" s="344" t="s">
        <v>284</v>
      </c>
      <c r="AC150" s="345">
        <v>1.8</v>
      </c>
      <c r="AD150" s="346">
        <v>19.45</v>
      </c>
      <c r="AE150" s="355">
        <f>ROUND(AD150*AC150,2)</f>
        <v>35.01</v>
      </c>
      <c r="AF150" s="956">
        <v>4</v>
      </c>
      <c r="AG150" s="407"/>
      <c r="AR150" s="129"/>
      <c r="AT150" s="129"/>
      <c r="AU150" s="129"/>
      <c r="AY150" s="13"/>
      <c r="BE150" s="130"/>
      <c r="BF150" s="130"/>
      <c r="BG150" s="130"/>
      <c r="BH150" s="130"/>
      <c r="BI150" s="130"/>
      <c r="BJ150" s="13"/>
      <c r="BK150" s="130"/>
      <c r="BL150" s="13"/>
      <c r="BM150" s="129"/>
    </row>
    <row r="151" spans="2:65" s="362" customFormat="1" ht="24" customHeight="1" x14ac:dyDescent="0.2">
      <c r="B151" s="118"/>
      <c r="C151" s="1234" t="s">
        <v>5205</v>
      </c>
      <c r="D151" s="1235"/>
      <c r="E151" s="1235"/>
      <c r="F151" s="1235"/>
      <c r="G151" s="1235"/>
      <c r="H151" s="1235"/>
      <c r="I151" s="1235"/>
      <c r="J151" s="1236"/>
      <c r="K151" s="121"/>
      <c r="L151" s="24"/>
      <c r="M151" s="125"/>
      <c r="N151" s="126"/>
      <c r="O151" s="127"/>
      <c r="P151" s="127"/>
      <c r="Q151" s="127"/>
      <c r="R151" s="127"/>
      <c r="S151" s="127"/>
      <c r="T151" s="128"/>
      <c r="W151" s="199"/>
      <c r="X151" s="341" t="s">
        <v>5838</v>
      </c>
      <c r="Y151" s="341" t="s">
        <v>231</v>
      </c>
      <c r="Z151" s="342" t="s">
        <v>5799</v>
      </c>
      <c r="AA151" s="343" t="s">
        <v>5800</v>
      </c>
      <c r="AB151" s="344" t="s">
        <v>292</v>
      </c>
      <c r="AC151" s="345">
        <v>6</v>
      </c>
      <c r="AD151" s="346">
        <v>12.49</v>
      </c>
      <c r="AE151" s="355">
        <f>ROUND(AD151*AC151,2)</f>
        <v>74.94</v>
      </c>
      <c r="AF151" s="956">
        <v>4</v>
      </c>
      <c r="AG151" s="407"/>
      <c r="AR151" s="129"/>
      <c r="AT151" s="129"/>
      <c r="AU151" s="129"/>
      <c r="AY151" s="13"/>
      <c r="BE151" s="130"/>
      <c r="BF151" s="130"/>
      <c r="BG151" s="130"/>
      <c r="BH151" s="130"/>
      <c r="BI151" s="130"/>
      <c r="BJ151" s="13"/>
      <c r="BK151" s="130"/>
      <c r="BL151" s="13"/>
      <c r="BM151" s="129"/>
    </row>
    <row r="152" spans="2:65" s="1" customFormat="1" ht="22.2" customHeight="1" x14ac:dyDescent="0.2">
      <c r="B152" s="118"/>
      <c r="C152" s="205" t="s">
        <v>229</v>
      </c>
      <c r="D152" s="119" t="s">
        <v>231</v>
      </c>
      <c r="E152" s="120" t="s">
        <v>238</v>
      </c>
      <c r="F152" s="121" t="s">
        <v>239</v>
      </c>
      <c r="G152" s="122" t="s">
        <v>234</v>
      </c>
      <c r="H152" s="206">
        <v>6.1970000000000001</v>
      </c>
      <c r="I152" s="124">
        <v>162.54</v>
      </c>
      <c r="J152" s="124">
        <f t="shared" si="0"/>
        <v>1007.26</v>
      </c>
      <c r="K152" s="121" t="s">
        <v>1</v>
      </c>
      <c r="L152" s="24"/>
      <c r="M152" s="125" t="s">
        <v>1</v>
      </c>
      <c r="N152" s="126" t="s">
        <v>32</v>
      </c>
      <c r="O152" s="127">
        <v>0</v>
      </c>
      <c r="P152" s="127">
        <f t="shared" si="1"/>
        <v>0</v>
      </c>
      <c r="Q152" s="127">
        <v>0</v>
      </c>
      <c r="R152" s="127">
        <f t="shared" si="2"/>
        <v>0</v>
      </c>
      <c r="S152" s="127">
        <v>0</v>
      </c>
      <c r="T152" s="128">
        <f t="shared" si="3"/>
        <v>0</v>
      </c>
      <c r="W152" s="199"/>
      <c r="X152" s="205" t="s">
        <v>229</v>
      </c>
      <c r="Y152" s="119" t="s">
        <v>231</v>
      </c>
      <c r="Z152" s="120" t="s">
        <v>238</v>
      </c>
      <c r="AA152" s="121" t="s">
        <v>239</v>
      </c>
      <c r="AB152" s="122" t="s">
        <v>234</v>
      </c>
      <c r="AC152" s="206">
        <f>6.197+0.247</f>
        <v>6.444</v>
      </c>
      <c r="AD152" s="124">
        <v>162.54</v>
      </c>
      <c r="AE152" s="200">
        <f t="shared" si="4"/>
        <v>1047.4100000000001</v>
      </c>
      <c r="AF152" s="956">
        <v>14</v>
      </c>
      <c r="AG152" s="407"/>
      <c r="AR152" s="129" t="s">
        <v>235</v>
      </c>
      <c r="AT152" s="129" t="s">
        <v>231</v>
      </c>
      <c r="AU152" s="129" t="s">
        <v>76</v>
      </c>
      <c r="AY152" s="13" t="s">
        <v>228</v>
      </c>
      <c r="BE152" s="130">
        <f t="shared" si="5"/>
        <v>0</v>
      </c>
      <c r="BF152" s="130">
        <f t="shared" si="6"/>
        <v>1007.26</v>
      </c>
      <c r="BG152" s="130">
        <f t="shared" si="7"/>
        <v>0</v>
      </c>
      <c r="BH152" s="130">
        <f t="shared" si="8"/>
        <v>0</v>
      </c>
      <c r="BI152" s="130">
        <f t="shared" si="9"/>
        <v>0</v>
      </c>
      <c r="BJ152" s="13" t="s">
        <v>76</v>
      </c>
      <c r="BK152" s="130">
        <f t="shared" si="10"/>
        <v>1007.26</v>
      </c>
      <c r="BL152" s="13" t="s">
        <v>235</v>
      </c>
      <c r="BM152" s="129" t="s">
        <v>240</v>
      </c>
    </row>
    <row r="153" spans="2:65" s="1" customFormat="1" ht="16.5" customHeight="1" x14ac:dyDescent="0.2">
      <c r="B153" s="118"/>
      <c r="C153" s="205" t="s">
        <v>235</v>
      </c>
      <c r="D153" s="119" t="s">
        <v>231</v>
      </c>
      <c r="E153" s="120" t="s">
        <v>241</v>
      </c>
      <c r="F153" s="121" t="s">
        <v>242</v>
      </c>
      <c r="G153" s="122" t="s">
        <v>243</v>
      </c>
      <c r="H153" s="206">
        <v>16</v>
      </c>
      <c r="I153" s="124">
        <v>28.21</v>
      </c>
      <c r="J153" s="124">
        <f t="shared" si="0"/>
        <v>451.36</v>
      </c>
      <c r="K153" s="121" t="s">
        <v>1</v>
      </c>
      <c r="L153" s="24"/>
      <c r="M153" s="125" t="s">
        <v>1</v>
      </c>
      <c r="N153" s="126" t="s">
        <v>32</v>
      </c>
      <c r="O153" s="127">
        <v>0</v>
      </c>
      <c r="P153" s="127">
        <f t="shared" si="1"/>
        <v>0</v>
      </c>
      <c r="Q153" s="127">
        <v>0</v>
      </c>
      <c r="R153" s="127">
        <f t="shared" si="2"/>
        <v>0</v>
      </c>
      <c r="S153" s="127">
        <v>0</v>
      </c>
      <c r="T153" s="128">
        <f t="shared" si="3"/>
        <v>0</v>
      </c>
      <c r="W153" s="199"/>
      <c r="X153" s="205" t="s">
        <v>235</v>
      </c>
      <c r="Y153" s="119" t="s">
        <v>231</v>
      </c>
      <c r="Z153" s="120" t="s">
        <v>241</v>
      </c>
      <c r="AA153" s="121" t="s">
        <v>242</v>
      </c>
      <c r="AB153" s="122" t="s">
        <v>243</v>
      </c>
      <c r="AC153" s="206">
        <f>16+1</f>
        <v>17</v>
      </c>
      <c r="AD153" s="124">
        <v>28.21</v>
      </c>
      <c r="AE153" s="200">
        <f t="shared" si="4"/>
        <v>479.57</v>
      </c>
      <c r="AF153" s="956">
        <v>14</v>
      </c>
      <c r="AG153" s="407"/>
      <c r="AR153" s="129" t="s">
        <v>235</v>
      </c>
      <c r="AT153" s="129" t="s">
        <v>231</v>
      </c>
      <c r="AU153" s="129" t="s">
        <v>76</v>
      </c>
      <c r="AY153" s="13" t="s">
        <v>228</v>
      </c>
      <c r="BE153" s="130">
        <f t="shared" si="5"/>
        <v>0</v>
      </c>
      <c r="BF153" s="130">
        <f t="shared" si="6"/>
        <v>451.36</v>
      </c>
      <c r="BG153" s="130">
        <f t="shared" si="7"/>
        <v>0</v>
      </c>
      <c r="BH153" s="130">
        <f t="shared" si="8"/>
        <v>0</v>
      </c>
      <c r="BI153" s="130">
        <f t="shared" si="9"/>
        <v>0</v>
      </c>
      <c r="BJ153" s="13" t="s">
        <v>76</v>
      </c>
      <c r="BK153" s="130">
        <f t="shared" si="10"/>
        <v>451.36</v>
      </c>
      <c r="BL153" s="13" t="s">
        <v>235</v>
      </c>
      <c r="BM153" s="129" t="s">
        <v>244</v>
      </c>
    </row>
    <row r="154" spans="2:65" s="1" customFormat="1" ht="16.5" customHeight="1" x14ac:dyDescent="0.2">
      <c r="B154" s="118"/>
      <c r="C154" s="119" t="s">
        <v>245</v>
      </c>
      <c r="D154" s="119" t="s">
        <v>231</v>
      </c>
      <c r="E154" s="120" t="s">
        <v>246</v>
      </c>
      <c r="F154" s="121" t="s">
        <v>247</v>
      </c>
      <c r="G154" s="122" t="s">
        <v>243</v>
      </c>
      <c r="H154" s="123">
        <v>10</v>
      </c>
      <c r="I154" s="124">
        <v>36.57</v>
      </c>
      <c r="J154" s="124">
        <f t="shared" si="0"/>
        <v>365.7</v>
      </c>
      <c r="K154" s="121" t="s">
        <v>1</v>
      </c>
      <c r="L154" s="24"/>
      <c r="M154" s="125" t="s">
        <v>1</v>
      </c>
      <c r="N154" s="126" t="s">
        <v>32</v>
      </c>
      <c r="O154" s="127">
        <v>0</v>
      </c>
      <c r="P154" s="127">
        <f t="shared" si="1"/>
        <v>0</v>
      </c>
      <c r="Q154" s="127">
        <v>0</v>
      </c>
      <c r="R154" s="127">
        <f t="shared" si="2"/>
        <v>0</v>
      </c>
      <c r="S154" s="127">
        <v>0</v>
      </c>
      <c r="T154" s="128">
        <f t="shared" si="3"/>
        <v>0</v>
      </c>
      <c r="W154" s="199"/>
      <c r="X154" s="119" t="s">
        <v>245</v>
      </c>
      <c r="Y154" s="119" t="s">
        <v>231</v>
      </c>
      <c r="Z154" s="120" t="s">
        <v>246</v>
      </c>
      <c r="AA154" s="121" t="s">
        <v>247</v>
      </c>
      <c r="AB154" s="122" t="s">
        <v>243</v>
      </c>
      <c r="AC154" s="123">
        <v>10</v>
      </c>
      <c r="AD154" s="124">
        <v>36.57</v>
      </c>
      <c r="AE154" s="200">
        <f t="shared" si="4"/>
        <v>365.7</v>
      </c>
      <c r="AF154" s="956"/>
      <c r="AG154" s="407"/>
      <c r="AR154" s="129" t="s">
        <v>235</v>
      </c>
      <c r="AT154" s="129" t="s">
        <v>231</v>
      </c>
      <c r="AU154" s="129" t="s">
        <v>76</v>
      </c>
      <c r="AY154" s="13" t="s">
        <v>228</v>
      </c>
      <c r="BE154" s="130">
        <f t="shared" si="5"/>
        <v>0</v>
      </c>
      <c r="BF154" s="130">
        <f t="shared" si="6"/>
        <v>365.7</v>
      </c>
      <c r="BG154" s="130">
        <f t="shared" si="7"/>
        <v>0</v>
      </c>
      <c r="BH154" s="130">
        <f t="shared" si="8"/>
        <v>0</v>
      </c>
      <c r="BI154" s="130">
        <f t="shared" si="9"/>
        <v>0</v>
      </c>
      <c r="BJ154" s="13" t="s">
        <v>76</v>
      </c>
      <c r="BK154" s="130">
        <f t="shared" si="10"/>
        <v>365.7</v>
      </c>
      <c r="BL154" s="13" t="s">
        <v>235</v>
      </c>
      <c r="BM154" s="129" t="s">
        <v>248</v>
      </c>
    </row>
    <row r="155" spans="2:65" s="1" customFormat="1" ht="16.5" customHeight="1" x14ac:dyDescent="0.2">
      <c r="B155" s="118"/>
      <c r="C155" s="119" t="s">
        <v>240</v>
      </c>
      <c r="D155" s="119" t="s">
        <v>231</v>
      </c>
      <c r="E155" s="120" t="s">
        <v>249</v>
      </c>
      <c r="F155" s="121" t="s">
        <v>250</v>
      </c>
      <c r="G155" s="122" t="s">
        <v>243</v>
      </c>
      <c r="H155" s="123">
        <v>1</v>
      </c>
      <c r="I155" s="124">
        <v>51.66</v>
      </c>
      <c r="J155" s="124">
        <f t="shared" si="0"/>
        <v>51.66</v>
      </c>
      <c r="K155" s="121" t="s">
        <v>1</v>
      </c>
      <c r="L155" s="24"/>
      <c r="M155" s="125" t="s">
        <v>1</v>
      </c>
      <c r="N155" s="126" t="s">
        <v>32</v>
      </c>
      <c r="O155" s="127">
        <v>0</v>
      </c>
      <c r="P155" s="127">
        <f t="shared" si="1"/>
        <v>0</v>
      </c>
      <c r="Q155" s="127">
        <v>0</v>
      </c>
      <c r="R155" s="127">
        <f t="shared" si="2"/>
        <v>0</v>
      </c>
      <c r="S155" s="127">
        <v>0</v>
      </c>
      <c r="T155" s="128">
        <f t="shared" si="3"/>
        <v>0</v>
      </c>
      <c r="W155" s="199"/>
      <c r="X155" s="119" t="s">
        <v>240</v>
      </c>
      <c r="Y155" s="119" t="s">
        <v>231</v>
      </c>
      <c r="Z155" s="120" t="s">
        <v>249</v>
      </c>
      <c r="AA155" s="121" t="s">
        <v>250</v>
      </c>
      <c r="AB155" s="122" t="s">
        <v>243</v>
      </c>
      <c r="AC155" s="123">
        <v>1</v>
      </c>
      <c r="AD155" s="124">
        <v>51.66</v>
      </c>
      <c r="AE155" s="200">
        <f t="shared" si="4"/>
        <v>51.66</v>
      </c>
      <c r="AF155" s="956"/>
      <c r="AG155" s="407"/>
      <c r="AR155" s="129" t="s">
        <v>235</v>
      </c>
      <c r="AT155" s="129" t="s">
        <v>231</v>
      </c>
      <c r="AU155" s="129" t="s">
        <v>76</v>
      </c>
      <c r="AY155" s="13" t="s">
        <v>228</v>
      </c>
      <c r="BE155" s="130">
        <f t="shared" si="5"/>
        <v>0</v>
      </c>
      <c r="BF155" s="130">
        <f t="shared" si="6"/>
        <v>51.66</v>
      </c>
      <c r="BG155" s="130">
        <f t="shared" si="7"/>
        <v>0</v>
      </c>
      <c r="BH155" s="130">
        <f t="shared" si="8"/>
        <v>0</v>
      </c>
      <c r="BI155" s="130">
        <f t="shared" si="9"/>
        <v>0</v>
      </c>
      <c r="BJ155" s="13" t="s">
        <v>76</v>
      </c>
      <c r="BK155" s="130">
        <f t="shared" si="10"/>
        <v>51.66</v>
      </c>
      <c r="BL155" s="13" t="s">
        <v>235</v>
      </c>
      <c r="BM155" s="129" t="s">
        <v>251</v>
      </c>
    </row>
    <row r="156" spans="2:65" s="1" customFormat="1" ht="16.5" customHeight="1" x14ac:dyDescent="0.2">
      <c r="B156" s="118"/>
      <c r="C156" s="119" t="s">
        <v>252</v>
      </c>
      <c r="D156" s="119" t="s">
        <v>231</v>
      </c>
      <c r="E156" s="120" t="s">
        <v>253</v>
      </c>
      <c r="F156" s="121" t="s">
        <v>254</v>
      </c>
      <c r="G156" s="122" t="s">
        <v>243</v>
      </c>
      <c r="H156" s="123">
        <v>1</v>
      </c>
      <c r="I156" s="124">
        <v>12.77</v>
      </c>
      <c r="J156" s="124">
        <f t="shared" si="0"/>
        <v>12.77</v>
      </c>
      <c r="K156" s="121" t="s">
        <v>1</v>
      </c>
      <c r="L156" s="24"/>
      <c r="M156" s="125" t="s">
        <v>1</v>
      </c>
      <c r="N156" s="126" t="s">
        <v>32</v>
      </c>
      <c r="O156" s="127">
        <v>0</v>
      </c>
      <c r="P156" s="127">
        <f t="shared" si="1"/>
        <v>0</v>
      </c>
      <c r="Q156" s="127">
        <v>0</v>
      </c>
      <c r="R156" s="127">
        <f t="shared" si="2"/>
        <v>0</v>
      </c>
      <c r="S156" s="127">
        <v>0</v>
      </c>
      <c r="T156" s="128">
        <f t="shared" si="3"/>
        <v>0</v>
      </c>
      <c r="W156" s="199"/>
      <c r="X156" s="119" t="s">
        <v>252</v>
      </c>
      <c r="Y156" s="119" t="s">
        <v>231</v>
      </c>
      <c r="Z156" s="120" t="s">
        <v>253</v>
      </c>
      <c r="AA156" s="121" t="s">
        <v>254</v>
      </c>
      <c r="AB156" s="122" t="s">
        <v>243</v>
      </c>
      <c r="AC156" s="123">
        <v>1</v>
      </c>
      <c r="AD156" s="124">
        <v>12.77</v>
      </c>
      <c r="AE156" s="200">
        <f t="shared" si="4"/>
        <v>12.77</v>
      </c>
      <c r="AF156" s="956"/>
      <c r="AG156" s="407"/>
      <c r="AR156" s="129" t="s">
        <v>235</v>
      </c>
      <c r="AT156" s="129" t="s">
        <v>231</v>
      </c>
      <c r="AU156" s="129" t="s">
        <v>76</v>
      </c>
      <c r="AY156" s="13" t="s">
        <v>228</v>
      </c>
      <c r="BE156" s="130">
        <f t="shared" si="5"/>
        <v>0</v>
      </c>
      <c r="BF156" s="130">
        <f t="shared" si="6"/>
        <v>12.77</v>
      </c>
      <c r="BG156" s="130">
        <f t="shared" si="7"/>
        <v>0</v>
      </c>
      <c r="BH156" s="130">
        <f t="shared" si="8"/>
        <v>0</v>
      </c>
      <c r="BI156" s="130">
        <f t="shared" si="9"/>
        <v>0</v>
      </c>
      <c r="BJ156" s="13" t="s">
        <v>76</v>
      </c>
      <c r="BK156" s="130">
        <f t="shared" si="10"/>
        <v>12.77</v>
      </c>
      <c r="BL156" s="13" t="s">
        <v>235</v>
      </c>
      <c r="BM156" s="129" t="s">
        <v>255</v>
      </c>
    </row>
    <row r="157" spans="2:65" s="1" customFormat="1" ht="16.5" customHeight="1" x14ac:dyDescent="0.2">
      <c r="B157" s="118"/>
      <c r="C157" s="205" t="s">
        <v>244</v>
      </c>
      <c r="D157" s="119" t="s">
        <v>231</v>
      </c>
      <c r="E157" s="120" t="s">
        <v>256</v>
      </c>
      <c r="F157" s="121" t="s">
        <v>257</v>
      </c>
      <c r="G157" s="122" t="s">
        <v>243</v>
      </c>
      <c r="H157" s="206">
        <v>3</v>
      </c>
      <c r="I157" s="124">
        <v>14.4</v>
      </c>
      <c r="J157" s="124">
        <f t="shared" si="0"/>
        <v>43.2</v>
      </c>
      <c r="K157" s="121" t="s">
        <v>1</v>
      </c>
      <c r="L157" s="24"/>
      <c r="M157" s="125" t="s">
        <v>1</v>
      </c>
      <c r="N157" s="126" t="s">
        <v>32</v>
      </c>
      <c r="O157" s="127">
        <v>0</v>
      </c>
      <c r="P157" s="127">
        <f t="shared" si="1"/>
        <v>0</v>
      </c>
      <c r="Q157" s="127">
        <v>0</v>
      </c>
      <c r="R157" s="127">
        <f t="shared" si="2"/>
        <v>0</v>
      </c>
      <c r="S157" s="127">
        <v>0</v>
      </c>
      <c r="T157" s="128">
        <f t="shared" si="3"/>
        <v>0</v>
      </c>
      <c r="W157" s="199"/>
      <c r="X157" s="205" t="s">
        <v>244</v>
      </c>
      <c r="Y157" s="119" t="s">
        <v>231</v>
      </c>
      <c r="Z157" s="120" t="s">
        <v>256</v>
      </c>
      <c r="AA157" s="121" t="s">
        <v>257</v>
      </c>
      <c r="AB157" s="122" t="s">
        <v>243</v>
      </c>
      <c r="AC157" s="206">
        <f>3+1</f>
        <v>4</v>
      </c>
      <c r="AD157" s="124">
        <v>14.4</v>
      </c>
      <c r="AE157" s="200">
        <f t="shared" si="4"/>
        <v>57.6</v>
      </c>
      <c r="AF157" s="956">
        <v>14</v>
      </c>
      <c r="AG157" s="407"/>
      <c r="AR157" s="129" t="s">
        <v>235</v>
      </c>
      <c r="AT157" s="129" t="s">
        <v>231</v>
      </c>
      <c r="AU157" s="129" t="s">
        <v>76</v>
      </c>
      <c r="AY157" s="13" t="s">
        <v>228</v>
      </c>
      <c r="BE157" s="130">
        <f t="shared" si="5"/>
        <v>0</v>
      </c>
      <c r="BF157" s="130">
        <f t="shared" si="6"/>
        <v>43.2</v>
      </c>
      <c r="BG157" s="130">
        <f t="shared" si="7"/>
        <v>0</v>
      </c>
      <c r="BH157" s="130">
        <f t="shared" si="8"/>
        <v>0</v>
      </c>
      <c r="BI157" s="130">
        <f t="shared" si="9"/>
        <v>0</v>
      </c>
      <c r="BJ157" s="13" t="s">
        <v>76</v>
      </c>
      <c r="BK157" s="130">
        <f t="shared" si="10"/>
        <v>43.2</v>
      </c>
      <c r="BL157" s="13" t="s">
        <v>235</v>
      </c>
      <c r="BM157" s="129" t="s">
        <v>258</v>
      </c>
    </row>
    <row r="158" spans="2:65" s="1" customFormat="1" ht="16.5" customHeight="1" x14ac:dyDescent="0.2">
      <c r="B158" s="118"/>
      <c r="C158" s="119" t="s">
        <v>259</v>
      </c>
      <c r="D158" s="119" t="s">
        <v>231</v>
      </c>
      <c r="E158" s="120" t="s">
        <v>260</v>
      </c>
      <c r="F158" s="121" t="s">
        <v>261</v>
      </c>
      <c r="G158" s="122" t="s">
        <v>243</v>
      </c>
      <c r="H158" s="123">
        <v>7</v>
      </c>
      <c r="I158" s="124">
        <v>16.02</v>
      </c>
      <c r="J158" s="124">
        <f t="shared" si="0"/>
        <v>112.14</v>
      </c>
      <c r="K158" s="121" t="s">
        <v>1</v>
      </c>
      <c r="L158" s="24"/>
      <c r="M158" s="125" t="s">
        <v>1</v>
      </c>
      <c r="N158" s="126" t="s">
        <v>32</v>
      </c>
      <c r="O158" s="127">
        <v>0</v>
      </c>
      <c r="P158" s="127">
        <f t="shared" si="1"/>
        <v>0</v>
      </c>
      <c r="Q158" s="127">
        <v>0</v>
      </c>
      <c r="R158" s="127">
        <f t="shared" si="2"/>
        <v>0</v>
      </c>
      <c r="S158" s="127">
        <v>0</v>
      </c>
      <c r="T158" s="128">
        <f t="shared" si="3"/>
        <v>0</v>
      </c>
      <c r="W158" s="199"/>
      <c r="X158" s="119" t="s">
        <v>259</v>
      </c>
      <c r="Y158" s="119" t="s">
        <v>231</v>
      </c>
      <c r="Z158" s="120" t="s">
        <v>260</v>
      </c>
      <c r="AA158" s="121" t="s">
        <v>261</v>
      </c>
      <c r="AB158" s="122" t="s">
        <v>243</v>
      </c>
      <c r="AC158" s="123">
        <v>7</v>
      </c>
      <c r="AD158" s="124">
        <v>16.02</v>
      </c>
      <c r="AE158" s="200">
        <f t="shared" si="4"/>
        <v>112.14</v>
      </c>
      <c r="AF158" s="956"/>
      <c r="AG158" s="407"/>
      <c r="AR158" s="129" t="s">
        <v>235</v>
      </c>
      <c r="AT158" s="129" t="s">
        <v>231</v>
      </c>
      <c r="AU158" s="129" t="s">
        <v>76</v>
      </c>
      <c r="AY158" s="13" t="s">
        <v>228</v>
      </c>
      <c r="BE158" s="130">
        <f t="shared" si="5"/>
        <v>0</v>
      </c>
      <c r="BF158" s="130">
        <f t="shared" si="6"/>
        <v>112.14</v>
      </c>
      <c r="BG158" s="130">
        <f t="shared" si="7"/>
        <v>0</v>
      </c>
      <c r="BH158" s="130">
        <f t="shared" si="8"/>
        <v>0</v>
      </c>
      <c r="BI158" s="130">
        <f t="shared" si="9"/>
        <v>0</v>
      </c>
      <c r="BJ158" s="13" t="s">
        <v>76</v>
      </c>
      <c r="BK158" s="130">
        <f t="shared" si="10"/>
        <v>112.14</v>
      </c>
      <c r="BL158" s="13" t="s">
        <v>235</v>
      </c>
      <c r="BM158" s="129" t="s">
        <v>262</v>
      </c>
    </row>
    <row r="159" spans="2:65" s="1084" customFormat="1" ht="16.5" customHeight="1" x14ac:dyDescent="0.2">
      <c r="B159" s="1028"/>
      <c r="C159" s="1094"/>
      <c r="D159" s="1095"/>
      <c r="E159" s="1096"/>
      <c r="F159" s="1097"/>
      <c r="G159" s="1098"/>
      <c r="H159" s="1099"/>
      <c r="I159" s="1100"/>
      <c r="J159" s="1101"/>
      <c r="K159" s="1031"/>
      <c r="L159" s="1027"/>
      <c r="M159" s="1035"/>
      <c r="N159" s="1036"/>
      <c r="O159" s="1037"/>
      <c r="P159" s="1037"/>
      <c r="Q159" s="1037"/>
      <c r="R159" s="1037"/>
      <c r="S159" s="1037"/>
      <c r="T159" s="1038"/>
      <c r="W159" s="1041"/>
      <c r="X159" s="1072" t="s">
        <v>6656</v>
      </c>
      <c r="Y159" s="1072" t="s">
        <v>231</v>
      </c>
      <c r="Z159" s="1073" t="s">
        <v>4249</v>
      </c>
      <c r="AA159" s="1074" t="s">
        <v>6657</v>
      </c>
      <c r="AB159" s="1075" t="s">
        <v>243</v>
      </c>
      <c r="AC159" s="1076">
        <v>1</v>
      </c>
      <c r="AD159" s="1077">
        <v>22.06</v>
      </c>
      <c r="AE159" s="1078">
        <f>AC159*AD159</f>
        <v>22.06</v>
      </c>
      <c r="AF159" s="956">
        <v>22</v>
      </c>
      <c r="AG159" s="407"/>
      <c r="AR159" s="1039"/>
      <c r="AT159" s="1039"/>
      <c r="AU159" s="1039"/>
      <c r="AY159" s="1026"/>
      <c r="BE159" s="1040"/>
      <c r="BF159" s="1040"/>
      <c r="BG159" s="1040"/>
      <c r="BH159" s="1040"/>
      <c r="BI159" s="1040"/>
      <c r="BJ159" s="1026"/>
      <c r="BK159" s="1040"/>
      <c r="BL159" s="1026"/>
      <c r="BM159" s="1039"/>
    </row>
    <row r="160" spans="2:65" s="648" customFormat="1" ht="16.5" customHeight="1" x14ac:dyDescent="0.2">
      <c r="B160" s="118"/>
      <c r="C160" s="1234" t="s">
        <v>5205</v>
      </c>
      <c r="D160" s="1235"/>
      <c r="E160" s="1235"/>
      <c r="F160" s="1235"/>
      <c r="G160" s="1235"/>
      <c r="H160" s="1235"/>
      <c r="I160" s="1235"/>
      <c r="J160" s="1236"/>
      <c r="K160" s="121"/>
      <c r="L160" s="24"/>
      <c r="M160" s="125"/>
      <c r="N160" s="126"/>
      <c r="O160" s="127"/>
      <c r="P160" s="127"/>
      <c r="Q160" s="127"/>
      <c r="R160" s="127"/>
      <c r="S160" s="127"/>
      <c r="T160" s="128"/>
      <c r="W160" s="199"/>
      <c r="X160" s="207" t="s">
        <v>5341</v>
      </c>
      <c r="Y160" s="207" t="s">
        <v>231</v>
      </c>
      <c r="Z160" s="342" t="s">
        <v>6318</v>
      </c>
      <c r="AA160" s="343" t="s">
        <v>6319</v>
      </c>
      <c r="AB160" s="344" t="s">
        <v>243</v>
      </c>
      <c r="AC160" s="345">
        <v>2</v>
      </c>
      <c r="AD160" s="346">
        <v>25</v>
      </c>
      <c r="AE160" s="355">
        <f>AC160*AD160</f>
        <v>50</v>
      </c>
      <c r="AF160" s="956">
        <v>14</v>
      </c>
      <c r="AG160" s="407"/>
      <c r="AR160" s="129"/>
      <c r="AT160" s="129"/>
      <c r="AU160" s="129"/>
      <c r="AY160" s="13"/>
      <c r="BE160" s="130"/>
      <c r="BF160" s="130"/>
      <c r="BG160" s="130"/>
      <c r="BH160" s="130"/>
      <c r="BI160" s="130"/>
      <c r="BJ160" s="13"/>
      <c r="BK160" s="130"/>
      <c r="BL160" s="13"/>
      <c r="BM160" s="129"/>
    </row>
    <row r="161" spans="2:65" s="1" customFormat="1" ht="16.5" customHeight="1" x14ac:dyDescent="0.2">
      <c r="B161" s="118"/>
      <c r="C161" s="119" t="s">
        <v>248</v>
      </c>
      <c r="D161" s="119" t="s">
        <v>231</v>
      </c>
      <c r="E161" s="120" t="s">
        <v>263</v>
      </c>
      <c r="F161" s="121" t="s">
        <v>264</v>
      </c>
      <c r="G161" s="122" t="s">
        <v>243</v>
      </c>
      <c r="H161" s="123">
        <v>2</v>
      </c>
      <c r="I161" s="124">
        <v>28.44</v>
      </c>
      <c r="J161" s="124">
        <f t="shared" si="0"/>
        <v>56.88</v>
      </c>
      <c r="K161" s="121" t="s">
        <v>1</v>
      </c>
      <c r="L161" s="24"/>
      <c r="M161" s="125" t="s">
        <v>1</v>
      </c>
      <c r="N161" s="126" t="s">
        <v>32</v>
      </c>
      <c r="O161" s="127">
        <v>0</v>
      </c>
      <c r="P161" s="127">
        <f t="shared" si="1"/>
        <v>0</v>
      </c>
      <c r="Q161" s="127">
        <v>0</v>
      </c>
      <c r="R161" s="127">
        <f t="shared" si="2"/>
        <v>0</v>
      </c>
      <c r="S161" s="127">
        <v>0</v>
      </c>
      <c r="T161" s="128">
        <f t="shared" si="3"/>
        <v>0</v>
      </c>
      <c r="W161" s="199"/>
      <c r="X161" s="119" t="s">
        <v>248</v>
      </c>
      <c r="Y161" s="119" t="s">
        <v>231</v>
      </c>
      <c r="Z161" s="120" t="s">
        <v>263</v>
      </c>
      <c r="AA161" s="121" t="s">
        <v>264</v>
      </c>
      <c r="AB161" s="122" t="s">
        <v>243</v>
      </c>
      <c r="AC161" s="123">
        <v>2</v>
      </c>
      <c r="AD161" s="124">
        <v>28.44</v>
      </c>
      <c r="AE161" s="200">
        <f t="shared" si="4"/>
        <v>56.88</v>
      </c>
      <c r="AF161" s="956"/>
      <c r="AG161" s="407"/>
      <c r="AR161" s="129" t="s">
        <v>235</v>
      </c>
      <c r="AT161" s="129" t="s">
        <v>231</v>
      </c>
      <c r="AU161" s="129" t="s">
        <v>76</v>
      </c>
      <c r="AY161" s="13" t="s">
        <v>228</v>
      </c>
      <c r="BE161" s="130">
        <f t="shared" si="5"/>
        <v>0</v>
      </c>
      <c r="BF161" s="130">
        <f t="shared" si="6"/>
        <v>56.88</v>
      </c>
      <c r="BG161" s="130">
        <f t="shared" si="7"/>
        <v>0</v>
      </c>
      <c r="BH161" s="130">
        <f t="shared" si="8"/>
        <v>0</v>
      </c>
      <c r="BI161" s="130">
        <f t="shared" si="9"/>
        <v>0</v>
      </c>
      <c r="BJ161" s="13" t="s">
        <v>76</v>
      </c>
      <c r="BK161" s="130">
        <f t="shared" si="10"/>
        <v>56.88</v>
      </c>
      <c r="BL161" s="13" t="s">
        <v>235</v>
      </c>
      <c r="BM161" s="129" t="s">
        <v>7</v>
      </c>
    </row>
    <row r="162" spans="2:65" s="362" customFormat="1" ht="25.2" customHeight="1" x14ac:dyDescent="0.2">
      <c r="B162" s="118"/>
      <c r="C162" s="1234" t="s">
        <v>5205</v>
      </c>
      <c r="D162" s="1235"/>
      <c r="E162" s="1235"/>
      <c r="F162" s="1235"/>
      <c r="G162" s="1235"/>
      <c r="H162" s="1235"/>
      <c r="I162" s="1235"/>
      <c r="J162" s="1236"/>
      <c r="K162" s="121"/>
      <c r="L162" s="24"/>
      <c r="M162" s="125"/>
      <c r="N162" s="126"/>
      <c r="O162" s="127"/>
      <c r="P162" s="127"/>
      <c r="Q162" s="127"/>
      <c r="R162" s="127"/>
      <c r="S162" s="127"/>
      <c r="T162" s="128"/>
      <c r="W162" s="199"/>
      <c r="X162" s="341" t="s">
        <v>5839</v>
      </c>
      <c r="Y162" s="341" t="s">
        <v>231</v>
      </c>
      <c r="Z162" s="342" t="s">
        <v>5801</v>
      </c>
      <c r="AA162" s="343" t="s">
        <v>5802</v>
      </c>
      <c r="AB162" s="344" t="s">
        <v>1194</v>
      </c>
      <c r="AC162" s="345">
        <v>32</v>
      </c>
      <c r="AD162" s="346">
        <v>20.03</v>
      </c>
      <c r="AE162" s="355">
        <f>ROUND(AD162*AC162,2)</f>
        <v>640.96</v>
      </c>
      <c r="AF162" s="956">
        <v>4</v>
      </c>
      <c r="AG162" s="407"/>
      <c r="AR162" s="129"/>
      <c r="AT162" s="129"/>
      <c r="AU162" s="129"/>
      <c r="AY162" s="13"/>
      <c r="BE162" s="130"/>
      <c r="BF162" s="130"/>
      <c r="BG162" s="130"/>
      <c r="BH162" s="130"/>
      <c r="BI162" s="130"/>
      <c r="BJ162" s="13"/>
      <c r="BK162" s="130"/>
      <c r="BL162" s="13"/>
      <c r="BM162" s="129"/>
    </row>
    <row r="163" spans="2:65" s="1084" customFormat="1" ht="25.2" customHeight="1" x14ac:dyDescent="0.2">
      <c r="B163" s="1028"/>
      <c r="C163" s="1081"/>
      <c r="D163" s="1082"/>
      <c r="E163" s="1082"/>
      <c r="F163" s="1082"/>
      <c r="G163" s="1082"/>
      <c r="H163" s="1082"/>
      <c r="I163" s="1082"/>
      <c r="J163" s="1083"/>
      <c r="K163" s="1031"/>
      <c r="L163" s="1027"/>
      <c r="M163" s="1035"/>
      <c r="N163" s="1036"/>
      <c r="O163" s="1037"/>
      <c r="P163" s="1037"/>
      <c r="Q163" s="1037"/>
      <c r="R163" s="1037"/>
      <c r="S163" s="1037"/>
      <c r="T163" s="1038"/>
      <c r="W163" s="1041"/>
      <c r="X163" s="1072" t="s">
        <v>6466</v>
      </c>
      <c r="Y163" s="1072" t="s">
        <v>231</v>
      </c>
      <c r="Z163" s="1073" t="s">
        <v>6422</v>
      </c>
      <c r="AA163" s="1074" t="s">
        <v>6658</v>
      </c>
      <c r="AB163" s="1075" t="s">
        <v>1194</v>
      </c>
      <c r="AC163" s="1076">
        <f>2+8</f>
        <v>10</v>
      </c>
      <c r="AD163" s="1077">
        <v>28.03</v>
      </c>
      <c r="AE163" s="1078">
        <f>ROUND(AD163*AC163,2)</f>
        <v>280.3</v>
      </c>
      <c r="AF163" s="956">
        <v>22</v>
      </c>
      <c r="AG163" s="407"/>
      <c r="AR163" s="1039"/>
      <c r="AT163" s="1039"/>
      <c r="AU163" s="1039"/>
      <c r="AY163" s="1026"/>
      <c r="BE163" s="1040"/>
      <c r="BF163" s="1040"/>
      <c r="BG163" s="1040"/>
      <c r="BH163" s="1040"/>
      <c r="BI163" s="1040"/>
      <c r="BJ163" s="1026"/>
      <c r="BK163" s="1040"/>
      <c r="BL163" s="1026"/>
      <c r="BM163" s="1039"/>
    </row>
    <row r="164" spans="2:65" s="1" customFormat="1" ht="16.5" customHeight="1" x14ac:dyDescent="0.2">
      <c r="B164" s="118"/>
      <c r="C164" s="205" t="s">
        <v>265</v>
      </c>
      <c r="D164" s="119" t="s">
        <v>231</v>
      </c>
      <c r="E164" s="120" t="s">
        <v>266</v>
      </c>
      <c r="F164" s="121" t="s">
        <v>267</v>
      </c>
      <c r="G164" s="122" t="s">
        <v>234</v>
      </c>
      <c r="H164" s="206">
        <v>1.1000000000000001</v>
      </c>
      <c r="I164" s="124">
        <v>183.44</v>
      </c>
      <c r="J164" s="124">
        <f t="shared" si="0"/>
        <v>201.78</v>
      </c>
      <c r="K164" s="121" t="s">
        <v>1</v>
      </c>
      <c r="L164" s="24"/>
      <c r="M164" s="125" t="s">
        <v>1</v>
      </c>
      <c r="N164" s="126" t="s">
        <v>32</v>
      </c>
      <c r="O164" s="127">
        <v>0</v>
      </c>
      <c r="P164" s="127">
        <f t="shared" si="1"/>
        <v>0</v>
      </c>
      <c r="Q164" s="127">
        <v>0</v>
      </c>
      <c r="R164" s="127">
        <f t="shared" si="2"/>
        <v>0</v>
      </c>
      <c r="S164" s="127">
        <v>0</v>
      </c>
      <c r="T164" s="128">
        <f t="shared" si="3"/>
        <v>0</v>
      </c>
      <c r="W164" s="199"/>
      <c r="X164" s="205" t="s">
        <v>265</v>
      </c>
      <c r="Y164" s="119" t="s">
        <v>231</v>
      </c>
      <c r="Z164" s="120" t="s">
        <v>266</v>
      </c>
      <c r="AA164" s="121" t="s">
        <v>267</v>
      </c>
      <c r="AB164" s="122" t="s">
        <v>234</v>
      </c>
      <c r="AC164" s="206">
        <f>1.1+1.4</f>
        <v>2.5</v>
      </c>
      <c r="AD164" s="124">
        <v>183.44</v>
      </c>
      <c r="AE164" s="200">
        <f t="shared" si="4"/>
        <v>458.6</v>
      </c>
      <c r="AF164" s="956">
        <v>14</v>
      </c>
      <c r="AG164" s="407"/>
      <c r="AR164" s="129" t="s">
        <v>235</v>
      </c>
      <c r="AT164" s="129" t="s">
        <v>231</v>
      </c>
      <c r="AU164" s="129" t="s">
        <v>76</v>
      </c>
      <c r="AY164" s="13" t="s">
        <v>228</v>
      </c>
      <c r="BE164" s="130">
        <f t="shared" si="5"/>
        <v>0</v>
      </c>
      <c r="BF164" s="130">
        <f t="shared" si="6"/>
        <v>201.78</v>
      </c>
      <c r="BG164" s="130">
        <f t="shared" si="7"/>
        <v>0</v>
      </c>
      <c r="BH164" s="130">
        <f t="shared" si="8"/>
        <v>0</v>
      </c>
      <c r="BI164" s="130">
        <f t="shared" si="9"/>
        <v>0</v>
      </c>
      <c r="BJ164" s="13" t="s">
        <v>76</v>
      </c>
      <c r="BK164" s="130">
        <f t="shared" si="10"/>
        <v>201.78</v>
      </c>
      <c r="BL164" s="13" t="s">
        <v>235</v>
      </c>
      <c r="BM164" s="129" t="s">
        <v>268</v>
      </c>
    </row>
    <row r="165" spans="2:65" s="1" customFormat="1" ht="16.5" customHeight="1" x14ac:dyDescent="0.2">
      <c r="B165" s="118"/>
      <c r="C165" s="119" t="s">
        <v>251</v>
      </c>
      <c r="D165" s="119" t="s">
        <v>231</v>
      </c>
      <c r="E165" s="120" t="s">
        <v>269</v>
      </c>
      <c r="F165" s="121" t="s">
        <v>270</v>
      </c>
      <c r="G165" s="122" t="s">
        <v>271</v>
      </c>
      <c r="H165" s="123">
        <v>0.05</v>
      </c>
      <c r="I165" s="124">
        <v>1044.9000000000001</v>
      </c>
      <c r="J165" s="124">
        <f t="shared" si="0"/>
        <v>52.25</v>
      </c>
      <c r="K165" s="121" t="s">
        <v>1</v>
      </c>
      <c r="L165" s="24"/>
      <c r="M165" s="125" t="s">
        <v>1</v>
      </c>
      <c r="N165" s="126" t="s">
        <v>32</v>
      </c>
      <c r="O165" s="127">
        <v>34.718000000000004</v>
      </c>
      <c r="P165" s="127">
        <f t="shared" si="1"/>
        <v>1.7359000000000002</v>
      </c>
      <c r="Q165" s="127">
        <v>1.01145</v>
      </c>
      <c r="R165" s="127">
        <f t="shared" si="2"/>
        <v>5.0572499999999999E-2</v>
      </c>
      <c r="S165" s="127">
        <v>0</v>
      </c>
      <c r="T165" s="128">
        <f t="shared" si="3"/>
        <v>0</v>
      </c>
      <c r="W165" s="199"/>
      <c r="X165" s="119" t="s">
        <v>251</v>
      </c>
      <c r="Y165" s="119" t="s">
        <v>231</v>
      </c>
      <c r="Z165" s="120" t="s">
        <v>269</v>
      </c>
      <c r="AA165" s="121" t="s">
        <v>270</v>
      </c>
      <c r="AB165" s="122" t="s">
        <v>271</v>
      </c>
      <c r="AC165" s="123">
        <v>0.05</v>
      </c>
      <c r="AD165" s="124">
        <v>1044.9000000000001</v>
      </c>
      <c r="AE165" s="200">
        <f t="shared" si="4"/>
        <v>52.25</v>
      </c>
      <c r="AF165" s="956"/>
      <c r="AG165" s="407"/>
      <c r="AR165" s="129" t="s">
        <v>235</v>
      </c>
      <c r="AT165" s="129" t="s">
        <v>231</v>
      </c>
      <c r="AU165" s="129" t="s">
        <v>76</v>
      </c>
      <c r="AY165" s="13" t="s">
        <v>228</v>
      </c>
      <c r="BE165" s="130">
        <f t="shared" si="5"/>
        <v>0</v>
      </c>
      <c r="BF165" s="130">
        <f t="shared" si="6"/>
        <v>52.25</v>
      </c>
      <c r="BG165" s="130">
        <f t="shared" si="7"/>
        <v>0</v>
      </c>
      <c r="BH165" s="130">
        <f t="shared" si="8"/>
        <v>0</v>
      </c>
      <c r="BI165" s="130">
        <f t="shared" si="9"/>
        <v>0</v>
      </c>
      <c r="BJ165" s="13" t="s">
        <v>76</v>
      </c>
      <c r="BK165" s="130">
        <f t="shared" si="10"/>
        <v>52.25</v>
      </c>
      <c r="BL165" s="13" t="s">
        <v>235</v>
      </c>
      <c r="BM165" s="129" t="s">
        <v>272</v>
      </c>
    </row>
    <row r="166" spans="2:65" s="1" customFormat="1" ht="16.5" customHeight="1" x14ac:dyDescent="0.2">
      <c r="B166" s="118"/>
      <c r="C166" s="205" t="s">
        <v>273</v>
      </c>
      <c r="D166" s="119" t="s">
        <v>231</v>
      </c>
      <c r="E166" s="120" t="s">
        <v>274</v>
      </c>
      <c r="F166" s="121" t="s">
        <v>275</v>
      </c>
      <c r="G166" s="122" t="s">
        <v>271</v>
      </c>
      <c r="H166" s="206">
        <v>1.03</v>
      </c>
      <c r="I166" s="124">
        <v>232.2</v>
      </c>
      <c r="J166" s="124">
        <f t="shared" si="0"/>
        <v>239.17</v>
      </c>
      <c r="K166" s="121" t="s">
        <v>1</v>
      </c>
      <c r="L166" s="24"/>
      <c r="M166" s="125" t="s">
        <v>1</v>
      </c>
      <c r="N166" s="126" t="s">
        <v>32</v>
      </c>
      <c r="O166" s="127">
        <v>17.323830000000001</v>
      </c>
      <c r="P166" s="127">
        <f t="shared" si="1"/>
        <v>17.843544900000001</v>
      </c>
      <c r="Q166" s="127">
        <v>1.9539999999999998E-2</v>
      </c>
      <c r="R166" s="127">
        <f t="shared" si="2"/>
        <v>2.01262E-2</v>
      </c>
      <c r="S166" s="127">
        <v>0</v>
      </c>
      <c r="T166" s="128">
        <f t="shared" si="3"/>
        <v>0</v>
      </c>
      <c r="W166" s="199"/>
      <c r="X166" s="205" t="s">
        <v>273</v>
      </c>
      <c r="Y166" s="119" t="s">
        <v>231</v>
      </c>
      <c r="Z166" s="120" t="s">
        <v>274</v>
      </c>
      <c r="AA166" s="121" t="s">
        <v>275</v>
      </c>
      <c r="AB166" s="122" t="s">
        <v>271</v>
      </c>
      <c r="AC166" s="206">
        <f>1.03+1.03</f>
        <v>2.06</v>
      </c>
      <c r="AD166" s="124">
        <v>232.2</v>
      </c>
      <c r="AE166" s="200">
        <f t="shared" si="4"/>
        <v>478.33</v>
      </c>
      <c r="AF166" s="956">
        <v>14</v>
      </c>
      <c r="AG166" s="407"/>
      <c r="AR166" s="129" t="s">
        <v>235</v>
      </c>
      <c r="AT166" s="129" t="s">
        <v>231</v>
      </c>
      <c r="AU166" s="129" t="s">
        <v>76</v>
      </c>
      <c r="AY166" s="13" t="s">
        <v>228</v>
      </c>
      <c r="BE166" s="130">
        <f t="shared" si="5"/>
        <v>0</v>
      </c>
      <c r="BF166" s="130">
        <f t="shared" si="6"/>
        <v>239.17</v>
      </c>
      <c r="BG166" s="130">
        <f t="shared" si="7"/>
        <v>0</v>
      </c>
      <c r="BH166" s="130">
        <f t="shared" si="8"/>
        <v>0</v>
      </c>
      <c r="BI166" s="130">
        <f t="shared" si="9"/>
        <v>0</v>
      </c>
      <c r="BJ166" s="13" t="s">
        <v>76</v>
      </c>
      <c r="BK166" s="130">
        <f t="shared" si="10"/>
        <v>239.17</v>
      </c>
      <c r="BL166" s="13" t="s">
        <v>235</v>
      </c>
      <c r="BM166" s="129" t="s">
        <v>276</v>
      </c>
    </row>
    <row r="167" spans="2:65" s="1" customFormat="1" ht="16.5" customHeight="1" x14ac:dyDescent="0.2">
      <c r="B167" s="118"/>
      <c r="C167" s="242" t="s">
        <v>255</v>
      </c>
      <c r="D167" s="131" t="s">
        <v>277</v>
      </c>
      <c r="E167" s="132" t="s">
        <v>278</v>
      </c>
      <c r="F167" s="133" t="s">
        <v>279</v>
      </c>
      <c r="G167" s="134" t="s">
        <v>271</v>
      </c>
      <c r="H167" s="241">
        <v>1.1120000000000001</v>
      </c>
      <c r="I167" s="136">
        <v>696.6</v>
      </c>
      <c r="J167" s="136">
        <f t="shared" si="0"/>
        <v>774.62</v>
      </c>
      <c r="K167" s="133" t="s">
        <v>1</v>
      </c>
      <c r="L167" s="137"/>
      <c r="M167" s="138" t="s">
        <v>1</v>
      </c>
      <c r="N167" s="139" t="s">
        <v>32</v>
      </c>
      <c r="O167" s="127">
        <v>0</v>
      </c>
      <c r="P167" s="127">
        <f t="shared" si="1"/>
        <v>0</v>
      </c>
      <c r="Q167" s="127">
        <v>0</v>
      </c>
      <c r="R167" s="127">
        <f t="shared" si="2"/>
        <v>0</v>
      </c>
      <c r="S167" s="127">
        <v>0</v>
      </c>
      <c r="T167" s="128">
        <f t="shared" si="3"/>
        <v>0</v>
      </c>
      <c r="W167" s="199"/>
      <c r="X167" s="242" t="s">
        <v>255</v>
      </c>
      <c r="Y167" s="131" t="s">
        <v>277</v>
      </c>
      <c r="Z167" s="132" t="s">
        <v>278</v>
      </c>
      <c r="AA167" s="133" t="s">
        <v>279</v>
      </c>
      <c r="AB167" s="134" t="s">
        <v>271</v>
      </c>
      <c r="AC167" s="241">
        <f>1.112+1.113</f>
        <v>2.2250000000000001</v>
      </c>
      <c r="AD167" s="136">
        <v>696.6</v>
      </c>
      <c r="AE167" s="229">
        <f t="shared" si="4"/>
        <v>1549.94</v>
      </c>
      <c r="AF167" s="956">
        <v>14</v>
      </c>
      <c r="AG167" s="407"/>
      <c r="AR167" s="129" t="s">
        <v>244</v>
      </c>
      <c r="AT167" s="129" t="s">
        <v>277</v>
      </c>
      <c r="AU167" s="129" t="s">
        <v>76</v>
      </c>
      <c r="AY167" s="13" t="s">
        <v>228</v>
      </c>
      <c r="BE167" s="130">
        <f t="shared" si="5"/>
        <v>0</v>
      </c>
      <c r="BF167" s="130">
        <f t="shared" si="6"/>
        <v>774.62</v>
      </c>
      <c r="BG167" s="130">
        <f t="shared" si="7"/>
        <v>0</v>
      </c>
      <c r="BH167" s="130">
        <f t="shared" si="8"/>
        <v>0</v>
      </c>
      <c r="BI167" s="130">
        <f t="shared" si="9"/>
        <v>0</v>
      </c>
      <c r="BJ167" s="13" t="s">
        <v>76</v>
      </c>
      <c r="BK167" s="130">
        <f t="shared" si="10"/>
        <v>774.62</v>
      </c>
      <c r="BL167" s="13" t="s">
        <v>235</v>
      </c>
      <c r="BM167" s="129" t="s">
        <v>280</v>
      </c>
    </row>
    <row r="168" spans="2:65" s="648" customFormat="1" ht="25.2" customHeight="1" x14ac:dyDescent="0.2">
      <c r="B168" s="118"/>
      <c r="C168" s="1234" t="s">
        <v>5205</v>
      </c>
      <c r="D168" s="1235"/>
      <c r="E168" s="1235"/>
      <c r="F168" s="1235"/>
      <c r="G168" s="1235"/>
      <c r="H168" s="1235"/>
      <c r="I168" s="1235"/>
      <c r="J168" s="1236"/>
      <c r="K168" s="133"/>
      <c r="L168" s="137"/>
      <c r="M168" s="138"/>
      <c r="N168" s="139"/>
      <c r="O168" s="127"/>
      <c r="P168" s="127"/>
      <c r="Q168" s="127"/>
      <c r="R168" s="127"/>
      <c r="S168" s="127"/>
      <c r="T168" s="128"/>
      <c r="W168" s="199"/>
      <c r="X168" s="207" t="s">
        <v>5461</v>
      </c>
      <c r="Y168" s="207" t="s">
        <v>231</v>
      </c>
      <c r="Z168" s="342" t="s">
        <v>6320</v>
      </c>
      <c r="AA168" s="343" t="s">
        <v>6321</v>
      </c>
      <c r="AB168" s="344" t="s">
        <v>234</v>
      </c>
      <c r="AC168" s="345">
        <v>3.3119999999999998</v>
      </c>
      <c r="AD168" s="346">
        <v>231.12</v>
      </c>
      <c r="AE168" s="355">
        <f>AC168*AD168</f>
        <v>765.46943999999996</v>
      </c>
      <c r="AF168" s="956">
        <v>14</v>
      </c>
      <c r="AG168" s="407"/>
      <c r="AR168" s="129"/>
      <c r="AT168" s="129"/>
      <c r="AU168" s="129"/>
      <c r="AY168" s="13"/>
      <c r="BE168" s="130"/>
      <c r="BF168" s="130"/>
      <c r="BG168" s="130"/>
      <c r="BH168" s="130"/>
      <c r="BI168" s="130"/>
      <c r="BJ168" s="13"/>
      <c r="BK168" s="130"/>
      <c r="BL168" s="13"/>
      <c r="BM168" s="129"/>
    </row>
    <row r="169" spans="2:65" s="1" customFormat="1" ht="16.2" customHeight="1" x14ac:dyDescent="0.2">
      <c r="B169" s="118"/>
      <c r="C169" s="205" t="s">
        <v>281</v>
      </c>
      <c r="D169" s="119" t="s">
        <v>231</v>
      </c>
      <c r="E169" s="120" t="s">
        <v>282</v>
      </c>
      <c r="F169" s="121" t="s">
        <v>283</v>
      </c>
      <c r="G169" s="122" t="s">
        <v>284</v>
      </c>
      <c r="H169" s="206">
        <v>109.48699999999999</v>
      </c>
      <c r="I169" s="124">
        <v>20.09</v>
      </c>
      <c r="J169" s="124">
        <f t="shared" si="0"/>
        <v>2199.59</v>
      </c>
      <c r="K169" s="121" t="s">
        <v>1</v>
      </c>
      <c r="L169" s="24"/>
      <c r="M169" s="125" t="s">
        <v>1</v>
      </c>
      <c r="N169" s="126" t="s">
        <v>32</v>
      </c>
      <c r="O169" s="127">
        <v>0</v>
      </c>
      <c r="P169" s="127">
        <f t="shared" si="1"/>
        <v>0</v>
      </c>
      <c r="Q169" s="127">
        <v>0</v>
      </c>
      <c r="R169" s="127">
        <f t="shared" si="2"/>
        <v>0</v>
      </c>
      <c r="S169" s="127">
        <v>0</v>
      </c>
      <c r="T169" s="128">
        <f t="shared" si="3"/>
        <v>0</v>
      </c>
      <c r="W169" s="199"/>
      <c r="X169" s="205" t="s">
        <v>281</v>
      </c>
      <c r="Y169" s="119" t="s">
        <v>231</v>
      </c>
      <c r="Z169" s="120" t="s">
        <v>282</v>
      </c>
      <c r="AA169" s="121" t="s">
        <v>283</v>
      </c>
      <c r="AB169" s="122" t="s">
        <v>284</v>
      </c>
      <c r="AC169" s="206">
        <f>109.487+8.588+7.056</f>
        <v>125.13099999999999</v>
      </c>
      <c r="AD169" s="124">
        <v>20.09</v>
      </c>
      <c r="AE169" s="200">
        <f t="shared" si="4"/>
        <v>2513.88</v>
      </c>
      <c r="AF169" s="956" t="s">
        <v>6322</v>
      </c>
      <c r="AG169" s="407"/>
      <c r="AR169" s="129" t="s">
        <v>235</v>
      </c>
      <c r="AT169" s="129" t="s">
        <v>231</v>
      </c>
      <c r="AU169" s="129" t="s">
        <v>76</v>
      </c>
      <c r="AY169" s="13" t="s">
        <v>228</v>
      </c>
      <c r="BE169" s="130">
        <f t="shared" si="5"/>
        <v>0</v>
      </c>
      <c r="BF169" s="130">
        <f t="shared" si="6"/>
        <v>2199.59</v>
      </c>
      <c r="BG169" s="130">
        <f t="shared" si="7"/>
        <v>0</v>
      </c>
      <c r="BH169" s="130">
        <f t="shared" si="8"/>
        <v>0</v>
      </c>
      <c r="BI169" s="130">
        <f t="shared" si="9"/>
        <v>0</v>
      </c>
      <c r="BJ169" s="13" t="s">
        <v>76</v>
      </c>
      <c r="BK169" s="130">
        <f t="shared" si="10"/>
        <v>2199.59</v>
      </c>
      <c r="BL169" s="13" t="s">
        <v>235</v>
      </c>
      <c r="BM169" s="129" t="s">
        <v>285</v>
      </c>
    </row>
    <row r="170" spans="2:65" s="1" customFormat="1" ht="16.5" customHeight="1" x14ac:dyDescent="0.2">
      <c r="B170" s="118"/>
      <c r="C170" s="205" t="s">
        <v>258</v>
      </c>
      <c r="D170" s="119" t="s">
        <v>231</v>
      </c>
      <c r="E170" s="120" t="s">
        <v>286</v>
      </c>
      <c r="F170" s="121" t="s">
        <v>287</v>
      </c>
      <c r="G170" s="122" t="s">
        <v>284</v>
      </c>
      <c r="H170" s="206">
        <v>199.53299999999999</v>
      </c>
      <c r="I170" s="124">
        <v>24.15</v>
      </c>
      <c r="J170" s="124">
        <f t="shared" si="0"/>
        <v>4818.72</v>
      </c>
      <c r="K170" s="121" t="s">
        <v>1</v>
      </c>
      <c r="L170" s="24"/>
      <c r="M170" s="125" t="s">
        <v>1</v>
      </c>
      <c r="N170" s="126" t="s">
        <v>32</v>
      </c>
      <c r="O170" s="127">
        <v>0</v>
      </c>
      <c r="P170" s="127">
        <f t="shared" si="1"/>
        <v>0</v>
      </c>
      <c r="Q170" s="127">
        <v>0</v>
      </c>
      <c r="R170" s="127">
        <f t="shared" si="2"/>
        <v>0</v>
      </c>
      <c r="S170" s="127">
        <v>0</v>
      </c>
      <c r="T170" s="128">
        <f t="shared" si="3"/>
        <v>0</v>
      </c>
      <c r="W170" s="199"/>
      <c r="X170" s="205" t="s">
        <v>258</v>
      </c>
      <c r="Y170" s="119" t="s">
        <v>231</v>
      </c>
      <c r="Z170" s="120" t="s">
        <v>286</v>
      </c>
      <c r="AA170" s="121" t="s">
        <v>287</v>
      </c>
      <c r="AB170" s="122" t="s">
        <v>284</v>
      </c>
      <c r="AC170" s="206">
        <f>199.533+17.172+11.125+4.66</f>
        <v>232.48999999999998</v>
      </c>
      <c r="AD170" s="124">
        <v>24.15</v>
      </c>
      <c r="AE170" s="200">
        <f t="shared" si="4"/>
        <v>5614.63</v>
      </c>
      <c r="AF170" s="956" t="s">
        <v>6659</v>
      </c>
      <c r="AG170" s="407"/>
      <c r="AR170" s="129" t="s">
        <v>235</v>
      </c>
      <c r="AT170" s="129" t="s">
        <v>231</v>
      </c>
      <c r="AU170" s="129" t="s">
        <v>76</v>
      </c>
      <c r="AY170" s="13" t="s">
        <v>228</v>
      </c>
      <c r="BE170" s="130">
        <f t="shared" si="5"/>
        <v>0</v>
      </c>
      <c r="BF170" s="130">
        <f t="shared" si="6"/>
        <v>4818.72</v>
      </c>
      <c r="BG170" s="130">
        <f t="shared" si="7"/>
        <v>0</v>
      </c>
      <c r="BH170" s="130">
        <f t="shared" si="8"/>
        <v>0</v>
      </c>
      <c r="BI170" s="130">
        <f t="shared" si="9"/>
        <v>0</v>
      </c>
      <c r="BJ170" s="13" t="s">
        <v>76</v>
      </c>
      <c r="BK170" s="130">
        <f t="shared" si="10"/>
        <v>4818.72</v>
      </c>
      <c r="BL170" s="13" t="s">
        <v>235</v>
      </c>
      <c r="BM170" s="129" t="s">
        <v>288</v>
      </c>
    </row>
    <row r="171" spans="2:65" s="1" customFormat="1" ht="16.5" customHeight="1" x14ac:dyDescent="0.2">
      <c r="B171" s="118"/>
      <c r="C171" s="205" t="s">
        <v>289</v>
      </c>
      <c r="D171" s="119" t="s">
        <v>231</v>
      </c>
      <c r="E171" s="120" t="s">
        <v>290</v>
      </c>
      <c r="F171" s="121" t="s">
        <v>291</v>
      </c>
      <c r="G171" s="122" t="s">
        <v>292</v>
      </c>
      <c r="H171" s="206">
        <v>137.5</v>
      </c>
      <c r="I171" s="124">
        <v>4.6399999999999997</v>
      </c>
      <c r="J171" s="124">
        <f t="shared" si="0"/>
        <v>638</v>
      </c>
      <c r="K171" s="121" t="s">
        <v>1</v>
      </c>
      <c r="L171" s="24"/>
      <c r="M171" s="125" t="s">
        <v>1</v>
      </c>
      <c r="N171" s="126" t="s">
        <v>32</v>
      </c>
      <c r="O171" s="127">
        <v>0</v>
      </c>
      <c r="P171" s="127">
        <f t="shared" si="1"/>
        <v>0</v>
      </c>
      <c r="Q171" s="127">
        <v>0</v>
      </c>
      <c r="R171" s="127">
        <f t="shared" si="2"/>
        <v>0</v>
      </c>
      <c r="S171" s="127">
        <v>0</v>
      </c>
      <c r="T171" s="128">
        <f t="shared" si="3"/>
        <v>0</v>
      </c>
      <c r="W171" s="199"/>
      <c r="X171" s="205" t="s">
        <v>289</v>
      </c>
      <c r="Y171" s="119" t="s">
        <v>231</v>
      </c>
      <c r="Z171" s="120" t="s">
        <v>290</v>
      </c>
      <c r="AA171" s="121" t="s">
        <v>291</v>
      </c>
      <c r="AB171" s="122" t="s">
        <v>292</v>
      </c>
      <c r="AC171" s="206">
        <f>137.5+4.2</f>
        <v>141.69999999999999</v>
      </c>
      <c r="AD171" s="124">
        <v>4.6399999999999997</v>
      </c>
      <c r="AE171" s="200">
        <f t="shared" si="4"/>
        <v>657.49</v>
      </c>
      <c r="AF171" s="956">
        <v>14</v>
      </c>
      <c r="AG171" s="407"/>
      <c r="AR171" s="129" t="s">
        <v>235</v>
      </c>
      <c r="AT171" s="129" t="s">
        <v>231</v>
      </c>
      <c r="AU171" s="129" t="s">
        <v>76</v>
      </c>
      <c r="AY171" s="13" t="s">
        <v>228</v>
      </c>
      <c r="BE171" s="130">
        <f t="shared" si="5"/>
        <v>0</v>
      </c>
      <c r="BF171" s="130">
        <f t="shared" si="6"/>
        <v>638</v>
      </c>
      <c r="BG171" s="130">
        <f t="shared" si="7"/>
        <v>0</v>
      </c>
      <c r="BH171" s="130">
        <f t="shared" si="8"/>
        <v>0</v>
      </c>
      <c r="BI171" s="130">
        <f t="shared" si="9"/>
        <v>0</v>
      </c>
      <c r="BJ171" s="13" t="s">
        <v>76</v>
      </c>
      <c r="BK171" s="130">
        <f t="shared" si="10"/>
        <v>638</v>
      </c>
      <c r="BL171" s="13" t="s">
        <v>235</v>
      </c>
      <c r="BM171" s="129" t="s">
        <v>293</v>
      </c>
    </row>
    <row r="172" spans="2:65" s="1" customFormat="1" ht="24" customHeight="1" x14ac:dyDescent="0.2">
      <c r="B172" s="118"/>
      <c r="C172" s="205" t="s">
        <v>262</v>
      </c>
      <c r="D172" s="119" t="s">
        <v>231</v>
      </c>
      <c r="E172" s="120" t="s">
        <v>294</v>
      </c>
      <c r="F172" s="121" t="s">
        <v>295</v>
      </c>
      <c r="G172" s="122" t="s">
        <v>284</v>
      </c>
      <c r="H172" s="206">
        <v>4.5</v>
      </c>
      <c r="I172" s="124">
        <v>53.41</v>
      </c>
      <c r="J172" s="124">
        <f t="shared" si="0"/>
        <v>240.35</v>
      </c>
      <c r="K172" s="121" t="s">
        <v>1</v>
      </c>
      <c r="L172" s="24"/>
      <c r="M172" s="125" t="s">
        <v>1</v>
      </c>
      <c r="N172" s="126" t="s">
        <v>32</v>
      </c>
      <c r="O172" s="127">
        <v>1.1691800000000001</v>
      </c>
      <c r="P172" s="127">
        <f t="shared" si="1"/>
        <v>5.2613100000000008</v>
      </c>
      <c r="Q172" s="127">
        <v>0.19116</v>
      </c>
      <c r="R172" s="127">
        <f t="shared" si="2"/>
        <v>0.86021999999999998</v>
      </c>
      <c r="S172" s="127">
        <v>0</v>
      </c>
      <c r="T172" s="128">
        <f t="shared" si="3"/>
        <v>0</v>
      </c>
      <c r="W172" s="199"/>
      <c r="X172" s="205" t="s">
        <v>262</v>
      </c>
      <c r="Y172" s="119" t="s">
        <v>231</v>
      </c>
      <c r="Z172" s="120" t="s">
        <v>294</v>
      </c>
      <c r="AA172" s="121" t="s">
        <v>295</v>
      </c>
      <c r="AB172" s="122" t="s">
        <v>284</v>
      </c>
      <c r="AC172" s="206">
        <f>4.5+1.7</f>
        <v>6.2</v>
      </c>
      <c r="AD172" s="124">
        <v>53.41</v>
      </c>
      <c r="AE172" s="200">
        <f t="shared" si="4"/>
        <v>331.14</v>
      </c>
      <c r="AF172" s="956">
        <v>14</v>
      </c>
      <c r="AG172" s="407"/>
      <c r="AR172" s="129" t="s">
        <v>235</v>
      </c>
      <c r="AT172" s="129" t="s">
        <v>231</v>
      </c>
      <c r="AU172" s="129" t="s">
        <v>76</v>
      </c>
      <c r="AY172" s="13" t="s">
        <v>228</v>
      </c>
      <c r="BE172" s="130">
        <f t="shared" si="5"/>
        <v>0</v>
      </c>
      <c r="BF172" s="130">
        <f t="shared" si="6"/>
        <v>240.35</v>
      </c>
      <c r="BG172" s="130">
        <f t="shared" si="7"/>
        <v>0</v>
      </c>
      <c r="BH172" s="130">
        <f t="shared" si="8"/>
        <v>0</v>
      </c>
      <c r="BI172" s="130">
        <f t="shared" si="9"/>
        <v>0</v>
      </c>
      <c r="BJ172" s="13" t="s">
        <v>76</v>
      </c>
      <c r="BK172" s="130">
        <f t="shared" si="10"/>
        <v>240.35</v>
      </c>
      <c r="BL172" s="13" t="s">
        <v>235</v>
      </c>
      <c r="BM172" s="129" t="s">
        <v>296</v>
      </c>
    </row>
    <row r="173" spans="2:65" s="1" customFormat="1" ht="24" customHeight="1" x14ac:dyDescent="0.2">
      <c r="B173" s="118"/>
      <c r="C173" s="205" t="s">
        <v>297</v>
      </c>
      <c r="D173" s="119" t="s">
        <v>231</v>
      </c>
      <c r="E173" s="120" t="s">
        <v>298</v>
      </c>
      <c r="F173" s="121" t="s">
        <v>299</v>
      </c>
      <c r="G173" s="122" t="s">
        <v>284</v>
      </c>
      <c r="H173" s="206">
        <v>1.05</v>
      </c>
      <c r="I173" s="124">
        <v>44.12</v>
      </c>
      <c r="J173" s="124">
        <f t="shared" si="0"/>
        <v>46.33</v>
      </c>
      <c r="K173" s="121" t="s">
        <v>1</v>
      </c>
      <c r="L173" s="24"/>
      <c r="M173" s="125" t="s">
        <v>1</v>
      </c>
      <c r="N173" s="126" t="s">
        <v>32</v>
      </c>
      <c r="O173" s="127">
        <v>1.4375599999999999</v>
      </c>
      <c r="P173" s="127">
        <f t="shared" si="1"/>
        <v>1.5094380000000001</v>
      </c>
      <c r="Q173" s="127">
        <v>0.29559999999999997</v>
      </c>
      <c r="R173" s="127">
        <f t="shared" si="2"/>
        <v>0.31037999999999999</v>
      </c>
      <c r="S173" s="127">
        <v>0</v>
      </c>
      <c r="T173" s="128">
        <f t="shared" si="3"/>
        <v>0</v>
      </c>
      <c r="W173" s="199"/>
      <c r="X173" s="205" t="s">
        <v>297</v>
      </c>
      <c r="Y173" s="119" t="s">
        <v>231</v>
      </c>
      <c r="Z173" s="120" t="s">
        <v>298</v>
      </c>
      <c r="AA173" s="121" t="s">
        <v>299</v>
      </c>
      <c r="AB173" s="122" t="s">
        <v>284</v>
      </c>
      <c r="AC173" s="206">
        <f>1.05+1.5</f>
        <v>2.5499999999999998</v>
      </c>
      <c r="AD173" s="124">
        <v>44.12</v>
      </c>
      <c r="AE173" s="200">
        <f t="shared" si="4"/>
        <v>112.51</v>
      </c>
      <c r="AF173" s="956">
        <v>14</v>
      </c>
      <c r="AG173" s="407"/>
      <c r="AR173" s="129" t="s">
        <v>235</v>
      </c>
      <c r="AT173" s="129" t="s">
        <v>231</v>
      </c>
      <c r="AU173" s="129" t="s">
        <v>76</v>
      </c>
      <c r="AY173" s="13" t="s">
        <v>228</v>
      </c>
      <c r="BE173" s="130">
        <f t="shared" si="5"/>
        <v>0</v>
      </c>
      <c r="BF173" s="130">
        <f t="shared" si="6"/>
        <v>46.33</v>
      </c>
      <c r="BG173" s="130">
        <f t="shared" si="7"/>
        <v>0</v>
      </c>
      <c r="BH173" s="130">
        <f t="shared" si="8"/>
        <v>0</v>
      </c>
      <c r="BI173" s="130">
        <f t="shared" si="9"/>
        <v>0</v>
      </c>
      <c r="BJ173" s="13" t="s">
        <v>76</v>
      </c>
      <c r="BK173" s="130">
        <f t="shared" si="10"/>
        <v>46.33</v>
      </c>
      <c r="BL173" s="13" t="s">
        <v>235</v>
      </c>
      <c r="BM173" s="129" t="s">
        <v>300</v>
      </c>
    </row>
    <row r="174" spans="2:65" s="1" customFormat="1" ht="24" customHeight="1" x14ac:dyDescent="0.2">
      <c r="B174" s="118"/>
      <c r="C174" s="119" t="s">
        <v>7</v>
      </c>
      <c r="D174" s="119" t="s">
        <v>231</v>
      </c>
      <c r="E174" s="120" t="s">
        <v>301</v>
      </c>
      <c r="F174" s="121" t="s">
        <v>302</v>
      </c>
      <c r="G174" s="122" t="s">
        <v>284</v>
      </c>
      <c r="H174" s="123">
        <v>4.4550000000000001</v>
      </c>
      <c r="I174" s="124">
        <v>75.47</v>
      </c>
      <c r="J174" s="124">
        <f t="shared" si="0"/>
        <v>336.22</v>
      </c>
      <c r="K174" s="121" t="s">
        <v>1</v>
      </c>
      <c r="L174" s="24"/>
      <c r="M174" s="125" t="s">
        <v>1</v>
      </c>
      <c r="N174" s="126" t="s">
        <v>32</v>
      </c>
      <c r="O174" s="127">
        <v>2.0609600000000001</v>
      </c>
      <c r="P174" s="127">
        <f t="shared" si="1"/>
        <v>9.1815768000000002</v>
      </c>
      <c r="Q174" s="127">
        <v>0.50299000000000005</v>
      </c>
      <c r="R174" s="127">
        <f t="shared" si="2"/>
        <v>2.2408204500000002</v>
      </c>
      <c r="S174" s="127">
        <v>0</v>
      </c>
      <c r="T174" s="128">
        <f t="shared" si="3"/>
        <v>0</v>
      </c>
      <c r="W174" s="199"/>
      <c r="X174" s="119" t="s">
        <v>7</v>
      </c>
      <c r="Y174" s="119" t="s">
        <v>231</v>
      </c>
      <c r="Z174" s="120" t="s">
        <v>301</v>
      </c>
      <c r="AA174" s="121" t="s">
        <v>302</v>
      </c>
      <c r="AB174" s="122" t="s">
        <v>284</v>
      </c>
      <c r="AC174" s="123">
        <v>4.4550000000000001</v>
      </c>
      <c r="AD174" s="124">
        <v>75.47</v>
      </c>
      <c r="AE174" s="200">
        <f t="shared" si="4"/>
        <v>336.22</v>
      </c>
      <c r="AF174" s="956"/>
      <c r="AG174" s="407"/>
      <c r="AR174" s="129" t="s">
        <v>235</v>
      </c>
      <c r="AT174" s="129" t="s">
        <v>231</v>
      </c>
      <c r="AU174" s="129" t="s">
        <v>76</v>
      </c>
      <c r="AY174" s="13" t="s">
        <v>228</v>
      </c>
      <c r="BE174" s="130">
        <f t="shared" si="5"/>
        <v>0</v>
      </c>
      <c r="BF174" s="130">
        <f t="shared" si="6"/>
        <v>336.22</v>
      </c>
      <c r="BG174" s="130">
        <f t="shared" si="7"/>
        <v>0</v>
      </c>
      <c r="BH174" s="130">
        <f t="shared" si="8"/>
        <v>0</v>
      </c>
      <c r="BI174" s="130">
        <f t="shared" si="9"/>
        <v>0</v>
      </c>
      <c r="BJ174" s="13" t="s">
        <v>76</v>
      </c>
      <c r="BK174" s="130">
        <f t="shared" si="10"/>
        <v>336.22</v>
      </c>
      <c r="BL174" s="13" t="s">
        <v>235</v>
      </c>
      <c r="BM174" s="129" t="s">
        <v>303</v>
      </c>
    </row>
    <row r="175" spans="2:65" s="11" customFormat="1" ht="22.95" customHeight="1" x14ac:dyDescent="0.25">
      <c r="B175" s="106"/>
      <c r="D175" s="107" t="s">
        <v>57</v>
      </c>
      <c r="E175" s="116" t="s">
        <v>235</v>
      </c>
      <c r="F175" s="116" t="s">
        <v>304</v>
      </c>
      <c r="J175" s="117">
        <f>BK175</f>
        <v>812.56</v>
      </c>
      <c r="L175" s="106"/>
      <c r="M175" s="110"/>
      <c r="N175" s="111"/>
      <c r="O175" s="111"/>
      <c r="P175" s="112">
        <f>P176</f>
        <v>0</v>
      </c>
      <c r="Q175" s="111"/>
      <c r="R175" s="112">
        <f>R176</f>
        <v>0</v>
      </c>
      <c r="S175" s="111"/>
      <c r="T175" s="113">
        <f>T176</f>
        <v>0</v>
      </c>
      <c r="W175" s="195"/>
      <c r="X175" s="111"/>
      <c r="Y175" s="196" t="s">
        <v>57</v>
      </c>
      <c r="Z175" s="201" t="s">
        <v>235</v>
      </c>
      <c r="AA175" s="201" t="s">
        <v>304</v>
      </c>
      <c r="AB175" s="111"/>
      <c r="AC175" s="111"/>
      <c r="AD175" s="111"/>
      <c r="AE175" s="202">
        <f>AE176</f>
        <v>870.6</v>
      </c>
      <c r="AF175" s="956"/>
      <c r="AG175" s="292"/>
      <c r="AR175" s="107" t="s">
        <v>63</v>
      </c>
      <c r="AT175" s="114" t="s">
        <v>57</v>
      </c>
      <c r="AU175" s="114" t="s">
        <v>63</v>
      </c>
      <c r="AY175" s="107" t="s">
        <v>228</v>
      </c>
      <c r="BK175" s="115">
        <f>BK176</f>
        <v>812.56</v>
      </c>
    </row>
    <row r="176" spans="2:65" s="1" customFormat="1" ht="24" customHeight="1" x14ac:dyDescent="0.2">
      <c r="B176" s="118"/>
      <c r="C176" s="205" t="s">
        <v>305</v>
      </c>
      <c r="D176" s="119" t="s">
        <v>231</v>
      </c>
      <c r="E176" s="120" t="s">
        <v>306</v>
      </c>
      <c r="F176" s="121" t="s">
        <v>307</v>
      </c>
      <c r="G176" s="122" t="s">
        <v>243</v>
      </c>
      <c r="H176" s="206">
        <v>56</v>
      </c>
      <c r="I176" s="124">
        <v>14.51</v>
      </c>
      <c r="J176" s="124">
        <f>ROUND(I176*H176,2)</f>
        <v>812.56</v>
      </c>
      <c r="K176" s="121" t="s">
        <v>1</v>
      </c>
      <c r="L176" s="24"/>
      <c r="M176" s="125" t="s">
        <v>1</v>
      </c>
      <c r="N176" s="126" t="s">
        <v>32</v>
      </c>
      <c r="O176" s="127">
        <v>0</v>
      </c>
      <c r="P176" s="127">
        <f>O176*H176</f>
        <v>0</v>
      </c>
      <c r="Q176" s="127">
        <v>0</v>
      </c>
      <c r="R176" s="127">
        <f>Q176*H176</f>
        <v>0</v>
      </c>
      <c r="S176" s="127">
        <v>0</v>
      </c>
      <c r="T176" s="128">
        <f>S176*H176</f>
        <v>0</v>
      </c>
      <c r="W176" s="199"/>
      <c r="X176" s="205" t="s">
        <v>305</v>
      </c>
      <c r="Y176" s="119" t="s">
        <v>231</v>
      </c>
      <c r="Z176" s="120" t="s">
        <v>306</v>
      </c>
      <c r="AA176" s="121" t="s">
        <v>307</v>
      </c>
      <c r="AB176" s="122" t="s">
        <v>243</v>
      </c>
      <c r="AC176" s="206">
        <f>56+4</f>
        <v>60</v>
      </c>
      <c r="AD176" s="124">
        <v>14.51</v>
      </c>
      <c r="AE176" s="200">
        <f>ROUND(AD176*AC176,2)</f>
        <v>870.6</v>
      </c>
      <c r="AF176" s="956">
        <v>14</v>
      </c>
      <c r="AG176" s="407"/>
      <c r="AR176" s="129" t="s">
        <v>235</v>
      </c>
      <c r="AT176" s="129" t="s">
        <v>231</v>
      </c>
      <c r="AU176" s="129" t="s">
        <v>76</v>
      </c>
      <c r="AY176" s="13" t="s">
        <v>228</v>
      </c>
      <c r="BE176" s="130">
        <f>IF(N176="základná",J176,0)</f>
        <v>0</v>
      </c>
      <c r="BF176" s="130">
        <f>IF(N176="znížená",J176,0)</f>
        <v>812.56</v>
      </c>
      <c r="BG176" s="130">
        <f>IF(N176="zákl. prenesená",J176,0)</f>
        <v>0</v>
      </c>
      <c r="BH176" s="130">
        <f>IF(N176="zníž. prenesená",J176,0)</f>
        <v>0</v>
      </c>
      <c r="BI176" s="130">
        <f>IF(N176="nulová",J176,0)</f>
        <v>0</v>
      </c>
      <c r="BJ176" s="13" t="s">
        <v>76</v>
      </c>
      <c r="BK176" s="130">
        <f>ROUND(I176*H176,2)</f>
        <v>812.56</v>
      </c>
      <c r="BL176" s="13" t="s">
        <v>235</v>
      </c>
      <c r="BM176" s="129" t="s">
        <v>308</v>
      </c>
    </row>
    <row r="177" spans="2:65" s="11" customFormat="1" ht="22.95" customHeight="1" x14ac:dyDescent="0.25">
      <c r="B177" s="106"/>
      <c r="D177" s="107" t="s">
        <v>57</v>
      </c>
      <c r="E177" s="116" t="s">
        <v>240</v>
      </c>
      <c r="F177" s="116" t="s">
        <v>309</v>
      </c>
      <c r="J177" s="117">
        <f>BK177</f>
        <v>43446.66</v>
      </c>
      <c r="L177" s="106"/>
      <c r="M177" s="110"/>
      <c r="N177" s="111"/>
      <c r="O177" s="111"/>
      <c r="P177" s="112">
        <f>SUM(P178:P207)</f>
        <v>711.53341838000006</v>
      </c>
      <c r="Q177" s="111"/>
      <c r="R177" s="112">
        <f>SUM(R178:R207)</f>
        <v>60.580918299999993</v>
      </c>
      <c r="S177" s="111"/>
      <c r="T177" s="113">
        <f>SUM(T178:T207)</f>
        <v>0</v>
      </c>
      <c r="W177" s="195"/>
      <c r="X177" s="111"/>
      <c r="Y177" s="196" t="s">
        <v>57</v>
      </c>
      <c r="Z177" s="201" t="s">
        <v>240</v>
      </c>
      <c r="AA177" s="201" t="s">
        <v>309</v>
      </c>
      <c r="AB177" s="111"/>
      <c r="AC177" s="111"/>
      <c r="AD177" s="111"/>
      <c r="AE177" s="202">
        <f>SUM(AE178:AE212)</f>
        <v>79735.34</v>
      </c>
      <c r="AF177" s="956"/>
      <c r="AG177" s="292"/>
      <c r="AR177" s="107" t="s">
        <v>63</v>
      </c>
      <c r="AT177" s="114" t="s">
        <v>57</v>
      </c>
      <c r="AU177" s="114" t="s">
        <v>63</v>
      </c>
      <c r="AY177" s="107" t="s">
        <v>228</v>
      </c>
      <c r="BK177" s="115">
        <f>SUM(BK178:BK207)</f>
        <v>43446.66</v>
      </c>
    </row>
    <row r="178" spans="2:65" s="1" customFormat="1" ht="24" customHeight="1" x14ac:dyDescent="0.2">
      <c r="B178" s="118"/>
      <c r="C178" s="205" t="s">
        <v>268</v>
      </c>
      <c r="D178" s="119" t="s">
        <v>231</v>
      </c>
      <c r="E178" s="120" t="s">
        <v>310</v>
      </c>
      <c r="F178" s="121" t="s">
        <v>311</v>
      </c>
      <c r="G178" s="122" t="s">
        <v>284</v>
      </c>
      <c r="H178" s="206">
        <v>98.082999999999998</v>
      </c>
      <c r="I178" s="124">
        <v>1.1599999999999999</v>
      </c>
      <c r="J178" s="124">
        <f t="shared" ref="J178:J207" si="11">ROUND(I178*H178,2)</f>
        <v>113.78</v>
      </c>
      <c r="K178" s="121" t="s">
        <v>1</v>
      </c>
      <c r="L178" s="24"/>
      <c r="M178" s="125" t="s">
        <v>1</v>
      </c>
      <c r="N178" s="126" t="s">
        <v>32</v>
      </c>
      <c r="O178" s="127">
        <v>8.2019999999999996E-2</v>
      </c>
      <c r="P178" s="127">
        <f t="shared" ref="P178:P207" si="12">O178*H178</f>
        <v>8.0447676599999998</v>
      </c>
      <c r="Q178" s="127">
        <v>1.9000000000000001E-4</v>
      </c>
      <c r="R178" s="127">
        <f t="shared" ref="R178:R207" si="13">Q178*H178</f>
        <v>1.8635769999999999E-2</v>
      </c>
      <c r="S178" s="127">
        <v>0</v>
      </c>
      <c r="T178" s="128">
        <f t="shared" ref="T178:T207" si="14">S178*H178</f>
        <v>0</v>
      </c>
      <c r="W178" s="199"/>
      <c r="X178" s="205" t="s">
        <v>268</v>
      </c>
      <c r="Y178" s="119" t="s">
        <v>231</v>
      </c>
      <c r="Z178" s="120" t="s">
        <v>310</v>
      </c>
      <c r="AA178" s="121" t="s">
        <v>311</v>
      </c>
      <c r="AB178" s="122" t="s">
        <v>284</v>
      </c>
      <c r="AC178" s="206">
        <f>98.083+57.3</f>
        <v>155.38299999999998</v>
      </c>
      <c r="AD178" s="124">
        <v>1.1599999999999999</v>
      </c>
      <c r="AE178" s="200">
        <f t="shared" ref="AE178:AE207" si="15">ROUND(AD178*AC178,2)</f>
        <v>180.24</v>
      </c>
      <c r="AF178" s="956">
        <v>14</v>
      </c>
      <c r="AG178" s="407"/>
      <c r="AR178" s="129" t="s">
        <v>235</v>
      </c>
      <c r="AT178" s="129" t="s">
        <v>231</v>
      </c>
      <c r="AU178" s="129" t="s">
        <v>76</v>
      </c>
      <c r="AY178" s="13" t="s">
        <v>228</v>
      </c>
      <c r="BE178" s="130">
        <f t="shared" ref="BE178:BE207" si="16">IF(N178="základná",J178,0)</f>
        <v>0</v>
      </c>
      <c r="BF178" s="130">
        <f t="shared" ref="BF178:BF207" si="17">IF(N178="znížená",J178,0)</f>
        <v>113.78</v>
      </c>
      <c r="BG178" s="130">
        <f t="shared" ref="BG178:BG207" si="18">IF(N178="zákl. prenesená",J178,0)</f>
        <v>0</v>
      </c>
      <c r="BH178" s="130">
        <f t="shared" ref="BH178:BH207" si="19">IF(N178="zníž. prenesená",J178,0)</f>
        <v>0</v>
      </c>
      <c r="BI178" s="130">
        <f t="shared" ref="BI178:BI207" si="20">IF(N178="nulová",J178,0)</f>
        <v>0</v>
      </c>
      <c r="BJ178" s="13" t="s">
        <v>76</v>
      </c>
      <c r="BK178" s="130">
        <f t="shared" ref="BK178:BK207" si="21">ROUND(I178*H178,2)</f>
        <v>113.78</v>
      </c>
      <c r="BL178" s="13" t="s">
        <v>235</v>
      </c>
      <c r="BM178" s="129" t="s">
        <v>312</v>
      </c>
    </row>
    <row r="179" spans="2:65" s="1" customFormat="1" ht="16.5" customHeight="1" x14ac:dyDescent="0.2">
      <c r="B179" s="118"/>
      <c r="C179" s="242" t="s">
        <v>313</v>
      </c>
      <c r="D179" s="131" t="s">
        <v>277</v>
      </c>
      <c r="E179" s="132" t="s">
        <v>314</v>
      </c>
      <c r="F179" s="133" t="s">
        <v>315</v>
      </c>
      <c r="G179" s="134" t="s">
        <v>284</v>
      </c>
      <c r="H179" s="241">
        <v>102.99</v>
      </c>
      <c r="I179" s="136">
        <v>0.57999999999999996</v>
      </c>
      <c r="J179" s="136">
        <f t="shared" si="11"/>
        <v>59.73</v>
      </c>
      <c r="K179" s="133" t="s">
        <v>1</v>
      </c>
      <c r="L179" s="137"/>
      <c r="M179" s="138" t="s">
        <v>1</v>
      </c>
      <c r="N179" s="139" t="s">
        <v>32</v>
      </c>
      <c r="O179" s="127">
        <v>0</v>
      </c>
      <c r="P179" s="127">
        <f t="shared" si="12"/>
        <v>0</v>
      </c>
      <c r="Q179" s="127">
        <v>0</v>
      </c>
      <c r="R179" s="127">
        <f t="shared" si="13"/>
        <v>0</v>
      </c>
      <c r="S179" s="127">
        <v>0</v>
      </c>
      <c r="T179" s="128">
        <f t="shared" si="14"/>
        <v>0</v>
      </c>
      <c r="W179" s="199"/>
      <c r="X179" s="242" t="s">
        <v>313</v>
      </c>
      <c r="Y179" s="131" t="s">
        <v>277</v>
      </c>
      <c r="Z179" s="132" t="s">
        <v>314</v>
      </c>
      <c r="AA179" s="133" t="s">
        <v>315</v>
      </c>
      <c r="AB179" s="134" t="s">
        <v>284</v>
      </c>
      <c r="AC179" s="241">
        <f>102.99+60.162</f>
        <v>163.15199999999999</v>
      </c>
      <c r="AD179" s="136">
        <v>0.57999999999999996</v>
      </c>
      <c r="AE179" s="229">
        <f t="shared" si="15"/>
        <v>94.63</v>
      </c>
      <c r="AF179" s="956">
        <v>14</v>
      </c>
      <c r="AG179" s="407"/>
      <c r="AR179" s="129" t="s">
        <v>244</v>
      </c>
      <c r="AT179" s="129" t="s">
        <v>277</v>
      </c>
      <c r="AU179" s="129" t="s">
        <v>76</v>
      </c>
      <c r="AY179" s="13" t="s">
        <v>228</v>
      </c>
      <c r="BE179" s="130">
        <f t="shared" si="16"/>
        <v>0</v>
      </c>
      <c r="BF179" s="130">
        <f t="shared" si="17"/>
        <v>59.73</v>
      </c>
      <c r="BG179" s="130">
        <f t="shared" si="18"/>
        <v>0</v>
      </c>
      <c r="BH179" s="130">
        <f t="shared" si="19"/>
        <v>0</v>
      </c>
      <c r="BI179" s="130">
        <f t="shared" si="20"/>
        <v>0</v>
      </c>
      <c r="BJ179" s="13" t="s">
        <v>76</v>
      </c>
      <c r="BK179" s="130">
        <f t="shared" si="21"/>
        <v>59.73</v>
      </c>
      <c r="BL179" s="13" t="s">
        <v>235</v>
      </c>
      <c r="BM179" s="129" t="s">
        <v>316</v>
      </c>
    </row>
    <row r="180" spans="2:65" s="1" customFormat="1" ht="24" customHeight="1" x14ac:dyDescent="0.2">
      <c r="B180" s="118"/>
      <c r="C180" s="205" t="s">
        <v>272</v>
      </c>
      <c r="D180" s="119" t="s">
        <v>231</v>
      </c>
      <c r="E180" s="120" t="s">
        <v>317</v>
      </c>
      <c r="F180" s="121" t="s">
        <v>318</v>
      </c>
      <c r="G180" s="122" t="s">
        <v>284</v>
      </c>
      <c r="H180" s="206">
        <v>38.67</v>
      </c>
      <c r="I180" s="124">
        <v>1.96</v>
      </c>
      <c r="J180" s="124">
        <f t="shared" si="11"/>
        <v>75.790000000000006</v>
      </c>
      <c r="K180" s="121" t="s">
        <v>1</v>
      </c>
      <c r="L180" s="24"/>
      <c r="M180" s="125" t="s">
        <v>1</v>
      </c>
      <c r="N180" s="126" t="s">
        <v>32</v>
      </c>
      <c r="O180" s="127">
        <v>0</v>
      </c>
      <c r="P180" s="127">
        <f t="shared" si="12"/>
        <v>0</v>
      </c>
      <c r="Q180" s="127">
        <v>0</v>
      </c>
      <c r="R180" s="127">
        <f t="shared" si="13"/>
        <v>0</v>
      </c>
      <c r="S180" s="127">
        <v>0</v>
      </c>
      <c r="T180" s="128">
        <f t="shared" si="14"/>
        <v>0</v>
      </c>
      <c r="W180" s="199"/>
      <c r="X180" s="205" t="s">
        <v>272</v>
      </c>
      <c r="Y180" s="119" t="s">
        <v>231</v>
      </c>
      <c r="Z180" s="120" t="s">
        <v>317</v>
      </c>
      <c r="AA180" s="121" t="s">
        <v>318</v>
      </c>
      <c r="AB180" s="122" t="s">
        <v>284</v>
      </c>
      <c r="AC180" s="206">
        <f>38.67+30</f>
        <v>68.67</v>
      </c>
      <c r="AD180" s="124">
        <v>1.96</v>
      </c>
      <c r="AE180" s="200">
        <f t="shared" si="15"/>
        <v>134.59</v>
      </c>
      <c r="AF180" s="956">
        <v>4</v>
      </c>
      <c r="AG180" s="407"/>
      <c r="AR180" s="129" t="s">
        <v>235</v>
      </c>
      <c r="AT180" s="129" t="s">
        <v>231</v>
      </c>
      <c r="AU180" s="129" t="s">
        <v>76</v>
      </c>
      <c r="AY180" s="13" t="s">
        <v>228</v>
      </c>
      <c r="BE180" s="130">
        <f t="shared" si="16"/>
        <v>0</v>
      </c>
      <c r="BF180" s="130">
        <f t="shared" si="17"/>
        <v>75.790000000000006</v>
      </c>
      <c r="BG180" s="130">
        <f t="shared" si="18"/>
        <v>0</v>
      </c>
      <c r="BH180" s="130">
        <f t="shared" si="19"/>
        <v>0</v>
      </c>
      <c r="BI180" s="130">
        <f t="shared" si="20"/>
        <v>0</v>
      </c>
      <c r="BJ180" s="13" t="s">
        <v>76</v>
      </c>
      <c r="BK180" s="130">
        <f t="shared" si="21"/>
        <v>75.790000000000006</v>
      </c>
      <c r="BL180" s="13" t="s">
        <v>235</v>
      </c>
      <c r="BM180" s="129" t="s">
        <v>319</v>
      </c>
    </row>
    <row r="181" spans="2:65" s="362" customFormat="1" ht="24" customHeight="1" x14ac:dyDescent="0.2">
      <c r="B181" s="118"/>
      <c r="C181" s="1234" t="s">
        <v>5205</v>
      </c>
      <c r="D181" s="1235"/>
      <c r="E181" s="1235"/>
      <c r="F181" s="1235"/>
      <c r="G181" s="1235"/>
      <c r="H181" s="1235"/>
      <c r="I181" s="1235"/>
      <c r="J181" s="1236"/>
      <c r="K181" s="121"/>
      <c r="L181" s="24"/>
      <c r="M181" s="125"/>
      <c r="N181" s="126"/>
      <c r="O181" s="127"/>
      <c r="P181" s="127"/>
      <c r="Q181" s="127"/>
      <c r="R181" s="127"/>
      <c r="S181" s="127"/>
      <c r="T181" s="128"/>
      <c r="W181" s="199"/>
      <c r="X181" s="341" t="s">
        <v>5215</v>
      </c>
      <c r="Y181" s="341" t="s">
        <v>231</v>
      </c>
      <c r="Z181" s="342" t="s">
        <v>4257</v>
      </c>
      <c r="AA181" s="343" t="s">
        <v>4258</v>
      </c>
      <c r="AB181" s="344" t="s">
        <v>284</v>
      </c>
      <c r="AC181" s="345">
        <f>30+7.7</f>
        <v>37.700000000000003</v>
      </c>
      <c r="AD181" s="346">
        <v>4.6399999999999997</v>
      </c>
      <c r="AE181" s="355">
        <f>ROUND(AD181*AC181,2)</f>
        <v>174.93</v>
      </c>
      <c r="AF181" s="956" t="s">
        <v>6323</v>
      </c>
      <c r="AG181" s="407"/>
      <c r="AR181" s="129"/>
      <c r="AT181" s="129"/>
      <c r="AU181" s="129"/>
      <c r="AY181" s="13"/>
      <c r="BE181" s="130"/>
      <c r="BF181" s="130"/>
      <c r="BG181" s="130"/>
      <c r="BH181" s="130"/>
      <c r="BI181" s="130"/>
      <c r="BJ181" s="13"/>
      <c r="BK181" s="130"/>
      <c r="BL181" s="13"/>
      <c r="BM181" s="129"/>
    </row>
    <row r="182" spans="2:65" s="1" customFormat="1" ht="24" customHeight="1" x14ac:dyDescent="0.2">
      <c r="B182" s="118"/>
      <c r="C182" s="205" t="s">
        <v>320</v>
      </c>
      <c r="D182" s="119" t="s">
        <v>231</v>
      </c>
      <c r="E182" s="120" t="s">
        <v>321</v>
      </c>
      <c r="F182" s="121" t="s">
        <v>322</v>
      </c>
      <c r="G182" s="122" t="s">
        <v>284</v>
      </c>
      <c r="H182" s="206">
        <v>515.27</v>
      </c>
      <c r="I182" s="124">
        <v>7.38</v>
      </c>
      <c r="J182" s="124">
        <f t="shared" si="11"/>
        <v>3802.69</v>
      </c>
      <c r="K182" s="121" t="s">
        <v>1</v>
      </c>
      <c r="L182" s="24"/>
      <c r="M182" s="125" t="s">
        <v>1</v>
      </c>
      <c r="N182" s="126" t="s">
        <v>32</v>
      </c>
      <c r="O182" s="127">
        <v>0.40911999999999998</v>
      </c>
      <c r="P182" s="127">
        <f t="shared" si="12"/>
        <v>210.80726239999998</v>
      </c>
      <c r="Q182" s="127">
        <v>2.6669999999999999E-2</v>
      </c>
      <c r="R182" s="127">
        <f t="shared" si="13"/>
        <v>13.742250899999998</v>
      </c>
      <c r="S182" s="127">
        <v>0</v>
      </c>
      <c r="T182" s="128">
        <f t="shared" si="14"/>
        <v>0</v>
      </c>
      <c r="W182" s="199"/>
      <c r="X182" s="205" t="s">
        <v>320</v>
      </c>
      <c r="Y182" s="119" t="s">
        <v>231</v>
      </c>
      <c r="Z182" s="120" t="s">
        <v>321</v>
      </c>
      <c r="AA182" s="121" t="s">
        <v>322</v>
      </c>
      <c r="AB182" s="122" t="s">
        <v>284</v>
      </c>
      <c r="AC182" s="206">
        <f>515.27+30+168.855</f>
        <v>714.125</v>
      </c>
      <c r="AD182" s="124">
        <v>7.38</v>
      </c>
      <c r="AE182" s="200">
        <f t="shared" si="15"/>
        <v>5270.24</v>
      </c>
      <c r="AF182" s="956" t="s">
        <v>6323</v>
      </c>
      <c r="AG182" s="407"/>
      <c r="AR182" s="129" t="s">
        <v>235</v>
      </c>
      <c r="AT182" s="129" t="s">
        <v>231</v>
      </c>
      <c r="AU182" s="129" t="s">
        <v>76</v>
      </c>
      <c r="AY182" s="13" t="s">
        <v>228</v>
      </c>
      <c r="BE182" s="130">
        <f t="shared" si="16"/>
        <v>0</v>
      </c>
      <c r="BF182" s="130">
        <f t="shared" si="17"/>
        <v>3802.69</v>
      </c>
      <c r="BG182" s="130">
        <f t="shared" si="18"/>
        <v>0</v>
      </c>
      <c r="BH182" s="130">
        <f t="shared" si="19"/>
        <v>0</v>
      </c>
      <c r="BI182" s="130">
        <f t="shared" si="20"/>
        <v>0</v>
      </c>
      <c r="BJ182" s="13" t="s">
        <v>76</v>
      </c>
      <c r="BK182" s="130">
        <f t="shared" si="21"/>
        <v>3802.69</v>
      </c>
      <c r="BL182" s="13" t="s">
        <v>235</v>
      </c>
      <c r="BM182" s="129" t="s">
        <v>323</v>
      </c>
    </row>
    <row r="183" spans="2:65" s="1" customFormat="1" ht="24" customHeight="1" x14ac:dyDescent="0.2">
      <c r="B183" s="118"/>
      <c r="C183" s="205" t="s">
        <v>276</v>
      </c>
      <c r="D183" s="119" t="s">
        <v>231</v>
      </c>
      <c r="E183" s="120" t="s">
        <v>324</v>
      </c>
      <c r="F183" s="121" t="s">
        <v>325</v>
      </c>
      <c r="G183" s="122" t="s">
        <v>284</v>
      </c>
      <c r="H183" s="206">
        <v>38.67</v>
      </c>
      <c r="I183" s="124">
        <v>5.46</v>
      </c>
      <c r="J183" s="124">
        <f t="shared" si="11"/>
        <v>211.14</v>
      </c>
      <c r="K183" s="121" t="s">
        <v>1</v>
      </c>
      <c r="L183" s="24"/>
      <c r="M183" s="125" t="s">
        <v>1</v>
      </c>
      <c r="N183" s="126" t="s">
        <v>32</v>
      </c>
      <c r="O183" s="127">
        <v>0</v>
      </c>
      <c r="P183" s="127">
        <f t="shared" si="12"/>
        <v>0</v>
      </c>
      <c r="Q183" s="127">
        <v>0</v>
      </c>
      <c r="R183" s="127">
        <f t="shared" si="13"/>
        <v>0</v>
      </c>
      <c r="S183" s="127">
        <v>0</v>
      </c>
      <c r="T183" s="128">
        <f t="shared" si="14"/>
        <v>0</v>
      </c>
      <c r="W183" s="199"/>
      <c r="X183" s="205" t="s">
        <v>276</v>
      </c>
      <c r="Y183" s="119" t="s">
        <v>231</v>
      </c>
      <c r="Z183" s="120" t="s">
        <v>324</v>
      </c>
      <c r="AA183" s="121" t="s">
        <v>325</v>
      </c>
      <c r="AB183" s="122" t="s">
        <v>284</v>
      </c>
      <c r="AC183" s="206">
        <f>38.67+30+7.7</f>
        <v>76.37</v>
      </c>
      <c r="AD183" s="124">
        <v>5.46</v>
      </c>
      <c r="AE183" s="200">
        <f t="shared" si="15"/>
        <v>416.98</v>
      </c>
      <c r="AF183" s="956" t="s">
        <v>6323</v>
      </c>
      <c r="AG183" s="407"/>
      <c r="AR183" s="129" t="s">
        <v>235</v>
      </c>
      <c r="AT183" s="129" t="s">
        <v>231</v>
      </c>
      <c r="AU183" s="129" t="s">
        <v>76</v>
      </c>
      <c r="AY183" s="13" t="s">
        <v>228</v>
      </c>
      <c r="BE183" s="130">
        <f t="shared" si="16"/>
        <v>0</v>
      </c>
      <c r="BF183" s="130">
        <f t="shared" si="17"/>
        <v>211.14</v>
      </c>
      <c r="BG183" s="130">
        <f t="shared" si="18"/>
        <v>0</v>
      </c>
      <c r="BH183" s="130">
        <f t="shared" si="19"/>
        <v>0</v>
      </c>
      <c r="BI183" s="130">
        <f t="shared" si="20"/>
        <v>0</v>
      </c>
      <c r="BJ183" s="13" t="s">
        <v>76</v>
      </c>
      <c r="BK183" s="130">
        <f t="shared" si="21"/>
        <v>211.14</v>
      </c>
      <c r="BL183" s="13" t="s">
        <v>235</v>
      </c>
      <c r="BM183" s="129" t="s">
        <v>326</v>
      </c>
    </row>
    <row r="184" spans="2:65" s="1" customFormat="1" ht="16.5" customHeight="1" x14ac:dyDescent="0.2">
      <c r="B184" s="118"/>
      <c r="C184" s="205" t="s">
        <v>327</v>
      </c>
      <c r="D184" s="119" t="s">
        <v>231</v>
      </c>
      <c r="E184" s="120" t="s">
        <v>328</v>
      </c>
      <c r="F184" s="121" t="s">
        <v>329</v>
      </c>
      <c r="G184" s="122" t="s">
        <v>243</v>
      </c>
      <c r="H184" s="206">
        <v>67</v>
      </c>
      <c r="I184" s="124">
        <v>3.83</v>
      </c>
      <c r="J184" s="124">
        <f t="shared" si="11"/>
        <v>256.61</v>
      </c>
      <c r="K184" s="121" t="s">
        <v>1</v>
      </c>
      <c r="L184" s="24"/>
      <c r="M184" s="125" t="s">
        <v>1</v>
      </c>
      <c r="N184" s="126" t="s">
        <v>32</v>
      </c>
      <c r="O184" s="127">
        <v>0</v>
      </c>
      <c r="P184" s="127">
        <f t="shared" si="12"/>
        <v>0</v>
      </c>
      <c r="Q184" s="127">
        <v>0</v>
      </c>
      <c r="R184" s="127">
        <f t="shared" si="13"/>
        <v>0</v>
      </c>
      <c r="S184" s="127">
        <v>0</v>
      </c>
      <c r="T184" s="128">
        <f t="shared" si="14"/>
        <v>0</v>
      </c>
      <c r="W184" s="199"/>
      <c r="X184" s="205" t="s">
        <v>327</v>
      </c>
      <c r="Y184" s="119" t="s">
        <v>231</v>
      </c>
      <c r="Z184" s="120" t="s">
        <v>328</v>
      </c>
      <c r="AA184" s="121" t="s">
        <v>329</v>
      </c>
      <c r="AB184" s="122" t="s">
        <v>243</v>
      </c>
      <c r="AC184" s="206">
        <f>67+13</f>
        <v>80</v>
      </c>
      <c r="AD184" s="124">
        <v>3.83</v>
      </c>
      <c r="AE184" s="200">
        <f t="shared" si="15"/>
        <v>306.39999999999998</v>
      </c>
      <c r="AF184" s="956">
        <v>14</v>
      </c>
      <c r="AG184" s="407"/>
      <c r="AR184" s="129" t="s">
        <v>235</v>
      </c>
      <c r="AT184" s="129" t="s">
        <v>231</v>
      </c>
      <c r="AU184" s="129" t="s">
        <v>76</v>
      </c>
      <c r="AY184" s="13" t="s">
        <v>228</v>
      </c>
      <c r="BE184" s="130">
        <f t="shared" si="16"/>
        <v>0</v>
      </c>
      <c r="BF184" s="130">
        <f t="shared" si="17"/>
        <v>256.61</v>
      </c>
      <c r="BG184" s="130">
        <f t="shared" si="18"/>
        <v>0</v>
      </c>
      <c r="BH184" s="130">
        <f t="shared" si="19"/>
        <v>0</v>
      </c>
      <c r="BI184" s="130">
        <f t="shared" si="20"/>
        <v>0</v>
      </c>
      <c r="BJ184" s="13" t="s">
        <v>76</v>
      </c>
      <c r="BK184" s="130">
        <f t="shared" si="21"/>
        <v>256.61</v>
      </c>
      <c r="BL184" s="13" t="s">
        <v>235</v>
      </c>
      <c r="BM184" s="129" t="s">
        <v>330</v>
      </c>
    </row>
    <row r="185" spans="2:65" s="1" customFormat="1" ht="16.5" customHeight="1" x14ac:dyDescent="0.2">
      <c r="B185" s="118"/>
      <c r="C185" s="205" t="s">
        <v>280</v>
      </c>
      <c r="D185" s="119" t="s">
        <v>231</v>
      </c>
      <c r="E185" s="120" t="s">
        <v>331</v>
      </c>
      <c r="F185" s="121" t="s">
        <v>332</v>
      </c>
      <c r="G185" s="122" t="s">
        <v>243</v>
      </c>
      <c r="H185" s="206">
        <v>3</v>
      </c>
      <c r="I185" s="124">
        <v>11.61</v>
      </c>
      <c r="J185" s="124">
        <f t="shared" si="11"/>
        <v>34.83</v>
      </c>
      <c r="K185" s="121" t="s">
        <v>1</v>
      </c>
      <c r="L185" s="24"/>
      <c r="M185" s="125" t="s">
        <v>1</v>
      </c>
      <c r="N185" s="126" t="s">
        <v>32</v>
      </c>
      <c r="O185" s="127">
        <v>0</v>
      </c>
      <c r="P185" s="127">
        <f t="shared" si="12"/>
        <v>0</v>
      </c>
      <c r="Q185" s="127">
        <v>0</v>
      </c>
      <c r="R185" s="127">
        <f t="shared" si="13"/>
        <v>0</v>
      </c>
      <c r="S185" s="127">
        <v>0</v>
      </c>
      <c r="T185" s="128">
        <f t="shared" si="14"/>
        <v>0</v>
      </c>
      <c r="W185" s="199"/>
      <c r="X185" s="205" t="s">
        <v>280</v>
      </c>
      <c r="Y185" s="119" t="s">
        <v>231</v>
      </c>
      <c r="Z185" s="120" t="s">
        <v>331</v>
      </c>
      <c r="AA185" s="121" t="s">
        <v>332</v>
      </c>
      <c r="AB185" s="122" t="s">
        <v>243</v>
      </c>
      <c r="AC185" s="206">
        <f>3+10</f>
        <v>13</v>
      </c>
      <c r="AD185" s="124">
        <v>11.61</v>
      </c>
      <c r="AE185" s="200">
        <f t="shared" si="15"/>
        <v>150.93</v>
      </c>
      <c r="AF185" s="956">
        <v>14</v>
      </c>
      <c r="AG185" s="407"/>
      <c r="AR185" s="129" t="s">
        <v>235</v>
      </c>
      <c r="AT185" s="129" t="s">
        <v>231</v>
      </c>
      <c r="AU185" s="129" t="s">
        <v>76</v>
      </c>
      <c r="AY185" s="13" t="s">
        <v>228</v>
      </c>
      <c r="BE185" s="130">
        <f t="shared" si="16"/>
        <v>0</v>
      </c>
      <c r="BF185" s="130">
        <f t="shared" si="17"/>
        <v>34.83</v>
      </c>
      <c r="BG185" s="130">
        <f t="shared" si="18"/>
        <v>0</v>
      </c>
      <c r="BH185" s="130">
        <f t="shared" si="19"/>
        <v>0</v>
      </c>
      <c r="BI185" s="130">
        <f t="shared" si="20"/>
        <v>0</v>
      </c>
      <c r="BJ185" s="13" t="s">
        <v>76</v>
      </c>
      <c r="BK185" s="130">
        <f t="shared" si="21"/>
        <v>34.83</v>
      </c>
      <c r="BL185" s="13" t="s">
        <v>235</v>
      </c>
      <c r="BM185" s="129" t="s">
        <v>333</v>
      </c>
    </row>
    <row r="186" spans="2:65" s="1" customFormat="1" ht="16.5" customHeight="1" x14ac:dyDescent="0.2">
      <c r="B186" s="118"/>
      <c r="C186" s="205" t="s">
        <v>334</v>
      </c>
      <c r="D186" s="119" t="s">
        <v>231</v>
      </c>
      <c r="E186" s="120" t="s">
        <v>335</v>
      </c>
      <c r="F186" s="121" t="s">
        <v>336</v>
      </c>
      <c r="G186" s="122" t="s">
        <v>284</v>
      </c>
      <c r="H186" s="206">
        <v>35</v>
      </c>
      <c r="I186" s="124">
        <v>12.77</v>
      </c>
      <c r="J186" s="124">
        <f t="shared" si="11"/>
        <v>446.95</v>
      </c>
      <c r="K186" s="121" t="s">
        <v>1</v>
      </c>
      <c r="L186" s="24"/>
      <c r="M186" s="125" t="s">
        <v>1</v>
      </c>
      <c r="N186" s="126" t="s">
        <v>32</v>
      </c>
      <c r="O186" s="127">
        <v>0.58499999999999996</v>
      </c>
      <c r="P186" s="127">
        <f t="shared" si="12"/>
        <v>20.474999999999998</v>
      </c>
      <c r="Q186" s="127">
        <v>0.10707999999999999</v>
      </c>
      <c r="R186" s="127">
        <f t="shared" si="13"/>
        <v>3.7477999999999998</v>
      </c>
      <c r="S186" s="127">
        <v>0</v>
      </c>
      <c r="T186" s="128">
        <f t="shared" si="14"/>
        <v>0</v>
      </c>
      <c r="W186" s="199"/>
      <c r="X186" s="205" t="s">
        <v>334</v>
      </c>
      <c r="Y186" s="119" t="s">
        <v>231</v>
      </c>
      <c r="Z186" s="120" t="s">
        <v>335</v>
      </c>
      <c r="AA186" s="121" t="s">
        <v>336</v>
      </c>
      <c r="AB186" s="122" t="s">
        <v>284</v>
      </c>
      <c r="AC186" s="206">
        <f>35+182+51.5</f>
        <v>268.5</v>
      </c>
      <c r="AD186" s="124">
        <v>12.77</v>
      </c>
      <c r="AE186" s="200">
        <f t="shared" si="15"/>
        <v>3428.75</v>
      </c>
      <c r="AF186" s="956" t="s">
        <v>6660</v>
      </c>
      <c r="AG186" s="407"/>
      <c r="AR186" s="129" t="s">
        <v>235</v>
      </c>
      <c r="AT186" s="129" t="s">
        <v>231</v>
      </c>
      <c r="AU186" s="129" t="s">
        <v>76</v>
      </c>
      <c r="AY186" s="13" t="s">
        <v>228</v>
      </c>
      <c r="BE186" s="130">
        <f t="shared" si="16"/>
        <v>0</v>
      </c>
      <c r="BF186" s="130">
        <f t="shared" si="17"/>
        <v>446.95</v>
      </c>
      <c r="BG186" s="130">
        <f t="shared" si="18"/>
        <v>0</v>
      </c>
      <c r="BH186" s="130">
        <f t="shared" si="19"/>
        <v>0</v>
      </c>
      <c r="BI186" s="130">
        <f t="shared" si="20"/>
        <v>0</v>
      </c>
      <c r="BJ186" s="13" t="s">
        <v>76</v>
      </c>
      <c r="BK186" s="130">
        <f t="shared" si="21"/>
        <v>446.95</v>
      </c>
      <c r="BL186" s="13" t="s">
        <v>235</v>
      </c>
      <c r="BM186" s="129" t="s">
        <v>337</v>
      </c>
    </row>
    <row r="187" spans="2:65" s="1" customFormat="1" ht="31.95" customHeight="1" x14ac:dyDescent="0.2">
      <c r="B187" s="118"/>
      <c r="C187" s="205" t="s">
        <v>285</v>
      </c>
      <c r="D187" s="119" t="s">
        <v>231</v>
      </c>
      <c r="E187" s="120" t="s">
        <v>338</v>
      </c>
      <c r="F187" s="121" t="s">
        <v>339</v>
      </c>
      <c r="G187" s="122" t="s">
        <v>284</v>
      </c>
      <c r="H187" s="206">
        <v>10.025</v>
      </c>
      <c r="I187" s="124">
        <v>123.07</v>
      </c>
      <c r="J187" s="124">
        <f t="shared" si="11"/>
        <v>1233.78</v>
      </c>
      <c r="K187" s="121" t="s">
        <v>1</v>
      </c>
      <c r="L187" s="24"/>
      <c r="M187" s="125" t="s">
        <v>1</v>
      </c>
      <c r="N187" s="126" t="s">
        <v>32</v>
      </c>
      <c r="O187" s="127">
        <v>0</v>
      </c>
      <c r="P187" s="127">
        <f t="shared" si="12"/>
        <v>0</v>
      </c>
      <c r="Q187" s="127">
        <v>0</v>
      </c>
      <c r="R187" s="127">
        <f t="shared" si="13"/>
        <v>0</v>
      </c>
      <c r="S187" s="127">
        <v>0</v>
      </c>
      <c r="T187" s="128">
        <f t="shared" si="14"/>
        <v>0</v>
      </c>
      <c r="W187" s="199"/>
      <c r="X187" s="205" t="s">
        <v>285</v>
      </c>
      <c r="Y187" s="119" t="s">
        <v>231</v>
      </c>
      <c r="Z187" s="120" t="s">
        <v>338</v>
      </c>
      <c r="AA187" s="121" t="s">
        <v>339</v>
      </c>
      <c r="AB187" s="122" t="s">
        <v>284</v>
      </c>
      <c r="AC187" s="206">
        <f>10.025+13.01+25</f>
        <v>48.034999999999997</v>
      </c>
      <c r="AD187" s="124">
        <v>123.07</v>
      </c>
      <c r="AE187" s="200">
        <f t="shared" si="15"/>
        <v>5911.67</v>
      </c>
      <c r="AF187" s="956" t="s">
        <v>6661</v>
      </c>
      <c r="AG187" s="407"/>
      <c r="AR187" s="129" t="s">
        <v>235</v>
      </c>
      <c r="AT187" s="129" t="s">
        <v>231</v>
      </c>
      <c r="AU187" s="129" t="s">
        <v>76</v>
      </c>
      <c r="AY187" s="13" t="s">
        <v>228</v>
      </c>
      <c r="BE187" s="130">
        <f t="shared" si="16"/>
        <v>0</v>
      </c>
      <c r="BF187" s="130">
        <f t="shared" si="17"/>
        <v>1233.78</v>
      </c>
      <c r="BG187" s="130">
        <f t="shared" si="18"/>
        <v>0</v>
      </c>
      <c r="BH187" s="130">
        <f t="shared" si="19"/>
        <v>0</v>
      </c>
      <c r="BI187" s="130">
        <f t="shared" si="20"/>
        <v>0</v>
      </c>
      <c r="BJ187" s="13" t="s">
        <v>76</v>
      </c>
      <c r="BK187" s="130">
        <f t="shared" si="21"/>
        <v>1233.78</v>
      </c>
      <c r="BL187" s="13" t="s">
        <v>235</v>
      </c>
      <c r="BM187" s="129" t="s">
        <v>340</v>
      </c>
    </row>
    <row r="188" spans="2:65" s="1" customFormat="1" ht="24" customHeight="1" x14ac:dyDescent="0.2">
      <c r="B188" s="118"/>
      <c r="C188" s="205" t="s">
        <v>341</v>
      </c>
      <c r="D188" s="119" t="s">
        <v>231</v>
      </c>
      <c r="E188" s="120" t="s">
        <v>342</v>
      </c>
      <c r="F188" s="121" t="s">
        <v>343</v>
      </c>
      <c r="G188" s="122" t="s">
        <v>284</v>
      </c>
      <c r="H188" s="206">
        <v>949.11500000000001</v>
      </c>
      <c r="I188" s="124">
        <v>5.81</v>
      </c>
      <c r="J188" s="124">
        <f t="shared" si="11"/>
        <v>5514.36</v>
      </c>
      <c r="K188" s="121" t="s">
        <v>1</v>
      </c>
      <c r="L188" s="24"/>
      <c r="M188" s="125" t="s">
        <v>1</v>
      </c>
      <c r="N188" s="126" t="s">
        <v>32</v>
      </c>
      <c r="O188" s="127">
        <v>0.26429999999999998</v>
      </c>
      <c r="P188" s="127">
        <f t="shared" si="12"/>
        <v>250.85109449999999</v>
      </c>
      <c r="Q188" s="127">
        <v>2.1309999999999999E-2</v>
      </c>
      <c r="R188" s="127">
        <f t="shared" si="13"/>
        <v>20.225640649999999</v>
      </c>
      <c r="S188" s="127">
        <v>0</v>
      </c>
      <c r="T188" s="128">
        <f t="shared" si="14"/>
        <v>0</v>
      </c>
      <c r="W188" s="199"/>
      <c r="X188" s="205" t="s">
        <v>341</v>
      </c>
      <c r="Y188" s="119" t="s">
        <v>231</v>
      </c>
      <c r="Z188" s="120" t="s">
        <v>342</v>
      </c>
      <c r="AA188" s="121" t="s">
        <v>343</v>
      </c>
      <c r="AB188" s="122" t="s">
        <v>284</v>
      </c>
      <c r="AC188" s="206">
        <f>949.115+21.775</f>
        <v>970.89</v>
      </c>
      <c r="AD188" s="124">
        <v>5.81</v>
      </c>
      <c r="AE188" s="200">
        <f t="shared" si="15"/>
        <v>5640.87</v>
      </c>
      <c r="AF188" s="956">
        <v>14</v>
      </c>
      <c r="AG188" s="407"/>
      <c r="AR188" s="129" t="s">
        <v>235</v>
      </c>
      <c r="AT188" s="129" t="s">
        <v>231</v>
      </c>
      <c r="AU188" s="129" t="s">
        <v>76</v>
      </c>
      <c r="AY188" s="13" t="s">
        <v>228</v>
      </c>
      <c r="BE188" s="130">
        <f t="shared" si="16"/>
        <v>0</v>
      </c>
      <c r="BF188" s="130">
        <f t="shared" si="17"/>
        <v>5514.36</v>
      </c>
      <c r="BG188" s="130">
        <f t="shared" si="18"/>
        <v>0</v>
      </c>
      <c r="BH188" s="130">
        <f t="shared" si="19"/>
        <v>0</v>
      </c>
      <c r="BI188" s="130">
        <f t="shared" si="20"/>
        <v>0</v>
      </c>
      <c r="BJ188" s="13" t="s">
        <v>76</v>
      </c>
      <c r="BK188" s="130">
        <f t="shared" si="21"/>
        <v>5514.36</v>
      </c>
      <c r="BL188" s="13" t="s">
        <v>235</v>
      </c>
      <c r="BM188" s="129" t="s">
        <v>344</v>
      </c>
    </row>
    <row r="189" spans="2:65" s="1" customFormat="1" ht="16.5" customHeight="1" x14ac:dyDescent="0.2">
      <c r="B189" s="118"/>
      <c r="C189" s="205" t="s">
        <v>288</v>
      </c>
      <c r="D189" s="119" t="s">
        <v>231</v>
      </c>
      <c r="E189" s="120" t="s">
        <v>345</v>
      </c>
      <c r="F189" s="121" t="s">
        <v>346</v>
      </c>
      <c r="G189" s="122" t="s">
        <v>284</v>
      </c>
      <c r="H189" s="206">
        <v>51.857999999999997</v>
      </c>
      <c r="I189" s="124">
        <v>11.61</v>
      </c>
      <c r="J189" s="124">
        <f t="shared" si="11"/>
        <v>602.07000000000005</v>
      </c>
      <c r="K189" s="121" t="s">
        <v>1</v>
      </c>
      <c r="L189" s="24"/>
      <c r="M189" s="125" t="s">
        <v>1</v>
      </c>
      <c r="N189" s="126" t="s">
        <v>32</v>
      </c>
      <c r="O189" s="127">
        <v>0</v>
      </c>
      <c r="P189" s="127">
        <f t="shared" si="12"/>
        <v>0</v>
      </c>
      <c r="Q189" s="127">
        <v>0</v>
      </c>
      <c r="R189" s="127">
        <f t="shared" si="13"/>
        <v>0</v>
      </c>
      <c r="S189" s="127">
        <v>0</v>
      </c>
      <c r="T189" s="128">
        <f t="shared" si="14"/>
        <v>0</v>
      </c>
      <c r="W189" s="199"/>
      <c r="X189" s="205" t="s">
        <v>288</v>
      </c>
      <c r="Y189" s="119" t="s">
        <v>231</v>
      </c>
      <c r="Z189" s="120" t="s">
        <v>345</v>
      </c>
      <c r="AA189" s="121" t="s">
        <v>346</v>
      </c>
      <c r="AB189" s="122" t="s">
        <v>284</v>
      </c>
      <c r="AC189" s="206">
        <f>51.858+52.155</f>
        <v>104.01300000000001</v>
      </c>
      <c r="AD189" s="124">
        <v>11.61</v>
      </c>
      <c r="AE189" s="200">
        <f t="shared" si="15"/>
        <v>1207.5899999999999</v>
      </c>
      <c r="AF189" s="956">
        <v>14</v>
      </c>
      <c r="AG189" s="407"/>
      <c r="AR189" s="129" t="s">
        <v>235</v>
      </c>
      <c r="AT189" s="129" t="s">
        <v>231</v>
      </c>
      <c r="AU189" s="129" t="s">
        <v>76</v>
      </c>
      <c r="AY189" s="13" t="s">
        <v>228</v>
      </c>
      <c r="BE189" s="130">
        <f t="shared" si="16"/>
        <v>0</v>
      </c>
      <c r="BF189" s="130">
        <f t="shared" si="17"/>
        <v>602.07000000000005</v>
      </c>
      <c r="BG189" s="130">
        <f t="shared" si="18"/>
        <v>0</v>
      </c>
      <c r="BH189" s="130">
        <f t="shared" si="19"/>
        <v>0</v>
      </c>
      <c r="BI189" s="130">
        <f t="shared" si="20"/>
        <v>0</v>
      </c>
      <c r="BJ189" s="13" t="s">
        <v>76</v>
      </c>
      <c r="BK189" s="130">
        <f t="shared" si="21"/>
        <v>602.07000000000005</v>
      </c>
      <c r="BL189" s="13" t="s">
        <v>235</v>
      </c>
      <c r="BM189" s="129" t="s">
        <v>347</v>
      </c>
    </row>
    <row r="190" spans="2:65" s="1" customFormat="1" ht="24" customHeight="1" x14ac:dyDescent="0.2">
      <c r="B190" s="118"/>
      <c r="C190" s="205" t="s">
        <v>348</v>
      </c>
      <c r="D190" s="119" t="s">
        <v>231</v>
      </c>
      <c r="E190" s="120" t="s">
        <v>349</v>
      </c>
      <c r="F190" s="121" t="s">
        <v>350</v>
      </c>
      <c r="G190" s="122" t="s">
        <v>284</v>
      </c>
      <c r="H190" s="206">
        <v>51.857999999999997</v>
      </c>
      <c r="I190" s="124">
        <v>5.81</v>
      </c>
      <c r="J190" s="124">
        <f t="shared" si="11"/>
        <v>301.29000000000002</v>
      </c>
      <c r="K190" s="121" t="s">
        <v>1</v>
      </c>
      <c r="L190" s="24"/>
      <c r="M190" s="125" t="s">
        <v>1</v>
      </c>
      <c r="N190" s="126" t="s">
        <v>32</v>
      </c>
      <c r="O190" s="127">
        <v>0.70281000000000005</v>
      </c>
      <c r="P190" s="127">
        <f t="shared" si="12"/>
        <v>36.446320980000003</v>
      </c>
      <c r="Q190" s="127">
        <v>5.0860000000000002E-2</v>
      </c>
      <c r="R190" s="127">
        <f t="shared" si="13"/>
        <v>2.6374978800000002</v>
      </c>
      <c r="S190" s="127">
        <v>0</v>
      </c>
      <c r="T190" s="128">
        <f t="shared" si="14"/>
        <v>0</v>
      </c>
      <c r="W190" s="199"/>
      <c r="X190" s="205" t="s">
        <v>348</v>
      </c>
      <c r="Y190" s="119" t="s">
        <v>231</v>
      </c>
      <c r="Z190" s="120" t="s">
        <v>349</v>
      </c>
      <c r="AA190" s="121" t="s">
        <v>350</v>
      </c>
      <c r="AB190" s="122" t="s">
        <v>284</v>
      </c>
      <c r="AC190" s="206">
        <f>51.858+51.858+0.297</f>
        <v>104.01299999999999</v>
      </c>
      <c r="AD190" s="124">
        <v>5.81</v>
      </c>
      <c r="AE190" s="200">
        <f t="shared" si="15"/>
        <v>604.32000000000005</v>
      </c>
      <c r="AF190" s="956" t="s">
        <v>6323</v>
      </c>
      <c r="AG190" s="407"/>
      <c r="AR190" s="129" t="s">
        <v>235</v>
      </c>
      <c r="AT190" s="129" t="s">
        <v>231</v>
      </c>
      <c r="AU190" s="129" t="s">
        <v>76</v>
      </c>
      <c r="AY190" s="13" t="s">
        <v>228</v>
      </c>
      <c r="BE190" s="130">
        <f t="shared" si="16"/>
        <v>0</v>
      </c>
      <c r="BF190" s="130">
        <f t="shared" si="17"/>
        <v>301.29000000000002</v>
      </c>
      <c r="BG190" s="130">
        <f t="shared" si="18"/>
        <v>0</v>
      </c>
      <c r="BH190" s="130">
        <f t="shared" si="19"/>
        <v>0</v>
      </c>
      <c r="BI190" s="130">
        <f t="shared" si="20"/>
        <v>0</v>
      </c>
      <c r="BJ190" s="13" t="s">
        <v>76</v>
      </c>
      <c r="BK190" s="130">
        <f t="shared" si="21"/>
        <v>301.29000000000002</v>
      </c>
      <c r="BL190" s="13" t="s">
        <v>235</v>
      </c>
      <c r="BM190" s="129" t="s">
        <v>351</v>
      </c>
    </row>
    <row r="191" spans="2:65" s="1" customFormat="1" ht="24" customHeight="1" x14ac:dyDescent="0.2">
      <c r="B191" s="118"/>
      <c r="C191" s="205" t="s">
        <v>293</v>
      </c>
      <c r="D191" s="119" t="s">
        <v>231</v>
      </c>
      <c r="E191" s="120" t="s">
        <v>352</v>
      </c>
      <c r="F191" s="121" t="s">
        <v>353</v>
      </c>
      <c r="G191" s="122" t="s">
        <v>284</v>
      </c>
      <c r="H191" s="206">
        <v>1802.048</v>
      </c>
      <c r="I191" s="124">
        <v>1.96</v>
      </c>
      <c r="J191" s="124">
        <f t="shared" si="11"/>
        <v>3532.01</v>
      </c>
      <c r="K191" s="121" t="s">
        <v>1</v>
      </c>
      <c r="L191" s="24"/>
      <c r="M191" s="125" t="s">
        <v>1</v>
      </c>
      <c r="N191" s="126" t="s">
        <v>32</v>
      </c>
      <c r="O191" s="127">
        <v>5.2080000000000001E-2</v>
      </c>
      <c r="P191" s="127">
        <f t="shared" si="12"/>
        <v>93.850659840000006</v>
      </c>
      <c r="Q191" s="127">
        <v>4.0000000000000002E-4</v>
      </c>
      <c r="R191" s="127">
        <f t="shared" si="13"/>
        <v>0.72081919999999999</v>
      </c>
      <c r="S191" s="127">
        <v>0</v>
      </c>
      <c r="T191" s="128">
        <f t="shared" si="14"/>
        <v>0</v>
      </c>
      <c r="W191" s="199"/>
      <c r="X191" s="205" t="s">
        <v>293</v>
      </c>
      <c r="Y191" s="119" t="s">
        <v>231</v>
      </c>
      <c r="Z191" s="120" t="s">
        <v>352</v>
      </c>
      <c r="AA191" s="121" t="s">
        <v>353</v>
      </c>
      <c r="AB191" s="122" t="s">
        <v>284</v>
      </c>
      <c r="AC191" s="206">
        <f>1802.048+521.922+96.848+312.611</f>
        <v>2733.4290000000001</v>
      </c>
      <c r="AD191" s="124">
        <v>1.96</v>
      </c>
      <c r="AE191" s="200">
        <f t="shared" si="15"/>
        <v>5357.52</v>
      </c>
      <c r="AF191" s="956" t="s">
        <v>6662</v>
      </c>
      <c r="AG191" s="407"/>
      <c r="AR191" s="129" t="s">
        <v>235</v>
      </c>
      <c r="AT191" s="129" t="s">
        <v>231</v>
      </c>
      <c r="AU191" s="129" t="s">
        <v>76</v>
      </c>
      <c r="AY191" s="13" t="s">
        <v>228</v>
      </c>
      <c r="BE191" s="130">
        <f t="shared" si="16"/>
        <v>0</v>
      </c>
      <c r="BF191" s="130">
        <f t="shared" si="17"/>
        <v>3532.01</v>
      </c>
      <c r="BG191" s="130">
        <f t="shared" si="18"/>
        <v>0</v>
      </c>
      <c r="BH191" s="130">
        <f t="shared" si="19"/>
        <v>0</v>
      </c>
      <c r="BI191" s="130">
        <f t="shared" si="20"/>
        <v>0</v>
      </c>
      <c r="BJ191" s="13" t="s">
        <v>76</v>
      </c>
      <c r="BK191" s="130">
        <f t="shared" si="21"/>
        <v>3532.01</v>
      </c>
      <c r="BL191" s="13" t="s">
        <v>235</v>
      </c>
      <c r="BM191" s="129" t="s">
        <v>354</v>
      </c>
    </row>
    <row r="192" spans="2:65" s="1" customFormat="1" ht="24" customHeight="1" x14ac:dyDescent="0.2">
      <c r="B192" s="118"/>
      <c r="C192" s="205" t="s">
        <v>355</v>
      </c>
      <c r="D192" s="119" t="s">
        <v>231</v>
      </c>
      <c r="E192" s="120" t="s">
        <v>356</v>
      </c>
      <c r="F192" s="121" t="s">
        <v>357</v>
      </c>
      <c r="G192" s="122" t="s">
        <v>284</v>
      </c>
      <c r="H192" s="206">
        <v>264.67899999999997</v>
      </c>
      <c r="I192" s="124">
        <v>11.61</v>
      </c>
      <c r="J192" s="124">
        <f t="shared" si="11"/>
        <v>3072.92</v>
      </c>
      <c r="K192" s="121" t="s">
        <v>1</v>
      </c>
      <c r="L192" s="24"/>
      <c r="M192" s="125" t="s">
        <v>1</v>
      </c>
      <c r="N192" s="126" t="s">
        <v>32</v>
      </c>
      <c r="O192" s="127">
        <v>0</v>
      </c>
      <c r="P192" s="127">
        <f t="shared" si="12"/>
        <v>0</v>
      </c>
      <c r="Q192" s="127">
        <v>0</v>
      </c>
      <c r="R192" s="127">
        <f t="shared" si="13"/>
        <v>0</v>
      </c>
      <c r="S192" s="127">
        <v>0</v>
      </c>
      <c r="T192" s="128">
        <f t="shared" si="14"/>
        <v>0</v>
      </c>
      <c r="W192" s="199"/>
      <c r="X192" s="205" t="s">
        <v>355</v>
      </c>
      <c r="Y192" s="119" t="s">
        <v>231</v>
      </c>
      <c r="Z192" s="120" t="s">
        <v>356</v>
      </c>
      <c r="AA192" s="121" t="s">
        <v>357</v>
      </c>
      <c r="AB192" s="122" t="s">
        <v>284</v>
      </c>
      <c r="AC192" s="206">
        <f>264.679+83.848</f>
        <v>348.52699999999999</v>
      </c>
      <c r="AD192" s="124">
        <v>11.61</v>
      </c>
      <c r="AE192" s="200">
        <f t="shared" si="15"/>
        <v>4046.4</v>
      </c>
      <c r="AF192" s="956">
        <v>14</v>
      </c>
      <c r="AG192" s="407"/>
      <c r="AR192" s="129" t="s">
        <v>235</v>
      </c>
      <c r="AT192" s="129" t="s">
        <v>231</v>
      </c>
      <c r="AU192" s="129" t="s">
        <v>76</v>
      </c>
      <c r="AY192" s="13" t="s">
        <v>228</v>
      </c>
      <c r="BE192" s="130">
        <f t="shared" si="16"/>
        <v>0</v>
      </c>
      <c r="BF192" s="130">
        <f t="shared" si="17"/>
        <v>3072.92</v>
      </c>
      <c r="BG192" s="130">
        <f t="shared" si="18"/>
        <v>0</v>
      </c>
      <c r="BH192" s="130">
        <f t="shared" si="19"/>
        <v>0</v>
      </c>
      <c r="BI192" s="130">
        <f t="shared" si="20"/>
        <v>0</v>
      </c>
      <c r="BJ192" s="13" t="s">
        <v>76</v>
      </c>
      <c r="BK192" s="130">
        <f t="shared" si="21"/>
        <v>3072.92</v>
      </c>
      <c r="BL192" s="13" t="s">
        <v>235</v>
      </c>
      <c r="BM192" s="129" t="s">
        <v>358</v>
      </c>
    </row>
    <row r="193" spans="2:65" s="1" customFormat="1" ht="24" customHeight="1" x14ac:dyDescent="0.2">
      <c r="B193" s="118"/>
      <c r="C193" s="205" t="s">
        <v>296</v>
      </c>
      <c r="D193" s="119" t="s">
        <v>231</v>
      </c>
      <c r="E193" s="120" t="s">
        <v>359</v>
      </c>
      <c r="F193" s="121" t="s">
        <v>360</v>
      </c>
      <c r="G193" s="122" t="s">
        <v>284</v>
      </c>
      <c r="H193" s="206">
        <v>1187.5550000000001</v>
      </c>
      <c r="I193" s="124">
        <v>4.6399999999999997</v>
      </c>
      <c r="J193" s="124">
        <f t="shared" si="11"/>
        <v>5510.26</v>
      </c>
      <c r="K193" s="121" t="s">
        <v>1</v>
      </c>
      <c r="L193" s="24"/>
      <c r="M193" s="125" t="s">
        <v>1</v>
      </c>
      <c r="N193" s="126" t="s">
        <v>32</v>
      </c>
      <c r="O193" s="127">
        <v>0</v>
      </c>
      <c r="P193" s="127">
        <f t="shared" si="12"/>
        <v>0</v>
      </c>
      <c r="Q193" s="127">
        <v>0</v>
      </c>
      <c r="R193" s="127">
        <f t="shared" si="13"/>
        <v>0</v>
      </c>
      <c r="S193" s="127">
        <v>0</v>
      </c>
      <c r="T193" s="128">
        <f t="shared" si="14"/>
        <v>0</v>
      </c>
      <c r="W193" s="199"/>
      <c r="X193" s="205" t="s">
        <v>296</v>
      </c>
      <c r="Y193" s="119" t="s">
        <v>231</v>
      </c>
      <c r="Z193" s="120" t="s">
        <v>359</v>
      </c>
      <c r="AA193" s="121" t="s">
        <v>360</v>
      </c>
      <c r="AB193" s="122" t="s">
        <v>284</v>
      </c>
      <c r="AC193" s="206">
        <f>1187.555+521.922+312.611</f>
        <v>2022.0880000000002</v>
      </c>
      <c r="AD193" s="124">
        <v>4.6399999999999997</v>
      </c>
      <c r="AE193" s="200">
        <f t="shared" si="15"/>
        <v>9382.49</v>
      </c>
      <c r="AF193" s="956" t="s">
        <v>6660</v>
      </c>
      <c r="AG193" s="407"/>
      <c r="AR193" s="129" t="s">
        <v>235</v>
      </c>
      <c r="AT193" s="129" t="s">
        <v>231</v>
      </c>
      <c r="AU193" s="129" t="s">
        <v>76</v>
      </c>
      <c r="AY193" s="13" t="s">
        <v>228</v>
      </c>
      <c r="BE193" s="130">
        <f t="shared" si="16"/>
        <v>0</v>
      </c>
      <c r="BF193" s="130">
        <f t="shared" si="17"/>
        <v>5510.26</v>
      </c>
      <c r="BG193" s="130">
        <f t="shared" si="18"/>
        <v>0</v>
      </c>
      <c r="BH193" s="130">
        <f t="shared" si="19"/>
        <v>0</v>
      </c>
      <c r="BI193" s="130">
        <f t="shared" si="20"/>
        <v>0</v>
      </c>
      <c r="BJ193" s="13" t="s">
        <v>76</v>
      </c>
      <c r="BK193" s="130">
        <f t="shared" si="21"/>
        <v>5510.26</v>
      </c>
      <c r="BL193" s="13" t="s">
        <v>235</v>
      </c>
      <c r="BM193" s="129" t="s">
        <v>361</v>
      </c>
    </row>
    <row r="194" spans="2:65" s="1" customFormat="1" ht="24" customHeight="1" x14ac:dyDescent="0.2">
      <c r="B194" s="118"/>
      <c r="C194" s="205" t="s">
        <v>362</v>
      </c>
      <c r="D194" s="119" t="s">
        <v>231</v>
      </c>
      <c r="E194" s="120" t="s">
        <v>363</v>
      </c>
      <c r="F194" s="121" t="s">
        <v>364</v>
      </c>
      <c r="G194" s="122" t="s">
        <v>284</v>
      </c>
      <c r="H194" s="206">
        <v>1239.413</v>
      </c>
      <c r="I194" s="124">
        <v>1.1599999999999999</v>
      </c>
      <c r="J194" s="124">
        <f t="shared" si="11"/>
        <v>1437.72</v>
      </c>
      <c r="K194" s="121" t="s">
        <v>1</v>
      </c>
      <c r="L194" s="24"/>
      <c r="M194" s="125" t="s">
        <v>1</v>
      </c>
      <c r="N194" s="126" t="s">
        <v>32</v>
      </c>
      <c r="O194" s="127">
        <v>0</v>
      </c>
      <c r="P194" s="127">
        <f t="shared" si="12"/>
        <v>0</v>
      </c>
      <c r="Q194" s="127">
        <v>0</v>
      </c>
      <c r="R194" s="127">
        <f t="shared" si="13"/>
        <v>0</v>
      </c>
      <c r="S194" s="127">
        <v>0</v>
      </c>
      <c r="T194" s="128">
        <f t="shared" si="14"/>
        <v>0</v>
      </c>
      <c r="W194" s="199"/>
      <c r="X194" s="205" t="s">
        <v>362</v>
      </c>
      <c r="Y194" s="119" t="s">
        <v>231</v>
      </c>
      <c r="Z194" s="120" t="s">
        <v>363</v>
      </c>
      <c r="AA194" s="121" t="s">
        <v>364</v>
      </c>
      <c r="AB194" s="122" t="s">
        <v>284</v>
      </c>
      <c r="AC194" s="206">
        <f>1239.413+521.922+31.433+312.611</f>
        <v>2105.3789999999999</v>
      </c>
      <c r="AD194" s="124">
        <v>1.1599999999999999</v>
      </c>
      <c r="AE194" s="200">
        <f t="shared" si="15"/>
        <v>2442.2399999999998</v>
      </c>
      <c r="AF194" s="956" t="s">
        <v>6662</v>
      </c>
      <c r="AG194" s="407"/>
      <c r="AR194" s="129" t="s">
        <v>235</v>
      </c>
      <c r="AT194" s="129" t="s">
        <v>231</v>
      </c>
      <c r="AU194" s="129" t="s">
        <v>76</v>
      </c>
      <c r="AY194" s="13" t="s">
        <v>228</v>
      </c>
      <c r="BE194" s="130">
        <f t="shared" si="16"/>
        <v>0</v>
      </c>
      <c r="BF194" s="130">
        <f t="shared" si="17"/>
        <v>1437.72</v>
      </c>
      <c r="BG194" s="130">
        <f t="shared" si="18"/>
        <v>0</v>
      </c>
      <c r="BH194" s="130">
        <f t="shared" si="19"/>
        <v>0</v>
      </c>
      <c r="BI194" s="130">
        <f t="shared" si="20"/>
        <v>0</v>
      </c>
      <c r="BJ194" s="13" t="s">
        <v>76</v>
      </c>
      <c r="BK194" s="130">
        <f t="shared" si="21"/>
        <v>1437.72</v>
      </c>
      <c r="BL194" s="13" t="s">
        <v>235</v>
      </c>
      <c r="BM194" s="129" t="s">
        <v>365</v>
      </c>
    </row>
    <row r="195" spans="2:65" s="1" customFormat="1" ht="24" customHeight="1" x14ac:dyDescent="0.2">
      <c r="B195" s="118"/>
      <c r="C195" s="205" t="s">
        <v>300</v>
      </c>
      <c r="D195" s="119" t="s">
        <v>231</v>
      </c>
      <c r="E195" s="120" t="s">
        <v>366</v>
      </c>
      <c r="F195" s="121" t="s">
        <v>367</v>
      </c>
      <c r="G195" s="122" t="s">
        <v>284</v>
      </c>
      <c r="H195" s="206">
        <v>1802.048</v>
      </c>
      <c r="I195" s="124">
        <v>5.46</v>
      </c>
      <c r="J195" s="124">
        <f t="shared" si="11"/>
        <v>9839.18</v>
      </c>
      <c r="K195" s="121" t="s">
        <v>1</v>
      </c>
      <c r="L195" s="24"/>
      <c r="M195" s="125" t="s">
        <v>1</v>
      </c>
      <c r="N195" s="126" t="s">
        <v>32</v>
      </c>
      <c r="O195" s="127">
        <v>0</v>
      </c>
      <c r="P195" s="127">
        <f t="shared" si="12"/>
        <v>0</v>
      </c>
      <c r="Q195" s="127">
        <v>0</v>
      </c>
      <c r="R195" s="127">
        <f t="shared" si="13"/>
        <v>0</v>
      </c>
      <c r="S195" s="127">
        <v>0</v>
      </c>
      <c r="T195" s="128">
        <f t="shared" si="14"/>
        <v>0</v>
      </c>
      <c r="W195" s="199"/>
      <c r="X195" s="205" t="s">
        <v>300</v>
      </c>
      <c r="Y195" s="119" t="s">
        <v>231</v>
      </c>
      <c r="Z195" s="120" t="s">
        <v>366</v>
      </c>
      <c r="AA195" s="121" t="s">
        <v>367</v>
      </c>
      <c r="AB195" s="122" t="s">
        <v>284</v>
      </c>
      <c r="AC195" s="206">
        <f>1802.048+521.922+96.848+312.611</f>
        <v>2733.4290000000001</v>
      </c>
      <c r="AD195" s="124">
        <v>5.46</v>
      </c>
      <c r="AE195" s="200">
        <f t="shared" si="15"/>
        <v>14924.52</v>
      </c>
      <c r="AF195" s="956" t="s">
        <v>6662</v>
      </c>
      <c r="AG195" s="407"/>
      <c r="AR195" s="129" t="s">
        <v>235</v>
      </c>
      <c r="AT195" s="129" t="s">
        <v>231</v>
      </c>
      <c r="AU195" s="129" t="s">
        <v>76</v>
      </c>
      <c r="AY195" s="13" t="s">
        <v>228</v>
      </c>
      <c r="BE195" s="130">
        <f t="shared" si="16"/>
        <v>0</v>
      </c>
      <c r="BF195" s="130">
        <f t="shared" si="17"/>
        <v>9839.18</v>
      </c>
      <c r="BG195" s="130">
        <f t="shared" si="18"/>
        <v>0</v>
      </c>
      <c r="BH195" s="130">
        <f t="shared" si="19"/>
        <v>0</v>
      </c>
      <c r="BI195" s="130">
        <f t="shared" si="20"/>
        <v>0</v>
      </c>
      <c r="BJ195" s="13" t="s">
        <v>76</v>
      </c>
      <c r="BK195" s="130">
        <f t="shared" si="21"/>
        <v>9839.18</v>
      </c>
      <c r="BL195" s="13" t="s">
        <v>235</v>
      </c>
      <c r="BM195" s="129" t="s">
        <v>368</v>
      </c>
    </row>
    <row r="196" spans="2:65" s="1" customFormat="1" ht="16.5" customHeight="1" x14ac:dyDescent="0.2">
      <c r="B196" s="118"/>
      <c r="C196" s="205" t="s">
        <v>369</v>
      </c>
      <c r="D196" s="119" t="s">
        <v>231</v>
      </c>
      <c r="E196" s="120" t="s">
        <v>370</v>
      </c>
      <c r="F196" s="121" t="s">
        <v>371</v>
      </c>
      <c r="G196" s="122" t="s">
        <v>284</v>
      </c>
      <c r="H196" s="206">
        <v>14.7</v>
      </c>
      <c r="I196" s="124">
        <v>8.7100000000000009</v>
      </c>
      <c r="J196" s="124">
        <f t="shared" si="11"/>
        <v>128.04</v>
      </c>
      <c r="K196" s="121" t="s">
        <v>1</v>
      </c>
      <c r="L196" s="24"/>
      <c r="M196" s="125" t="s">
        <v>1</v>
      </c>
      <c r="N196" s="126" t="s">
        <v>32</v>
      </c>
      <c r="O196" s="127">
        <v>0.33828999999999998</v>
      </c>
      <c r="P196" s="127">
        <f t="shared" si="12"/>
        <v>4.9728629999999994</v>
      </c>
      <c r="Q196" s="127">
        <v>4.793E-2</v>
      </c>
      <c r="R196" s="127">
        <f t="shared" si="13"/>
        <v>0.70457099999999995</v>
      </c>
      <c r="S196" s="127">
        <v>0</v>
      </c>
      <c r="T196" s="128">
        <f t="shared" si="14"/>
        <v>0</v>
      </c>
      <c r="W196" s="199"/>
      <c r="X196" s="205" t="s">
        <v>369</v>
      </c>
      <c r="Y196" s="119" t="s">
        <v>231</v>
      </c>
      <c r="Z196" s="120" t="s">
        <v>370</v>
      </c>
      <c r="AA196" s="121" t="s">
        <v>371</v>
      </c>
      <c r="AB196" s="122" t="s">
        <v>284</v>
      </c>
      <c r="AC196" s="206">
        <f>14.7+6.2</f>
        <v>20.9</v>
      </c>
      <c r="AD196" s="124">
        <v>8.7100000000000009</v>
      </c>
      <c r="AE196" s="200">
        <f t="shared" si="15"/>
        <v>182.04</v>
      </c>
      <c r="AF196" s="956">
        <v>14</v>
      </c>
      <c r="AG196" s="407"/>
      <c r="AR196" s="129" t="s">
        <v>235</v>
      </c>
      <c r="AT196" s="129" t="s">
        <v>231</v>
      </c>
      <c r="AU196" s="129" t="s">
        <v>76</v>
      </c>
      <c r="AY196" s="13" t="s">
        <v>228</v>
      </c>
      <c r="BE196" s="130">
        <f t="shared" si="16"/>
        <v>0</v>
      </c>
      <c r="BF196" s="130">
        <f t="shared" si="17"/>
        <v>128.04</v>
      </c>
      <c r="BG196" s="130">
        <f t="shared" si="18"/>
        <v>0</v>
      </c>
      <c r="BH196" s="130">
        <f t="shared" si="19"/>
        <v>0</v>
      </c>
      <c r="BI196" s="130">
        <f t="shared" si="20"/>
        <v>0</v>
      </c>
      <c r="BJ196" s="13" t="s">
        <v>76</v>
      </c>
      <c r="BK196" s="130">
        <f t="shared" si="21"/>
        <v>128.04</v>
      </c>
      <c r="BL196" s="13" t="s">
        <v>235</v>
      </c>
      <c r="BM196" s="129" t="s">
        <v>372</v>
      </c>
    </row>
    <row r="197" spans="2:65" s="1" customFormat="1" ht="24.45" customHeight="1" x14ac:dyDescent="0.2">
      <c r="B197" s="118"/>
      <c r="C197" s="205" t="s">
        <v>303</v>
      </c>
      <c r="D197" s="119" t="s">
        <v>231</v>
      </c>
      <c r="E197" s="120" t="s">
        <v>373</v>
      </c>
      <c r="F197" s="121" t="s">
        <v>374</v>
      </c>
      <c r="G197" s="122" t="s">
        <v>292</v>
      </c>
      <c r="H197" s="206">
        <v>36.6</v>
      </c>
      <c r="I197" s="124">
        <v>1.1599999999999999</v>
      </c>
      <c r="J197" s="124">
        <f t="shared" si="11"/>
        <v>42.46</v>
      </c>
      <c r="K197" s="121" t="s">
        <v>1</v>
      </c>
      <c r="L197" s="24"/>
      <c r="M197" s="125" t="s">
        <v>1</v>
      </c>
      <c r="N197" s="126" t="s">
        <v>32</v>
      </c>
      <c r="O197" s="127">
        <v>0</v>
      </c>
      <c r="P197" s="127">
        <f t="shared" si="12"/>
        <v>0</v>
      </c>
      <c r="Q197" s="127">
        <v>0</v>
      </c>
      <c r="R197" s="127">
        <f t="shared" si="13"/>
        <v>0</v>
      </c>
      <c r="S197" s="127">
        <v>0</v>
      </c>
      <c r="T197" s="128">
        <f t="shared" si="14"/>
        <v>0</v>
      </c>
      <c r="W197" s="199"/>
      <c r="X197" s="205" t="s">
        <v>303</v>
      </c>
      <c r="Y197" s="119" t="s">
        <v>231</v>
      </c>
      <c r="Z197" s="120" t="s">
        <v>373</v>
      </c>
      <c r="AA197" s="121" t="s">
        <v>374</v>
      </c>
      <c r="AB197" s="122" t="s">
        <v>292</v>
      </c>
      <c r="AC197" s="206">
        <f>36.6+50.5+8.8</f>
        <v>95.899999999999991</v>
      </c>
      <c r="AD197" s="124">
        <v>1.1599999999999999</v>
      </c>
      <c r="AE197" s="200">
        <f t="shared" si="15"/>
        <v>111.24</v>
      </c>
      <c r="AF197" s="956" t="s">
        <v>6323</v>
      </c>
      <c r="AG197" s="407"/>
      <c r="AR197" s="129" t="s">
        <v>235</v>
      </c>
      <c r="AT197" s="129" t="s">
        <v>231</v>
      </c>
      <c r="AU197" s="129" t="s">
        <v>76</v>
      </c>
      <c r="AY197" s="13" t="s">
        <v>228</v>
      </c>
      <c r="BE197" s="130">
        <f t="shared" si="16"/>
        <v>0</v>
      </c>
      <c r="BF197" s="130">
        <f t="shared" si="17"/>
        <v>42.46</v>
      </c>
      <c r="BG197" s="130">
        <f t="shared" si="18"/>
        <v>0</v>
      </c>
      <c r="BH197" s="130">
        <f t="shared" si="19"/>
        <v>0</v>
      </c>
      <c r="BI197" s="130">
        <f t="shared" si="20"/>
        <v>0</v>
      </c>
      <c r="BJ197" s="13" t="s">
        <v>76</v>
      </c>
      <c r="BK197" s="130">
        <f t="shared" si="21"/>
        <v>42.46</v>
      </c>
      <c r="BL197" s="13" t="s">
        <v>235</v>
      </c>
      <c r="BM197" s="129" t="s">
        <v>375</v>
      </c>
    </row>
    <row r="198" spans="2:65" s="1" customFormat="1" ht="27.45" customHeight="1" x14ac:dyDescent="0.2">
      <c r="B198" s="118"/>
      <c r="C198" s="205" t="s">
        <v>376</v>
      </c>
      <c r="D198" s="119" t="s">
        <v>231</v>
      </c>
      <c r="E198" s="120" t="s">
        <v>377</v>
      </c>
      <c r="F198" s="121" t="s">
        <v>378</v>
      </c>
      <c r="G198" s="122" t="s">
        <v>292</v>
      </c>
      <c r="H198" s="206">
        <v>36.6</v>
      </c>
      <c r="I198" s="124">
        <v>1.1599999999999999</v>
      </c>
      <c r="J198" s="124">
        <f t="shared" si="11"/>
        <v>42.46</v>
      </c>
      <c r="K198" s="121" t="s">
        <v>1</v>
      </c>
      <c r="L198" s="24"/>
      <c r="M198" s="125" t="s">
        <v>1</v>
      </c>
      <c r="N198" s="126" t="s">
        <v>32</v>
      </c>
      <c r="O198" s="127">
        <v>0</v>
      </c>
      <c r="P198" s="127">
        <f t="shared" si="12"/>
        <v>0</v>
      </c>
      <c r="Q198" s="127">
        <v>0</v>
      </c>
      <c r="R198" s="127">
        <f t="shared" si="13"/>
        <v>0</v>
      </c>
      <c r="S198" s="127">
        <v>0</v>
      </c>
      <c r="T198" s="128">
        <f t="shared" si="14"/>
        <v>0</v>
      </c>
      <c r="W198" s="199"/>
      <c r="X198" s="205" t="s">
        <v>376</v>
      </c>
      <c r="Y198" s="119" t="s">
        <v>231</v>
      </c>
      <c r="Z198" s="120" t="s">
        <v>377</v>
      </c>
      <c r="AA198" s="121" t="s">
        <v>378</v>
      </c>
      <c r="AB198" s="122" t="s">
        <v>292</v>
      </c>
      <c r="AC198" s="206">
        <f>36.6+225.585+8.9</f>
        <v>271.08499999999998</v>
      </c>
      <c r="AD198" s="124">
        <v>1.1599999999999999</v>
      </c>
      <c r="AE198" s="200">
        <f t="shared" si="15"/>
        <v>314.45999999999998</v>
      </c>
      <c r="AF198" s="956" t="s">
        <v>6323</v>
      </c>
      <c r="AG198" s="407"/>
      <c r="AR198" s="129" t="s">
        <v>235</v>
      </c>
      <c r="AT198" s="129" t="s">
        <v>231</v>
      </c>
      <c r="AU198" s="129" t="s">
        <v>76</v>
      </c>
      <c r="AY198" s="13" t="s">
        <v>228</v>
      </c>
      <c r="BE198" s="130">
        <f t="shared" si="16"/>
        <v>0</v>
      </c>
      <c r="BF198" s="130">
        <f t="shared" si="17"/>
        <v>42.46</v>
      </c>
      <c r="BG198" s="130">
        <f t="shared" si="18"/>
        <v>0</v>
      </c>
      <c r="BH198" s="130">
        <f t="shared" si="19"/>
        <v>0</v>
      </c>
      <c r="BI198" s="130">
        <f t="shared" si="20"/>
        <v>0</v>
      </c>
      <c r="BJ198" s="13" t="s">
        <v>76</v>
      </c>
      <c r="BK198" s="130">
        <f t="shared" si="21"/>
        <v>42.46</v>
      </c>
      <c r="BL198" s="13" t="s">
        <v>235</v>
      </c>
      <c r="BM198" s="129" t="s">
        <v>379</v>
      </c>
    </row>
    <row r="199" spans="2:65" s="1" customFormat="1" ht="22.8" x14ac:dyDescent="0.2">
      <c r="B199" s="118"/>
      <c r="C199" s="119" t="s">
        <v>308</v>
      </c>
      <c r="D199" s="119" t="s">
        <v>231</v>
      </c>
      <c r="E199" s="120" t="s">
        <v>380</v>
      </c>
      <c r="F199" s="121" t="s">
        <v>381</v>
      </c>
      <c r="G199" s="122" t="s">
        <v>284</v>
      </c>
      <c r="H199" s="123">
        <v>9.61</v>
      </c>
      <c r="I199" s="124">
        <v>40.64</v>
      </c>
      <c r="J199" s="124">
        <f t="shared" si="11"/>
        <v>390.55</v>
      </c>
      <c r="K199" s="121" t="s">
        <v>1</v>
      </c>
      <c r="L199" s="24"/>
      <c r="M199" s="125" t="s">
        <v>1</v>
      </c>
      <c r="N199" s="126" t="s">
        <v>32</v>
      </c>
      <c r="O199" s="127">
        <v>0</v>
      </c>
      <c r="P199" s="127">
        <f t="shared" si="12"/>
        <v>0</v>
      </c>
      <c r="Q199" s="127">
        <v>0</v>
      </c>
      <c r="R199" s="127">
        <f t="shared" si="13"/>
        <v>0</v>
      </c>
      <c r="S199" s="127">
        <v>0</v>
      </c>
      <c r="T199" s="128">
        <f t="shared" si="14"/>
        <v>0</v>
      </c>
      <c r="W199" s="199"/>
      <c r="X199" s="119" t="s">
        <v>308</v>
      </c>
      <c r="Y199" s="119" t="s">
        <v>231</v>
      </c>
      <c r="Z199" s="120" t="s">
        <v>380</v>
      </c>
      <c r="AA199" s="121" t="s">
        <v>381</v>
      </c>
      <c r="AB199" s="122" t="s">
        <v>284</v>
      </c>
      <c r="AC199" s="123">
        <v>9.61</v>
      </c>
      <c r="AD199" s="124">
        <v>40.64</v>
      </c>
      <c r="AE199" s="200">
        <f t="shared" si="15"/>
        <v>390.55</v>
      </c>
      <c r="AF199" s="956"/>
      <c r="AG199" s="407"/>
      <c r="AR199" s="129" t="s">
        <v>235</v>
      </c>
      <c r="AT199" s="129" t="s">
        <v>231</v>
      </c>
      <c r="AU199" s="129" t="s">
        <v>76</v>
      </c>
      <c r="AY199" s="13" t="s">
        <v>228</v>
      </c>
      <c r="BE199" s="130">
        <f t="shared" si="16"/>
        <v>0</v>
      </c>
      <c r="BF199" s="130">
        <f t="shared" si="17"/>
        <v>390.55</v>
      </c>
      <c r="BG199" s="130">
        <f t="shared" si="18"/>
        <v>0</v>
      </c>
      <c r="BH199" s="130">
        <f t="shared" si="19"/>
        <v>0</v>
      </c>
      <c r="BI199" s="130">
        <f t="shared" si="20"/>
        <v>0</v>
      </c>
      <c r="BJ199" s="13" t="s">
        <v>76</v>
      </c>
      <c r="BK199" s="130">
        <f t="shared" si="21"/>
        <v>390.55</v>
      </c>
      <c r="BL199" s="13" t="s">
        <v>235</v>
      </c>
      <c r="BM199" s="129" t="s">
        <v>382</v>
      </c>
    </row>
    <row r="200" spans="2:65" s="1" customFormat="1" ht="24" customHeight="1" x14ac:dyDescent="0.2">
      <c r="B200" s="118"/>
      <c r="C200" s="205" t="s">
        <v>383</v>
      </c>
      <c r="D200" s="119" t="s">
        <v>231</v>
      </c>
      <c r="E200" s="120" t="s">
        <v>384</v>
      </c>
      <c r="F200" s="121" t="s">
        <v>385</v>
      </c>
      <c r="G200" s="122" t="s">
        <v>292</v>
      </c>
      <c r="H200" s="206">
        <v>30.4</v>
      </c>
      <c r="I200" s="124">
        <v>8.1300000000000008</v>
      </c>
      <c r="J200" s="124">
        <f t="shared" si="11"/>
        <v>247.15</v>
      </c>
      <c r="K200" s="121" t="s">
        <v>1</v>
      </c>
      <c r="L200" s="24"/>
      <c r="M200" s="125" t="s">
        <v>1</v>
      </c>
      <c r="N200" s="126" t="s">
        <v>32</v>
      </c>
      <c r="O200" s="127">
        <v>0</v>
      </c>
      <c r="P200" s="127">
        <f t="shared" si="12"/>
        <v>0</v>
      </c>
      <c r="Q200" s="127">
        <v>0</v>
      </c>
      <c r="R200" s="127">
        <f t="shared" si="13"/>
        <v>0</v>
      </c>
      <c r="S200" s="127">
        <v>0</v>
      </c>
      <c r="T200" s="128">
        <f t="shared" si="14"/>
        <v>0</v>
      </c>
      <c r="W200" s="199"/>
      <c r="X200" s="205" t="s">
        <v>383</v>
      </c>
      <c r="Y200" s="119" t="s">
        <v>231</v>
      </c>
      <c r="Z200" s="120" t="s">
        <v>384</v>
      </c>
      <c r="AA200" s="121" t="s">
        <v>385</v>
      </c>
      <c r="AB200" s="122" t="s">
        <v>292</v>
      </c>
      <c r="AC200" s="206">
        <f>30.4+4.4</f>
        <v>34.799999999999997</v>
      </c>
      <c r="AD200" s="124">
        <v>8.1300000000000008</v>
      </c>
      <c r="AE200" s="200">
        <f t="shared" si="15"/>
        <v>282.92</v>
      </c>
      <c r="AF200" s="956">
        <v>14</v>
      </c>
      <c r="AG200" s="407"/>
      <c r="AR200" s="129" t="s">
        <v>235</v>
      </c>
      <c r="AT200" s="129" t="s">
        <v>231</v>
      </c>
      <c r="AU200" s="129" t="s">
        <v>76</v>
      </c>
      <c r="AY200" s="13" t="s">
        <v>228</v>
      </c>
      <c r="BE200" s="130">
        <f t="shared" si="16"/>
        <v>0</v>
      </c>
      <c r="BF200" s="130">
        <f t="shared" si="17"/>
        <v>247.15</v>
      </c>
      <c r="BG200" s="130">
        <f t="shared" si="18"/>
        <v>0</v>
      </c>
      <c r="BH200" s="130">
        <f t="shared" si="19"/>
        <v>0</v>
      </c>
      <c r="BI200" s="130">
        <f t="shared" si="20"/>
        <v>0</v>
      </c>
      <c r="BJ200" s="13" t="s">
        <v>76</v>
      </c>
      <c r="BK200" s="130">
        <f t="shared" si="21"/>
        <v>247.15</v>
      </c>
      <c r="BL200" s="13" t="s">
        <v>235</v>
      </c>
      <c r="BM200" s="129" t="s">
        <v>386</v>
      </c>
    </row>
    <row r="201" spans="2:65" s="1" customFormat="1" ht="24" customHeight="1" x14ac:dyDescent="0.2">
      <c r="B201" s="118"/>
      <c r="C201" s="119" t="s">
        <v>312</v>
      </c>
      <c r="D201" s="119" t="s">
        <v>231</v>
      </c>
      <c r="E201" s="120" t="s">
        <v>387</v>
      </c>
      <c r="F201" s="121" t="s">
        <v>388</v>
      </c>
      <c r="G201" s="122" t="s">
        <v>292</v>
      </c>
      <c r="H201" s="123">
        <v>6.19</v>
      </c>
      <c r="I201" s="124">
        <v>11.61</v>
      </c>
      <c r="J201" s="124">
        <f t="shared" si="11"/>
        <v>71.87</v>
      </c>
      <c r="K201" s="121" t="s">
        <v>1</v>
      </c>
      <c r="L201" s="24"/>
      <c r="M201" s="125" t="s">
        <v>1</v>
      </c>
      <c r="N201" s="126" t="s">
        <v>32</v>
      </c>
      <c r="O201" s="127">
        <v>0</v>
      </c>
      <c r="P201" s="127">
        <f t="shared" si="12"/>
        <v>0</v>
      </c>
      <c r="Q201" s="127">
        <v>0</v>
      </c>
      <c r="R201" s="127">
        <f t="shared" si="13"/>
        <v>0</v>
      </c>
      <c r="S201" s="127">
        <v>0</v>
      </c>
      <c r="T201" s="128">
        <f t="shared" si="14"/>
        <v>0</v>
      </c>
      <c r="W201" s="199"/>
      <c r="X201" s="119" t="s">
        <v>312</v>
      </c>
      <c r="Y201" s="119" t="s">
        <v>231</v>
      </c>
      <c r="Z201" s="120" t="s">
        <v>387</v>
      </c>
      <c r="AA201" s="121" t="s">
        <v>388</v>
      </c>
      <c r="AB201" s="122" t="s">
        <v>292</v>
      </c>
      <c r="AC201" s="123">
        <v>6.19</v>
      </c>
      <c r="AD201" s="124">
        <v>11.61</v>
      </c>
      <c r="AE201" s="200">
        <f t="shared" si="15"/>
        <v>71.87</v>
      </c>
      <c r="AF201" s="956"/>
      <c r="AG201" s="407"/>
      <c r="AR201" s="129" t="s">
        <v>235</v>
      </c>
      <c r="AT201" s="129" t="s">
        <v>231</v>
      </c>
      <c r="AU201" s="129" t="s">
        <v>76</v>
      </c>
      <c r="AY201" s="13" t="s">
        <v>228</v>
      </c>
      <c r="BE201" s="130">
        <f t="shared" si="16"/>
        <v>0</v>
      </c>
      <c r="BF201" s="130">
        <f t="shared" si="17"/>
        <v>71.87</v>
      </c>
      <c r="BG201" s="130">
        <f t="shared" si="18"/>
        <v>0</v>
      </c>
      <c r="BH201" s="130">
        <f t="shared" si="19"/>
        <v>0</v>
      </c>
      <c r="BI201" s="130">
        <f t="shared" si="20"/>
        <v>0</v>
      </c>
      <c r="BJ201" s="13" t="s">
        <v>76</v>
      </c>
      <c r="BK201" s="130">
        <f t="shared" si="21"/>
        <v>71.87</v>
      </c>
      <c r="BL201" s="13" t="s">
        <v>235</v>
      </c>
      <c r="BM201" s="129" t="s">
        <v>389</v>
      </c>
    </row>
    <row r="202" spans="2:65" s="362" customFormat="1" ht="39.450000000000003" customHeight="1" x14ac:dyDescent="0.2">
      <c r="B202" s="118"/>
      <c r="C202" s="1234" t="s">
        <v>5205</v>
      </c>
      <c r="D202" s="1235"/>
      <c r="E202" s="1235"/>
      <c r="F202" s="1235"/>
      <c r="G202" s="1235"/>
      <c r="H202" s="1235"/>
      <c r="I202" s="1235"/>
      <c r="J202" s="1236"/>
      <c r="K202" s="121"/>
      <c r="L202" s="24"/>
      <c r="M202" s="125"/>
      <c r="N202" s="126"/>
      <c r="O202" s="127"/>
      <c r="P202" s="127"/>
      <c r="Q202" s="127"/>
      <c r="R202" s="127"/>
      <c r="S202" s="127"/>
      <c r="T202" s="128"/>
      <c r="W202" s="199"/>
      <c r="X202" s="341" t="s">
        <v>5394</v>
      </c>
      <c r="Y202" s="341" t="s">
        <v>231</v>
      </c>
      <c r="Z202" s="342" t="s">
        <v>3232</v>
      </c>
      <c r="AA202" s="343" t="s">
        <v>3233</v>
      </c>
      <c r="AB202" s="344" t="s">
        <v>284</v>
      </c>
      <c r="AC202" s="345">
        <v>19.5</v>
      </c>
      <c r="AD202" s="346">
        <v>2.79</v>
      </c>
      <c r="AE202" s="355">
        <f>ROUND(AD202*AC202,2)</f>
        <v>54.41</v>
      </c>
      <c r="AF202" s="956">
        <v>4</v>
      </c>
      <c r="AG202" s="407"/>
      <c r="AR202" s="129"/>
      <c r="AT202" s="129"/>
      <c r="AU202" s="129"/>
      <c r="AY202" s="13"/>
      <c r="BE202" s="130"/>
      <c r="BF202" s="130"/>
      <c r="BG202" s="130"/>
      <c r="BH202" s="130"/>
      <c r="BI202" s="130"/>
      <c r="BJ202" s="13"/>
      <c r="BK202" s="130"/>
      <c r="BL202" s="13"/>
      <c r="BM202" s="129"/>
    </row>
    <row r="203" spans="2:65" s="1" customFormat="1" ht="28.95" customHeight="1" x14ac:dyDescent="0.2">
      <c r="B203" s="118"/>
      <c r="C203" s="205" t="s">
        <v>390</v>
      </c>
      <c r="D203" s="119" t="s">
        <v>231</v>
      </c>
      <c r="E203" s="120" t="s">
        <v>391</v>
      </c>
      <c r="F203" s="121" t="s">
        <v>392</v>
      </c>
      <c r="G203" s="122" t="s">
        <v>284</v>
      </c>
      <c r="H203" s="206">
        <v>15</v>
      </c>
      <c r="I203" s="124">
        <v>20.9</v>
      </c>
      <c r="J203" s="124">
        <f t="shared" si="11"/>
        <v>313.5</v>
      </c>
      <c r="K203" s="121" t="s">
        <v>1</v>
      </c>
      <c r="L203" s="24"/>
      <c r="M203" s="125" t="s">
        <v>1</v>
      </c>
      <c r="N203" s="126" t="s">
        <v>32</v>
      </c>
      <c r="O203" s="127">
        <v>0</v>
      </c>
      <c r="P203" s="127">
        <f t="shared" si="12"/>
        <v>0</v>
      </c>
      <c r="Q203" s="127">
        <v>0</v>
      </c>
      <c r="R203" s="127">
        <f t="shared" si="13"/>
        <v>0</v>
      </c>
      <c r="S203" s="127">
        <v>0</v>
      </c>
      <c r="T203" s="128">
        <f t="shared" si="14"/>
        <v>0</v>
      </c>
      <c r="W203" s="199"/>
      <c r="X203" s="205" t="s">
        <v>390</v>
      </c>
      <c r="Y203" s="119" t="s">
        <v>231</v>
      </c>
      <c r="Z203" s="120" t="s">
        <v>391</v>
      </c>
      <c r="AA203" s="121" t="s">
        <v>392</v>
      </c>
      <c r="AB203" s="122" t="s">
        <v>284</v>
      </c>
      <c r="AC203" s="206">
        <f>15+3.6+3.9</f>
        <v>22.5</v>
      </c>
      <c r="AD203" s="124">
        <v>20.9</v>
      </c>
      <c r="AE203" s="200">
        <f t="shared" si="15"/>
        <v>470.25</v>
      </c>
      <c r="AF203" s="956" t="s">
        <v>6323</v>
      </c>
      <c r="AG203" s="407"/>
      <c r="AR203" s="129" t="s">
        <v>235</v>
      </c>
      <c r="AT203" s="129" t="s">
        <v>231</v>
      </c>
      <c r="AU203" s="129" t="s">
        <v>76</v>
      </c>
      <c r="AY203" s="13" t="s">
        <v>228</v>
      </c>
      <c r="BE203" s="130">
        <f t="shared" si="16"/>
        <v>0</v>
      </c>
      <c r="BF203" s="130">
        <f t="shared" si="17"/>
        <v>313.5</v>
      </c>
      <c r="BG203" s="130">
        <f t="shared" si="18"/>
        <v>0</v>
      </c>
      <c r="BH203" s="130">
        <f t="shared" si="19"/>
        <v>0</v>
      </c>
      <c r="BI203" s="130">
        <f t="shared" si="20"/>
        <v>0</v>
      </c>
      <c r="BJ203" s="13" t="s">
        <v>76</v>
      </c>
      <c r="BK203" s="130">
        <f t="shared" si="21"/>
        <v>313.5</v>
      </c>
      <c r="BL203" s="13" t="s">
        <v>235</v>
      </c>
      <c r="BM203" s="129" t="s">
        <v>393</v>
      </c>
    </row>
    <row r="204" spans="2:65" s="1" customFormat="1" ht="32.549999999999997" customHeight="1" x14ac:dyDescent="0.2">
      <c r="B204" s="118"/>
      <c r="C204" s="205" t="s">
        <v>316</v>
      </c>
      <c r="D204" s="119" t="s">
        <v>231</v>
      </c>
      <c r="E204" s="120" t="s">
        <v>394</v>
      </c>
      <c r="F204" s="121" t="s">
        <v>395</v>
      </c>
      <c r="G204" s="122" t="s">
        <v>284</v>
      </c>
      <c r="H204" s="206">
        <v>142.29</v>
      </c>
      <c r="I204" s="124">
        <v>14.51</v>
      </c>
      <c r="J204" s="124">
        <f t="shared" si="11"/>
        <v>2064.63</v>
      </c>
      <c r="K204" s="121" t="s">
        <v>1</v>
      </c>
      <c r="L204" s="24"/>
      <c r="M204" s="125" t="s">
        <v>1</v>
      </c>
      <c r="N204" s="126" t="s">
        <v>32</v>
      </c>
      <c r="O204" s="127">
        <v>0.60499999999999998</v>
      </c>
      <c r="P204" s="127">
        <f t="shared" si="12"/>
        <v>86.085449999999994</v>
      </c>
      <c r="Q204" s="127">
        <v>0.13200999999999999</v>
      </c>
      <c r="R204" s="127">
        <f t="shared" si="13"/>
        <v>18.783702899999998</v>
      </c>
      <c r="S204" s="127">
        <v>0</v>
      </c>
      <c r="T204" s="128">
        <f t="shared" si="14"/>
        <v>0</v>
      </c>
      <c r="W204" s="199"/>
      <c r="X204" s="205" t="s">
        <v>316</v>
      </c>
      <c r="Y204" s="119" t="s">
        <v>231</v>
      </c>
      <c r="Z204" s="120" t="s">
        <v>394</v>
      </c>
      <c r="AA204" s="121" t="s">
        <v>395</v>
      </c>
      <c r="AB204" s="122" t="s">
        <v>284</v>
      </c>
      <c r="AC204" s="206">
        <f>142.29+192.702+249.08+61.255</f>
        <v>645.327</v>
      </c>
      <c r="AD204" s="124">
        <v>14.51</v>
      </c>
      <c r="AE204" s="200">
        <f t="shared" si="15"/>
        <v>9363.69</v>
      </c>
      <c r="AF204" s="956" t="s">
        <v>6662</v>
      </c>
      <c r="AG204" s="407"/>
      <c r="AR204" s="129" t="s">
        <v>235</v>
      </c>
      <c r="AT204" s="129" t="s">
        <v>231</v>
      </c>
      <c r="AU204" s="129" t="s">
        <v>76</v>
      </c>
      <c r="AY204" s="13" t="s">
        <v>228</v>
      </c>
      <c r="BE204" s="130">
        <f t="shared" si="16"/>
        <v>0</v>
      </c>
      <c r="BF204" s="130">
        <f t="shared" si="17"/>
        <v>2064.63</v>
      </c>
      <c r="BG204" s="130">
        <f t="shared" si="18"/>
        <v>0</v>
      </c>
      <c r="BH204" s="130">
        <f t="shared" si="19"/>
        <v>0</v>
      </c>
      <c r="BI204" s="130">
        <f t="shared" si="20"/>
        <v>0</v>
      </c>
      <c r="BJ204" s="13" t="s">
        <v>76</v>
      </c>
      <c r="BK204" s="130">
        <f t="shared" si="21"/>
        <v>2064.63</v>
      </c>
      <c r="BL204" s="13" t="s">
        <v>235</v>
      </c>
      <c r="BM204" s="129" t="s">
        <v>396</v>
      </c>
    </row>
    <row r="205" spans="2:65" s="648" customFormat="1" ht="18" customHeight="1" x14ac:dyDescent="0.2">
      <c r="B205" s="118"/>
      <c r="C205" s="1234" t="s">
        <v>5205</v>
      </c>
      <c r="D205" s="1235"/>
      <c r="E205" s="1235"/>
      <c r="F205" s="1235"/>
      <c r="G205" s="1235"/>
      <c r="H205" s="1235"/>
      <c r="I205" s="1235"/>
      <c r="J205" s="1236"/>
      <c r="K205" s="121"/>
      <c r="L205" s="24"/>
      <c r="M205" s="125"/>
      <c r="N205" s="126"/>
      <c r="O205" s="127"/>
      <c r="P205" s="127"/>
      <c r="Q205" s="127"/>
      <c r="R205" s="127"/>
      <c r="S205" s="127"/>
      <c r="T205" s="128"/>
      <c r="W205" s="199"/>
      <c r="X205" s="207" t="s">
        <v>6326</v>
      </c>
      <c r="Y205" s="207" t="s">
        <v>231</v>
      </c>
      <c r="Z205" s="342" t="s">
        <v>6324</v>
      </c>
      <c r="AA205" s="343" t="s">
        <v>6325</v>
      </c>
      <c r="AB205" s="344" t="s">
        <v>284</v>
      </c>
      <c r="AC205" s="345">
        <v>72.725999999999999</v>
      </c>
      <c r="AD205" s="346">
        <v>7.5</v>
      </c>
      <c r="AE205" s="355">
        <f>ROUND(AD205*AC205,2)</f>
        <v>545.45000000000005</v>
      </c>
      <c r="AF205" s="956">
        <v>14</v>
      </c>
      <c r="AG205" s="407"/>
      <c r="AR205" s="129"/>
      <c r="AT205" s="129"/>
      <c r="AU205" s="129"/>
      <c r="AY205" s="13"/>
      <c r="BE205" s="130"/>
      <c r="BF205" s="130"/>
      <c r="BG205" s="130"/>
      <c r="BH205" s="130"/>
      <c r="BI205" s="130"/>
      <c r="BJ205" s="13"/>
      <c r="BK205" s="130"/>
      <c r="BL205" s="13"/>
      <c r="BM205" s="129"/>
    </row>
    <row r="206" spans="2:65" s="362" customFormat="1" ht="19.95" customHeight="1" x14ac:dyDescent="0.2">
      <c r="B206" s="118"/>
      <c r="C206" s="1234" t="s">
        <v>5205</v>
      </c>
      <c r="D206" s="1235"/>
      <c r="E206" s="1235"/>
      <c r="F206" s="1235"/>
      <c r="G206" s="1235"/>
      <c r="H206" s="1235"/>
      <c r="I206" s="1235"/>
      <c r="J206" s="1236"/>
      <c r="K206" s="121"/>
      <c r="L206" s="24"/>
      <c r="M206" s="125"/>
      <c r="N206" s="126"/>
      <c r="O206" s="127"/>
      <c r="P206" s="127"/>
      <c r="Q206" s="127"/>
      <c r="R206" s="127"/>
      <c r="S206" s="127"/>
      <c r="T206" s="128"/>
      <c r="W206" s="199"/>
      <c r="X206" s="341" t="s">
        <v>5840</v>
      </c>
      <c r="Y206" s="341" t="s">
        <v>231</v>
      </c>
      <c r="Z206" s="342" t="s">
        <v>3240</v>
      </c>
      <c r="AA206" s="343" t="s">
        <v>3241</v>
      </c>
      <c r="AB206" s="344" t="s">
        <v>284</v>
      </c>
      <c r="AC206" s="345">
        <v>19.5</v>
      </c>
      <c r="AD206" s="346">
        <v>10.45</v>
      </c>
      <c r="AE206" s="355">
        <f>ROUND(AD206*AC206,2)</f>
        <v>203.78</v>
      </c>
      <c r="AF206" s="956">
        <v>4</v>
      </c>
      <c r="AG206" s="407"/>
      <c r="AR206" s="129"/>
      <c r="AT206" s="129"/>
      <c r="AU206" s="129"/>
      <c r="AY206" s="13"/>
      <c r="BE206" s="130"/>
      <c r="BF206" s="130"/>
      <c r="BG206" s="130"/>
      <c r="BH206" s="130"/>
      <c r="BI206" s="130"/>
      <c r="BJ206" s="13"/>
      <c r="BK206" s="130"/>
      <c r="BL206" s="13"/>
      <c r="BM206" s="129"/>
    </row>
    <row r="207" spans="2:65" s="1" customFormat="1" ht="24" customHeight="1" x14ac:dyDescent="0.2">
      <c r="B207" s="118"/>
      <c r="C207" s="205" t="s">
        <v>397</v>
      </c>
      <c r="D207" s="119" t="s">
        <v>231</v>
      </c>
      <c r="E207" s="120" t="s">
        <v>398</v>
      </c>
      <c r="F207" s="121" t="s">
        <v>399</v>
      </c>
      <c r="G207" s="122" t="s">
        <v>284</v>
      </c>
      <c r="H207" s="206">
        <v>392.43</v>
      </c>
      <c r="I207" s="124">
        <v>10.45</v>
      </c>
      <c r="J207" s="124">
        <f t="shared" si="11"/>
        <v>4100.8900000000003</v>
      </c>
      <c r="K207" s="121" t="s">
        <v>1</v>
      </c>
      <c r="L207" s="24"/>
      <c r="M207" s="125" t="s">
        <v>1</v>
      </c>
      <c r="N207" s="126" t="s">
        <v>32</v>
      </c>
      <c r="O207" s="127">
        <v>0</v>
      </c>
      <c r="P207" s="127">
        <f t="shared" si="12"/>
        <v>0</v>
      </c>
      <c r="Q207" s="127">
        <v>0</v>
      </c>
      <c r="R207" s="127">
        <f t="shared" si="13"/>
        <v>0</v>
      </c>
      <c r="S207" s="127">
        <v>0</v>
      </c>
      <c r="T207" s="128">
        <f t="shared" si="14"/>
        <v>0</v>
      </c>
      <c r="W207" s="199"/>
      <c r="X207" s="205" t="s">
        <v>397</v>
      </c>
      <c r="Y207" s="119" t="s">
        <v>231</v>
      </c>
      <c r="Z207" s="120" t="s">
        <v>398</v>
      </c>
      <c r="AA207" s="121" t="s">
        <v>399</v>
      </c>
      <c r="AB207" s="122" t="s">
        <v>284</v>
      </c>
      <c r="AC207" s="206">
        <f>392.43+146.078+70.277+61.255</f>
        <v>670.04000000000008</v>
      </c>
      <c r="AD207" s="124">
        <v>10.45</v>
      </c>
      <c r="AE207" s="200">
        <f t="shared" si="15"/>
        <v>7001.92</v>
      </c>
      <c r="AF207" s="956" t="s">
        <v>6662</v>
      </c>
      <c r="AG207" s="407"/>
      <c r="AR207" s="129" t="s">
        <v>235</v>
      </c>
      <c r="AT207" s="129" t="s">
        <v>231</v>
      </c>
      <c r="AU207" s="129" t="s">
        <v>76</v>
      </c>
      <c r="AY207" s="13" t="s">
        <v>228</v>
      </c>
      <c r="BE207" s="130">
        <f t="shared" si="16"/>
        <v>0</v>
      </c>
      <c r="BF207" s="130">
        <f t="shared" si="17"/>
        <v>4100.8900000000003</v>
      </c>
      <c r="BG207" s="130">
        <f t="shared" si="18"/>
        <v>0</v>
      </c>
      <c r="BH207" s="130">
        <f t="shared" si="19"/>
        <v>0</v>
      </c>
      <c r="BI207" s="130">
        <f t="shared" si="20"/>
        <v>0</v>
      </c>
      <c r="BJ207" s="13" t="s">
        <v>76</v>
      </c>
      <c r="BK207" s="130">
        <f t="shared" si="21"/>
        <v>4100.8900000000003</v>
      </c>
      <c r="BL207" s="13" t="s">
        <v>235</v>
      </c>
      <c r="BM207" s="129" t="s">
        <v>400</v>
      </c>
    </row>
    <row r="208" spans="2:65" s="362" customFormat="1" ht="24" customHeight="1" x14ac:dyDescent="0.2">
      <c r="B208" s="118"/>
      <c r="C208" s="1234" t="s">
        <v>5205</v>
      </c>
      <c r="D208" s="1235"/>
      <c r="E208" s="1235"/>
      <c r="F208" s="1235"/>
      <c r="G208" s="1235"/>
      <c r="H208" s="1235"/>
      <c r="I208" s="1235"/>
      <c r="J208" s="1236"/>
      <c r="K208" s="222"/>
      <c r="L208" s="24"/>
      <c r="M208" s="125"/>
      <c r="N208" s="126"/>
      <c r="O208" s="127"/>
      <c r="P208" s="127"/>
      <c r="Q208" s="127"/>
      <c r="R208" s="127"/>
      <c r="S208" s="127"/>
      <c r="T208" s="128"/>
      <c r="W208" s="199"/>
      <c r="X208" s="341" t="s">
        <v>5247</v>
      </c>
      <c r="Y208" s="341" t="s">
        <v>231</v>
      </c>
      <c r="Z208" s="342" t="s">
        <v>5805</v>
      </c>
      <c r="AA208" s="343" t="s">
        <v>5806</v>
      </c>
      <c r="AB208" s="344" t="s">
        <v>1194</v>
      </c>
      <c r="AC208" s="345">
        <v>15</v>
      </c>
      <c r="AD208" s="346">
        <v>46.16</v>
      </c>
      <c r="AE208" s="355">
        <f>ROUND(AD208*AC208,2)</f>
        <v>692.4</v>
      </c>
      <c r="AF208" s="956">
        <v>4</v>
      </c>
      <c r="AG208" s="407"/>
      <c r="AR208" s="129"/>
      <c r="AT208" s="129"/>
      <c r="AU208" s="129"/>
      <c r="AY208" s="13"/>
      <c r="BE208" s="130"/>
      <c r="BF208" s="130"/>
      <c r="BG208" s="130"/>
      <c r="BH208" s="130"/>
      <c r="BI208" s="130"/>
      <c r="BJ208" s="13"/>
      <c r="BK208" s="130"/>
      <c r="BL208" s="13"/>
      <c r="BM208" s="129"/>
    </row>
    <row r="209" spans="2:65" s="362" customFormat="1" ht="24" customHeight="1" x14ac:dyDescent="0.2">
      <c r="B209" s="118"/>
      <c r="C209" s="1234" t="s">
        <v>5205</v>
      </c>
      <c r="D209" s="1235"/>
      <c r="E209" s="1235"/>
      <c r="F209" s="1235"/>
      <c r="G209" s="1235"/>
      <c r="H209" s="1235"/>
      <c r="I209" s="1235"/>
      <c r="J209" s="1236"/>
      <c r="K209" s="222"/>
      <c r="L209" s="24"/>
      <c r="M209" s="125"/>
      <c r="N209" s="126"/>
      <c r="O209" s="127"/>
      <c r="P209" s="127"/>
      <c r="Q209" s="127"/>
      <c r="R209" s="127"/>
      <c r="S209" s="127"/>
      <c r="T209" s="128"/>
      <c r="W209" s="199"/>
      <c r="X209" s="1127" t="s">
        <v>5841</v>
      </c>
      <c r="Y209" s="1127" t="s">
        <v>277</v>
      </c>
      <c r="Z209" s="642" t="s">
        <v>5807</v>
      </c>
      <c r="AA209" s="643" t="s">
        <v>5808</v>
      </c>
      <c r="AB209" s="644" t="s">
        <v>1194</v>
      </c>
      <c r="AC209" s="645">
        <v>3</v>
      </c>
      <c r="AD209" s="646">
        <v>23.27</v>
      </c>
      <c r="AE209" s="1128">
        <f>ROUND(AD209*AC209,2)</f>
        <v>69.81</v>
      </c>
      <c r="AF209" s="956">
        <v>4</v>
      </c>
      <c r="AG209" s="407"/>
      <c r="AR209" s="129"/>
      <c r="AT209" s="129"/>
      <c r="AU209" s="129"/>
      <c r="AY209" s="13"/>
      <c r="BE209" s="130"/>
      <c r="BF209" s="130"/>
      <c r="BG209" s="130"/>
      <c r="BH209" s="130"/>
      <c r="BI209" s="130"/>
      <c r="BJ209" s="13"/>
      <c r="BK209" s="130"/>
      <c r="BL209" s="13"/>
      <c r="BM209" s="129"/>
    </row>
    <row r="210" spans="2:65" s="362" customFormat="1" ht="24" customHeight="1" x14ac:dyDescent="0.2">
      <c r="B210" s="118"/>
      <c r="C210" s="1234" t="s">
        <v>5205</v>
      </c>
      <c r="D210" s="1235"/>
      <c r="E210" s="1235"/>
      <c r="F210" s="1235"/>
      <c r="G210" s="1235"/>
      <c r="H210" s="1235"/>
      <c r="I210" s="1235"/>
      <c r="J210" s="1236"/>
      <c r="K210" s="222"/>
      <c r="L210" s="24"/>
      <c r="M210" s="125"/>
      <c r="N210" s="126"/>
      <c r="O210" s="127"/>
      <c r="P210" s="127"/>
      <c r="Q210" s="127"/>
      <c r="R210" s="127"/>
      <c r="S210" s="127"/>
      <c r="T210" s="128"/>
      <c r="W210" s="199"/>
      <c r="X210" s="1127" t="s">
        <v>5842</v>
      </c>
      <c r="Y210" s="1127" t="s">
        <v>277</v>
      </c>
      <c r="Z210" s="642" t="s">
        <v>5809</v>
      </c>
      <c r="AA210" s="643" t="s">
        <v>5810</v>
      </c>
      <c r="AB210" s="644" t="s">
        <v>1194</v>
      </c>
      <c r="AC210" s="645">
        <v>4</v>
      </c>
      <c r="AD210" s="646">
        <v>24.15</v>
      </c>
      <c r="AE210" s="1128">
        <f>ROUND(AD210*AC210,2)</f>
        <v>96.6</v>
      </c>
      <c r="AF210" s="956">
        <v>4</v>
      </c>
      <c r="AG210" s="407"/>
      <c r="AR210" s="129"/>
      <c r="AT210" s="129"/>
      <c r="AU210" s="129"/>
      <c r="AY210" s="13"/>
      <c r="BE210" s="130"/>
      <c r="BF210" s="130"/>
      <c r="BG210" s="130"/>
      <c r="BH210" s="130"/>
      <c r="BI210" s="130"/>
      <c r="BJ210" s="13"/>
      <c r="BK210" s="130"/>
      <c r="BL210" s="13"/>
      <c r="BM210" s="129"/>
    </row>
    <row r="211" spans="2:65" s="362" customFormat="1" ht="24" customHeight="1" x14ac:dyDescent="0.2">
      <c r="B211" s="118"/>
      <c r="C211" s="1234" t="s">
        <v>5205</v>
      </c>
      <c r="D211" s="1235"/>
      <c r="E211" s="1235"/>
      <c r="F211" s="1235"/>
      <c r="G211" s="1235"/>
      <c r="H211" s="1235"/>
      <c r="I211" s="1235"/>
      <c r="J211" s="1236"/>
      <c r="K211" s="222"/>
      <c r="L211" s="24"/>
      <c r="M211" s="125"/>
      <c r="N211" s="126"/>
      <c r="O211" s="127"/>
      <c r="P211" s="127"/>
      <c r="Q211" s="127"/>
      <c r="R211" s="127"/>
      <c r="S211" s="127"/>
      <c r="T211" s="128"/>
      <c r="W211" s="199"/>
      <c r="X211" s="1127" t="s">
        <v>5843</v>
      </c>
      <c r="Y211" s="1127" t="s">
        <v>277</v>
      </c>
      <c r="Z211" s="642" t="s">
        <v>5811</v>
      </c>
      <c r="AA211" s="643" t="s">
        <v>5812</v>
      </c>
      <c r="AB211" s="644" t="s">
        <v>1194</v>
      </c>
      <c r="AC211" s="645">
        <v>4</v>
      </c>
      <c r="AD211" s="646">
        <v>25.84</v>
      </c>
      <c r="AE211" s="1128">
        <f>ROUND(AD211*AC211,2)</f>
        <v>103.36</v>
      </c>
      <c r="AF211" s="956">
        <v>4</v>
      </c>
      <c r="AG211" s="407"/>
      <c r="AR211" s="129"/>
      <c r="AT211" s="129"/>
      <c r="AU211" s="129"/>
      <c r="AY211" s="13"/>
      <c r="BE211" s="130"/>
      <c r="BF211" s="130"/>
      <c r="BG211" s="130"/>
      <c r="BH211" s="130"/>
      <c r="BI211" s="130"/>
      <c r="BJ211" s="13"/>
      <c r="BK211" s="130"/>
      <c r="BL211" s="13"/>
      <c r="BM211" s="129"/>
    </row>
    <row r="212" spans="2:65" s="362" customFormat="1" ht="24" customHeight="1" x14ac:dyDescent="0.2">
      <c r="B212" s="118"/>
      <c r="C212" s="1234" t="s">
        <v>5205</v>
      </c>
      <c r="D212" s="1235"/>
      <c r="E212" s="1235"/>
      <c r="F212" s="1235"/>
      <c r="G212" s="1235"/>
      <c r="H212" s="1235"/>
      <c r="I212" s="1235"/>
      <c r="J212" s="1236"/>
      <c r="K212" s="222"/>
      <c r="L212" s="24"/>
      <c r="M212" s="125"/>
      <c r="N212" s="126"/>
      <c r="O212" s="127"/>
      <c r="P212" s="127"/>
      <c r="Q212" s="127"/>
      <c r="R212" s="127"/>
      <c r="S212" s="127"/>
      <c r="T212" s="128"/>
      <c r="W212" s="199"/>
      <c r="X212" s="1127" t="s">
        <v>5844</v>
      </c>
      <c r="Y212" s="1127" t="s">
        <v>277</v>
      </c>
      <c r="Z212" s="642" t="s">
        <v>5813</v>
      </c>
      <c r="AA212" s="643" t="s">
        <v>5814</v>
      </c>
      <c r="AB212" s="644" t="s">
        <v>1194</v>
      </c>
      <c r="AC212" s="645">
        <v>4</v>
      </c>
      <c r="AD212" s="646">
        <v>26.32</v>
      </c>
      <c r="AE212" s="1128">
        <f>ROUND(AD212*AC212,2)</f>
        <v>105.28</v>
      </c>
      <c r="AF212" s="956">
        <v>4</v>
      </c>
      <c r="AG212" s="407"/>
      <c r="AR212" s="129"/>
      <c r="AT212" s="129"/>
      <c r="AU212" s="129"/>
      <c r="AY212" s="13"/>
      <c r="BE212" s="130"/>
      <c r="BF212" s="130"/>
      <c r="BG212" s="130"/>
      <c r="BH212" s="130"/>
      <c r="BI212" s="130"/>
      <c r="BJ212" s="13"/>
      <c r="BK212" s="130"/>
      <c r="BL212" s="13"/>
      <c r="BM212" s="129"/>
    </row>
    <row r="213" spans="2:65" s="362" customFormat="1" ht="24" customHeight="1" x14ac:dyDescent="0.25">
      <c r="B213" s="118"/>
      <c r="C213" s="254"/>
      <c r="D213" s="254"/>
      <c r="E213" s="255"/>
      <c r="F213" s="222"/>
      <c r="G213" s="256"/>
      <c r="H213" s="257"/>
      <c r="I213" s="258"/>
      <c r="J213" s="258"/>
      <c r="K213" s="222"/>
      <c r="L213" s="24"/>
      <c r="M213" s="125"/>
      <c r="N213" s="126"/>
      <c r="O213" s="127"/>
      <c r="P213" s="127"/>
      <c r="Q213" s="127"/>
      <c r="R213" s="127"/>
      <c r="S213" s="127"/>
      <c r="T213" s="128"/>
      <c r="W213" s="199"/>
      <c r="X213" s="357"/>
      <c r="Y213" s="358" t="s">
        <v>57</v>
      </c>
      <c r="Z213" s="359" t="s">
        <v>244</v>
      </c>
      <c r="AA213" s="201" t="s">
        <v>5815</v>
      </c>
      <c r="AB213" s="357"/>
      <c r="AC213" s="357"/>
      <c r="AD213" s="357"/>
      <c r="AE213" s="360">
        <f>SUM(AE214:AE215)</f>
        <v>335.38</v>
      </c>
      <c r="AF213" s="956"/>
      <c r="AG213" s="407"/>
      <c r="AR213" s="129"/>
      <c r="AT213" s="129"/>
      <c r="AU213" s="129"/>
      <c r="AY213" s="13"/>
      <c r="BE213" s="130"/>
      <c r="BF213" s="130"/>
      <c r="BG213" s="130"/>
      <c r="BH213" s="130"/>
      <c r="BI213" s="130"/>
      <c r="BJ213" s="13"/>
      <c r="BK213" s="130"/>
      <c r="BL213" s="13"/>
      <c r="BM213" s="129"/>
    </row>
    <row r="214" spans="2:65" s="362" customFormat="1" ht="24" customHeight="1" x14ac:dyDescent="0.2">
      <c r="B214" s="118"/>
      <c r="C214" s="1234" t="s">
        <v>5205</v>
      </c>
      <c r="D214" s="1235"/>
      <c r="E214" s="1235"/>
      <c r="F214" s="1235"/>
      <c r="G214" s="1235"/>
      <c r="H214" s="1235"/>
      <c r="I214" s="1235"/>
      <c r="J214" s="1236"/>
      <c r="K214" s="222"/>
      <c r="L214" s="24"/>
      <c r="M214" s="125"/>
      <c r="N214" s="126"/>
      <c r="O214" s="127"/>
      <c r="P214" s="127"/>
      <c r="Q214" s="127"/>
      <c r="R214" s="127"/>
      <c r="S214" s="127"/>
      <c r="T214" s="128"/>
      <c r="W214" s="199"/>
      <c r="X214" s="341" t="s">
        <v>5845</v>
      </c>
      <c r="Y214" s="341" t="s">
        <v>231</v>
      </c>
      <c r="Z214" s="342" t="s">
        <v>5816</v>
      </c>
      <c r="AA214" s="343" t="s">
        <v>5817</v>
      </c>
      <c r="AB214" s="344" t="s">
        <v>1194</v>
      </c>
      <c r="AC214" s="345">
        <v>2</v>
      </c>
      <c r="AD214" s="346">
        <v>7.69</v>
      </c>
      <c r="AE214" s="355">
        <f>ROUND(AD214*AC214,2)</f>
        <v>15.38</v>
      </c>
      <c r="AF214" s="956">
        <v>4</v>
      </c>
      <c r="AG214" s="407"/>
      <c r="AR214" s="129"/>
      <c r="AT214" s="129"/>
      <c r="AU214" s="129"/>
      <c r="AY214" s="13"/>
      <c r="BE214" s="130"/>
      <c r="BF214" s="130"/>
      <c r="BG214" s="130"/>
      <c r="BH214" s="130"/>
      <c r="BI214" s="130"/>
      <c r="BJ214" s="13"/>
      <c r="BK214" s="130"/>
      <c r="BL214" s="13"/>
      <c r="BM214" s="129"/>
    </row>
    <row r="215" spans="2:65" s="362" customFormat="1" ht="24" customHeight="1" x14ac:dyDescent="0.2">
      <c r="B215" s="118"/>
      <c r="C215" s="1234" t="s">
        <v>5205</v>
      </c>
      <c r="D215" s="1235"/>
      <c r="E215" s="1235"/>
      <c r="F215" s="1235"/>
      <c r="G215" s="1235"/>
      <c r="H215" s="1235"/>
      <c r="I215" s="1235"/>
      <c r="J215" s="1236"/>
      <c r="K215" s="222"/>
      <c r="L215" s="24"/>
      <c r="M215" s="125"/>
      <c r="N215" s="126"/>
      <c r="O215" s="127"/>
      <c r="P215" s="127"/>
      <c r="Q215" s="127"/>
      <c r="R215" s="127"/>
      <c r="S215" s="127"/>
      <c r="T215" s="128"/>
      <c r="W215" s="199"/>
      <c r="X215" s="1127" t="s">
        <v>5846</v>
      </c>
      <c r="Y215" s="1127" t="s">
        <v>277</v>
      </c>
      <c r="Z215" s="642" t="s">
        <v>5818</v>
      </c>
      <c r="AA215" s="643" t="s">
        <v>5819</v>
      </c>
      <c r="AB215" s="644" t="s">
        <v>1194</v>
      </c>
      <c r="AC215" s="645">
        <v>2</v>
      </c>
      <c r="AD215" s="646">
        <v>160</v>
      </c>
      <c r="AE215" s="1128">
        <f>ROUND(AD215*AC215,2)</f>
        <v>320</v>
      </c>
      <c r="AF215" s="956">
        <v>4</v>
      </c>
      <c r="AG215" s="407"/>
      <c r="AR215" s="129"/>
      <c r="AT215" s="129"/>
      <c r="AU215" s="129"/>
      <c r="AY215" s="13"/>
      <c r="BE215" s="130"/>
      <c r="BF215" s="130"/>
      <c r="BG215" s="130"/>
      <c r="BH215" s="130"/>
      <c r="BI215" s="130"/>
      <c r="BJ215" s="13"/>
      <c r="BK215" s="130"/>
      <c r="BL215" s="13"/>
      <c r="BM215" s="129"/>
    </row>
    <row r="216" spans="2:65" s="11" customFormat="1" ht="22.95" customHeight="1" x14ac:dyDescent="0.25">
      <c r="B216" s="106"/>
      <c r="D216" s="107" t="s">
        <v>57</v>
      </c>
      <c r="E216" s="116" t="s">
        <v>400</v>
      </c>
      <c r="F216" s="116" t="s">
        <v>401</v>
      </c>
      <c r="J216" s="117">
        <f>BK216</f>
        <v>1737.32</v>
      </c>
      <c r="L216" s="106"/>
      <c r="M216" s="110"/>
      <c r="N216" s="111"/>
      <c r="O216" s="111"/>
      <c r="P216" s="112">
        <f>P217</f>
        <v>49.528608300000002</v>
      </c>
      <c r="Q216" s="111"/>
      <c r="R216" s="112">
        <f>R217</f>
        <v>0.76382189999999994</v>
      </c>
      <c r="S216" s="111"/>
      <c r="T216" s="113">
        <f>T217</f>
        <v>0</v>
      </c>
      <c r="W216" s="195"/>
      <c r="X216" s="111"/>
      <c r="Y216" s="196" t="s">
        <v>57</v>
      </c>
      <c r="Z216" s="201" t="s">
        <v>400</v>
      </c>
      <c r="AA216" s="201" t="s">
        <v>401</v>
      </c>
      <c r="AB216" s="111"/>
      <c r="AC216" s="111"/>
      <c r="AD216" s="111"/>
      <c r="AE216" s="202">
        <f>AE217</f>
        <v>2748.28</v>
      </c>
      <c r="AF216" s="956"/>
      <c r="AG216" s="292"/>
      <c r="AR216" s="107" t="s">
        <v>63</v>
      </c>
      <c r="AT216" s="114" t="s">
        <v>57</v>
      </c>
      <c r="AU216" s="114" t="s">
        <v>63</v>
      </c>
      <c r="AY216" s="107" t="s">
        <v>228</v>
      </c>
      <c r="BK216" s="115">
        <f>BK217</f>
        <v>1737.32</v>
      </c>
    </row>
    <row r="217" spans="2:65" s="1" customFormat="1" ht="27.45" customHeight="1" x14ac:dyDescent="0.2">
      <c r="B217" s="118"/>
      <c r="C217" s="205" t="s">
        <v>319</v>
      </c>
      <c r="D217" s="119" t="s">
        <v>231</v>
      </c>
      <c r="E217" s="120" t="s">
        <v>402</v>
      </c>
      <c r="F217" s="121" t="s">
        <v>403</v>
      </c>
      <c r="G217" s="122" t="s">
        <v>284</v>
      </c>
      <c r="H217" s="206">
        <v>499.23</v>
      </c>
      <c r="I217" s="124">
        <v>3.48</v>
      </c>
      <c r="J217" s="124">
        <f>ROUND(I217*H217,2)</f>
        <v>1737.32</v>
      </c>
      <c r="K217" s="121" t="s">
        <v>1</v>
      </c>
      <c r="L217" s="24"/>
      <c r="M217" s="125" t="s">
        <v>1</v>
      </c>
      <c r="N217" s="126" t="s">
        <v>32</v>
      </c>
      <c r="O217" s="127">
        <v>9.9210000000000007E-2</v>
      </c>
      <c r="P217" s="127">
        <f>O217*H217</f>
        <v>49.528608300000002</v>
      </c>
      <c r="Q217" s="127">
        <v>1.5299999999999999E-3</v>
      </c>
      <c r="R217" s="127">
        <f>Q217*H217</f>
        <v>0.76382189999999994</v>
      </c>
      <c r="S217" s="127">
        <v>0</v>
      </c>
      <c r="T217" s="128">
        <f>S217*H217</f>
        <v>0</v>
      </c>
      <c r="W217" s="199"/>
      <c r="X217" s="205" t="s">
        <v>319</v>
      </c>
      <c r="Y217" s="119" t="s">
        <v>231</v>
      </c>
      <c r="Z217" s="120" t="s">
        <v>402</v>
      </c>
      <c r="AA217" s="121" t="s">
        <v>403</v>
      </c>
      <c r="AB217" s="122" t="s">
        <v>284</v>
      </c>
      <c r="AC217" s="206">
        <f>499.23+290.505</f>
        <v>789.73500000000001</v>
      </c>
      <c r="AD217" s="124">
        <v>3.48</v>
      </c>
      <c r="AE217" s="200">
        <f>ROUND(AD217*AC217,2)</f>
        <v>2748.28</v>
      </c>
      <c r="AF217" s="956">
        <v>14</v>
      </c>
      <c r="AG217" s="407"/>
      <c r="AR217" s="129" t="s">
        <v>235</v>
      </c>
      <c r="AT217" s="129" t="s">
        <v>231</v>
      </c>
      <c r="AU217" s="129" t="s">
        <v>76</v>
      </c>
      <c r="AY217" s="13" t="s">
        <v>228</v>
      </c>
      <c r="BE217" s="130">
        <f>IF(N217="základná",J217,0)</f>
        <v>0</v>
      </c>
      <c r="BF217" s="130">
        <f>IF(N217="znížená",J217,0)</f>
        <v>1737.32</v>
      </c>
      <c r="BG217" s="130">
        <f>IF(N217="zákl. prenesená",J217,0)</f>
        <v>0</v>
      </c>
      <c r="BH217" s="130">
        <f>IF(N217="zníž. prenesená",J217,0)</f>
        <v>0</v>
      </c>
      <c r="BI217" s="130">
        <f>IF(N217="nulová",J217,0)</f>
        <v>0</v>
      </c>
      <c r="BJ217" s="13" t="s">
        <v>76</v>
      </c>
      <c r="BK217" s="130">
        <f>ROUND(I217*H217,2)</f>
        <v>1737.32</v>
      </c>
      <c r="BL217" s="13" t="s">
        <v>235</v>
      </c>
      <c r="BM217" s="129" t="s">
        <v>404</v>
      </c>
    </row>
    <row r="218" spans="2:65" s="11" customFormat="1" ht="22.95" customHeight="1" x14ac:dyDescent="0.25">
      <c r="B218" s="106"/>
      <c r="D218" s="107" t="s">
        <v>57</v>
      </c>
      <c r="E218" s="116" t="s">
        <v>405</v>
      </c>
      <c r="F218" s="116" t="s">
        <v>406</v>
      </c>
      <c r="J218" s="117">
        <f>BK218</f>
        <v>983.13</v>
      </c>
      <c r="L218" s="106"/>
      <c r="M218" s="110"/>
      <c r="N218" s="111"/>
      <c r="O218" s="111"/>
      <c r="P218" s="112">
        <f>P219</f>
        <v>183.0721302</v>
      </c>
      <c r="Q218" s="111"/>
      <c r="R218" s="112">
        <f>R219</f>
        <v>1.158291</v>
      </c>
      <c r="S218" s="111"/>
      <c r="T218" s="113">
        <f>T219</f>
        <v>0</v>
      </c>
      <c r="W218" s="195"/>
      <c r="X218" s="111"/>
      <c r="Y218" s="196" t="s">
        <v>57</v>
      </c>
      <c r="Z218" s="201" t="s">
        <v>405</v>
      </c>
      <c r="AA218" s="201" t="s">
        <v>406</v>
      </c>
      <c r="AB218" s="111"/>
      <c r="AC218" s="111"/>
      <c r="AD218" s="111"/>
      <c r="AE218" s="202">
        <f>SUM(AE219:AE221)</f>
        <v>2250.59</v>
      </c>
      <c r="AF218" s="956"/>
      <c r="AG218" s="292"/>
      <c r="AR218" s="107" t="s">
        <v>63</v>
      </c>
      <c r="AT218" s="114" t="s">
        <v>57</v>
      </c>
      <c r="AU218" s="114" t="s">
        <v>63</v>
      </c>
      <c r="AY218" s="107" t="s">
        <v>228</v>
      </c>
      <c r="BK218" s="115">
        <f>BK219</f>
        <v>983.13</v>
      </c>
    </row>
    <row r="219" spans="2:65" s="1" customFormat="1" ht="24" customHeight="1" x14ac:dyDescent="0.2">
      <c r="B219" s="118"/>
      <c r="C219" s="205" t="s">
        <v>407</v>
      </c>
      <c r="D219" s="119" t="s">
        <v>231</v>
      </c>
      <c r="E219" s="120" t="s">
        <v>408</v>
      </c>
      <c r="F219" s="121" t="s">
        <v>409</v>
      </c>
      <c r="G219" s="122" t="s">
        <v>284</v>
      </c>
      <c r="H219" s="206">
        <v>565.02</v>
      </c>
      <c r="I219" s="124">
        <v>1.74</v>
      </c>
      <c r="J219" s="124">
        <f>ROUND(I219*H219,2)</f>
        <v>983.13</v>
      </c>
      <c r="K219" s="121" t="s">
        <v>1</v>
      </c>
      <c r="L219" s="24"/>
      <c r="M219" s="125" t="s">
        <v>1</v>
      </c>
      <c r="N219" s="126" t="s">
        <v>32</v>
      </c>
      <c r="O219" s="127">
        <v>0.32401000000000002</v>
      </c>
      <c r="P219" s="127">
        <f>O219*H219</f>
        <v>183.0721302</v>
      </c>
      <c r="Q219" s="127">
        <v>2.0500000000000002E-3</v>
      </c>
      <c r="R219" s="127">
        <f>Q219*H219</f>
        <v>1.158291</v>
      </c>
      <c r="S219" s="127">
        <v>0</v>
      </c>
      <c r="T219" s="128">
        <f>S219*H219</f>
        <v>0</v>
      </c>
      <c r="W219" s="199"/>
      <c r="X219" s="205" t="s">
        <v>407</v>
      </c>
      <c r="Y219" s="119" t="s">
        <v>231</v>
      </c>
      <c r="Z219" s="120" t="s">
        <v>408</v>
      </c>
      <c r="AA219" s="121" t="s">
        <v>409</v>
      </c>
      <c r="AB219" s="122" t="s">
        <v>284</v>
      </c>
      <c r="AC219" s="206">
        <f>565.02+316.185+139.93</f>
        <v>1021.135</v>
      </c>
      <c r="AD219" s="124">
        <v>1.74</v>
      </c>
      <c r="AE219" s="200">
        <f>ROUND(AD219*AC219,2)</f>
        <v>1776.77</v>
      </c>
      <c r="AF219" s="956" t="s">
        <v>6661</v>
      </c>
      <c r="AG219" s="407"/>
      <c r="AR219" s="129" t="s">
        <v>235</v>
      </c>
      <c r="AT219" s="129" t="s">
        <v>231</v>
      </c>
      <c r="AU219" s="129" t="s">
        <v>76</v>
      </c>
      <c r="AY219" s="13" t="s">
        <v>228</v>
      </c>
      <c r="BE219" s="130">
        <f>IF(N219="základná",J219,0)</f>
        <v>0</v>
      </c>
      <c r="BF219" s="130">
        <f>IF(N219="znížená",J219,0)</f>
        <v>983.13</v>
      </c>
      <c r="BG219" s="130">
        <f>IF(N219="zákl. prenesená",J219,0)</f>
        <v>0</v>
      </c>
      <c r="BH219" s="130">
        <f>IF(N219="zníž. prenesená",J219,0)</f>
        <v>0</v>
      </c>
      <c r="BI219" s="130">
        <f>IF(N219="nulová",J219,0)</f>
        <v>0</v>
      </c>
      <c r="BJ219" s="13" t="s">
        <v>76</v>
      </c>
      <c r="BK219" s="130">
        <f>ROUND(I219*H219,2)</f>
        <v>983.13</v>
      </c>
      <c r="BL219" s="13" t="s">
        <v>235</v>
      </c>
      <c r="BM219" s="129" t="s">
        <v>410</v>
      </c>
    </row>
    <row r="220" spans="2:65" s="648" customFormat="1" ht="37.950000000000003" customHeight="1" x14ac:dyDescent="0.2">
      <c r="B220" s="118"/>
      <c r="C220" s="1234" t="s">
        <v>5205</v>
      </c>
      <c r="D220" s="1235"/>
      <c r="E220" s="1235"/>
      <c r="F220" s="1235"/>
      <c r="G220" s="1235"/>
      <c r="H220" s="1235"/>
      <c r="I220" s="1235"/>
      <c r="J220" s="1236"/>
      <c r="K220" s="222"/>
      <c r="L220" s="24"/>
      <c r="M220" s="125"/>
      <c r="N220" s="126"/>
      <c r="O220" s="127"/>
      <c r="P220" s="127"/>
      <c r="Q220" s="127"/>
      <c r="R220" s="127"/>
      <c r="S220" s="127"/>
      <c r="T220" s="128"/>
      <c r="W220" s="199"/>
      <c r="X220" s="207" t="s">
        <v>6331</v>
      </c>
      <c r="Y220" s="207" t="s">
        <v>231</v>
      </c>
      <c r="Z220" s="342" t="s">
        <v>6327</v>
      </c>
      <c r="AA220" s="343" t="s">
        <v>6328</v>
      </c>
      <c r="AB220" s="344" t="s">
        <v>1194</v>
      </c>
      <c r="AC220" s="345">
        <v>53</v>
      </c>
      <c r="AD220" s="346">
        <v>3.94</v>
      </c>
      <c r="AE220" s="355">
        <f>AC220*AD220</f>
        <v>208.82</v>
      </c>
      <c r="AF220" s="956">
        <v>14</v>
      </c>
      <c r="AG220" s="407"/>
      <c r="AR220" s="129"/>
      <c r="AT220" s="129"/>
      <c r="AU220" s="129"/>
      <c r="AY220" s="13"/>
      <c r="BE220" s="130"/>
      <c r="BF220" s="130"/>
      <c r="BG220" s="130"/>
      <c r="BH220" s="130"/>
      <c r="BI220" s="130"/>
      <c r="BJ220" s="13"/>
      <c r="BK220" s="130"/>
      <c r="BL220" s="13"/>
      <c r="BM220" s="129"/>
    </row>
    <row r="221" spans="2:65" s="648" customFormat="1" ht="30" customHeight="1" x14ac:dyDescent="0.2">
      <c r="B221" s="118"/>
      <c r="C221" s="1234" t="s">
        <v>5205</v>
      </c>
      <c r="D221" s="1235"/>
      <c r="E221" s="1235"/>
      <c r="F221" s="1235"/>
      <c r="G221" s="1235"/>
      <c r="H221" s="1235"/>
      <c r="I221" s="1235"/>
      <c r="J221" s="1236"/>
      <c r="K221" s="222"/>
      <c r="L221" s="24"/>
      <c r="M221" s="125"/>
      <c r="N221" s="126"/>
      <c r="O221" s="127"/>
      <c r="P221" s="127"/>
      <c r="Q221" s="127"/>
      <c r="R221" s="127"/>
      <c r="S221" s="127"/>
      <c r="T221" s="128"/>
      <c r="W221" s="199"/>
      <c r="X221" s="386" t="s">
        <v>6332</v>
      </c>
      <c r="Y221" s="386" t="s">
        <v>277</v>
      </c>
      <c r="Z221" s="349" t="s">
        <v>6329</v>
      </c>
      <c r="AA221" s="350" t="s">
        <v>6330</v>
      </c>
      <c r="AB221" s="351" t="s">
        <v>1194</v>
      </c>
      <c r="AC221" s="352">
        <v>53</v>
      </c>
      <c r="AD221" s="353">
        <v>5</v>
      </c>
      <c r="AE221" s="353">
        <f>AC221*AD221</f>
        <v>265</v>
      </c>
      <c r="AF221" s="956">
        <v>14</v>
      </c>
      <c r="AG221" s="407"/>
      <c r="AR221" s="129"/>
      <c r="AT221" s="129"/>
      <c r="AU221" s="129"/>
      <c r="AY221" s="13"/>
      <c r="BE221" s="130"/>
      <c r="BF221" s="130"/>
      <c r="BG221" s="130"/>
      <c r="BH221" s="130"/>
      <c r="BI221" s="130"/>
      <c r="BJ221" s="13"/>
      <c r="BK221" s="130"/>
      <c r="BL221" s="13"/>
      <c r="BM221" s="129"/>
    </row>
    <row r="222" spans="2:65" s="11" customFormat="1" ht="22.95" customHeight="1" x14ac:dyDescent="0.25">
      <c r="B222" s="106"/>
      <c r="D222" s="107" t="s">
        <v>57</v>
      </c>
      <c r="E222" s="116" t="s">
        <v>404</v>
      </c>
      <c r="F222" s="116" t="s">
        <v>411</v>
      </c>
      <c r="J222" s="117">
        <f>BK222</f>
        <v>1097.83</v>
      </c>
      <c r="L222" s="106"/>
      <c r="M222" s="110"/>
      <c r="N222" s="111"/>
      <c r="O222" s="111"/>
      <c r="P222" s="112">
        <f>SUM(P224:P239)</f>
        <v>137.70135999999999</v>
      </c>
      <c r="Q222" s="111"/>
      <c r="R222" s="112">
        <f>SUM(R224:R239)</f>
        <v>0</v>
      </c>
      <c r="S222" s="111"/>
      <c r="T222" s="113">
        <f>SUM(T224:T239)</f>
        <v>18.702233999999997</v>
      </c>
      <c r="W222" s="195"/>
      <c r="X222" s="111"/>
      <c r="Y222" s="196" t="s">
        <v>57</v>
      </c>
      <c r="Z222" s="201" t="s">
        <v>404</v>
      </c>
      <c r="AA222" s="201" t="s">
        <v>411</v>
      </c>
      <c r="AB222" s="111"/>
      <c r="AC222" s="111"/>
      <c r="AD222" s="111"/>
      <c r="AE222" s="202">
        <f>SUM(AE223:AE239)</f>
        <v>2495.6709999999998</v>
      </c>
      <c r="AF222" s="956"/>
      <c r="AG222" s="292"/>
      <c r="AR222" s="107" t="s">
        <v>63</v>
      </c>
      <c r="AT222" s="114" t="s">
        <v>57</v>
      </c>
      <c r="AU222" s="114" t="s">
        <v>63</v>
      </c>
      <c r="AY222" s="107" t="s">
        <v>228</v>
      </c>
      <c r="BK222" s="115">
        <f>SUM(BK224:BK239)</f>
        <v>1097.83</v>
      </c>
    </row>
    <row r="223" spans="2:65" s="11" customFormat="1" ht="22.95" customHeight="1" x14ac:dyDescent="0.2">
      <c r="B223" s="106"/>
      <c r="C223" s="1234" t="s">
        <v>5205</v>
      </c>
      <c r="D223" s="1235"/>
      <c r="E223" s="1235"/>
      <c r="F223" s="1235"/>
      <c r="G223" s="1235"/>
      <c r="H223" s="1235"/>
      <c r="I223" s="1235"/>
      <c r="J223" s="1236"/>
      <c r="L223" s="106"/>
      <c r="M223" s="110"/>
      <c r="N223" s="111"/>
      <c r="O223" s="111"/>
      <c r="P223" s="112"/>
      <c r="Q223" s="111"/>
      <c r="R223" s="112"/>
      <c r="S223" s="111"/>
      <c r="T223" s="113"/>
      <c r="W223" s="195"/>
      <c r="X223" s="207" t="s">
        <v>5724</v>
      </c>
      <c r="Y223" s="207" t="s">
        <v>231</v>
      </c>
      <c r="Z223" s="208" t="s">
        <v>5834</v>
      </c>
      <c r="AA223" s="209" t="s">
        <v>5835</v>
      </c>
      <c r="AB223" s="210" t="s">
        <v>234</v>
      </c>
      <c r="AC223" s="211">
        <v>1.913</v>
      </c>
      <c r="AD223" s="212">
        <v>71.010000000000005</v>
      </c>
      <c r="AE223" s="214">
        <f>ROUND(AD223*AC223,2)</f>
        <v>135.84</v>
      </c>
      <c r="AF223" s="956">
        <v>5</v>
      </c>
      <c r="AG223" s="292"/>
      <c r="AR223" s="107"/>
      <c r="AT223" s="114"/>
      <c r="AU223" s="114"/>
      <c r="AY223" s="107"/>
      <c r="BK223" s="115"/>
    </row>
    <row r="224" spans="2:65" s="1" customFormat="1" ht="24" customHeight="1" x14ac:dyDescent="0.2">
      <c r="B224" s="118"/>
      <c r="C224" s="205" t="s">
        <v>323</v>
      </c>
      <c r="D224" s="119" t="s">
        <v>231</v>
      </c>
      <c r="E224" s="120" t="s">
        <v>412</v>
      </c>
      <c r="F224" s="121" t="s">
        <v>413</v>
      </c>
      <c r="G224" s="122" t="s">
        <v>284</v>
      </c>
      <c r="H224" s="206">
        <v>61.62</v>
      </c>
      <c r="I224" s="124">
        <v>2.21</v>
      </c>
      <c r="J224" s="124">
        <f t="shared" ref="J224:J239" si="22">ROUND(I224*H224,2)</f>
        <v>136.18</v>
      </c>
      <c r="K224" s="121" t="s">
        <v>1</v>
      </c>
      <c r="L224" s="24"/>
      <c r="M224" s="125" t="s">
        <v>1</v>
      </c>
      <c r="N224" s="126" t="s">
        <v>32</v>
      </c>
      <c r="O224" s="127">
        <v>0.16400000000000001</v>
      </c>
      <c r="P224" s="127">
        <f t="shared" ref="P224:P239" si="23">O224*H224</f>
        <v>10.10568</v>
      </c>
      <c r="Q224" s="127">
        <v>0</v>
      </c>
      <c r="R224" s="127">
        <f t="shared" ref="R224:R239" si="24">Q224*H224</f>
        <v>0</v>
      </c>
      <c r="S224" s="127">
        <v>0.19600000000000001</v>
      </c>
      <c r="T224" s="128">
        <f t="shared" ref="T224:T239" si="25">S224*H224</f>
        <v>12.07752</v>
      </c>
      <c r="W224" s="199"/>
      <c r="X224" s="205" t="s">
        <v>323</v>
      </c>
      <c r="Y224" s="119" t="s">
        <v>231</v>
      </c>
      <c r="Z224" s="120" t="s">
        <v>412</v>
      </c>
      <c r="AA224" s="121" t="s">
        <v>413</v>
      </c>
      <c r="AB224" s="122" t="s">
        <v>284</v>
      </c>
      <c r="AC224" s="206">
        <f>61.62+27.175</f>
        <v>88.795000000000002</v>
      </c>
      <c r="AD224" s="124">
        <v>2.21</v>
      </c>
      <c r="AE224" s="200">
        <f t="shared" ref="AE224:AE239" si="26">ROUND(AD224*AC224,2)</f>
        <v>196.24</v>
      </c>
      <c r="AF224" s="956">
        <v>14</v>
      </c>
      <c r="AG224" s="407"/>
      <c r="AR224" s="129" t="s">
        <v>235</v>
      </c>
      <c r="AT224" s="129" t="s">
        <v>231</v>
      </c>
      <c r="AU224" s="129" t="s">
        <v>76</v>
      </c>
      <c r="AY224" s="13" t="s">
        <v>228</v>
      </c>
      <c r="BE224" s="130">
        <f t="shared" ref="BE224:BE239" si="27">IF(N224="základná",J224,0)</f>
        <v>0</v>
      </c>
      <c r="BF224" s="130">
        <f t="shared" ref="BF224:BF239" si="28">IF(N224="znížená",J224,0)</f>
        <v>136.18</v>
      </c>
      <c r="BG224" s="130">
        <f t="shared" ref="BG224:BG239" si="29">IF(N224="zákl. prenesená",J224,0)</f>
        <v>0</v>
      </c>
      <c r="BH224" s="130">
        <f t="shared" ref="BH224:BH239" si="30">IF(N224="zníž. prenesená",J224,0)</f>
        <v>0</v>
      </c>
      <c r="BI224" s="130">
        <f t="shared" ref="BI224:BI239" si="31">IF(N224="nulová",J224,0)</f>
        <v>0</v>
      </c>
      <c r="BJ224" s="13" t="s">
        <v>76</v>
      </c>
      <c r="BK224" s="130">
        <f t="shared" ref="BK224:BK239" si="32">ROUND(I224*H224,2)</f>
        <v>136.18</v>
      </c>
      <c r="BL224" s="13" t="s">
        <v>235</v>
      </c>
      <c r="BM224" s="129" t="s">
        <v>414</v>
      </c>
    </row>
    <row r="225" spans="2:65" s="1" customFormat="1" ht="24" customHeight="1" x14ac:dyDescent="0.2">
      <c r="B225" s="118"/>
      <c r="C225" s="205" t="s">
        <v>415</v>
      </c>
      <c r="D225" s="119" t="s">
        <v>231</v>
      </c>
      <c r="E225" s="120" t="s">
        <v>416</v>
      </c>
      <c r="F225" s="121" t="s">
        <v>417</v>
      </c>
      <c r="G225" s="122" t="s">
        <v>284</v>
      </c>
      <c r="H225" s="206">
        <v>225.03200000000001</v>
      </c>
      <c r="I225" s="124">
        <v>2.21</v>
      </c>
      <c r="J225" s="124">
        <f t="shared" si="22"/>
        <v>497.32</v>
      </c>
      <c r="K225" s="121" t="s">
        <v>1</v>
      </c>
      <c r="L225" s="24"/>
      <c r="M225" s="125" t="s">
        <v>1</v>
      </c>
      <c r="N225" s="126" t="s">
        <v>32</v>
      </c>
      <c r="O225" s="127">
        <v>0</v>
      </c>
      <c r="P225" s="127">
        <f t="shared" si="23"/>
        <v>0</v>
      </c>
      <c r="Q225" s="127">
        <v>0</v>
      </c>
      <c r="R225" s="127">
        <f t="shared" si="24"/>
        <v>0</v>
      </c>
      <c r="S225" s="127">
        <v>0</v>
      </c>
      <c r="T225" s="128">
        <f t="shared" si="25"/>
        <v>0</v>
      </c>
      <c r="W225" s="199"/>
      <c r="X225" s="205" t="s">
        <v>415</v>
      </c>
      <c r="Y225" s="119" t="s">
        <v>231</v>
      </c>
      <c r="Z225" s="120" t="s">
        <v>416</v>
      </c>
      <c r="AA225" s="121" t="s">
        <v>417</v>
      </c>
      <c r="AB225" s="122" t="s">
        <v>284</v>
      </c>
      <c r="AC225" s="206">
        <f>225.032+25.76+34.65+2.94</f>
        <v>288.38200000000001</v>
      </c>
      <c r="AD225" s="124">
        <v>2.21</v>
      </c>
      <c r="AE225" s="200">
        <f t="shared" si="26"/>
        <v>637.32000000000005</v>
      </c>
      <c r="AF225" s="956" t="s">
        <v>6663</v>
      </c>
      <c r="AG225" s="407"/>
      <c r="AR225" s="129" t="s">
        <v>235</v>
      </c>
      <c r="AT225" s="129" t="s">
        <v>231</v>
      </c>
      <c r="AU225" s="129" t="s">
        <v>76</v>
      </c>
      <c r="AY225" s="13" t="s">
        <v>228</v>
      </c>
      <c r="BE225" s="130">
        <f t="shared" si="27"/>
        <v>0</v>
      </c>
      <c r="BF225" s="130">
        <f t="shared" si="28"/>
        <v>497.32</v>
      </c>
      <c r="BG225" s="130">
        <f t="shared" si="29"/>
        <v>0</v>
      </c>
      <c r="BH225" s="130">
        <f t="shared" si="30"/>
        <v>0</v>
      </c>
      <c r="BI225" s="130">
        <f t="shared" si="31"/>
        <v>0</v>
      </c>
      <c r="BJ225" s="13" t="s">
        <v>76</v>
      </c>
      <c r="BK225" s="130">
        <f t="shared" si="32"/>
        <v>497.32</v>
      </c>
      <c r="BL225" s="13" t="s">
        <v>235</v>
      </c>
      <c r="BM225" s="129" t="s">
        <v>418</v>
      </c>
    </row>
    <row r="226" spans="2:65" s="648" customFormat="1" ht="29.55" customHeight="1" x14ac:dyDescent="0.2">
      <c r="B226" s="118"/>
      <c r="C226" s="1234" t="s">
        <v>5205</v>
      </c>
      <c r="D226" s="1235"/>
      <c r="E226" s="1235"/>
      <c r="F226" s="1235"/>
      <c r="G226" s="1235"/>
      <c r="H226" s="1235"/>
      <c r="I226" s="1235"/>
      <c r="J226" s="1236"/>
      <c r="K226" s="121"/>
      <c r="L226" s="24"/>
      <c r="M226" s="125"/>
      <c r="N226" s="126"/>
      <c r="O226" s="127"/>
      <c r="P226" s="127"/>
      <c r="Q226" s="127"/>
      <c r="R226" s="127"/>
      <c r="S226" s="127"/>
      <c r="T226" s="128"/>
      <c r="W226" s="199"/>
      <c r="X226" s="207" t="s">
        <v>5248</v>
      </c>
      <c r="Y226" s="207" t="s">
        <v>231</v>
      </c>
      <c r="Z226" s="342" t="s">
        <v>4275</v>
      </c>
      <c r="AA226" s="343" t="s">
        <v>6333</v>
      </c>
      <c r="AB226" s="344" t="s">
        <v>234</v>
      </c>
      <c r="AC226" s="345">
        <v>4.05</v>
      </c>
      <c r="AD226" s="346">
        <v>17.420000000000002</v>
      </c>
      <c r="AE226" s="355">
        <f>AC226*AD226</f>
        <v>70.551000000000002</v>
      </c>
      <c r="AF226" s="956">
        <v>14</v>
      </c>
      <c r="AG226" s="407"/>
      <c r="AR226" s="129"/>
      <c r="AT226" s="129"/>
      <c r="AU226" s="129"/>
      <c r="AY226" s="13"/>
      <c r="BE226" s="130"/>
      <c r="BF226" s="130"/>
      <c r="BG226" s="130"/>
      <c r="BH226" s="130"/>
      <c r="BI226" s="130"/>
      <c r="BJ226" s="13"/>
      <c r="BK226" s="130"/>
      <c r="BL226" s="13"/>
      <c r="BM226" s="129"/>
    </row>
    <row r="227" spans="2:65" s="1" customFormat="1" ht="25.95" customHeight="1" x14ac:dyDescent="0.2">
      <c r="B227" s="118"/>
      <c r="C227" s="119" t="s">
        <v>326</v>
      </c>
      <c r="D227" s="119" t="s">
        <v>231</v>
      </c>
      <c r="E227" s="120" t="s">
        <v>419</v>
      </c>
      <c r="F227" s="121" t="s">
        <v>420</v>
      </c>
      <c r="G227" s="122" t="s">
        <v>284</v>
      </c>
      <c r="H227" s="123">
        <v>2.6</v>
      </c>
      <c r="I227" s="124">
        <v>2.9</v>
      </c>
      <c r="J227" s="124">
        <f t="shared" si="22"/>
        <v>7.54</v>
      </c>
      <c r="K227" s="121" t="s">
        <v>1</v>
      </c>
      <c r="L227" s="24"/>
      <c r="M227" s="125" t="s">
        <v>1</v>
      </c>
      <c r="N227" s="126" t="s">
        <v>32</v>
      </c>
      <c r="O227" s="127">
        <v>0.51</v>
      </c>
      <c r="P227" s="127">
        <f t="shared" si="23"/>
        <v>1.3260000000000001</v>
      </c>
      <c r="Q227" s="127">
        <v>0</v>
      </c>
      <c r="R227" s="127">
        <f t="shared" si="24"/>
        <v>0</v>
      </c>
      <c r="S227" s="127">
        <v>8.2000000000000003E-2</v>
      </c>
      <c r="T227" s="128">
        <f t="shared" si="25"/>
        <v>0.21320000000000003</v>
      </c>
      <c r="W227" s="199"/>
      <c r="X227" s="119" t="s">
        <v>326</v>
      </c>
      <c r="Y227" s="119" t="s">
        <v>231</v>
      </c>
      <c r="Z227" s="120" t="s">
        <v>419</v>
      </c>
      <c r="AA227" s="121" t="s">
        <v>420</v>
      </c>
      <c r="AB227" s="122" t="s">
        <v>284</v>
      </c>
      <c r="AC227" s="123">
        <v>2.6</v>
      </c>
      <c r="AD227" s="124">
        <v>2.9</v>
      </c>
      <c r="AE227" s="200">
        <f t="shared" si="26"/>
        <v>7.54</v>
      </c>
      <c r="AF227" s="956"/>
      <c r="AG227" s="407"/>
      <c r="AR227" s="129" t="s">
        <v>235</v>
      </c>
      <c r="AT227" s="129" t="s">
        <v>231</v>
      </c>
      <c r="AU227" s="129" t="s">
        <v>76</v>
      </c>
      <c r="AY227" s="13" t="s">
        <v>228</v>
      </c>
      <c r="BE227" s="130">
        <f t="shared" si="27"/>
        <v>0</v>
      </c>
      <c r="BF227" s="130">
        <f t="shared" si="28"/>
        <v>7.54</v>
      </c>
      <c r="BG227" s="130">
        <f t="shared" si="29"/>
        <v>0</v>
      </c>
      <c r="BH227" s="130">
        <f t="shared" si="30"/>
        <v>0</v>
      </c>
      <c r="BI227" s="130">
        <f t="shared" si="31"/>
        <v>0</v>
      </c>
      <c r="BJ227" s="13" t="s">
        <v>76</v>
      </c>
      <c r="BK227" s="130">
        <f t="shared" si="32"/>
        <v>7.54</v>
      </c>
      <c r="BL227" s="13" t="s">
        <v>235</v>
      </c>
      <c r="BM227" s="129" t="s">
        <v>421</v>
      </c>
    </row>
    <row r="228" spans="2:65" s="362" customFormat="1" ht="25.95" customHeight="1" x14ac:dyDescent="0.2">
      <c r="B228" s="118"/>
      <c r="C228" s="1234" t="s">
        <v>5205</v>
      </c>
      <c r="D228" s="1235"/>
      <c r="E228" s="1235"/>
      <c r="F228" s="1235"/>
      <c r="G228" s="1235"/>
      <c r="H228" s="1235"/>
      <c r="I228" s="1235"/>
      <c r="J228" s="1236"/>
      <c r="K228" s="121"/>
      <c r="L228" s="24"/>
      <c r="M228" s="125"/>
      <c r="N228" s="126"/>
      <c r="O228" s="127"/>
      <c r="P228" s="127"/>
      <c r="Q228" s="127"/>
      <c r="R228" s="127"/>
      <c r="S228" s="127"/>
      <c r="T228" s="128"/>
      <c r="W228" s="199"/>
      <c r="X228" s="341" t="s">
        <v>5734</v>
      </c>
      <c r="Y228" s="341" t="s">
        <v>231</v>
      </c>
      <c r="Z228" s="342" t="s">
        <v>4278</v>
      </c>
      <c r="AA228" s="343" t="s">
        <v>4279</v>
      </c>
      <c r="AB228" s="344" t="s">
        <v>234</v>
      </c>
      <c r="AC228" s="345">
        <v>1.95</v>
      </c>
      <c r="AD228" s="346">
        <v>34.83</v>
      </c>
      <c r="AE228" s="355">
        <f>ROUND(AD228*AC228,2)</f>
        <v>67.92</v>
      </c>
      <c r="AF228" s="956">
        <v>4</v>
      </c>
      <c r="AG228" s="407"/>
      <c r="AR228" s="129"/>
      <c r="AT228" s="129"/>
      <c r="AU228" s="129"/>
      <c r="AY228" s="13"/>
      <c r="BE228" s="130"/>
      <c r="BF228" s="130"/>
      <c r="BG228" s="130"/>
      <c r="BH228" s="130"/>
      <c r="BI228" s="130"/>
      <c r="BJ228" s="13"/>
      <c r="BK228" s="130"/>
      <c r="BL228" s="13"/>
      <c r="BM228" s="129"/>
    </row>
    <row r="229" spans="2:65" s="362" customFormat="1" ht="25.95" customHeight="1" x14ac:dyDescent="0.2">
      <c r="B229" s="118"/>
      <c r="C229" s="1234" t="s">
        <v>5205</v>
      </c>
      <c r="D229" s="1235"/>
      <c r="E229" s="1235"/>
      <c r="F229" s="1235"/>
      <c r="G229" s="1235"/>
      <c r="H229" s="1235"/>
      <c r="I229" s="1235"/>
      <c r="J229" s="1236"/>
      <c r="K229" s="121"/>
      <c r="L229" s="24"/>
      <c r="M229" s="125"/>
      <c r="N229" s="126"/>
      <c r="O229" s="127"/>
      <c r="P229" s="127"/>
      <c r="Q229" s="127"/>
      <c r="R229" s="127"/>
      <c r="S229" s="127"/>
      <c r="T229" s="128"/>
      <c r="W229" s="199"/>
      <c r="X229" s="341" t="s">
        <v>5847</v>
      </c>
      <c r="Y229" s="341" t="s">
        <v>231</v>
      </c>
      <c r="Z229" s="342" t="s">
        <v>915</v>
      </c>
      <c r="AA229" s="343" t="s">
        <v>916</v>
      </c>
      <c r="AB229" s="344" t="s">
        <v>234</v>
      </c>
      <c r="AC229" s="345">
        <v>3.198</v>
      </c>
      <c r="AD229" s="346">
        <v>109.69</v>
      </c>
      <c r="AE229" s="355">
        <f>ROUND(AD229*AC229,2)</f>
        <v>350.79</v>
      </c>
      <c r="AF229" s="956">
        <v>4</v>
      </c>
      <c r="AG229" s="407"/>
      <c r="AR229" s="129"/>
      <c r="AT229" s="129"/>
      <c r="AU229" s="129"/>
      <c r="AY229" s="13"/>
      <c r="BE229" s="130"/>
      <c r="BF229" s="130"/>
      <c r="BG229" s="130"/>
      <c r="BH229" s="130"/>
      <c r="BI229" s="130"/>
      <c r="BJ229" s="13"/>
      <c r="BK229" s="130"/>
      <c r="BL229" s="13"/>
      <c r="BM229" s="129"/>
    </row>
    <row r="230" spans="2:65" s="362" customFormat="1" ht="25.95" customHeight="1" x14ac:dyDescent="0.2">
      <c r="B230" s="118"/>
      <c r="C230" s="1234" t="s">
        <v>5205</v>
      </c>
      <c r="D230" s="1235"/>
      <c r="E230" s="1235"/>
      <c r="F230" s="1235"/>
      <c r="G230" s="1235"/>
      <c r="H230" s="1235"/>
      <c r="I230" s="1235"/>
      <c r="J230" s="1236"/>
      <c r="K230" s="121"/>
      <c r="L230" s="24"/>
      <c r="M230" s="125"/>
      <c r="N230" s="126"/>
      <c r="O230" s="127"/>
      <c r="P230" s="127"/>
      <c r="Q230" s="127"/>
      <c r="R230" s="127"/>
      <c r="S230" s="127"/>
      <c r="T230" s="128"/>
      <c r="W230" s="199"/>
      <c r="X230" s="341" t="s">
        <v>5848</v>
      </c>
      <c r="Y230" s="341" t="s">
        <v>231</v>
      </c>
      <c r="Z230" s="342" t="s">
        <v>4280</v>
      </c>
      <c r="AA230" s="343" t="s">
        <v>4281</v>
      </c>
      <c r="AB230" s="344" t="s">
        <v>284</v>
      </c>
      <c r="AC230" s="345">
        <f>3.6+0.36</f>
        <v>3.96</v>
      </c>
      <c r="AD230" s="346">
        <v>11.61</v>
      </c>
      <c r="AE230" s="355">
        <f>ROUND(AD230*AC230,2)</f>
        <v>45.98</v>
      </c>
      <c r="AF230" s="956" t="s">
        <v>6323</v>
      </c>
      <c r="AG230" s="407"/>
      <c r="AR230" s="129"/>
      <c r="AT230" s="129"/>
      <c r="AU230" s="129"/>
      <c r="AY230" s="13"/>
      <c r="BE230" s="130"/>
      <c r="BF230" s="130"/>
      <c r="BG230" s="130"/>
      <c r="BH230" s="130"/>
      <c r="BI230" s="130"/>
      <c r="BJ230" s="13"/>
      <c r="BK230" s="130"/>
      <c r="BL230" s="13"/>
      <c r="BM230" s="129"/>
    </row>
    <row r="231" spans="2:65" s="362" customFormat="1" ht="25.95" customHeight="1" x14ac:dyDescent="0.2">
      <c r="B231" s="118"/>
      <c r="C231" s="1234" t="s">
        <v>5205</v>
      </c>
      <c r="D231" s="1235"/>
      <c r="E231" s="1235"/>
      <c r="F231" s="1235"/>
      <c r="G231" s="1235"/>
      <c r="H231" s="1235"/>
      <c r="I231" s="1235"/>
      <c r="J231" s="1236"/>
      <c r="K231" s="121"/>
      <c r="L231" s="24"/>
      <c r="M231" s="125"/>
      <c r="N231" s="126"/>
      <c r="O231" s="127"/>
      <c r="P231" s="127"/>
      <c r="Q231" s="127"/>
      <c r="R231" s="127"/>
      <c r="S231" s="127"/>
      <c r="T231" s="128"/>
      <c r="W231" s="199"/>
      <c r="X231" s="341" t="s">
        <v>5849</v>
      </c>
      <c r="Y231" s="341" t="s">
        <v>231</v>
      </c>
      <c r="Z231" s="342" t="s">
        <v>919</v>
      </c>
      <c r="AA231" s="343" t="s">
        <v>920</v>
      </c>
      <c r="AB231" s="344" t="s">
        <v>292</v>
      </c>
      <c r="AC231" s="345">
        <v>5</v>
      </c>
      <c r="AD231" s="346">
        <v>5.7</v>
      </c>
      <c r="AE231" s="355">
        <f>ROUND(AD231*AC231,2)</f>
        <v>28.5</v>
      </c>
      <c r="AF231" s="956">
        <v>4</v>
      </c>
      <c r="AG231" s="407"/>
      <c r="AR231" s="129"/>
      <c r="AT231" s="129"/>
      <c r="AU231" s="129"/>
      <c r="AY231" s="13"/>
      <c r="BE231" s="130"/>
      <c r="BF231" s="130"/>
      <c r="BG231" s="130"/>
      <c r="BH231" s="130"/>
      <c r="BI231" s="130"/>
      <c r="BJ231" s="13"/>
      <c r="BK231" s="130"/>
      <c r="BL231" s="13"/>
      <c r="BM231" s="129"/>
    </row>
    <row r="232" spans="2:65" s="362" customFormat="1" ht="48.45" customHeight="1" x14ac:dyDescent="0.2">
      <c r="B232" s="118"/>
      <c r="C232" s="1234" t="s">
        <v>5205</v>
      </c>
      <c r="D232" s="1235"/>
      <c r="E232" s="1235"/>
      <c r="F232" s="1235"/>
      <c r="G232" s="1235"/>
      <c r="H232" s="1235"/>
      <c r="I232" s="1235"/>
      <c r="J232" s="1236"/>
      <c r="K232" s="121"/>
      <c r="L232" s="24"/>
      <c r="M232" s="125"/>
      <c r="N232" s="126"/>
      <c r="O232" s="127"/>
      <c r="P232" s="127"/>
      <c r="Q232" s="127"/>
      <c r="R232" s="127"/>
      <c r="S232" s="127"/>
      <c r="T232" s="128"/>
      <c r="W232" s="199"/>
      <c r="X232" s="341" t="s">
        <v>5850</v>
      </c>
      <c r="Y232" s="341" t="s">
        <v>231</v>
      </c>
      <c r="Z232" s="342" t="s">
        <v>5820</v>
      </c>
      <c r="AA232" s="343" t="s">
        <v>5821</v>
      </c>
      <c r="AB232" s="344" t="s">
        <v>284</v>
      </c>
      <c r="AC232" s="345">
        <v>55.113</v>
      </c>
      <c r="AD232" s="346">
        <v>3.98</v>
      </c>
      <c r="AE232" s="355">
        <f>ROUND(AD232*AC232,2)</f>
        <v>219.35</v>
      </c>
      <c r="AF232" s="956">
        <v>4</v>
      </c>
      <c r="AG232" s="407"/>
      <c r="AR232" s="129"/>
      <c r="AT232" s="129"/>
      <c r="AU232" s="129"/>
      <c r="AY232" s="13"/>
      <c r="BE232" s="130"/>
      <c r="BF232" s="130"/>
      <c r="BG232" s="130"/>
      <c r="BH232" s="130"/>
      <c r="BI232" s="130"/>
      <c r="BJ232" s="13"/>
      <c r="BK232" s="130"/>
      <c r="BL232" s="13"/>
      <c r="BM232" s="129"/>
    </row>
    <row r="233" spans="2:65" s="648" customFormat="1" ht="32.549999999999997" customHeight="1" x14ac:dyDescent="0.2">
      <c r="B233" s="118"/>
      <c r="C233" s="1234" t="s">
        <v>5205</v>
      </c>
      <c r="D233" s="1235"/>
      <c r="E233" s="1235"/>
      <c r="F233" s="1235"/>
      <c r="G233" s="1235"/>
      <c r="H233" s="1235"/>
      <c r="I233" s="1235"/>
      <c r="J233" s="1236"/>
      <c r="K233" s="121"/>
      <c r="L233" s="24"/>
      <c r="M233" s="125"/>
      <c r="N233" s="126"/>
      <c r="O233" s="127"/>
      <c r="P233" s="127"/>
      <c r="Q233" s="127"/>
      <c r="R233" s="127"/>
      <c r="S233" s="127"/>
      <c r="T233" s="128"/>
      <c r="W233" s="199"/>
      <c r="X233" s="207" t="s">
        <v>6340</v>
      </c>
      <c r="Y233" s="341"/>
      <c r="Z233" s="342" t="s">
        <v>6334</v>
      </c>
      <c r="AA233" s="343" t="s">
        <v>6335</v>
      </c>
      <c r="AB233" s="344" t="s">
        <v>284</v>
      </c>
      <c r="AC233" s="345">
        <v>1.4039999999999999</v>
      </c>
      <c r="AD233" s="346">
        <v>3.98</v>
      </c>
      <c r="AE233" s="355">
        <f t="shared" ref="AE233:AE235" si="33">ROUND(AD233*AC233,2)</f>
        <v>5.59</v>
      </c>
      <c r="AF233" s="956">
        <v>14</v>
      </c>
      <c r="AG233" s="407"/>
      <c r="AR233" s="129"/>
      <c r="AT233" s="129"/>
      <c r="AU233" s="129"/>
      <c r="AY233" s="13"/>
      <c r="BE233" s="130"/>
      <c r="BF233" s="130"/>
      <c r="BG233" s="130"/>
      <c r="BH233" s="130"/>
      <c r="BI233" s="130"/>
      <c r="BJ233" s="13"/>
      <c r="BK233" s="130"/>
      <c r="BL233" s="13"/>
      <c r="BM233" s="129"/>
    </row>
    <row r="234" spans="2:65" s="648" customFormat="1" ht="28.95" customHeight="1" x14ac:dyDescent="0.2">
      <c r="B234" s="118"/>
      <c r="C234" s="1234" t="s">
        <v>5205</v>
      </c>
      <c r="D234" s="1235"/>
      <c r="E234" s="1235"/>
      <c r="F234" s="1235"/>
      <c r="G234" s="1235"/>
      <c r="H234" s="1235"/>
      <c r="I234" s="1235"/>
      <c r="J234" s="1236"/>
      <c r="K234" s="121"/>
      <c r="L234" s="24"/>
      <c r="M234" s="125"/>
      <c r="N234" s="126"/>
      <c r="O234" s="127"/>
      <c r="P234" s="127"/>
      <c r="Q234" s="127"/>
      <c r="R234" s="127"/>
      <c r="S234" s="127"/>
      <c r="T234" s="128"/>
      <c r="W234" s="199"/>
      <c r="X234" s="207" t="s">
        <v>6341</v>
      </c>
      <c r="Y234" s="341"/>
      <c r="Z234" s="342" t="s">
        <v>6336</v>
      </c>
      <c r="AA234" s="343" t="s">
        <v>6337</v>
      </c>
      <c r="AB234" s="344" t="s">
        <v>284</v>
      </c>
      <c r="AC234" s="345">
        <v>7.2</v>
      </c>
      <c r="AD234" s="346">
        <v>2.2000000000000002</v>
      </c>
      <c r="AE234" s="355">
        <f t="shared" si="33"/>
        <v>15.84</v>
      </c>
      <c r="AF234" s="956">
        <v>14</v>
      </c>
      <c r="AG234" s="407"/>
      <c r="AR234" s="129"/>
      <c r="AT234" s="129"/>
      <c r="AU234" s="129"/>
      <c r="AY234" s="13"/>
      <c r="BE234" s="130"/>
      <c r="BF234" s="130"/>
      <c r="BG234" s="130"/>
      <c r="BH234" s="130"/>
      <c r="BI234" s="130"/>
      <c r="BJ234" s="13"/>
      <c r="BK234" s="130"/>
      <c r="BL234" s="13"/>
      <c r="BM234" s="129"/>
    </row>
    <row r="235" spans="2:65" s="648" customFormat="1" ht="33" customHeight="1" x14ac:dyDescent="0.2">
      <c r="B235" s="118"/>
      <c r="C235" s="1234" t="s">
        <v>5205</v>
      </c>
      <c r="D235" s="1235"/>
      <c r="E235" s="1235"/>
      <c r="F235" s="1235"/>
      <c r="G235" s="1235"/>
      <c r="H235" s="1235"/>
      <c r="I235" s="1235"/>
      <c r="J235" s="1236"/>
      <c r="K235" s="121"/>
      <c r="L235" s="24"/>
      <c r="M235" s="125"/>
      <c r="N235" s="126"/>
      <c r="O235" s="127"/>
      <c r="P235" s="127"/>
      <c r="Q235" s="127"/>
      <c r="R235" s="127"/>
      <c r="S235" s="127"/>
      <c r="T235" s="128"/>
      <c r="W235" s="199"/>
      <c r="X235" s="207" t="s">
        <v>6342</v>
      </c>
      <c r="Y235" s="341"/>
      <c r="Z235" s="342" t="s">
        <v>6338</v>
      </c>
      <c r="AA235" s="343" t="s">
        <v>6339</v>
      </c>
      <c r="AB235" s="344" t="s">
        <v>284</v>
      </c>
      <c r="AC235" s="345">
        <v>4.32</v>
      </c>
      <c r="AD235" s="346">
        <v>4.6100000000000003</v>
      </c>
      <c r="AE235" s="355">
        <f t="shared" si="33"/>
        <v>19.920000000000002</v>
      </c>
      <c r="AF235" s="956">
        <v>14</v>
      </c>
      <c r="AG235" s="407"/>
      <c r="AR235" s="129"/>
      <c r="AT235" s="129"/>
      <c r="AU235" s="129"/>
      <c r="AY235" s="13"/>
      <c r="BE235" s="130"/>
      <c r="BF235" s="130"/>
      <c r="BG235" s="130"/>
      <c r="BH235" s="130"/>
      <c r="BI235" s="130"/>
      <c r="BJ235" s="13"/>
      <c r="BK235" s="130"/>
      <c r="BL235" s="13"/>
      <c r="BM235" s="129"/>
    </row>
    <row r="236" spans="2:65" s="1" customFormat="1" ht="24" customHeight="1" x14ac:dyDescent="0.2">
      <c r="B236" s="118"/>
      <c r="C236" s="119" t="s">
        <v>422</v>
      </c>
      <c r="D236" s="119" t="s">
        <v>231</v>
      </c>
      <c r="E236" s="120" t="s">
        <v>423</v>
      </c>
      <c r="F236" s="121" t="s">
        <v>424</v>
      </c>
      <c r="G236" s="122" t="s">
        <v>284</v>
      </c>
      <c r="H236" s="123">
        <v>4.8330000000000002</v>
      </c>
      <c r="I236" s="124">
        <v>5.22</v>
      </c>
      <c r="J236" s="124">
        <f t="shared" si="22"/>
        <v>25.23</v>
      </c>
      <c r="K236" s="121" t="s">
        <v>1</v>
      </c>
      <c r="L236" s="24"/>
      <c r="M236" s="125" t="s">
        <v>1</v>
      </c>
      <c r="N236" s="126" t="s">
        <v>32</v>
      </c>
      <c r="O236" s="127">
        <v>0.56000000000000005</v>
      </c>
      <c r="P236" s="127">
        <f t="shared" si="23"/>
        <v>2.7064800000000004</v>
      </c>
      <c r="Q236" s="127">
        <v>0</v>
      </c>
      <c r="R236" s="127">
        <f t="shared" si="24"/>
        <v>0</v>
      </c>
      <c r="S236" s="127">
        <v>6.2E-2</v>
      </c>
      <c r="T236" s="128">
        <f t="shared" si="25"/>
        <v>0.29964600000000002</v>
      </c>
      <c r="W236" s="199"/>
      <c r="X236" s="119" t="s">
        <v>422</v>
      </c>
      <c r="Y236" s="119" t="s">
        <v>231</v>
      </c>
      <c r="Z236" s="120" t="s">
        <v>423</v>
      </c>
      <c r="AA236" s="121" t="s">
        <v>424</v>
      </c>
      <c r="AB236" s="122" t="s">
        <v>284</v>
      </c>
      <c r="AC236" s="123">
        <v>4.8330000000000002</v>
      </c>
      <c r="AD236" s="124">
        <v>5.22</v>
      </c>
      <c r="AE236" s="200">
        <f t="shared" si="26"/>
        <v>25.23</v>
      </c>
      <c r="AF236" s="956"/>
      <c r="AG236" s="407"/>
      <c r="AR236" s="129" t="s">
        <v>235</v>
      </c>
      <c r="AT236" s="129" t="s">
        <v>231</v>
      </c>
      <c r="AU236" s="129" t="s">
        <v>76</v>
      </c>
      <c r="AY236" s="13" t="s">
        <v>228</v>
      </c>
      <c r="BE236" s="130">
        <f t="shared" si="27"/>
        <v>0</v>
      </c>
      <c r="BF236" s="130">
        <f t="shared" si="28"/>
        <v>25.23</v>
      </c>
      <c r="BG236" s="130">
        <f t="shared" si="29"/>
        <v>0</v>
      </c>
      <c r="BH236" s="130">
        <f t="shared" si="30"/>
        <v>0</v>
      </c>
      <c r="BI236" s="130">
        <f t="shared" si="31"/>
        <v>0</v>
      </c>
      <c r="BJ236" s="13" t="s">
        <v>76</v>
      </c>
      <c r="BK236" s="130">
        <f t="shared" si="32"/>
        <v>25.23</v>
      </c>
      <c r="BL236" s="13" t="s">
        <v>235</v>
      </c>
      <c r="BM236" s="129" t="s">
        <v>425</v>
      </c>
    </row>
    <row r="237" spans="2:65" s="1" customFormat="1" ht="16.5" customHeight="1" x14ac:dyDescent="0.2">
      <c r="B237" s="118"/>
      <c r="C237" s="205" t="s">
        <v>330</v>
      </c>
      <c r="D237" s="119" t="s">
        <v>231</v>
      </c>
      <c r="E237" s="120" t="s">
        <v>426</v>
      </c>
      <c r="F237" s="121" t="s">
        <v>427</v>
      </c>
      <c r="G237" s="122" t="s">
        <v>284</v>
      </c>
      <c r="H237" s="206">
        <v>46.9</v>
      </c>
      <c r="I237" s="124">
        <v>5.22</v>
      </c>
      <c r="J237" s="124">
        <f t="shared" si="22"/>
        <v>244.82</v>
      </c>
      <c r="K237" s="121" t="s">
        <v>1</v>
      </c>
      <c r="L237" s="24"/>
      <c r="M237" s="125" t="s">
        <v>1</v>
      </c>
      <c r="N237" s="126" t="s">
        <v>32</v>
      </c>
      <c r="O237" s="127">
        <v>1.6</v>
      </c>
      <c r="P237" s="127">
        <f t="shared" si="23"/>
        <v>75.040000000000006</v>
      </c>
      <c r="Q237" s="127">
        <v>0</v>
      </c>
      <c r="R237" s="127">
        <f t="shared" si="24"/>
        <v>0</v>
      </c>
      <c r="S237" s="127">
        <v>7.5999999999999998E-2</v>
      </c>
      <c r="T237" s="128">
        <f t="shared" si="25"/>
        <v>3.5644</v>
      </c>
      <c r="W237" s="199"/>
      <c r="X237" s="205" t="s">
        <v>330</v>
      </c>
      <c r="Y237" s="119" t="s">
        <v>231</v>
      </c>
      <c r="Z237" s="120" t="s">
        <v>426</v>
      </c>
      <c r="AA237" s="121" t="s">
        <v>427</v>
      </c>
      <c r="AB237" s="122" t="s">
        <v>284</v>
      </c>
      <c r="AC237" s="206">
        <f>46.9+24.8+1.4</f>
        <v>73.100000000000009</v>
      </c>
      <c r="AD237" s="124">
        <v>5.22</v>
      </c>
      <c r="AE237" s="200">
        <f t="shared" si="26"/>
        <v>381.58</v>
      </c>
      <c r="AF237" s="956" t="s">
        <v>6660</v>
      </c>
      <c r="AG237" s="407"/>
      <c r="AR237" s="129" t="s">
        <v>235</v>
      </c>
      <c r="AT237" s="129" t="s">
        <v>231</v>
      </c>
      <c r="AU237" s="129" t="s">
        <v>76</v>
      </c>
      <c r="AY237" s="13" t="s">
        <v>228</v>
      </c>
      <c r="BE237" s="130">
        <f t="shared" si="27"/>
        <v>0</v>
      </c>
      <c r="BF237" s="130">
        <f t="shared" si="28"/>
        <v>244.82</v>
      </c>
      <c r="BG237" s="130">
        <f t="shared" si="29"/>
        <v>0</v>
      </c>
      <c r="BH237" s="130">
        <f t="shared" si="30"/>
        <v>0</v>
      </c>
      <c r="BI237" s="130">
        <f t="shared" si="31"/>
        <v>0</v>
      </c>
      <c r="BJ237" s="13" t="s">
        <v>76</v>
      </c>
      <c r="BK237" s="130">
        <f t="shared" si="32"/>
        <v>244.82</v>
      </c>
      <c r="BL237" s="13" t="s">
        <v>235</v>
      </c>
      <c r="BM237" s="129" t="s">
        <v>428</v>
      </c>
    </row>
    <row r="238" spans="2:65" s="1" customFormat="1" ht="16.5" customHeight="1" x14ac:dyDescent="0.2">
      <c r="B238" s="118"/>
      <c r="C238" s="205" t="s">
        <v>429</v>
      </c>
      <c r="D238" s="119" t="s">
        <v>231</v>
      </c>
      <c r="E238" s="120" t="s">
        <v>430</v>
      </c>
      <c r="F238" s="121" t="s">
        <v>431</v>
      </c>
      <c r="G238" s="122" t="s">
        <v>284</v>
      </c>
      <c r="H238" s="206">
        <v>40.436</v>
      </c>
      <c r="I238" s="124">
        <v>4.0599999999999996</v>
      </c>
      <c r="J238" s="124">
        <f t="shared" si="22"/>
        <v>164.17</v>
      </c>
      <c r="K238" s="121" t="s">
        <v>1</v>
      </c>
      <c r="L238" s="24"/>
      <c r="M238" s="125" t="s">
        <v>1</v>
      </c>
      <c r="N238" s="126" t="s">
        <v>32</v>
      </c>
      <c r="O238" s="127">
        <v>1.2</v>
      </c>
      <c r="P238" s="127">
        <f t="shared" si="23"/>
        <v>48.523199999999996</v>
      </c>
      <c r="Q238" s="127">
        <v>0</v>
      </c>
      <c r="R238" s="127">
        <f t="shared" si="24"/>
        <v>0</v>
      </c>
      <c r="S238" s="127">
        <v>6.3E-2</v>
      </c>
      <c r="T238" s="128">
        <f t="shared" si="25"/>
        <v>2.5474679999999998</v>
      </c>
      <c r="W238" s="199"/>
      <c r="X238" s="205" t="s">
        <v>429</v>
      </c>
      <c r="Y238" s="119" t="s">
        <v>231</v>
      </c>
      <c r="Z238" s="120" t="s">
        <v>430</v>
      </c>
      <c r="AA238" s="121" t="s">
        <v>431</v>
      </c>
      <c r="AB238" s="122" t="s">
        <v>284</v>
      </c>
      <c r="AC238" s="206">
        <f>40.436+22.613+2.2</f>
        <v>65.248999999999995</v>
      </c>
      <c r="AD238" s="124">
        <v>4.0599999999999996</v>
      </c>
      <c r="AE238" s="200">
        <f t="shared" si="26"/>
        <v>264.91000000000003</v>
      </c>
      <c r="AF238" s="956" t="s">
        <v>6661</v>
      </c>
      <c r="AG238" s="407"/>
      <c r="AR238" s="129" t="s">
        <v>235</v>
      </c>
      <c r="AT238" s="129" t="s">
        <v>231</v>
      </c>
      <c r="AU238" s="129" t="s">
        <v>76</v>
      </c>
      <c r="AY238" s="13" t="s">
        <v>228</v>
      </c>
      <c r="BE238" s="130">
        <f t="shared" si="27"/>
        <v>0</v>
      </c>
      <c r="BF238" s="130">
        <f t="shared" si="28"/>
        <v>164.17</v>
      </c>
      <c r="BG238" s="130">
        <f t="shared" si="29"/>
        <v>0</v>
      </c>
      <c r="BH238" s="130">
        <f t="shared" si="30"/>
        <v>0</v>
      </c>
      <c r="BI238" s="130">
        <f t="shared" si="31"/>
        <v>0</v>
      </c>
      <c r="BJ238" s="13" t="s">
        <v>76</v>
      </c>
      <c r="BK238" s="130">
        <f t="shared" si="32"/>
        <v>164.17</v>
      </c>
      <c r="BL238" s="13" t="s">
        <v>235</v>
      </c>
      <c r="BM238" s="129" t="s">
        <v>432</v>
      </c>
    </row>
    <row r="239" spans="2:65" s="1" customFormat="1" ht="16.5" customHeight="1" x14ac:dyDescent="0.2">
      <c r="B239" s="118"/>
      <c r="C239" s="119" t="s">
        <v>333</v>
      </c>
      <c r="D239" s="119" t="s">
        <v>231</v>
      </c>
      <c r="E239" s="120" t="s">
        <v>433</v>
      </c>
      <c r="F239" s="121" t="s">
        <v>434</v>
      </c>
      <c r="G239" s="122" t="s">
        <v>284</v>
      </c>
      <c r="H239" s="123">
        <v>2.16</v>
      </c>
      <c r="I239" s="124">
        <v>10.45</v>
      </c>
      <c r="J239" s="124">
        <f t="shared" si="22"/>
        <v>22.57</v>
      </c>
      <c r="K239" s="121" t="s">
        <v>1</v>
      </c>
      <c r="L239" s="24"/>
      <c r="M239" s="125" t="s">
        <v>1</v>
      </c>
      <c r="N239" s="126" t="s">
        <v>32</v>
      </c>
      <c r="O239" s="127">
        <v>0</v>
      </c>
      <c r="P239" s="127">
        <f t="shared" si="23"/>
        <v>0</v>
      </c>
      <c r="Q239" s="127">
        <v>0</v>
      </c>
      <c r="R239" s="127">
        <f t="shared" si="24"/>
        <v>0</v>
      </c>
      <c r="S239" s="127">
        <v>0</v>
      </c>
      <c r="T239" s="128">
        <f t="shared" si="25"/>
        <v>0</v>
      </c>
      <c r="W239" s="199"/>
      <c r="X239" s="119" t="s">
        <v>333</v>
      </c>
      <c r="Y239" s="119" t="s">
        <v>231</v>
      </c>
      <c r="Z239" s="120" t="s">
        <v>433</v>
      </c>
      <c r="AA239" s="121" t="s">
        <v>434</v>
      </c>
      <c r="AB239" s="122" t="s">
        <v>284</v>
      </c>
      <c r="AC239" s="123">
        <v>2.16</v>
      </c>
      <c r="AD239" s="124">
        <v>10.45</v>
      </c>
      <c r="AE239" s="200">
        <f t="shared" si="26"/>
        <v>22.57</v>
      </c>
      <c r="AF239" s="956"/>
      <c r="AG239" s="407"/>
      <c r="AR239" s="129" t="s">
        <v>235</v>
      </c>
      <c r="AT239" s="129" t="s">
        <v>231</v>
      </c>
      <c r="AU239" s="129" t="s">
        <v>76</v>
      </c>
      <c r="AY239" s="13" t="s">
        <v>228</v>
      </c>
      <c r="BE239" s="130">
        <f t="shared" si="27"/>
        <v>0</v>
      </c>
      <c r="BF239" s="130">
        <f t="shared" si="28"/>
        <v>22.57</v>
      </c>
      <c r="BG239" s="130">
        <f t="shared" si="29"/>
        <v>0</v>
      </c>
      <c r="BH239" s="130">
        <f t="shared" si="30"/>
        <v>0</v>
      </c>
      <c r="BI239" s="130">
        <f t="shared" si="31"/>
        <v>0</v>
      </c>
      <c r="BJ239" s="13" t="s">
        <v>76</v>
      </c>
      <c r="BK239" s="130">
        <f t="shared" si="32"/>
        <v>22.57</v>
      </c>
      <c r="BL239" s="13" t="s">
        <v>235</v>
      </c>
      <c r="BM239" s="129" t="s">
        <v>435</v>
      </c>
    </row>
    <row r="240" spans="2:65" s="11" customFormat="1" ht="22.95" customHeight="1" x14ac:dyDescent="0.25">
      <c r="B240" s="106"/>
      <c r="D240" s="107" t="s">
        <v>57</v>
      </c>
      <c r="E240" s="116" t="s">
        <v>436</v>
      </c>
      <c r="F240" s="116" t="s">
        <v>437</v>
      </c>
      <c r="J240" s="117">
        <f>BK240</f>
        <v>18524.769999999997</v>
      </c>
      <c r="L240" s="106"/>
      <c r="M240" s="110"/>
      <c r="N240" s="111"/>
      <c r="O240" s="111"/>
      <c r="P240" s="112">
        <f>SUM(P241:P278)</f>
        <v>481.84419099999991</v>
      </c>
      <c r="Q240" s="111"/>
      <c r="R240" s="112">
        <f>SUM(R241:R278)</f>
        <v>1.809606</v>
      </c>
      <c r="S240" s="111"/>
      <c r="T240" s="113">
        <f>SUM(T241:T278)</f>
        <v>22.904882000000001</v>
      </c>
      <c r="W240" s="195"/>
      <c r="X240" s="111"/>
      <c r="Y240" s="196" t="s">
        <v>57</v>
      </c>
      <c r="Z240" s="201" t="s">
        <v>436</v>
      </c>
      <c r="AA240" s="201" t="s">
        <v>437</v>
      </c>
      <c r="AB240" s="111"/>
      <c r="AC240" s="111"/>
      <c r="AD240" s="111"/>
      <c r="AE240" s="202">
        <f>SUM(AE241:AE278)</f>
        <v>27081.959999999995</v>
      </c>
      <c r="AF240" s="956"/>
      <c r="AG240" s="292"/>
      <c r="AR240" s="107" t="s">
        <v>63</v>
      </c>
      <c r="AT240" s="114" t="s">
        <v>57</v>
      </c>
      <c r="AU240" s="114" t="s">
        <v>63</v>
      </c>
      <c r="AY240" s="107" t="s">
        <v>228</v>
      </c>
      <c r="BK240" s="115">
        <f>SUM(BK241:BK278)</f>
        <v>18524.769999999997</v>
      </c>
    </row>
    <row r="241" spans="2:65" s="1" customFormat="1" ht="27" customHeight="1" x14ac:dyDescent="0.2">
      <c r="B241" s="118"/>
      <c r="C241" s="119" t="s">
        <v>438</v>
      </c>
      <c r="D241" s="119" t="s">
        <v>231</v>
      </c>
      <c r="E241" s="120" t="s">
        <v>439</v>
      </c>
      <c r="F241" s="121" t="s">
        <v>440</v>
      </c>
      <c r="G241" s="122" t="s">
        <v>243</v>
      </c>
      <c r="H241" s="123">
        <v>1</v>
      </c>
      <c r="I241" s="124">
        <v>4644</v>
      </c>
      <c r="J241" s="124">
        <f t="shared" ref="J241:J278" si="34">ROUND(I241*H241,2)</f>
        <v>4644</v>
      </c>
      <c r="K241" s="121" t="s">
        <v>1</v>
      </c>
      <c r="L241" s="24"/>
      <c r="M241" s="125" t="s">
        <v>1</v>
      </c>
      <c r="N241" s="126" t="s">
        <v>32</v>
      </c>
      <c r="O241" s="127">
        <v>0</v>
      </c>
      <c r="P241" s="127">
        <f t="shared" ref="P241:P278" si="35">O241*H241</f>
        <v>0</v>
      </c>
      <c r="Q241" s="127">
        <v>0</v>
      </c>
      <c r="R241" s="127">
        <f t="shared" ref="R241:R278" si="36">Q241*H241</f>
        <v>0</v>
      </c>
      <c r="S241" s="127">
        <v>0</v>
      </c>
      <c r="T241" s="128">
        <f t="shared" ref="T241:T278" si="37">S241*H241</f>
        <v>0</v>
      </c>
      <c r="W241" s="199"/>
      <c r="X241" s="119" t="s">
        <v>438</v>
      </c>
      <c r="Y241" s="119" t="s">
        <v>231</v>
      </c>
      <c r="Z241" s="120" t="s">
        <v>439</v>
      </c>
      <c r="AA241" s="121" t="s">
        <v>440</v>
      </c>
      <c r="AB241" s="122" t="s">
        <v>243</v>
      </c>
      <c r="AC241" s="123">
        <v>1</v>
      </c>
      <c r="AD241" s="124">
        <v>4644</v>
      </c>
      <c r="AE241" s="200">
        <f t="shared" ref="AE241:AE278" si="38">ROUND(AD241*AC241,2)</f>
        <v>4644</v>
      </c>
      <c r="AF241" s="956"/>
      <c r="AG241" s="407"/>
      <c r="AR241" s="129" t="s">
        <v>235</v>
      </c>
      <c r="AT241" s="129" t="s">
        <v>231</v>
      </c>
      <c r="AU241" s="129" t="s">
        <v>76</v>
      </c>
      <c r="AY241" s="13" t="s">
        <v>228</v>
      </c>
      <c r="BE241" s="130">
        <f t="shared" ref="BE241:BE278" si="39">IF(N241="základná",J241,0)</f>
        <v>0</v>
      </c>
      <c r="BF241" s="130">
        <f t="shared" ref="BF241:BF278" si="40">IF(N241="znížená",J241,0)</f>
        <v>4644</v>
      </c>
      <c r="BG241" s="130">
        <f t="shared" ref="BG241:BG278" si="41">IF(N241="zákl. prenesená",J241,0)</f>
        <v>0</v>
      </c>
      <c r="BH241" s="130">
        <f t="shared" ref="BH241:BH278" si="42">IF(N241="zníž. prenesená",J241,0)</f>
        <v>0</v>
      </c>
      <c r="BI241" s="130">
        <f t="shared" ref="BI241:BI278" si="43">IF(N241="nulová",J241,0)</f>
        <v>0</v>
      </c>
      <c r="BJ241" s="13" t="s">
        <v>76</v>
      </c>
      <c r="BK241" s="130">
        <f t="shared" ref="BK241:BK278" si="44">ROUND(I241*H241,2)</f>
        <v>4644</v>
      </c>
      <c r="BL241" s="13" t="s">
        <v>235</v>
      </c>
      <c r="BM241" s="129" t="s">
        <v>441</v>
      </c>
    </row>
    <row r="242" spans="2:65" s="648" customFormat="1" ht="27" customHeight="1" x14ac:dyDescent="0.2">
      <c r="B242" s="118"/>
      <c r="C242" s="1234" t="s">
        <v>5205</v>
      </c>
      <c r="D242" s="1235"/>
      <c r="E242" s="1235"/>
      <c r="F242" s="1235"/>
      <c r="G242" s="1235"/>
      <c r="H242" s="1235"/>
      <c r="I242" s="1235"/>
      <c r="J242" s="1236"/>
      <c r="K242" s="121"/>
      <c r="L242" s="24"/>
      <c r="M242" s="125"/>
      <c r="N242" s="126"/>
      <c r="O242" s="127"/>
      <c r="P242" s="127"/>
      <c r="Q242" s="127"/>
      <c r="R242" s="127"/>
      <c r="S242" s="127"/>
      <c r="T242" s="128"/>
      <c r="W242" s="199"/>
      <c r="X242" s="207" t="s">
        <v>5403</v>
      </c>
      <c r="Y242" s="207" t="s">
        <v>231</v>
      </c>
      <c r="Z242" s="208" t="s">
        <v>439</v>
      </c>
      <c r="AA242" s="209" t="s">
        <v>440</v>
      </c>
      <c r="AB242" s="210" t="s">
        <v>243</v>
      </c>
      <c r="AC242" s="211">
        <v>1</v>
      </c>
      <c r="AD242" s="212">
        <v>750</v>
      </c>
      <c r="AE242" s="214">
        <f t="shared" ref="AE242" si="45">ROUND(AD242*AC242,2)</f>
        <v>750</v>
      </c>
      <c r="AF242" s="956">
        <v>14</v>
      </c>
      <c r="AG242" s="407"/>
      <c r="AR242" s="129"/>
      <c r="AT242" s="129"/>
      <c r="AU242" s="129"/>
      <c r="AY242" s="13"/>
      <c r="BE242" s="130"/>
      <c r="BF242" s="130"/>
      <c r="BG242" s="130"/>
      <c r="BH242" s="130"/>
      <c r="BI242" s="130"/>
      <c r="BJ242" s="13"/>
      <c r="BK242" s="130"/>
      <c r="BL242" s="13"/>
      <c r="BM242" s="129"/>
    </row>
    <row r="243" spans="2:65" s="1" customFormat="1" ht="24" customHeight="1" x14ac:dyDescent="0.2">
      <c r="B243" s="118"/>
      <c r="C243" s="119" t="s">
        <v>337</v>
      </c>
      <c r="D243" s="119" t="s">
        <v>231</v>
      </c>
      <c r="E243" s="120" t="s">
        <v>442</v>
      </c>
      <c r="F243" s="121" t="s">
        <v>443</v>
      </c>
      <c r="G243" s="122" t="s">
        <v>243</v>
      </c>
      <c r="H243" s="123">
        <v>20</v>
      </c>
      <c r="I243" s="124">
        <v>2.3199999999999998</v>
      </c>
      <c r="J243" s="124">
        <f t="shared" si="34"/>
        <v>46.4</v>
      </c>
      <c r="K243" s="121" t="s">
        <v>1</v>
      </c>
      <c r="L243" s="24"/>
      <c r="M243" s="125" t="s">
        <v>1</v>
      </c>
      <c r="N243" s="126" t="s">
        <v>32</v>
      </c>
      <c r="O243" s="127">
        <v>0</v>
      </c>
      <c r="P243" s="127">
        <f t="shared" si="35"/>
        <v>0</v>
      </c>
      <c r="Q243" s="127">
        <v>0</v>
      </c>
      <c r="R243" s="127">
        <f t="shared" si="36"/>
        <v>0</v>
      </c>
      <c r="S243" s="127">
        <v>0</v>
      </c>
      <c r="T243" s="128">
        <f t="shared" si="37"/>
        <v>0</v>
      </c>
      <c r="W243" s="199"/>
      <c r="X243" s="119" t="s">
        <v>337</v>
      </c>
      <c r="Y243" s="119" t="s">
        <v>231</v>
      </c>
      <c r="Z243" s="120" t="s">
        <v>442</v>
      </c>
      <c r="AA243" s="121" t="s">
        <v>443</v>
      </c>
      <c r="AB243" s="122" t="s">
        <v>243</v>
      </c>
      <c r="AC243" s="123">
        <v>20</v>
      </c>
      <c r="AD243" s="124">
        <v>2.3199999999999998</v>
      </c>
      <c r="AE243" s="200">
        <f t="shared" si="38"/>
        <v>46.4</v>
      </c>
      <c r="AF243" s="956"/>
      <c r="AG243" s="407"/>
      <c r="AR243" s="129" t="s">
        <v>235</v>
      </c>
      <c r="AT243" s="129" t="s">
        <v>231</v>
      </c>
      <c r="AU243" s="129" t="s">
        <v>76</v>
      </c>
      <c r="AY243" s="13" t="s">
        <v>228</v>
      </c>
      <c r="BE243" s="130">
        <f t="shared" si="39"/>
        <v>0</v>
      </c>
      <c r="BF243" s="130">
        <f t="shared" si="40"/>
        <v>46.4</v>
      </c>
      <c r="BG243" s="130">
        <f t="shared" si="41"/>
        <v>0</v>
      </c>
      <c r="BH243" s="130">
        <f t="shared" si="42"/>
        <v>0</v>
      </c>
      <c r="BI243" s="130">
        <f t="shared" si="43"/>
        <v>0</v>
      </c>
      <c r="BJ243" s="13" t="s">
        <v>76</v>
      </c>
      <c r="BK243" s="130">
        <f t="shared" si="44"/>
        <v>46.4</v>
      </c>
      <c r="BL243" s="13" t="s">
        <v>235</v>
      </c>
      <c r="BM243" s="129" t="s">
        <v>444</v>
      </c>
    </row>
    <row r="244" spans="2:65" s="1" customFormat="1" ht="24" customHeight="1" x14ac:dyDescent="0.2">
      <c r="B244" s="118"/>
      <c r="C244" s="119" t="s">
        <v>445</v>
      </c>
      <c r="D244" s="119" t="s">
        <v>231</v>
      </c>
      <c r="E244" s="120" t="s">
        <v>446</v>
      </c>
      <c r="F244" s="121" t="s">
        <v>447</v>
      </c>
      <c r="G244" s="122" t="s">
        <v>243</v>
      </c>
      <c r="H244" s="123">
        <v>7</v>
      </c>
      <c r="I244" s="124">
        <v>2.9</v>
      </c>
      <c r="J244" s="124">
        <f t="shared" si="34"/>
        <v>20.3</v>
      </c>
      <c r="K244" s="121" t="s">
        <v>1</v>
      </c>
      <c r="L244" s="24"/>
      <c r="M244" s="125" t="s">
        <v>1</v>
      </c>
      <c r="N244" s="126" t="s">
        <v>32</v>
      </c>
      <c r="O244" s="127">
        <v>0</v>
      </c>
      <c r="P244" s="127">
        <f t="shared" si="35"/>
        <v>0</v>
      </c>
      <c r="Q244" s="127">
        <v>0</v>
      </c>
      <c r="R244" s="127">
        <f t="shared" si="36"/>
        <v>0</v>
      </c>
      <c r="S244" s="127">
        <v>0</v>
      </c>
      <c r="T244" s="128">
        <f t="shared" si="37"/>
        <v>0</v>
      </c>
      <c r="W244" s="199"/>
      <c r="X244" s="119" t="s">
        <v>445</v>
      </c>
      <c r="Y244" s="119" t="s">
        <v>231</v>
      </c>
      <c r="Z244" s="120" t="s">
        <v>446</v>
      </c>
      <c r="AA244" s="121" t="s">
        <v>447</v>
      </c>
      <c r="AB244" s="122" t="s">
        <v>243</v>
      </c>
      <c r="AC244" s="123">
        <v>7</v>
      </c>
      <c r="AD244" s="124">
        <v>2.9</v>
      </c>
      <c r="AE244" s="200">
        <f t="shared" si="38"/>
        <v>20.3</v>
      </c>
      <c r="AF244" s="956"/>
      <c r="AG244" s="407"/>
      <c r="AR244" s="129" t="s">
        <v>235</v>
      </c>
      <c r="AT244" s="129" t="s">
        <v>231</v>
      </c>
      <c r="AU244" s="129" t="s">
        <v>76</v>
      </c>
      <c r="AY244" s="13" t="s">
        <v>228</v>
      </c>
      <c r="BE244" s="130">
        <f t="shared" si="39"/>
        <v>0</v>
      </c>
      <c r="BF244" s="130">
        <f t="shared" si="40"/>
        <v>20.3</v>
      </c>
      <c r="BG244" s="130">
        <f t="shared" si="41"/>
        <v>0</v>
      </c>
      <c r="BH244" s="130">
        <f t="shared" si="42"/>
        <v>0</v>
      </c>
      <c r="BI244" s="130">
        <f t="shared" si="43"/>
        <v>0</v>
      </c>
      <c r="BJ244" s="13" t="s">
        <v>76</v>
      </c>
      <c r="BK244" s="130">
        <f t="shared" si="44"/>
        <v>20.3</v>
      </c>
      <c r="BL244" s="13" t="s">
        <v>235</v>
      </c>
      <c r="BM244" s="129" t="s">
        <v>448</v>
      </c>
    </row>
    <row r="245" spans="2:65" s="1" customFormat="1" ht="24" customHeight="1" x14ac:dyDescent="0.2">
      <c r="B245" s="118"/>
      <c r="C245" s="119" t="s">
        <v>340</v>
      </c>
      <c r="D245" s="119" t="s">
        <v>231</v>
      </c>
      <c r="E245" s="120" t="s">
        <v>449</v>
      </c>
      <c r="F245" s="121" t="s">
        <v>450</v>
      </c>
      <c r="G245" s="122" t="s">
        <v>284</v>
      </c>
      <c r="H245" s="123">
        <v>5.4249999999999998</v>
      </c>
      <c r="I245" s="124">
        <v>2.3199999999999998</v>
      </c>
      <c r="J245" s="124">
        <f t="shared" si="34"/>
        <v>12.59</v>
      </c>
      <c r="K245" s="121" t="s">
        <v>1</v>
      </c>
      <c r="L245" s="24"/>
      <c r="M245" s="125" t="s">
        <v>1</v>
      </c>
      <c r="N245" s="126" t="s">
        <v>32</v>
      </c>
      <c r="O245" s="127">
        <v>0.24399999999999999</v>
      </c>
      <c r="P245" s="127">
        <f t="shared" si="35"/>
        <v>1.3236999999999999</v>
      </c>
      <c r="Q245" s="127">
        <v>0</v>
      </c>
      <c r="R245" s="127">
        <f t="shared" si="36"/>
        <v>0</v>
      </c>
      <c r="S245" s="127">
        <v>0.18</v>
      </c>
      <c r="T245" s="128">
        <f t="shared" si="37"/>
        <v>0.97649999999999992</v>
      </c>
      <c r="W245" s="199"/>
      <c r="X245" s="119" t="s">
        <v>340</v>
      </c>
      <c r="Y245" s="119" t="s">
        <v>231</v>
      </c>
      <c r="Z245" s="120" t="s">
        <v>449</v>
      </c>
      <c r="AA245" s="121" t="s">
        <v>450</v>
      </c>
      <c r="AB245" s="122" t="s">
        <v>284</v>
      </c>
      <c r="AC245" s="123">
        <v>5.4249999999999998</v>
      </c>
      <c r="AD245" s="124">
        <v>2.3199999999999998</v>
      </c>
      <c r="AE245" s="200">
        <f t="shared" si="38"/>
        <v>12.59</v>
      </c>
      <c r="AF245" s="956"/>
      <c r="AG245" s="407"/>
      <c r="AR245" s="129" t="s">
        <v>235</v>
      </c>
      <c r="AT245" s="129" t="s">
        <v>231</v>
      </c>
      <c r="AU245" s="129" t="s">
        <v>76</v>
      </c>
      <c r="AY245" s="13" t="s">
        <v>228</v>
      </c>
      <c r="BE245" s="130">
        <f t="shared" si="39"/>
        <v>0</v>
      </c>
      <c r="BF245" s="130">
        <f t="shared" si="40"/>
        <v>12.59</v>
      </c>
      <c r="BG245" s="130">
        <f t="shared" si="41"/>
        <v>0</v>
      </c>
      <c r="BH245" s="130">
        <f t="shared" si="42"/>
        <v>0</v>
      </c>
      <c r="BI245" s="130">
        <f t="shared" si="43"/>
        <v>0</v>
      </c>
      <c r="BJ245" s="13" t="s">
        <v>76</v>
      </c>
      <c r="BK245" s="130">
        <f t="shared" si="44"/>
        <v>12.59</v>
      </c>
      <c r="BL245" s="13" t="s">
        <v>235</v>
      </c>
      <c r="BM245" s="129" t="s">
        <v>451</v>
      </c>
    </row>
    <row r="246" spans="2:65" s="1" customFormat="1" ht="24" customHeight="1" x14ac:dyDescent="0.2">
      <c r="B246" s="118"/>
      <c r="C246" s="119" t="s">
        <v>452</v>
      </c>
      <c r="D246" s="119" t="s">
        <v>231</v>
      </c>
      <c r="E246" s="120" t="s">
        <v>453</v>
      </c>
      <c r="F246" s="121" t="s">
        <v>454</v>
      </c>
      <c r="G246" s="122" t="s">
        <v>284</v>
      </c>
      <c r="H246" s="123">
        <v>6.2229999999999999</v>
      </c>
      <c r="I246" s="124">
        <v>4.0599999999999996</v>
      </c>
      <c r="J246" s="124">
        <f t="shared" si="34"/>
        <v>25.27</v>
      </c>
      <c r="K246" s="121" t="s">
        <v>1</v>
      </c>
      <c r="L246" s="24"/>
      <c r="M246" s="125" t="s">
        <v>1</v>
      </c>
      <c r="N246" s="126" t="s">
        <v>32</v>
      </c>
      <c r="O246" s="127">
        <v>0.35899999999999999</v>
      </c>
      <c r="P246" s="127">
        <f t="shared" si="35"/>
        <v>2.234057</v>
      </c>
      <c r="Q246" s="127">
        <v>0</v>
      </c>
      <c r="R246" s="127">
        <f t="shared" si="36"/>
        <v>0</v>
      </c>
      <c r="S246" s="127">
        <v>0.27</v>
      </c>
      <c r="T246" s="128">
        <f t="shared" si="37"/>
        <v>1.68021</v>
      </c>
      <c r="W246" s="199"/>
      <c r="X246" s="119" t="s">
        <v>452</v>
      </c>
      <c r="Y246" s="119" t="s">
        <v>231</v>
      </c>
      <c r="Z246" s="120" t="s">
        <v>453</v>
      </c>
      <c r="AA246" s="121" t="s">
        <v>454</v>
      </c>
      <c r="AB246" s="122" t="s">
        <v>284</v>
      </c>
      <c r="AC246" s="123">
        <v>6.2229999999999999</v>
      </c>
      <c r="AD246" s="124">
        <v>4.0599999999999996</v>
      </c>
      <c r="AE246" s="200">
        <f t="shared" si="38"/>
        <v>25.27</v>
      </c>
      <c r="AF246" s="956"/>
      <c r="AG246" s="407"/>
      <c r="AR246" s="129" t="s">
        <v>235</v>
      </c>
      <c r="AT246" s="129" t="s">
        <v>231</v>
      </c>
      <c r="AU246" s="129" t="s">
        <v>76</v>
      </c>
      <c r="AY246" s="13" t="s">
        <v>228</v>
      </c>
      <c r="BE246" s="130">
        <f t="shared" si="39"/>
        <v>0</v>
      </c>
      <c r="BF246" s="130">
        <f t="shared" si="40"/>
        <v>25.27</v>
      </c>
      <c r="BG246" s="130">
        <f t="shared" si="41"/>
        <v>0</v>
      </c>
      <c r="BH246" s="130">
        <f t="shared" si="42"/>
        <v>0</v>
      </c>
      <c r="BI246" s="130">
        <f t="shared" si="43"/>
        <v>0</v>
      </c>
      <c r="BJ246" s="13" t="s">
        <v>76</v>
      </c>
      <c r="BK246" s="130">
        <f t="shared" si="44"/>
        <v>25.27</v>
      </c>
      <c r="BL246" s="13" t="s">
        <v>235</v>
      </c>
      <c r="BM246" s="129" t="s">
        <v>455</v>
      </c>
    </row>
    <row r="247" spans="2:65" s="1" customFormat="1" ht="24" customHeight="1" x14ac:dyDescent="0.2">
      <c r="B247" s="118"/>
      <c r="C247" s="119" t="s">
        <v>344</v>
      </c>
      <c r="D247" s="119" t="s">
        <v>231</v>
      </c>
      <c r="E247" s="120" t="s">
        <v>456</v>
      </c>
      <c r="F247" s="121" t="s">
        <v>457</v>
      </c>
      <c r="G247" s="122" t="s">
        <v>243</v>
      </c>
      <c r="H247" s="123">
        <v>4</v>
      </c>
      <c r="I247" s="124">
        <v>4.6399999999999997</v>
      </c>
      <c r="J247" s="124">
        <f t="shared" si="34"/>
        <v>18.559999999999999</v>
      </c>
      <c r="K247" s="121" t="s">
        <v>1</v>
      </c>
      <c r="L247" s="24"/>
      <c r="M247" s="125" t="s">
        <v>1</v>
      </c>
      <c r="N247" s="126" t="s">
        <v>32</v>
      </c>
      <c r="O247" s="127">
        <v>0</v>
      </c>
      <c r="P247" s="127">
        <f t="shared" si="35"/>
        <v>0</v>
      </c>
      <c r="Q247" s="127">
        <v>0</v>
      </c>
      <c r="R247" s="127">
        <f t="shared" si="36"/>
        <v>0</v>
      </c>
      <c r="S247" s="127">
        <v>0</v>
      </c>
      <c r="T247" s="128">
        <f t="shared" si="37"/>
        <v>0</v>
      </c>
      <c r="W247" s="199"/>
      <c r="X247" s="119" t="s">
        <v>344</v>
      </c>
      <c r="Y247" s="119" t="s">
        <v>231</v>
      </c>
      <c r="Z247" s="120" t="s">
        <v>456</v>
      </c>
      <c r="AA247" s="121" t="s">
        <v>457</v>
      </c>
      <c r="AB247" s="122" t="s">
        <v>243</v>
      </c>
      <c r="AC247" s="123">
        <v>4</v>
      </c>
      <c r="AD247" s="124">
        <v>4.6399999999999997</v>
      </c>
      <c r="AE247" s="200">
        <f t="shared" si="38"/>
        <v>18.559999999999999</v>
      </c>
      <c r="AF247" s="956"/>
      <c r="AG247" s="407"/>
      <c r="AR247" s="129" t="s">
        <v>235</v>
      </c>
      <c r="AT247" s="129" t="s">
        <v>231</v>
      </c>
      <c r="AU247" s="129" t="s">
        <v>76</v>
      </c>
      <c r="AY247" s="13" t="s">
        <v>228</v>
      </c>
      <c r="BE247" s="130">
        <f t="shared" si="39"/>
        <v>0</v>
      </c>
      <c r="BF247" s="130">
        <f t="shared" si="40"/>
        <v>18.559999999999999</v>
      </c>
      <c r="BG247" s="130">
        <f t="shared" si="41"/>
        <v>0</v>
      </c>
      <c r="BH247" s="130">
        <f t="shared" si="42"/>
        <v>0</v>
      </c>
      <c r="BI247" s="130">
        <f t="shared" si="43"/>
        <v>0</v>
      </c>
      <c r="BJ247" s="13" t="s">
        <v>76</v>
      </c>
      <c r="BK247" s="130">
        <f t="shared" si="44"/>
        <v>18.559999999999999</v>
      </c>
      <c r="BL247" s="13" t="s">
        <v>235</v>
      </c>
      <c r="BM247" s="129" t="s">
        <v>458</v>
      </c>
    </row>
    <row r="248" spans="2:65" s="1" customFormat="1" ht="24" customHeight="1" x14ac:dyDescent="0.2">
      <c r="B248" s="118"/>
      <c r="C248" s="119" t="s">
        <v>459</v>
      </c>
      <c r="D248" s="119" t="s">
        <v>231</v>
      </c>
      <c r="E248" s="120" t="s">
        <v>460</v>
      </c>
      <c r="F248" s="121" t="s">
        <v>461</v>
      </c>
      <c r="G248" s="122" t="s">
        <v>243</v>
      </c>
      <c r="H248" s="123">
        <v>2</v>
      </c>
      <c r="I248" s="124">
        <v>8.1300000000000008</v>
      </c>
      <c r="J248" s="124">
        <f t="shared" si="34"/>
        <v>16.260000000000002</v>
      </c>
      <c r="K248" s="121" t="s">
        <v>1</v>
      </c>
      <c r="L248" s="24"/>
      <c r="M248" s="125" t="s">
        <v>1</v>
      </c>
      <c r="N248" s="126" t="s">
        <v>32</v>
      </c>
      <c r="O248" s="127">
        <v>0</v>
      </c>
      <c r="P248" s="127">
        <f t="shared" si="35"/>
        <v>0</v>
      </c>
      <c r="Q248" s="127">
        <v>0</v>
      </c>
      <c r="R248" s="127">
        <f t="shared" si="36"/>
        <v>0</v>
      </c>
      <c r="S248" s="127">
        <v>0</v>
      </c>
      <c r="T248" s="128">
        <f t="shared" si="37"/>
        <v>0</v>
      </c>
      <c r="W248" s="199"/>
      <c r="X248" s="119" t="s">
        <v>459</v>
      </c>
      <c r="Y248" s="119" t="s">
        <v>231</v>
      </c>
      <c r="Z248" s="120" t="s">
        <v>460</v>
      </c>
      <c r="AA248" s="121" t="s">
        <v>461</v>
      </c>
      <c r="AB248" s="122" t="s">
        <v>243</v>
      </c>
      <c r="AC248" s="123">
        <v>2</v>
      </c>
      <c r="AD248" s="124">
        <v>8.1300000000000008</v>
      </c>
      <c r="AE248" s="200">
        <f t="shared" si="38"/>
        <v>16.260000000000002</v>
      </c>
      <c r="AF248" s="956"/>
      <c r="AG248" s="407"/>
      <c r="AR248" s="129" t="s">
        <v>235</v>
      </c>
      <c r="AT248" s="129" t="s">
        <v>231</v>
      </c>
      <c r="AU248" s="129" t="s">
        <v>76</v>
      </c>
      <c r="AY248" s="13" t="s">
        <v>228</v>
      </c>
      <c r="BE248" s="130">
        <f t="shared" si="39"/>
        <v>0</v>
      </c>
      <c r="BF248" s="130">
        <f t="shared" si="40"/>
        <v>16.260000000000002</v>
      </c>
      <c r="BG248" s="130">
        <f t="shared" si="41"/>
        <v>0</v>
      </c>
      <c r="BH248" s="130">
        <f t="shared" si="42"/>
        <v>0</v>
      </c>
      <c r="BI248" s="130">
        <f t="shared" si="43"/>
        <v>0</v>
      </c>
      <c r="BJ248" s="13" t="s">
        <v>76</v>
      </c>
      <c r="BK248" s="130">
        <f t="shared" si="44"/>
        <v>16.260000000000002</v>
      </c>
      <c r="BL248" s="13" t="s">
        <v>235</v>
      </c>
      <c r="BM248" s="129" t="s">
        <v>462</v>
      </c>
    </row>
    <row r="249" spans="2:65" s="1" customFormat="1" ht="24" customHeight="1" x14ac:dyDescent="0.2">
      <c r="B249" s="118"/>
      <c r="C249" s="205" t="s">
        <v>347</v>
      </c>
      <c r="D249" s="119" t="s">
        <v>231</v>
      </c>
      <c r="E249" s="120" t="s">
        <v>463</v>
      </c>
      <c r="F249" s="121" t="s">
        <v>464</v>
      </c>
      <c r="G249" s="122" t="s">
        <v>243</v>
      </c>
      <c r="H249" s="206">
        <v>4</v>
      </c>
      <c r="I249" s="124">
        <v>16.25</v>
      </c>
      <c r="J249" s="124">
        <f t="shared" si="34"/>
        <v>65</v>
      </c>
      <c r="K249" s="121" t="s">
        <v>1</v>
      </c>
      <c r="L249" s="24"/>
      <c r="M249" s="125" t="s">
        <v>1</v>
      </c>
      <c r="N249" s="126" t="s">
        <v>32</v>
      </c>
      <c r="O249" s="127">
        <v>0</v>
      </c>
      <c r="P249" s="127">
        <f t="shared" si="35"/>
        <v>0</v>
      </c>
      <c r="Q249" s="127">
        <v>0</v>
      </c>
      <c r="R249" s="127">
        <f t="shared" si="36"/>
        <v>0</v>
      </c>
      <c r="S249" s="127">
        <v>0</v>
      </c>
      <c r="T249" s="128">
        <f t="shared" si="37"/>
        <v>0</v>
      </c>
      <c r="W249" s="199"/>
      <c r="X249" s="205" t="s">
        <v>347</v>
      </c>
      <c r="Y249" s="119" t="s">
        <v>231</v>
      </c>
      <c r="Z249" s="120" t="s">
        <v>463</v>
      </c>
      <c r="AA249" s="121" t="s">
        <v>464</v>
      </c>
      <c r="AB249" s="122" t="s">
        <v>243</v>
      </c>
      <c r="AC249" s="206">
        <f>4+1</f>
        <v>5</v>
      </c>
      <c r="AD249" s="124">
        <v>16.25</v>
      </c>
      <c r="AE249" s="200">
        <f t="shared" si="38"/>
        <v>81.25</v>
      </c>
      <c r="AF249" s="956">
        <v>14</v>
      </c>
      <c r="AG249" s="407"/>
      <c r="AR249" s="129" t="s">
        <v>235</v>
      </c>
      <c r="AT249" s="129" t="s">
        <v>231</v>
      </c>
      <c r="AU249" s="129" t="s">
        <v>76</v>
      </c>
      <c r="AY249" s="13" t="s">
        <v>228</v>
      </c>
      <c r="BE249" s="130">
        <f t="shared" si="39"/>
        <v>0</v>
      </c>
      <c r="BF249" s="130">
        <f t="shared" si="40"/>
        <v>65</v>
      </c>
      <c r="BG249" s="130">
        <f t="shared" si="41"/>
        <v>0</v>
      </c>
      <c r="BH249" s="130">
        <f t="shared" si="42"/>
        <v>0</v>
      </c>
      <c r="BI249" s="130">
        <f t="shared" si="43"/>
        <v>0</v>
      </c>
      <c r="BJ249" s="13" t="s">
        <v>76</v>
      </c>
      <c r="BK249" s="130">
        <f t="shared" si="44"/>
        <v>65</v>
      </c>
      <c r="BL249" s="13" t="s">
        <v>235</v>
      </c>
      <c r="BM249" s="129" t="s">
        <v>465</v>
      </c>
    </row>
    <row r="250" spans="2:65" s="1" customFormat="1" ht="24" customHeight="1" x14ac:dyDescent="0.2">
      <c r="B250" s="118"/>
      <c r="C250" s="205" t="s">
        <v>466</v>
      </c>
      <c r="D250" s="119" t="s">
        <v>231</v>
      </c>
      <c r="E250" s="120" t="s">
        <v>467</v>
      </c>
      <c r="F250" s="121" t="s">
        <v>468</v>
      </c>
      <c r="G250" s="122" t="s">
        <v>243</v>
      </c>
      <c r="H250" s="206">
        <v>1</v>
      </c>
      <c r="I250" s="124">
        <v>18.579999999999998</v>
      </c>
      <c r="J250" s="124">
        <f t="shared" si="34"/>
        <v>18.579999999999998</v>
      </c>
      <c r="K250" s="121" t="s">
        <v>1</v>
      </c>
      <c r="L250" s="24"/>
      <c r="M250" s="125" t="s">
        <v>1</v>
      </c>
      <c r="N250" s="126" t="s">
        <v>32</v>
      </c>
      <c r="O250" s="127">
        <v>0</v>
      </c>
      <c r="P250" s="127">
        <f t="shared" si="35"/>
        <v>0</v>
      </c>
      <c r="Q250" s="127">
        <v>0</v>
      </c>
      <c r="R250" s="127">
        <f t="shared" si="36"/>
        <v>0</v>
      </c>
      <c r="S250" s="127">
        <v>0</v>
      </c>
      <c r="T250" s="128">
        <f t="shared" si="37"/>
        <v>0</v>
      </c>
      <c r="W250" s="199"/>
      <c r="X250" s="205" t="s">
        <v>466</v>
      </c>
      <c r="Y250" s="119" t="s">
        <v>231</v>
      </c>
      <c r="Z250" s="120" t="s">
        <v>467</v>
      </c>
      <c r="AA250" s="121" t="s">
        <v>468</v>
      </c>
      <c r="AB250" s="122" t="s">
        <v>243</v>
      </c>
      <c r="AC250" s="206">
        <f>1+1</f>
        <v>2</v>
      </c>
      <c r="AD250" s="124">
        <v>18.579999999999998</v>
      </c>
      <c r="AE250" s="200">
        <f t="shared" si="38"/>
        <v>37.159999999999997</v>
      </c>
      <c r="AF250" s="956">
        <v>14</v>
      </c>
      <c r="AG250" s="407"/>
      <c r="AR250" s="129" t="s">
        <v>235</v>
      </c>
      <c r="AT250" s="129" t="s">
        <v>231</v>
      </c>
      <c r="AU250" s="129" t="s">
        <v>76</v>
      </c>
      <c r="AY250" s="13" t="s">
        <v>228</v>
      </c>
      <c r="BE250" s="130">
        <f t="shared" si="39"/>
        <v>0</v>
      </c>
      <c r="BF250" s="130">
        <f t="shared" si="40"/>
        <v>18.579999999999998</v>
      </c>
      <c r="BG250" s="130">
        <f t="shared" si="41"/>
        <v>0</v>
      </c>
      <c r="BH250" s="130">
        <f t="shared" si="42"/>
        <v>0</v>
      </c>
      <c r="BI250" s="130">
        <f t="shared" si="43"/>
        <v>0</v>
      </c>
      <c r="BJ250" s="13" t="s">
        <v>76</v>
      </c>
      <c r="BK250" s="130">
        <f t="shared" si="44"/>
        <v>18.579999999999998</v>
      </c>
      <c r="BL250" s="13" t="s">
        <v>235</v>
      </c>
      <c r="BM250" s="129" t="s">
        <v>469</v>
      </c>
    </row>
    <row r="251" spans="2:65" s="1" customFormat="1" ht="24" customHeight="1" x14ac:dyDescent="0.2">
      <c r="B251" s="118"/>
      <c r="C251" s="205" t="s">
        <v>351</v>
      </c>
      <c r="D251" s="119" t="s">
        <v>231</v>
      </c>
      <c r="E251" s="120" t="s">
        <v>470</v>
      </c>
      <c r="F251" s="121" t="s">
        <v>471</v>
      </c>
      <c r="G251" s="122" t="s">
        <v>243</v>
      </c>
      <c r="H251" s="206">
        <v>12</v>
      </c>
      <c r="I251" s="124">
        <v>13.93</v>
      </c>
      <c r="J251" s="124">
        <f t="shared" si="34"/>
        <v>167.16</v>
      </c>
      <c r="K251" s="121" t="s">
        <v>1</v>
      </c>
      <c r="L251" s="24"/>
      <c r="M251" s="125" t="s">
        <v>1</v>
      </c>
      <c r="N251" s="126" t="s">
        <v>32</v>
      </c>
      <c r="O251" s="127">
        <v>0</v>
      </c>
      <c r="P251" s="127">
        <f t="shared" si="35"/>
        <v>0</v>
      </c>
      <c r="Q251" s="127">
        <v>0</v>
      </c>
      <c r="R251" s="127">
        <f t="shared" si="36"/>
        <v>0</v>
      </c>
      <c r="S251" s="127">
        <v>0</v>
      </c>
      <c r="T251" s="128">
        <f t="shared" si="37"/>
        <v>0</v>
      </c>
      <c r="W251" s="199"/>
      <c r="X251" s="205" t="s">
        <v>351</v>
      </c>
      <c r="Y251" s="119" t="s">
        <v>231</v>
      </c>
      <c r="Z251" s="120" t="s">
        <v>470</v>
      </c>
      <c r="AA251" s="121" t="s">
        <v>471</v>
      </c>
      <c r="AB251" s="122" t="s">
        <v>243</v>
      </c>
      <c r="AC251" s="206">
        <f>12+3</f>
        <v>15</v>
      </c>
      <c r="AD251" s="124">
        <v>13.93</v>
      </c>
      <c r="AE251" s="200">
        <f t="shared" si="38"/>
        <v>208.95</v>
      </c>
      <c r="AF251" s="956">
        <v>14</v>
      </c>
      <c r="AG251" s="407"/>
      <c r="AR251" s="129" t="s">
        <v>235</v>
      </c>
      <c r="AT251" s="129" t="s">
        <v>231</v>
      </c>
      <c r="AU251" s="129" t="s">
        <v>76</v>
      </c>
      <c r="AY251" s="13" t="s">
        <v>228</v>
      </c>
      <c r="BE251" s="130">
        <f t="shared" si="39"/>
        <v>0</v>
      </c>
      <c r="BF251" s="130">
        <f t="shared" si="40"/>
        <v>167.16</v>
      </c>
      <c r="BG251" s="130">
        <f t="shared" si="41"/>
        <v>0</v>
      </c>
      <c r="BH251" s="130">
        <f t="shared" si="42"/>
        <v>0</v>
      </c>
      <c r="BI251" s="130">
        <f t="shared" si="43"/>
        <v>0</v>
      </c>
      <c r="BJ251" s="13" t="s">
        <v>76</v>
      </c>
      <c r="BK251" s="130">
        <f t="shared" si="44"/>
        <v>167.16</v>
      </c>
      <c r="BL251" s="13" t="s">
        <v>235</v>
      </c>
      <c r="BM251" s="129" t="s">
        <v>472</v>
      </c>
    </row>
    <row r="252" spans="2:65" s="1" customFormat="1" ht="24" customHeight="1" x14ac:dyDescent="0.2">
      <c r="B252" s="118"/>
      <c r="C252" s="205" t="s">
        <v>473</v>
      </c>
      <c r="D252" s="119" t="s">
        <v>231</v>
      </c>
      <c r="E252" s="120" t="s">
        <v>474</v>
      </c>
      <c r="F252" s="121" t="s">
        <v>475</v>
      </c>
      <c r="G252" s="122" t="s">
        <v>243</v>
      </c>
      <c r="H252" s="206">
        <v>6</v>
      </c>
      <c r="I252" s="124">
        <v>23.22</v>
      </c>
      <c r="J252" s="124">
        <f t="shared" si="34"/>
        <v>139.32</v>
      </c>
      <c r="K252" s="121" t="s">
        <v>1</v>
      </c>
      <c r="L252" s="24"/>
      <c r="M252" s="125" t="s">
        <v>1</v>
      </c>
      <c r="N252" s="126" t="s">
        <v>32</v>
      </c>
      <c r="O252" s="127">
        <v>0</v>
      </c>
      <c r="P252" s="127">
        <f t="shared" si="35"/>
        <v>0</v>
      </c>
      <c r="Q252" s="127">
        <v>0</v>
      </c>
      <c r="R252" s="127">
        <f t="shared" si="36"/>
        <v>0</v>
      </c>
      <c r="S252" s="127">
        <v>0</v>
      </c>
      <c r="T252" s="128">
        <f t="shared" si="37"/>
        <v>0</v>
      </c>
      <c r="W252" s="199"/>
      <c r="X252" s="205" t="s">
        <v>473</v>
      </c>
      <c r="Y252" s="119" t="s">
        <v>231</v>
      </c>
      <c r="Z252" s="120" t="s">
        <v>474</v>
      </c>
      <c r="AA252" s="121" t="s">
        <v>475</v>
      </c>
      <c r="AB252" s="122" t="s">
        <v>243</v>
      </c>
      <c r="AC252" s="206">
        <f>6+6</f>
        <v>12</v>
      </c>
      <c r="AD252" s="124">
        <v>23.22</v>
      </c>
      <c r="AE252" s="200">
        <f t="shared" si="38"/>
        <v>278.64</v>
      </c>
      <c r="AF252" s="956">
        <v>14</v>
      </c>
      <c r="AG252" s="407"/>
      <c r="AR252" s="129" t="s">
        <v>235</v>
      </c>
      <c r="AT252" s="129" t="s">
        <v>231</v>
      </c>
      <c r="AU252" s="129" t="s">
        <v>76</v>
      </c>
      <c r="AY252" s="13" t="s">
        <v>228</v>
      </c>
      <c r="BE252" s="130">
        <f t="shared" si="39"/>
        <v>0</v>
      </c>
      <c r="BF252" s="130">
        <f t="shared" si="40"/>
        <v>139.32</v>
      </c>
      <c r="BG252" s="130">
        <f t="shared" si="41"/>
        <v>0</v>
      </c>
      <c r="BH252" s="130">
        <f t="shared" si="42"/>
        <v>0</v>
      </c>
      <c r="BI252" s="130">
        <f t="shared" si="43"/>
        <v>0</v>
      </c>
      <c r="BJ252" s="13" t="s">
        <v>76</v>
      </c>
      <c r="BK252" s="130">
        <f t="shared" si="44"/>
        <v>139.32</v>
      </c>
      <c r="BL252" s="13" t="s">
        <v>235</v>
      </c>
      <c r="BM252" s="129" t="s">
        <v>476</v>
      </c>
    </row>
    <row r="253" spans="2:65" s="1" customFormat="1" ht="24" customHeight="1" x14ac:dyDescent="0.2">
      <c r="B253" s="118"/>
      <c r="C253" s="119" t="s">
        <v>354</v>
      </c>
      <c r="D253" s="119" t="s">
        <v>231</v>
      </c>
      <c r="E253" s="120" t="s">
        <v>477</v>
      </c>
      <c r="F253" s="121" t="s">
        <v>478</v>
      </c>
      <c r="G253" s="122" t="s">
        <v>243</v>
      </c>
      <c r="H253" s="123">
        <v>6</v>
      </c>
      <c r="I253" s="124">
        <v>34.83</v>
      </c>
      <c r="J253" s="124">
        <f t="shared" si="34"/>
        <v>208.98</v>
      </c>
      <c r="K253" s="121" t="s">
        <v>1</v>
      </c>
      <c r="L253" s="24"/>
      <c r="M253" s="125" t="s">
        <v>1</v>
      </c>
      <c r="N253" s="126" t="s">
        <v>32</v>
      </c>
      <c r="O253" s="127">
        <v>0</v>
      </c>
      <c r="P253" s="127">
        <f t="shared" si="35"/>
        <v>0</v>
      </c>
      <c r="Q253" s="127">
        <v>0</v>
      </c>
      <c r="R253" s="127">
        <f t="shared" si="36"/>
        <v>0</v>
      </c>
      <c r="S253" s="127">
        <v>0</v>
      </c>
      <c r="T253" s="128">
        <f t="shared" si="37"/>
        <v>0</v>
      </c>
      <c r="W253" s="199"/>
      <c r="X253" s="119" t="s">
        <v>354</v>
      </c>
      <c r="Y253" s="119" t="s">
        <v>231</v>
      </c>
      <c r="Z253" s="120" t="s">
        <v>477</v>
      </c>
      <c r="AA253" s="121" t="s">
        <v>478</v>
      </c>
      <c r="AB253" s="122" t="s">
        <v>243</v>
      </c>
      <c r="AC253" s="123">
        <v>6</v>
      </c>
      <c r="AD253" s="124">
        <v>34.83</v>
      </c>
      <c r="AE253" s="200">
        <f t="shared" si="38"/>
        <v>208.98</v>
      </c>
      <c r="AF253" s="956"/>
      <c r="AG253" s="407"/>
      <c r="AR253" s="129" t="s">
        <v>235</v>
      </c>
      <c r="AT253" s="129" t="s">
        <v>231</v>
      </c>
      <c r="AU253" s="129" t="s">
        <v>76</v>
      </c>
      <c r="AY253" s="13" t="s">
        <v>228</v>
      </c>
      <c r="BE253" s="130">
        <f t="shared" si="39"/>
        <v>0</v>
      </c>
      <c r="BF253" s="130">
        <f t="shared" si="40"/>
        <v>208.98</v>
      </c>
      <c r="BG253" s="130">
        <f t="shared" si="41"/>
        <v>0</v>
      </c>
      <c r="BH253" s="130">
        <f t="shared" si="42"/>
        <v>0</v>
      </c>
      <c r="BI253" s="130">
        <f t="shared" si="43"/>
        <v>0</v>
      </c>
      <c r="BJ253" s="13" t="s">
        <v>76</v>
      </c>
      <c r="BK253" s="130">
        <f t="shared" si="44"/>
        <v>208.98</v>
      </c>
      <c r="BL253" s="13" t="s">
        <v>235</v>
      </c>
      <c r="BM253" s="129" t="s">
        <v>479</v>
      </c>
    </row>
    <row r="254" spans="2:65" s="1" customFormat="1" ht="24" customHeight="1" x14ac:dyDescent="0.2">
      <c r="B254" s="118"/>
      <c r="C254" s="119" t="s">
        <v>480</v>
      </c>
      <c r="D254" s="119" t="s">
        <v>231</v>
      </c>
      <c r="E254" s="120" t="s">
        <v>481</v>
      </c>
      <c r="F254" s="121" t="s">
        <v>482</v>
      </c>
      <c r="G254" s="122" t="s">
        <v>234</v>
      </c>
      <c r="H254" s="123">
        <v>0.98199999999999998</v>
      </c>
      <c r="I254" s="124">
        <v>69.66</v>
      </c>
      <c r="J254" s="124">
        <f t="shared" si="34"/>
        <v>68.41</v>
      </c>
      <c r="K254" s="121" t="s">
        <v>1</v>
      </c>
      <c r="L254" s="24"/>
      <c r="M254" s="125" t="s">
        <v>1</v>
      </c>
      <c r="N254" s="126" t="s">
        <v>32</v>
      </c>
      <c r="O254" s="127">
        <v>0</v>
      </c>
      <c r="P254" s="127">
        <f t="shared" si="35"/>
        <v>0</v>
      </c>
      <c r="Q254" s="127">
        <v>0</v>
      </c>
      <c r="R254" s="127">
        <f t="shared" si="36"/>
        <v>0</v>
      </c>
      <c r="S254" s="127">
        <v>0</v>
      </c>
      <c r="T254" s="128">
        <f t="shared" si="37"/>
        <v>0</v>
      </c>
      <c r="W254" s="199"/>
      <c r="X254" s="119" t="s">
        <v>480</v>
      </c>
      <c r="Y254" s="119" t="s">
        <v>231</v>
      </c>
      <c r="Z254" s="120" t="s">
        <v>481</v>
      </c>
      <c r="AA254" s="121" t="s">
        <v>482</v>
      </c>
      <c r="AB254" s="122" t="s">
        <v>234</v>
      </c>
      <c r="AC254" s="123">
        <v>0.98199999999999998</v>
      </c>
      <c r="AD254" s="124">
        <v>69.66</v>
      </c>
      <c r="AE254" s="200">
        <f t="shared" si="38"/>
        <v>68.41</v>
      </c>
      <c r="AF254" s="956"/>
      <c r="AG254" s="407"/>
      <c r="AR254" s="129" t="s">
        <v>235</v>
      </c>
      <c r="AT254" s="129" t="s">
        <v>231</v>
      </c>
      <c r="AU254" s="129" t="s">
        <v>76</v>
      </c>
      <c r="AY254" s="13" t="s">
        <v>228</v>
      </c>
      <c r="BE254" s="130">
        <f t="shared" si="39"/>
        <v>0</v>
      </c>
      <c r="BF254" s="130">
        <f t="shared" si="40"/>
        <v>68.41</v>
      </c>
      <c r="BG254" s="130">
        <f t="shared" si="41"/>
        <v>0</v>
      </c>
      <c r="BH254" s="130">
        <f t="shared" si="42"/>
        <v>0</v>
      </c>
      <c r="BI254" s="130">
        <f t="shared" si="43"/>
        <v>0</v>
      </c>
      <c r="BJ254" s="13" t="s">
        <v>76</v>
      </c>
      <c r="BK254" s="130">
        <f t="shared" si="44"/>
        <v>68.41</v>
      </c>
      <c r="BL254" s="13" t="s">
        <v>235</v>
      </c>
      <c r="BM254" s="129" t="s">
        <v>483</v>
      </c>
    </row>
    <row r="255" spans="2:65" s="1" customFormat="1" ht="24" customHeight="1" x14ac:dyDescent="0.2">
      <c r="B255" s="118"/>
      <c r="C255" s="119" t="s">
        <v>358</v>
      </c>
      <c r="D255" s="119" t="s">
        <v>231</v>
      </c>
      <c r="E255" s="120" t="s">
        <v>484</v>
      </c>
      <c r="F255" s="121" t="s">
        <v>485</v>
      </c>
      <c r="G255" s="122" t="s">
        <v>234</v>
      </c>
      <c r="H255" s="123">
        <v>1.93</v>
      </c>
      <c r="I255" s="124">
        <v>87.08</v>
      </c>
      <c r="J255" s="124">
        <f t="shared" si="34"/>
        <v>168.06</v>
      </c>
      <c r="K255" s="121" t="s">
        <v>1</v>
      </c>
      <c r="L255" s="24"/>
      <c r="M255" s="125" t="s">
        <v>1</v>
      </c>
      <c r="N255" s="126" t="s">
        <v>32</v>
      </c>
      <c r="O255" s="127">
        <v>0</v>
      </c>
      <c r="P255" s="127">
        <f t="shared" si="35"/>
        <v>0</v>
      </c>
      <c r="Q255" s="127">
        <v>0</v>
      </c>
      <c r="R255" s="127">
        <f t="shared" si="36"/>
        <v>0</v>
      </c>
      <c r="S255" s="127">
        <v>0</v>
      </c>
      <c r="T255" s="128">
        <f t="shared" si="37"/>
        <v>0</v>
      </c>
      <c r="W255" s="199"/>
      <c r="X255" s="119" t="s">
        <v>358</v>
      </c>
      <c r="Y255" s="119" t="s">
        <v>231</v>
      </c>
      <c r="Z255" s="120" t="s">
        <v>484</v>
      </c>
      <c r="AA255" s="121" t="s">
        <v>485</v>
      </c>
      <c r="AB255" s="122" t="s">
        <v>234</v>
      </c>
      <c r="AC255" s="123">
        <v>1.93</v>
      </c>
      <c r="AD255" s="124">
        <v>87.08</v>
      </c>
      <c r="AE255" s="200">
        <f t="shared" si="38"/>
        <v>168.06</v>
      </c>
      <c r="AF255" s="956"/>
      <c r="AG255" s="407"/>
      <c r="AR255" s="129" t="s">
        <v>235</v>
      </c>
      <c r="AT255" s="129" t="s">
        <v>231</v>
      </c>
      <c r="AU255" s="129" t="s">
        <v>76</v>
      </c>
      <c r="AY255" s="13" t="s">
        <v>228</v>
      </c>
      <c r="BE255" s="130">
        <f t="shared" si="39"/>
        <v>0</v>
      </c>
      <c r="BF255" s="130">
        <f t="shared" si="40"/>
        <v>168.06</v>
      </c>
      <c r="BG255" s="130">
        <f t="shared" si="41"/>
        <v>0</v>
      </c>
      <c r="BH255" s="130">
        <f t="shared" si="42"/>
        <v>0</v>
      </c>
      <c r="BI255" s="130">
        <f t="shared" si="43"/>
        <v>0</v>
      </c>
      <c r="BJ255" s="13" t="s">
        <v>76</v>
      </c>
      <c r="BK255" s="130">
        <f t="shared" si="44"/>
        <v>168.06</v>
      </c>
      <c r="BL255" s="13" t="s">
        <v>235</v>
      </c>
      <c r="BM255" s="129" t="s">
        <v>486</v>
      </c>
    </row>
    <row r="256" spans="2:65" s="1" customFormat="1" ht="24" customHeight="1" x14ac:dyDescent="0.2">
      <c r="B256" s="118"/>
      <c r="C256" s="119" t="s">
        <v>487</v>
      </c>
      <c r="D256" s="119" t="s">
        <v>231</v>
      </c>
      <c r="E256" s="120" t="s">
        <v>488</v>
      </c>
      <c r="F256" s="121" t="s">
        <v>489</v>
      </c>
      <c r="G256" s="122" t="s">
        <v>234</v>
      </c>
      <c r="H256" s="123">
        <v>1.0229999999999999</v>
      </c>
      <c r="I256" s="124">
        <v>40.64</v>
      </c>
      <c r="J256" s="124">
        <f t="shared" si="34"/>
        <v>41.57</v>
      </c>
      <c r="K256" s="121" t="s">
        <v>1</v>
      </c>
      <c r="L256" s="24"/>
      <c r="M256" s="125" t="s">
        <v>1</v>
      </c>
      <c r="N256" s="126" t="s">
        <v>32</v>
      </c>
      <c r="O256" s="127">
        <v>0</v>
      </c>
      <c r="P256" s="127">
        <f t="shared" si="35"/>
        <v>0</v>
      </c>
      <c r="Q256" s="127">
        <v>0</v>
      </c>
      <c r="R256" s="127">
        <f t="shared" si="36"/>
        <v>0</v>
      </c>
      <c r="S256" s="127">
        <v>0</v>
      </c>
      <c r="T256" s="128">
        <f t="shared" si="37"/>
        <v>0</v>
      </c>
      <c r="W256" s="199"/>
      <c r="X256" s="119" t="s">
        <v>487</v>
      </c>
      <c r="Y256" s="119" t="s">
        <v>231</v>
      </c>
      <c r="Z256" s="120" t="s">
        <v>488</v>
      </c>
      <c r="AA256" s="121" t="s">
        <v>489</v>
      </c>
      <c r="AB256" s="122" t="s">
        <v>234</v>
      </c>
      <c r="AC256" s="123">
        <v>1.0229999999999999</v>
      </c>
      <c r="AD256" s="124">
        <v>40.64</v>
      </c>
      <c r="AE256" s="200">
        <f t="shared" si="38"/>
        <v>41.57</v>
      </c>
      <c r="AF256" s="956"/>
      <c r="AG256" s="407"/>
      <c r="AR256" s="129" t="s">
        <v>235</v>
      </c>
      <c r="AT256" s="129" t="s">
        <v>231</v>
      </c>
      <c r="AU256" s="129" t="s">
        <v>76</v>
      </c>
      <c r="AY256" s="13" t="s">
        <v>228</v>
      </c>
      <c r="BE256" s="130">
        <f t="shared" si="39"/>
        <v>0</v>
      </c>
      <c r="BF256" s="130">
        <f t="shared" si="40"/>
        <v>41.57</v>
      </c>
      <c r="BG256" s="130">
        <f t="shared" si="41"/>
        <v>0</v>
      </c>
      <c r="BH256" s="130">
        <f t="shared" si="42"/>
        <v>0</v>
      </c>
      <c r="BI256" s="130">
        <f t="shared" si="43"/>
        <v>0</v>
      </c>
      <c r="BJ256" s="13" t="s">
        <v>76</v>
      </c>
      <c r="BK256" s="130">
        <f t="shared" si="44"/>
        <v>41.57</v>
      </c>
      <c r="BL256" s="13" t="s">
        <v>235</v>
      </c>
      <c r="BM256" s="129" t="s">
        <v>490</v>
      </c>
    </row>
    <row r="257" spans="2:65" s="1" customFormat="1" ht="24" customHeight="1" x14ac:dyDescent="0.2">
      <c r="B257" s="118"/>
      <c r="C257" s="205" t="s">
        <v>361</v>
      </c>
      <c r="D257" s="119" t="s">
        <v>231</v>
      </c>
      <c r="E257" s="120" t="s">
        <v>491</v>
      </c>
      <c r="F257" s="121" t="s">
        <v>492</v>
      </c>
      <c r="G257" s="122" t="s">
        <v>234</v>
      </c>
      <c r="H257" s="206">
        <v>6.5620000000000003</v>
      </c>
      <c r="I257" s="124">
        <v>46.44</v>
      </c>
      <c r="J257" s="124">
        <f t="shared" si="34"/>
        <v>304.74</v>
      </c>
      <c r="K257" s="121" t="s">
        <v>1</v>
      </c>
      <c r="L257" s="24"/>
      <c r="M257" s="125" t="s">
        <v>1</v>
      </c>
      <c r="N257" s="126" t="s">
        <v>32</v>
      </c>
      <c r="O257" s="127">
        <v>0</v>
      </c>
      <c r="P257" s="127">
        <f t="shared" si="35"/>
        <v>0</v>
      </c>
      <c r="Q257" s="127">
        <v>0</v>
      </c>
      <c r="R257" s="127">
        <f t="shared" si="36"/>
        <v>0</v>
      </c>
      <c r="S257" s="127">
        <v>0</v>
      </c>
      <c r="T257" s="128">
        <f t="shared" si="37"/>
        <v>0</v>
      </c>
      <c r="W257" s="199"/>
      <c r="X257" s="205" t="s">
        <v>361</v>
      </c>
      <c r="Y257" s="119" t="s">
        <v>231</v>
      </c>
      <c r="Z257" s="120" t="s">
        <v>491</v>
      </c>
      <c r="AA257" s="121" t="s">
        <v>492</v>
      </c>
      <c r="AB257" s="122" t="s">
        <v>234</v>
      </c>
      <c r="AC257" s="206">
        <f>6.562+1.44</f>
        <v>8.0020000000000007</v>
      </c>
      <c r="AD257" s="124">
        <v>46.44</v>
      </c>
      <c r="AE257" s="200">
        <f t="shared" si="38"/>
        <v>371.61</v>
      </c>
      <c r="AF257" s="956">
        <v>4</v>
      </c>
      <c r="AG257" s="407"/>
      <c r="AR257" s="129" t="s">
        <v>235</v>
      </c>
      <c r="AT257" s="129" t="s">
        <v>231</v>
      </c>
      <c r="AU257" s="129" t="s">
        <v>76</v>
      </c>
      <c r="AY257" s="13" t="s">
        <v>228</v>
      </c>
      <c r="BE257" s="130">
        <f t="shared" si="39"/>
        <v>0</v>
      </c>
      <c r="BF257" s="130">
        <f t="shared" si="40"/>
        <v>304.74</v>
      </c>
      <c r="BG257" s="130">
        <f t="shared" si="41"/>
        <v>0</v>
      </c>
      <c r="BH257" s="130">
        <f t="shared" si="42"/>
        <v>0</v>
      </c>
      <c r="BI257" s="130">
        <f t="shared" si="43"/>
        <v>0</v>
      </c>
      <c r="BJ257" s="13" t="s">
        <v>76</v>
      </c>
      <c r="BK257" s="130">
        <f t="shared" si="44"/>
        <v>304.74</v>
      </c>
      <c r="BL257" s="13" t="s">
        <v>235</v>
      </c>
      <c r="BM257" s="129" t="s">
        <v>493</v>
      </c>
    </row>
    <row r="258" spans="2:65" s="1" customFormat="1" ht="24" customHeight="1" x14ac:dyDescent="0.2">
      <c r="B258" s="118"/>
      <c r="C258" s="119" t="s">
        <v>494</v>
      </c>
      <c r="D258" s="119" t="s">
        <v>231</v>
      </c>
      <c r="E258" s="120" t="s">
        <v>495</v>
      </c>
      <c r="F258" s="121" t="s">
        <v>496</v>
      </c>
      <c r="G258" s="122" t="s">
        <v>234</v>
      </c>
      <c r="H258" s="123">
        <v>7.6159999999999997</v>
      </c>
      <c r="I258" s="124">
        <v>55.73</v>
      </c>
      <c r="J258" s="124">
        <f t="shared" si="34"/>
        <v>424.44</v>
      </c>
      <c r="K258" s="121" t="s">
        <v>1</v>
      </c>
      <c r="L258" s="24"/>
      <c r="M258" s="125" t="s">
        <v>1</v>
      </c>
      <c r="N258" s="126" t="s">
        <v>32</v>
      </c>
      <c r="O258" s="127">
        <v>0</v>
      </c>
      <c r="P258" s="127">
        <f t="shared" si="35"/>
        <v>0</v>
      </c>
      <c r="Q258" s="127">
        <v>0</v>
      </c>
      <c r="R258" s="127">
        <f t="shared" si="36"/>
        <v>0</v>
      </c>
      <c r="S258" s="127">
        <v>0</v>
      </c>
      <c r="T258" s="128">
        <f t="shared" si="37"/>
        <v>0</v>
      </c>
      <c r="W258" s="199"/>
      <c r="X258" s="119" t="s">
        <v>494</v>
      </c>
      <c r="Y258" s="119" t="s">
        <v>231</v>
      </c>
      <c r="Z258" s="120" t="s">
        <v>495</v>
      </c>
      <c r="AA258" s="121" t="s">
        <v>496</v>
      </c>
      <c r="AB258" s="122" t="s">
        <v>234</v>
      </c>
      <c r="AC258" s="123">
        <v>7.6159999999999997</v>
      </c>
      <c r="AD258" s="124">
        <v>55.73</v>
      </c>
      <c r="AE258" s="200">
        <f t="shared" si="38"/>
        <v>424.44</v>
      </c>
      <c r="AF258" s="956"/>
      <c r="AG258" s="407"/>
      <c r="AR258" s="129" t="s">
        <v>235</v>
      </c>
      <c r="AT258" s="129" t="s">
        <v>231</v>
      </c>
      <c r="AU258" s="129" t="s">
        <v>76</v>
      </c>
      <c r="AY258" s="13" t="s">
        <v>228</v>
      </c>
      <c r="BE258" s="130">
        <f t="shared" si="39"/>
        <v>0</v>
      </c>
      <c r="BF258" s="130">
        <f t="shared" si="40"/>
        <v>424.44</v>
      </c>
      <c r="BG258" s="130">
        <f t="shared" si="41"/>
        <v>0</v>
      </c>
      <c r="BH258" s="130">
        <f t="shared" si="42"/>
        <v>0</v>
      </c>
      <c r="BI258" s="130">
        <f t="shared" si="43"/>
        <v>0</v>
      </c>
      <c r="BJ258" s="13" t="s">
        <v>76</v>
      </c>
      <c r="BK258" s="130">
        <f t="shared" si="44"/>
        <v>424.44</v>
      </c>
      <c r="BL258" s="13" t="s">
        <v>235</v>
      </c>
      <c r="BM258" s="129" t="s">
        <v>497</v>
      </c>
    </row>
    <row r="259" spans="2:65" s="1" customFormat="1" ht="16.5" customHeight="1" x14ac:dyDescent="0.2">
      <c r="B259" s="118"/>
      <c r="C259" s="1070" t="s">
        <v>365</v>
      </c>
      <c r="D259" s="119" t="s">
        <v>231</v>
      </c>
      <c r="E259" s="120" t="s">
        <v>498</v>
      </c>
      <c r="F259" s="121" t="s">
        <v>499</v>
      </c>
      <c r="G259" s="122" t="s">
        <v>292</v>
      </c>
      <c r="H259" s="1071">
        <v>23</v>
      </c>
      <c r="I259" s="124">
        <v>11.61</v>
      </c>
      <c r="J259" s="124">
        <f t="shared" si="34"/>
        <v>267.02999999999997</v>
      </c>
      <c r="K259" s="121" t="s">
        <v>1</v>
      </c>
      <c r="L259" s="24"/>
      <c r="M259" s="125" t="s">
        <v>1</v>
      </c>
      <c r="N259" s="126" t="s">
        <v>32</v>
      </c>
      <c r="O259" s="127">
        <v>0</v>
      </c>
      <c r="P259" s="127">
        <f t="shared" si="35"/>
        <v>0</v>
      </c>
      <c r="Q259" s="127">
        <v>0</v>
      </c>
      <c r="R259" s="127">
        <f t="shared" si="36"/>
        <v>0</v>
      </c>
      <c r="S259" s="127">
        <v>0</v>
      </c>
      <c r="T259" s="128">
        <f t="shared" si="37"/>
        <v>0</v>
      </c>
      <c r="W259" s="199"/>
      <c r="X259" s="1070" t="s">
        <v>365</v>
      </c>
      <c r="Y259" s="119" t="s">
        <v>231</v>
      </c>
      <c r="Z259" s="120" t="s">
        <v>498</v>
      </c>
      <c r="AA259" s="121" t="s">
        <v>499</v>
      </c>
      <c r="AB259" s="122" t="s">
        <v>292</v>
      </c>
      <c r="AC259" s="1071">
        <f>23+4.7</f>
        <v>27.7</v>
      </c>
      <c r="AD259" s="124">
        <v>11.61</v>
      </c>
      <c r="AE259" s="200">
        <f t="shared" si="38"/>
        <v>321.60000000000002</v>
      </c>
      <c r="AF259" s="956">
        <v>22</v>
      </c>
      <c r="AG259" s="407"/>
      <c r="AR259" s="129" t="s">
        <v>235</v>
      </c>
      <c r="AT259" s="129" t="s">
        <v>231</v>
      </c>
      <c r="AU259" s="129" t="s">
        <v>76</v>
      </c>
      <c r="AY259" s="13" t="s">
        <v>228</v>
      </c>
      <c r="BE259" s="130">
        <f t="shared" si="39"/>
        <v>0</v>
      </c>
      <c r="BF259" s="130">
        <f t="shared" si="40"/>
        <v>267.02999999999997</v>
      </c>
      <c r="BG259" s="130">
        <f t="shared" si="41"/>
        <v>0</v>
      </c>
      <c r="BH259" s="130">
        <f t="shared" si="42"/>
        <v>0</v>
      </c>
      <c r="BI259" s="130">
        <f t="shared" si="43"/>
        <v>0</v>
      </c>
      <c r="BJ259" s="13" t="s">
        <v>76</v>
      </c>
      <c r="BK259" s="130">
        <f t="shared" si="44"/>
        <v>267.02999999999997</v>
      </c>
      <c r="BL259" s="13" t="s">
        <v>235</v>
      </c>
      <c r="BM259" s="129" t="s">
        <v>500</v>
      </c>
    </row>
    <row r="260" spans="2:65" s="362" customFormat="1" ht="21" customHeight="1" x14ac:dyDescent="0.2">
      <c r="B260" s="118"/>
      <c r="C260" s="1234" t="s">
        <v>5205</v>
      </c>
      <c r="D260" s="1235"/>
      <c r="E260" s="1235"/>
      <c r="F260" s="1235"/>
      <c r="G260" s="1235"/>
      <c r="H260" s="1235"/>
      <c r="I260" s="1235"/>
      <c r="J260" s="1236"/>
      <c r="K260" s="121"/>
      <c r="L260" s="24"/>
      <c r="M260" s="125"/>
      <c r="N260" s="126"/>
      <c r="O260" s="127"/>
      <c r="P260" s="127"/>
      <c r="Q260" s="127"/>
      <c r="R260" s="127"/>
      <c r="S260" s="127"/>
      <c r="T260" s="128"/>
      <c r="W260" s="199"/>
      <c r="X260" s="341" t="s">
        <v>5851</v>
      </c>
      <c r="Y260" s="341" t="s">
        <v>231</v>
      </c>
      <c r="Z260" s="342" t="s">
        <v>502</v>
      </c>
      <c r="AA260" s="343" t="s">
        <v>503</v>
      </c>
      <c r="AB260" s="344" t="s">
        <v>292</v>
      </c>
      <c r="AC260" s="345">
        <v>16</v>
      </c>
      <c r="AD260" s="346">
        <v>40.64</v>
      </c>
      <c r="AE260" s="355">
        <f>ROUND(AD260*AC260,2)</f>
        <v>650.24</v>
      </c>
      <c r="AF260" s="956">
        <v>4</v>
      </c>
      <c r="AG260" s="407"/>
      <c r="AR260" s="129"/>
      <c r="AT260" s="129"/>
      <c r="AU260" s="129"/>
      <c r="AY260" s="13"/>
      <c r="BE260" s="130"/>
      <c r="BF260" s="130"/>
      <c r="BG260" s="130"/>
      <c r="BH260" s="130"/>
      <c r="BI260" s="130"/>
      <c r="BJ260" s="13"/>
      <c r="BK260" s="130"/>
      <c r="BL260" s="13"/>
      <c r="BM260" s="129"/>
    </row>
    <row r="261" spans="2:65" s="1" customFormat="1" ht="16.5" customHeight="1" x14ac:dyDescent="0.2">
      <c r="B261" s="118"/>
      <c r="C261" s="119" t="s">
        <v>501</v>
      </c>
      <c r="D261" s="119" t="s">
        <v>231</v>
      </c>
      <c r="E261" s="120" t="s">
        <v>502</v>
      </c>
      <c r="F261" s="121" t="s">
        <v>503</v>
      </c>
      <c r="G261" s="122" t="s">
        <v>292</v>
      </c>
      <c r="H261" s="123">
        <v>74.5</v>
      </c>
      <c r="I261" s="124">
        <v>40.64</v>
      </c>
      <c r="J261" s="124">
        <f t="shared" si="34"/>
        <v>3027.68</v>
      </c>
      <c r="K261" s="121" t="s">
        <v>1</v>
      </c>
      <c r="L261" s="24"/>
      <c r="M261" s="125" t="s">
        <v>1</v>
      </c>
      <c r="N261" s="126" t="s">
        <v>32</v>
      </c>
      <c r="O261" s="127">
        <v>0</v>
      </c>
      <c r="P261" s="127">
        <f t="shared" si="35"/>
        <v>0</v>
      </c>
      <c r="Q261" s="127">
        <v>0</v>
      </c>
      <c r="R261" s="127">
        <f t="shared" si="36"/>
        <v>0</v>
      </c>
      <c r="S261" s="127">
        <v>0</v>
      </c>
      <c r="T261" s="128">
        <f t="shared" si="37"/>
        <v>0</v>
      </c>
      <c r="W261" s="199"/>
      <c r="X261" s="119" t="s">
        <v>501</v>
      </c>
      <c r="Y261" s="119" t="s">
        <v>231</v>
      </c>
      <c r="Z261" s="120" t="s">
        <v>502</v>
      </c>
      <c r="AA261" s="121" t="s">
        <v>503</v>
      </c>
      <c r="AB261" s="122" t="s">
        <v>292</v>
      </c>
      <c r="AC261" s="123">
        <v>74.5</v>
      </c>
      <c r="AD261" s="124">
        <v>40.64</v>
      </c>
      <c r="AE261" s="200">
        <f t="shared" si="38"/>
        <v>3027.68</v>
      </c>
      <c r="AF261" s="956"/>
      <c r="AG261" s="407"/>
      <c r="AR261" s="129" t="s">
        <v>235</v>
      </c>
      <c r="AT261" s="129" t="s">
        <v>231</v>
      </c>
      <c r="AU261" s="129" t="s">
        <v>76</v>
      </c>
      <c r="AY261" s="13" t="s">
        <v>228</v>
      </c>
      <c r="BE261" s="130">
        <f t="shared" si="39"/>
        <v>0</v>
      </c>
      <c r="BF261" s="130">
        <f t="shared" si="40"/>
        <v>3027.68</v>
      </c>
      <c r="BG261" s="130">
        <f t="shared" si="41"/>
        <v>0</v>
      </c>
      <c r="BH261" s="130">
        <f t="shared" si="42"/>
        <v>0</v>
      </c>
      <c r="BI261" s="130">
        <f t="shared" si="43"/>
        <v>0</v>
      </c>
      <c r="BJ261" s="13" t="s">
        <v>76</v>
      </c>
      <c r="BK261" s="130">
        <f t="shared" si="44"/>
        <v>3027.68</v>
      </c>
      <c r="BL261" s="13" t="s">
        <v>235</v>
      </c>
      <c r="BM261" s="129" t="s">
        <v>504</v>
      </c>
    </row>
    <row r="262" spans="2:65" s="1" customFormat="1" ht="21" customHeight="1" x14ac:dyDescent="0.2">
      <c r="B262" s="118"/>
      <c r="C262" s="1070" t="s">
        <v>368</v>
      </c>
      <c r="D262" s="119" t="s">
        <v>231</v>
      </c>
      <c r="E262" s="120" t="s">
        <v>505</v>
      </c>
      <c r="F262" s="121" t="s">
        <v>506</v>
      </c>
      <c r="G262" s="122" t="s">
        <v>292</v>
      </c>
      <c r="H262" s="1071">
        <v>12</v>
      </c>
      <c r="I262" s="124">
        <v>6.97</v>
      </c>
      <c r="J262" s="124">
        <f t="shared" si="34"/>
        <v>83.64</v>
      </c>
      <c r="K262" s="121" t="s">
        <v>1</v>
      </c>
      <c r="L262" s="24"/>
      <c r="M262" s="125" t="s">
        <v>1</v>
      </c>
      <c r="N262" s="126" t="s">
        <v>32</v>
      </c>
      <c r="O262" s="127">
        <v>0.91800000000000004</v>
      </c>
      <c r="P262" s="127">
        <f t="shared" si="35"/>
        <v>11.016</v>
      </c>
      <c r="Q262" s="127">
        <v>0</v>
      </c>
      <c r="R262" s="127">
        <f t="shared" si="36"/>
        <v>0</v>
      </c>
      <c r="S262" s="127">
        <v>8.1000000000000003E-2</v>
      </c>
      <c r="T262" s="128">
        <f t="shared" si="37"/>
        <v>0.97199999999999998</v>
      </c>
      <c r="W262" s="199"/>
      <c r="X262" s="1070" t="s">
        <v>368</v>
      </c>
      <c r="Y262" s="119" t="s">
        <v>231</v>
      </c>
      <c r="Z262" s="120" t="s">
        <v>505</v>
      </c>
      <c r="AA262" s="121" t="s">
        <v>506</v>
      </c>
      <c r="AB262" s="122" t="s">
        <v>292</v>
      </c>
      <c r="AC262" s="1071">
        <f>12+7</f>
        <v>19</v>
      </c>
      <c r="AD262" s="124">
        <v>6.97</v>
      </c>
      <c r="AE262" s="200">
        <f t="shared" si="38"/>
        <v>132.43</v>
      </c>
      <c r="AF262" s="956">
        <v>22</v>
      </c>
      <c r="AG262" s="407"/>
      <c r="AR262" s="129" t="s">
        <v>235</v>
      </c>
      <c r="AT262" s="129" t="s">
        <v>231</v>
      </c>
      <c r="AU262" s="129" t="s">
        <v>76</v>
      </c>
      <c r="AY262" s="13" t="s">
        <v>228</v>
      </c>
      <c r="BE262" s="130">
        <f t="shared" si="39"/>
        <v>0</v>
      </c>
      <c r="BF262" s="130">
        <f t="shared" si="40"/>
        <v>83.64</v>
      </c>
      <c r="BG262" s="130">
        <f t="shared" si="41"/>
        <v>0</v>
      </c>
      <c r="BH262" s="130">
        <f t="shared" si="42"/>
        <v>0</v>
      </c>
      <c r="BI262" s="130">
        <f t="shared" si="43"/>
        <v>0</v>
      </c>
      <c r="BJ262" s="13" t="s">
        <v>76</v>
      </c>
      <c r="BK262" s="130">
        <f t="shared" si="44"/>
        <v>83.64</v>
      </c>
      <c r="BL262" s="13" t="s">
        <v>235</v>
      </c>
      <c r="BM262" s="129" t="s">
        <v>507</v>
      </c>
    </row>
    <row r="263" spans="2:65" s="1" customFormat="1" ht="22.2" customHeight="1" x14ac:dyDescent="0.2">
      <c r="B263" s="118"/>
      <c r="C263" s="205" t="s">
        <v>508</v>
      </c>
      <c r="D263" s="119" t="s">
        <v>231</v>
      </c>
      <c r="E263" s="120" t="s">
        <v>509</v>
      </c>
      <c r="F263" s="121" t="s">
        <v>510</v>
      </c>
      <c r="G263" s="122" t="s">
        <v>292</v>
      </c>
      <c r="H263" s="206">
        <v>18</v>
      </c>
      <c r="I263" s="124">
        <v>9.2899999999999991</v>
      </c>
      <c r="J263" s="124">
        <f t="shared" si="34"/>
        <v>167.22</v>
      </c>
      <c r="K263" s="121" t="s">
        <v>1</v>
      </c>
      <c r="L263" s="24"/>
      <c r="M263" s="125" t="s">
        <v>1</v>
      </c>
      <c r="N263" s="126" t="s">
        <v>32</v>
      </c>
      <c r="O263" s="127">
        <v>1.0780000000000001</v>
      </c>
      <c r="P263" s="127">
        <f t="shared" si="35"/>
        <v>19.404</v>
      </c>
      <c r="Q263" s="127">
        <v>0</v>
      </c>
      <c r="R263" s="127">
        <f t="shared" si="36"/>
        <v>0</v>
      </c>
      <c r="S263" s="127">
        <v>7.0999999999999994E-2</v>
      </c>
      <c r="T263" s="128">
        <f t="shared" si="37"/>
        <v>1.2779999999999998</v>
      </c>
      <c r="W263" s="199"/>
      <c r="X263" s="205" t="s">
        <v>508</v>
      </c>
      <c r="Y263" s="119" t="s">
        <v>231</v>
      </c>
      <c r="Z263" s="120" t="s">
        <v>509</v>
      </c>
      <c r="AA263" s="121" t="s">
        <v>510</v>
      </c>
      <c r="AB263" s="122" t="s">
        <v>292</v>
      </c>
      <c r="AC263" s="206">
        <f>18+18</f>
        <v>36</v>
      </c>
      <c r="AD263" s="124">
        <v>9.2899999999999991</v>
      </c>
      <c r="AE263" s="200">
        <f t="shared" si="38"/>
        <v>334.44</v>
      </c>
      <c r="AF263" s="956">
        <v>14</v>
      </c>
      <c r="AG263" s="407"/>
      <c r="AR263" s="129" t="s">
        <v>235</v>
      </c>
      <c r="AT263" s="129" t="s">
        <v>231</v>
      </c>
      <c r="AU263" s="129" t="s">
        <v>76</v>
      </c>
      <c r="AY263" s="13" t="s">
        <v>228</v>
      </c>
      <c r="BE263" s="130">
        <f t="shared" si="39"/>
        <v>0</v>
      </c>
      <c r="BF263" s="130">
        <f t="shared" si="40"/>
        <v>167.22</v>
      </c>
      <c r="BG263" s="130">
        <f t="shared" si="41"/>
        <v>0</v>
      </c>
      <c r="BH263" s="130">
        <f t="shared" si="42"/>
        <v>0</v>
      </c>
      <c r="BI263" s="130">
        <f t="shared" si="43"/>
        <v>0</v>
      </c>
      <c r="BJ263" s="13" t="s">
        <v>76</v>
      </c>
      <c r="BK263" s="130">
        <f t="shared" si="44"/>
        <v>167.22</v>
      </c>
      <c r="BL263" s="13" t="s">
        <v>235</v>
      </c>
      <c r="BM263" s="129" t="s">
        <v>511</v>
      </c>
    </row>
    <row r="264" spans="2:65" s="1" customFormat="1" ht="24" customHeight="1" x14ac:dyDescent="0.2">
      <c r="B264" s="118"/>
      <c r="C264" s="119" t="s">
        <v>372</v>
      </c>
      <c r="D264" s="119" t="s">
        <v>231</v>
      </c>
      <c r="E264" s="120" t="s">
        <v>512</v>
      </c>
      <c r="F264" s="121" t="s">
        <v>513</v>
      </c>
      <c r="G264" s="122" t="s">
        <v>292</v>
      </c>
      <c r="H264" s="123">
        <v>9</v>
      </c>
      <c r="I264" s="124">
        <v>2.9</v>
      </c>
      <c r="J264" s="124">
        <f t="shared" si="34"/>
        <v>26.1</v>
      </c>
      <c r="K264" s="121" t="s">
        <v>1</v>
      </c>
      <c r="L264" s="24"/>
      <c r="M264" s="125" t="s">
        <v>1</v>
      </c>
      <c r="N264" s="126" t="s">
        <v>32</v>
      </c>
      <c r="O264" s="127">
        <v>0</v>
      </c>
      <c r="P264" s="127">
        <f t="shared" si="35"/>
        <v>0</v>
      </c>
      <c r="Q264" s="127">
        <v>0</v>
      </c>
      <c r="R264" s="127">
        <f t="shared" si="36"/>
        <v>0</v>
      </c>
      <c r="S264" s="127">
        <v>0</v>
      </c>
      <c r="T264" s="128">
        <f t="shared" si="37"/>
        <v>0</v>
      </c>
      <c r="W264" s="199"/>
      <c r="X264" s="119" t="s">
        <v>372</v>
      </c>
      <c r="Y264" s="119" t="s">
        <v>231</v>
      </c>
      <c r="Z264" s="120" t="s">
        <v>512</v>
      </c>
      <c r="AA264" s="121" t="s">
        <v>513</v>
      </c>
      <c r="AB264" s="122" t="s">
        <v>292</v>
      </c>
      <c r="AC264" s="123">
        <v>9</v>
      </c>
      <c r="AD264" s="124">
        <v>2.9</v>
      </c>
      <c r="AE264" s="200">
        <f t="shared" si="38"/>
        <v>26.1</v>
      </c>
      <c r="AF264" s="956"/>
      <c r="AG264" s="407"/>
      <c r="AR264" s="129" t="s">
        <v>235</v>
      </c>
      <c r="AT264" s="129" t="s">
        <v>231</v>
      </c>
      <c r="AU264" s="129" t="s">
        <v>76</v>
      </c>
      <c r="AY264" s="13" t="s">
        <v>228</v>
      </c>
      <c r="BE264" s="130">
        <f t="shared" si="39"/>
        <v>0</v>
      </c>
      <c r="BF264" s="130">
        <f t="shared" si="40"/>
        <v>26.1</v>
      </c>
      <c r="BG264" s="130">
        <f t="shared" si="41"/>
        <v>0</v>
      </c>
      <c r="BH264" s="130">
        <f t="shared" si="42"/>
        <v>0</v>
      </c>
      <c r="BI264" s="130">
        <f t="shared" si="43"/>
        <v>0</v>
      </c>
      <c r="BJ264" s="13" t="s">
        <v>76</v>
      </c>
      <c r="BK264" s="130">
        <f t="shared" si="44"/>
        <v>26.1</v>
      </c>
      <c r="BL264" s="13" t="s">
        <v>235</v>
      </c>
      <c r="BM264" s="129" t="s">
        <v>514</v>
      </c>
    </row>
    <row r="265" spans="2:65" s="648" customFormat="1" ht="28.95" customHeight="1" x14ac:dyDescent="0.2">
      <c r="B265" s="118"/>
      <c r="C265" s="1234" t="s">
        <v>5205</v>
      </c>
      <c r="D265" s="1235"/>
      <c r="E265" s="1235"/>
      <c r="F265" s="1235"/>
      <c r="G265" s="1235"/>
      <c r="H265" s="1235"/>
      <c r="I265" s="1235"/>
      <c r="J265" s="1236"/>
      <c r="K265" s="121"/>
      <c r="L265" s="24"/>
      <c r="M265" s="125"/>
      <c r="N265" s="126"/>
      <c r="O265" s="127"/>
      <c r="P265" s="127"/>
      <c r="Q265" s="127"/>
      <c r="R265" s="127"/>
      <c r="S265" s="127"/>
      <c r="T265" s="128"/>
      <c r="W265" s="199"/>
      <c r="X265" s="207" t="s">
        <v>5429</v>
      </c>
      <c r="Y265" s="207" t="s">
        <v>231</v>
      </c>
      <c r="Z265" s="342" t="s">
        <v>6343</v>
      </c>
      <c r="AA265" s="343" t="s">
        <v>6344</v>
      </c>
      <c r="AB265" s="344" t="s">
        <v>292</v>
      </c>
      <c r="AC265" s="345">
        <v>62</v>
      </c>
      <c r="AD265" s="346">
        <v>5.97</v>
      </c>
      <c r="AE265" s="355">
        <f>AC265*AD265</f>
        <v>370.14</v>
      </c>
      <c r="AF265" s="956">
        <v>14</v>
      </c>
      <c r="AG265" s="407"/>
      <c r="AR265" s="129"/>
      <c r="AT265" s="129"/>
      <c r="AU265" s="129"/>
      <c r="AY265" s="13"/>
      <c r="BE265" s="130"/>
      <c r="BF265" s="130"/>
      <c r="BG265" s="130"/>
      <c r="BH265" s="130"/>
      <c r="BI265" s="130"/>
      <c r="BJ265" s="13"/>
      <c r="BK265" s="130"/>
      <c r="BL265" s="13"/>
      <c r="BM265" s="129"/>
    </row>
    <row r="266" spans="2:65" s="648" customFormat="1" ht="28.95" customHeight="1" x14ac:dyDescent="0.2">
      <c r="B266" s="118"/>
      <c r="C266" s="1234" t="s">
        <v>5205</v>
      </c>
      <c r="D266" s="1235"/>
      <c r="E266" s="1235"/>
      <c r="F266" s="1235"/>
      <c r="G266" s="1235"/>
      <c r="H266" s="1235"/>
      <c r="I266" s="1235"/>
      <c r="J266" s="1236"/>
      <c r="K266" s="121"/>
      <c r="L266" s="24"/>
      <c r="M266" s="125"/>
      <c r="N266" s="126"/>
      <c r="O266" s="127"/>
      <c r="P266" s="127"/>
      <c r="Q266" s="127"/>
      <c r="R266" s="127"/>
      <c r="S266" s="127"/>
      <c r="T266" s="128"/>
      <c r="W266" s="199"/>
      <c r="X266" s="207" t="s">
        <v>5430</v>
      </c>
      <c r="Y266" s="207" t="s">
        <v>231</v>
      </c>
      <c r="Z266" s="342" t="s">
        <v>6345</v>
      </c>
      <c r="AA266" s="343" t="s">
        <v>6346</v>
      </c>
      <c r="AB266" s="344" t="s">
        <v>292</v>
      </c>
      <c r="AC266" s="345">
        <v>15.2</v>
      </c>
      <c r="AD266" s="346">
        <v>7.75</v>
      </c>
      <c r="AE266" s="355">
        <f t="shared" ref="AE266:AE267" si="46">AC266*AD266</f>
        <v>117.8</v>
      </c>
      <c r="AF266" s="956">
        <v>14</v>
      </c>
      <c r="AG266" s="407"/>
      <c r="AR266" s="129"/>
      <c r="AT266" s="129"/>
      <c r="AU266" s="129"/>
      <c r="AY266" s="13"/>
      <c r="BE266" s="130"/>
      <c r="BF266" s="130"/>
      <c r="BG266" s="130"/>
      <c r="BH266" s="130"/>
      <c r="BI266" s="130"/>
      <c r="BJ266" s="13"/>
      <c r="BK266" s="130"/>
      <c r="BL266" s="13"/>
      <c r="BM266" s="129"/>
    </row>
    <row r="267" spans="2:65" s="648" customFormat="1" ht="28.95" customHeight="1" x14ac:dyDescent="0.2">
      <c r="B267" s="118"/>
      <c r="C267" s="1234" t="s">
        <v>5205</v>
      </c>
      <c r="D267" s="1235"/>
      <c r="E267" s="1235"/>
      <c r="F267" s="1235"/>
      <c r="G267" s="1235"/>
      <c r="H267" s="1235"/>
      <c r="I267" s="1235"/>
      <c r="J267" s="1236"/>
      <c r="K267" s="121"/>
      <c r="L267" s="24"/>
      <c r="M267" s="125"/>
      <c r="N267" s="126"/>
      <c r="O267" s="127"/>
      <c r="P267" s="127"/>
      <c r="Q267" s="127"/>
      <c r="R267" s="127"/>
      <c r="S267" s="127"/>
      <c r="T267" s="128"/>
      <c r="W267" s="199"/>
      <c r="X267" s="207" t="s">
        <v>5431</v>
      </c>
      <c r="Y267" s="207" t="s">
        <v>231</v>
      </c>
      <c r="Z267" s="342" t="s">
        <v>6347</v>
      </c>
      <c r="AA267" s="343" t="s">
        <v>6348</v>
      </c>
      <c r="AB267" s="344" t="s">
        <v>292</v>
      </c>
      <c r="AC267" s="345">
        <v>9</v>
      </c>
      <c r="AD267" s="346">
        <v>9.41</v>
      </c>
      <c r="AE267" s="355">
        <f t="shared" si="46"/>
        <v>84.69</v>
      </c>
      <c r="AF267" s="956">
        <v>14</v>
      </c>
      <c r="AG267" s="407"/>
      <c r="AR267" s="129"/>
      <c r="AT267" s="129"/>
      <c r="AU267" s="129"/>
      <c r="AY267" s="13"/>
      <c r="BE267" s="130"/>
      <c r="BF267" s="130"/>
      <c r="BG267" s="130"/>
      <c r="BH267" s="130"/>
      <c r="BI267" s="130"/>
      <c r="BJ267" s="13"/>
      <c r="BK267" s="130"/>
      <c r="BL267" s="13"/>
      <c r="BM267" s="129"/>
    </row>
    <row r="268" spans="2:65" s="1" customFormat="1" ht="22.8" x14ac:dyDescent="0.2">
      <c r="B268" s="118"/>
      <c r="C268" s="205" t="s">
        <v>515</v>
      </c>
      <c r="D268" s="119" t="s">
        <v>231</v>
      </c>
      <c r="E268" s="120" t="s">
        <v>516</v>
      </c>
      <c r="F268" s="121" t="s">
        <v>517</v>
      </c>
      <c r="G268" s="122" t="s">
        <v>292</v>
      </c>
      <c r="H268" s="206">
        <v>6.4</v>
      </c>
      <c r="I268" s="124">
        <v>46.44</v>
      </c>
      <c r="J268" s="124">
        <f t="shared" si="34"/>
        <v>297.22000000000003</v>
      </c>
      <c r="K268" s="121" t="s">
        <v>1</v>
      </c>
      <c r="L268" s="24"/>
      <c r="M268" s="125" t="s">
        <v>1</v>
      </c>
      <c r="N268" s="126" t="s">
        <v>32</v>
      </c>
      <c r="O268" s="127">
        <v>3.3506499999999999</v>
      </c>
      <c r="P268" s="127">
        <f t="shared" si="35"/>
        <v>21.44416</v>
      </c>
      <c r="Q268" s="127">
        <v>4.9570000000000003E-2</v>
      </c>
      <c r="R268" s="127">
        <f t="shared" si="36"/>
        <v>0.31724800000000003</v>
      </c>
      <c r="S268" s="127">
        <v>0</v>
      </c>
      <c r="T268" s="128">
        <f t="shared" si="37"/>
        <v>0</v>
      </c>
      <c r="W268" s="199"/>
      <c r="X268" s="205" t="s">
        <v>515</v>
      </c>
      <c r="Y268" s="119" t="s">
        <v>231</v>
      </c>
      <c r="Z268" s="120" t="s">
        <v>516</v>
      </c>
      <c r="AA268" s="121" t="s">
        <v>517</v>
      </c>
      <c r="AB268" s="122" t="s">
        <v>292</v>
      </c>
      <c r="AC268" s="206">
        <f>6.4+1.7</f>
        <v>8.1</v>
      </c>
      <c r="AD268" s="124">
        <v>46.44</v>
      </c>
      <c r="AE268" s="200">
        <f t="shared" si="38"/>
        <v>376.16</v>
      </c>
      <c r="AF268" s="956">
        <v>14</v>
      </c>
      <c r="AG268" s="407"/>
      <c r="AR268" s="129" t="s">
        <v>235</v>
      </c>
      <c r="AT268" s="129" t="s">
        <v>231</v>
      </c>
      <c r="AU268" s="129" t="s">
        <v>76</v>
      </c>
      <c r="AY268" s="13" t="s">
        <v>228</v>
      </c>
      <c r="BE268" s="130">
        <f t="shared" si="39"/>
        <v>0</v>
      </c>
      <c r="BF268" s="130">
        <f t="shared" si="40"/>
        <v>297.22000000000003</v>
      </c>
      <c r="BG268" s="130">
        <f t="shared" si="41"/>
        <v>0</v>
      </c>
      <c r="BH268" s="130">
        <f t="shared" si="42"/>
        <v>0</v>
      </c>
      <c r="BI268" s="130">
        <f t="shared" si="43"/>
        <v>0</v>
      </c>
      <c r="BJ268" s="13" t="s">
        <v>76</v>
      </c>
      <c r="BK268" s="130">
        <f t="shared" si="44"/>
        <v>297.22000000000003</v>
      </c>
      <c r="BL268" s="13" t="s">
        <v>235</v>
      </c>
      <c r="BM268" s="129" t="s">
        <v>518</v>
      </c>
    </row>
    <row r="269" spans="2:65" s="1" customFormat="1" ht="22.8" x14ac:dyDescent="0.2">
      <c r="B269" s="118"/>
      <c r="C269" s="205" t="s">
        <v>375</v>
      </c>
      <c r="D269" s="119" t="s">
        <v>231</v>
      </c>
      <c r="E269" s="120" t="s">
        <v>519</v>
      </c>
      <c r="F269" s="121" t="s">
        <v>520</v>
      </c>
      <c r="G269" s="122" t="s">
        <v>292</v>
      </c>
      <c r="H269" s="206">
        <v>7</v>
      </c>
      <c r="I269" s="124">
        <v>162.54</v>
      </c>
      <c r="J269" s="124">
        <f t="shared" si="34"/>
        <v>1137.78</v>
      </c>
      <c r="K269" s="121" t="s">
        <v>1</v>
      </c>
      <c r="L269" s="24"/>
      <c r="M269" s="125" t="s">
        <v>1</v>
      </c>
      <c r="N269" s="126" t="s">
        <v>32</v>
      </c>
      <c r="O269" s="127">
        <v>9.8078099999999999</v>
      </c>
      <c r="P269" s="127">
        <f t="shared" si="35"/>
        <v>68.654669999999996</v>
      </c>
      <c r="Q269" s="127">
        <v>0.11923</v>
      </c>
      <c r="R269" s="127">
        <f t="shared" si="36"/>
        <v>0.83461000000000007</v>
      </c>
      <c r="S269" s="127">
        <v>0</v>
      </c>
      <c r="T269" s="128">
        <f t="shared" si="37"/>
        <v>0</v>
      </c>
      <c r="W269" s="199"/>
      <c r="X269" s="205" t="s">
        <v>375</v>
      </c>
      <c r="Y269" s="119" t="s">
        <v>231</v>
      </c>
      <c r="Z269" s="120" t="s">
        <v>519</v>
      </c>
      <c r="AA269" s="121" t="s">
        <v>520</v>
      </c>
      <c r="AB269" s="122" t="s">
        <v>292</v>
      </c>
      <c r="AC269" s="206">
        <f>7+11</f>
        <v>18</v>
      </c>
      <c r="AD269" s="124">
        <v>162.54</v>
      </c>
      <c r="AE269" s="200">
        <f t="shared" si="38"/>
        <v>2925.72</v>
      </c>
      <c r="AF269" s="956">
        <v>14</v>
      </c>
      <c r="AG269" s="407"/>
      <c r="AR269" s="129" t="s">
        <v>235</v>
      </c>
      <c r="AT269" s="129" t="s">
        <v>231</v>
      </c>
      <c r="AU269" s="129" t="s">
        <v>76</v>
      </c>
      <c r="AY269" s="13" t="s">
        <v>228</v>
      </c>
      <c r="BE269" s="130">
        <f t="shared" si="39"/>
        <v>0</v>
      </c>
      <c r="BF269" s="130">
        <f t="shared" si="40"/>
        <v>1137.78</v>
      </c>
      <c r="BG269" s="130">
        <f t="shared" si="41"/>
        <v>0</v>
      </c>
      <c r="BH269" s="130">
        <f t="shared" si="42"/>
        <v>0</v>
      </c>
      <c r="BI269" s="130">
        <f t="shared" si="43"/>
        <v>0</v>
      </c>
      <c r="BJ269" s="13" t="s">
        <v>76</v>
      </c>
      <c r="BK269" s="130">
        <f t="shared" si="44"/>
        <v>1137.78</v>
      </c>
      <c r="BL269" s="13" t="s">
        <v>235</v>
      </c>
      <c r="BM269" s="129" t="s">
        <v>521</v>
      </c>
    </row>
    <row r="270" spans="2:65" s="1" customFormat="1" ht="24" customHeight="1" x14ac:dyDescent="0.2">
      <c r="B270" s="118"/>
      <c r="C270" s="205" t="s">
        <v>522</v>
      </c>
      <c r="D270" s="119" t="s">
        <v>231</v>
      </c>
      <c r="E270" s="120" t="s">
        <v>523</v>
      </c>
      <c r="F270" s="121" t="s">
        <v>524</v>
      </c>
      <c r="G270" s="122" t="s">
        <v>292</v>
      </c>
      <c r="H270" s="206">
        <v>36.4</v>
      </c>
      <c r="I270" s="124">
        <v>7.55</v>
      </c>
      <c r="J270" s="124">
        <f t="shared" si="34"/>
        <v>274.82</v>
      </c>
      <c r="K270" s="121" t="s">
        <v>1</v>
      </c>
      <c r="L270" s="24"/>
      <c r="M270" s="125" t="s">
        <v>1</v>
      </c>
      <c r="N270" s="126" t="s">
        <v>32</v>
      </c>
      <c r="O270" s="127">
        <v>0.58545999999999998</v>
      </c>
      <c r="P270" s="127">
        <f t="shared" si="35"/>
        <v>21.310744</v>
      </c>
      <c r="Q270" s="127">
        <v>1.8069999999999999E-2</v>
      </c>
      <c r="R270" s="127">
        <f t="shared" si="36"/>
        <v>0.657748</v>
      </c>
      <c r="S270" s="127">
        <v>0</v>
      </c>
      <c r="T270" s="128">
        <f t="shared" si="37"/>
        <v>0</v>
      </c>
      <c r="W270" s="199"/>
      <c r="X270" s="205" t="s">
        <v>522</v>
      </c>
      <c r="Y270" s="119" t="s">
        <v>231</v>
      </c>
      <c r="Z270" s="120" t="s">
        <v>523</v>
      </c>
      <c r="AA270" s="121" t="s">
        <v>524</v>
      </c>
      <c r="AB270" s="122" t="s">
        <v>292</v>
      </c>
      <c r="AC270" s="206">
        <f>36.4+35.6</f>
        <v>72</v>
      </c>
      <c r="AD270" s="124">
        <v>7.55</v>
      </c>
      <c r="AE270" s="200">
        <f t="shared" si="38"/>
        <v>543.6</v>
      </c>
      <c r="AF270" s="956">
        <v>14</v>
      </c>
      <c r="AG270" s="407"/>
      <c r="AR270" s="129" t="s">
        <v>235</v>
      </c>
      <c r="AT270" s="129" t="s">
        <v>231</v>
      </c>
      <c r="AU270" s="129" t="s">
        <v>76</v>
      </c>
      <c r="AY270" s="13" t="s">
        <v>228</v>
      </c>
      <c r="BE270" s="130">
        <f t="shared" si="39"/>
        <v>0</v>
      </c>
      <c r="BF270" s="130">
        <f t="shared" si="40"/>
        <v>274.82</v>
      </c>
      <c r="BG270" s="130">
        <f t="shared" si="41"/>
        <v>0</v>
      </c>
      <c r="BH270" s="130">
        <f t="shared" si="42"/>
        <v>0</v>
      </c>
      <c r="BI270" s="130">
        <f t="shared" si="43"/>
        <v>0</v>
      </c>
      <c r="BJ270" s="13" t="s">
        <v>76</v>
      </c>
      <c r="BK270" s="130">
        <f t="shared" si="44"/>
        <v>274.82</v>
      </c>
      <c r="BL270" s="13" t="s">
        <v>235</v>
      </c>
      <c r="BM270" s="129" t="s">
        <v>525</v>
      </c>
    </row>
    <row r="271" spans="2:65" s="1" customFormat="1" ht="24" customHeight="1" x14ac:dyDescent="0.2">
      <c r="B271" s="118"/>
      <c r="C271" s="205" t="s">
        <v>379</v>
      </c>
      <c r="D271" s="119" t="s">
        <v>231</v>
      </c>
      <c r="E271" s="120" t="s">
        <v>526</v>
      </c>
      <c r="F271" s="121" t="s">
        <v>527</v>
      </c>
      <c r="G271" s="122" t="s">
        <v>284</v>
      </c>
      <c r="H271" s="206">
        <v>264.67899999999997</v>
      </c>
      <c r="I271" s="124">
        <v>2.9</v>
      </c>
      <c r="J271" s="124">
        <f t="shared" si="34"/>
        <v>767.57</v>
      </c>
      <c r="K271" s="121" t="s">
        <v>1</v>
      </c>
      <c r="L271" s="24"/>
      <c r="M271" s="125" t="s">
        <v>1</v>
      </c>
      <c r="N271" s="126" t="s">
        <v>32</v>
      </c>
      <c r="O271" s="127">
        <v>0.28399999999999997</v>
      </c>
      <c r="P271" s="127">
        <f t="shared" si="35"/>
        <v>75.168835999999985</v>
      </c>
      <c r="Q271" s="127">
        <v>0</v>
      </c>
      <c r="R271" s="127">
        <f t="shared" si="36"/>
        <v>0</v>
      </c>
      <c r="S271" s="127">
        <v>6.8000000000000005E-2</v>
      </c>
      <c r="T271" s="128">
        <f t="shared" si="37"/>
        <v>17.998172</v>
      </c>
      <c r="W271" s="199"/>
      <c r="X271" s="205" t="s">
        <v>379</v>
      </c>
      <c r="Y271" s="119" t="s">
        <v>231</v>
      </c>
      <c r="Z271" s="120" t="s">
        <v>526</v>
      </c>
      <c r="AA271" s="121" t="s">
        <v>527</v>
      </c>
      <c r="AB271" s="122" t="s">
        <v>284</v>
      </c>
      <c r="AC271" s="206">
        <f>264.679+98.288+12.318</f>
        <v>375.28499999999997</v>
      </c>
      <c r="AD271" s="124">
        <v>2.9</v>
      </c>
      <c r="AE271" s="200">
        <f t="shared" si="38"/>
        <v>1088.33</v>
      </c>
      <c r="AF271" s="956" t="s">
        <v>6660</v>
      </c>
      <c r="AG271" s="407"/>
      <c r="AR271" s="129" t="s">
        <v>235</v>
      </c>
      <c r="AT271" s="129" t="s">
        <v>231</v>
      </c>
      <c r="AU271" s="129" t="s">
        <v>76</v>
      </c>
      <c r="AY271" s="13" t="s">
        <v>228</v>
      </c>
      <c r="BE271" s="130">
        <f t="shared" si="39"/>
        <v>0</v>
      </c>
      <c r="BF271" s="130">
        <f t="shared" si="40"/>
        <v>767.57</v>
      </c>
      <c r="BG271" s="130">
        <f t="shared" si="41"/>
        <v>0</v>
      </c>
      <c r="BH271" s="130">
        <f t="shared" si="42"/>
        <v>0</v>
      </c>
      <c r="BI271" s="130">
        <f t="shared" si="43"/>
        <v>0</v>
      </c>
      <c r="BJ271" s="13" t="s">
        <v>76</v>
      </c>
      <c r="BK271" s="130">
        <f t="shared" si="44"/>
        <v>767.57</v>
      </c>
      <c r="BL271" s="13" t="s">
        <v>235</v>
      </c>
      <c r="BM271" s="129" t="s">
        <v>528</v>
      </c>
    </row>
    <row r="272" spans="2:65" s="648" customFormat="1" ht="39" customHeight="1" x14ac:dyDescent="0.2">
      <c r="B272" s="118"/>
      <c r="C272" s="1234" t="s">
        <v>5205</v>
      </c>
      <c r="D272" s="1235"/>
      <c r="E272" s="1235"/>
      <c r="F272" s="1235"/>
      <c r="G272" s="1235"/>
      <c r="H272" s="1235"/>
      <c r="I272" s="1235"/>
      <c r="J272" s="1236"/>
      <c r="K272" s="121"/>
      <c r="L272" s="24"/>
      <c r="M272" s="125"/>
      <c r="N272" s="126"/>
      <c r="O272" s="127"/>
      <c r="P272" s="127"/>
      <c r="Q272" s="127"/>
      <c r="R272" s="127"/>
      <c r="S272" s="127"/>
      <c r="T272" s="128"/>
      <c r="W272" s="199"/>
      <c r="X272" s="207" t="s">
        <v>5439</v>
      </c>
      <c r="Y272" s="207" t="s">
        <v>231</v>
      </c>
      <c r="Z272" s="342" t="s">
        <v>6349</v>
      </c>
      <c r="AA272" s="343" t="s">
        <v>6350</v>
      </c>
      <c r="AB272" s="344" t="s">
        <v>284</v>
      </c>
      <c r="AC272" s="345">
        <v>61</v>
      </c>
      <c r="AD272" s="346">
        <v>2.2400000000000002</v>
      </c>
      <c r="AE272" s="355">
        <f>AC272*AD272</f>
        <v>136.64000000000001</v>
      </c>
      <c r="AF272" s="956">
        <v>14</v>
      </c>
      <c r="AG272" s="407"/>
      <c r="AR272" s="129"/>
      <c r="AT272" s="129"/>
      <c r="AU272" s="129"/>
      <c r="AY272" s="13"/>
      <c r="BE272" s="130"/>
      <c r="BF272" s="130"/>
      <c r="BG272" s="130"/>
      <c r="BH272" s="130"/>
      <c r="BI272" s="130"/>
      <c r="BJ272" s="13"/>
      <c r="BK272" s="130"/>
      <c r="BL272" s="13"/>
      <c r="BM272" s="129"/>
    </row>
    <row r="273" spans="2:65" s="1" customFormat="1" ht="34.200000000000003" x14ac:dyDescent="0.2">
      <c r="B273" s="118"/>
      <c r="C273" s="205" t="s">
        <v>529</v>
      </c>
      <c r="D273" s="119" t="s">
        <v>231</v>
      </c>
      <c r="E273" s="120" t="s">
        <v>530</v>
      </c>
      <c r="F273" s="121" t="s">
        <v>531</v>
      </c>
      <c r="G273" s="122" t="s">
        <v>284</v>
      </c>
      <c r="H273" s="206">
        <v>6.3</v>
      </c>
      <c r="I273" s="124">
        <v>2.3199999999999998</v>
      </c>
      <c r="J273" s="124">
        <f t="shared" si="34"/>
        <v>14.62</v>
      </c>
      <c r="K273" s="121" t="s">
        <v>1</v>
      </c>
      <c r="L273" s="24"/>
      <c r="M273" s="125" t="s">
        <v>1</v>
      </c>
      <c r="N273" s="126" t="s">
        <v>32</v>
      </c>
      <c r="O273" s="127">
        <v>0</v>
      </c>
      <c r="P273" s="127">
        <f t="shared" si="35"/>
        <v>0</v>
      </c>
      <c r="Q273" s="127">
        <v>0</v>
      </c>
      <c r="R273" s="127">
        <f t="shared" si="36"/>
        <v>0</v>
      </c>
      <c r="S273" s="127">
        <v>0</v>
      </c>
      <c r="T273" s="128">
        <f t="shared" si="37"/>
        <v>0</v>
      </c>
      <c r="W273" s="199"/>
      <c r="X273" s="205" t="s">
        <v>529</v>
      </c>
      <c r="Y273" s="119" t="s">
        <v>231</v>
      </c>
      <c r="Z273" s="120" t="s">
        <v>530</v>
      </c>
      <c r="AA273" s="121" t="s">
        <v>531</v>
      </c>
      <c r="AB273" s="122" t="s">
        <v>284</v>
      </c>
      <c r="AC273" s="206">
        <f>6.3+9.5</f>
        <v>15.8</v>
      </c>
      <c r="AD273" s="124">
        <v>2.3199999999999998</v>
      </c>
      <c r="AE273" s="200">
        <f t="shared" si="38"/>
        <v>36.659999999999997</v>
      </c>
      <c r="AF273" s="956">
        <v>14</v>
      </c>
      <c r="AG273" s="407"/>
      <c r="AR273" s="129" t="s">
        <v>235</v>
      </c>
      <c r="AT273" s="129" t="s">
        <v>231</v>
      </c>
      <c r="AU273" s="129" t="s">
        <v>76</v>
      </c>
      <c r="AY273" s="13" t="s">
        <v>228</v>
      </c>
      <c r="BE273" s="130">
        <f t="shared" si="39"/>
        <v>0</v>
      </c>
      <c r="BF273" s="130">
        <f t="shared" si="40"/>
        <v>14.62</v>
      </c>
      <c r="BG273" s="130">
        <f t="shared" si="41"/>
        <v>0</v>
      </c>
      <c r="BH273" s="130">
        <f t="shared" si="42"/>
        <v>0</v>
      </c>
      <c r="BI273" s="130">
        <f t="shared" si="43"/>
        <v>0</v>
      </c>
      <c r="BJ273" s="13" t="s">
        <v>76</v>
      </c>
      <c r="BK273" s="130">
        <f t="shared" si="44"/>
        <v>14.62</v>
      </c>
      <c r="BL273" s="13" t="s">
        <v>235</v>
      </c>
      <c r="BM273" s="129" t="s">
        <v>532</v>
      </c>
    </row>
    <row r="274" spans="2:65" s="1" customFormat="1" ht="25.95" customHeight="1" x14ac:dyDescent="0.2">
      <c r="B274" s="118"/>
      <c r="C274" s="205" t="s">
        <v>382</v>
      </c>
      <c r="D274" s="119" t="s">
        <v>231</v>
      </c>
      <c r="E274" s="120" t="s">
        <v>533</v>
      </c>
      <c r="F274" s="121" t="s">
        <v>534</v>
      </c>
      <c r="G274" s="122" t="s">
        <v>271</v>
      </c>
      <c r="H274" s="206">
        <v>148.62799999999999</v>
      </c>
      <c r="I274" s="124">
        <v>2.3199999999999998</v>
      </c>
      <c r="J274" s="124">
        <f t="shared" si="34"/>
        <v>344.82</v>
      </c>
      <c r="K274" s="121" t="s">
        <v>1</v>
      </c>
      <c r="L274" s="24"/>
      <c r="M274" s="125" t="s">
        <v>1</v>
      </c>
      <c r="N274" s="126" t="s">
        <v>32</v>
      </c>
      <c r="O274" s="127">
        <v>0.59799999999999998</v>
      </c>
      <c r="P274" s="127">
        <f t="shared" si="35"/>
        <v>88.879543999999981</v>
      </c>
      <c r="Q274" s="127">
        <v>0</v>
      </c>
      <c r="R274" s="127">
        <f t="shared" si="36"/>
        <v>0</v>
      </c>
      <c r="S274" s="127">
        <v>0</v>
      </c>
      <c r="T274" s="128">
        <f t="shared" si="37"/>
        <v>0</v>
      </c>
      <c r="W274" s="199"/>
      <c r="X274" s="205" t="s">
        <v>382</v>
      </c>
      <c r="Y274" s="119" t="s">
        <v>231</v>
      </c>
      <c r="Z274" s="120" t="s">
        <v>533</v>
      </c>
      <c r="AA274" s="121" t="s">
        <v>534</v>
      </c>
      <c r="AB274" s="122" t="s">
        <v>271</v>
      </c>
      <c r="AC274" s="206">
        <f>148.628+6.955+29.505+4.209+39.947+3.003</f>
        <v>232.24700000000001</v>
      </c>
      <c r="AD274" s="124">
        <v>2.3199999999999998</v>
      </c>
      <c r="AE274" s="200">
        <f t="shared" si="38"/>
        <v>538.80999999999995</v>
      </c>
      <c r="AF274" s="956" t="s">
        <v>6664</v>
      </c>
      <c r="AG274" s="407"/>
      <c r="AR274" s="129" t="s">
        <v>235</v>
      </c>
      <c r="AT274" s="129" t="s">
        <v>231</v>
      </c>
      <c r="AU274" s="129" t="s">
        <v>76</v>
      </c>
      <c r="AY274" s="13" t="s">
        <v>228</v>
      </c>
      <c r="BE274" s="130">
        <f t="shared" si="39"/>
        <v>0</v>
      </c>
      <c r="BF274" s="130">
        <f t="shared" si="40"/>
        <v>344.82</v>
      </c>
      <c r="BG274" s="130">
        <f t="shared" si="41"/>
        <v>0</v>
      </c>
      <c r="BH274" s="130">
        <f t="shared" si="42"/>
        <v>0</v>
      </c>
      <c r="BI274" s="130">
        <f t="shared" si="43"/>
        <v>0</v>
      </c>
      <c r="BJ274" s="13" t="s">
        <v>76</v>
      </c>
      <c r="BK274" s="130">
        <f t="shared" si="44"/>
        <v>344.82</v>
      </c>
      <c r="BL274" s="13" t="s">
        <v>235</v>
      </c>
      <c r="BM274" s="129" t="s">
        <v>535</v>
      </c>
    </row>
    <row r="275" spans="2:65" s="1" customFormat="1" ht="24" customHeight="1" x14ac:dyDescent="0.2">
      <c r="B275" s="118"/>
      <c r="C275" s="205" t="s">
        <v>536</v>
      </c>
      <c r="D275" s="119" t="s">
        <v>231</v>
      </c>
      <c r="E275" s="120" t="s">
        <v>537</v>
      </c>
      <c r="F275" s="121" t="s">
        <v>538</v>
      </c>
      <c r="G275" s="122" t="s">
        <v>271</v>
      </c>
      <c r="H275" s="206">
        <v>1486.28</v>
      </c>
      <c r="I275" s="124">
        <v>0.23</v>
      </c>
      <c r="J275" s="124">
        <f t="shared" si="34"/>
        <v>341.84</v>
      </c>
      <c r="K275" s="121" t="s">
        <v>1</v>
      </c>
      <c r="L275" s="24"/>
      <c r="M275" s="125" t="s">
        <v>1</v>
      </c>
      <c r="N275" s="126" t="s">
        <v>32</v>
      </c>
      <c r="O275" s="127">
        <v>7.0000000000000001E-3</v>
      </c>
      <c r="P275" s="127">
        <f t="shared" si="35"/>
        <v>10.40396</v>
      </c>
      <c r="Q275" s="127">
        <v>0</v>
      </c>
      <c r="R275" s="127">
        <f t="shared" si="36"/>
        <v>0</v>
      </c>
      <c r="S275" s="127">
        <v>0</v>
      </c>
      <c r="T275" s="128">
        <f t="shared" si="37"/>
        <v>0</v>
      </c>
      <c r="W275" s="199"/>
      <c r="X275" s="205" t="s">
        <v>536</v>
      </c>
      <c r="Y275" s="119" t="s">
        <v>231</v>
      </c>
      <c r="Z275" s="120" t="s">
        <v>537</v>
      </c>
      <c r="AA275" s="121" t="s">
        <v>538</v>
      </c>
      <c r="AB275" s="122" t="s">
        <v>271</v>
      </c>
      <c r="AC275" s="206">
        <f>1486.28+69.55+295.05+42.09+399.47+30.03</f>
        <v>2322.4699999999998</v>
      </c>
      <c r="AD275" s="124">
        <v>0.23</v>
      </c>
      <c r="AE275" s="200">
        <f t="shared" si="38"/>
        <v>534.16999999999996</v>
      </c>
      <c r="AF275" s="956" t="s">
        <v>6664</v>
      </c>
      <c r="AG275" s="407"/>
      <c r="AR275" s="129" t="s">
        <v>235</v>
      </c>
      <c r="AT275" s="129" t="s">
        <v>231</v>
      </c>
      <c r="AU275" s="129" t="s">
        <v>76</v>
      </c>
      <c r="AY275" s="13" t="s">
        <v>228</v>
      </c>
      <c r="BE275" s="130">
        <f t="shared" si="39"/>
        <v>0</v>
      </c>
      <c r="BF275" s="130">
        <f t="shared" si="40"/>
        <v>341.84</v>
      </c>
      <c r="BG275" s="130">
        <f t="shared" si="41"/>
        <v>0</v>
      </c>
      <c r="BH275" s="130">
        <f t="shared" si="42"/>
        <v>0</v>
      </c>
      <c r="BI275" s="130">
        <f t="shared" si="43"/>
        <v>0</v>
      </c>
      <c r="BJ275" s="13" t="s">
        <v>76</v>
      </c>
      <c r="BK275" s="130">
        <f t="shared" si="44"/>
        <v>341.84</v>
      </c>
      <c r="BL275" s="13" t="s">
        <v>235</v>
      </c>
      <c r="BM275" s="129" t="s">
        <v>539</v>
      </c>
    </row>
    <row r="276" spans="2:65" s="1" customFormat="1" ht="16.5" customHeight="1" x14ac:dyDescent="0.2">
      <c r="B276" s="118"/>
      <c r="C276" s="205" t="s">
        <v>386</v>
      </c>
      <c r="D276" s="119" t="s">
        <v>231</v>
      </c>
      <c r="E276" s="120" t="s">
        <v>540</v>
      </c>
      <c r="F276" s="121" t="s">
        <v>541</v>
      </c>
      <c r="G276" s="122" t="s">
        <v>271</v>
      </c>
      <c r="H276" s="206">
        <v>148.62799999999999</v>
      </c>
      <c r="I276" s="124">
        <v>4.0599999999999996</v>
      </c>
      <c r="J276" s="124">
        <f t="shared" si="34"/>
        <v>603.42999999999995</v>
      </c>
      <c r="K276" s="121" t="s">
        <v>1</v>
      </c>
      <c r="L276" s="24"/>
      <c r="M276" s="125" t="s">
        <v>1</v>
      </c>
      <c r="N276" s="126" t="s">
        <v>32</v>
      </c>
      <c r="O276" s="127">
        <v>0.89</v>
      </c>
      <c r="P276" s="127">
        <f t="shared" si="35"/>
        <v>132.27892</v>
      </c>
      <c r="Q276" s="127">
        <v>0</v>
      </c>
      <c r="R276" s="127">
        <f t="shared" si="36"/>
        <v>0</v>
      </c>
      <c r="S276" s="127">
        <v>0</v>
      </c>
      <c r="T276" s="128">
        <f t="shared" si="37"/>
        <v>0</v>
      </c>
      <c r="W276" s="199"/>
      <c r="X276" s="205" t="s">
        <v>386</v>
      </c>
      <c r="Y276" s="119" t="s">
        <v>231</v>
      </c>
      <c r="Z276" s="120" t="s">
        <v>540</v>
      </c>
      <c r="AA276" s="121" t="s">
        <v>541</v>
      </c>
      <c r="AB276" s="122" t="s">
        <v>271</v>
      </c>
      <c r="AC276" s="206">
        <f>148.628+6.955+29.505+4.209+39.947+3.003</f>
        <v>232.24700000000001</v>
      </c>
      <c r="AD276" s="124">
        <v>4.0599999999999996</v>
      </c>
      <c r="AE276" s="200">
        <f t="shared" si="38"/>
        <v>942.92</v>
      </c>
      <c r="AF276" s="956" t="s">
        <v>6664</v>
      </c>
      <c r="AG276" s="407"/>
      <c r="AR276" s="129" t="s">
        <v>235</v>
      </c>
      <c r="AT276" s="129" t="s">
        <v>231</v>
      </c>
      <c r="AU276" s="129" t="s">
        <v>76</v>
      </c>
      <c r="AY276" s="13" t="s">
        <v>228</v>
      </c>
      <c r="BE276" s="130">
        <f t="shared" si="39"/>
        <v>0</v>
      </c>
      <c r="BF276" s="130">
        <f t="shared" si="40"/>
        <v>603.42999999999995</v>
      </c>
      <c r="BG276" s="130">
        <f t="shared" si="41"/>
        <v>0</v>
      </c>
      <c r="BH276" s="130">
        <f t="shared" si="42"/>
        <v>0</v>
      </c>
      <c r="BI276" s="130">
        <f t="shared" si="43"/>
        <v>0</v>
      </c>
      <c r="BJ276" s="13" t="s">
        <v>76</v>
      </c>
      <c r="BK276" s="130">
        <f t="shared" si="44"/>
        <v>603.42999999999995</v>
      </c>
      <c r="BL276" s="13" t="s">
        <v>235</v>
      </c>
      <c r="BM276" s="129" t="s">
        <v>542</v>
      </c>
    </row>
    <row r="277" spans="2:65" s="1" customFormat="1" ht="24" customHeight="1" x14ac:dyDescent="0.2">
      <c r="B277" s="118"/>
      <c r="C277" s="205" t="s">
        <v>543</v>
      </c>
      <c r="D277" s="119" t="s">
        <v>231</v>
      </c>
      <c r="E277" s="120" t="s">
        <v>544</v>
      </c>
      <c r="F277" s="121" t="s">
        <v>545</v>
      </c>
      <c r="G277" s="122" t="s">
        <v>271</v>
      </c>
      <c r="H277" s="206">
        <v>297.25599999999997</v>
      </c>
      <c r="I277" s="124">
        <v>0.41</v>
      </c>
      <c r="J277" s="124">
        <f t="shared" si="34"/>
        <v>121.87</v>
      </c>
      <c r="K277" s="121" t="s">
        <v>1</v>
      </c>
      <c r="L277" s="24"/>
      <c r="M277" s="125" t="s">
        <v>1</v>
      </c>
      <c r="N277" s="126" t="s">
        <v>32</v>
      </c>
      <c r="O277" s="127">
        <v>0.1</v>
      </c>
      <c r="P277" s="127">
        <f t="shared" si="35"/>
        <v>29.7256</v>
      </c>
      <c r="Q277" s="127">
        <v>0</v>
      </c>
      <c r="R277" s="127">
        <f t="shared" si="36"/>
        <v>0</v>
      </c>
      <c r="S277" s="127">
        <v>0</v>
      </c>
      <c r="T277" s="128">
        <f t="shared" si="37"/>
        <v>0</v>
      </c>
      <c r="W277" s="199"/>
      <c r="X277" s="205" t="s">
        <v>543</v>
      </c>
      <c r="Y277" s="119" t="s">
        <v>231</v>
      </c>
      <c r="Z277" s="120" t="s">
        <v>544</v>
      </c>
      <c r="AA277" s="121" t="s">
        <v>545</v>
      </c>
      <c r="AB277" s="122" t="s">
        <v>271</v>
      </c>
      <c r="AC277" s="206">
        <f>297.256+13.91+59.01+8.418+79.894+6.006</f>
        <v>464.49400000000003</v>
      </c>
      <c r="AD277" s="124">
        <v>0.41</v>
      </c>
      <c r="AE277" s="200">
        <f t="shared" si="38"/>
        <v>190.44</v>
      </c>
      <c r="AF277" s="956" t="s">
        <v>6664</v>
      </c>
      <c r="AG277" s="407"/>
      <c r="AR277" s="129" t="s">
        <v>235</v>
      </c>
      <c r="AT277" s="129" t="s">
        <v>231</v>
      </c>
      <c r="AU277" s="129" t="s">
        <v>76</v>
      </c>
      <c r="AY277" s="13" t="s">
        <v>228</v>
      </c>
      <c r="BE277" s="130">
        <f t="shared" si="39"/>
        <v>0</v>
      </c>
      <c r="BF277" s="130">
        <f t="shared" si="40"/>
        <v>121.87</v>
      </c>
      <c r="BG277" s="130">
        <f t="shared" si="41"/>
        <v>0</v>
      </c>
      <c r="BH277" s="130">
        <f t="shared" si="42"/>
        <v>0</v>
      </c>
      <c r="BI277" s="130">
        <f t="shared" si="43"/>
        <v>0</v>
      </c>
      <c r="BJ277" s="13" t="s">
        <v>76</v>
      </c>
      <c r="BK277" s="130">
        <f t="shared" si="44"/>
        <v>121.87</v>
      </c>
      <c r="BL277" s="13" t="s">
        <v>235</v>
      </c>
      <c r="BM277" s="129" t="s">
        <v>546</v>
      </c>
    </row>
    <row r="278" spans="2:65" s="1" customFormat="1" ht="24" customHeight="1" x14ac:dyDescent="0.2">
      <c r="B278" s="118"/>
      <c r="C278" s="205" t="s">
        <v>389</v>
      </c>
      <c r="D278" s="119" t="s">
        <v>231</v>
      </c>
      <c r="E278" s="120" t="s">
        <v>547</v>
      </c>
      <c r="F278" s="121" t="s">
        <v>548</v>
      </c>
      <c r="G278" s="122" t="s">
        <v>271</v>
      </c>
      <c r="H278" s="206">
        <v>148.62799999999999</v>
      </c>
      <c r="I278" s="124">
        <v>31.35</v>
      </c>
      <c r="J278" s="124">
        <f t="shared" si="34"/>
        <v>4659.49</v>
      </c>
      <c r="K278" s="121" t="s">
        <v>1</v>
      </c>
      <c r="L278" s="24"/>
      <c r="M278" s="125" t="s">
        <v>1</v>
      </c>
      <c r="N278" s="126" t="s">
        <v>32</v>
      </c>
      <c r="O278" s="127">
        <v>0</v>
      </c>
      <c r="P278" s="127">
        <f t="shared" si="35"/>
        <v>0</v>
      </c>
      <c r="Q278" s="127">
        <v>0</v>
      </c>
      <c r="R278" s="127">
        <f t="shared" si="36"/>
        <v>0</v>
      </c>
      <c r="S278" s="127">
        <v>0</v>
      </c>
      <c r="T278" s="128">
        <f t="shared" si="37"/>
        <v>0</v>
      </c>
      <c r="W278" s="199"/>
      <c r="X278" s="205" t="s">
        <v>389</v>
      </c>
      <c r="Y278" s="119" t="s">
        <v>231</v>
      </c>
      <c r="Z278" s="120" t="s">
        <v>547</v>
      </c>
      <c r="AA278" s="121" t="s">
        <v>548</v>
      </c>
      <c r="AB278" s="122" t="s">
        <v>271</v>
      </c>
      <c r="AC278" s="206">
        <f>148.628+6.955+29.505+4.2088+39.947+3.003</f>
        <v>232.24680000000001</v>
      </c>
      <c r="AD278" s="124">
        <v>31.35</v>
      </c>
      <c r="AE278" s="200">
        <f t="shared" si="38"/>
        <v>7280.94</v>
      </c>
      <c r="AF278" s="956" t="s">
        <v>6664</v>
      </c>
      <c r="AG278" s="407"/>
      <c r="AR278" s="129" t="s">
        <v>235</v>
      </c>
      <c r="AT278" s="129" t="s">
        <v>231</v>
      </c>
      <c r="AU278" s="129" t="s">
        <v>76</v>
      </c>
      <c r="AY278" s="13" t="s">
        <v>228</v>
      </c>
      <c r="BE278" s="130">
        <f t="shared" si="39"/>
        <v>0</v>
      </c>
      <c r="BF278" s="130">
        <f t="shared" si="40"/>
        <v>4659.49</v>
      </c>
      <c r="BG278" s="130">
        <f t="shared" si="41"/>
        <v>0</v>
      </c>
      <c r="BH278" s="130">
        <f t="shared" si="42"/>
        <v>0</v>
      </c>
      <c r="BI278" s="130">
        <f t="shared" si="43"/>
        <v>0</v>
      </c>
      <c r="BJ278" s="13" t="s">
        <v>76</v>
      </c>
      <c r="BK278" s="130">
        <f t="shared" si="44"/>
        <v>4659.49</v>
      </c>
      <c r="BL278" s="13" t="s">
        <v>235</v>
      </c>
      <c r="BM278" s="129" t="s">
        <v>549</v>
      </c>
    </row>
    <row r="279" spans="2:65" s="11" customFormat="1" ht="22.95" customHeight="1" x14ac:dyDescent="0.25">
      <c r="B279" s="106"/>
      <c r="D279" s="107" t="s">
        <v>57</v>
      </c>
      <c r="E279" s="116" t="s">
        <v>550</v>
      </c>
      <c r="F279" s="116" t="s">
        <v>551</v>
      </c>
      <c r="J279" s="117">
        <f>BK279</f>
        <v>3032.6</v>
      </c>
      <c r="L279" s="106"/>
      <c r="M279" s="110"/>
      <c r="N279" s="111"/>
      <c r="O279" s="111"/>
      <c r="P279" s="112">
        <f>P280</f>
        <v>321.67518900000005</v>
      </c>
      <c r="Q279" s="111"/>
      <c r="R279" s="112">
        <f>R280</f>
        <v>0</v>
      </c>
      <c r="S279" s="111"/>
      <c r="T279" s="113">
        <f>T280</f>
        <v>0</v>
      </c>
      <c r="W279" s="195"/>
      <c r="X279" s="111"/>
      <c r="Y279" s="196" t="s">
        <v>57</v>
      </c>
      <c r="Z279" s="201" t="s">
        <v>550</v>
      </c>
      <c r="AA279" s="201" t="s">
        <v>551</v>
      </c>
      <c r="AB279" s="111"/>
      <c r="AC279" s="111"/>
      <c r="AD279" s="111"/>
      <c r="AE279" s="202">
        <f>AE280</f>
        <v>5041.95</v>
      </c>
      <c r="AF279" s="956"/>
      <c r="AG279" s="292"/>
      <c r="AR279" s="107" t="s">
        <v>63</v>
      </c>
      <c r="AT279" s="114" t="s">
        <v>57</v>
      </c>
      <c r="AU279" s="114" t="s">
        <v>63</v>
      </c>
      <c r="AY279" s="107" t="s">
        <v>228</v>
      </c>
      <c r="BK279" s="115">
        <f>BK280</f>
        <v>3032.6</v>
      </c>
    </row>
    <row r="280" spans="2:65" s="1" customFormat="1" ht="27" customHeight="1" x14ac:dyDescent="0.2">
      <c r="B280" s="118"/>
      <c r="C280" s="205" t="s">
        <v>552</v>
      </c>
      <c r="D280" s="119" t="s">
        <v>231</v>
      </c>
      <c r="E280" s="120" t="s">
        <v>553</v>
      </c>
      <c r="F280" s="121" t="s">
        <v>554</v>
      </c>
      <c r="G280" s="122" t="s">
        <v>271</v>
      </c>
      <c r="H280" s="206">
        <v>130.60300000000001</v>
      </c>
      <c r="I280" s="124">
        <v>23.22</v>
      </c>
      <c r="J280" s="124">
        <f>ROUND(I280*H280,2)</f>
        <v>3032.6</v>
      </c>
      <c r="K280" s="121" t="s">
        <v>1</v>
      </c>
      <c r="L280" s="24"/>
      <c r="M280" s="125" t="s">
        <v>1</v>
      </c>
      <c r="N280" s="126" t="s">
        <v>32</v>
      </c>
      <c r="O280" s="127">
        <v>2.4630000000000001</v>
      </c>
      <c r="P280" s="127">
        <f>O280*H280</f>
        <v>321.67518900000005</v>
      </c>
      <c r="Q280" s="127">
        <v>0</v>
      </c>
      <c r="R280" s="127">
        <f>Q280*H280</f>
        <v>0</v>
      </c>
      <c r="S280" s="127">
        <v>0</v>
      </c>
      <c r="T280" s="128">
        <f>S280*H280</f>
        <v>0</v>
      </c>
      <c r="W280" s="199"/>
      <c r="X280" s="205" t="s">
        <v>552</v>
      </c>
      <c r="Y280" s="119" t="s">
        <v>231</v>
      </c>
      <c r="Z280" s="120" t="s">
        <v>553</v>
      </c>
      <c r="AA280" s="121" t="s">
        <v>554</v>
      </c>
      <c r="AB280" s="122" t="s">
        <v>271</v>
      </c>
      <c r="AC280" s="1151">
        <f>130.603+2.456+33.249+45.2378+5.5925</f>
        <v>217.13829999999999</v>
      </c>
      <c r="AD280" s="124">
        <v>23.22</v>
      </c>
      <c r="AE280" s="200">
        <f>ROUND(AD280*AC280,2)</f>
        <v>5041.95</v>
      </c>
      <c r="AF280" s="956" t="s">
        <v>6665</v>
      </c>
      <c r="AG280" s="407"/>
      <c r="AR280" s="129" t="s">
        <v>235</v>
      </c>
      <c r="AT280" s="129" t="s">
        <v>231</v>
      </c>
      <c r="AU280" s="129" t="s">
        <v>76</v>
      </c>
      <c r="AY280" s="13" t="s">
        <v>228</v>
      </c>
      <c r="BE280" s="130">
        <f>IF(N280="základná",J280,0)</f>
        <v>0</v>
      </c>
      <c r="BF280" s="130">
        <f>IF(N280="znížená",J280,0)</f>
        <v>3032.6</v>
      </c>
      <c r="BG280" s="130">
        <f>IF(N280="zákl. prenesená",J280,0)</f>
        <v>0</v>
      </c>
      <c r="BH280" s="130">
        <f>IF(N280="zníž. prenesená",J280,0)</f>
        <v>0</v>
      </c>
      <c r="BI280" s="130">
        <f>IF(N280="nulová",J280,0)</f>
        <v>0</v>
      </c>
      <c r="BJ280" s="13" t="s">
        <v>76</v>
      </c>
      <c r="BK280" s="130">
        <f>ROUND(I280*H280,2)</f>
        <v>3032.6</v>
      </c>
      <c r="BL280" s="13" t="s">
        <v>235</v>
      </c>
      <c r="BM280" s="129" t="s">
        <v>555</v>
      </c>
    </row>
    <row r="281" spans="2:65" s="11" customFormat="1" ht="25.95" customHeight="1" x14ac:dyDescent="0.25">
      <c r="B281" s="106"/>
      <c r="D281" s="107" t="s">
        <v>57</v>
      </c>
      <c r="E281" s="108" t="s">
        <v>556</v>
      </c>
      <c r="F281" s="108" t="s">
        <v>557</v>
      </c>
      <c r="J281" s="109">
        <f>BK281</f>
        <v>137028.99</v>
      </c>
      <c r="L281" s="106"/>
      <c r="M281" s="110"/>
      <c r="N281" s="111"/>
      <c r="O281" s="111"/>
      <c r="P281" s="112">
        <f>P282+P290+P294+P306+P309+P315+P344+P378+P389+P401+P407</f>
        <v>732.77551559999995</v>
      </c>
      <c r="Q281" s="111"/>
      <c r="R281" s="112">
        <f>R282+R290+R294+R306+R309+R315+R344+R378+R389+R401+R407</f>
        <v>0.86589909999999992</v>
      </c>
      <c r="S281" s="111"/>
      <c r="T281" s="113">
        <f>T282+T290+T294+T306+T309+T315+T344+T378+T389+T401+T407</f>
        <v>0.54964999999999997</v>
      </c>
      <c r="W281" s="195"/>
      <c r="X281" s="111"/>
      <c r="Y281" s="196" t="s">
        <v>57</v>
      </c>
      <c r="Z281" s="197" t="s">
        <v>556</v>
      </c>
      <c r="AA281" s="197" t="s">
        <v>557</v>
      </c>
      <c r="AB281" s="111"/>
      <c r="AC281" s="1132">
        <f>130.603+2.456+33.249+45.2378+15.225</f>
        <v>226.77079999999998</v>
      </c>
      <c r="AD281" s="111"/>
      <c r="AE281" s="198">
        <f>AE282+AE290+AE294+AE306+AE309+AE315+AE344+AE378+AE389+AE401+AE407+AE288</f>
        <v>209226.20897124996</v>
      </c>
      <c r="AF281" s="956"/>
      <c r="AG281" s="292"/>
      <c r="AR281" s="107" t="s">
        <v>76</v>
      </c>
      <c r="AT281" s="114" t="s">
        <v>57</v>
      </c>
      <c r="AU281" s="114" t="s">
        <v>58</v>
      </c>
      <c r="AY281" s="107" t="s">
        <v>228</v>
      </c>
      <c r="BK281" s="115">
        <f>BK282+BK290+BK294+BK306+BK309+BK315+BK344+BK378+BK389+BK401+BK407</f>
        <v>137028.99</v>
      </c>
    </row>
    <row r="282" spans="2:65" s="11" customFormat="1" ht="22.95" customHeight="1" x14ac:dyDescent="0.25">
      <c r="B282" s="106"/>
      <c r="D282" s="107" t="s">
        <v>57</v>
      </c>
      <c r="E282" s="116" t="s">
        <v>558</v>
      </c>
      <c r="F282" s="116" t="s">
        <v>559</v>
      </c>
      <c r="J282" s="117">
        <f>BK282</f>
        <v>3827.2500000000005</v>
      </c>
      <c r="L282" s="106"/>
      <c r="M282" s="110"/>
      <c r="N282" s="111"/>
      <c r="O282" s="111"/>
      <c r="P282" s="112">
        <f>SUM(P283:P287)</f>
        <v>0</v>
      </c>
      <c r="Q282" s="111"/>
      <c r="R282" s="112">
        <f>SUM(R283:R287)</f>
        <v>0</v>
      </c>
      <c r="S282" s="111"/>
      <c r="T282" s="113">
        <f>SUM(T283:T287)</f>
        <v>0</v>
      </c>
      <c r="W282" s="195"/>
      <c r="X282" s="111"/>
      <c r="Y282" s="196" t="s">
        <v>57</v>
      </c>
      <c r="Z282" s="201" t="s">
        <v>558</v>
      </c>
      <c r="AA282" s="201" t="s">
        <v>559</v>
      </c>
      <c r="AB282" s="111"/>
      <c r="AC282" s="111"/>
      <c r="AD282" s="111"/>
      <c r="AE282" s="202">
        <f>SUM(AE283:AE287)</f>
        <v>4040.03</v>
      </c>
      <c r="AF282" s="956"/>
      <c r="AG282" s="292"/>
      <c r="AR282" s="107" t="s">
        <v>76</v>
      </c>
      <c r="AT282" s="114" t="s">
        <v>57</v>
      </c>
      <c r="AU282" s="114" t="s">
        <v>63</v>
      </c>
      <c r="AY282" s="107" t="s">
        <v>228</v>
      </c>
      <c r="BK282" s="115">
        <f>SUM(BK283:BK287)</f>
        <v>3827.2500000000005</v>
      </c>
    </row>
    <row r="283" spans="2:65" s="1" customFormat="1" ht="24" customHeight="1" x14ac:dyDescent="0.2">
      <c r="B283" s="118"/>
      <c r="C283" s="119" t="s">
        <v>393</v>
      </c>
      <c r="D283" s="119" t="s">
        <v>231</v>
      </c>
      <c r="E283" s="120" t="s">
        <v>560</v>
      </c>
      <c r="F283" s="121" t="s">
        <v>561</v>
      </c>
      <c r="G283" s="122" t="s">
        <v>284</v>
      </c>
      <c r="H283" s="123">
        <v>319.315</v>
      </c>
      <c r="I283" s="124">
        <v>10.45</v>
      </c>
      <c r="J283" s="124">
        <f>ROUND(I283*H283,2)</f>
        <v>3336.84</v>
      </c>
      <c r="K283" s="121" t="s">
        <v>1</v>
      </c>
      <c r="L283" s="24"/>
      <c r="M283" s="125" t="s">
        <v>1</v>
      </c>
      <c r="N283" s="126" t="s">
        <v>32</v>
      </c>
      <c r="O283" s="127">
        <v>0</v>
      </c>
      <c r="P283" s="127">
        <f>O283*H283</f>
        <v>0</v>
      </c>
      <c r="Q283" s="127">
        <v>0</v>
      </c>
      <c r="R283" s="127">
        <f>Q283*H283</f>
        <v>0</v>
      </c>
      <c r="S283" s="127">
        <v>0</v>
      </c>
      <c r="T283" s="128">
        <f>S283*H283</f>
        <v>0</v>
      </c>
      <c r="W283" s="199"/>
      <c r="X283" s="119" t="s">
        <v>393</v>
      </c>
      <c r="Y283" s="119" t="s">
        <v>231</v>
      </c>
      <c r="Z283" s="120" t="s">
        <v>560</v>
      </c>
      <c r="AA283" s="121" t="s">
        <v>561</v>
      </c>
      <c r="AB283" s="122" t="s">
        <v>284</v>
      </c>
      <c r="AC283" s="123">
        <v>319.315</v>
      </c>
      <c r="AD283" s="124">
        <v>10.45</v>
      </c>
      <c r="AE283" s="200">
        <f>ROUND(AD283*AC283,2)</f>
        <v>3336.84</v>
      </c>
      <c r="AF283" s="956"/>
      <c r="AG283" s="407"/>
      <c r="AR283" s="129" t="s">
        <v>258</v>
      </c>
      <c r="AT283" s="129" t="s">
        <v>231</v>
      </c>
      <c r="AU283" s="129" t="s">
        <v>76</v>
      </c>
      <c r="AY283" s="13" t="s">
        <v>228</v>
      </c>
      <c r="BE283" s="130">
        <f>IF(N283="základná",J283,0)</f>
        <v>0</v>
      </c>
      <c r="BF283" s="130">
        <f>IF(N283="znížená",J283,0)</f>
        <v>3336.84</v>
      </c>
      <c r="BG283" s="130">
        <f>IF(N283="zákl. prenesená",J283,0)</f>
        <v>0</v>
      </c>
      <c r="BH283" s="130">
        <f>IF(N283="zníž. prenesená",J283,0)</f>
        <v>0</v>
      </c>
      <c r="BI283" s="130">
        <f>IF(N283="nulová",J283,0)</f>
        <v>0</v>
      </c>
      <c r="BJ283" s="13" t="s">
        <v>76</v>
      </c>
      <c r="BK283" s="130">
        <f>ROUND(I283*H283,2)</f>
        <v>3336.84</v>
      </c>
      <c r="BL283" s="13" t="s">
        <v>258</v>
      </c>
      <c r="BM283" s="129" t="s">
        <v>562</v>
      </c>
    </row>
    <row r="284" spans="2:65" s="1" customFormat="1" ht="16.5" customHeight="1" x14ac:dyDescent="0.2">
      <c r="B284" s="118"/>
      <c r="C284" s="119" t="s">
        <v>563</v>
      </c>
      <c r="D284" s="119" t="s">
        <v>231</v>
      </c>
      <c r="E284" s="120" t="s">
        <v>564</v>
      </c>
      <c r="F284" s="121" t="s">
        <v>565</v>
      </c>
      <c r="G284" s="122" t="s">
        <v>566</v>
      </c>
      <c r="H284" s="123">
        <v>215.7</v>
      </c>
      <c r="I284" s="124">
        <v>1.74</v>
      </c>
      <c r="J284" s="124">
        <f>ROUND(I284*H284,2)</f>
        <v>375.32</v>
      </c>
      <c r="K284" s="121" t="s">
        <v>1</v>
      </c>
      <c r="L284" s="24"/>
      <c r="M284" s="125" t="s">
        <v>1</v>
      </c>
      <c r="N284" s="126" t="s">
        <v>32</v>
      </c>
      <c r="O284" s="127">
        <v>0</v>
      </c>
      <c r="P284" s="127">
        <f>O284*H284</f>
        <v>0</v>
      </c>
      <c r="Q284" s="127">
        <v>0</v>
      </c>
      <c r="R284" s="127">
        <f>Q284*H284</f>
        <v>0</v>
      </c>
      <c r="S284" s="127">
        <v>0</v>
      </c>
      <c r="T284" s="128">
        <f>S284*H284</f>
        <v>0</v>
      </c>
      <c r="W284" s="199"/>
      <c r="X284" s="119" t="s">
        <v>563</v>
      </c>
      <c r="Y284" s="119" t="s">
        <v>231</v>
      </c>
      <c r="Z284" s="120" t="s">
        <v>564</v>
      </c>
      <c r="AA284" s="121" t="s">
        <v>565</v>
      </c>
      <c r="AB284" s="122" t="s">
        <v>566</v>
      </c>
      <c r="AC284" s="123">
        <v>215.7</v>
      </c>
      <c r="AD284" s="124">
        <v>1.74</v>
      </c>
      <c r="AE284" s="200">
        <f>ROUND(AD284*AC284,2)</f>
        <v>375.32</v>
      </c>
      <c r="AF284" s="956"/>
      <c r="AG284" s="407"/>
      <c r="AR284" s="129" t="s">
        <v>258</v>
      </c>
      <c r="AT284" s="129" t="s">
        <v>231</v>
      </c>
      <c r="AU284" s="129" t="s">
        <v>76</v>
      </c>
      <c r="AY284" s="13" t="s">
        <v>228</v>
      </c>
      <c r="BE284" s="130">
        <f>IF(N284="základná",J284,0)</f>
        <v>0</v>
      </c>
      <c r="BF284" s="130">
        <f>IF(N284="znížená",J284,0)</f>
        <v>375.32</v>
      </c>
      <c r="BG284" s="130">
        <f>IF(N284="zákl. prenesená",J284,0)</f>
        <v>0</v>
      </c>
      <c r="BH284" s="130">
        <f>IF(N284="zníž. prenesená",J284,0)</f>
        <v>0</v>
      </c>
      <c r="BI284" s="130">
        <f>IF(N284="nulová",J284,0)</f>
        <v>0</v>
      </c>
      <c r="BJ284" s="13" t="s">
        <v>76</v>
      </c>
      <c r="BK284" s="130">
        <f>ROUND(I284*H284,2)</f>
        <v>375.32</v>
      </c>
      <c r="BL284" s="13" t="s">
        <v>258</v>
      </c>
      <c r="BM284" s="129" t="s">
        <v>567</v>
      </c>
    </row>
    <row r="285" spans="2:65" s="362" customFormat="1" ht="23.55" customHeight="1" x14ac:dyDescent="0.2">
      <c r="B285" s="118"/>
      <c r="C285" s="1234" t="s">
        <v>5205</v>
      </c>
      <c r="D285" s="1235"/>
      <c r="E285" s="1235"/>
      <c r="F285" s="1235"/>
      <c r="G285" s="1235"/>
      <c r="H285" s="1235"/>
      <c r="I285" s="1235"/>
      <c r="J285" s="1236"/>
      <c r="K285" s="121"/>
      <c r="L285" s="24"/>
      <c r="M285" s="125"/>
      <c r="N285" s="126"/>
      <c r="O285" s="127"/>
      <c r="P285" s="127"/>
      <c r="Q285" s="127"/>
      <c r="R285" s="127"/>
      <c r="S285" s="127"/>
      <c r="T285" s="128"/>
      <c r="W285" s="199"/>
      <c r="X285" s="341" t="s">
        <v>5852</v>
      </c>
      <c r="Y285" s="341" t="s">
        <v>231</v>
      </c>
      <c r="Z285" s="342" t="s">
        <v>934</v>
      </c>
      <c r="AA285" s="343" t="s">
        <v>935</v>
      </c>
      <c r="AB285" s="344" t="s">
        <v>284</v>
      </c>
      <c r="AC285" s="345">
        <v>19.5</v>
      </c>
      <c r="AD285" s="346">
        <v>4.2300000000000004</v>
      </c>
      <c r="AE285" s="355">
        <f>ROUND(AD285*AC285,2)</f>
        <v>82.49</v>
      </c>
      <c r="AF285" s="956">
        <v>4</v>
      </c>
      <c r="AG285" s="407"/>
      <c r="AR285" s="129"/>
      <c r="AT285" s="129"/>
      <c r="AU285" s="129"/>
      <c r="AY285" s="13"/>
      <c r="BE285" s="130"/>
      <c r="BF285" s="130"/>
      <c r="BG285" s="130"/>
      <c r="BH285" s="130"/>
      <c r="BI285" s="130"/>
      <c r="BJ285" s="13"/>
      <c r="BK285" s="130"/>
      <c r="BL285" s="13"/>
      <c r="BM285" s="129"/>
    </row>
    <row r="286" spans="2:65" s="362" customFormat="1" ht="20.55" customHeight="1" x14ac:dyDescent="0.2">
      <c r="B286" s="118"/>
      <c r="C286" s="1234" t="s">
        <v>5205</v>
      </c>
      <c r="D286" s="1235"/>
      <c r="E286" s="1235"/>
      <c r="F286" s="1235"/>
      <c r="G286" s="1235"/>
      <c r="H286" s="1235"/>
      <c r="I286" s="1235"/>
      <c r="J286" s="1236"/>
      <c r="K286" s="121"/>
      <c r="L286" s="24"/>
      <c r="M286" s="125"/>
      <c r="N286" s="126"/>
      <c r="O286" s="127"/>
      <c r="P286" s="127"/>
      <c r="Q286" s="127"/>
      <c r="R286" s="127"/>
      <c r="S286" s="127"/>
      <c r="T286" s="128"/>
      <c r="W286" s="199"/>
      <c r="X286" s="1127" t="s">
        <v>5853</v>
      </c>
      <c r="Y286" s="1127" t="s">
        <v>277</v>
      </c>
      <c r="Z286" s="642" t="s">
        <v>936</v>
      </c>
      <c r="AA286" s="643" t="s">
        <v>937</v>
      </c>
      <c r="AB286" s="644" t="s">
        <v>284</v>
      </c>
      <c r="AC286" s="645">
        <v>22.425000000000001</v>
      </c>
      <c r="AD286" s="646">
        <v>5.81</v>
      </c>
      <c r="AE286" s="1128">
        <f>ROUND(AD286*AC286,2)</f>
        <v>130.29</v>
      </c>
      <c r="AF286" s="956">
        <v>4</v>
      </c>
      <c r="AG286" s="407"/>
      <c r="AR286" s="129"/>
      <c r="AT286" s="129"/>
      <c r="AU286" s="129"/>
      <c r="AY286" s="13"/>
      <c r="BE286" s="130"/>
      <c r="BF286" s="130"/>
      <c r="BG286" s="130"/>
      <c r="BH286" s="130"/>
      <c r="BI286" s="130"/>
      <c r="BJ286" s="13"/>
      <c r="BK286" s="130"/>
      <c r="BL286" s="13"/>
      <c r="BM286" s="129"/>
    </row>
    <row r="287" spans="2:65" s="1" customFormat="1" ht="22.95" customHeight="1" x14ac:dyDescent="0.2">
      <c r="B287" s="118"/>
      <c r="C287" s="119" t="s">
        <v>396</v>
      </c>
      <c r="D287" s="119" t="s">
        <v>231</v>
      </c>
      <c r="E287" s="120" t="s">
        <v>568</v>
      </c>
      <c r="F287" s="121" t="s">
        <v>569</v>
      </c>
      <c r="G287" s="122" t="s">
        <v>570</v>
      </c>
      <c r="H287" s="123">
        <v>38.881999999999998</v>
      </c>
      <c r="I287" s="124">
        <v>2.96</v>
      </c>
      <c r="J287" s="124">
        <f>ROUND(I287*H287,2)</f>
        <v>115.09</v>
      </c>
      <c r="K287" s="121" t="s">
        <v>1</v>
      </c>
      <c r="L287" s="24"/>
      <c r="M287" s="125" t="s">
        <v>1</v>
      </c>
      <c r="N287" s="126" t="s">
        <v>32</v>
      </c>
      <c r="O287" s="127">
        <v>0</v>
      </c>
      <c r="P287" s="127">
        <f>O287*H287</f>
        <v>0</v>
      </c>
      <c r="Q287" s="127">
        <v>0</v>
      </c>
      <c r="R287" s="127">
        <f>Q287*H287</f>
        <v>0</v>
      </c>
      <c r="S287" s="127">
        <v>0</v>
      </c>
      <c r="T287" s="128">
        <f>S287*H287</f>
        <v>0</v>
      </c>
      <c r="W287" s="199"/>
      <c r="X287" s="119" t="s">
        <v>396</v>
      </c>
      <c r="Y287" s="119" t="s">
        <v>231</v>
      </c>
      <c r="Z287" s="120" t="s">
        <v>568</v>
      </c>
      <c r="AA287" s="121" t="s">
        <v>569</v>
      </c>
      <c r="AB287" s="122" t="s">
        <v>570</v>
      </c>
      <c r="AC287" s="123">
        <v>38.881999999999998</v>
      </c>
      <c r="AD287" s="124">
        <v>2.96</v>
      </c>
      <c r="AE287" s="200">
        <f>ROUND(AD287*AC287,2)</f>
        <v>115.09</v>
      </c>
      <c r="AF287" s="956"/>
      <c r="AG287" s="407"/>
      <c r="AR287" s="129" t="s">
        <v>258</v>
      </c>
      <c r="AT287" s="129" t="s">
        <v>231</v>
      </c>
      <c r="AU287" s="129" t="s">
        <v>76</v>
      </c>
      <c r="AY287" s="13" t="s">
        <v>228</v>
      </c>
      <c r="BE287" s="130">
        <f>IF(N287="základná",J287,0)</f>
        <v>0</v>
      </c>
      <c r="BF287" s="130">
        <f>IF(N287="znížená",J287,0)</f>
        <v>115.09</v>
      </c>
      <c r="BG287" s="130">
        <f>IF(N287="zákl. prenesená",J287,0)</f>
        <v>0</v>
      </c>
      <c r="BH287" s="130">
        <f>IF(N287="zníž. prenesená",J287,0)</f>
        <v>0</v>
      </c>
      <c r="BI287" s="130">
        <f>IF(N287="nulová",J287,0)</f>
        <v>0</v>
      </c>
      <c r="BJ287" s="13" t="s">
        <v>76</v>
      </c>
      <c r="BK287" s="130">
        <f>ROUND(I287*H287,2)</f>
        <v>115.09</v>
      </c>
      <c r="BL287" s="13" t="s">
        <v>258</v>
      </c>
      <c r="BM287" s="129" t="s">
        <v>571</v>
      </c>
    </row>
    <row r="288" spans="2:65" s="362" customFormat="1" ht="22.95" customHeight="1" x14ac:dyDescent="0.25">
      <c r="B288" s="118"/>
      <c r="C288" s="254"/>
      <c r="D288" s="254"/>
      <c r="E288" s="255"/>
      <c r="F288" s="222"/>
      <c r="G288" s="256"/>
      <c r="H288" s="257"/>
      <c r="I288" s="258"/>
      <c r="J288" s="258"/>
      <c r="K288" s="222"/>
      <c r="L288" s="24"/>
      <c r="M288" s="125"/>
      <c r="N288" s="126"/>
      <c r="O288" s="127"/>
      <c r="P288" s="127"/>
      <c r="Q288" s="127"/>
      <c r="R288" s="127"/>
      <c r="S288" s="127"/>
      <c r="T288" s="128"/>
      <c r="W288" s="199"/>
      <c r="X288" s="357"/>
      <c r="Y288" s="358" t="s">
        <v>57</v>
      </c>
      <c r="Z288" s="359" t="s">
        <v>945</v>
      </c>
      <c r="AA288" s="201" t="s">
        <v>946</v>
      </c>
      <c r="AB288" s="357"/>
      <c r="AC288" s="357"/>
      <c r="AD288" s="357"/>
      <c r="AE288" s="360">
        <f>AE289</f>
        <v>99.36</v>
      </c>
      <c r="AF288" s="956"/>
      <c r="AG288" s="407"/>
      <c r="AR288" s="129"/>
      <c r="AT288" s="129"/>
      <c r="AU288" s="129"/>
      <c r="AY288" s="13"/>
      <c r="BE288" s="130"/>
      <c r="BF288" s="130"/>
      <c r="BG288" s="130"/>
      <c r="BH288" s="130"/>
      <c r="BI288" s="130"/>
      <c r="BJ288" s="13"/>
      <c r="BK288" s="130"/>
      <c r="BL288" s="13"/>
      <c r="BM288" s="129"/>
    </row>
    <row r="289" spans="2:65" s="362" customFormat="1" ht="22.95" customHeight="1" x14ac:dyDescent="0.2">
      <c r="B289" s="118"/>
      <c r="C289" s="1234" t="s">
        <v>5205</v>
      </c>
      <c r="D289" s="1235"/>
      <c r="E289" s="1235"/>
      <c r="F289" s="1235"/>
      <c r="G289" s="1235"/>
      <c r="H289" s="1235"/>
      <c r="I289" s="1235"/>
      <c r="J289" s="1236"/>
      <c r="K289" s="222"/>
      <c r="L289" s="24"/>
      <c r="M289" s="125"/>
      <c r="N289" s="126"/>
      <c r="O289" s="127"/>
      <c r="P289" s="127"/>
      <c r="Q289" s="127"/>
      <c r="R289" s="127"/>
      <c r="S289" s="127"/>
      <c r="T289" s="128"/>
      <c r="W289" s="199"/>
      <c r="X289" s="341" t="s">
        <v>5854</v>
      </c>
      <c r="Y289" s="341" t="s">
        <v>231</v>
      </c>
      <c r="Z289" s="342" t="s">
        <v>957</v>
      </c>
      <c r="AA289" s="343" t="s">
        <v>958</v>
      </c>
      <c r="AB289" s="344" t="s">
        <v>292</v>
      </c>
      <c r="AC289" s="345">
        <v>6</v>
      </c>
      <c r="AD289" s="346">
        <v>16.559999999999999</v>
      </c>
      <c r="AE289" s="355">
        <f>ROUND(AD289*AC289,2)</f>
        <v>99.36</v>
      </c>
      <c r="AF289" s="956">
        <v>4</v>
      </c>
      <c r="AG289" s="407"/>
      <c r="AR289" s="129"/>
      <c r="AT289" s="129"/>
      <c r="AU289" s="129"/>
      <c r="AY289" s="13"/>
      <c r="BE289" s="130"/>
      <c r="BF289" s="130"/>
      <c r="BG289" s="130"/>
      <c r="BH289" s="130"/>
      <c r="BI289" s="130"/>
      <c r="BJ289" s="13"/>
      <c r="BK289" s="130"/>
      <c r="BL289" s="13"/>
      <c r="BM289" s="129"/>
    </row>
    <row r="290" spans="2:65" s="11" customFormat="1" ht="22.95" customHeight="1" x14ac:dyDescent="0.25">
      <c r="B290" s="106"/>
      <c r="D290" s="107" t="s">
        <v>57</v>
      </c>
      <c r="E290" s="116" t="s">
        <v>572</v>
      </c>
      <c r="F290" s="116" t="s">
        <v>573</v>
      </c>
      <c r="J290" s="117">
        <f>BK290</f>
        <v>177.63</v>
      </c>
      <c r="L290" s="106"/>
      <c r="M290" s="110"/>
      <c r="N290" s="111"/>
      <c r="O290" s="111"/>
      <c r="P290" s="112">
        <f>SUM(P292:P293)</f>
        <v>0</v>
      </c>
      <c r="Q290" s="111"/>
      <c r="R290" s="112">
        <f>SUM(R292:R293)</f>
        <v>0</v>
      </c>
      <c r="S290" s="111"/>
      <c r="T290" s="113">
        <f>SUM(T292:T293)</f>
        <v>0</v>
      </c>
      <c r="W290" s="195"/>
      <c r="X290" s="111"/>
      <c r="Y290" s="196" t="s">
        <v>57</v>
      </c>
      <c r="Z290" s="201" t="s">
        <v>572</v>
      </c>
      <c r="AA290" s="201" t="s">
        <v>573</v>
      </c>
      <c r="AB290" s="111"/>
      <c r="AC290" s="111"/>
      <c r="AD290" s="111"/>
      <c r="AE290" s="202">
        <f>SUM(AE291:AE293)</f>
        <v>450.79999999999995</v>
      </c>
      <c r="AF290" s="956"/>
      <c r="AG290" s="292"/>
      <c r="AR290" s="107" t="s">
        <v>76</v>
      </c>
      <c r="AT290" s="114" t="s">
        <v>57</v>
      </c>
      <c r="AU290" s="114" t="s">
        <v>63</v>
      </c>
      <c r="AY290" s="107" t="s">
        <v>228</v>
      </c>
      <c r="BK290" s="115">
        <f>SUM(BK292:BK293)</f>
        <v>177.63</v>
      </c>
    </row>
    <row r="291" spans="2:65" s="11" customFormat="1" ht="30.45" customHeight="1" x14ac:dyDescent="0.2">
      <c r="B291" s="106"/>
      <c r="C291" s="1234" t="s">
        <v>5205</v>
      </c>
      <c r="D291" s="1235"/>
      <c r="E291" s="1235"/>
      <c r="F291" s="1235"/>
      <c r="G291" s="1235"/>
      <c r="H291" s="1235"/>
      <c r="I291" s="1235"/>
      <c r="J291" s="1236"/>
      <c r="L291" s="106"/>
      <c r="M291" s="110"/>
      <c r="N291" s="111"/>
      <c r="O291" s="111"/>
      <c r="P291" s="112"/>
      <c r="Q291" s="111"/>
      <c r="R291" s="112"/>
      <c r="S291" s="111"/>
      <c r="T291" s="113"/>
      <c r="W291" s="195"/>
      <c r="X291" s="207" t="s">
        <v>6353</v>
      </c>
      <c r="Y291" s="207" t="s">
        <v>231</v>
      </c>
      <c r="Z291" s="342" t="s">
        <v>6351</v>
      </c>
      <c r="AA291" s="343" t="s">
        <v>6352</v>
      </c>
      <c r="AB291" s="344" t="s">
        <v>243</v>
      </c>
      <c r="AC291" s="345">
        <v>6</v>
      </c>
      <c r="AD291" s="346">
        <v>50</v>
      </c>
      <c r="AE291" s="355">
        <f>AC291*AD291</f>
        <v>300</v>
      </c>
      <c r="AF291" s="956">
        <v>14</v>
      </c>
      <c r="AG291" s="292"/>
      <c r="AR291" s="107"/>
      <c r="AT291" s="114"/>
      <c r="AU291" s="114"/>
      <c r="AY291" s="107"/>
      <c r="BK291" s="115"/>
    </row>
    <row r="292" spans="2:65" s="1" customFormat="1" ht="24" customHeight="1" x14ac:dyDescent="0.2">
      <c r="B292" s="118"/>
      <c r="C292" s="205" t="s">
        <v>574</v>
      </c>
      <c r="D292" s="119" t="s">
        <v>231</v>
      </c>
      <c r="E292" s="120" t="s">
        <v>575</v>
      </c>
      <c r="F292" s="121" t="s">
        <v>576</v>
      </c>
      <c r="G292" s="122" t="s">
        <v>243</v>
      </c>
      <c r="H292" s="206">
        <v>6</v>
      </c>
      <c r="I292" s="124">
        <v>29.03</v>
      </c>
      <c r="J292" s="124">
        <f>ROUND(I292*H292,2)</f>
        <v>174.18</v>
      </c>
      <c r="K292" s="121" t="s">
        <v>1</v>
      </c>
      <c r="L292" s="24"/>
      <c r="M292" s="125" t="s">
        <v>1</v>
      </c>
      <c r="N292" s="126" t="s">
        <v>32</v>
      </c>
      <c r="O292" s="127">
        <v>0</v>
      </c>
      <c r="P292" s="127">
        <f>O292*H292</f>
        <v>0</v>
      </c>
      <c r="Q292" s="127">
        <v>0</v>
      </c>
      <c r="R292" s="127">
        <f>Q292*H292</f>
        <v>0</v>
      </c>
      <c r="S292" s="127">
        <v>0</v>
      </c>
      <c r="T292" s="128">
        <f>S292*H292</f>
        <v>0</v>
      </c>
      <c r="W292" s="199"/>
      <c r="X292" s="205" t="s">
        <v>574</v>
      </c>
      <c r="Y292" s="119" t="s">
        <v>231</v>
      </c>
      <c r="Z292" s="120" t="s">
        <v>575</v>
      </c>
      <c r="AA292" s="121" t="s">
        <v>576</v>
      </c>
      <c r="AB292" s="122" t="s">
        <v>243</v>
      </c>
      <c r="AC292" s="206">
        <f>6-1</f>
        <v>5</v>
      </c>
      <c r="AD292" s="124">
        <v>29.03</v>
      </c>
      <c r="AE292" s="200">
        <f>ROUND(AD292*AC292,2)</f>
        <v>145.15</v>
      </c>
      <c r="AF292" s="956">
        <v>14</v>
      </c>
      <c r="AG292" s="407"/>
      <c r="AR292" s="129" t="s">
        <v>258</v>
      </c>
      <c r="AT292" s="129" t="s">
        <v>231</v>
      </c>
      <c r="AU292" s="129" t="s">
        <v>76</v>
      </c>
      <c r="AY292" s="13" t="s">
        <v>228</v>
      </c>
      <c r="BE292" s="130">
        <f>IF(N292="základná",J292,0)</f>
        <v>0</v>
      </c>
      <c r="BF292" s="130">
        <f>IF(N292="znížená",J292,0)</f>
        <v>174.18</v>
      </c>
      <c r="BG292" s="130">
        <f>IF(N292="zákl. prenesená",J292,0)</f>
        <v>0</v>
      </c>
      <c r="BH292" s="130">
        <f>IF(N292="zníž. prenesená",J292,0)</f>
        <v>0</v>
      </c>
      <c r="BI292" s="130">
        <f>IF(N292="nulová",J292,0)</f>
        <v>0</v>
      </c>
      <c r="BJ292" s="13" t="s">
        <v>76</v>
      </c>
      <c r="BK292" s="130">
        <f>ROUND(I292*H292,2)</f>
        <v>174.18</v>
      </c>
      <c r="BL292" s="13" t="s">
        <v>258</v>
      </c>
      <c r="BM292" s="129" t="s">
        <v>577</v>
      </c>
    </row>
    <row r="293" spans="2:65" s="1" customFormat="1" ht="16.5" customHeight="1" x14ac:dyDescent="0.2">
      <c r="B293" s="118"/>
      <c r="C293" s="205" t="s">
        <v>400</v>
      </c>
      <c r="D293" s="119" t="s">
        <v>231</v>
      </c>
      <c r="E293" s="120" t="s">
        <v>578</v>
      </c>
      <c r="F293" s="121" t="s">
        <v>579</v>
      </c>
      <c r="G293" s="122" t="s">
        <v>570</v>
      </c>
      <c r="H293" s="206">
        <v>4.26</v>
      </c>
      <c r="I293" s="124">
        <v>0.81</v>
      </c>
      <c r="J293" s="124">
        <f>ROUND(I293*H293,2)</f>
        <v>3.45</v>
      </c>
      <c r="K293" s="121" t="s">
        <v>1</v>
      </c>
      <c r="L293" s="24"/>
      <c r="M293" s="125" t="s">
        <v>1</v>
      </c>
      <c r="N293" s="126" t="s">
        <v>32</v>
      </c>
      <c r="O293" s="127">
        <v>0</v>
      </c>
      <c r="P293" s="127">
        <f>O293*H293</f>
        <v>0</v>
      </c>
      <c r="Q293" s="127">
        <v>0</v>
      </c>
      <c r="R293" s="127">
        <f>Q293*H293</f>
        <v>0</v>
      </c>
      <c r="S293" s="127">
        <v>0</v>
      </c>
      <c r="T293" s="128">
        <f>S293*H293</f>
        <v>0</v>
      </c>
      <c r="W293" s="199"/>
      <c r="X293" s="205" t="s">
        <v>400</v>
      </c>
      <c r="Y293" s="119" t="s">
        <v>231</v>
      </c>
      <c r="Z293" s="120" t="s">
        <v>578</v>
      </c>
      <c r="AA293" s="121" t="s">
        <v>579</v>
      </c>
      <c r="AB293" s="122" t="s">
        <v>570</v>
      </c>
      <c r="AC293" s="206">
        <f>4.26+2.71</f>
        <v>6.97</v>
      </c>
      <c r="AD293" s="124">
        <v>0.81</v>
      </c>
      <c r="AE293" s="200">
        <f>ROUND(AD293*AC293,2)</f>
        <v>5.65</v>
      </c>
      <c r="AF293" s="956">
        <v>14</v>
      </c>
      <c r="AG293" s="407"/>
      <c r="AR293" s="129" t="s">
        <v>258</v>
      </c>
      <c r="AT293" s="129" t="s">
        <v>231</v>
      </c>
      <c r="AU293" s="129" t="s">
        <v>76</v>
      </c>
      <c r="AY293" s="13" t="s">
        <v>228</v>
      </c>
      <c r="BE293" s="130">
        <f>IF(N293="základná",J293,0)</f>
        <v>0</v>
      </c>
      <c r="BF293" s="130">
        <f>IF(N293="znížená",J293,0)</f>
        <v>3.45</v>
      </c>
      <c r="BG293" s="130">
        <f>IF(N293="zákl. prenesená",J293,0)</f>
        <v>0</v>
      </c>
      <c r="BH293" s="130">
        <f>IF(N293="zníž. prenesená",J293,0)</f>
        <v>0</v>
      </c>
      <c r="BI293" s="130">
        <f>IF(N293="nulová",J293,0)</f>
        <v>0</v>
      </c>
      <c r="BJ293" s="13" t="s">
        <v>76</v>
      </c>
      <c r="BK293" s="130">
        <f>ROUND(I293*H293,2)</f>
        <v>3.45</v>
      </c>
      <c r="BL293" s="13" t="s">
        <v>258</v>
      </c>
      <c r="BM293" s="129" t="s">
        <v>580</v>
      </c>
    </row>
    <row r="294" spans="2:65" s="11" customFormat="1" ht="22.95" customHeight="1" x14ac:dyDescent="0.25">
      <c r="B294" s="106"/>
      <c r="D294" s="107" t="s">
        <v>57</v>
      </c>
      <c r="E294" s="116" t="s">
        <v>581</v>
      </c>
      <c r="F294" s="116" t="s">
        <v>582</v>
      </c>
      <c r="J294" s="117">
        <f>BK294</f>
        <v>314.42999999999995</v>
      </c>
      <c r="L294" s="106"/>
      <c r="M294" s="110"/>
      <c r="N294" s="111"/>
      <c r="O294" s="111"/>
      <c r="P294" s="112">
        <f>SUM(P295:P301)</f>
        <v>0</v>
      </c>
      <c r="Q294" s="111"/>
      <c r="R294" s="112">
        <f>SUM(R295:R301)</f>
        <v>0</v>
      </c>
      <c r="S294" s="111"/>
      <c r="T294" s="113">
        <f>SUM(T295:T301)</f>
        <v>0</v>
      </c>
      <c r="W294" s="195"/>
      <c r="X294" s="111"/>
      <c r="Y294" s="196" t="s">
        <v>57</v>
      </c>
      <c r="Z294" s="201" t="s">
        <v>581</v>
      </c>
      <c r="AA294" s="201" t="s">
        <v>582</v>
      </c>
      <c r="AB294" s="111"/>
      <c r="AC294" s="111"/>
      <c r="AD294" s="111"/>
      <c r="AE294" s="202">
        <f>SUM(AE295:AE305)</f>
        <v>535.9389712499999</v>
      </c>
      <c r="AF294" s="956"/>
      <c r="AG294" s="292"/>
      <c r="AR294" s="107" t="s">
        <v>76</v>
      </c>
      <c r="AT294" s="114" t="s">
        <v>57</v>
      </c>
      <c r="AU294" s="114" t="s">
        <v>63</v>
      </c>
      <c r="AY294" s="107" t="s">
        <v>228</v>
      </c>
      <c r="BK294" s="115">
        <f>SUM(BK295:BK301)</f>
        <v>314.42999999999995</v>
      </c>
    </row>
    <row r="295" spans="2:65" s="1" customFormat="1" ht="16.5" customHeight="1" x14ac:dyDescent="0.2">
      <c r="B295" s="118"/>
      <c r="C295" s="119" t="s">
        <v>405</v>
      </c>
      <c r="D295" s="119" t="s">
        <v>231</v>
      </c>
      <c r="E295" s="120" t="s">
        <v>583</v>
      </c>
      <c r="F295" s="121" t="s">
        <v>584</v>
      </c>
      <c r="G295" s="122" t="s">
        <v>243</v>
      </c>
      <c r="H295" s="123">
        <v>6</v>
      </c>
      <c r="I295" s="124">
        <v>5.81</v>
      </c>
      <c r="J295" s="124">
        <f t="shared" ref="J295:J301" si="47">ROUND(I295*H295,2)</f>
        <v>34.86</v>
      </c>
      <c r="K295" s="121" t="s">
        <v>1</v>
      </c>
      <c r="L295" s="24"/>
      <c r="M295" s="125" t="s">
        <v>1</v>
      </c>
      <c r="N295" s="126" t="s">
        <v>32</v>
      </c>
      <c r="O295" s="127">
        <v>0</v>
      </c>
      <c r="P295" s="127">
        <f t="shared" ref="P295:P301" si="48">O295*H295</f>
        <v>0</v>
      </c>
      <c r="Q295" s="127">
        <v>0</v>
      </c>
      <c r="R295" s="127">
        <f t="shared" ref="R295:R301" si="49">Q295*H295</f>
        <v>0</v>
      </c>
      <c r="S295" s="127">
        <v>0</v>
      </c>
      <c r="T295" s="128">
        <f t="shared" ref="T295:T301" si="50">S295*H295</f>
        <v>0</v>
      </c>
      <c r="W295" s="199"/>
      <c r="X295" s="119" t="s">
        <v>405</v>
      </c>
      <c r="Y295" s="119" t="s">
        <v>231</v>
      </c>
      <c r="Z295" s="120" t="s">
        <v>583</v>
      </c>
      <c r="AA295" s="121" t="s">
        <v>584</v>
      </c>
      <c r="AB295" s="122" t="s">
        <v>243</v>
      </c>
      <c r="AC295" s="123">
        <v>6</v>
      </c>
      <c r="AD295" s="124">
        <v>5.81</v>
      </c>
      <c r="AE295" s="200">
        <f t="shared" ref="AE295:AE301" si="51">ROUND(AD295*AC295,2)</f>
        <v>34.86</v>
      </c>
      <c r="AF295" s="956"/>
      <c r="AG295" s="407"/>
      <c r="AR295" s="129" t="s">
        <v>258</v>
      </c>
      <c r="AT295" s="129" t="s">
        <v>231</v>
      </c>
      <c r="AU295" s="129" t="s">
        <v>76</v>
      </c>
      <c r="AY295" s="13" t="s">
        <v>228</v>
      </c>
      <c r="BE295" s="130">
        <f t="shared" ref="BE295:BE301" si="52">IF(N295="základná",J295,0)</f>
        <v>0</v>
      </c>
      <c r="BF295" s="130">
        <f t="shared" ref="BF295:BF301" si="53">IF(N295="znížená",J295,0)</f>
        <v>34.86</v>
      </c>
      <c r="BG295" s="130">
        <f t="shared" ref="BG295:BG301" si="54">IF(N295="zákl. prenesená",J295,0)</f>
        <v>0</v>
      </c>
      <c r="BH295" s="130">
        <f t="shared" ref="BH295:BH301" si="55">IF(N295="zníž. prenesená",J295,0)</f>
        <v>0</v>
      </c>
      <c r="BI295" s="130">
        <f t="shared" ref="BI295:BI301" si="56">IF(N295="nulová",J295,0)</f>
        <v>0</v>
      </c>
      <c r="BJ295" s="13" t="s">
        <v>76</v>
      </c>
      <c r="BK295" s="130">
        <f t="shared" ref="BK295:BK301" si="57">ROUND(I295*H295,2)</f>
        <v>34.86</v>
      </c>
      <c r="BL295" s="13" t="s">
        <v>258</v>
      </c>
      <c r="BM295" s="129" t="s">
        <v>585</v>
      </c>
    </row>
    <row r="296" spans="2:65" s="1" customFormat="1" ht="16.5" customHeight="1" x14ac:dyDescent="0.2">
      <c r="B296" s="118"/>
      <c r="C296" s="205" t="s">
        <v>404</v>
      </c>
      <c r="D296" s="119" t="s">
        <v>231</v>
      </c>
      <c r="E296" s="120" t="s">
        <v>586</v>
      </c>
      <c r="F296" s="121" t="s">
        <v>587</v>
      </c>
      <c r="G296" s="122" t="s">
        <v>243</v>
      </c>
      <c r="H296" s="206">
        <v>27</v>
      </c>
      <c r="I296" s="124">
        <v>4.6399999999999997</v>
      </c>
      <c r="J296" s="124">
        <f t="shared" si="47"/>
        <v>125.28</v>
      </c>
      <c r="K296" s="121" t="s">
        <v>1</v>
      </c>
      <c r="L296" s="24"/>
      <c r="M296" s="125" t="s">
        <v>1</v>
      </c>
      <c r="N296" s="126" t="s">
        <v>32</v>
      </c>
      <c r="O296" s="127">
        <v>0</v>
      </c>
      <c r="P296" s="127">
        <f t="shared" si="48"/>
        <v>0</v>
      </c>
      <c r="Q296" s="127">
        <v>0</v>
      </c>
      <c r="R296" s="127">
        <f t="shared" si="49"/>
        <v>0</v>
      </c>
      <c r="S296" s="127">
        <v>0</v>
      </c>
      <c r="T296" s="128">
        <f t="shared" si="50"/>
        <v>0</v>
      </c>
      <c r="W296" s="199"/>
      <c r="X296" s="205" t="s">
        <v>404</v>
      </c>
      <c r="Y296" s="119" t="s">
        <v>231</v>
      </c>
      <c r="Z296" s="120" t="s">
        <v>586</v>
      </c>
      <c r="AA296" s="121" t="s">
        <v>587</v>
      </c>
      <c r="AB296" s="122" t="s">
        <v>243</v>
      </c>
      <c r="AC296" s="206">
        <f>27+2</f>
        <v>29</v>
      </c>
      <c r="AD296" s="124">
        <v>4.6399999999999997</v>
      </c>
      <c r="AE296" s="200">
        <f t="shared" si="51"/>
        <v>134.56</v>
      </c>
      <c r="AF296" s="956">
        <v>14</v>
      </c>
      <c r="AG296" s="407"/>
      <c r="AR296" s="129" t="s">
        <v>258</v>
      </c>
      <c r="AT296" s="129" t="s">
        <v>231</v>
      </c>
      <c r="AU296" s="129" t="s">
        <v>76</v>
      </c>
      <c r="AY296" s="13" t="s">
        <v>228</v>
      </c>
      <c r="BE296" s="130">
        <f t="shared" si="52"/>
        <v>0</v>
      </c>
      <c r="BF296" s="130">
        <f t="shared" si="53"/>
        <v>125.28</v>
      </c>
      <c r="BG296" s="130">
        <f t="shared" si="54"/>
        <v>0</v>
      </c>
      <c r="BH296" s="130">
        <f t="shared" si="55"/>
        <v>0</v>
      </c>
      <c r="BI296" s="130">
        <f t="shared" si="56"/>
        <v>0</v>
      </c>
      <c r="BJ296" s="13" t="s">
        <v>76</v>
      </c>
      <c r="BK296" s="130">
        <f t="shared" si="57"/>
        <v>125.28</v>
      </c>
      <c r="BL296" s="13" t="s">
        <v>258</v>
      </c>
      <c r="BM296" s="129" t="s">
        <v>588</v>
      </c>
    </row>
    <row r="297" spans="2:65" s="1" customFormat="1" ht="16.5" customHeight="1" x14ac:dyDescent="0.2">
      <c r="B297" s="118"/>
      <c r="C297" s="119" t="s">
        <v>436</v>
      </c>
      <c r="D297" s="119" t="s">
        <v>231</v>
      </c>
      <c r="E297" s="120" t="s">
        <v>589</v>
      </c>
      <c r="F297" s="121" t="s">
        <v>590</v>
      </c>
      <c r="G297" s="122" t="s">
        <v>243</v>
      </c>
      <c r="H297" s="123">
        <v>1</v>
      </c>
      <c r="I297" s="124">
        <v>4.6399999999999997</v>
      </c>
      <c r="J297" s="124">
        <f t="shared" si="47"/>
        <v>4.6399999999999997</v>
      </c>
      <c r="K297" s="121" t="s">
        <v>1</v>
      </c>
      <c r="L297" s="24"/>
      <c r="M297" s="125" t="s">
        <v>1</v>
      </c>
      <c r="N297" s="126" t="s">
        <v>32</v>
      </c>
      <c r="O297" s="127">
        <v>0</v>
      </c>
      <c r="P297" s="127">
        <f t="shared" si="48"/>
        <v>0</v>
      </c>
      <c r="Q297" s="127">
        <v>0</v>
      </c>
      <c r="R297" s="127">
        <f t="shared" si="49"/>
        <v>0</v>
      </c>
      <c r="S297" s="127">
        <v>0</v>
      </c>
      <c r="T297" s="128">
        <f t="shared" si="50"/>
        <v>0</v>
      </c>
      <c r="W297" s="199"/>
      <c r="X297" s="119" t="s">
        <v>436</v>
      </c>
      <c r="Y297" s="119" t="s">
        <v>231</v>
      </c>
      <c r="Z297" s="120" t="s">
        <v>589</v>
      </c>
      <c r="AA297" s="121" t="s">
        <v>590</v>
      </c>
      <c r="AB297" s="122" t="s">
        <v>243</v>
      </c>
      <c r="AC297" s="123">
        <v>1</v>
      </c>
      <c r="AD297" s="124">
        <v>4.6399999999999997</v>
      </c>
      <c r="AE297" s="200">
        <f t="shared" si="51"/>
        <v>4.6399999999999997</v>
      </c>
      <c r="AF297" s="956"/>
      <c r="AG297" s="407"/>
      <c r="AR297" s="129" t="s">
        <v>258</v>
      </c>
      <c r="AT297" s="129" t="s">
        <v>231</v>
      </c>
      <c r="AU297" s="129" t="s">
        <v>76</v>
      </c>
      <c r="AY297" s="13" t="s">
        <v>228</v>
      </c>
      <c r="BE297" s="130">
        <f t="shared" si="52"/>
        <v>0</v>
      </c>
      <c r="BF297" s="130">
        <f t="shared" si="53"/>
        <v>4.6399999999999997</v>
      </c>
      <c r="BG297" s="130">
        <f t="shared" si="54"/>
        <v>0</v>
      </c>
      <c r="BH297" s="130">
        <f t="shared" si="55"/>
        <v>0</v>
      </c>
      <c r="BI297" s="130">
        <f t="shared" si="56"/>
        <v>0</v>
      </c>
      <c r="BJ297" s="13" t="s">
        <v>76</v>
      </c>
      <c r="BK297" s="130">
        <f t="shared" si="57"/>
        <v>4.6399999999999997</v>
      </c>
      <c r="BL297" s="13" t="s">
        <v>258</v>
      </c>
      <c r="BM297" s="129" t="s">
        <v>591</v>
      </c>
    </row>
    <row r="298" spans="2:65" s="1" customFormat="1" ht="24" customHeight="1" x14ac:dyDescent="0.2">
      <c r="B298" s="118"/>
      <c r="C298" s="119" t="s">
        <v>410</v>
      </c>
      <c r="D298" s="119" t="s">
        <v>231</v>
      </c>
      <c r="E298" s="120" t="s">
        <v>592</v>
      </c>
      <c r="F298" s="121" t="s">
        <v>593</v>
      </c>
      <c r="G298" s="122" t="s">
        <v>243</v>
      </c>
      <c r="H298" s="123">
        <v>1</v>
      </c>
      <c r="I298" s="124">
        <v>5.81</v>
      </c>
      <c r="J298" s="124">
        <f t="shared" si="47"/>
        <v>5.81</v>
      </c>
      <c r="K298" s="121" t="s">
        <v>1</v>
      </c>
      <c r="L298" s="24"/>
      <c r="M298" s="125" t="s">
        <v>1</v>
      </c>
      <c r="N298" s="126" t="s">
        <v>32</v>
      </c>
      <c r="O298" s="127">
        <v>0</v>
      </c>
      <c r="P298" s="127">
        <f t="shared" si="48"/>
        <v>0</v>
      </c>
      <c r="Q298" s="127">
        <v>0</v>
      </c>
      <c r="R298" s="127">
        <f t="shared" si="49"/>
        <v>0</v>
      </c>
      <c r="S298" s="127">
        <v>0</v>
      </c>
      <c r="T298" s="128">
        <f t="shared" si="50"/>
        <v>0</v>
      </c>
      <c r="W298" s="199"/>
      <c r="X298" s="119" t="s">
        <v>410</v>
      </c>
      <c r="Y298" s="119" t="s">
        <v>231</v>
      </c>
      <c r="Z298" s="120" t="s">
        <v>592</v>
      </c>
      <c r="AA298" s="121" t="s">
        <v>593</v>
      </c>
      <c r="AB298" s="122" t="s">
        <v>243</v>
      </c>
      <c r="AC298" s="123">
        <v>1</v>
      </c>
      <c r="AD298" s="124">
        <v>5.81</v>
      </c>
      <c r="AE298" s="200">
        <f t="shared" si="51"/>
        <v>5.81</v>
      </c>
      <c r="AF298" s="956"/>
      <c r="AG298" s="407"/>
      <c r="AR298" s="129" t="s">
        <v>258</v>
      </c>
      <c r="AT298" s="129" t="s">
        <v>231</v>
      </c>
      <c r="AU298" s="129" t="s">
        <v>76</v>
      </c>
      <c r="AY298" s="13" t="s">
        <v>228</v>
      </c>
      <c r="BE298" s="130">
        <f t="shared" si="52"/>
        <v>0</v>
      </c>
      <c r="BF298" s="130">
        <f t="shared" si="53"/>
        <v>5.81</v>
      </c>
      <c r="BG298" s="130">
        <f t="shared" si="54"/>
        <v>0</v>
      </c>
      <c r="BH298" s="130">
        <f t="shared" si="55"/>
        <v>0</v>
      </c>
      <c r="BI298" s="130">
        <f t="shared" si="56"/>
        <v>0</v>
      </c>
      <c r="BJ298" s="13" t="s">
        <v>76</v>
      </c>
      <c r="BK298" s="130">
        <f t="shared" si="57"/>
        <v>5.81</v>
      </c>
      <c r="BL298" s="13" t="s">
        <v>258</v>
      </c>
      <c r="BM298" s="129" t="s">
        <v>594</v>
      </c>
    </row>
    <row r="299" spans="2:65" s="1" customFormat="1" ht="16.5" customHeight="1" x14ac:dyDescent="0.2">
      <c r="B299" s="118"/>
      <c r="C299" s="119" t="s">
        <v>595</v>
      </c>
      <c r="D299" s="119" t="s">
        <v>231</v>
      </c>
      <c r="E299" s="120" t="s">
        <v>596</v>
      </c>
      <c r="F299" s="121" t="s">
        <v>597</v>
      </c>
      <c r="G299" s="122" t="s">
        <v>243</v>
      </c>
      <c r="H299" s="123">
        <v>3</v>
      </c>
      <c r="I299" s="124">
        <v>4.6399999999999997</v>
      </c>
      <c r="J299" s="124">
        <f t="shared" si="47"/>
        <v>13.92</v>
      </c>
      <c r="K299" s="121" t="s">
        <v>1</v>
      </c>
      <c r="L299" s="24"/>
      <c r="M299" s="125" t="s">
        <v>1</v>
      </c>
      <c r="N299" s="126" t="s">
        <v>32</v>
      </c>
      <c r="O299" s="127">
        <v>0</v>
      </c>
      <c r="P299" s="127">
        <f t="shared" si="48"/>
        <v>0</v>
      </c>
      <c r="Q299" s="127">
        <v>0</v>
      </c>
      <c r="R299" s="127">
        <f t="shared" si="49"/>
        <v>0</v>
      </c>
      <c r="S299" s="127">
        <v>0</v>
      </c>
      <c r="T299" s="128">
        <f t="shared" si="50"/>
        <v>0</v>
      </c>
      <c r="W299" s="199"/>
      <c r="X299" s="119" t="s">
        <v>595</v>
      </c>
      <c r="Y299" s="119" t="s">
        <v>231</v>
      </c>
      <c r="Z299" s="120" t="s">
        <v>596</v>
      </c>
      <c r="AA299" s="121" t="s">
        <v>597</v>
      </c>
      <c r="AB299" s="122" t="s">
        <v>243</v>
      </c>
      <c r="AC299" s="123">
        <v>3</v>
      </c>
      <c r="AD299" s="124">
        <v>4.6399999999999997</v>
      </c>
      <c r="AE299" s="200">
        <f t="shared" si="51"/>
        <v>13.92</v>
      </c>
      <c r="AF299" s="956"/>
      <c r="AG299" s="407"/>
      <c r="AR299" s="129" t="s">
        <v>258</v>
      </c>
      <c r="AT299" s="129" t="s">
        <v>231</v>
      </c>
      <c r="AU299" s="129" t="s">
        <v>76</v>
      </c>
      <c r="AY299" s="13" t="s">
        <v>228</v>
      </c>
      <c r="BE299" s="130">
        <f t="shared" si="52"/>
        <v>0</v>
      </c>
      <c r="BF299" s="130">
        <f t="shared" si="53"/>
        <v>13.92</v>
      </c>
      <c r="BG299" s="130">
        <f t="shared" si="54"/>
        <v>0</v>
      </c>
      <c r="BH299" s="130">
        <f t="shared" si="55"/>
        <v>0</v>
      </c>
      <c r="BI299" s="130">
        <f t="shared" si="56"/>
        <v>0</v>
      </c>
      <c r="BJ299" s="13" t="s">
        <v>76</v>
      </c>
      <c r="BK299" s="130">
        <f t="shared" si="57"/>
        <v>13.92</v>
      </c>
      <c r="BL299" s="13" t="s">
        <v>258</v>
      </c>
      <c r="BM299" s="129" t="s">
        <v>598</v>
      </c>
    </row>
    <row r="300" spans="2:65" s="1" customFormat="1" ht="16.5" customHeight="1" x14ac:dyDescent="0.2">
      <c r="B300" s="118"/>
      <c r="C300" s="205" t="s">
        <v>414</v>
      </c>
      <c r="D300" s="119" t="s">
        <v>231</v>
      </c>
      <c r="E300" s="120" t="s">
        <v>599</v>
      </c>
      <c r="F300" s="121" t="s">
        <v>600</v>
      </c>
      <c r="G300" s="122" t="s">
        <v>243</v>
      </c>
      <c r="H300" s="206">
        <v>32</v>
      </c>
      <c r="I300" s="124">
        <v>3.48</v>
      </c>
      <c r="J300" s="124">
        <f t="shared" si="47"/>
        <v>111.36</v>
      </c>
      <c r="K300" s="121" t="s">
        <v>1</v>
      </c>
      <c r="L300" s="24"/>
      <c r="M300" s="125" t="s">
        <v>1</v>
      </c>
      <c r="N300" s="126" t="s">
        <v>32</v>
      </c>
      <c r="O300" s="127">
        <v>0</v>
      </c>
      <c r="P300" s="127">
        <f t="shared" si="48"/>
        <v>0</v>
      </c>
      <c r="Q300" s="127">
        <v>0</v>
      </c>
      <c r="R300" s="127">
        <f t="shared" si="49"/>
        <v>0</v>
      </c>
      <c r="S300" s="127">
        <v>0</v>
      </c>
      <c r="T300" s="128">
        <f t="shared" si="50"/>
        <v>0</v>
      </c>
      <c r="W300" s="199"/>
      <c r="X300" s="205" t="s">
        <v>414</v>
      </c>
      <c r="Y300" s="119" t="s">
        <v>231</v>
      </c>
      <c r="Z300" s="120" t="s">
        <v>599</v>
      </c>
      <c r="AA300" s="121" t="s">
        <v>600</v>
      </c>
      <c r="AB300" s="122" t="s">
        <v>243</v>
      </c>
      <c r="AC300" s="206">
        <f>32+3</f>
        <v>35</v>
      </c>
      <c r="AD300" s="124">
        <v>3.48</v>
      </c>
      <c r="AE300" s="200">
        <f t="shared" si="51"/>
        <v>121.8</v>
      </c>
      <c r="AF300" s="956">
        <v>14</v>
      </c>
      <c r="AG300" s="407"/>
      <c r="AR300" s="129" t="s">
        <v>258</v>
      </c>
      <c r="AT300" s="129" t="s">
        <v>231</v>
      </c>
      <c r="AU300" s="129" t="s">
        <v>76</v>
      </c>
      <c r="AY300" s="13" t="s">
        <v>228</v>
      </c>
      <c r="BE300" s="130">
        <f t="shared" si="52"/>
        <v>0</v>
      </c>
      <c r="BF300" s="130">
        <f t="shared" si="53"/>
        <v>111.36</v>
      </c>
      <c r="BG300" s="130">
        <f t="shared" si="54"/>
        <v>0</v>
      </c>
      <c r="BH300" s="130">
        <f t="shared" si="55"/>
        <v>0</v>
      </c>
      <c r="BI300" s="130">
        <f t="shared" si="56"/>
        <v>0</v>
      </c>
      <c r="BJ300" s="13" t="s">
        <v>76</v>
      </c>
      <c r="BK300" s="130">
        <f t="shared" si="57"/>
        <v>111.36</v>
      </c>
      <c r="BL300" s="13" t="s">
        <v>258</v>
      </c>
      <c r="BM300" s="129" t="s">
        <v>601</v>
      </c>
    </row>
    <row r="301" spans="2:65" s="1" customFormat="1" ht="16.5" customHeight="1" x14ac:dyDescent="0.2">
      <c r="B301" s="118"/>
      <c r="C301" s="119" t="s">
        <v>602</v>
      </c>
      <c r="D301" s="119" t="s">
        <v>231</v>
      </c>
      <c r="E301" s="120" t="s">
        <v>603</v>
      </c>
      <c r="F301" s="121" t="s">
        <v>604</v>
      </c>
      <c r="G301" s="122" t="s">
        <v>243</v>
      </c>
      <c r="H301" s="123">
        <v>4</v>
      </c>
      <c r="I301" s="124">
        <v>4.6399999999999997</v>
      </c>
      <c r="J301" s="124">
        <f t="shared" si="47"/>
        <v>18.559999999999999</v>
      </c>
      <c r="K301" s="121" t="s">
        <v>1</v>
      </c>
      <c r="L301" s="24"/>
      <c r="M301" s="125" t="s">
        <v>1</v>
      </c>
      <c r="N301" s="126" t="s">
        <v>32</v>
      </c>
      <c r="O301" s="127">
        <v>0</v>
      </c>
      <c r="P301" s="127">
        <f t="shared" si="48"/>
        <v>0</v>
      </c>
      <c r="Q301" s="127">
        <v>0</v>
      </c>
      <c r="R301" s="127">
        <f t="shared" si="49"/>
        <v>0</v>
      </c>
      <c r="S301" s="127">
        <v>0</v>
      </c>
      <c r="T301" s="128">
        <f t="shared" si="50"/>
        <v>0</v>
      </c>
      <c r="W301" s="199"/>
      <c r="X301" s="119" t="s">
        <v>602</v>
      </c>
      <c r="Y301" s="119" t="s">
        <v>231</v>
      </c>
      <c r="Z301" s="120" t="s">
        <v>603</v>
      </c>
      <c r="AA301" s="121" t="s">
        <v>604</v>
      </c>
      <c r="AB301" s="122" t="s">
        <v>243</v>
      </c>
      <c r="AC301" s="123">
        <v>4</v>
      </c>
      <c r="AD301" s="124">
        <v>4.6399999999999997</v>
      </c>
      <c r="AE301" s="200">
        <f t="shared" si="51"/>
        <v>18.559999999999999</v>
      </c>
      <c r="AF301" s="956"/>
      <c r="AG301" s="407"/>
      <c r="AR301" s="129" t="s">
        <v>258</v>
      </c>
      <c r="AT301" s="129" t="s">
        <v>231</v>
      </c>
      <c r="AU301" s="129" t="s">
        <v>76</v>
      </c>
      <c r="AY301" s="13" t="s">
        <v>228</v>
      </c>
      <c r="BE301" s="130">
        <f t="shared" si="52"/>
        <v>0</v>
      </c>
      <c r="BF301" s="130">
        <f t="shared" si="53"/>
        <v>18.559999999999999</v>
      </c>
      <c r="BG301" s="130">
        <f t="shared" si="54"/>
        <v>0</v>
      </c>
      <c r="BH301" s="130">
        <f t="shared" si="55"/>
        <v>0</v>
      </c>
      <c r="BI301" s="130">
        <f t="shared" si="56"/>
        <v>0</v>
      </c>
      <c r="BJ301" s="13" t="s">
        <v>76</v>
      </c>
      <c r="BK301" s="130">
        <f t="shared" si="57"/>
        <v>18.559999999999999</v>
      </c>
      <c r="BL301" s="13" t="s">
        <v>258</v>
      </c>
      <c r="BM301" s="129" t="s">
        <v>605</v>
      </c>
    </row>
    <row r="302" spans="2:65" s="648" customFormat="1" ht="20.55" customHeight="1" x14ac:dyDescent="0.2">
      <c r="B302" s="118"/>
      <c r="C302" s="1234" t="s">
        <v>5205</v>
      </c>
      <c r="D302" s="1235"/>
      <c r="E302" s="1235"/>
      <c r="F302" s="1235"/>
      <c r="G302" s="1235"/>
      <c r="H302" s="1235"/>
      <c r="I302" s="1235"/>
      <c r="J302" s="1236"/>
      <c r="K302" s="222"/>
      <c r="L302" s="24"/>
      <c r="M302" s="125"/>
      <c r="N302" s="126"/>
      <c r="O302" s="127"/>
      <c r="P302" s="127"/>
      <c r="Q302" s="127"/>
      <c r="R302" s="127"/>
      <c r="S302" s="127"/>
      <c r="T302" s="128"/>
      <c r="W302" s="199"/>
      <c r="X302" s="207" t="s">
        <v>6361</v>
      </c>
      <c r="Y302" s="207" t="s">
        <v>231</v>
      </c>
      <c r="Z302" s="342" t="s">
        <v>6354</v>
      </c>
      <c r="AA302" s="343" t="s">
        <v>6355</v>
      </c>
      <c r="AB302" s="344" t="s">
        <v>1194</v>
      </c>
      <c r="AC302" s="345">
        <v>9</v>
      </c>
      <c r="AD302" s="346">
        <v>8</v>
      </c>
      <c r="AE302" s="355">
        <f>AC302*AD302</f>
        <v>72</v>
      </c>
      <c r="AF302" s="956">
        <v>14</v>
      </c>
      <c r="AG302" s="407"/>
      <c r="AR302" s="129"/>
      <c r="AT302" s="129"/>
      <c r="AU302" s="129"/>
      <c r="AY302" s="13"/>
      <c r="BE302" s="130"/>
      <c r="BF302" s="130"/>
      <c r="BG302" s="130"/>
      <c r="BH302" s="130"/>
      <c r="BI302" s="130"/>
      <c r="BJ302" s="13"/>
      <c r="BK302" s="130"/>
      <c r="BL302" s="13"/>
      <c r="BM302" s="129"/>
    </row>
    <row r="303" spans="2:65" s="648" customFormat="1" ht="40.200000000000003" customHeight="1" x14ac:dyDescent="0.2">
      <c r="B303" s="118"/>
      <c r="C303" s="1234" t="s">
        <v>5205</v>
      </c>
      <c r="D303" s="1235"/>
      <c r="E303" s="1235"/>
      <c r="F303" s="1235"/>
      <c r="G303" s="1235"/>
      <c r="H303" s="1235"/>
      <c r="I303" s="1235"/>
      <c r="J303" s="1236"/>
      <c r="K303" s="222"/>
      <c r="L303" s="24"/>
      <c r="M303" s="125"/>
      <c r="N303" s="126"/>
      <c r="O303" s="127"/>
      <c r="P303" s="127"/>
      <c r="Q303" s="127"/>
      <c r="R303" s="127"/>
      <c r="S303" s="127"/>
      <c r="T303" s="128"/>
      <c r="W303" s="199"/>
      <c r="X303" s="1127" t="s">
        <v>6362</v>
      </c>
      <c r="Y303" s="1127" t="s">
        <v>277</v>
      </c>
      <c r="Z303" s="642" t="s">
        <v>6356</v>
      </c>
      <c r="AA303" s="643" t="s">
        <v>6357</v>
      </c>
      <c r="AB303" s="644" t="s">
        <v>1194</v>
      </c>
      <c r="AC303" s="645">
        <v>5</v>
      </c>
      <c r="AD303" s="646">
        <v>14.89</v>
      </c>
      <c r="AE303" s="1128">
        <f>AC303*AD303</f>
        <v>74.45</v>
      </c>
      <c r="AF303" s="956">
        <v>14</v>
      </c>
      <c r="AG303" s="407"/>
      <c r="AR303" s="129"/>
      <c r="AT303" s="129"/>
      <c r="AU303" s="129"/>
      <c r="AY303" s="13"/>
      <c r="BE303" s="130"/>
      <c r="BF303" s="130"/>
      <c r="BG303" s="130"/>
      <c r="BH303" s="130"/>
      <c r="BI303" s="130"/>
      <c r="BJ303" s="13"/>
      <c r="BK303" s="130"/>
      <c r="BL303" s="13"/>
      <c r="BM303" s="129"/>
    </row>
    <row r="304" spans="2:65" s="648" customFormat="1" ht="20.55" customHeight="1" x14ac:dyDescent="0.2">
      <c r="B304" s="118"/>
      <c r="C304" s="1234" t="s">
        <v>5205</v>
      </c>
      <c r="D304" s="1235"/>
      <c r="E304" s="1235"/>
      <c r="F304" s="1235"/>
      <c r="G304" s="1235"/>
      <c r="H304" s="1235"/>
      <c r="I304" s="1235"/>
      <c r="J304" s="1236"/>
      <c r="K304" s="222"/>
      <c r="L304" s="24"/>
      <c r="M304" s="125"/>
      <c r="N304" s="126"/>
      <c r="O304" s="127"/>
      <c r="P304" s="127"/>
      <c r="Q304" s="127"/>
      <c r="R304" s="127"/>
      <c r="S304" s="127"/>
      <c r="T304" s="128"/>
      <c r="W304" s="199"/>
      <c r="X304" s="1127" t="s">
        <v>6363</v>
      </c>
      <c r="Y304" s="1127" t="s">
        <v>277</v>
      </c>
      <c r="Z304" s="642" t="s">
        <v>6358</v>
      </c>
      <c r="AA304" s="643" t="s">
        <v>6359</v>
      </c>
      <c r="AB304" s="644" t="s">
        <v>1194</v>
      </c>
      <c r="AC304" s="645">
        <v>4</v>
      </c>
      <c r="AD304" s="646">
        <v>12</v>
      </c>
      <c r="AE304" s="1128">
        <f>AC304*AD304</f>
        <v>48</v>
      </c>
      <c r="AF304" s="956">
        <v>14</v>
      </c>
      <c r="AG304" s="407"/>
      <c r="AR304" s="129"/>
      <c r="AT304" s="129"/>
      <c r="AU304" s="129"/>
      <c r="AY304" s="13"/>
      <c r="BE304" s="130"/>
      <c r="BF304" s="130"/>
      <c r="BG304" s="130"/>
      <c r="BH304" s="130"/>
      <c r="BI304" s="130"/>
      <c r="BJ304" s="13"/>
      <c r="BK304" s="130"/>
      <c r="BL304" s="13"/>
      <c r="BM304" s="129"/>
    </row>
    <row r="305" spans="2:65" s="648" customFormat="1" ht="31.2" customHeight="1" x14ac:dyDescent="0.2">
      <c r="B305" s="118"/>
      <c r="C305" s="1234" t="s">
        <v>5205</v>
      </c>
      <c r="D305" s="1235"/>
      <c r="E305" s="1235"/>
      <c r="F305" s="1235"/>
      <c r="G305" s="1235"/>
      <c r="H305" s="1235"/>
      <c r="I305" s="1235"/>
      <c r="J305" s="1236"/>
      <c r="K305" s="222"/>
      <c r="L305" s="24"/>
      <c r="M305" s="125"/>
      <c r="N305" s="126"/>
      <c r="O305" s="127"/>
      <c r="P305" s="127"/>
      <c r="Q305" s="127"/>
      <c r="R305" s="127"/>
      <c r="S305" s="127"/>
      <c r="T305" s="128"/>
      <c r="W305" s="199"/>
      <c r="X305" s="207" t="s">
        <v>6364</v>
      </c>
      <c r="Y305" s="207" t="s">
        <v>231</v>
      </c>
      <c r="Z305" s="342" t="s">
        <v>1085</v>
      </c>
      <c r="AA305" s="343" t="s">
        <v>6360</v>
      </c>
      <c r="AB305" s="344" t="s">
        <v>570</v>
      </c>
      <c r="AC305" s="345">
        <v>1.9450000000000001</v>
      </c>
      <c r="AD305" s="346">
        <v>3.77325</v>
      </c>
      <c r="AE305" s="355">
        <f>AC305*AD305</f>
        <v>7.3389712500000002</v>
      </c>
      <c r="AF305" s="956">
        <v>14</v>
      </c>
      <c r="AG305" s="407"/>
      <c r="AR305" s="129"/>
      <c r="AT305" s="129"/>
      <c r="AU305" s="129"/>
      <c r="AY305" s="13"/>
      <c r="BE305" s="130"/>
      <c r="BF305" s="130"/>
      <c r="BG305" s="130"/>
      <c r="BH305" s="130"/>
      <c r="BI305" s="130"/>
      <c r="BJ305" s="13"/>
      <c r="BK305" s="130"/>
      <c r="BL305" s="13"/>
      <c r="BM305" s="129"/>
    </row>
    <row r="306" spans="2:65" s="11" customFormat="1" ht="22.95" customHeight="1" x14ac:dyDescent="0.25">
      <c r="B306" s="106"/>
      <c r="D306" s="107" t="s">
        <v>57</v>
      </c>
      <c r="E306" s="116" t="s">
        <v>606</v>
      </c>
      <c r="F306" s="116" t="s">
        <v>607</v>
      </c>
      <c r="J306" s="117">
        <f>BK306</f>
        <v>104.58</v>
      </c>
      <c r="L306" s="106"/>
      <c r="M306" s="110"/>
      <c r="N306" s="111"/>
      <c r="O306" s="111"/>
      <c r="P306" s="112">
        <f>P307</f>
        <v>0</v>
      </c>
      <c r="Q306" s="111"/>
      <c r="R306" s="112">
        <f>R307</f>
        <v>0</v>
      </c>
      <c r="S306" s="111"/>
      <c r="T306" s="113">
        <f>T307</f>
        <v>0</v>
      </c>
      <c r="W306" s="195"/>
      <c r="X306" s="111"/>
      <c r="Y306" s="196" t="s">
        <v>57</v>
      </c>
      <c r="Z306" s="201" t="s">
        <v>606</v>
      </c>
      <c r="AA306" s="201" t="s">
        <v>607</v>
      </c>
      <c r="AB306" s="111"/>
      <c r="AC306" s="111"/>
      <c r="AD306" s="111"/>
      <c r="AE306" s="202">
        <f>SUM(AE307:AE308)</f>
        <v>164.65</v>
      </c>
      <c r="AF306" s="956"/>
      <c r="AG306" s="292"/>
      <c r="AR306" s="107" t="s">
        <v>76</v>
      </c>
      <c r="AT306" s="114" t="s">
        <v>57</v>
      </c>
      <c r="AU306" s="114" t="s">
        <v>63</v>
      </c>
      <c r="AY306" s="107" t="s">
        <v>228</v>
      </c>
      <c r="BK306" s="115">
        <f>BK307</f>
        <v>104.58</v>
      </c>
    </row>
    <row r="307" spans="2:65" s="1" customFormat="1" ht="24" customHeight="1" x14ac:dyDescent="0.2">
      <c r="B307" s="118"/>
      <c r="C307" s="119" t="s">
        <v>418</v>
      </c>
      <c r="D307" s="119" t="s">
        <v>231</v>
      </c>
      <c r="E307" s="120" t="s">
        <v>608</v>
      </c>
      <c r="F307" s="121" t="s">
        <v>609</v>
      </c>
      <c r="G307" s="122" t="s">
        <v>292</v>
      </c>
      <c r="H307" s="123">
        <v>18</v>
      </c>
      <c r="I307" s="124">
        <v>5.81</v>
      </c>
      <c r="J307" s="124">
        <f>ROUND(I307*H307,2)</f>
        <v>104.58</v>
      </c>
      <c r="K307" s="121" t="s">
        <v>1</v>
      </c>
      <c r="L307" s="24"/>
      <c r="M307" s="125" t="s">
        <v>1</v>
      </c>
      <c r="N307" s="126" t="s">
        <v>32</v>
      </c>
      <c r="O307" s="127">
        <v>0</v>
      </c>
      <c r="P307" s="127">
        <f>O307*H307</f>
        <v>0</v>
      </c>
      <c r="Q307" s="127">
        <v>0</v>
      </c>
      <c r="R307" s="127">
        <f>Q307*H307</f>
        <v>0</v>
      </c>
      <c r="S307" s="127">
        <v>0</v>
      </c>
      <c r="T307" s="128">
        <f>S307*H307</f>
        <v>0</v>
      </c>
      <c r="W307" s="199"/>
      <c r="X307" s="119" t="s">
        <v>418</v>
      </c>
      <c r="Y307" s="119" t="s">
        <v>231</v>
      </c>
      <c r="Z307" s="120" t="s">
        <v>608</v>
      </c>
      <c r="AA307" s="121" t="s">
        <v>609</v>
      </c>
      <c r="AB307" s="122" t="s">
        <v>292</v>
      </c>
      <c r="AC307" s="123">
        <v>18</v>
      </c>
      <c r="AD307" s="124">
        <v>5.81</v>
      </c>
      <c r="AE307" s="200">
        <f>ROUND(AD307*AC307,2)</f>
        <v>104.58</v>
      </c>
      <c r="AF307" s="956"/>
      <c r="AG307" s="407"/>
      <c r="AR307" s="129" t="s">
        <v>258</v>
      </c>
      <c r="AT307" s="129" t="s">
        <v>231</v>
      </c>
      <c r="AU307" s="129" t="s">
        <v>76</v>
      </c>
      <c r="AY307" s="13" t="s">
        <v>228</v>
      </c>
      <c r="BE307" s="130">
        <f>IF(N307="základná",J307,0)</f>
        <v>0</v>
      </c>
      <c r="BF307" s="130">
        <f>IF(N307="znížená",J307,0)</f>
        <v>104.58</v>
      </c>
      <c r="BG307" s="130">
        <f>IF(N307="zákl. prenesená",J307,0)</f>
        <v>0</v>
      </c>
      <c r="BH307" s="130">
        <f>IF(N307="zníž. prenesená",J307,0)</f>
        <v>0</v>
      </c>
      <c r="BI307" s="130">
        <f>IF(N307="nulová",J307,0)</f>
        <v>0</v>
      </c>
      <c r="BJ307" s="13" t="s">
        <v>76</v>
      </c>
      <c r="BK307" s="130">
        <f>ROUND(I307*H307,2)</f>
        <v>104.58</v>
      </c>
      <c r="BL307" s="13" t="s">
        <v>258</v>
      </c>
      <c r="BM307" s="129" t="s">
        <v>610</v>
      </c>
    </row>
    <row r="308" spans="2:65" s="362" customFormat="1" ht="40.200000000000003" customHeight="1" x14ac:dyDescent="0.2">
      <c r="B308" s="118"/>
      <c r="C308" s="1234" t="s">
        <v>5205</v>
      </c>
      <c r="D308" s="1235"/>
      <c r="E308" s="1235"/>
      <c r="F308" s="1235"/>
      <c r="G308" s="1235"/>
      <c r="H308" s="1235"/>
      <c r="I308" s="1235"/>
      <c r="J308" s="1236"/>
      <c r="K308" s="222"/>
      <c r="L308" s="24"/>
      <c r="M308" s="125"/>
      <c r="N308" s="126"/>
      <c r="O308" s="127"/>
      <c r="P308" s="127"/>
      <c r="Q308" s="127"/>
      <c r="R308" s="127"/>
      <c r="S308" s="127"/>
      <c r="T308" s="128"/>
      <c r="W308" s="199"/>
      <c r="X308" s="341" t="s">
        <v>5261</v>
      </c>
      <c r="Y308" s="341" t="s">
        <v>231</v>
      </c>
      <c r="Z308" s="342" t="s">
        <v>5822</v>
      </c>
      <c r="AA308" s="343" t="s">
        <v>5823</v>
      </c>
      <c r="AB308" s="344" t="s">
        <v>284</v>
      </c>
      <c r="AC308" s="345">
        <v>55.113</v>
      </c>
      <c r="AD308" s="346">
        <v>1.0900000000000001</v>
      </c>
      <c r="AE308" s="355">
        <f>ROUND(AD308*AC308,2)</f>
        <v>60.07</v>
      </c>
      <c r="AF308" s="956">
        <v>4</v>
      </c>
      <c r="AG308" s="407"/>
      <c r="AR308" s="129"/>
      <c r="AT308" s="129"/>
      <c r="AU308" s="129"/>
      <c r="AY308" s="13"/>
      <c r="BE308" s="130"/>
      <c r="BF308" s="130"/>
      <c r="BG308" s="130"/>
      <c r="BH308" s="130"/>
      <c r="BI308" s="130"/>
      <c r="BJ308" s="13"/>
      <c r="BK308" s="130"/>
      <c r="BL308" s="13"/>
      <c r="BM308" s="129"/>
    </row>
    <row r="309" spans="2:65" s="11" customFormat="1" ht="22.95" customHeight="1" x14ac:dyDescent="0.25">
      <c r="B309" s="106"/>
      <c r="D309" s="107" t="s">
        <v>57</v>
      </c>
      <c r="E309" s="116" t="s">
        <v>611</v>
      </c>
      <c r="F309" s="116" t="s">
        <v>612</v>
      </c>
      <c r="J309" s="117">
        <f>BK309</f>
        <v>5856.579999999999</v>
      </c>
      <c r="L309" s="106"/>
      <c r="M309" s="110"/>
      <c r="N309" s="111"/>
      <c r="O309" s="111"/>
      <c r="P309" s="112">
        <f>SUM(P310:P314)</f>
        <v>0</v>
      </c>
      <c r="Q309" s="111"/>
      <c r="R309" s="112">
        <f>SUM(R310:R314)</f>
        <v>0</v>
      </c>
      <c r="S309" s="111"/>
      <c r="T309" s="113">
        <f>SUM(T310:T314)</f>
        <v>0</v>
      </c>
      <c r="W309" s="195"/>
      <c r="X309" s="111"/>
      <c r="Y309" s="196" t="s">
        <v>57</v>
      </c>
      <c r="Z309" s="201" t="s">
        <v>611</v>
      </c>
      <c r="AA309" s="201" t="s">
        <v>612</v>
      </c>
      <c r="AB309" s="111"/>
      <c r="AC309" s="111"/>
      <c r="AD309" s="111"/>
      <c r="AE309" s="202">
        <f>SUM(AE310:AE314)</f>
        <v>7618.6900000000005</v>
      </c>
      <c r="AF309" s="956"/>
      <c r="AG309" s="292"/>
      <c r="AR309" s="107" t="s">
        <v>76</v>
      </c>
      <c r="AT309" s="114" t="s">
        <v>57</v>
      </c>
      <c r="AU309" s="114" t="s">
        <v>63</v>
      </c>
      <c r="AY309" s="107" t="s">
        <v>228</v>
      </c>
      <c r="BK309" s="115">
        <f>SUM(BK310:BK314)</f>
        <v>5856.579999999999</v>
      </c>
    </row>
    <row r="310" spans="2:65" s="1" customFormat="1" ht="24" customHeight="1" x14ac:dyDescent="0.2">
      <c r="B310" s="118"/>
      <c r="C310" s="119" t="s">
        <v>613</v>
      </c>
      <c r="D310" s="119" t="s">
        <v>231</v>
      </c>
      <c r="E310" s="120" t="s">
        <v>614</v>
      </c>
      <c r="F310" s="121" t="s">
        <v>615</v>
      </c>
      <c r="G310" s="122" t="s">
        <v>284</v>
      </c>
      <c r="H310" s="123">
        <v>3.29</v>
      </c>
      <c r="I310" s="124">
        <v>31.58</v>
      </c>
      <c r="J310" s="124">
        <f>ROUND(I310*H310,2)</f>
        <v>103.9</v>
      </c>
      <c r="K310" s="121" t="s">
        <v>1</v>
      </c>
      <c r="L310" s="24"/>
      <c r="M310" s="125" t="s">
        <v>1</v>
      </c>
      <c r="N310" s="126" t="s">
        <v>32</v>
      </c>
      <c r="O310" s="127">
        <v>0</v>
      </c>
      <c r="P310" s="127">
        <f>O310*H310</f>
        <v>0</v>
      </c>
      <c r="Q310" s="127">
        <v>0</v>
      </c>
      <c r="R310" s="127">
        <f>Q310*H310</f>
        <v>0</v>
      </c>
      <c r="S310" s="127">
        <v>0</v>
      </c>
      <c r="T310" s="128">
        <f>S310*H310</f>
        <v>0</v>
      </c>
      <c r="W310" s="199"/>
      <c r="X310" s="119" t="s">
        <v>613</v>
      </c>
      <c r="Y310" s="119" t="s">
        <v>231</v>
      </c>
      <c r="Z310" s="120" t="s">
        <v>614</v>
      </c>
      <c r="AA310" s="121" t="s">
        <v>615</v>
      </c>
      <c r="AB310" s="122" t="s">
        <v>284</v>
      </c>
      <c r="AC310" s="123">
        <v>3.29</v>
      </c>
      <c r="AD310" s="124">
        <v>31.58</v>
      </c>
      <c r="AE310" s="200">
        <f>ROUND(AD310*AC310,2)</f>
        <v>103.9</v>
      </c>
      <c r="AF310" s="956"/>
      <c r="AG310" s="407"/>
      <c r="AR310" s="129" t="s">
        <v>258</v>
      </c>
      <c r="AT310" s="129" t="s">
        <v>231</v>
      </c>
      <c r="AU310" s="129" t="s">
        <v>76</v>
      </c>
      <c r="AY310" s="13" t="s">
        <v>228</v>
      </c>
      <c r="BE310" s="130">
        <f>IF(N310="základná",J310,0)</f>
        <v>0</v>
      </c>
      <c r="BF310" s="130">
        <f>IF(N310="znížená",J310,0)</f>
        <v>103.9</v>
      </c>
      <c r="BG310" s="130">
        <f>IF(N310="zákl. prenesená",J310,0)</f>
        <v>0</v>
      </c>
      <c r="BH310" s="130">
        <f>IF(N310="zníž. prenesená",J310,0)</f>
        <v>0</v>
      </c>
      <c r="BI310" s="130">
        <f>IF(N310="nulová",J310,0)</f>
        <v>0</v>
      </c>
      <c r="BJ310" s="13" t="s">
        <v>76</v>
      </c>
      <c r="BK310" s="130">
        <f>ROUND(I310*H310,2)</f>
        <v>103.9</v>
      </c>
      <c r="BL310" s="13" t="s">
        <v>258</v>
      </c>
      <c r="BM310" s="129" t="s">
        <v>616</v>
      </c>
    </row>
    <row r="311" spans="2:65" s="1" customFormat="1" ht="24" customHeight="1" x14ac:dyDescent="0.2">
      <c r="B311" s="118"/>
      <c r="C311" s="205" t="s">
        <v>421</v>
      </c>
      <c r="D311" s="119" t="s">
        <v>231</v>
      </c>
      <c r="E311" s="120" t="s">
        <v>617</v>
      </c>
      <c r="F311" s="121" t="s">
        <v>618</v>
      </c>
      <c r="G311" s="122" t="s">
        <v>284</v>
      </c>
      <c r="H311" s="206">
        <v>13.4</v>
      </c>
      <c r="I311" s="124">
        <v>36.57</v>
      </c>
      <c r="J311" s="124">
        <f>ROUND(I311*H311,2)</f>
        <v>490.04</v>
      </c>
      <c r="K311" s="121" t="s">
        <v>1</v>
      </c>
      <c r="L311" s="24"/>
      <c r="M311" s="125" t="s">
        <v>1</v>
      </c>
      <c r="N311" s="126" t="s">
        <v>32</v>
      </c>
      <c r="O311" s="127">
        <v>0</v>
      </c>
      <c r="P311" s="127">
        <f>O311*H311</f>
        <v>0</v>
      </c>
      <c r="Q311" s="127">
        <v>0</v>
      </c>
      <c r="R311" s="127">
        <f>Q311*H311</f>
        <v>0</v>
      </c>
      <c r="S311" s="127">
        <v>0</v>
      </c>
      <c r="T311" s="128">
        <f>S311*H311</f>
        <v>0</v>
      </c>
      <c r="W311" s="199"/>
      <c r="X311" s="205" t="s">
        <v>421</v>
      </c>
      <c r="Y311" s="119" t="s">
        <v>231</v>
      </c>
      <c r="Z311" s="120" t="s">
        <v>617</v>
      </c>
      <c r="AA311" s="121" t="s">
        <v>618</v>
      </c>
      <c r="AB311" s="122" t="s">
        <v>284</v>
      </c>
      <c r="AC311" s="206">
        <f>13.4+6.74+39.15</f>
        <v>59.29</v>
      </c>
      <c r="AD311" s="124">
        <v>36.57</v>
      </c>
      <c r="AE311" s="200">
        <f>ROUND(AD311*AC311,2)</f>
        <v>2168.2399999999998</v>
      </c>
      <c r="AF311" s="956" t="s">
        <v>6323</v>
      </c>
      <c r="AG311" s="407"/>
      <c r="AR311" s="129" t="s">
        <v>258</v>
      </c>
      <c r="AT311" s="129" t="s">
        <v>231</v>
      </c>
      <c r="AU311" s="129" t="s">
        <v>76</v>
      </c>
      <c r="AY311" s="13" t="s">
        <v>228</v>
      </c>
      <c r="BE311" s="130">
        <f>IF(N311="základná",J311,0)</f>
        <v>0</v>
      </c>
      <c r="BF311" s="130">
        <f>IF(N311="znížená",J311,0)</f>
        <v>490.04</v>
      </c>
      <c r="BG311" s="130">
        <f>IF(N311="zákl. prenesená",J311,0)</f>
        <v>0</v>
      </c>
      <c r="BH311" s="130">
        <f>IF(N311="zníž. prenesená",J311,0)</f>
        <v>0</v>
      </c>
      <c r="BI311" s="130">
        <f>IF(N311="nulová",J311,0)</f>
        <v>0</v>
      </c>
      <c r="BJ311" s="13" t="s">
        <v>76</v>
      </c>
      <c r="BK311" s="130">
        <f>ROUND(I311*H311,2)</f>
        <v>490.04</v>
      </c>
      <c r="BL311" s="13" t="s">
        <v>258</v>
      </c>
      <c r="BM311" s="129" t="s">
        <v>619</v>
      </c>
    </row>
    <row r="312" spans="2:65" s="1" customFormat="1" ht="24" customHeight="1" x14ac:dyDescent="0.2">
      <c r="B312" s="118"/>
      <c r="C312" s="119" t="s">
        <v>620</v>
      </c>
      <c r="D312" s="119" t="s">
        <v>231</v>
      </c>
      <c r="E312" s="120" t="s">
        <v>621</v>
      </c>
      <c r="F312" s="121" t="s">
        <v>622</v>
      </c>
      <c r="G312" s="122" t="s">
        <v>284</v>
      </c>
      <c r="H312" s="123">
        <v>90.35</v>
      </c>
      <c r="I312" s="124">
        <v>28.79</v>
      </c>
      <c r="J312" s="124">
        <f>ROUND(I312*H312,2)</f>
        <v>2601.1799999999998</v>
      </c>
      <c r="K312" s="121" t="s">
        <v>1</v>
      </c>
      <c r="L312" s="24"/>
      <c r="M312" s="125" t="s">
        <v>1</v>
      </c>
      <c r="N312" s="126" t="s">
        <v>32</v>
      </c>
      <c r="O312" s="127">
        <v>0</v>
      </c>
      <c r="P312" s="127">
        <f>O312*H312</f>
        <v>0</v>
      </c>
      <c r="Q312" s="127">
        <v>0</v>
      </c>
      <c r="R312" s="127">
        <f>Q312*H312</f>
        <v>0</v>
      </c>
      <c r="S312" s="127">
        <v>0</v>
      </c>
      <c r="T312" s="128">
        <f>S312*H312</f>
        <v>0</v>
      </c>
      <c r="W312" s="199"/>
      <c r="X312" s="119" t="s">
        <v>620</v>
      </c>
      <c r="Y312" s="119" t="s">
        <v>231</v>
      </c>
      <c r="Z312" s="120" t="s">
        <v>621</v>
      </c>
      <c r="AA312" s="121" t="s">
        <v>622</v>
      </c>
      <c r="AB312" s="122" t="s">
        <v>284</v>
      </c>
      <c r="AC312" s="123">
        <v>90.35</v>
      </c>
      <c r="AD312" s="124">
        <v>28.79</v>
      </c>
      <c r="AE312" s="200">
        <f>ROUND(AD312*AC312,2)</f>
        <v>2601.1799999999998</v>
      </c>
      <c r="AF312" s="956"/>
      <c r="AG312" s="407"/>
      <c r="AR312" s="129" t="s">
        <v>258</v>
      </c>
      <c r="AT312" s="129" t="s">
        <v>231</v>
      </c>
      <c r="AU312" s="129" t="s">
        <v>76</v>
      </c>
      <c r="AY312" s="13" t="s">
        <v>228</v>
      </c>
      <c r="BE312" s="130">
        <f>IF(N312="základná",J312,0)</f>
        <v>0</v>
      </c>
      <c r="BF312" s="130">
        <f>IF(N312="znížená",J312,0)</f>
        <v>2601.1799999999998</v>
      </c>
      <c r="BG312" s="130">
        <f>IF(N312="zákl. prenesená",J312,0)</f>
        <v>0</v>
      </c>
      <c r="BH312" s="130">
        <f>IF(N312="zníž. prenesená",J312,0)</f>
        <v>0</v>
      </c>
      <c r="BI312" s="130">
        <f>IF(N312="nulová",J312,0)</f>
        <v>0</v>
      </c>
      <c r="BJ312" s="13" t="s">
        <v>76</v>
      </c>
      <c r="BK312" s="130">
        <f>ROUND(I312*H312,2)</f>
        <v>2601.1799999999998</v>
      </c>
      <c r="BL312" s="13" t="s">
        <v>258</v>
      </c>
      <c r="BM312" s="129" t="s">
        <v>623</v>
      </c>
    </row>
    <row r="313" spans="2:65" s="1" customFormat="1" ht="24" customHeight="1" x14ac:dyDescent="0.2">
      <c r="B313" s="118"/>
      <c r="C313" s="119" t="s">
        <v>425</v>
      </c>
      <c r="D313" s="119" t="s">
        <v>231</v>
      </c>
      <c r="E313" s="120" t="s">
        <v>624</v>
      </c>
      <c r="F313" s="121" t="s">
        <v>625</v>
      </c>
      <c r="G313" s="122" t="s">
        <v>284</v>
      </c>
      <c r="H313" s="123">
        <v>80</v>
      </c>
      <c r="I313" s="124">
        <v>30.07</v>
      </c>
      <c r="J313" s="124">
        <f>ROUND(I313*H313,2)</f>
        <v>2405.6</v>
      </c>
      <c r="K313" s="121" t="s">
        <v>1</v>
      </c>
      <c r="L313" s="24"/>
      <c r="M313" s="125" t="s">
        <v>1</v>
      </c>
      <c r="N313" s="126" t="s">
        <v>32</v>
      </c>
      <c r="O313" s="127">
        <v>0</v>
      </c>
      <c r="P313" s="127">
        <f>O313*H313</f>
        <v>0</v>
      </c>
      <c r="Q313" s="127">
        <v>0</v>
      </c>
      <c r="R313" s="127">
        <f>Q313*H313</f>
        <v>0</v>
      </c>
      <c r="S313" s="127">
        <v>0</v>
      </c>
      <c r="T313" s="128">
        <f>S313*H313</f>
        <v>0</v>
      </c>
      <c r="W313" s="199"/>
      <c r="X313" s="119" t="s">
        <v>425</v>
      </c>
      <c r="Y313" s="119" t="s">
        <v>231</v>
      </c>
      <c r="Z313" s="120" t="s">
        <v>624</v>
      </c>
      <c r="AA313" s="121" t="s">
        <v>625</v>
      </c>
      <c r="AB313" s="122" t="s">
        <v>284</v>
      </c>
      <c r="AC313" s="123">
        <v>80</v>
      </c>
      <c r="AD313" s="124">
        <v>30.07</v>
      </c>
      <c r="AE313" s="200">
        <f>ROUND(AD313*AC313,2)</f>
        <v>2405.6</v>
      </c>
      <c r="AF313" s="956"/>
      <c r="AG313" s="407"/>
      <c r="AR313" s="129" t="s">
        <v>258</v>
      </c>
      <c r="AT313" s="129" t="s">
        <v>231</v>
      </c>
      <c r="AU313" s="129" t="s">
        <v>76</v>
      </c>
      <c r="AY313" s="13" t="s">
        <v>228</v>
      </c>
      <c r="BE313" s="130">
        <f>IF(N313="základná",J313,0)</f>
        <v>0</v>
      </c>
      <c r="BF313" s="130">
        <f>IF(N313="znížená",J313,0)</f>
        <v>2405.6</v>
      </c>
      <c r="BG313" s="130">
        <f>IF(N313="zákl. prenesená",J313,0)</f>
        <v>0</v>
      </c>
      <c r="BH313" s="130">
        <f>IF(N313="zníž. prenesená",J313,0)</f>
        <v>0</v>
      </c>
      <c r="BI313" s="130">
        <f>IF(N313="nulová",J313,0)</f>
        <v>0</v>
      </c>
      <c r="BJ313" s="13" t="s">
        <v>76</v>
      </c>
      <c r="BK313" s="130">
        <f>ROUND(I313*H313,2)</f>
        <v>2405.6</v>
      </c>
      <c r="BL313" s="13" t="s">
        <v>258</v>
      </c>
      <c r="BM313" s="129" t="s">
        <v>626</v>
      </c>
    </row>
    <row r="314" spans="2:65" s="1" customFormat="1" ht="16.5" customHeight="1" x14ac:dyDescent="0.2">
      <c r="B314" s="118"/>
      <c r="C314" s="205" t="s">
        <v>627</v>
      </c>
      <c r="D314" s="119" t="s">
        <v>231</v>
      </c>
      <c r="E314" s="120" t="s">
        <v>628</v>
      </c>
      <c r="F314" s="121" t="s">
        <v>629</v>
      </c>
      <c r="G314" s="122" t="s">
        <v>570</v>
      </c>
      <c r="H314" s="206">
        <v>51.171999999999997</v>
      </c>
      <c r="I314" s="124">
        <v>5</v>
      </c>
      <c r="J314" s="124">
        <f>ROUND(I314*H314,2)</f>
        <v>255.86</v>
      </c>
      <c r="K314" s="121" t="s">
        <v>1</v>
      </c>
      <c r="L314" s="24"/>
      <c r="M314" s="125" t="s">
        <v>1</v>
      </c>
      <c r="N314" s="126" t="s">
        <v>32</v>
      </c>
      <c r="O314" s="127">
        <v>0</v>
      </c>
      <c r="P314" s="127">
        <f>O314*H314</f>
        <v>0</v>
      </c>
      <c r="Q314" s="127">
        <v>0</v>
      </c>
      <c r="R314" s="127">
        <f>Q314*H314</f>
        <v>0</v>
      </c>
      <c r="S314" s="127">
        <v>0</v>
      </c>
      <c r="T314" s="128">
        <f>S314*H314</f>
        <v>0</v>
      </c>
      <c r="W314" s="199"/>
      <c r="X314" s="205" t="s">
        <v>627</v>
      </c>
      <c r="Y314" s="119" t="s">
        <v>231</v>
      </c>
      <c r="Z314" s="120" t="s">
        <v>628</v>
      </c>
      <c r="AA314" s="121" t="s">
        <v>629</v>
      </c>
      <c r="AB314" s="122" t="s">
        <v>570</v>
      </c>
      <c r="AC314" s="206">
        <f>51.172+2.465+14.317</f>
        <v>67.954000000000008</v>
      </c>
      <c r="AD314" s="124">
        <v>5</v>
      </c>
      <c r="AE314" s="200">
        <f>ROUND(AD314*AC314,2)</f>
        <v>339.77</v>
      </c>
      <c r="AF314" s="956" t="s">
        <v>6323</v>
      </c>
      <c r="AG314" s="407"/>
      <c r="AR314" s="129" t="s">
        <v>258</v>
      </c>
      <c r="AT314" s="129" t="s">
        <v>231</v>
      </c>
      <c r="AU314" s="129" t="s">
        <v>76</v>
      </c>
      <c r="AY314" s="13" t="s">
        <v>228</v>
      </c>
      <c r="BE314" s="130">
        <f>IF(N314="základná",J314,0)</f>
        <v>0</v>
      </c>
      <c r="BF314" s="130">
        <f>IF(N314="znížená",J314,0)</f>
        <v>255.86</v>
      </c>
      <c r="BG314" s="130">
        <f>IF(N314="zákl. prenesená",J314,0)</f>
        <v>0</v>
      </c>
      <c r="BH314" s="130">
        <f>IF(N314="zníž. prenesená",J314,0)</f>
        <v>0</v>
      </c>
      <c r="BI314" s="130">
        <f>IF(N314="nulová",J314,0)</f>
        <v>0</v>
      </c>
      <c r="BJ314" s="13" t="s">
        <v>76</v>
      </c>
      <c r="BK314" s="130">
        <f>ROUND(I314*H314,2)</f>
        <v>255.86</v>
      </c>
      <c r="BL314" s="13" t="s">
        <v>258</v>
      </c>
      <c r="BM314" s="129" t="s">
        <v>630</v>
      </c>
    </row>
    <row r="315" spans="2:65" s="11" customFormat="1" ht="22.95" customHeight="1" x14ac:dyDescent="0.25">
      <c r="B315" s="106"/>
      <c r="D315" s="107" t="s">
        <v>57</v>
      </c>
      <c r="E315" s="116" t="s">
        <v>631</v>
      </c>
      <c r="F315" s="116" t="s">
        <v>632</v>
      </c>
      <c r="J315" s="117">
        <f>BK315</f>
        <v>23168.119999999995</v>
      </c>
      <c r="L315" s="106"/>
      <c r="M315" s="110"/>
      <c r="N315" s="111"/>
      <c r="O315" s="111"/>
      <c r="P315" s="112">
        <f>SUM(P316:P343)</f>
        <v>0</v>
      </c>
      <c r="Q315" s="111"/>
      <c r="R315" s="112">
        <f>SUM(R316:R343)</f>
        <v>0</v>
      </c>
      <c r="S315" s="111"/>
      <c r="T315" s="113">
        <f>SUM(T316:T343)</f>
        <v>0</v>
      </c>
      <c r="W315" s="195"/>
      <c r="X315" s="111"/>
      <c r="Y315" s="196" t="s">
        <v>57</v>
      </c>
      <c r="Z315" s="201" t="s">
        <v>631</v>
      </c>
      <c r="AA315" s="201" t="s">
        <v>632</v>
      </c>
      <c r="AB315" s="111"/>
      <c r="AC315" s="111"/>
      <c r="AD315" s="111"/>
      <c r="AE315" s="202">
        <f>SUM(AE316:AE343)</f>
        <v>18092.850000000002</v>
      </c>
      <c r="AF315" s="956"/>
      <c r="AG315" s="292"/>
      <c r="AR315" s="107" t="s">
        <v>76</v>
      </c>
      <c r="AT315" s="114" t="s">
        <v>57</v>
      </c>
      <c r="AU315" s="114" t="s">
        <v>63</v>
      </c>
      <c r="AY315" s="107" t="s">
        <v>228</v>
      </c>
      <c r="BK315" s="115">
        <f>SUM(BK316:BK343)</f>
        <v>23168.119999999995</v>
      </c>
    </row>
    <row r="316" spans="2:65" s="1" customFormat="1" ht="24" customHeight="1" x14ac:dyDescent="0.2">
      <c r="B316" s="118"/>
      <c r="C316" s="119" t="s">
        <v>428</v>
      </c>
      <c r="D316" s="119" t="s">
        <v>231</v>
      </c>
      <c r="E316" s="120" t="s">
        <v>633</v>
      </c>
      <c r="F316" s="121" t="s">
        <v>634</v>
      </c>
      <c r="G316" s="122" t="s">
        <v>243</v>
      </c>
      <c r="H316" s="123">
        <v>1</v>
      </c>
      <c r="I316" s="124">
        <v>1044.9000000000001</v>
      </c>
      <c r="J316" s="124">
        <f t="shared" ref="J316:J343" si="58">ROUND(I316*H316,2)</f>
        <v>1044.9000000000001</v>
      </c>
      <c r="K316" s="121" t="s">
        <v>1</v>
      </c>
      <c r="L316" s="24"/>
      <c r="M316" s="125" t="s">
        <v>1</v>
      </c>
      <c r="N316" s="126" t="s">
        <v>32</v>
      </c>
      <c r="O316" s="127">
        <v>0</v>
      </c>
      <c r="P316" s="127">
        <f t="shared" ref="P316:P343" si="59">O316*H316</f>
        <v>0</v>
      </c>
      <c r="Q316" s="127">
        <v>0</v>
      </c>
      <c r="R316" s="127">
        <f t="shared" ref="R316:R343" si="60">Q316*H316</f>
        <v>0</v>
      </c>
      <c r="S316" s="127">
        <v>0</v>
      </c>
      <c r="T316" s="128">
        <f t="shared" ref="T316:T343" si="61">S316*H316</f>
        <v>0</v>
      </c>
      <c r="W316" s="199"/>
      <c r="X316" s="119" t="s">
        <v>428</v>
      </c>
      <c r="Y316" s="119" t="s">
        <v>231</v>
      </c>
      <c r="Z316" s="120" t="s">
        <v>633</v>
      </c>
      <c r="AA316" s="121" t="s">
        <v>634</v>
      </c>
      <c r="AB316" s="122" t="s">
        <v>243</v>
      </c>
      <c r="AC316" s="123">
        <v>1</v>
      </c>
      <c r="AD316" s="124">
        <v>1044.9000000000001</v>
      </c>
      <c r="AE316" s="200">
        <f t="shared" ref="AE316:AE343" si="62">ROUND(AD316*AC316,2)</f>
        <v>1044.9000000000001</v>
      </c>
      <c r="AF316" s="956"/>
      <c r="AG316" s="407"/>
      <c r="AR316" s="129" t="s">
        <v>258</v>
      </c>
      <c r="AT316" s="129" t="s">
        <v>231</v>
      </c>
      <c r="AU316" s="129" t="s">
        <v>76</v>
      </c>
      <c r="AY316" s="13" t="s">
        <v>228</v>
      </c>
      <c r="BE316" s="130">
        <f t="shared" ref="BE316:BE343" si="63">IF(N316="základná",J316,0)</f>
        <v>0</v>
      </c>
      <c r="BF316" s="130">
        <f t="shared" ref="BF316:BF343" si="64">IF(N316="znížená",J316,0)</f>
        <v>1044.9000000000001</v>
      </c>
      <c r="BG316" s="130">
        <f t="shared" ref="BG316:BG343" si="65">IF(N316="zákl. prenesená",J316,0)</f>
        <v>0</v>
      </c>
      <c r="BH316" s="130">
        <f t="shared" ref="BH316:BH343" si="66">IF(N316="zníž. prenesená",J316,0)</f>
        <v>0</v>
      </c>
      <c r="BI316" s="130">
        <f t="shared" ref="BI316:BI343" si="67">IF(N316="nulová",J316,0)</f>
        <v>0</v>
      </c>
      <c r="BJ316" s="13" t="s">
        <v>76</v>
      </c>
      <c r="BK316" s="130">
        <f t="shared" ref="BK316:BK343" si="68">ROUND(I316*H316,2)</f>
        <v>1044.9000000000001</v>
      </c>
      <c r="BL316" s="13" t="s">
        <v>258</v>
      </c>
      <c r="BM316" s="129" t="s">
        <v>635</v>
      </c>
    </row>
    <row r="317" spans="2:65" s="362" customFormat="1" ht="24" customHeight="1" x14ac:dyDescent="0.2">
      <c r="B317" s="118"/>
      <c r="C317" s="1234" t="s">
        <v>5205</v>
      </c>
      <c r="D317" s="1235"/>
      <c r="E317" s="1235"/>
      <c r="F317" s="1235"/>
      <c r="G317" s="1235"/>
      <c r="H317" s="1235"/>
      <c r="I317" s="1235"/>
      <c r="J317" s="1236"/>
      <c r="K317" s="121"/>
      <c r="L317" s="24"/>
      <c r="M317" s="125"/>
      <c r="N317" s="126"/>
      <c r="O317" s="127"/>
      <c r="P317" s="127"/>
      <c r="Q317" s="127"/>
      <c r="R317" s="127"/>
      <c r="S317" s="127"/>
      <c r="T317" s="128"/>
      <c r="W317" s="199"/>
      <c r="X317" s="341" t="s">
        <v>5795</v>
      </c>
      <c r="Y317" s="341" t="s">
        <v>231</v>
      </c>
      <c r="Z317" s="342" t="s">
        <v>5824</v>
      </c>
      <c r="AA317" s="343" t="s">
        <v>5825</v>
      </c>
      <c r="AB317" s="344" t="s">
        <v>243</v>
      </c>
      <c r="AC317" s="345">
        <v>2</v>
      </c>
      <c r="AD317" s="346">
        <v>150</v>
      </c>
      <c r="AE317" s="355">
        <f>ROUND(AD317*AC317,2)</f>
        <v>300</v>
      </c>
      <c r="AF317" s="956">
        <v>4</v>
      </c>
      <c r="AG317" s="407"/>
      <c r="AR317" s="129"/>
      <c r="AT317" s="129"/>
      <c r="AU317" s="129"/>
      <c r="AY317" s="13"/>
      <c r="BE317" s="130"/>
      <c r="BF317" s="130"/>
      <c r="BG317" s="130"/>
      <c r="BH317" s="130"/>
      <c r="BI317" s="130"/>
      <c r="BJ317" s="13"/>
      <c r="BK317" s="130"/>
      <c r="BL317" s="13"/>
      <c r="BM317" s="129"/>
    </row>
    <row r="318" spans="2:65" s="362" customFormat="1" ht="24" customHeight="1" x14ac:dyDescent="0.2">
      <c r="B318" s="118"/>
      <c r="C318" s="1234" t="s">
        <v>5205</v>
      </c>
      <c r="D318" s="1235"/>
      <c r="E318" s="1235"/>
      <c r="F318" s="1235"/>
      <c r="G318" s="1235"/>
      <c r="H318" s="1235"/>
      <c r="I318" s="1235"/>
      <c r="J318" s="1236"/>
      <c r="K318" s="121"/>
      <c r="L318" s="24"/>
      <c r="M318" s="125"/>
      <c r="N318" s="126"/>
      <c r="O318" s="127"/>
      <c r="P318" s="127"/>
      <c r="Q318" s="127"/>
      <c r="R318" s="127"/>
      <c r="S318" s="127"/>
      <c r="T318" s="128"/>
      <c r="W318" s="199"/>
      <c r="X318" s="341" t="s">
        <v>5796</v>
      </c>
      <c r="Y318" s="341" t="s">
        <v>231</v>
      </c>
      <c r="Z318" s="342" t="s">
        <v>5826</v>
      </c>
      <c r="AA318" s="343" t="s">
        <v>5827</v>
      </c>
      <c r="AB318" s="344" t="s">
        <v>243</v>
      </c>
      <c r="AC318" s="345">
        <v>3</v>
      </c>
      <c r="AD318" s="346">
        <v>150</v>
      </c>
      <c r="AE318" s="355">
        <f>ROUND(AD318*AC318,2)</f>
        <v>450</v>
      </c>
      <c r="AF318" s="956">
        <v>4</v>
      </c>
      <c r="AG318" s="407"/>
      <c r="AR318" s="129"/>
      <c r="AT318" s="129"/>
      <c r="AU318" s="129"/>
      <c r="AY318" s="13"/>
      <c r="BE318" s="130"/>
      <c r="BF318" s="130"/>
      <c r="BG318" s="130"/>
      <c r="BH318" s="130"/>
      <c r="BI318" s="130"/>
      <c r="BJ318" s="13"/>
      <c r="BK318" s="130"/>
      <c r="BL318" s="13"/>
      <c r="BM318" s="129"/>
    </row>
    <row r="319" spans="2:65" s="362" customFormat="1" ht="24" customHeight="1" x14ac:dyDescent="0.2">
      <c r="B319" s="118"/>
      <c r="C319" s="1234" t="s">
        <v>5205</v>
      </c>
      <c r="D319" s="1235"/>
      <c r="E319" s="1235"/>
      <c r="F319" s="1235"/>
      <c r="G319" s="1235"/>
      <c r="H319" s="1235"/>
      <c r="I319" s="1235"/>
      <c r="J319" s="1236"/>
      <c r="K319" s="121"/>
      <c r="L319" s="24"/>
      <c r="M319" s="125"/>
      <c r="N319" s="126"/>
      <c r="O319" s="127"/>
      <c r="P319" s="127"/>
      <c r="Q319" s="127"/>
      <c r="R319" s="127"/>
      <c r="S319" s="127"/>
      <c r="T319" s="128"/>
      <c r="W319" s="199"/>
      <c r="X319" s="341" t="s">
        <v>5855</v>
      </c>
      <c r="Y319" s="341" t="s">
        <v>231</v>
      </c>
      <c r="Z319" s="342" t="s">
        <v>5828</v>
      </c>
      <c r="AA319" s="343" t="s">
        <v>5829</v>
      </c>
      <c r="AB319" s="344" t="s">
        <v>243</v>
      </c>
      <c r="AC319" s="345">
        <v>4</v>
      </c>
      <c r="AD319" s="346">
        <v>190</v>
      </c>
      <c r="AE319" s="355">
        <f>ROUND(AD319*AC319,2)</f>
        <v>760</v>
      </c>
      <c r="AF319" s="956">
        <v>4</v>
      </c>
      <c r="AG319" s="407"/>
      <c r="AR319" s="129"/>
      <c r="AT319" s="129"/>
      <c r="AU319" s="129"/>
      <c r="AY319" s="13"/>
      <c r="BE319" s="130"/>
      <c r="BF319" s="130"/>
      <c r="BG319" s="130"/>
      <c r="BH319" s="130"/>
      <c r="BI319" s="130"/>
      <c r="BJ319" s="13"/>
      <c r="BK319" s="130"/>
      <c r="BL319" s="13"/>
      <c r="BM319" s="129"/>
    </row>
    <row r="320" spans="2:65" s="1" customFormat="1" ht="16.5" customHeight="1" x14ac:dyDescent="0.2">
      <c r="B320" s="118"/>
      <c r="C320" s="1070" t="s">
        <v>636</v>
      </c>
      <c r="D320" s="119" t="s">
        <v>231</v>
      </c>
      <c r="E320" s="120" t="s">
        <v>637</v>
      </c>
      <c r="F320" s="121" t="s">
        <v>638</v>
      </c>
      <c r="G320" s="122" t="s">
        <v>243</v>
      </c>
      <c r="H320" s="1071">
        <v>1</v>
      </c>
      <c r="I320" s="124">
        <v>600.24</v>
      </c>
      <c r="J320" s="124">
        <f t="shared" si="58"/>
        <v>600.24</v>
      </c>
      <c r="K320" s="121" t="s">
        <v>1</v>
      </c>
      <c r="L320" s="24"/>
      <c r="M320" s="125" t="s">
        <v>1</v>
      </c>
      <c r="N320" s="126" t="s">
        <v>32</v>
      </c>
      <c r="O320" s="127">
        <v>0</v>
      </c>
      <c r="P320" s="127">
        <f t="shared" si="59"/>
        <v>0</v>
      </c>
      <c r="Q320" s="127">
        <v>0</v>
      </c>
      <c r="R320" s="127">
        <f t="shared" si="60"/>
        <v>0</v>
      </c>
      <c r="S320" s="127">
        <v>0</v>
      </c>
      <c r="T320" s="128">
        <f t="shared" si="61"/>
        <v>0</v>
      </c>
      <c r="W320" s="199"/>
      <c r="X320" s="1070" t="s">
        <v>636</v>
      </c>
      <c r="Y320" s="119" t="s">
        <v>231</v>
      </c>
      <c r="Z320" s="120" t="s">
        <v>637</v>
      </c>
      <c r="AA320" s="121" t="s">
        <v>638</v>
      </c>
      <c r="AB320" s="122" t="s">
        <v>243</v>
      </c>
      <c r="AC320" s="1071">
        <v>0</v>
      </c>
      <c r="AD320" s="124">
        <v>600.24</v>
      </c>
      <c r="AE320" s="200">
        <f t="shared" si="62"/>
        <v>0</v>
      </c>
      <c r="AF320" s="956">
        <v>22</v>
      </c>
      <c r="AG320" s="407"/>
      <c r="AR320" s="129" t="s">
        <v>258</v>
      </c>
      <c r="AT320" s="129" t="s">
        <v>231</v>
      </c>
      <c r="AU320" s="129" t="s">
        <v>76</v>
      </c>
      <c r="AY320" s="13" t="s">
        <v>228</v>
      </c>
      <c r="BE320" s="130">
        <f t="shared" si="63"/>
        <v>0</v>
      </c>
      <c r="BF320" s="130">
        <f t="shared" si="64"/>
        <v>600.24</v>
      </c>
      <c r="BG320" s="130">
        <f t="shared" si="65"/>
        <v>0</v>
      </c>
      <c r="BH320" s="130">
        <f t="shared" si="66"/>
        <v>0</v>
      </c>
      <c r="BI320" s="130">
        <f t="shared" si="67"/>
        <v>0</v>
      </c>
      <c r="BJ320" s="13" t="s">
        <v>76</v>
      </c>
      <c r="BK320" s="130">
        <f t="shared" si="68"/>
        <v>600.24</v>
      </c>
      <c r="BL320" s="13" t="s">
        <v>258</v>
      </c>
      <c r="BM320" s="129" t="s">
        <v>639</v>
      </c>
    </row>
    <row r="321" spans="2:65" s="1" customFormat="1" ht="16.5" customHeight="1" x14ac:dyDescent="0.2">
      <c r="B321" s="118"/>
      <c r="C321" s="1070" t="s">
        <v>432</v>
      </c>
      <c r="D321" s="119" t="s">
        <v>231</v>
      </c>
      <c r="E321" s="120" t="s">
        <v>640</v>
      </c>
      <c r="F321" s="121" t="s">
        <v>641</v>
      </c>
      <c r="G321" s="122" t="s">
        <v>243</v>
      </c>
      <c r="H321" s="1071">
        <v>2</v>
      </c>
      <c r="I321" s="124">
        <v>421.44</v>
      </c>
      <c r="J321" s="124">
        <f t="shared" si="58"/>
        <v>842.88</v>
      </c>
      <c r="K321" s="121" t="s">
        <v>1</v>
      </c>
      <c r="L321" s="24"/>
      <c r="M321" s="125" t="s">
        <v>1</v>
      </c>
      <c r="N321" s="126" t="s">
        <v>32</v>
      </c>
      <c r="O321" s="127">
        <v>0</v>
      </c>
      <c r="P321" s="127">
        <f t="shared" si="59"/>
        <v>0</v>
      </c>
      <c r="Q321" s="127">
        <v>0</v>
      </c>
      <c r="R321" s="127">
        <f t="shared" si="60"/>
        <v>0</v>
      </c>
      <c r="S321" s="127">
        <v>0</v>
      </c>
      <c r="T321" s="128">
        <f t="shared" si="61"/>
        <v>0</v>
      </c>
      <c r="W321" s="199"/>
      <c r="X321" s="1070" t="s">
        <v>432</v>
      </c>
      <c r="Y321" s="119" t="s">
        <v>231</v>
      </c>
      <c r="Z321" s="120" t="s">
        <v>640</v>
      </c>
      <c r="AA321" s="121" t="s">
        <v>641</v>
      </c>
      <c r="AB321" s="122" t="s">
        <v>243</v>
      </c>
      <c r="AC321" s="1071">
        <v>0</v>
      </c>
      <c r="AD321" s="124">
        <v>421.44</v>
      </c>
      <c r="AE321" s="200">
        <f t="shared" si="62"/>
        <v>0</v>
      </c>
      <c r="AF321" s="956">
        <v>22</v>
      </c>
      <c r="AG321" s="407"/>
      <c r="AR321" s="129" t="s">
        <v>258</v>
      </c>
      <c r="AT321" s="129" t="s">
        <v>231</v>
      </c>
      <c r="AU321" s="129" t="s">
        <v>76</v>
      </c>
      <c r="AY321" s="13" t="s">
        <v>228</v>
      </c>
      <c r="BE321" s="130">
        <f t="shared" si="63"/>
        <v>0</v>
      </c>
      <c r="BF321" s="130">
        <f t="shared" si="64"/>
        <v>842.88</v>
      </c>
      <c r="BG321" s="130">
        <f t="shared" si="65"/>
        <v>0</v>
      </c>
      <c r="BH321" s="130">
        <f t="shared" si="66"/>
        <v>0</v>
      </c>
      <c r="BI321" s="130">
        <f t="shared" si="67"/>
        <v>0</v>
      </c>
      <c r="BJ321" s="13" t="s">
        <v>76</v>
      </c>
      <c r="BK321" s="130">
        <f t="shared" si="68"/>
        <v>842.88</v>
      </c>
      <c r="BL321" s="13" t="s">
        <v>258</v>
      </c>
      <c r="BM321" s="129" t="s">
        <v>642</v>
      </c>
    </row>
    <row r="322" spans="2:65" s="1" customFormat="1" ht="16.5" customHeight="1" x14ac:dyDescent="0.2">
      <c r="B322" s="118"/>
      <c r="C322" s="1070" t="s">
        <v>643</v>
      </c>
      <c r="D322" s="119" t="s">
        <v>231</v>
      </c>
      <c r="E322" s="120" t="s">
        <v>644</v>
      </c>
      <c r="F322" s="121" t="s">
        <v>645</v>
      </c>
      <c r="G322" s="122" t="s">
        <v>243</v>
      </c>
      <c r="H322" s="1071">
        <v>1</v>
      </c>
      <c r="I322" s="124">
        <v>236.84</v>
      </c>
      <c r="J322" s="124">
        <f t="shared" si="58"/>
        <v>236.84</v>
      </c>
      <c r="K322" s="121" t="s">
        <v>1</v>
      </c>
      <c r="L322" s="24"/>
      <c r="M322" s="125" t="s">
        <v>1</v>
      </c>
      <c r="N322" s="126" t="s">
        <v>32</v>
      </c>
      <c r="O322" s="127">
        <v>0</v>
      </c>
      <c r="P322" s="127">
        <f t="shared" si="59"/>
        <v>0</v>
      </c>
      <c r="Q322" s="127">
        <v>0</v>
      </c>
      <c r="R322" s="127">
        <f t="shared" si="60"/>
        <v>0</v>
      </c>
      <c r="S322" s="127">
        <v>0</v>
      </c>
      <c r="T322" s="128">
        <f t="shared" si="61"/>
        <v>0</v>
      </c>
      <c r="W322" s="199"/>
      <c r="X322" s="1070" t="s">
        <v>643</v>
      </c>
      <c r="Y322" s="119" t="s">
        <v>231</v>
      </c>
      <c r="Z322" s="120" t="s">
        <v>644</v>
      </c>
      <c r="AA322" s="121" t="s">
        <v>645</v>
      </c>
      <c r="AB322" s="122" t="s">
        <v>243</v>
      </c>
      <c r="AC322" s="1071">
        <v>0</v>
      </c>
      <c r="AD322" s="124">
        <v>236.84</v>
      </c>
      <c r="AE322" s="200">
        <f t="shared" si="62"/>
        <v>0</v>
      </c>
      <c r="AF322" s="956">
        <v>22</v>
      </c>
      <c r="AG322" s="407"/>
      <c r="AR322" s="129" t="s">
        <v>258</v>
      </c>
      <c r="AT322" s="129" t="s">
        <v>231</v>
      </c>
      <c r="AU322" s="129" t="s">
        <v>76</v>
      </c>
      <c r="AY322" s="13" t="s">
        <v>228</v>
      </c>
      <c r="BE322" s="130">
        <f t="shared" si="63"/>
        <v>0</v>
      </c>
      <c r="BF322" s="130">
        <f t="shared" si="64"/>
        <v>236.84</v>
      </c>
      <c r="BG322" s="130">
        <f t="shared" si="65"/>
        <v>0</v>
      </c>
      <c r="BH322" s="130">
        <f t="shared" si="66"/>
        <v>0</v>
      </c>
      <c r="BI322" s="130">
        <f t="shared" si="67"/>
        <v>0</v>
      </c>
      <c r="BJ322" s="13" t="s">
        <v>76</v>
      </c>
      <c r="BK322" s="130">
        <f t="shared" si="68"/>
        <v>236.84</v>
      </c>
      <c r="BL322" s="13" t="s">
        <v>258</v>
      </c>
      <c r="BM322" s="129" t="s">
        <v>646</v>
      </c>
    </row>
    <row r="323" spans="2:65" s="1" customFormat="1" ht="16.5" customHeight="1" x14ac:dyDescent="0.2">
      <c r="B323" s="118"/>
      <c r="C323" s="1070" t="s">
        <v>435</v>
      </c>
      <c r="D323" s="119" t="s">
        <v>231</v>
      </c>
      <c r="E323" s="120" t="s">
        <v>647</v>
      </c>
      <c r="F323" s="121" t="s">
        <v>648</v>
      </c>
      <c r="G323" s="122" t="s">
        <v>243</v>
      </c>
      <c r="H323" s="1071">
        <v>2</v>
      </c>
      <c r="I323" s="124">
        <v>696.6</v>
      </c>
      <c r="J323" s="124">
        <f t="shared" si="58"/>
        <v>1393.2</v>
      </c>
      <c r="K323" s="121" t="s">
        <v>1</v>
      </c>
      <c r="L323" s="24"/>
      <c r="M323" s="125" t="s">
        <v>1</v>
      </c>
      <c r="N323" s="126" t="s">
        <v>32</v>
      </c>
      <c r="O323" s="127">
        <v>0</v>
      </c>
      <c r="P323" s="127">
        <f t="shared" si="59"/>
        <v>0</v>
      </c>
      <c r="Q323" s="127">
        <v>0</v>
      </c>
      <c r="R323" s="127">
        <f t="shared" si="60"/>
        <v>0</v>
      </c>
      <c r="S323" s="127">
        <v>0</v>
      </c>
      <c r="T323" s="128">
        <f t="shared" si="61"/>
        <v>0</v>
      </c>
      <c r="W323" s="199"/>
      <c r="X323" s="1070" t="s">
        <v>435</v>
      </c>
      <c r="Y323" s="119" t="s">
        <v>231</v>
      </c>
      <c r="Z323" s="120" t="s">
        <v>647</v>
      </c>
      <c r="AA323" s="121" t="s">
        <v>648</v>
      </c>
      <c r="AB323" s="122" t="s">
        <v>243</v>
      </c>
      <c r="AC323" s="1071">
        <v>0</v>
      </c>
      <c r="AD323" s="124">
        <v>696.6</v>
      </c>
      <c r="AE323" s="200">
        <f t="shared" si="62"/>
        <v>0</v>
      </c>
      <c r="AF323" s="956">
        <v>22</v>
      </c>
      <c r="AG323" s="407"/>
      <c r="AR323" s="129" t="s">
        <v>258</v>
      </c>
      <c r="AT323" s="129" t="s">
        <v>231</v>
      </c>
      <c r="AU323" s="129" t="s">
        <v>76</v>
      </c>
      <c r="AY323" s="13" t="s">
        <v>228</v>
      </c>
      <c r="BE323" s="130">
        <f t="shared" si="63"/>
        <v>0</v>
      </c>
      <c r="BF323" s="130">
        <f t="shared" si="64"/>
        <v>1393.2</v>
      </c>
      <c r="BG323" s="130">
        <f t="shared" si="65"/>
        <v>0</v>
      </c>
      <c r="BH323" s="130">
        <f t="shared" si="66"/>
        <v>0</v>
      </c>
      <c r="BI323" s="130">
        <f t="shared" si="67"/>
        <v>0</v>
      </c>
      <c r="BJ323" s="13" t="s">
        <v>76</v>
      </c>
      <c r="BK323" s="130">
        <f t="shared" si="68"/>
        <v>1393.2</v>
      </c>
      <c r="BL323" s="13" t="s">
        <v>258</v>
      </c>
      <c r="BM323" s="129" t="s">
        <v>649</v>
      </c>
    </row>
    <row r="324" spans="2:65" s="1" customFormat="1" ht="16.5" customHeight="1" x14ac:dyDescent="0.2">
      <c r="B324" s="118"/>
      <c r="C324" s="119" t="s">
        <v>650</v>
      </c>
      <c r="D324" s="119" t="s">
        <v>231</v>
      </c>
      <c r="E324" s="120" t="s">
        <v>651</v>
      </c>
      <c r="F324" s="121" t="s">
        <v>652</v>
      </c>
      <c r="G324" s="122" t="s">
        <v>243</v>
      </c>
      <c r="H324" s="123">
        <v>1</v>
      </c>
      <c r="I324" s="124">
        <v>455.11</v>
      </c>
      <c r="J324" s="124">
        <f t="shared" si="58"/>
        <v>455.11</v>
      </c>
      <c r="K324" s="121" t="s">
        <v>1</v>
      </c>
      <c r="L324" s="24"/>
      <c r="M324" s="125" t="s">
        <v>1</v>
      </c>
      <c r="N324" s="126" t="s">
        <v>32</v>
      </c>
      <c r="O324" s="127">
        <v>0</v>
      </c>
      <c r="P324" s="127">
        <f t="shared" si="59"/>
        <v>0</v>
      </c>
      <c r="Q324" s="127">
        <v>0</v>
      </c>
      <c r="R324" s="127">
        <f t="shared" si="60"/>
        <v>0</v>
      </c>
      <c r="S324" s="127">
        <v>0</v>
      </c>
      <c r="T324" s="128">
        <f t="shared" si="61"/>
        <v>0</v>
      </c>
      <c r="W324" s="199"/>
      <c r="X324" s="119" t="s">
        <v>650</v>
      </c>
      <c r="Y324" s="119" t="s">
        <v>231</v>
      </c>
      <c r="Z324" s="120" t="s">
        <v>651</v>
      </c>
      <c r="AA324" s="121" t="s">
        <v>652</v>
      </c>
      <c r="AB324" s="122" t="s">
        <v>243</v>
      </c>
      <c r="AC324" s="123">
        <v>1</v>
      </c>
      <c r="AD324" s="124">
        <v>455.11</v>
      </c>
      <c r="AE324" s="200">
        <f t="shared" si="62"/>
        <v>455.11</v>
      </c>
      <c r="AF324" s="956"/>
      <c r="AG324" s="407"/>
      <c r="AR324" s="129" t="s">
        <v>258</v>
      </c>
      <c r="AT324" s="129" t="s">
        <v>231</v>
      </c>
      <c r="AU324" s="129" t="s">
        <v>76</v>
      </c>
      <c r="AY324" s="13" t="s">
        <v>228</v>
      </c>
      <c r="BE324" s="130">
        <f t="shared" si="63"/>
        <v>0</v>
      </c>
      <c r="BF324" s="130">
        <f t="shared" si="64"/>
        <v>455.11</v>
      </c>
      <c r="BG324" s="130">
        <f t="shared" si="65"/>
        <v>0</v>
      </c>
      <c r="BH324" s="130">
        <f t="shared" si="66"/>
        <v>0</v>
      </c>
      <c r="BI324" s="130">
        <f t="shared" si="67"/>
        <v>0</v>
      </c>
      <c r="BJ324" s="13" t="s">
        <v>76</v>
      </c>
      <c r="BK324" s="130">
        <f t="shared" si="68"/>
        <v>455.11</v>
      </c>
      <c r="BL324" s="13" t="s">
        <v>258</v>
      </c>
      <c r="BM324" s="129" t="s">
        <v>653</v>
      </c>
    </row>
    <row r="325" spans="2:65" s="1" customFormat="1" ht="16.5" customHeight="1" x14ac:dyDescent="0.2">
      <c r="B325" s="118"/>
      <c r="C325" s="119" t="s">
        <v>441</v>
      </c>
      <c r="D325" s="119" t="s">
        <v>231</v>
      </c>
      <c r="E325" s="120" t="s">
        <v>654</v>
      </c>
      <c r="F325" s="121" t="s">
        <v>655</v>
      </c>
      <c r="G325" s="122" t="s">
        <v>243</v>
      </c>
      <c r="H325" s="123">
        <v>1</v>
      </c>
      <c r="I325" s="124">
        <v>398.22</v>
      </c>
      <c r="J325" s="124">
        <f t="shared" si="58"/>
        <v>398.22</v>
      </c>
      <c r="K325" s="121" t="s">
        <v>1</v>
      </c>
      <c r="L325" s="24"/>
      <c r="M325" s="125" t="s">
        <v>1</v>
      </c>
      <c r="N325" s="126" t="s">
        <v>32</v>
      </c>
      <c r="O325" s="127">
        <v>0</v>
      </c>
      <c r="P325" s="127">
        <f t="shared" si="59"/>
        <v>0</v>
      </c>
      <c r="Q325" s="127">
        <v>0</v>
      </c>
      <c r="R325" s="127">
        <f t="shared" si="60"/>
        <v>0</v>
      </c>
      <c r="S325" s="127">
        <v>0</v>
      </c>
      <c r="T325" s="128">
        <f t="shared" si="61"/>
        <v>0</v>
      </c>
      <c r="W325" s="199"/>
      <c r="X325" s="119" t="s">
        <v>441</v>
      </c>
      <c r="Y325" s="119" t="s">
        <v>231</v>
      </c>
      <c r="Z325" s="120" t="s">
        <v>654</v>
      </c>
      <c r="AA325" s="121" t="s">
        <v>655</v>
      </c>
      <c r="AB325" s="122" t="s">
        <v>243</v>
      </c>
      <c r="AC325" s="123">
        <v>1</v>
      </c>
      <c r="AD325" s="124">
        <v>398.22</v>
      </c>
      <c r="AE325" s="200">
        <f t="shared" si="62"/>
        <v>398.22</v>
      </c>
      <c r="AF325" s="956"/>
      <c r="AG325" s="407"/>
      <c r="AR325" s="129" t="s">
        <v>258</v>
      </c>
      <c r="AT325" s="129" t="s">
        <v>231</v>
      </c>
      <c r="AU325" s="129" t="s">
        <v>76</v>
      </c>
      <c r="AY325" s="13" t="s">
        <v>228</v>
      </c>
      <c r="BE325" s="130">
        <f t="shared" si="63"/>
        <v>0</v>
      </c>
      <c r="BF325" s="130">
        <f t="shared" si="64"/>
        <v>398.22</v>
      </c>
      <c r="BG325" s="130">
        <f t="shared" si="65"/>
        <v>0</v>
      </c>
      <c r="BH325" s="130">
        <f t="shared" si="66"/>
        <v>0</v>
      </c>
      <c r="BI325" s="130">
        <f t="shared" si="67"/>
        <v>0</v>
      </c>
      <c r="BJ325" s="13" t="s">
        <v>76</v>
      </c>
      <c r="BK325" s="130">
        <f t="shared" si="68"/>
        <v>398.22</v>
      </c>
      <c r="BL325" s="13" t="s">
        <v>258</v>
      </c>
      <c r="BM325" s="129" t="s">
        <v>656</v>
      </c>
    </row>
    <row r="326" spans="2:65" s="1" customFormat="1" ht="16.5" customHeight="1" x14ac:dyDescent="0.2">
      <c r="B326" s="118"/>
      <c r="C326" s="119" t="s">
        <v>657</v>
      </c>
      <c r="D326" s="119" t="s">
        <v>231</v>
      </c>
      <c r="E326" s="120" t="s">
        <v>658</v>
      </c>
      <c r="F326" s="121" t="s">
        <v>659</v>
      </c>
      <c r="G326" s="122" t="s">
        <v>243</v>
      </c>
      <c r="H326" s="123">
        <v>1</v>
      </c>
      <c r="I326" s="124">
        <v>684.99</v>
      </c>
      <c r="J326" s="124">
        <f t="shared" si="58"/>
        <v>684.99</v>
      </c>
      <c r="K326" s="121" t="s">
        <v>1</v>
      </c>
      <c r="L326" s="24"/>
      <c r="M326" s="125" t="s">
        <v>1</v>
      </c>
      <c r="N326" s="126" t="s">
        <v>32</v>
      </c>
      <c r="O326" s="127">
        <v>0</v>
      </c>
      <c r="P326" s="127">
        <f t="shared" si="59"/>
        <v>0</v>
      </c>
      <c r="Q326" s="127">
        <v>0</v>
      </c>
      <c r="R326" s="127">
        <f t="shared" si="60"/>
        <v>0</v>
      </c>
      <c r="S326" s="127">
        <v>0</v>
      </c>
      <c r="T326" s="128">
        <f t="shared" si="61"/>
        <v>0</v>
      </c>
      <c r="W326" s="199"/>
      <c r="X326" s="119" t="s">
        <v>657</v>
      </c>
      <c r="Y326" s="119" t="s">
        <v>231</v>
      </c>
      <c r="Z326" s="120" t="s">
        <v>658</v>
      </c>
      <c r="AA326" s="121" t="s">
        <v>659</v>
      </c>
      <c r="AB326" s="122" t="s">
        <v>243</v>
      </c>
      <c r="AC326" s="123">
        <v>1</v>
      </c>
      <c r="AD326" s="124">
        <v>684.99</v>
      </c>
      <c r="AE326" s="200">
        <f t="shared" si="62"/>
        <v>684.99</v>
      </c>
      <c r="AF326" s="956"/>
      <c r="AG326" s="407"/>
      <c r="AR326" s="129" t="s">
        <v>258</v>
      </c>
      <c r="AT326" s="129" t="s">
        <v>231</v>
      </c>
      <c r="AU326" s="129" t="s">
        <v>76</v>
      </c>
      <c r="AY326" s="13" t="s">
        <v>228</v>
      </c>
      <c r="BE326" s="130">
        <f t="shared" si="63"/>
        <v>0</v>
      </c>
      <c r="BF326" s="130">
        <f t="shared" si="64"/>
        <v>684.99</v>
      </c>
      <c r="BG326" s="130">
        <f t="shared" si="65"/>
        <v>0</v>
      </c>
      <c r="BH326" s="130">
        <f t="shared" si="66"/>
        <v>0</v>
      </c>
      <c r="BI326" s="130">
        <f t="shared" si="67"/>
        <v>0</v>
      </c>
      <c r="BJ326" s="13" t="s">
        <v>76</v>
      </c>
      <c r="BK326" s="130">
        <f t="shared" si="68"/>
        <v>684.99</v>
      </c>
      <c r="BL326" s="13" t="s">
        <v>258</v>
      </c>
      <c r="BM326" s="129" t="s">
        <v>660</v>
      </c>
    </row>
    <row r="327" spans="2:65" s="1" customFormat="1" ht="24" customHeight="1" x14ac:dyDescent="0.2">
      <c r="B327" s="118"/>
      <c r="C327" s="1070" t="s">
        <v>444</v>
      </c>
      <c r="D327" s="119" t="s">
        <v>231</v>
      </c>
      <c r="E327" s="120" t="s">
        <v>661</v>
      </c>
      <c r="F327" s="121" t="s">
        <v>662</v>
      </c>
      <c r="G327" s="122" t="s">
        <v>243</v>
      </c>
      <c r="H327" s="1071">
        <v>2</v>
      </c>
      <c r="I327" s="124">
        <v>830.12</v>
      </c>
      <c r="J327" s="124">
        <f t="shared" si="58"/>
        <v>1660.24</v>
      </c>
      <c r="K327" s="121" t="s">
        <v>1</v>
      </c>
      <c r="L327" s="24"/>
      <c r="M327" s="125" t="s">
        <v>1</v>
      </c>
      <c r="N327" s="126" t="s">
        <v>32</v>
      </c>
      <c r="O327" s="127">
        <v>0</v>
      </c>
      <c r="P327" s="127">
        <f t="shared" si="59"/>
        <v>0</v>
      </c>
      <c r="Q327" s="127">
        <v>0</v>
      </c>
      <c r="R327" s="127">
        <f t="shared" si="60"/>
        <v>0</v>
      </c>
      <c r="S327" s="127">
        <v>0</v>
      </c>
      <c r="T327" s="128">
        <f t="shared" si="61"/>
        <v>0</v>
      </c>
      <c r="W327" s="199"/>
      <c r="X327" s="1070" t="s">
        <v>444</v>
      </c>
      <c r="Y327" s="119" t="s">
        <v>231</v>
      </c>
      <c r="Z327" s="120" t="s">
        <v>661</v>
      </c>
      <c r="AA327" s="121" t="s">
        <v>662</v>
      </c>
      <c r="AB327" s="122" t="s">
        <v>243</v>
      </c>
      <c r="AC327" s="1071">
        <v>0</v>
      </c>
      <c r="AD327" s="124">
        <v>830.12</v>
      </c>
      <c r="AE327" s="200">
        <f t="shared" si="62"/>
        <v>0</v>
      </c>
      <c r="AF327" s="956">
        <v>22</v>
      </c>
      <c r="AG327" s="407"/>
      <c r="AR327" s="129" t="s">
        <v>258</v>
      </c>
      <c r="AT327" s="129" t="s">
        <v>231</v>
      </c>
      <c r="AU327" s="129" t="s">
        <v>76</v>
      </c>
      <c r="AY327" s="13" t="s">
        <v>228</v>
      </c>
      <c r="BE327" s="130">
        <f t="shared" si="63"/>
        <v>0</v>
      </c>
      <c r="BF327" s="130">
        <f t="shared" si="64"/>
        <v>1660.24</v>
      </c>
      <c r="BG327" s="130">
        <f t="shared" si="65"/>
        <v>0</v>
      </c>
      <c r="BH327" s="130">
        <f t="shared" si="66"/>
        <v>0</v>
      </c>
      <c r="BI327" s="130">
        <f t="shared" si="67"/>
        <v>0</v>
      </c>
      <c r="BJ327" s="13" t="s">
        <v>76</v>
      </c>
      <c r="BK327" s="130">
        <f t="shared" si="68"/>
        <v>1660.24</v>
      </c>
      <c r="BL327" s="13" t="s">
        <v>258</v>
      </c>
      <c r="BM327" s="129" t="s">
        <v>663</v>
      </c>
    </row>
    <row r="328" spans="2:65" s="1" customFormat="1" ht="24" customHeight="1" x14ac:dyDescent="0.2">
      <c r="B328" s="118"/>
      <c r="C328" s="1070" t="s">
        <v>664</v>
      </c>
      <c r="D328" s="119" t="s">
        <v>231</v>
      </c>
      <c r="E328" s="120" t="s">
        <v>665</v>
      </c>
      <c r="F328" s="121" t="s">
        <v>666</v>
      </c>
      <c r="G328" s="122" t="s">
        <v>243</v>
      </c>
      <c r="H328" s="1071">
        <v>1</v>
      </c>
      <c r="I328" s="124">
        <v>1058.83</v>
      </c>
      <c r="J328" s="124">
        <f t="shared" si="58"/>
        <v>1058.83</v>
      </c>
      <c r="K328" s="121" t="s">
        <v>1</v>
      </c>
      <c r="L328" s="24"/>
      <c r="M328" s="125" t="s">
        <v>1</v>
      </c>
      <c r="N328" s="126" t="s">
        <v>32</v>
      </c>
      <c r="O328" s="127">
        <v>0</v>
      </c>
      <c r="P328" s="127">
        <f t="shared" si="59"/>
        <v>0</v>
      </c>
      <c r="Q328" s="127">
        <v>0</v>
      </c>
      <c r="R328" s="127">
        <f t="shared" si="60"/>
        <v>0</v>
      </c>
      <c r="S328" s="127">
        <v>0</v>
      </c>
      <c r="T328" s="128">
        <f t="shared" si="61"/>
        <v>0</v>
      </c>
      <c r="W328" s="199"/>
      <c r="X328" s="1070" t="s">
        <v>664</v>
      </c>
      <c r="Y328" s="119" t="s">
        <v>231</v>
      </c>
      <c r="Z328" s="120" t="s">
        <v>665</v>
      </c>
      <c r="AA328" s="121" t="s">
        <v>666</v>
      </c>
      <c r="AB328" s="122" t="s">
        <v>243</v>
      </c>
      <c r="AC328" s="1071">
        <v>0</v>
      </c>
      <c r="AD328" s="124">
        <v>1058.83</v>
      </c>
      <c r="AE328" s="200">
        <f t="shared" si="62"/>
        <v>0</v>
      </c>
      <c r="AF328" s="956">
        <v>22</v>
      </c>
      <c r="AG328" s="407"/>
      <c r="AR328" s="129" t="s">
        <v>258</v>
      </c>
      <c r="AT328" s="129" t="s">
        <v>231</v>
      </c>
      <c r="AU328" s="129" t="s">
        <v>76</v>
      </c>
      <c r="AY328" s="13" t="s">
        <v>228</v>
      </c>
      <c r="BE328" s="130">
        <f t="shared" si="63"/>
        <v>0</v>
      </c>
      <c r="BF328" s="130">
        <f t="shared" si="64"/>
        <v>1058.83</v>
      </c>
      <c r="BG328" s="130">
        <f t="shared" si="65"/>
        <v>0</v>
      </c>
      <c r="BH328" s="130">
        <f t="shared" si="66"/>
        <v>0</v>
      </c>
      <c r="BI328" s="130">
        <f t="shared" si="67"/>
        <v>0</v>
      </c>
      <c r="BJ328" s="13" t="s">
        <v>76</v>
      </c>
      <c r="BK328" s="130">
        <f t="shared" si="68"/>
        <v>1058.83</v>
      </c>
      <c r="BL328" s="13" t="s">
        <v>258</v>
      </c>
      <c r="BM328" s="129" t="s">
        <v>667</v>
      </c>
    </row>
    <row r="329" spans="2:65" s="1" customFormat="1" ht="24" customHeight="1" x14ac:dyDescent="0.2">
      <c r="B329" s="118"/>
      <c r="C329" s="119" t="s">
        <v>448</v>
      </c>
      <c r="D329" s="119" t="s">
        <v>231</v>
      </c>
      <c r="E329" s="120" t="s">
        <v>668</v>
      </c>
      <c r="F329" s="121" t="s">
        <v>669</v>
      </c>
      <c r="G329" s="122" t="s">
        <v>243</v>
      </c>
      <c r="H329" s="123">
        <v>14</v>
      </c>
      <c r="I329" s="124">
        <v>208.98</v>
      </c>
      <c r="J329" s="124">
        <f t="shared" si="58"/>
        <v>2925.72</v>
      </c>
      <c r="K329" s="121" t="s">
        <v>1</v>
      </c>
      <c r="L329" s="24"/>
      <c r="M329" s="125" t="s">
        <v>1</v>
      </c>
      <c r="N329" s="126" t="s">
        <v>32</v>
      </c>
      <c r="O329" s="127">
        <v>0</v>
      </c>
      <c r="P329" s="127">
        <f t="shared" si="59"/>
        <v>0</v>
      </c>
      <c r="Q329" s="127">
        <v>0</v>
      </c>
      <c r="R329" s="127">
        <f t="shared" si="60"/>
        <v>0</v>
      </c>
      <c r="S329" s="127">
        <v>0</v>
      </c>
      <c r="T329" s="128">
        <f t="shared" si="61"/>
        <v>0</v>
      </c>
      <c r="W329" s="199"/>
      <c r="X329" s="119" t="s">
        <v>448</v>
      </c>
      <c r="Y329" s="119" t="s">
        <v>231</v>
      </c>
      <c r="Z329" s="120" t="s">
        <v>668</v>
      </c>
      <c r="AA329" s="121" t="s">
        <v>669</v>
      </c>
      <c r="AB329" s="122" t="s">
        <v>243</v>
      </c>
      <c r="AC329" s="123">
        <v>14</v>
      </c>
      <c r="AD329" s="124">
        <v>208.98</v>
      </c>
      <c r="AE329" s="200">
        <f t="shared" si="62"/>
        <v>2925.72</v>
      </c>
      <c r="AF329" s="956"/>
      <c r="AG329" s="407"/>
      <c r="AR329" s="129" t="s">
        <v>258</v>
      </c>
      <c r="AT329" s="129" t="s">
        <v>231</v>
      </c>
      <c r="AU329" s="129" t="s">
        <v>76</v>
      </c>
      <c r="AY329" s="13" t="s">
        <v>228</v>
      </c>
      <c r="BE329" s="130">
        <f t="shared" si="63"/>
        <v>0</v>
      </c>
      <c r="BF329" s="130">
        <f t="shared" si="64"/>
        <v>2925.72</v>
      </c>
      <c r="BG329" s="130">
        <f t="shared" si="65"/>
        <v>0</v>
      </c>
      <c r="BH329" s="130">
        <f t="shared" si="66"/>
        <v>0</v>
      </c>
      <c r="BI329" s="130">
        <f t="shared" si="67"/>
        <v>0</v>
      </c>
      <c r="BJ329" s="13" t="s">
        <v>76</v>
      </c>
      <c r="BK329" s="130">
        <f t="shared" si="68"/>
        <v>2925.72</v>
      </c>
      <c r="BL329" s="13" t="s">
        <v>258</v>
      </c>
      <c r="BM329" s="129" t="s">
        <v>670</v>
      </c>
    </row>
    <row r="330" spans="2:65" s="1" customFormat="1" ht="24" customHeight="1" x14ac:dyDescent="0.2">
      <c r="B330" s="118"/>
      <c r="C330" s="1070" t="s">
        <v>671</v>
      </c>
      <c r="D330" s="119" t="s">
        <v>231</v>
      </c>
      <c r="E330" s="120" t="s">
        <v>672</v>
      </c>
      <c r="F330" s="121" t="s">
        <v>673</v>
      </c>
      <c r="G330" s="122" t="s">
        <v>243</v>
      </c>
      <c r="H330" s="1071">
        <v>2</v>
      </c>
      <c r="I330" s="124">
        <v>232.2</v>
      </c>
      <c r="J330" s="124">
        <f t="shared" si="58"/>
        <v>464.4</v>
      </c>
      <c r="K330" s="121" t="s">
        <v>1</v>
      </c>
      <c r="L330" s="24"/>
      <c r="M330" s="125" t="s">
        <v>1</v>
      </c>
      <c r="N330" s="126" t="s">
        <v>32</v>
      </c>
      <c r="O330" s="127">
        <v>0</v>
      </c>
      <c r="P330" s="127">
        <f t="shared" si="59"/>
        <v>0</v>
      </c>
      <c r="Q330" s="127">
        <v>0</v>
      </c>
      <c r="R330" s="127">
        <f t="shared" si="60"/>
        <v>0</v>
      </c>
      <c r="S330" s="127">
        <v>0</v>
      </c>
      <c r="T330" s="128">
        <f t="shared" si="61"/>
        <v>0</v>
      </c>
      <c r="W330" s="199"/>
      <c r="X330" s="1070" t="s">
        <v>671</v>
      </c>
      <c r="Y330" s="119" t="s">
        <v>231</v>
      </c>
      <c r="Z330" s="120" t="s">
        <v>672</v>
      </c>
      <c r="AA330" s="121" t="s">
        <v>673</v>
      </c>
      <c r="AB330" s="122" t="s">
        <v>243</v>
      </c>
      <c r="AC330" s="1071">
        <v>0</v>
      </c>
      <c r="AD330" s="124">
        <v>232.2</v>
      </c>
      <c r="AE330" s="200">
        <f t="shared" si="62"/>
        <v>0</v>
      </c>
      <c r="AF330" s="956">
        <v>22</v>
      </c>
      <c r="AG330" s="407"/>
      <c r="AR330" s="129" t="s">
        <v>258</v>
      </c>
      <c r="AT330" s="129" t="s">
        <v>231</v>
      </c>
      <c r="AU330" s="129" t="s">
        <v>76</v>
      </c>
      <c r="AY330" s="13" t="s">
        <v>228</v>
      </c>
      <c r="BE330" s="130">
        <f t="shared" si="63"/>
        <v>0</v>
      </c>
      <c r="BF330" s="130">
        <f t="shared" si="64"/>
        <v>464.4</v>
      </c>
      <c r="BG330" s="130">
        <f t="shared" si="65"/>
        <v>0</v>
      </c>
      <c r="BH330" s="130">
        <f t="shared" si="66"/>
        <v>0</v>
      </c>
      <c r="BI330" s="130">
        <f t="shared" si="67"/>
        <v>0</v>
      </c>
      <c r="BJ330" s="13" t="s">
        <v>76</v>
      </c>
      <c r="BK330" s="130">
        <f t="shared" si="68"/>
        <v>464.4</v>
      </c>
      <c r="BL330" s="13" t="s">
        <v>258</v>
      </c>
      <c r="BM330" s="129" t="s">
        <v>674</v>
      </c>
    </row>
    <row r="331" spans="2:65" s="1" customFormat="1" ht="24" customHeight="1" x14ac:dyDescent="0.2">
      <c r="B331" s="118"/>
      <c r="C331" s="119" t="s">
        <v>451</v>
      </c>
      <c r="D331" s="119" t="s">
        <v>231</v>
      </c>
      <c r="E331" s="120" t="s">
        <v>675</v>
      </c>
      <c r="F331" s="121" t="s">
        <v>676</v>
      </c>
      <c r="G331" s="122" t="s">
        <v>243</v>
      </c>
      <c r="H331" s="123">
        <v>3</v>
      </c>
      <c r="I331" s="124">
        <v>232.2</v>
      </c>
      <c r="J331" s="124">
        <f t="shared" si="58"/>
        <v>696.6</v>
      </c>
      <c r="K331" s="121" t="s">
        <v>1</v>
      </c>
      <c r="L331" s="24"/>
      <c r="M331" s="125" t="s">
        <v>1</v>
      </c>
      <c r="N331" s="126" t="s">
        <v>32</v>
      </c>
      <c r="O331" s="127">
        <v>0</v>
      </c>
      <c r="P331" s="127">
        <f t="shared" si="59"/>
        <v>0</v>
      </c>
      <c r="Q331" s="127">
        <v>0</v>
      </c>
      <c r="R331" s="127">
        <f t="shared" si="60"/>
        <v>0</v>
      </c>
      <c r="S331" s="127">
        <v>0</v>
      </c>
      <c r="T331" s="128">
        <f t="shared" si="61"/>
        <v>0</v>
      </c>
      <c r="W331" s="199"/>
      <c r="X331" s="119" t="s">
        <v>451</v>
      </c>
      <c r="Y331" s="119" t="s">
        <v>231</v>
      </c>
      <c r="Z331" s="120" t="s">
        <v>675</v>
      </c>
      <c r="AA331" s="121" t="s">
        <v>676</v>
      </c>
      <c r="AB331" s="122" t="s">
        <v>243</v>
      </c>
      <c r="AC331" s="123">
        <v>3</v>
      </c>
      <c r="AD331" s="124">
        <v>232.2</v>
      </c>
      <c r="AE331" s="200">
        <f t="shared" si="62"/>
        <v>696.6</v>
      </c>
      <c r="AF331" s="956"/>
      <c r="AG331" s="407"/>
      <c r="AR331" s="129" t="s">
        <v>258</v>
      </c>
      <c r="AT331" s="129" t="s">
        <v>231</v>
      </c>
      <c r="AU331" s="129" t="s">
        <v>76</v>
      </c>
      <c r="AY331" s="13" t="s">
        <v>228</v>
      </c>
      <c r="BE331" s="130">
        <f t="shared" si="63"/>
        <v>0</v>
      </c>
      <c r="BF331" s="130">
        <f t="shared" si="64"/>
        <v>696.6</v>
      </c>
      <c r="BG331" s="130">
        <f t="shared" si="65"/>
        <v>0</v>
      </c>
      <c r="BH331" s="130">
        <f t="shared" si="66"/>
        <v>0</v>
      </c>
      <c r="BI331" s="130">
        <f t="shared" si="67"/>
        <v>0</v>
      </c>
      <c r="BJ331" s="13" t="s">
        <v>76</v>
      </c>
      <c r="BK331" s="130">
        <f t="shared" si="68"/>
        <v>696.6</v>
      </c>
      <c r="BL331" s="13" t="s">
        <v>258</v>
      </c>
      <c r="BM331" s="129" t="s">
        <v>677</v>
      </c>
    </row>
    <row r="332" spans="2:65" s="1" customFormat="1" ht="24" customHeight="1" x14ac:dyDescent="0.2">
      <c r="B332" s="118"/>
      <c r="C332" s="119" t="s">
        <v>678</v>
      </c>
      <c r="D332" s="119" t="s">
        <v>231</v>
      </c>
      <c r="E332" s="120" t="s">
        <v>679</v>
      </c>
      <c r="F332" s="121" t="s">
        <v>680</v>
      </c>
      <c r="G332" s="122" t="s">
        <v>243</v>
      </c>
      <c r="H332" s="123">
        <v>2</v>
      </c>
      <c r="I332" s="124">
        <v>208.98</v>
      </c>
      <c r="J332" s="124">
        <f t="shared" si="58"/>
        <v>417.96</v>
      </c>
      <c r="K332" s="121" t="s">
        <v>1</v>
      </c>
      <c r="L332" s="24"/>
      <c r="M332" s="125" t="s">
        <v>1</v>
      </c>
      <c r="N332" s="126" t="s">
        <v>32</v>
      </c>
      <c r="O332" s="127">
        <v>0</v>
      </c>
      <c r="P332" s="127">
        <f t="shared" si="59"/>
        <v>0</v>
      </c>
      <c r="Q332" s="127">
        <v>0</v>
      </c>
      <c r="R332" s="127">
        <f t="shared" si="60"/>
        <v>0</v>
      </c>
      <c r="S332" s="127">
        <v>0</v>
      </c>
      <c r="T332" s="128">
        <f t="shared" si="61"/>
        <v>0</v>
      </c>
      <c r="W332" s="199"/>
      <c r="X332" s="119" t="s">
        <v>678</v>
      </c>
      <c r="Y332" s="119" t="s">
        <v>231</v>
      </c>
      <c r="Z332" s="120" t="s">
        <v>679</v>
      </c>
      <c r="AA332" s="121" t="s">
        <v>680</v>
      </c>
      <c r="AB332" s="122" t="s">
        <v>243</v>
      </c>
      <c r="AC332" s="123">
        <v>2</v>
      </c>
      <c r="AD332" s="124">
        <v>208.98</v>
      </c>
      <c r="AE332" s="200">
        <f t="shared" si="62"/>
        <v>417.96</v>
      </c>
      <c r="AF332" s="956"/>
      <c r="AG332" s="407"/>
      <c r="AR332" s="129" t="s">
        <v>258</v>
      </c>
      <c r="AT332" s="129" t="s">
        <v>231</v>
      </c>
      <c r="AU332" s="129" t="s">
        <v>76</v>
      </c>
      <c r="AY332" s="13" t="s">
        <v>228</v>
      </c>
      <c r="BE332" s="130">
        <f t="shared" si="63"/>
        <v>0</v>
      </c>
      <c r="BF332" s="130">
        <f t="shared" si="64"/>
        <v>417.96</v>
      </c>
      <c r="BG332" s="130">
        <f t="shared" si="65"/>
        <v>0</v>
      </c>
      <c r="BH332" s="130">
        <f t="shared" si="66"/>
        <v>0</v>
      </c>
      <c r="BI332" s="130">
        <f t="shared" si="67"/>
        <v>0</v>
      </c>
      <c r="BJ332" s="13" t="s">
        <v>76</v>
      </c>
      <c r="BK332" s="130">
        <f t="shared" si="68"/>
        <v>417.96</v>
      </c>
      <c r="BL332" s="13" t="s">
        <v>258</v>
      </c>
      <c r="BM332" s="129" t="s">
        <v>681</v>
      </c>
    </row>
    <row r="333" spans="2:65" s="1" customFormat="1" ht="36" customHeight="1" x14ac:dyDescent="0.2">
      <c r="B333" s="118"/>
      <c r="C333" s="119" t="s">
        <v>455</v>
      </c>
      <c r="D333" s="119" t="s">
        <v>231</v>
      </c>
      <c r="E333" s="120" t="s">
        <v>682</v>
      </c>
      <c r="F333" s="121" t="s">
        <v>683</v>
      </c>
      <c r="G333" s="122" t="s">
        <v>243</v>
      </c>
      <c r="H333" s="123">
        <v>1</v>
      </c>
      <c r="I333" s="124">
        <v>2089.8000000000002</v>
      </c>
      <c r="J333" s="124">
        <f t="shared" si="58"/>
        <v>2089.8000000000002</v>
      </c>
      <c r="K333" s="121" t="s">
        <v>1</v>
      </c>
      <c r="L333" s="24"/>
      <c r="M333" s="125" t="s">
        <v>1</v>
      </c>
      <c r="N333" s="126" t="s">
        <v>32</v>
      </c>
      <c r="O333" s="127">
        <v>0</v>
      </c>
      <c r="P333" s="127">
        <f t="shared" si="59"/>
        <v>0</v>
      </c>
      <c r="Q333" s="127">
        <v>0</v>
      </c>
      <c r="R333" s="127">
        <f t="shared" si="60"/>
        <v>0</v>
      </c>
      <c r="S333" s="127">
        <v>0</v>
      </c>
      <c r="T333" s="128">
        <f t="shared" si="61"/>
        <v>0</v>
      </c>
      <c r="W333" s="199"/>
      <c r="X333" s="119" t="s">
        <v>455</v>
      </c>
      <c r="Y333" s="119" t="s">
        <v>231</v>
      </c>
      <c r="Z333" s="120" t="s">
        <v>682</v>
      </c>
      <c r="AA333" s="121" t="s">
        <v>683</v>
      </c>
      <c r="AB333" s="122" t="s">
        <v>243</v>
      </c>
      <c r="AC333" s="123">
        <v>1</v>
      </c>
      <c r="AD333" s="124">
        <v>2089.8000000000002</v>
      </c>
      <c r="AE333" s="200">
        <f t="shared" si="62"/>
        <v>2089.8000000000002</v>
      </c>
      <c r="AF333" s="956"/>
      <c r="AG333" s="407"/>
      <c r="AR333" s="129" t="s">
        <v>258</v>
      </c>
      <c r="AT333" s="129" t="s">
        <v>231</v>
      </c>
      <c r="AU333" s="129" t="s">
        <v>76</v>
      </c>
      <c r="AY333" s="13" t="s">
        <v>228</v>
      </c>
      <c r="BE333" s="130">
        <f t="shared" si="63"/>
        <v>0</v>
      </c>
      <c r="BF333" s="130">
        <f t="shared" si="64"/>
        <v>2089.8000000000002</v>
      </c>
      <c r="BG333" s="130">
        <f t="shared" si="65"/>
        <v>0</v>
      </c>
      <c r="BH333" s="130">
        <f t="shared" si="66"/>
        <v>0</v>
      </c>
      <c r="BI333" s="130">
        <f t="shared" si="67"/>
        <v>0</v>
      </c>
      <c r="BJ333" s="13" t="s">
        <v>76</v>
      </c>
      <c r="BK333" s="130">
        <f t="shared" si="68"/>
        <v>2089.8000000000002</v>
      </c>
      <c r="BL333" s="13" t="s">
        <v>258</v>
      </c>
      <c r="BM333" s="129" t="s">
        <v>684</v>
      </c>
    </row>
    <row r="334" spans="2:65" s="1" customFormat="1" ht="24" customHeight="1" x14ac:dyDescent="0.2">
      <c r="B334" s="118"/>
      <c r="C334" s="119" t="s">
        <v>685</v>
      </c>
      <c r="D334" s="119" t="s">
        <v>231</v>
      </c>
      <c r="E334" s="120" t="s">
        <v>686</v>
      </c>
      <c r="F334" s="121" t="s">
        <v>687</v>
      </c>
      <c r="G334" s="122" t="s">
        <v>243</v>
      </c>
      <c r="H334" s="123">
        <v>9</v>
      </c>
      <c r="I334" s="124">
        <v>208.98</v>
      </c>
      <c r="J334" s="124">
        <f t="shared" si="58"/>
        <v>1880.82</v>
      </c>
      <c r="K334" s="121" t="s">
        <v>1</v>
      </c>
      <c r="L334" s="24"/>
      <c r="M334" s="125" t="s">
        <v>1</v>
      </c>
      <c r="N334" s="126" t="s">
        <v>32</v>
      </c>
      <c r="O334" s="127">
        <v>0</v>
      </c>
      <c r="P334" s="127">
        <f t="shared" si="59"/>
        <v>0</v>
      </c>
      <c r="Q334" s="127">
        <v>0</v>
      </c>
      <c r="R334" s="127">
        <f t="shared" si="60"/>
        <v>0</v>
      </c>
      <c r="S334" s="127">
        <v>0</v>
      </c>
      <c r="T334" s="128">
        <f t="shared" si="61"/>
        <v>0</v>
      </c>
      <c r="W334" s="199"/>
      <c r="X334" s="119" t="s">
        <v>685</v>
      </c>
      <c r="Y334" s="119" t="s">
        <v>231</v>
      </c>
      <c r="Z334" s="120" t="s">
        <v>686</v>
      </c>
      <c r="AA334" s="121" t="s">
        <v>687</v>
      </c>
      <c r="AB334" s="122" t="s">
        <v>243</v>
      </c>
      <c r="AC334" s="123">
        <v>9</v>
      </c>
      <c r="AD334" s="124">
        <v>208.98</v>
      </c>
      <c r="AE334" s="200">
        <f t="shared" si="62"/>
        <v>1880.82</v>
      </c>
      <c r="AF334" s="956"/>
      <c r="AG334" s="407"/>
      <c r="AR334" s="129" t="s">
        <v>258</v>
      </c>
      <c r="AT334" s="129" t="s">
        <v>231</v>
      </c>
      <c r="AU334" s="129" t="s">
        <v>76</v>
      </c>
      <c r="AY334" s="13" t="s">
        <v>228</v>
      </c>
      <c r="BE334" s="130">
        <f t="shared" si="63"/>
        <v>0</v>
      </c>
      <c r="BF334" s="130">
        <f t="shared" si="64"/>
        <v>1880.82</v>
      </c>
      <c r="BG334" s="130">
        <f t="shared" si="65"/>
        <v>0</v>
      </c>
      <c r="BH334" s="130">
        <f t="shared" si="66"/>
        <v>0</v>
      </c>
      <c r="BI334" s="130">
        <f t="shared" si="67"/>
        <v>0</v>
      </c>
      <c r="BJ334" s="13" t="s">
        <v>76</v>
      </c>
      <c r="BK334" s="130">
        <f t="shared" si="68"/>
        <v>1880.82</v>
      </c>
      <c r="BL334" s="13" t="s">
        <v>258</v>
      </c>
      <c r="BM334" s="129" t="s">
        <v>688</v>
      </c>
    </row>
    <row r="335" spans="2:65" s="1" customFormat="1" ht="24" customHeight="1" x14ac:dyDescent="0.2">
      <c r="B335" s="118"/>
      <c r="C335" s="1070" t="s">
        <v>458</v>
      </c>
      <c r="D335" s="119" t="s">
        <v>231</v>
      </c>
      <c r="E335" s="120" t="s">
        <v>689</v>
      </c>
      <c r="F335" s="121" t="s">
        <v>690</v>
      </c>
      <c r="G335" s="122" t="s">
        <v>243</v>
      </c>
      <c r="H335" s="1071">
        <v>1</v>
      </c>
      <c r="I335" s="124">
        <v>348.3</v>
      </c>
      <c r="J335" s="124">
        <f t="shared" si="58"/>
        <v>348.3</v>
      </c>
      <c r="K335" s="121" t="s">
        <v>1</v>
      </c>
      <c r="L335" s="24"/>
      <c r="M335" s="125" t="s">
        <v>1</v>
      </c>
      <c r="N335" s="126" t="s">
        <v>32</v>
      </c>
      <c r="O335" s="127">
        <v>0</v>
      </c>
      <c r="P335" s="127">
        <f t="shared" si="59"/>
        <v>0</v>
      </c>
      <c r="Q335" s="127">
        <v>0</v>
      </c>
      <c r="R335" s="127">
        <f t="shared" si="60"/>
        <v>0</v>
      </c>
      <c r="S335" s="127">
        <v>0</v>
      </c>
      <c r="T335" s="128">
        <f t="shared" si="61"/>
        <v>0</v>
      </c>
      <c r="W335" s="199"/>
      <c r="X335" s="1070" t="s">
        <v>458</v>
      </c>
      <c r="Y335" s="119" t="s">
        <v>231</v>
      </c>
      <c r="Z335" s="120" t="s">
        <v>689</v>
      </c>
      <c r="AA335" s="121" t="s">
        <v>690</v>
      </c>
      <c r="AB335" s="122" t="s">
        <v>243</v>
      </c>
      <c r="AC335" s="1071">
        <v>0</v>
      </c>
      <c r="AD335" s="124">
        <v>348.3</v>
      </c>
      <c r="AE335" s="200">
        <f t="shared" si="62"/>
        <v>0</v>
      </c>
      <c r="AF335" s="956">
        <v>22</v>
      </c>
      <c r="AG335" s="407"/>
      <c r="AR335" s="129" t="s">
        <v>258</v>
      </c>
      <c r="AT335" s="129" t="s">
        <v>231</v>
      </c>
      <c r="AU335" s="129" t="s">
        <v>76</v>
      </c>
      <c r="AY335" s="13" t="s">
        <v>228</v>
      </c>
      <c r="BE335" s="130">
        <f t="shared" si="63"/>
        <v>0</v>
      </c>
      <c r="BF335" s="130">
        <f t="shared" si="64"/>
        <v>348.3</v>
      </c>
      <c r="BG335" s="130">
        <f t="shared" si="65"/>
        <v>0</v>
      </c>
      <c r="BH335" s="130">
        <f t="shared" si="66"/>
        <v>0</v>
      </c>
      <c r="BI335" s="130">
        <f t="shared" si="67"/>
        <v>0</v>
      </c>
      <c r="BJ335" s="13" t="s">
        <v>76</v>
      </c>
      <c r="BK335" s="130">
        <f t="shared" si="68"/>
        <v>348.3</v>
      </c>
      <c r="BL335" s="13" t="s">
        <v>258</v>
      </c>
      <c r="BM335" s="129" t="s">
        <v>691</v>
      </c>
    </row>
    <row r="336" spans="2:65" s="1" customFormat="1" ht="24" customHeight="1" x14ac:dyDescent="0.2">
      <c r="B336" s="118"/>
      <c r="C336" s="119" t="s">
        <v>692</v>
      </c>
      <c r="D336" s="119" t="s">
        <v>231</v>
      </c>
      <c r="E336" s="120" t="s">
        <v>693</v>
      </c>
      <c r="F336" s="121" t="s">
        <v>694</v>
      </c>
      <c r="G336" s="122" t="s">
        <v>243</v>
      </c>
      <c r="H336" s="123">
        <v>1</v>
      </c>
      <c r="I336" s="124">
        <v>208.98</v>
      </c>
      <c r="J336" s="124">
        <f t="shared" si="58"/>
        <v>208.98</v>
      </c>
      <c r="K336" s="121" t="s">
        <v>1</v>
      </c>
      <c r="L336" s="24"/>
      <c r="M336" s="125" t="s">
        <v>1</v>
      </c>
      <c r="N336" s="126" t="s">
        <v>32</v>
      </c>
      <c r="O336" s="127">
        <v>0</v>
      </c>
      <c r="P336" s="127">
        <f t="shared" si="59"/>
        <v>0</v>
      </c>
      <c r="Q336" s="127">
        <v>0</v>
      </c>
      <c r="R336" s="127">
        <f t="shared" si="60"/>
        <v>0</v>
      </c>
      <c r="S336" s="127">
        <v>0</v>
      </c>
      <c r="T336" s="128">
        <f t="shared" si="61"/>
        <v>0</v>
      </c>
      <c r="W336" s="199"/>
      <c r="X336" s="119" t="s">
        <v>692</v>
      </c>
      <c r="Y336" s="119" t="s">
        <v>231</v>
      </c>
      <c r="Z336" s="120" t="s">
        <v>693</v>
      </c>
      <c r="AA336" s="121" t="s">
        <v>694</v>
      </c>
      <c r="AB336" s="122" t="s">
        <v>243</v>
      </c>
      <c r="AC336" s="123">
        <v>1</v>
      </c>
      <c r="AD336" s="124">
        <v>208.98</v>
      </c>
      <c r="AE336" s="200">
        <f t="shared" si="62"/>
        <v>208.98</v>
      </c>
      <c r="AF336" s="956"/>
      <c r="AG336" s="407"/>
      <c r="AR336" s="129" t="s">
        <v>258</v>
      </c>
      <c r="AT336" s="129" t="s">
        <v>231</v>
      </c>
      <c r="AU336" s="129" t="s">
        <v>76</v>
      </c>
      <c r="AY336" s="13" t="s">
        <v>228</v>
      </c>
      <c r="BE336" s="130">
        <f t="shared" si="63"/>
        <v>0</v>
      </c>
      <c r="BF336" s="130">
        <f t="shared" si="64"/>
        <v>208.98</v>
      </c>
      <c r="BG336" s="130">
        <f t="shared" si="65"/>
        <v>0</v>
      </c>
      <c r="BH336" s="130">
        <f t="shared" si="66"/>
        <v>0</v>
      </c>
      <c r="BI336" s="130">
        <f t="shared" si="67"/>
        <v>0</v>
      </c>
      <c r="BJ336" s="13" t="s">
        <v>76</v>
      </c>
      <c r="BK336" s="130">
        <f t="shared" si="68"/>
        <v>208.98</v>
      </c>
      <c r="BL336" s="13" t="s">
        <v>258</v>
      </c>
      <c r="BM336" s="129" t="s">
        <v>695</v>
      </c>
    </row>
    <row r="337" spans="2:65" s="1" customFormat="1" ht="24" customHeight="1" x14ac:dyDescent="0.2">
      <c r="B337" s="118"/>
      <c r="C337" s="119" t="s">
        <v>462</v>
      </c>
      <c r="D337" s="119" t="s">
        <v>231</v>
      </c>
      <c r="E337" s="120" t="s">
        <v>696</v>
      </c>
      <c r="F337" s="121" t="s">
        <v>697</v>
      </c>
      <c r="G337" s="122" t="s">
        <v>243</v>
      </c>
      <c r="H337" s="123">
        <v>2</v>
      </c>
      <c r="I337" s="124">
        <v>243.81</v>
      </c>
      <c r="J337" s="124">
        <f t="shared" si="58"/>
        <v>487.62</v>
      </c>
      <c r="K337" s="121" t="s">
        <v>1</v>
      </c>
      <c r="L337" s="24"/>
      <c r="M337" s="125" t="s">
        <v>1</v>
      </c>
      <c r="N337" s="126" t="s">
        <v>32</v>
      </c>
      <c r="O337" s="127">
        <v>0</v>
      </c>
      <c r="P337" s="127">
        <f t="shared" si="59"/>
        <v>0</v>
      </c>
      <c r="Q337" s="127">
        <v>0</v>
      </c>
      <c r="R337" s="127">
        <f t="shared" si="60"/>
        <v>0</v>
      </c>
      <c r="S337" s="127">
        <v>0</v>
      </c>
      <c r="T337" s="128">
        <f t="shared" si="61"/>
        <v>0</v>
      </c>
      <c r="W337" s="199"/>
      <c r="X337" s="119" t="s">
        <v>462</v>
      </c>
      <c r="Y337" s="119" t="s">
        <v>231</v>
      </c>
      <c r="Z337" s="120" t="s">
        <v>696</v>
      </c>
      <c r="AA337" s="121" t="s">
        <v>697</v>
      </c>
      <c r="AB337" s="122" t="s">
        <v>243</v>
      </c>
      <c r="AC337" s="123">
        <v>2</v>
      </c>
      <c r="AD337" s="124">
        <v>243.81</v>
      </c>
      <c r="AE337" s="200">
        <f t="shared" si="62"/>
        <v>487.62</v>
      </c>
      <c r="AF337" s="956"/>
      <c r="AG337" s="407"/>
      <c r="AR337" s="129" t="s">
        <v>258</v>
      </c>
      <c r="AT337" s="129" t="s">
        <v>231</v>
      </c>
      <c r="AU337" s="129" t="s">
        <v>76</v>
      </c>
      <c r="AY337" s="13" t="s">
        <v>228</v>
      </c>
      <c r="BE337" s="130">
        <f t="shared" si="63"/>
        <v>0</v>
      </c>
      <c r="BF337" s="130">
        <f t="shared" si="64"/>
        <v>487.62</v>
      </c>
      <c r="BG337" s="130">
        <f t="shared" si="65"/>
        <v>0</v>
      </c>
      <c r="BH337" s="130">
        <f t="shared" si="66"/>
        <v>0</v>
      </c>
      <c r="BI337" s="130">
        <f t="shared" si="67"/>
        <v>0</v>
      </c>
      <c r="BJ337" s="13" t="s">
        <v>76</v>
      </c>
      <c r="BK337" s="130">
        <f t="shared" si="68"/>
        <v>487.62</v>
      </c>
      <c r="BL337" s="13" t="s">
        <v>258</v>
      </c>
      <c r="BM337" s="129" t="s">
        <v>698</v>
      </c>
    </row>
    <row r="338" spans="2:65" s="1" customFormat="1" ht="36" customHeight="1" x14ac:dyDescent="0.2">
      <c r="B338" s="118"/>
      <c r="C338" s="119" t="s">
        <v>699</v>
      </c>
      <c r="D338" s="119" t="s">
        <v>231</v>
      </c>
      <c r="E338" s="120" t="s">
        <v>700</v>
      </c>
      <c r="F338" s="121" t="s">
        <v>701</v>
      </c>
      <c r="G338" s="122" t="s">
        <v>243</v>
      </c>
      <c r="H338" s="123">
        <v>1</v>
      </c>
      <c r="I338" s="124">
        <v>2322</v>
      </c>
      <c r="J338" s="124">
        <f t="shared" si="58"/>
        <v>2322</v>
      </c>
      <c r="K338" s="121" t="s">
        <v>1</v>
      </c>
      <c r="L338" s="24"/>
      <c r="M338" s="125" t="s">
        <v>1</v>
      </c>
      <c r="N338" s="126" t="s">
        <v>32</v>
      </c>
      <c r="O338" s="127">
        <v>0</v>
      </c>
      <c r="P338" s="127">
        <f t="shared" si="59"/>
        <v>0</v>
      </c>
      <c r="Q338" s="127">
        <v>0</v>
      </c>
      <c r="R338" s="127">
        <f t="shared" si="60"/>
        <v>0</v>
      </c>
      <c r="S338" s="127">
        <v>0</v>
      </c>
      <c r="T338" s="128">
        <f t="shared" si="61"/>
        <v>0</v>
      </c>
      <c r="W338" s="199"/>
      <c r="X338" s="119" t="s">
        <v>699</v>
      </c>
      <c r="Y338" s="119" t="s">
        <v>231</v>
      </c>
      <c r="Z338" s="120" t="s">
        <v>700</v>
      </c>
      <c r="AA338" s="121" t="s">
        <v>701</v>
      </c>
      <c r="AB338" s="122" t="s">
        <v>243</v>
      </c>
      <c r="AC338" s="123">
        <v>1</v>
      </c>
      <c r="AD338" s="124">
        <v>2322</v>
      </c>
      <c r="AE338" s="200">
        <f t="shared" si="62"/>
        <v>2322</v>
      </c>
      <c r="AF338" s="956"/>
      <c r="AG338" s="407"/>
      <c r="AR338" s="129" t="s">
        <v>258</v>
      </c>
      <c r="AT338" s="129" t="s">
        <v>231</v>
      </c>
      <c r="AU338" s="129" t="s">
        <v>76</v>
      </c>
      <c r="AY338" s="13" t="s">
        <v>228</v>
      </c>
      <c r="BE338" s="130">
        <f t="shared" si="63"/>
        <v>0</v>
      </c>
      <c r="BF338" s="130">
        <f t="shared" si="64"/>
        <v>2322</v>
      </c>
      <c r="BG338" s="130">
        <f t="shared" si="65"/>
        <v>0</v>
      </c>
      <c r="BH338" s="130">
        <f t="shared" si="66"/>
        <v>0</v>
      </c>
      <c r="BI338" s="130">
        <f t="shared" si="67"/>
        <v>0</v>
      </c>
      <c r="BJ338" s="13" t="s">
        <v>76</v>
      </c>
      <c r="BK338" s="130">
        <f t="shared" si="68"/>
        <v>2322</v>
      </c>
      <c r="BL338" s="13" t="s">
        <v>258</v>
      </c>
      <c r="BM338" s="129" t="s">
        <v>702</v>
      </c>
    </row>
    <row r="339" spans="2:65" s="1" customFormat="1" ht="24" customHeight="1" x14ac:dyDescent="0.2">
      <c r="B339" s="118"/>
      <c r="C339" s="119" t="s">
        <v>465</v>
      </c>
      <c r="D339" s="119" t="s">
        <v>231</v>
      </c>
      <c r="E339" s="120" t="s">
        <v>703</v>
      </c>
      <c r="F339" s="121" t="s">
        <v>704</v>
      </c>
      <c r="G339" s="122" t="s">
        <v>243</v>
      </c>
      <c r="H339" s="123">
        <v>1</v>
      </c>
      <c r="I339" s="124">
        <v>545.66999999999996</v>
      </c>
      <c r="J339" s="124">
        <f t="shared" si="58"/>
        <v>545.66999999999996</v>
      </c>
      <c r="K339" s="121" t="s">
        <v>1</v>
      </c>
      <c r="L339" s="24"/>
      <c r="M339" s="125" t="s">
        <v>1</v>
      </c>
      <c r="N339" s="126" t="s">
        <v>32</v>
      </c>
      <c r="O339" s="127">
        <v>0</v>
      </c>
      <c r="P339" s="127">
        <f t="shared" si="59"/>
        <v>0</v>
      </c>
      <c r="Q339" s="127">
        <v>0</v>
      </c>
      <c r="R339" s="127">
        <f t="shared" si="60"/>
        <v>0</v>
      </c>
      <c r="S339" s="127">
        <v>0</v>
      </c>
      <c r="T339" s="128">
        <f t="shared" si="61"/>
        <v>0</v>
      </c>
      <c r="W339" s="199"/>
      <c r="X339" s="119" t="s">
        <v>465</v>
      </c>
      <c r="Y339" s="119" t="s">
        <v>231</v>
      </c>
      <c r="Z339" s="120" t="s">
        <v>703</v>
      </c>
      <c r="AA339" s="121" t="s">
        <v>704</v>
      </c>
      <c r="AB339" s="122" t="s">
        <v>243</v>
      </c>
      <c r="AC339" s="123">
        <v>1</v>
      </c>
      <c r="AD339" s="124">
        <v>545.66999999999996</v>
      </c>
      <c r="AE339" s="200">
        <f t="shared" si="62"/>
        <v>545.66999999999996</v>
      </c>
      <c r="AF339" s="956"/>
      <c r="AG339" s="407"/>
      <c r="AR339" s="129" t="s">
        <v>258</v>
      </c>
      <c r="AT339" s="129" t="s">
        <v>231</v>
      </c>
      <c r="AU339" s="129" t="s">
        <v>76</v>
      </c>
      <c r="AY339" s="13" t="s">
        <v>228</v>
      </c>
      <c r="BE339" s="130">
        <f t="shared" si="63"/>
        <v>0</v>
      </c>
      <c r="BF339" s="130">
        <f t="shared" si="64"/>
        <v>545.66999999999996</v>
      </c>
      <c r="BG339" s="130">
        <f t="shared" si="65"/>
        <v>0</v>
      </c>
      <c r="BH339" s="130">
        <f t="shared" si="66"/>
        <v>0</v>
      </c>
      <c r="BI339" s="130">
        <f t="shared" si="67"/>
        <v>0</v>
      </c>
      <c r="BJ339" s="13" t="s">
        <v>76</v>
      </c>
      <c r="BK339" s="130">
        <f t="shared" si="68"/>
        <v>545.66999999999996</v>
      </c>
      <c r="BL339" s="13" t="s">
        <v>258</v>
      </c>
      <c r="BM339" s="129" t="s">
        <v>705</v>
      </c>
    </row>
    <row r="340" spans="2:65" s="1" customFormat="1" ht="24" customHeight="1" x14ac:dyDescent="0.2">
      <c r="B340" s="118"/>
      <c r="C340" s="119" t="s">
        <v>706</v>
      </c>
      <c r="D340" s="119" t="s">
        <v>231</v>
      </c>
      <c r="E340" s="120" t="s">
        <v>707</v>
      </c>
      <c r="F340" s="121" t="s">
        <v>708</v>
      </c>
      <c r="G340" s="122" t="s">
        <v>243</v>
      </c>
      <c r="H340" s="123">
        <v>2</v>
      </c>
      <c r="I340" s="124">
        <v>1044.9000000000001</v>
      </c>
      <c r="J340" s="124">
        <f t="shared" si="58"/>
        <v>2089.8000000000002</v>
      </c>
      <c r="K340" s="121" t="s">
        <v>1</v>
      </c>
      <c r="L340" s="24"/>
      <c r="M340" s="125" t="s">
        <v>1</v>
      </c>
      <c r="N340" s="126" t="s">
        <v>32</v>
      </c>
      <c r="O340" s="127">
        <v>0</v>
      </c>
      <c r="P340" s="127">
        <f t="shared" si="59"/>
        <v>0</v>
      </c>
      <c r="Q340" s="127">
        <v>0</v>
      </c>
      <c r="R340" s="127">
        <f t="shared" si="60"/>
        <v>0</v>
      </c>
      <c r="S340" s="127">
        <v>0</v>
      </c>
      <c r="T340" s="128">
        <f t="shared" si="61"/>
        <v>0</v>
      </c>
      <c r="W340" s="199"/>
      <c r="X340" s="119" t="s">
        <v>706</v>
      </c>
      <c r="Y340" s="119" t="s">
        <v>231</v>
      </c>
      <c r="Z340" s="120" t="s">
        <v>707</v>
      </c>
      <c r="AA340" s="121" t="s">
        <v>708</v>
      </c>
      <c r="AB340" s="122" t="s">
        <v>243</v>
      </c>
      <c r="AC340" s="123">
        <v>2</v>
      </c>
      <c r="AD340" s="124">
        <v>1044.9000000000001</v>
      </c>
      <c r="AE340" s="200">
        <f t="shared" si="62"/>
        <v>2089.8000000000002</v>
      </c>
      <c r="AF340" s="956"/>
      <c r="AG340" s="407"/>
      <c r="AR340" s="129" t="s">
        <v>258</v>
      </c>
      <c r="AT340" s="129" t="s">
        <v>231</v>
      </c>
      <c r="AU340" s="129" t="s">
        <v>76</v>
      </c>
      <c r="AY340" s="13" t="s">
        <v>228</v>
      </c>
      <c r="BE340" s="130">
        <f t="shared" si="63"/>
        <v>0</v>
      </c>
      <c r="BF340" s="130">
        <f t="shared" si="64"/>
        <v>2089.8000000000002</v>
      </c>
      <c r="BG340" s="130">
        <f t="shared" si="65"/>
        <v>0</v>
      </c>
      <c r="BH340" s="130">
        <f t="shared" si="66"/>
        <v>0</v>
      </c>
      <c r="BI340" s="130">
        <f t="shared" si="67"/>
        <v>0</v>
      </c>
      <c r="BJ340" s="13" t="s">
        <v>76</v>
      </c>
      <c r="BK340" s="130">
        <f t="shared" si="68"/>
        <v>2089.8000000000002</v>
      </c>
      <c r="BL340" s="13" t="s">
        <v>258</v>
      </c>
      <c r="BM340" s="129" t="s">
        <v>709</v>
      </c>
    </row>
    <row r="341" spans="2:65" s="1" customFormat="1" ht="16.5" customHeight="1" x14ac:dyDescent="0.2">
      <c r="B341" s="118"/>
      <c r="C341" s="119" t="s">
        <v>469</v>
      </c>
      <c r="D341" s="119" t="s">
        <v>231</v>
      </c>
      <c r="E341" s="120" t="s">
        <v>710</v>
      </c>
      <c r="F341" s="121" t="s">
        <v>711</v>
      </c>
      <c r="G341" s="122" t="s">
        <v>243</v>
      </c>
      <c r="H341" s="123">
        <v>20</v>
      </c>
      <c r="I341" s="124">
        <v>6.97</v>
      </c>
      <c r="J341" s="124">
        <f t="shared" si="58"/>
        <v>139.4</v>
      </c>
      <c r="K341" s="121" t="s">
        <v>1</v>
      </c>
      <c r="L341" s="24"/>
      <c r="M341" s="125" t="s">
        <v>1</v>
      </c>
      <c r="N341" s="126" t="s">
        <v>32</v>
      </c>
      <c r="O341" s="127">
        <v>0</v>
      </c>
      <c r="P341" s="127">
        <f t="shared" si="59"/>
        <v>0</v>
      </c>
      <c r="Q341" s="127">
        <v>0</v>
      </c>
      <c r="R341" s="127">
        <f t="shared" si="60"/>
        <v>0</v>
      </c>
      <c r="S341" s="127">
        <v>0</v>
      </c>
      <c r="T341" s="128">
        <f t="shared" si="61"/>
        <v>0</v>
      </c>
      <c r="W341" s="199"/>
      <c r="X341" s="119" t="s">
        <v>469</v>
      </c>
      <c r="Y341" s="119" t="s">
        <v>231</v>
      </c>
      <c r="Z341" s="120" t="s">
        <v>710</v>
      </c>
      <c r="AA341" s="121" t="s">
        <v>711</v>
      </c>
      <c r="AB341" s="122" t="s">
        <v>243</v>
      </c>
      <c r="AC341" s="123">
        <v>20</v>
      </c>
      <c r="AD341" s="124">
        <v>6.97</v>
      </c>
      <c r="AE341" s="200">
        <f t="shared" si="62"/>
        <v>139.4</v>
      </c>
      <c r="AF341" s="956"/>
      <c r="AG341" s="407"/>
      <c r="AR341" s="129" t="s">
        <v>258</v>
      </c>
      <c r="AT341" s="129" t="s">
        <v>231</v>
      </c>
      <c r="AU341" s="129" t="s">
        <v>76</v>
      </c>
      <c r="AY341" s="13" t="s">
        <v>228</v>
      </c>
      <c r="BE341" s="130">
        <f t="shared" si="63"/>
        <v>0</v>
      </c>
      <c r="BF341" s="130">
        <f t="shared" si="64"/>
        <v>139.4</v>
      </c>
      <c r="BG341" s="130">
        <f t="shared" si="65"/>
        <v>0</v>
      </c>
      <c r="BH341" s="130">
        <f t="shared" si="66"/>
        <v>0</v>
      </c>
      <c r="BI341" s="130">
        <f t="shared" si="67"/>
        <v>0</v>
      </c>
      <c r="BJ341" s="13" t="s">
        <v>76</v>
      </c>
      <c r="BK341" s="130">
        <f t="shared" si="68"/>
        <v>139.4</v>
      </c>
      <c r="BL341" s="13" t="s">
        <v>258</v>
      </c>
      <c r="BM341" s="129" t="s">
        <v>712</v>
      </c>
    </row>
    <row r="342" spans="2:65" s="1084" customFormat="1" ht="25.2" customHeight="1" x14ac:dyDescent="0.2">
      <c r="B342" s="1028"/>
      <c r="C342" s="1234" t="s">
        <v>5205</v>
      </c>
      <c r="D342" s="1235"/>
      <c r="E342" s="1235"/>
      <c r="F342" s="1235"/>
      <c r="G342" s="1235"/>
      <c r="H342" s="1235"/>
      <c r="I342" s="1235"/>
      <c r="J342" s="1236"/>
      <c r="K342" s="1031"/>
      <c r="L342" s="1027"/>
      <c r="M342" s="1035"/>
      <c r="N342" s="1036"/>
      <c r="O342" s="1037"/>
      <c r="P342" s="1037"/>
      <c r="Q342" s="1037"/>
      <c r="R342" s="1037"/>
      <c r="S342" s="1037"/>
      <c r="T342" s="1038"/>
      <c r="W342" s="1041"/>
      <c r="X342" s="1072" t="s">
        <v>6666</v>
      </c>
      <c r="Y342" s="1072" t="s">
        <v>231</v>
      </c>
      <c r="Z342" s="1073" t="s">
        <v>6632</v>
      </c>
      <c r="AA342" s="1074" t="s">
        <v>6633</v>
      </c>
      <c r="AB342" s="1075" t="s">
        <v>1194</v>
      </c>
      <c r="AC342" s="1076">
        <v>1</v>
      </c>
      <c r="AD342" s="1077">
        <v>10</v>
      </c>
      <c r="AE342" s="1078">
        <f>AC342*AD342</f>
        <v>10</v>
      </c>
      <c r="AF342" s="956">
        <v>22</v>
      </c>
      <c r="AG342" s="407"/>
      <c r="AR342" s="1039"/>
      <c r="AT342" s="1039"/>
      <c r="AU342" s="1039"/>
      <c r="AY342" s="1026"/>
      <c r="BE342" s="1040"/>
      <c r="BF342" s="1040"/>
      <c r="BG342" s="1040"/>
      <c r="BH342" s="1040"/>
      <c r="BI342" s="1040"/>
      <c r="BJ342" s="1026"/>
      <c r="BK342" s="1040"/>
      <c r="BL342" s="1026"/>
      <c r="BM342" s="1039"/>
    </row>
    <row r="343" spans="2:65" s="1" customFormat="1" ht="24.45" customHeight="1" x14ac:dyDescent="0.2">
      <c r="B343" s="118"/>
      <c r="C343" s="205" t="s">
        <v>713</v>
      </c>
      <c r="D343" s="205" t="s">
        <v>231</v>
      </c>
      <c r="E343" s="120" t="s">
        <v>714</v>
      </c>
      <c r="F343" s="121" t="s">
        <v>715</v>
      </c>
      <c r="G343" s="122" t="s">
        <v>570</v>
      </c>
      <c r="H343" s="206">
        <v>274.37200000000001</v>
      </c>
      <c r="I343" s="124">
        <v>0.64</v>
      </c>
      <c r="J343" s="124">
        <f t="shared" si="58"/>
        <v>175.6</v>
      </c>
      <c r="K343" s="121" t="s">
        <v>1</v>
      </c>
      <c r="L343" s="24"/>
      <c r="M343" s="125" t="s">
        <v>1</v>
      </c>
      <c r="N343" s="126" t="s">
        <v>32</v>
      </c>
      <c r="O343" s="127">
        <v>0</v>
      </c>
      <c r="P343" s="127">
        <f t="shared" si="59"/>
        <v>0</v>
      </c>
      <c r="Q343" s="127">
        <v>0</v>
      </c>
      <c r="R343" s="127">
        <f t="shared" si="60"/>
        <v>0</v>
      </c>
      <c r="S343" s="127">
        <v>0</v>
      </c>
      <c r="T343" s="128">
        <f t="shared" si="61"/>
        <v>0</v>
      </c>
      <c r="W343" s="199"/>
      <c r="X343" s="205" t="s">
        <v>713</v>
      </c>
      <c r="Y343" s="119" t="s">
        <v>231</v>
      </c>
      <c r="Z343" s="120" t="s">
        <v>714</v>
      </c>
      <c r="AA343" s="121" t="s">
        <v>715</v>
      </c>
      <c r="AB343" s="122" t="s">
        <v>570</v>
      </c>
      <c r="AC343" s="206">
        <f>274.372+15.1</f>
        <v>289.47200000000004</v>
      </c>
      <c r="AD343" s="124">
        <v>0.64</v>
      </c>
      <c r="AE343" s="200">
        <f t="shared" si="62"/>
        <v>185.26</v>
      </c>
      <c r="AF343" s="956">
        <v>4</v>
      </c>
      <c r="AG343" s="407"/>
      <c r="AR343" s="129" t="s">
        <v>258</v>
      </c>
      <c r="AT343" s="129" t="s">
        <v>231</v>
      </c>
      <c r="AU343" s="129" t="s">
        <v>76</v>
      </c>
      <c r="AY343" s="13" t="s">
        <v>228</v>
      </c>
      <c r="BE343" s="130">
        <f t="shared" si="63"/>
        <v>0</v>
      </c>
      <c r="BF343" s="130">
        <f t="shared" si="64"/>
        <v>175.6</v>
      </c>
      <c r="BG343" s="130">
        <f t="shared" si="65"/>
        <v>0</v>
      </c>
      <c r="BH343" s="130">
        <f t="shared" si="66"/>
        <v>0</v>
      </c>
      <c r="BI343" s="130">
        <f t="shared" si="67"/>
        <v>0</v>
      </c>
      <c r="BJ343" s="13" t="s">
        <v>76</v>
      </c>
      <c r="BK343" s="130">
        <f t="shared" si="68"/>
        <v>175.6</v>
      </c>
      <c r="BL343" s="13" t="s">
        <v>258</v>
      </c>
      <c r="BM343" s="129" t="s">
        <v>716</v>
      </c>
    </row>
    <row r="344" spans="2:65" s="11" customFormat="1" ht="22.95" customHeight="1" x14ac:dyDescent="0.25">
      <c r="B344" s="106"/>
      <c r="D344" s="107" t="s">
        <v>57</v>
      </c>
      <c r="E344" s="116" t="s">
        <v>717</v>
      </c>
      <c r="F344" s="116" t="s">
        <v>718</v>
      </c>
      <c r="J344" s="117">
        <f>BK344</f>
        <v>52824.159999999996</v>
      </c>
      <c r="L344" s="106"/>
      <c r="M344" s="110"/>
      <c r="N344" s="111"/>
      <c r="O344" s="111"/>
      <c r="P344" s="112">
        <f>SUM(P345:P377)</f>
        <v>374.14492989999997</v>
      </c>
      <c r="Q344" s="111"/>
      <c r="R344" s="112">
        <f>SUM(R345:R377)</f>
        <v>2.9020999999999998E-2</v>
      </c>
      <c r="S344" s="111"/>
      <c r="T344" s="113">
        <f>SUM(T345:T377)</f>
        <v>0.22256000000000001</v>
      </c>
      <c r="W344" s="195"/>
      <c r="X344" s="111"/>
      <c r="Y344" s="196" t="s">
        <v>57</v>
      </c>
      <c r="Z344" s="201" t="s">
        <v>717</v>
      </c>
      <c r="AA344" s="201" t="s">
        <v>718</v>
      </c>
      <c r="AB344" s="111"/>
      <c r="AC344" s="111"/>
      <c r="AD344" s="111"/>
      <c r="AE344" s="202">
        <f>SUM(AE345:AE377)</f>
        <v>99561.51999999999</v>
      </c>
      <c r="AF344" s="956"/>
      <c r="AG344" s="292"/>
      <c r="AR344" s="107" t="s">
        <v>76</v>
      </c>
      <c r="AT344" s="114" t="s">
        <v>57</v>
      </c>
      <c r="AU344" s="114" t="s">
        <v>63</v>
      </c>
      <c r="AY344" s="107" t="s">
        <v>228</v>
      </c>
      <c r="BK344" s="115">
        <f>SUM(BK345:BK377)</f>
        <v>52824.159999999996</v>
      </c>
    </row>
    <row r="345" spans="2:65" s="1" customFormat="1" ht="16.5" customHeight="1" x14ac:dyDescent="0.2">
      <c r="B345" s="118"/>
      <c r="C345" s="205" t="s">
        <v>472</v>
      </c>
      <c r="D345" s="119" t="s">
        <v>231</v>
      </c>
      <c r="E345" s="120" t="s">
        <v>719</v>
      </c>
      <c r="F345" s="121" t="s">
        <v>720</v>
      </c>
      <c r="G345" s="122" t="s">
        <v>284</v>
      </c>
      <c r="H345" s="206">
        <v>55.64</v>
      </c>
      <c r="I345" s="124">
        <v>4.41</v>
      </c>
      <c r="J345" s="124">
        <f t="shared" ref="J345:J377" si="69">ROUND(I345*H345,2)</f>
        <v>245.37</v>
      </c>
      <c r="K345" s="121" t="s">
        <v>1</v>
      </c>
      <c r="L345" s="24"/>
      <c r="M345" s="125" t="s">
        <v>1</v>
      </c>
      <c r="N345" s="126" t="s">
        <v>32</v>
      </c>
      <c r="O345" s="127">
        <v>0.40699999999999997</v>
      </c>
      <c r="P345" s="127">
        <f t="shared" ref="P345:P377" si="70">O345*H345</f>
        <v>22.645479999999999</v>
      </c>
      <c r="Q345" s="127">
        <v>0</v>
      </c>
      <c r="R345" s="127">
        <f t="shared" ref="R345:R377" si="71">Q345*H345</f>
        <v>0</v>
      </c>
      <c r="S345" s="127">
        <v>4.0000000000000001E-3</v>
      </c>
      <c r="T345" s="128">
        <f t="shared" ref="T345:T377" si="72">S345*H345</f>
        <v>0.22256000000000001</v>
      </c>
      <c r="W345" s="199"/>
      <c r="X345" s="205" t="s">
        <v>472</v>
      </c>
      <c r="Y345" s="119" t="s">
        <v>231</v>
      </c>
      <c r="Z345" s="120" t="s">
        <v>719</v>
      </c>
      <c r="AA345" s="121" t="s">
        <v>720</v>
      </c>
      <c r="AB345" s="122" t="s">
        <v>284</v>
      </c>
      <c r="AC345" s="206">
        <f>55.64+46.624+106.081+179.021</f>
        <v>387.36599999999999</v>
      </c>
      <c r="AD345" s="124">
        <v>4.41</v>
      </c>
      <c r="AE345" s="200">
        <f t="shared" ref="AE345:AE377" si="73">ROUND(AD345*AC345,2)</f>
        <v>1708.28</v>
      </c>
      <c r="AF345" s="956" t="s">
        <v>6662</v>
      </c>
      <c r="AG345" s="407"/>
      <c r="AR345" s="129" t="s">
        <v>258</v>
      </c>
      <c r="AT345" s="129" t="s">
        <v>231</v>
      </c>
      <c r="AU345" s="129" t="s">
        <v>76</v>
      </c>
      <c r="AY345" s="13" t="s">
        <v>228</v>
      </c>
      <c r="BE345" s="130">
        <f t="shared" ref="BE345:BE377" si="74">IF(N345="základná",J345,0)</f>
        <v>0</v>
      </c>
      <c r="BF345" s="130">
        <f t="shared" ref="BF345:BF377" si="75">IF(N345="znížená",J345,0)</f>
        <v>245.37</v>
      </c>
      <c r="BG345" s="130">
        <f t="shared" ref="BG345:BG377" si="76">IF(N345="zákl. prenesená",J345,0)</f>
        <v>0</v>
      </c>
      <c r="BH345" s="130">
        <f t="shared" ref="BH345:BH377" si="77">IF(N345="zníž. prenesená",J345,0)</f>
        <v>0</v>
      </c>
      <c r="BI345" s="130">
        <f t="shared" ref="BI345:BI377" si="78">IF(N345="nulová",J345,0)</f>
        <v>0</v>
      </c>
      <c r="BJ345" s="13" t="s">
        <v>76</v>
      </c>
      <c r="BK345" s="130">
        <f t="shared" ref="BK345:BK377" si="79">ROUND(I345*H345,2)</f>
        <v>245.37</v>
      </c>
      <c r="BL345" s="13" t="s">
        <v>258</v>
      </c>
      <c r="BM345" s="129" t="s">
        <v>721</v>
      </c>
    </row>
    <row r="346" spans="2:65" s="1" customFormat="1" ht="24" customHeight="1" x14ac:dyDescent="0.2">
      <c r="B346" s="118"/>
      <c r="C346" s="205" t="s">
        <v>722</v>
      </c>
      <c r="D346" s="119" t="s">
        <v>231</v>
      </c>
      <c r="E346" s="120" t="s">
        <v>723</v>
      </c>
      <c r="F346" s="121" t="s">
        <v>724</v>
      </c>
      <c r="G346" s="122" t="s">
        <v>284</v>
      </c>
      <c r="H346" s="206">
        <v>5</v>
      </c>
      <c r="I346" s="124">
        <v>18.11</v>
      </c>
      <c r="J346" s="124">
        <f t="shared" si="69"/>
        <v>90.55</v>
      </c>
      <c r="K346" s="121" t="s">
        <v>1</v>
      </c>
      <c r="L346" s="24"/>
      <c r="M346" s="125" t="s">
        <v>1</v>
      </c>
      <c r="N346" s="126" t="s">
        <v>32</v>
      </c>
      <c r="O346" s="127">
        <v>0</v>
      </c>
      <c r="P346" s="127">
        <f t="shared" si="70"/>
        <v>0</v>
      </c>
      <c r="Q346" s="127">
        <v>0</v>
      </c>
      <c r="R346" s="127">
        <f t="shared" si="71"/>
        <v>0</v>
      </c>
      <c r="S346" s="127">
        <v>0</v>
      </c>
      <c r="T346" s="128">
        <f t="shared" si="72"/>
        <v>0</v>
      </c>
      <c r="W346" s="199"/>
      <c r="X346" s="205" t="s">
        <v>722</v>
      </c>
      <c r="Y346" s="119" t="s">
        <v>231</v>
      </c>
      <c r="Z346" s="120" t="s">
        <v>723</v>
      </c>
      <c r="AA346" s="121" t="s">
        <v>724</v>
      </c>
      <c r="AB346" s="122" t="s">
        <v>284</v>
      </c>
      <c r="AC346" s="206">
        <f>5+3</f>
        <v>8</v>
      </c>
      <c r="AD346" s="124">
        <v>18.11</v>
      </c>
      <c r="AE346" s="200">
        <f t="shared" si="73"/>
        <v>144.88</v>
      </c>
      <c r="AF346" s="956">
        <v>4</v>
      </c>
      <c r="AG346" s="407"/>
      <c r="AR346" s="129" t="s">
        <v>258</v>
      </c>
      <c r="AT346" s="129" t="s">
        <v>231</v>
      </c>
      <c r="AU346" s="129" t="s">
        <v>76</v>
      </c>
      <c r="AY346" s="13" t="s">
        <v>228</v>
      </c>
      <c r="BE346" s="130">
        <f t="shared" si="74"/>
        <v>0</v>
      </c>
      <c r="BF346" s="130">
        <f t="shared" si="75"/>
        <v>90.55</v>
      </c>
      <c r="BG346" s="130">
        <f t="shared" si="76"/>
        <v>0</v>
      </c>
      <c r="BH346" s="130">
        <f t="shared" si="77"/>
        <v>0</v>
      </c>
      <c r="BI346" s="130">
        <f t="shared" si="78"/>
        <v>0</v>
      </c>
      <c r="BJ346" s="13" t="s">
        <v>76</v>
      </c>
      <c r="BK346" s="130">
        <f t="shared" si="79"/>
        <v>90.55</v>
      </c>
      <c r="BL346" s="13" t="s">
        <v>258</v>
      </c>
      <c r="BM346" s="129" t="s">
        <v>725</v>
      </c>
    </row>
    <row r="347" spans="2:65" s="1" customFormat="1" ht="24" customHeight="1" x14ac:dyDescent="0.2">
      <c r="B347" s="118"/>
      <c r="C347" s="205" t="s">
        <v>476</v>
      </c>
      <c r="D347" s="119" t="s">
        <v>231</v>
      </c>
      <c r="E347" s="120" t="s">
        <v>726</v>
      </c>
      <c r="F347" s="121" t="s">
        <v>727</v>
      </c>
      <c r="G347" s="122" t="s">
        <v>284</v>
      </c>
      <c r="H347" s="206">
        <v>290.20999999999998</v>
      </c>
      <c r="I347" s="124">
        <v>13.93</v>
      </c>
      <c r="J347" s="124">
        <f t="shared" si="69"/>
        <v>4042.63</v>
      </c>
      <c r="K347" s="121" t="s">
        <v>1</v>
      </c>
      <c r="L347" s="24"/>
      <c r="M347" s="125" t="s">
        <v>1</v>
      </c>
      <c r="N347" s="126" t="s">
        <v>32</v>
      </c>
      <c r="O347" s="127">
        <v>1.21119</v>
      </c>
      <c r="P347" s="127">
        <f t="shared" si="70"/>
        <v>351.49944989999995</v>
      </c>
      <c r="Q347" s="127">
        <v>1E-4</v>
      </c>
      <c r="R347" s="127">
        <f t="shared" si="71"/>
        <v>2.9020999999999998E-2</v>
      </c>
      <c r="S347" s="127">
        <v>0</v>
      </c>
      <c r="T347" s="128">
        <f t="shared" si="72"/>
        <v>0</v>
      </c>
      <c r="W347" s="199"/>
      <c r="X347" s="205" t="s">
        <v>476</v>
      </c>
      <c r="Y347" s="119" t="s">
        <v>231</v>
      </c>
      <c r="Z347" s="120" t="s">
        <v>726</v>
      </c>
      <c r="AA347" s="121" t="s">
        <v>727</v>
      </c>
      <c r="AB347" s="122" t="s">
        <v>284</v>
      </c>
      <c r="AC347" s="206">
        <f>290.21+195.255+179.021</f>
        <v>664.48599999999999</v>
      </c>
      <c r="AD347" s="124">
        <v>13.93</v>
      </c>
      <c r="AE347" s="200">
        <f t="shared" si="73"/>
        <v>9256.2900000000009</v>
      </c>
      <c r="AF347" s="956" t="s">
        <v>6660</v>
      </c>
      <c r="AG347" s="407"/>
      <c r="AR347" s="129" t="s">
        <v>258</v>
      </c>
      <c r="AT347" s="129" t="s">
        <v>231</v>
      </c>
      <c r="AU347" s="129" t="s">
        <v>76</v>
      </c>
      <c r="AY347" s="13" t="s">
        <v>228</v>
      </c>
      <c r="BE347" s="130">
        <f t="shared" si="74"/>
        <v>0</v>
      </c>
      <c r="BF347" s="130">
        <f t="shared" si="75"/>
        <v>4042.63</v>
      </c>
      <c r="BG347" s="130">
        <f t="shared" si="76"/>
        <v>0</v>
      </c>
      <c r="BH347" s="130">
        <f t="shared" si="77"/>
        <v>0</v>
      </c>
      <c r="BI347" s="130">
        <f t="shared" si="78"/>
        <v>0</v>
      </c>
      <c r="BJ347" s="13" t="s">
        <v>76</v>
      </c>
      <c r="BK347" s="130">
        <f t="shared" si="79"/>
        <v>4042.63</v>
      </c>
      <c r="BL347" s="13" t="s">
        <v>258</v>
      </c>
      <c r="BM347" s="129" t="s">
        <v>728</v>
      </c>
    </row>
    <row r="348" spans="2:65" s="1" customFormat="1" ht="16.5" customHeight="1" x14ac:dyDescent="0.2">
      <c r="B348" s="118"/>
      <c r="C348" s="242" t="s">
        <v>729</v>
      </c>
      <c r="D348" s="131" t="s">
        <v>277</v>
      </c>
      <c r="E348" s="132" t="s">
        <v>730</v>
      </c>
      <c r="F348" s="133" t="s">
        <v>731</v>
      </c>
      <c r="G348" s="134" t="s">
        <v>284</v>
      </c>
      <c r="H348" s="241">
        <v>319.23099999999999</v>
      </c>
      <c r="I348" s="136">
        <v>13.7</v>
      </c>
      <c r="J348" s="136">
        <f t="shared" si="69"/>
        <v>4373.46</v>
      </c>
      <c r="K348" s="133" t="s">
        <v>1</v>
      </c>
      <c r="L348" s="137"/>
      <c r="M348" s="138" t="s">
        <v>1</v>
      </c>
      <c r="N348" s="139" t="s">
        <v>32</v>
      </c>
      <c r="O348" s="127">
        <v>0</v>
      </c>
      <c r="P348" s="127">
        <f t="shared" si="70"/>
        <v>0</v>
      </c>
      <c r="Q348" s="127">
        <v>0</v>
      </c>
      <c r="R348" s="127">
        <f t="shared" si="71"/>
        <v>0</v>
      </c>
      <c r="S348" s="127">
        <v>0</v>
      </c>
      <c r="T348" s="128">
        <f t="shared" si="72"/>
        <v>0</v>
      </c>
      <c r="W348" s="199"/>
      <c r="X348" s="242" t="s">
        <v>729</v>
      </c>
      <c r="Y348" s="131" t="s">
        <v>277</v>
      </c>
      <c r="Z348" s="132" t="s">
        <v>730</v>
      </c>
      <c r="AA348" s="133" t="s">
        <v>731</v>
      </c>
      <c r="AB348" s="134" t="s">
        <v>284</v>
      </c>
      <c r="AC348" s="241">
        <f>319.231+214.781+196.923</f>
        <v>730.93499999999995</v>
      </c>
      <c r="AD348" s="136">
        <v>13.7</v>
      </c>
      <c r="AE348" s="229">
        <f t="shared" si="73"/>
        <v>10013.81</v>
      </c>
      <c r="AF348" s="956" t="s">
        <v>6660</v>
      </c>
      <c r="AG348" s="407"/>
      <c r="AR348" s="129" t="s">
        <v>288</v>
      </c>
      <c r="AT348" s="129" t="s">
        <v>277</v>
      </c>
      <c r="AU348" s="129" t="s">
        <v>76</v>
      </c>
      <c r="AY348" s="13" t="s">
        <v>228</v>
      </c>
      <c r="BE348" s="130">
        <f t="shared" si="74"/>
        <v>0</v>
      </c>
      <c r="BF348" s="130">
        <f t="shared" si="75"/>
        <v>4373.46</v>
      </c>
      <c r="BG348" s="130">
        <f t="shared" si="76"/>
        <v>0</v>
      </c>
      <c r="BH348" s="130">
        <f t="shared" si="77"/>
        <v>0</v>
      </c>
      <c r="BI348" s="130">
        <f t="shared" si="78"/>
        <v>0</v>
      </c>
      <c r="BJ348" s="13" t="s">
        <v>76</v>
      </c>
      <c r="BK348" s="130">
        <f t="shared" si="79"/>
        <v>4373.46</v>
      </c>
      <c r="BL348" s="13" t="s">
        <v>258</v>
      </c>
      <c r="BM348" s="129" t="s">
        <v>732</v>
      </c>
    </row>
    <row r="349" spans="2:65" s="1" customFormat="1" ht="24" customHeight="1" x14ac:dyDescent="0.2">
      <c r="B349" s="118"/>
      <c r="C349" s="119" t="s">
        <v>479</v>
      </c>
      <c r="D349" s="119" t="s">
        <v>231</v>
      </c>
      <c r="E349" s="120" t="s">
        <v>733</v>
      </c>
      <c r="F349" s="121" t="s">
        <v>734</v>
      </c>
      <c r="G349" s="122" t="s">
        <v>243</v>
      </c>
      <c r="H349" s="123">
        <v>1</v>
      </c>
      <c r="I349" s="124">
        <v>203.18</v>
      </c>
      <c r="J349" s="124">
        <f t="shared" si="69"/>
        <v>203.18</v>
      </c>
      <c r="K349" s="121" t="s">
        <v>1</v>
      </c>
      <c r="L349" s="24"/>
      <c r="M349" s="125" t="s">
        <v>1</v>
      </c>
      <c r="N349" s="126" t="s">
        <v>32</v>
      </c>
      <c r="O349" s="127">
        <v>0</v>
      </c>
      <c r="P349" s="127">
        <f t="shared" si="70"/>
        <v>0</v>
      </c>
      <c r="Q349" s="127">
        <v>0</v>
      </c>
      <c r="R349" s="127">
        <f t="shared" si="71"/>
        <v>0</v>
      </c>
      <c r="S349" s="127">
        <v>0</v>
      </c>
      <c r="T349" s="128">
        <f t="shared" si="72"/>
        <v>0</v>
      </c>
      <c r="W349" s="199"/>
      <c r="X349" s="119" t="s">
        <v>479</v>
      </c>
      <c r="Y349" s="119" t="s">
        <v>231</v>
      </c>
      <c r="Z349" s="120" t="s">
        <v>733</v>
      </c>
      <c r="AA349" s="121" t="s">
        <v>734</v>
      </c>
      <c r="AB349" s="122" t="s">
        <v>243</v>
      </c>
      <c r="AC349" s="123">
        <v>1</v>
      </c>
      <c r="AD349" s="124">
        <v>203.18</v>
      </c>
      <c r="AE349" s="200">
        <f t="shared" si="73"/>
        <v>203.18</v>
      </c>
      <c r="AF349" s="956"/>
      <c r="AG349" s="407"/>
      <c r="AR349" s="129" t="s">
        <v>258</v>
      </c>
      <c r="AT349" s="129" t="s">
        <v>231</v>
      </c>
      <c r="AU349" s="129" t="s">
        <v>76</v>
      </c>
      <c r="AY349" s="13" t="s">
        <v>228</v>
      </c>
      <c r="BE349" s="130">
        <f t="shared" si="74"/>
        <v>0</v>
      </c>
      <c r="BF349" s="130">
        <f t="shared" si="75"/>
        <v>203.18</v>
      </c>
      <c r="BG349" s="130">
        <f t="shared" si="76"/>
        <v>0</v>
      </c>
      <c r="BH349" s="130">
        <f t="shared" si="77"/>
        <v>0</v>
      </c>
      <c r="BI349" s="130">
        <f t="shared" si="78"/>
        <v>0</v>
      </c>
      <c r="BJ349" s="13" t="s">
        <v>76</v>
      </c>
      <c r="BK349" s="130">
        <f t="shared" si="79"/>
        <v>203.18</v>
      </c>
      <c r="BL349" s="13" t="s">
        <v>258</v>
      </c>
      <c r="BM349" s="129" t="s">
        <v>735</v>
      </c>
    </row>
    <row r="350" spans="2:65" s="1" customFormat="1" ht="24" customHeight="1" x14ac:dyDescent="0.2">
      <c r="B350" s="118"/>
      <c r="C350" s="205" t="s">
        <v>736</v>
      </c>
      <c r="D350" s="119" t="s">
        <v>231</v>
      </c>
      <c r="E350" s="120" t="s">
        <v>737</v>
      </c>
      <c r="F350" s="121" t="s">
        <v>738</v>
      </c>
      <c r="G350" s="122" t="s">
        <v>243</v>
      </c>
      <c r="H350" s="206">
        <v>3</v>
      </c>
      <c r="I350" s="124">
        <v>313.47000000000003</v>
      </c>
      <c r="J350" s="124">
        <f t="shared" si="69"/>
        <v>940.41</v>
      </c>
      <c r="K350" s="121" t="s">
        <v>1</v>
      </c>
      <c r="L350" s="24"/>
      <c r="M350" s="125" t="s">
        <v>1</v>
      </c>
      <c r="N350" s="126" t="s">
        <v>32</v>
      </c>
      <c r="O350" s="127">
        <v>0</v>
      </c>
      <c r="P350" s="127">
        <f t="shared" si="70"/>
        <v>0</v>
      </c>
      <c r="Q350" s="127">
        <v>0</v>
      </c>
      <c r="R350" s="127">
        <f t="shared" si="71"/>
        <v>0</v>
      </c>
      <c r="S350" s="127">
        <v>0</v>
      </c>
      <c r="T350" s="128">
        <f t="shared" si="72"/>
        <v>0</v>
      </c>
      <c r="W350" s="199"/>
      <c r="X350" s="205" t="s">
        <v>736</v>
      </c>
      <c r="Y350" s="119" t="s">
        <v>231</v>
      </c>
      <c r="Z350" s="120" t="s">
        <v>737</v>
      </c>
      <c r="AA350" s="121" t="s">
        <v>738</v>
      </c>
      <c r="AB350" s="122" t="s">
        <v>243</v>
      </c>
      <c r="AC350" s="206">
        <f>3-3</f>
        <v>0</v>
      </c>
      <c r="AD350" s="124">
        <v>313.47000000000003</v>
      </c>
      <c r="AE350" s="200">
        <f t="shared" si="73"/>
        <v>0</v>
      </c>
      <c r="AF350" s="956">
        <v>20</v>
      </c>
      <c r="AG350" s="407"/>
      <c r="AR350" s="129" t="s">
        <v>258</v>
      </c>
      <c r="AT350" s="129" t="s">
        <v>231</v>
      </c>
      <c r="AU350" s="129" t="s">
        <v>76</v>
      </c>
      <c r="AY350" s="13" t="s">
        <v>228</v>
      </c>
      <c r="BE350" s="130">
        <f t="shared" si="74"/>
        <v>0</v>
      </c>
      <c r="BF350" s="130">
        <f t="shared" si="75"/>
        <v>940.41</v>
      </c>
      <c r="BG350" s="130">
        <f t="shared" si="76"/>
        <v>0</v>
      </c>
      <c r="BH350" s="130">
        <f t="shared" si="77"/>
        <v>0</v>
      </c>
      <c r="BI350" s="130">
        <f t="shared" si="78"/>
        <v>0</v>
      </c>
      <c r="BJ350" s="13" t="s">
        <v>76</v>
      </c>
      <c r="BK350" s="130">
        <f t="shared" si="79"/>
        <v>940.41</v>
      </c>
      <c r="BL350" s="13" t="s">
        <v>258</v>
      </c>
      <c r="BM350" s="129" t="s">
        <v>739</v>
      </c>
    </row>
    <row r="351" spans="2:65" s="676" customFormat="1" ht="31.95" customHeight="1" x14ac:dyDescent="0.2">
      <c r="B351" s="118"/>
      <c r="C351" s="1234" t="s">
        <v>5205</v>
      </c>
      <c r="D351" s="1235"/>
      <c r="E351" s="1235"/>
      <c r="F351" s="1235"/>
      <c r="G351" s="1235"/>
      <c r="H351" s="1235"/>
      <c r="I351" s="1235"/>
      <c r="J351" s="1236"/>
      <c r="K351" s="121"/>
      <c r="L351" s="24"/>
      <c r="M351" s="125"/>
      <c r="N351" s="126"/>
      <c r="O351" s="127"/>
      <c r="P351" s="127"/>
      <c r="Q351" s="127"/>
      <c r="R351" s="127"/>
      <c r="S351" s="127"/>
      <c r="T351" s="128"/>
      <c r="W351" s="199"/>
      <c r="X351" s="207" t="s">
        <v>6472</v>
      </c>
      <c r="Y351" s="207" t="s">
        <v>231</v>
      </c>
      <c r="Z351" s="342" t="s">
        <v>6470</v>
      </c>
      <c r="AA351" s="343" t="s">
        <v>6471</v>
      </c>
      <c r="AB351" s="344" t="s">
        <v>243</v>
      </c>
      <c r="AC351" s="345">
        <v>3</v>
      </c>
      <c r="AD351" s="346">
        <v>255</v>
      </c>
      <c r="AE351" s="355">
        <f>ROUND(AD351*AC351,2)</f>
        <v>765</v>
      </c>
      <c r="AF351" s="956">
        <v>20</v>
      </c>
      <c r="AG351" s="407"/>
      <c r="AR351" s="129"/>
      <c r="AT351" s="129"/>
      <c r="AU351" s="129"/>
      <c r="AY351" s="13"/>
      <c r="BE351" s="130"/>
      <c r="BF351" s="130"/>
      <c r="BG351" s="130"/>
      <c r="BH351" s="130"/>
      <c r="BI351" s="130"/>
      <c r="BJ351" s="13"/>
      <c r="BK351" s="130"/>
      <c r="BL351" s="13"/>
      <c r="BM351" s="129"/>
    </row>
    <row r="352" spans="2:65" s="1" customFormat="1" ht="24" customHeight="1" x14ac:dyDescent="0.2">
      <c r="B352" s="118"/>
      <c r="C352" s="205" t="s">
        <v>483</v>
      </c>
      <c r="D352" s="119" t="s">
        <v>231</v>
      </c>
      <c r="E352" s="120" t="s">
        <v>740</v>
      </c>
      <c r="F352" s="121" t="s">
        <v>741</v>
      </c>
      <c r="G352" s="122" t="s">
        <v>243</v>
      </c>
      <c r="H352" s="206">
        <v>1</v>
      </c>
      <c r="I352" s="124">
        <v>328.56</v>
      </c>
      <c r="J352" s="124">
        <f t="shared" si="69"/>
        <v>328.56</v>
      </c>
      <c r="K352" s="121" t="s">
        <v>1</v>
      </c>
      <c r="L352" s="24"/>
      <c r="M352" s="125" t="s">
        <v>1</v>
      </c>
      <c r="N352" s="126" t="s">
        <v>32</v>
      </c>
      <c r="O352" s="127">
        <v>0</v>
      </c>
      <c r="P352" s="127">
        <f t="shared" si="70"/>
        <v>0</v>
      </c>
      <c r="Q352" s="127">
        <v>0</v>
      </c>
      <c r="R352" s="127">
        <f t="shared" si="71"/>
        <v>0</v>
      </c>
      <c r="S352" s="127">
        <v>0</v>
      </c>
      <c r="T352" s="128">
        <f t="shared" si="72"/>
        <v>0</v>
      </c>
      <c r="W352" s="199"/>
      <c r="X352" s="205" t="s">
        <v>483</v>
      </c>
      <c r="Y352" s="119" t="s">
        <v>231</v>
      </c>
      <c r="Z352" s="120" t="s">
        <v>740</v>
      </c>
      <c r="AA352" s="121" t="s">
        <v>741</v>
      </c>
      <c r="AB352" s="122" t="s">
        <v>243</v>
      </c>
      <c r="AC352" s="206">
        <f>1-1</f>
        <v>0</v>
      </c>
      <c r="AD352" s="124">
        <v>328.56</v>
      </c>
      <c r="AE352" s="200">
        <f t="shared" si="73"/>
        <v>0</v>
      </c>
      <c r="AF352" s="956">
        <v>20</v>
      </c>
      <c r="AG352" s="407"/>
      <c r="AR352" s="129" t="s">
        <v>258</v>
      </c>
      <c r="AT352" s="129" t="s">
        <v>231</v>
      </c>
      <c r="AU352" s="129" t="s">
        <v>76</v>
      </c>
      <c r="AY352" s="13" t="s">
        <v>228</v>
      </c>
      <c r="BE352" s="130">
        <f t="shared" si="74"/>
        <v>0</v>
      </c>
      <c r="BF352" s="130">
        <f t="shared" si="75"/>
        <v>328.56</v>
      </c>
      <c r="BG352" s="130">
        <f t="shared" si="76"/>
        <v>0</v>
      </c>
      <c r="BH352" s="130">
        <f t="shared" si="77"/>
        <v>0</v>
      </c>
      <c r="BI352" s="130">
        <f t="shared" si="78"/>
        <v>0</v>
      </c>
      <c r="BJ352" s="13" t="s">
        <v>76</v>
      </c>
      <c r="BK352" s="130">
        <f t="shared" si="79"/>
        <v>328.56</v>
      </c>
      <c r="BL352" s="13" t="s">
        <v>258</v>
      </c>
      <c r="BM352" s="129" t="s">
        <v>742</v>
      </c>
    </row>
    <row r="353" spans="2:65" s="676" customFormat="1" ht="30.45" customHeight="1" x14ac:dyDescent="0.2">
      <c r="B353" s="118"/>
      <c r="C353" s="1234" t="s">
        <v>5205</v>
      </c>
      <c r="D353" s="1235"/>
      <c r="E353" s="1235"/>
      <c r="F353" s="1235"/>
      <c r="G353" s="1235"/>
      <c r="H353" s="1235"/>
      <c r="I353" s="1235"/>
      <c r="J353" s="1236"/>
      <c r="K353" s="121"/>
      <c r="L353" s="24"/>
      <c r="M353" s="125"/>
      <c r="N353" s="126"/>
      <c r="O353" s="127"/>
      <c r="P353" s="127"/>
      <c r="Q353" s="127"/>
      <c r="R353" s="127"/>
      <c r="S353" s="127"/>
      <c r="T353" s="128"/>
      <c r="W353" s="199"/>
      <c r="X353" s="207" t="s">
        <v>6475</v>
      </c>
      <c r="Y353" s="207" t="s">
        <v>231</v>
      </c>
      <c r="Z353" s="342" t="s">
        <v>6473</v>
      </c>
      <c r="AA353" s="343" t="s">
        <v>6474</v>
      </c>
      <c r="AB353" s="344" t="s">
        <v>243</v>
      </c>
      <c r="AC353" s="345">
        <v>1</v>
      </c>
      <c r="AD353" s="346">
        <v>311</v>
      </c>
      <c r="AE353" s="355">
        <f>ROUND(AD353*AC353,2)</f>
        <v>311</v>
      </c>
      <c r="AF353" s="956">
        <v>20</v>
      </c>
      <c r="AG353" s="407"/>
      <c r="AR353" s="129"/>
      <c r="AT353" s="129"/>
      <c r="AU353" s="129"/>
      <c r="AY353" s="13"/>
      <c r="BE353" s="130"/>
      <c r="BF353" s="130"/>
      <c r="BG353" s="130"/>
      <c r="BH353" s="130"/>
      <c r="BI353" s="130"/>
      <c r="BJ353" s="13"/>
      <c r="BK353" s="130"/>
      <c r="BL353" s="13"/>
      <c r="BM353" s="129"/>
    </row>
    <row r="354" spans="2:65" s="1" customFormat="1" ht="24" customHeight="1" x14ac:dyDescent="0.2">
      <c r="B354" s="118"/>
      <c r="C354" s="205" t="s">
        <v>743</v>
      </c>
      <c r="D354" s="119" t="s">
        <v>231</v>
      </c>
      <c r="E354" s="120" t="s">
        <v>744</v>
      </c>
      <c r="F354" s="121" t="s">
        <v>745</v>
      </c>
      <c r="G354" s="122" t="s">
        <v>243</v>
      </c>
      <c r="H354" s="206">
        <v>1</v>
      </c>
      <c r="I354" s="124">
        <v>1497.69</v>
      </c>
      <c r="J354" s="124">
        <f t="shared" si="69"/>
        <v>1497.69</v>
      </c>
      <c r="K354" s="121" t="s">
        <v>1</v>
      </c>
      <c r="L354" s="24"/>
      <c r="M354" s="125" t="s">
        <v>1</v>
      </c>
      <c r="N354" s="126" t="s">
        <v>32</v>
      </c>
      <c r="O354" s="127">
        <v>0</v>
      </c>
      <c r="P354" s="127">
        <f t="shared" si="70"/>
        <v>0</v>
      </c>
      <c r="Q354" s="127">
        <v>0</v>
      </c>
      <c r="R354" s="127">
        <f t="shared" si="71"/>
        <v>0</v>
      </c>
      <c r="S354" s="127">
        <v>0</v>
      </c>
      <c r="T354" s="128">
        <f t="shared" si="72"/>
        <v>0</v>
      </c>
      <c r="W354" s="199"/>
      <c r="X354" s="205" t="s">
        <v>743</v>
      </c>
      <c r="Y354" s="119" t="s">
        <v>231</v>
      </c>
      <c r="Z354" s="120" t="s">
        <v>744</v>
      </c>
      <c r="AA354" s="121" t="s">
        <v>745</v>
      </c>
      <c r="AB354" s="122" t="s">
        <v>243</v>
      </c>
      <c r="AC354" s="206">
        <f>1-1</f>
        <v>0</v>
      </c>
      <c r="AD354" s="124">
        <v>1497.69</v>
      </c>
      <c r="AE354" s="200">
        <f t="shared" si="73"/>
        <v>0</v>
      </c>
      <c r="AF354" s="956">
        <v>20</v>
      </c>
      <c r="AG354" s="407"/>
      <c r="AR354" s="129" t="s">
        <v>258</v>
      </c>
      <c r="AT354" s="129" t="s">
        <v>231</v>
      </c>
      <c r="AU354" s="129" t="s">
        <v>76</v>
      </c>
      <c r="AY354" s="13" t="s">
        <v>228</v>
      </c>
      <c r="BE354" s="130">
        <f t="shared" si="74"/>
        <v>0</v>
      </c>
      <c r="BF354" s="130">
        <f t="shared" si="75"/>
        <v>1497.69</v>
      </c>
      <c r="BG354" s="130">
        <f t="shared" si="76"/>
        <v>0</v>
      </c>
      <c r="BH354" s="130">
        <f t="shared" si="77"/>
        <v>0</v>
      </c>
      <c r="BI354" s="130">
        <f t="shared" si="78"/>
        <v>0</v>
      </c>
      <c r="BJ354" s="13" t="s">
        <v>76</v>
      </c>
      <c r="BK354" s="130">
        <f t="shared" si="79"/>
        <v>1497.69</v>
      </c>
      <c r="BL354" s="13" t="s">
        <v>258</v>
      </c>
      <c r="BM354" s="129" t="s">
        <v>746</v>
      </c>
    </row>
    <row r="355" spans="2:65" s="676" customFormat="1" ht="38.549999999999997" customHeight="1" x14ac:dyDescent="0.2">
      <c r="B355" s="118"/>
      <c r="C355" s="1234" t="s">
        <v>5205</v>
      </c>
      <c r="D355" s="1235"/>
      <c r="E355" s="1235"/>
      <c r="F355" s="1235"/>
      <c r="G355" s="1235"/>
      <c r="H355" s="1235"/>
      <c r="I355" s="1235"/>
      <c r="J355" s="1236"/>
      <c r="K355" s="121"/>
      <c r="L355" s="24"/>
      <c r="M355" s="125"/>
      <c r="N355" s="126"/>
      <c r="O355" s="127"/>
      <c r="P355" s="127"/>
      <c r="Q355" s="127"/>
      <c r="R355" s="127"/>
      <c r="S355" s="127"/>
      <c r="T355" s="128"/>
      <c r="W355" s="199"/>
      <c r="X355" s="207" t="s">
        <v>6478</v>
      </c>
      <c r="Y355" s="207"/>
      <c r="Z355" s="342" t="s">
        <v>6476</v>
      </c>
      <c r="AA355" s="343" t="s">
        <v>6477</v>
      </c>
      <c r="AB355" s="344" t="s">
        <v>243</v>
      </c>
      <c r="AC355" s="345">
        <v>1</v>
      </c>
      <c r="AD355" s="346">
        <v>1683</v>
      </c>
      <c r="AE355" s="355">
        <f>ROUND(AD355*AC355,2)</f>
        <v>1683</v>
      </c>
      <c r="AF355" s="956">
        <v>20</v>
      </c>
      <c r="AG355" s="407"/>
      <c r="AR355" s="129"/>
      <c r="AT355" s="129"/>
      <c r="AU355" s="129"/>
      <c r="AY355" s="13"/>
      <c r="BE355" s="130"/>
      <c r="BF355" s="130"/>
      <c r="BG355" s="130"/>
      <c r="BH355" s="130"/>
      <c r="BI355" s="130"/>
      <c r="BJ355" s="13"/>
      <c r="BK355" s="130"/>
      <c r="BL355" s="13"/>
      <c r="BM355" s="129"/>
    </row>
    <row r="356" spans="2:65" s="1" customFormat="1" ht="24" customHeight="1" x14ac:dyDescent="0.2">
      <c r="B356" s="118"/>
      <c r="C356" s="205" t="s">
        <v>486</v>
      </c>
      <c r="D356" s="119" t="s">
        <v>231</v>
      </c>
      <c r="E356" s="120" t="s">
        <v>747</v>
      </c>
      <c r="F356" s="121" t="s">
        <v>748</v>
      </c>
      <c r="G356" s="122" t="s">
        <v>243</v>
      </c>
      <c r="H356" s="206">
        <v>2</v>
      </c>
      <c r="I356" s="124">
        <v>1265.49</v>
      </c>
      <c r="J356" s="124">
        <f t="shared" si="69"/>
        <v>2530.98</v>
      </c>
      <c r="K356" s="121" t="s">
        <v>1</v>
      </c>
      <c r="L356" s="24"/>
      <c r="M356" s="125" t="s">
        <v>1</v>
      </c>
      <c r="N356" s="126" t="s">
        <v>32</v>
      </c>
      <c r="O356" s="127">
        <v>0</v>
      </c>
      <c r="P356" s="127">
        <f t="shared" si="70"/>
        <v>0</v>
      </c>
      <c r="Q356" s="127">
        <v>0</v>
      </c>
      <c r="R356" s="127">
        <f t="shared" si="71"/>
        <v>0</v>
      </c>
      <c r="S356" s="127">
        <v>0</v>
      </c>
      <c r="T356" s="128">
        <f t="shared" si="72"/>
        <v>0</v>
      </c>
      <c r="W356" s="199"/>
      <c r="X356" s="205" t="s">
        <v>486</v>
      </c>
      <c r="Y356" s="119" t="s">
        <v>231</v>
      </c>
      <c r="Z356" s="120" t="s">
        <v>747</v>
      </c>
      <c r="AA356" s="121" t="s">
        <v>748</v>
      </c>
      <c r="AB356" s="122" t="s">
        <v>243</v>
      </c>
      <c r="AC356" s="206">
        <f>2-2</f>
        <v>0</v>
      </c>
      <c r="AD356" s="124">
        <v>1265.49</v>
      </c>
      <c r="AE356" s="200">
        <f t="shared" si="73"/>
        <v>0</v>
      </c>
      <c r="AF356" s="956">
        <v>20</v>
      </c>
      <c r="AG356" s="407"/>
      <c r="AR356" s="129" t="s">
        <v>258</v>
      </c>
      <c r="AT356" s="129" t="s">
        <v>231</v>
      </c>
      <c r="AU356" s="129" t="s">
        <v>76</v>
      </c>
      <c r="AY356" s="13" t="s">
        <v>228</v>
      </c>
      <c r="BE356" s="130">
        <f t="shared" si="74"/>
        <v>0</v>
      </c>
      <c r="BF356" s="130">
        <f t="shared" si="75"/>
        <v>2530.98</v>
      </c>
      <c r="BG356" s="130">
        <f t="shared" si="76"/>
        <v>0</v>
      </c>
      <c r="BH356" s="130">
        <f t="shared" si="77"/>
        <v>0</v>
      </c>
      <c r="BI356" s="130">
        <f t="shared" si="78"/>
        <v>0</v>
      </c>
      <c r="BJ356" s="13" t="s">
        <v>76</v>
      </c>
      <c r="BK356" s="130">
        <f t="shared" si="79"/>
        <v>2530.98</v>
      </c>
      <c r="BL356" s="13" t="s">
        <v>258</v>
      </c>
      <c r="BM356" s="129" t="s">
        <v>749</v>
      </c>
    </row>
    <row r="357" spans="2:65" s="676" customFormat="1" ht="30" customHeight="1" x14ac:dyDescent="0.2">
      <c r="B357" s="118"/>
      <c r="C357" s="1234" t="s">
        <v>5205</v>
      </c>
      <c r="D357" s="1235"/>
      <c r="E357" s="1235"/>
      <c r="F357" s="1235"/>
      <c r="G357" s="1235"/>
      <c r="H357" s="1235"/>
      <c r="I357" s="1235"/>
      <c r="J357" s="1236"/>
      <c r="K357" s="121"/>
      <c r="L357" s="24"/>
      <c r="M357" s="125"/>
      <c r="N357" s="126"/>
      <c r="O357" s="127"/>
      <c r="P357" s="127"/>
      <c r="Q357" s="127"/>
      <c r="R357" s="127"/>
      <c r="S357" s="127"/>
      <c r="T357" s="128"/>
      <c r="W357" s="199"/>
      <c r="X357" s="207" t="s">
        <v>6481</v>
      </c>
      <c r="Y357" s="207" t="s">
        <v>231</v>
      </c>
      <c r="Z357" s="342" t="s">
        <v>6479</v>
      </c>
      <c r="AA357" s="343" t="s">
        <v>6480</v>
      </c>
      <c r="AB357" s="344" t="s">
        <v>243</v>
      </c>
      <c r="AC357" s="345">
        <v>1</v>
      </c>
      <c r="AD357" s="346">
        <v>3177.5</v>
      </c>
      <c r="AE357" s="355">
        <f>ROUND(AD357*AC357,2)</f>
        <v>3177.5</v>
      </c>
      <c r="AF357" s="956">
        <v>20</v>
      </c>
      <c r="AG357" s="407"/>
      <c r="AR357" s="129"/>
      <c r="AT357" s="129"/>
      <c r="AU357" s="129"/>
      <c r="AY357" s="13"/>
      <c r="BE357" s="130"/>
      <c r="BF357" s="130"/>
      <c r="BG357" s="130"/>
      <c r="BH357" s="130"/>
      <c r="BI357" s="130"/>
      <c r="BJ357" s="13"/>
      <c r="BK357" s="130"/>
      <c r="BL357" s="13"/>
      <c r="BM357" s="129"/>
    </row>
    <row r="358" spans="2:65" s="676" customFormat="1" ht="30" customHeight="1" x14ac:dyDescent="0.2">
      <c r="B358" s="118"/>
      <c r="C358" s="1234" t="s">
        <v>5205</v>
      </c>
      <c r="D358" s="1235"/>
      <c r="E358" s="1235"/>
      <c r="F358" s="1235"/>
      <c r="G358" s="1235"/>
      <c r="H358" s="1235"/>
      <c r="I358" s="1235"/>
      <c r="J358" s="1236"/>
      <c r="K358" s="121"/>
      <c r="L358" s="24"/>
      <c r="M358" s="125"/>
      <c r="N358" s="126"/>
      <c r="O358" s="127"/>
      <c r="P358" s="127"/>
      <c r="Q358" s="127"/>
      <c r="R358" s="127"/>
      <c r="S358" s="127"/>
      <c r="T358" s="128"/>
      <c r="W358" s="199"/>
      <c r="X358" s="207" t="s">
        <v>6484</v>
      </c>
      <c r="Y358" s="207" t="s">
        <v>231</v>
      </c>
      <c r="Z358" s="342" t="s">
        <v>6482</v>
      </c>
      <c r="AA358" s="343" t="s">
        <v>6483</v>
      </c>
      <c r="AB358" s="344" t="s">
        <v>243</v>
      </c>
      <c r="AC358" s="345">
        <v>1</v>
      </c>
      <c r="AD358" s="346">
        <v>1576.26</v>
      </c>
      <c r="AE358" s="355">
        <f>ROUND(AD358*AC358,2)</f>
        <v>1576.26</v>
      </c>
      <c r="AF358" s="956">
        <v>20</v>
      </c>
      <c r="AG358" s="407"/>
      <c r="AR358" s="129"/>
      <c r="AT358" s="129"/>
      <c r="AU358" s="129"/>
      <c r="AY358" s="13"/>
      <c r="BE358" s="130"/>
      <c r="BF358" s="130"/>
      <c r="BG358" s="130"/>
      <c r="BH358" s="130"/>
      <c r="BI358" s="130"/>
      <c r="BJ358" s="13"/>
      <c r="BK358" s="130"/>
      <c r="BL358" s="13"/>
      <c r="BM358" s="129"/>
    </row>
    <row r="359" spans="2:65" s="676" customFormat="1" ht="30" customHeight="1" x14ac:dyDescent="0.2">
      <c r="B359" s="118"/>
      <c r="C359" s="1234" t="s">
        <v>5205</v>
      </c>
      <c r="D359" s="1235"/>
      <c r="E359" s="1235"/>
      <c r="F359" s="1235"/>
      <c r="G359" s="1235"/>
      <c r="H359" s="1235"/>
      <c r="I359" s="1235"/>
      <c r="J359" s="1236"/>
      <c r="K359" s="121"/>
      <c r="L359" s="24"/>
      <c r="M359" s="125"/>
      <c r="N359" s="126"/>
      <c r="O359" s="127"/>
      <c r="P359" s="127"/>
      <c r="Q359" s="127"/>
      <c r="R359" s="127"/>
      <c r="S359" s="127"/>
      <c r="T359" s="128"/>
      <c r="W359" s="199"/>
      <c r="X359" s="207" t="s">
        <v>6487</v>
      </c>
      <c r="Y359" s="207" t="s">
        <v>231</v>
      </c>
      <c r="Z359" s="342" t="s">
        <v>6485</v>
      </c>
      <c r="AA359" s="343" t="s">
        <v>6486</v>
      </c>
      <c r="AB359" s="344" t="s">
        <v>243</v>
      </c>
      <c r="AC359" s="345">
        <v>1</v>
      </c>
      <c r="AD359" s="346">
        <v>1371.25</v>
      </c>
      <c r="AE359" s="355">
        <f>ROUND(AD359*AC359,2)</f>
        <v>1371.25</v>
      </c>
      <c r="AF359" s="956">
        <v>20</v>
      </c>
      <c r="AG359" s="407"/>
      <c r="AR359" s="129"/>
      <c r="AT359" s="129"/>
      <c r="AU359" s="129"/>
      <c r="AY359" s="13"/>
      <c r="BE359" s="130"/>
      <c r="BF359" s="130"/>
      <c r="BG359" s="130"/>
      <c r="BH359" s="130"/>
      <c r="BI359" s="130"/>
      <c r="BJ359" s="13"/>
      <c r="BK359" s="130"/>
      <c r="BL359" s="13"/>
      <c r="BM359" s="129"/>
    </row>
    <row r="360" spans="2:65" s="1" customFormat="1" ht="24" customHeight="1" x14ac:dyDescent="0.2">
      <c r="B360" s="118"/>
      <c r="C360" s="205" t="s">
        <v>750</v>
      </c>
      <c r="D360" s="119" t="s">
        <v>231</v>
      </c>
      <c r="E360" s="120" t="s">
        <v>751</v>
      </c>
      <c r="F360" s="121" t="s">
        <v>752</v>
      </c>
      <c r="G360" s="122" t="s">
        <v>243</v>
      </c>
      <c r="H360" s="206">
        <v>1</v>
      </c>
      <c r="I360" s="124">
        <v>2496.15</v>
      </c>
      <c r="J360" s="124">
        <f t="shared" si="69"/>
        <v>2496.15</v>
      </c>
      <c r="K360" s="121" t="s">
        <v>1</v>
      </c>
      <c r="L360" s="24"/>
      <c r="M360" s="125" t="s">
        <v>1</v>
      </c>
      <c r="N360" s="126" t="s">
        <v>32</v>
      </c>
      <c r="O360" s="127">
        <v>0</v>
      </c>
      <c r="P360" s="127">
        <f t="shared" si="70"/>
        <v>0</v>
      </c>
      <c r="Q360" s="127">
        <v>0</v>
      </c>
      <c r="R360" s="127">
        <f t="shared" si="71"/>
        <v>0</v>
      </c>
      <c r="S360" s="127">
        <v>0</v>
      </c>
      <c r="T360" s="128">
        <f t="shared" si="72"/>
        <v>0</v>
      </c>
      <c r="W360" s="199"/>
      <c r="X360" s="205" t="s">
        <v>750</v>
      </c>
      <c r="Y360" s="119" t="s">
        <v>231</v>
      </c>
      <c r="Z360" s="120" t="s">
        <v>751</v>
      </c>
      <c r="AA360" s="121" t="s">
        <v>752</v>
      </c>
      <c r="AB360" s="122" t="s">
        <v>243</v>
      </c>
      <c r="AC360" s="206">
        <f>1-1</f>
        <v>0</v>
      </c>
      <c r="AD360" s="124">
        <v>2496.15</v>
      </c>
      <c r="AE360" s="200">
        <f t="shared" si="73"/>
        <v>0</v>
      </c>
      <c r="AF360" s="956">
        <v>20</v>
      </c>
      <c r="AG360" s="407"/>
      <c r="AR360" s="129" t="s">
        <v>258</v>
      </c>
      <c r="AT360" s="129" t="s">
        <v>231</v>
      </c>
      <c r="AU360" s="129" t="s">
        <v>76</v>
      </c>
      <c r="AY360" s="13" t="s">
        <v>228</v>
      </c>
      <c r="BE360" s="130">
        <f t="shared" si="74"/>
        <v>0</v>
      </c>
      <c r="BF360" s="130">
        <f t="shared" si="75"/>
        <v>2496.15</v>
      </c>
      <c r="BG360" s="130">
        <f t="shared" si="76"/>
        <v>0</v>
      </c>
      <c r="BH360" s="130">
        <f t="shared" si="77"/>
        <v>0</v>
      </c>
      <c r="BI360" s="130">
        <f t="shared" si="78"/>
        <v>0</v>
      </c>
      <c r="BJ360" s="13" t="s">
        <v>76</v>
      </c>
      <c r="BK360" s="130">
        <f t="shared" si="79"/>
        <v>2496.15</v>
      </c>
      <c r="BL360" s="13" t="s">
        <v>258</v>
      </c>
      <c r="BM360" s="129" t="s">
        <v>753</v>
      </c>
    </row>
    <row r="361" spans="2:65" s="676" customFormat="1" ht="25.95" customHeight="1" x14ac:dyDescent="0.2">
      <c r="B361" s="118"/>
      <c r="C361" s="1234" t="s">
        <v>5205</v>
      </c>
      <c r="D361" s="1235"/>
      <c r="E361" s="1235"/>
      <c r="F361" s="1235"/>
      <c r="G361" s="1235"/>
      <c r="H361" s="1235"/>
      <c r="I361" s="1235"/>
      <c r="J361" s="1236"/>
      <c r="K361" s="121"/>
      <c r="L361" s="24"/>
      <c r="M361" s="125"/>
      <c r="N361" s="126"/>
      <c r="O361" s="127"/>
      <c r="P361" s="127"/>
      <c r="Q361" s="127"/>
      <c r="R361" s="127"/>
      <c r="S361" s="127"/>
      <c r="T361" s="128"/>
      <c r="W361" s="199"/>
      <c r="X361" s="207" t="s">
        <v>6490</v>
      </c>
      <c r="Y361" s="207" t="s">
        <v>231</v>
      </c>
      <c r="Z361" s="342" t="s">
        <v>6488</v>
      </c>
      <c r="AA361" s="343" t="s">
        <v>6489</v>
      </c>
      <c r="AB361" s="344" t="s">
        <v>243</v>
      </c>
      <c r="AC361" s="345">
        <v>1</v>
      </c>
      <c r="AD361" s="346">
        <v>1371.25</v>
      </c>
      <c r="AE361" s="355">
        <f>ROUND(AD361*AC361,2)</f>
        <v>1371.25</v>
      </c>
      <c r="AF361" s="956">
        <v>20</v>
      </c>
      <c r="AG361" s="407"/>
      <c r="AR361" s="129"/>
      <c r="AT361" s="129"/>
      <c r="AU361" s="129"/>
      <c r="AY361" s="13"/>
      <c r="BE361" s="130"/>
      <c r="BF361" s="130"/>
      <c r="BG361" s="130"/>
      <c r="BH361" s="130"/>
      <c r="BI361" s="130"/>
      <c r="BJ361" s="13"/>
      <c r="BK361" s="130"/>
      <c r="BL361" s="13"/>
      <c r="BM361" s="129"/>
    </row>
    <row r="362" spans="2:65" s="1" customFormat="1" ht="24" customHeight="1" x14ac:dyDescent="0.2">
      <c r="B362" s="118"/>
      <c r="C362" s="205" t="s">
        <v>490</v>
      </c>
      <c r="D362" s="119" t="s">
        <v>231</v>
      </c>
      <c r="E362" s="120" t="s">
        <v>754</v>
      </c>
      <c r="F362" s="121" t="s">
        <v>755</v>
      </c>
      <c r="G362" s="122" t="s">
        <v>243</v>
      </c>
      <c r="H362" s="206">
        <v>1</v>
      </c>
      <c r="I362" s="124">
        <v>5630.85</v>
      </c>
      <c r="J362" s="124">
        <f t="shared" si="69"/>
        <v>5630.85</v>
      </c>
      <c r="K362" s="121" t="s">
        <v>1</v>
      </c>
      <c r="L362" s="24"/>
      <c r="M362" s="125" t="s">
        <v>1</v>
      </c>
      <c r="N362" s="126" t="s">
        <v>32</v>
      </c>
      <c r="O362" s="127">
        <v>0</v>
      </c>
      <c r="P362" s="127">
        <f t="shared" si="70"/>
        <v>0</v>
      </c>
      <c r="Q362" s="127">
        <v>0</v>
      </c>
      <c r="R362" s="127">
        <f t="shared" si="71"/>
        <v>0</v>
      </c>
      <c r="S362" s="127">
        <v>0</v>
      </c>
      <c r="T362" s="128">
        <f t="shared" si="72"/>
        <v>0</v>
      </c>
      <c r="W362" s="199"/>
      <c r="X362" s="205" t="s">
        <v>490</v>
      </c>
      <c r="Y362" s="119" t="s">
        <v>231</v>
      </c>
      <c r="Z362" s="120" t="s">
        <v>754</v>
      </c>
      <c r="AA362" s="121" t="s">
        <v>755</v>
      </c>
      <c r="AB362" s="122" t="s">
        <v>243</v>
      </c>
      <c r="AC362" s="206">
        <f>1-1</f>
        <v>0</v>
      </c>
      <c r="AD362" s="124">
        <v>5630.85</v>
      </c>
      <c r="AE362" s="200">
        <f t="shared" si="73"/>
        <v>0</v>
      </c>
      <c r="AF362" s="956">
        <v>20</v>
      </c>
      <c r="AG362" s="407"/>
      <c r="AR362" s="129" t="s">
        <v>258</v>
      </c>
      <c r="AT362" s="129" t="s">
        <v>231</v>
      </c>
      <c r="AU362" s="129" t="s">
        <v>76</v>
      </c>
      <c r="AY362" s="13" t="s">
        <v>228</v>
      </c>
      <c r="BE362" s="130">
        <f t="shared" si="74"/>
        <v>0</v>
      </c>
      <c r="BF362" s="130">
        <f t="shared" si="75"/>
        <v>5630.85</v>
      </c>
      <c r="BG362" s="130">
        <f t="shared" si="76"/>
        <v>0</v>
      </c>
      <c r="BH362" s="130">
        <f t="shared" si="77"/>
        <v>0</v>
      </c>
      <c r="BI362" s="130">
        <f t="shared" si="78"/>
        <v>0</v>
      </c>
      <c r="BJ362" s="13" t="s">
        <v>76</v>
      </c>
      <c r="BK362" s="130">
        <f t="shared" si="79"/>
        <v>5630.85</v>
      </c>
      <c r="BL362" s="13" t="s">
        <v>258</v>
      </c>
      <c r="BM362" s="129" t="s">
        <v>756</v>
      </c>
    </row>
    <row r="363" spans="2:65" s="676" customFormat="1" ht="30" customHeight="1" x14ac:dyDescent="0.2">
      <c r="B363" s="118"/>
      <c r="C363" s="1234" t="s">
        <v>5205</v>
      </c>
      <c r="D363" s="1235"/>
      <c r="E363" s="1235"/>
      <c r="F363" s="1235"/>
      <c r="G363" s="1235"/>
      <c r="H363" s="1235"/>
      <c r="I363" s="1235"/>
      <c r="J363" s="1236"/>
      <c r="K363" s="121"/>
      <c r="L363" s="24"/>
      <c r="M363" s="125"/>
      <c r="N363" s="126"/>
      <c r="O363" s="127"/>
      <c r="P363" s="127"/>
      <c r="Q363" s="127"/>
      <c r="R363" s="127"/>
      <c r="S363" s="127"/>
      <c r="T363" s="128"/>
      <c r="W363" s="199"/>
      <c r="X363" s="207" t="s">
        <v>5955</v>
      </c>
      <c r="Y363" s="207"/>
      <c r="Z363" s="342" t="s">
        <v>6491</v>
      </c>
      <c r="AA363" s="343" t="s">
        <v>6492</v>
      </c>
      <c r="AB363" s="344" t="s">
        <v>243</v>
      </c>
      <c r="AC363" s="345">
        <v>2</v>
      </c>
      <c r="AD363" s="346">
        <v>6687.8</v>
      </c>
      <c r="AE363" s="355">
        <f>ROUND(AD363*AC363,2)</f>
        <v>13375.6</v>
      </c>
      <c r="AF363" s="956">
        <v>20</v>
      </c>
      <c r="AG363" s="407"/>
      <c r="AR363" s="129"/>
      <c r="AT363" s="129"/>
      <c r="AU363" s="129"/>
      <c r="AY363" s="13"/>
      <c r="BE363" s="130"/>
      <c r="BF363" s="130"/>
      <c r="BG363" s="130"/>
      <c r="BH363" s="130"/>
      <c r="BI363" s="130"/>
      <c r="BJ363" s="13"/>
      <c r="BK363" s="130"/>
      <c r="BL363" s="13"/>
      <c r="BM363" s="129"/>
    </row>
    <row r="364" spans="2:65" s="1" customFormat="1" ht="24" customHeight="1" x14ac:dyDescent="0.2">
      <c r="B364" s="118"/>
      <c r="C364" s="119" t="s">
        <v>757</v>
      </c>
      <c r="D364" s="119" t="s">
        <v>231</v>
      </c>
      <c r="E364" s="120" t="s">
        <v>758</v>
      </c>
      <c r="F364" s="239" t="s">
        <v>759</v>
      </c>
      <c r="G364" s="122" t="s">
        <v>243</v>
      </c>
      <c r="H364" s="123">
        <v>1</v>
      </c>
      <c r="I364" s="124">
        <v>3906.77</v>
      </c>
      <c r="J364" s="124">
        <f t="shared" si="69"/>
        <v>3906.77</v>
      </c>
      <c r="K364" s="121" t="s">
        <v>1</v>
      </c>
      <c r="L364" s="24"/>
      <c r="M364" s="125" t="s">
        <v>1</v>
      </c>
      <c r="N364" s="126" t="s">
        <v>32</v>
      </c>
      <c r="O364" s="127">
        <v>0</v>
      </c>
      <c r="P364" s="127">
        <f t="shared" si="70"/>
        <v>0</v>
      </c>
      <c r="Q364" s="127">
        <v>0</v>
      </c>
      <c r="R364" s="127">
        <f t="shared" si="71"/>
        <v>0</v>
      </c>
      <c r="S364" s="127">
        <v>0</v>
      </c>
      <c r="T364" s="128">
        <f t="shared" si="72"/>
        <v>0</v>
      </c>
      <c r="W364" s="199"/>
      <c r="X364" s="119" t="s">
        <v>757</v>
      </c>
      <c r="Y364" s="119" t="s">
        <v>231</v>
      </c>
      <c r="Z364" s="120" t="s">
        <v>758</v>
      </c>
      <c r="AA364" s="239" t="s">
        <v>6795</v>
      </c>
      <c r="AB364" s="122" t="s">
        <v>243</v>
      </c>
      <c r="AC364" s="123">
        <v>1</v>
      </c>
      <c r="AD364" s="124">
        <v>3906.77</v>
      </c>
      <c r="AE364" s="200">
        <f t="shared" si="73"/>
        <v>3906.77</v>
      </c>
      <c r="AF364" s="956"/>
      <c r="AG364" s="407"/>
      <c r="AR364" s="129" t="s">
        <v>258</v>
      </c>
      <c r="AT364" s="129" t="s">
        <v>231</v>
      </c>
      <c r="AU364" s="129" t="s">
        <v>76</v>
      </c>
      <c r="AY364" s="13" t="s">
        <v>228</v>
      </c>
      <c r="BE364" s="130">
        <f t="shared" si="74"/>
        <v>0</v>
      </c>
      <c r="BF364" s="130">
        <f t="shared" si="75"/>
        <v>3906.77</v>
      </c>
      <c r="BG364" s="130">
        <f t="shared" si="76"/>
        <v>0</v>
      </c>
      <c r="BH364" s="130">
        <f t="shared" si="77"/>
        <v>0</v>
      </c>
      <c r="BI364" s="130">
        <f t="shared" si="78"/>
        <v>0</v>
      </c>
      <c r="BJ364" s="13" t="s">
        <v>76</v>
      </c>
      <c r="BK364" s="130">
        <f t="shared" si="79"/>
        <v>3906.77</v>
      </c>
      <c r="BL364" s="13" t="s">
        <v>258</v>
      </c>
      <c r="BM364" s="129" t="s">
        <v>760</v>
      </c>
    </row>
    <row r="365" spans="2:65" s="1" customFormat="1" ht="24" customHeight="1" x14ac:dyDescent="0.2">
      <c r="B365" s="118"/>
      <c r="C365" s="119" t="s">
        <v>493</v>
      </c>
      <c r="D365" s="119" t="s">
        <v>231</v>
      </c>
      <c r="E365" s="120" t="s">
        <v>761</v>
      </c>
      <c r="F365" s="239" t="s">
        <v>762</v>
      </c>
      <c r="G365" s="122" t="s">
        <v>243</v>
      </c>
      <c r="H365" s="123">
        <v>2</v>
      </c>
      <c r="I365" s="124">
        <v>859.14</v>
      </c>
      <c r="J365" s="124">
        <f t="shared" si="69"/>
        <v>1718.28</v>
      </c>
      <c r="K365" s="121" t="s">
        <v>1</v>
      </c>
      <c r="L365" s="24"/>
      <c r="M365" s="125" t="s">
        <v>1</v>
      </c>
      <c r="N365" s="126" t="s">
        <v>32</v>
      </c>
      <c r="O365" s="127">
        <v>0</v>
      </c>
      <c r="P365" s="127">
        <f t="shared" si="70"/>
        <v>0</v>
      </c>
      <c r="Q365" s="127">
        <v>0</v>
      </c>
      <c r="R365" s="127">
        <f t="shared" si="71"/>
        <v>0</v>
      </c>
      <c r="S365" s="127">
        <v>0</v>
      </c>
      <c r="T365" s="128">
        <f t="shared" si="72"/>
        <v>0</v>
      </c>
      <c r="W365" s="199"/>
      <c r="X365" s="119" t="s">
        <v>493</v>
      </c>
      <c r="Y365" s="119" t="s">
        <v>231</v>
      </c>
      <c r="Z365" s="120" t="s">
        <v>761</v>
      </c>
      <c r="AA365" s="239" t="s">
        <v>6796</v>
      </c>
      <c r="AB365" s="122" t="s">
        <v>243</v>
      </c>
      <c r="AC365" s="123">
        <v>2</v>
      </c>
      <c r="AD365" s="124">
        <v>859.14</v>
      </c>
      <c r="AE365" s="200">
        <f t="shared" si="73"/>
        <v>1718.28</v>
      </c>
      <c r="AF365" s="956"/>
      <c r="AG365" s="407"/>
      <c r="AR365" s="129" t="s">
        <v>258</v>
      </c>
      <c r="AT365" s="129" t="s">
        <v>231</v>
      </c>
      <c r="AU365" s="129" t="s">
        <v>76</v>
      </c>
      <c r="AY365" s="13" t="s">
        <v>228</v>
      </c>
      <c r="BE365" s="130">
        <f t="shared" si="74"/>
        <v>0</v>
      </c>
      <c r="BF365" s="130">
        <f t="shared" si="75"/>
        <v>1718.28</v>
      </c>
      <c r="BG365" s="130">
        <f t="shared" si="76"/>
        <v>0</v>
      </c>
      <c r="BH365" s="130">
        <f t="shared" si="77"/>
        <v>0</v>
      </c>
      <c r="BI365" s="130">
        <f t="shared" si="78"/>
        <v>0</v>
      </c>
      <c r="BJ365" s="13" t="s">
        <v>76</v>
      </c>
      <c r="BK365" s="130">
        <f t="shared" si="79"/>
        <v>1718.28</v>
      </c>
      <c r="BL365" s="13" t="s">
        <v>258</v>
      </c>
      <c r="BM365" s="129" t="s">
        <v>763</v>
      </c>
    </row>
    <row r="366" spans="2:65" s="1" customFormat="1" ht="24" customHeight="1" x14ac:dyDescent="0.2">
      <c r="B366" s="118"/>
      <c r="C366" s="119" t="s">
        <v>764</v>
      </c>
      <c r="D366" s="119" t="s">
        <v>231</v>
      </c>
      <c r="E366" s="120" t="s">
        <v>765</v>
      </c>
      <c r="F366" s="239" t="s">
        <v>766</v>
      </c>
      <c r="G366" s="122" t="s">
        <v>243</v>
      </c>
      <c r="H366" s="123">
        <v>1</v>
      </c>
      <c r="I366" s="124">
        <v>1648.62</v>
      </c>
      <c r="J366" s="124">
        <f t="shared" si="69"/>
        <v>1648.62</v>
      </c>
      <c r="K366" s="121" t="s">
        <v>1</v>
      </c>
      <c r="L366" s="24"/>
      <c r="M366" s="125" t="s">
        <v>1</v>
      </c>
      <c r="N366" s="126" t="s">
        <v>32</v>
      </c>
      <c r="O366" s="127">
        <v>0</v>
      </c>
      <c r="P366" s="127">
        <f t="shared" si="70"/>
        <v>0</v>
      </c>
      <c r="Q366" s="127">
        <v>0</v>
      </c>
      <c r="R366" s="127">
        <f t="shared" si="71"/>
        <v>0</v>
      </c>
      <c r="S366" s="127">
        <v>0</v>
      </c>
      <c r="T366" s="128">
        <f t="shared" si="72"/>
        <v>0</v>
      </c>
      <c r="W366" s="199"/>
      <c r="X366" s="119" t="s">
        <v>764</v>
      </c>
      <c r="Y366" s="119" t="s">
        <v>231</v>
      </c>
      <c r="Z366" s="120" t="s">
        <v>765</v>
      </c>
      <c r="AA366" s="239" t="s">
        <v>6797</v>
      </c>
      <c r="AB366" s="122" t="s">
        <v>243</v>
      </c>
      <c r="AC366" s="123">
        <v>1</v>
      </c>
      <c r="AD366" s="124">
        <v>1648.62</v>
      </c>
      <c r="AE366" s="200">
        <f t="shared" si="73"/>
        <v>1648.62</v>
      </c>
      <c r="AF366" s="956"/>
      <c r="AG366" s="407"/>
      <c r="AR366" s="129" t="s">
        <v>258</v>
      </c>
      <c r="AT366" s="129" t="s">
        <v>231</v>
      </c>
      <c r="AU366" s="129" t="s">
        <v>76</v>
      </c>
      <c r="AY366" s="13" t="s">
        <v>228</v>
      </c>
      <c r="BE366" s="130">
        <f t="shared" si="74"/>
        <v>0</v>
      </c>
      <c r="BF366" s="130">
        <f t="shared" si="75"/>
        <v>1648.62</v>
      </c>
      <c r="BG366" s="130">
        <f t="shared" si="76"/>
        <v>0</v>
      </c>
      <c r="BH366" s="130">
        <f t="shared" si="77"/>
        <v>0</v>
      </c>
      <c r="BI366" s="130">
        <f t="shared" si="78"/>
        <v>0</v>
      </c>
      <c r="BJ366" s="13" t="s">
        <v>76</v>
      </c>
      <c r="BK366" s="130">
        <f t="shared" si="79"/>
        <v>1648.62</v>
      </c>
      <c r="BL366" s="13" t="s">
        <v>258</v>
      </c>
      <c r="BM366" s="129" t="s">
        <v>767</v>
      </c>
    </row>
    <row r="367" spans="2:65" s="1" customFormat="1" ht="24" customHeight="1" x14ac:dyDescent="0.2">
      <c r="B367" s="118"/>
      <c r="C367" s="205" t="s">
        <v>497</v>
      </c>
      <c r="D367" s="119" t="s">
        <v>231</v>
      </c>
      <c r="E367" s="120" t="s">
        <v>768</v>
      </c>
      <c r="F367" s="121" t="s">
        <v>769</v>
      </c>
      <c r="G367" s="122" t="s">
        <v>243</v>
      </c>
      <c r="H367" s="206">
        <v>1</v>
      </c>
      <c r="I367" s="124">
        <v>2554.1999999999998</v>
      </c>
      <c r="J367" s="124">
        <f t="shared" si="69"/>
        <v>2554.1999999999998</v>
      </c>
      <c r="K367" s="121" t="s">
        <v>1</v>
      </c>
      <c r="L367" s="24"/>
      <c r="M367" s="125" t="s">
        <v>1</v>
      </c>
      <c r="N367" s="126" t="s">
        <v>32</v>
      </c>
      <c r="O367" s="127">
        <v>0</v>
      </c>
      <c r="P367" s="127">
        <f t="shared" si="70"/>
        <v>0</v>
      </c>
      <c r="Q367" s="127">
        <v>0</v>
      </c>
      <c r="R367" s="127">
        <f t="shared" si="71"/>
        <v>0</v>
      </c>
      <c r="S367" s="127">
        <v>0</v>
      </c>
      <c r="T367" s="128">
        <f t="shared" si="72"/>
        <v>0</v>
      </c>
      <c r="W367" s="199"/>
      <c r="X367" s="205" t="s">
        <v>497</v>
      </c>
      <c r="Y367" s="119" t="s">
        <v>231</v>
      </c>
      <c r="Z367" s="120" t="s">
        <v>768</v>
      </c>
      <c r="AA367" s="121" t="s">
        <v>769</v>
      </c>
      <c r="AB367" s="122" t="s">
        <v>243</v>
      </c>
      <c r="AC367" s="206">
        <f>1-1</f>
        <v>0</v>
      </c>
      <c r="AD367" s="124">
        <v>2554.1999999999998</v>
      </c>
      <c r="AE367" s="200">
        <f t="shared" si="73"/>
        <v>0</v>
      </c>
      <c r="AF367" s="956">
        <v>20</v>
      </c>
      <c r="AG367" s="407"/>
      <c r="AR367" s="129" t="s">
        <v>258</v>
      </c>
      <c r="AT367" s="129" t="s">
        <v>231</v>
      </c>
      <c r="AU367" s="129" t="s">
        <v>76</v>
      </c>
      <c r="AY367" s="13" t="s">
        <v>228</v>
      </c>
      <c r="BE367" s="130">
        <f t="shared" si="74"/>
        <v>0</v>
      </c>
      <c r="BF367" s="130">
        <f t="shared" si="75"/>
        <v>2554.1999999999998</v>
      </c>
      <c r="BG367" s="130">
        <f t="shared" si="76"/>
        <v>0</v>
      </c>
      <c r="BH367" s="130">
        <f t="shared" si="77"/>
        <v>0</v>
      </c>
      <c r="BI367" s="130">
        <f t="shared" si="78"/>
        <v>0</v>
      </c>
      <c r="BJ367" s="13" t="s">
        <v>76</v>
      </c>
      <c r="BK367" s="130">
        <f t="shared" si="79"/>
        <v>2554.1999999999998</v>
      </c>
      <c r="BL367" s="13" t="s">
        <v>258</v>
      </c>
      <c r="BM367" s="129" t="s">
        <v>770</v>
      </c>
    </row>
    <row r="368" spans="2:65" s="676" customFormat="1" ht="29.55" customHeight="1" x14ac:dyDescent="0.2">
      <c r="B368" s="118"/>
      <c r="C368" s="1234" t="s">
        <v>5205</v>
      </c>
      <c r="D368" s="1235"/>
      <c r="E368" s="1235"/>
      <c r="F368" s="1235"/>
      <c r="G368" s="1235"/>
      <c r="H368" s="1235"/>
      <c r="I368" s="1235"/>
      <c r="J368" s="1236"/>
      <c r="K368" s="121"/>
      <c r="L368" s="24"/>
      <c r="M368" s="125"/>
      <c r="N368" s="126"/>
      <c r="O368" s="127"/>
      <c r="P368" s="127"/>
      <c r="Q368" s="127"/>
      <c r="R368" s="127"/>
      <c r="S368" s="127"/>
      <c r="T368" s="128"/>
      <c r="W368" s="199"/>
      <c r="X368" s="207" t="s">
        <v>6495</v>
      </c>
      <c r="Y368" s="207" t="s">
        <v>231</v>
      </c>
      <c r="Z368" s="342" t="s">
        <v>6493</v>
      </c>
      <c r="AA368" s="343" t="s">
        <v>6494</v>
      </c>
      <c r="AB368" s="344" t="s">
        <v>243</v>
      </c>
      <c r="AC368" s="345">
        <v>1</v>
      </c>
      <c r="AD368" s="346">
        <v>3500</v>
      </c>
      <c r="AE368" s="355">
        <f>ROUND(AD368*AC368,2)</f>
        <v>3500</v>
      </c>
      <c r="AF368" s="956">
        <v>20</v>
      </c>
      <c r="AG368" s="407"/>
      <c r="AR368" s="129"/>
      <c r="AT368" s="129"/>
      <c r="AU368" s="129"/>
      <c r="AY368" s="13"/>
      <c r="BE368" s="130"/>
      <c r="BF368" s="130"/>
      <c r="BG368" s="130"/>
      <c r="BH368" s="130"/>
      <c r="BI368" s="130"/>
      <c r="BJ368" s="13"/>
      <c r="BK368" s="130"/>
      <c r="BL368" s="13"/>
      <c r="BM368" s="129"/>
    </row>
    <row r="369" spans="2:65" s="676" customFormat="1" ht="29.55" customHeight="1" x14ac:dyDescent="0.2">
      <c r="B369" s="118"/>
      <c r="C369" s="1234" t="s">
        <v>5205</v>
      </c>
      <c r="D369" s="1235"/>
      <c r="E369" s="1235"/>
      <c r="F369" s="1235"/>
      <c r="G369" s="1235"/>
      <c r="H369" s="1235"/>
      <c r="I369" s="1235"/>
      <c r="J369" s="1236"/>
      <c r="K369" s="121"/>
      <c r="L369" s="24"/>
      <c r="M369" s="125"/>
      <c r="N369" s="126"/>
      <c r="O369" s="127"/>
      <c r="P369" s="127"/>
      <c r="Q369" s="127"/>
      <c r="R369" s="127"/>
      <c r="S369" s="127"/>
      <c r="T369" s="128"/>
      <c r="W369" s="199"/>
      <c r="X369" s="207" t="s">
        <v>6498</v>
      </c>
      <c r="Y369" s="207" t="s">
        <v>231</v>
      </c>
      <c r="Z369" s="342" t="s">
        <v>6496</v>
      </c>
      <c r="AA369" s="343" t="s">
        <v>6497</v>
      </c>
      <c r="AB369" s="344" t="s">
        <v>243</v>
      </c>
      <c r="AC369" s="345">
        <v>1</v>
      </c>
      <c r="AD369" s="346">
        <v>6492</v>
      </c>
      <c r="AE369" s="355">
        <f>ROUND(AD369*AC369,2)</f>
        <v>6492</v>
      </c>
      <c r="AF369" s="956">
        <v>20</v>
      </c>
      <c r="AG369" s="407"/>
      <c r="AR369" s="129"/>
      <c r="AT369" s="129"/>
      <c r="AU369" s="129"/>
      <c r="AY369" s="13"/>
      <c r="BE369" s="130"/>
      <c r="BF369" s="130"/>
      <c r="BG369" s="130"/>
      <c r="BH369" s="130"/>
      <c r="BI369" s="130"/>
      <c r="BJ369" s="13"/>
      <c r="BK369" s="130"/>
      <c r="BL369" s="13"/>
      <c r="BM369" s="129"/>
    </row>
    <row r="370" spans="2:65" s="676" customFormat="1" ht="29.55" customHeight="1" x14ac:dyDescent="0.2">
      <c r="B370" s="118"/>
      <c r="C370" s="1234" t="s">
        <v>5205</v>
      </c>
      <c r="D370" s="1235"/>
      <c r="E370" s="1235"/>
      <c r="F370" s="1235"/>
      <c r="G370" s="1235"/>
      <c r="H370" s="1235"/>
      <c r="I370" s="1235"/>
      <c r="J370" s="1236"/>
      <c r="K370" s="121"/>
      <c r="L370" s="24"/>
      <c r="M370" s="125"/>
      <c r="N370" s="126"/>
      <c r="O370" s="127"/>
      <c r="P370" s="127"/>
      <c r="Q370" s="127"/>
      <c r="R370" s="127"/>
      <c r="S370" s="127"/>
      <c r="T370" s="128"/>
      <c r="W370" s="199"/>
      <c r="X370" s="207" t="s">
        <v>6501</v>
      </c>
      <c r="Y370" s="207" t="s">
        <v>231</v>
      </c>
      <c r="Z370" s="342" t="s">
        <v>6499</v>
      </c>
      <c r="AA370" s="343" t="s">
        <v>6500</v>
      </c>
      <c r="AB370" s="344" t="s">
        <v>243</v>
      </c>
      <c r="AC370" s="345">
        <v>1</v>
      </c>
      <c r="AD370" s="346">
        <v>4433.75</v>
      </c>
      <c r="AE370" s="355">
        <f>ROUND(AD370*AC370,2)</f>
        <v>4433.75</v>
      </c>
      <c r="AF370" s="956">
        <v>20</v>
      </c>
      <c r="AG370" s="407"/>
      <c r="AR370" s="129"/>
      <c r="AT370" s="129"/>
      <c r="AU370" s="129"/>
      <c r="AY370" s="13"/>
      <c r="BE370" s="130"/>
      <c r="BF370" s="130"/>
      <c r="BG370" s="130"/>
      <c r="BH370" s="130"/>
      <c r="BI370" s="130"/>
      <c r="BJ370" s="13"/>
      <c r="BK370" s="130"/>
      <c r="BL370" s="13"/>
      <c r="BM370" s="129"/>
    </row>
    <row r="371" spans="2:65" s="676" customFormat="1" ht="29.55" customHeight="1" x14ac:dyDescent="0.2">
      <c r="B371" s="118"/>
      <c r="C371" s="1234" t="s">
        <v>5205</v>
      </c>
      <c r="D371" s="1235"/>
      <c r="E371" s="1235"/>
      <c r="F371" s="1235"/>
      <c r="G371" s="1235"/>
      <c r="H371" s="1235"/>
      <c r="I371" s="1235"/>
      <c r="J371" s="1236"/>
      <c r="K371" s="121"/>
      <c r="L371" s="24"/>
      <c r="M371" s="125"/>
      <c r="N371" s="126"/>
      <c r="O371" s="127"/>
      <c r="P371" s="127"/>
      <c r="Q371" s="127"/>
      <c r="R371" s="127"/>
      <c r="S371" s="127"/>
      <c r="T371" s="128"/>
      <c r="W371" s="199"/>
      <c r="X371" s="207" t="s">
        <v>6504</v>
      </c>
      <c r="Y371" s="207" t="s">
        <v>231</v>
      </c>
      <c r="Z371" s="342" t="s">
        <v>6502</v>
      </c>
      <c r="AA371" s="343" t="s">
        <v>6503</v>
      </c>
      <c r="AB371" s="344" t="s">
        <v>243</v>
      </c>
      <c r="AC371" s="345">
        <v>1</v>
      </c>
      <c r="AD371" s="346">
        <v>1038</v>
      </c>
      <c r="AE371" s="355">
        <f>ROUND(AD371*AC371,2)</f>
        <v>1038</v>
      </c>
      <c r="AF371" s="956">
        <v>20</v>
      </c>
      <c r="AG371" s="407"/>
      <c r="AR371" s="129"/>
      <c r="AT371" s="129"/>
      <c r="AU371" s="129"/>
      <c r="AY371" s="13"/>
      <c r="BE371" s="130"/>
      <c r="BF371" s="130"/>
      <c r="BG371" s="130"/>
      <c r="BH371" s="130"/>
      <c r="BI371" s="130"/>
      <c r="BJ371" s="13"/>
      <c r="BK371" s="130"/>
      <c r="BL371" s="13"/>
      <c r="BM371" s="129"/>
    </row>
    <row r="372" spans="2:65" s="1" customFormat="1" ht="24" customHeight="1" x14ac:dyDescent="0.2">
      <c r="B372" s="118"/>
      <c r="C372" s="119" t="s">
        <v>771</v>
      </c>
      <c r="D372" s="119" t="s">
        <v>231</v>
      </c>
      <c r="E372" s="120" t="s">
        <v>772</v>
      </c>
      <c r="F372" s="121" t="s">
        <v>773</v>
      </c>
      <c r="G372" s="122" t="s">
        <v>292</v>
      </c>
      <c r="H372" s="123">
        <v>180</v>
      </c>
      <c r="I372" s="124">
        <v>58.05</v>
      </c>
      <c r="J372" s="124">
        <f t="shared" si="69"/>
        <v>10449</v>
      </c>
      <c r="K372" s="121" t="s">
        <v>1</v>
      </c>
      <c r="L372" s="24"/>
      <c r="M372" s="125" t="s">
        <v>1</v>
      </c>
      <c r="N372" s="126" t="s">
        <v>32</v>
      </c>
      <c r="O372" s="127">
        <v>0</v>
      </c>
      <c r="P372" s="127">
        <f t="shared" si="70"/>
        <v>0</v>
      </c>
      <c r="Q372" s="127">
        <v>0</v>
      </c>
      <c r="R372" s="127">
        <f t="shared" si="71"/>
        <v>0</v>
      </c>
      <c r="S372" s="127">
        <v>0</v>
      </c>
      <c r="T372" s="128">
        <f t="shared" si="72"/>
        <v>0</v>
      </c>
      <c r="W372" s="199"/>
      <c r="X372" s="119" t="s">
        <v>771</v>
      </c>
      <c r="Y372" s="119" t="s">
        <v>231</v>
      </c>
      <c r="Z372" s="120" t="s">
        <v>772</v>
      </c>
      <c r="AA372" s="121" t="s">
        <v>773</v>
      </c>
      <c r="AB372" s="122" t="s">
        <v>292</v>
      </c>
      <c r="AC372" s="123">
        <v>180</v>
      </c>
      <c r="AD372" s="124">
        <v>58.05</v>
      </c>
      <c r="AE372" s="200">
        <f t="shared" si="73"/>
        <v>10449</v>
      </c>
      <c r="AF372" s="956"/>
      <c r="AG372" s="407"/>
      <c r="AR372" s="129" t="s">
        <v>258</v>
      </c>
      <c r="AT372" s="129" t="s">
        <v>231</v>
      </c>
      <c r="AU372" s="129" t="s">
        <v>76</v>
      </c>
      <c r="AY372" s="13" t="s">
        <v>228</v>
      </c>
      <c r="BE372" s="130">
        <f t="shared" si="74"/>
        <v>0</v>
      </c>
      <c r="BF372" s="130">
        <f t="shared" si="75"/>
        <v>10449</v>
      </c>
      <c r="BG372" s="130">
        <f t="shared" si="76"/>
        <v>0</v>
      </c>
      <c r="BH372" s="130">
        <f t="shared" si="77"/>
        <v>0</v>
      </c>
      <c r="BI372" s="130">
        <f t="shared" si="78"/>
        <v>0</v>
      </c>
      <c r="BJ372" s="13" t="s">
        <v>76</v>
      </c>
      <c r="BK372" s="130">
        <f t="shared" si="79"/>
        <v>10449</v>
      </c>
      <c r="BL372" s="13" t="s">
        <v>258</v>
      </c>
      <c r="BM372" s="129" t="s">
        <v>774</v>
      </c>
    </row>
    <row r="373" spans="2:65" s="1" customFormat="1" ht="16.5" customHeight="1" x14ac:dyDescent="0.2">
      <c r="B373" s="118"/>
      <c r="C373" s="119" t="s">
        <v>500</v>
      </c>
      <c r="D373" s="119" t="s">
        <v>231</v>
      </c>
      <c r="E373" s="120" t="s">
        <v>775</v>
      </c>
      <c r="F373" s="121" t="s">
        <v>776</v>
      </c>
      <c r="G373" s="122" t="s">
        <v>292</v>
      </c>
      <c r="H373" s="123">
        <v>180</v>
      </c>
      <c r="I373" s="124">
        <v>29.03</v>
      </c>
      <c r="J373" s="124">
        <f t="shared" si="69"/>
        <v>5225.3999999999996</v>
      </c>
      <c r="K373" s="121" t="s">
        <v>1</v>
      </c>
      <c r="L373" s="24"/>
      <c r="M373" s="125" t="s">
        <v>1</v>
      </c>
      <c r="N373" s="126" t="s">
        <v>32</v>
      </c>
      <c r="O373" s="127">
        <v>0</v>
      </c>
      <c r="P373" s="127">
        <f t="shared" si="70"/>
        <v>0</v>
      </c>
      <c r="Q373" s="127">
        <v>0</v>
      </c>
      <c r="R373" s="127">
        <f t="shared" si="71"/>
        <v>0</v>
      </c>
      <c r="S373" s="127">
        <v>0</v>
      </c>
      <c r="T373" s="128">
        <f t="shared" si="72"/>
        <v>0</v>
      </c>
      <c r="W373" s="199"/>
      <c r="X373" s="119" t="s">
        <v>500</v>
      </c>
      <c r="Y373" s="119" t="s">
        <v>231</v>
      </c>
      <c r="Z373" s="120" t="s">
        <v>775</v>
      </c>
      <c r="AA373" s="121" t="s">
        <v>776</v>
      </c>
      <c r="AB373" s="122" t="s">
        <v>292</v>
      </c>
      <c r="AC373" s="123">
        <v>180</v>
      </c>
      <c r="AD373" s="124">
        <v>29.03</v>
      </c>
      <c r="AE373" s="200">
        <f t="shared" si="73"/>
        <v>5225.3999999999996</v>
      </c>
      <c r="AF373" s="956"/>
      <c r="AG373" s="407"/>
      <c r="AR373" s="129" t="s">
        <v>258</v>
      </c>
      <c r="AT373" s="129" t="s">
        <v>231</v>
      </c>
      <c r="AU373" s="129" t="s">
        <v>76</v>
      </c>
      <c r="AY373" s="13" t="s">
        <v>228</v>
      </c>
      <c r="BE373" s="130">
        <f t="shared" si="74"/>
        <v>0</v>
      </c>
      <c r="BF373" s="130">
        <f t="shared" si="75"/>
        <v>5225.3999999999996</v>
      </c>
      <c r="BG373" s="130">
        <f t="shared" si="76"/>
        <v>0</v>
      </c>
      <c r="BH373" s="130">
        <f t="shared" si="77"/>
        <v>0</v>
      </c>
      <c r="BI373" s="130">
        <f t="shared" si="78"/>
        <v>0</v>
      </c>
      <c r="BJ373" s="13" t="s">
        <v>76</v>
      </c>
      <c r="BK373" s="130">
        <f t="shared" si="79"/>
        <v>5225.3999999999996</v>
      </c>
      <c r="BL373" s="13" t="s">
        <v>258</v>
      </c>
      <c r="BM373" s="129" t="s">
        <v>777</v>
      </c>
    </row>
    <row r="374" spans="2:65" s="1" customFormat="1" ht="24" customHeight="1" x14ac:dyDescent="0.2">
      <c r="B374" s="118"/>
      <c r="C374" s="119" t="s">
        <v>778</v>
      </c>
      <c r="D374" s="119" t="s">
        <v>231</v>
      </c>
      <c r="E374" s="120" t="s">
        <v>779</v>
      </c>
      <c r="F374" s="121" t="s">
        <v>780</v>
      </c>
      <c r="G374" s="122" t="s">
        <v>292</v>
      </c>
      <c r="H374" s="123">
        <v>149</v>
      </c>
      <c r="I374" s="124">
        <v>29.03</v>
      </c>
      <c r="J374" s="124">
        <f t="shared" si="69"/>
        <v>4325.47</v>
      </c>
      <c r="K374" s="121" t="s">
        <v>1</v>
      </c>
      <c r="L374" s="24"/>
      <c r="M374" s="125" t="s">
        <v>1</v>
      </c>
      <c r="N374" s="126" t="s">
        <v>32</v>
      </c>
      <c r="O374" s="127">
        <v>0</v>
      </c>
      <c r="P374" s="127">
        <f t="shared" si="70"/>
        <v>0</v>
      </c>
      <c r="Q374" s="127">
        <v>0</v>
      </c>
      <c r="R374" s="127">
        <f t="shared" si="71"/>
        <v>0</v>
      </c>
      <c r="S374" s="127">
        <v>0</v>
      </c>
      <c r="T374" s="128">
        <f t="shared" si="72"/>
        <v>0</v>
      </c>
      <c r="W374" s="199"/>
      <c r="X374" s="119" t="s">
        <v>778</v>
      </c>
      <c r="Y374" s="119" t="s">
        <v>231</v>
      </c>
      <c r="Z374" s="120" t="s">
        <v>779</v>
      </c>
      <c r="AA374" s="121" t="s">
        <v>780</v>
      </c>
      <c r="AB374" s="122" t="s">
        <v>292</v>
      </c>
      <c r="AC374" s="123">
        <v>149</v>
      </c>
      <c r="AD374" s="124">
        <v>29.03</v>
      </c>
      <c r="AE374" s="200">
        <f t="shared" si="73"/>
        <v>4325.47</v>
      </c>
      <c r="AF374" s="956"/>
      <c r="AG374" s="407"/>
      <c r="AR374" s="129" t="s">
        <v>258</v>
      </c>
      <c r="AT374" s="129" t="s">
        <v>231</v>
      </c>
      <c r="AU374" s="129" t="s">
        <v>76</v>
      </c>
      <c r="AY374" s="13" t="s">
        <v>228</v>
      </c>
      <c r="BE374" s="130">
        <f t="shared" si="74"/>
        <v>0</v>
      </c>
      <c r="BF374" s="130">
        <f t="shared" si="75"/>
        <v>4325.47</v>
      </c>
      <c r="BG374" s="130">
        <f t="shared" si="76"/>
        <v>0</v>
      </c>
      <c r="BH374" s="130">
        <f t="shared" si="77"/>
        <v>0</v>
      </c>
      <c r="BI374" s="130">
        <f t="shared" si="78"/>
        <v>0</v>
      </c>
      <c r="BJ374" s="13" t="s">
        <v>76</v>
      </c>
      <c r="BK374" s="130">
        <f t="shared" si="79"/>
        <v>4325.47</v>
      </c>
      <c r="BL374" s="13" t="s">
        <v>258</v>
      </c>
      <c r="BM374" s="129" t="s">
        <v>781</v>
      </c>
    </row>
    <row r="375" spans="2:65" s="648" customFormat="1" ht="24" customHeight="1" x14ac:dyDescent="0.2">
      <c r="B375" s="118"/>
      <c r="C375" s="1234" t="s">
        <v>5205</v>
      </c>
      <c r="D375" s="1235"/>
      <c r="E375" s="1235"/>
      <c r="F375" s="1235"/>
      <c r="G375" s="1235"/>
      <c r="H375" s="1235"/>
      <c r="I375" s="1235"/>
      <c r="J375" s="1236"/>
      <c r="K375" s="121"/>
      <c r="L375" s="24"/>
      <c r="M375" s="125"/>
      <c r="N375" s="126"/>
      <c r="O375" s="127"/>
      <c r="P375" s="127"/>
      <c r="Q375" s="127"/>
      <c r="R375" s="127"/>
      <c r="S375" s="127"/>
      <c r="T375" s="128"/>
      <c r="W375" s="199"/>
      <c r="X375" s="207" t="s">
        <v>6369</v>
      </c>
      <c r="Y375" s="207" t="s">
        <v>231</v>
      </c>
      <c r="Z375" s="342" t="s">
        <v>6365</v>
      </c>
      <c r="AA375" s="343" t="s">
        <v>6366</v>
      </c>
      <c r="AB375" s="344" t="s">
        <v>1035</v>
      </c>
      <c r="AC375" s="345">
        <v>2570.6</v>
      </c>
      <c r="AD375" s="346">
        <v>1.61</v>
      </c>
      <c r="AE375" s="355">
        <f>AC375*AD375</f>
        <v>4138.6660000000002</v>
      </c>
      <c r="AF375" s="956">
        <v>14</v>
      </c>
      <c r="AG375" s="407"/>
      <c r="AR375" s="129"/>
      <c r="AT375" s="129"/>
      <c r="AU375" s="129"/>
      <c r="AY375" s="13"/>
      <c r="BE375" s="130"/>
      <c r="BF375" s="130"/>
      <c r="BG375" s="130"/>
      <c r="BH375" s="130"/>
      <c r="BI375" s="130"/>
      <c r="BJ375" s="13"/>
      <c r="BK375" s="130"/>
      <c r="BL375" s="13"/>
      <c r="BM375" s="129"/>
    </row>
    <row r="376" spans="2:65" s="648" customFormat="1" ht="24" customHeight="1" x14ac:dyDescent="0.2">
      <c r="B376" s="118"/>
      <c r="C376" s="1234" t="s">
        <v>5205</v>
      </c>
      <c r="D376" s="1235"/>
      <c r="E376" s="1235"/>
      <c r="F376" s="1235"/>
      <c r="G376" s="1235"/>
      <c r="H376" s="1235"/>
      <c r="I376" s="1235"/>
      <c r="J376" s="1236"/>
      <c r="K376" s="121"/>
      <c r="L376" s="24"/>
      <c r="M376" s="125"/>
      <c r="N376" s="126"/>
      <c r="O376" s="127"/>
      <c r="P376" s="127"/>
      <c r="Q376" s="127"/>
      <c r="R376" s="127"/>
      <c r="S376" s="127"/>
      <c r="T376" s="128"/>
      <c r="W376" s="199"/>
      <c r="X376" s="1127" t="s">
        <v>6370</v>
      </c>
      <c r="Y376" s="1127" t="s">
        <v>277</v>
      </c>
      <c r="Z376" s="642" t="s">
        <v>6367</v>
      </c>
      <c r="AA376" s="643" t="s">
        <v>6368</v>
      </c>
      <c r="AB376" s="644" t="s">
        <v>1035</v>
      </c>
      <c r="AC376" s="645">
        <v>2570.6</v>
      </c>
      <c r="AD376" s="646">
        <v>2.59</v>
      </c>
      <c r="AE376" s="1128">
        <f>AC376*AD376</f>
        <v>6657.8539999999994</v>
      </c>
      <c r="AF376" s="956">
        <v>14</v>
      </c>
      <c r="AG376" s="407"/>
      <c r="AR376" s="129"/>
      <c r="AT376" s="129"/>
      <c r="AU376" s="129"/>
      <c r="AY376" s="13"/>
      <c r="BE376" s="130"/>
      <c r="BF376" s="130"/>
      <c r="BG376" s="130"/>
      <c r="BH376" s="130"/>
      <c r="BI376" s="130"/>
      <c r="BJ376" s="13"/>
      <c r="BK376" s="130"/>
      <c r="BL376" s="13"/>
      <c r="BM376" s="129"/>
    </row>
    <row r="377" spans="2:65" s="1" customFormat="1" ht="24" customHeight="1" x14ac:dyDescent="0.2">
      <c r="B377" s="118"/>
      <c r="C377" s="205" t="s">
        <v>504</v>
      </c>
      <c r="D377" s="119" t="s">
        <v>231</v>
      </c>
      <c r="E377" s="120" t="s">
        <v>782</v>
      </c>
      <c r="F377" s="121" t="s">
        <v>783</v>
      </c>
      <c r="G377" s="122" t="s">
        <v>570</v>
      </c>
      <c r="H377" s="206">
        <v>592.87199999999996</v>
      </c>
      <c r="I377" s="124">
        <v>1.04</v>
      </c>
      <c r="J377" s="124">
        <f t="shared" si="69"/>
        <v>616.59</v>
      </c>
      <c r="K377" s="121" t="s">
        <v>1</v>
      </c>
      <c r="L377" s="24"/>
      <c r="M377" s="125" t="s">
        <v>1</v>
      </c>
      <c r="N377" s="126" t="s">
        <v>32</v>
      </c>
      <c r="O377" s="127">
        <v>0</v>
      </c>
      <c r="P377" s="127">
        <f t="shared" si="70"/>
        <v>0</v>
      </c>
      <c r="Q377" s="127">
        <v>0</v>
      </c>
      <c r="R377" s="127">
        <f t="shared" si="71"/>
        <v>0</v>
      </c>
      <c r="S377" s="127">
        <v>0</v>
      </c>
      <c r="T377" s="128">
        <f t="shared" si="72"/>
        <v>0</v>
      </c>
      <c r="W377" s="199"/>
      <c r="X377" s="205" t="s">
        <v>504</v>
      </c>
      <c r="Y377" s="119" t="s">
        <v>231</v>
      </c>
      <c r="Z377" s="120" t="s">
        <v>782</v>
      </c>
      <c r="AA377" s="121" t="s">
        <v>783</v>
      </c>
      <c r="AB377" s="122" t="s">
        <v>570</v>
      </c>
      <c r="AC377" s="206">
        <f>592.872+59.223+112.643+204.69+59.811</f>
        <v>1029.2389999999998</v>
      </c>
      <c r="AD377" s="124">
        <v>1.04</v>
      </c>
      <c r="AE377" s="200">
        <f t="shared" si="73"/>
        <v>1070.4100000000001</v>
      </c>
      <c r="AF377" s="956" t="s">
        <v>6667</v>
      </c>
      <c r="AG377" s="407"/>
      <c r="AR377" s="129" t="s">
        <v>258</v>
      </c>
      <c r="AT377" s="129" t="s">
        <v>231</v>
      </c>
      <c r="AU377" s="129" t="s">
        <v>76</v>
      </c>
      <c r="AY377" s="13" t="s">
        <v>228</v>
      </c>
      <c r="BE377" s="130">
        <f t="shared" si="74"/>
        <v>0</v>
      </c>
      <c r="BF377" s="130">
        <f t="shared" si="75"/>
        <v>616.59</v>
      </c>
      <c r="BG377" s="130">
        <f t="shared" si="76"/>
        <v>0</v>
      </c>
      <c r="BH377" s="130">
        <f t="shared" si="77"/>
        <v>0</v>
      </c>
      <c r="BI377" s="130">
        <f t="shared" si="78"/>
        <v>0</v>
      </c>
      <c r="BJ377" s="13" t="s">
        <v>76</v>
      </c>
      <c r="BK377" s="130">
        <f t="shared" si="79"/>
        <v>616.59</v>
      </c>
      <c r="BL377" s="13" t="s">
        <v>258</v>
      </c>
      <c r="BM377" s="129" t="s">
        <v>784</v>
      </c>
    </row>
    <row r="378" spans="2:65" s="11" customFormat="1" ht="22.95" customHeight="1" x14ac:dyDescent="0.25">
      <c r="B378" s="106"/>
      <c r="D378" s="107" t="s">
        <v>57</v>
      </c>
      <c r="E378" s="116" t="s">
        <v>785</v>
      </c>
      <c r="F378" s="116" t="s">
        <v>786</v>
      </c>
      <c r="J378" s="117">
        <f>BK378</f>
        <v>10711.71</v>
      </c>
      <c r="L378" s="106"/>
      <c r="M378" s="110"/>
      <c r="N378" s="111"/>
      <c r="O378" s="111"/>
      <c r="P378" s="112">
        <f>SUM(P379:P388)</f>
        <v>108.21723999999999</v>
      </c>
      <c r="Q378" s="111"/>
      <c r="R378" s="112">
        <f>SUM(R379:R388)</f>
        <v>0.69430759999999991</v>
      </c>
      <c r="S378" s="111"/>
      <c r="T378" s="113">
        <f>SUM(T379:T388)</f>
        <v>0</v>
      </c>
      <c r="W378" s="195"/>
      <c r="X378" s="111"/>
      <c r="Y378" s="196" t="s">
        <v>57</v>
      </c>
      <c r="Z378" s="201" t="s">
        <v>785</v>
      </c>
      <c r="AA378" s="201" t="s">
        <v>786</v>
      </c>
      <c r="AB378" s="111"/>
      <c r="AC378" s="111"/>
      <c r="AD378" s="111"/>
      <c r="AE378" s="202">
        <f>SUM(AE379:AE388)</f>
        <v>12958.94</v>
      </c>
      <c r="AF378" s="956"/>
      <c r="AG378" s="292"/>
      <c r="AR378" s="107" t="s">
        <v>76</v>
      </c>
      <c r="AT378" s="114" t="s">
        <v>57</v>
      </c>
      <c r="AU378" s="114" t="s">
        <v>63</v>
      </c>
      <c r="AY378" s="107" t="s">
        <v>228</v>
      </c>
      <c r="BK378" s="115">
        <f>SUM(BK379:BK388)</f>
        <v>10711.71</v>
      </c>
    </row>
    <row r="379" spans="2:65" s="1" customFormat="1" ht="24" customHeight="1" x14ac:dyDescent="0.2">
      <c r="B379" s="118"/>
      <c r="C379" s="119" t="s">
        <v>787</v>
      </c>
      <c r="D379" s="119" t="s">
        <v>231</v>
      </c>
      <c r="E379" s="120" t="s">
        <v>788</v>
      </c>
      <c r="F379" s="121" t="s">
        <v>789</v>
      </c>
      <c r="G379" s="122" t="s">
        <v>292</v>
      </c>
      <c r="H379" s="123">
        <v>1.9</v>
      </c>
      <c r="I379" s="124">
        <v>23.22</v>
      </c>
      <c r="J379" s="124">
        <f t="shared" ref="J379:J388" si="80">ROUND(I379*H379,2)</f>
        <v>44.12</v>
      </c>
      <c r="K379" s="121" t="s">
        <v>1</v>
      </c>
      <c r="L379" s="24"/>
      <c r="M379" s="125" t="s">
        <v>1</v>
      </c>
      <c r="N379" s="126" t="s">
        <v>32</v>
      </c>
      <c r="O379" s="127">
        <v>0</v>
      </c>
      <c r="P379" s="127">
        <f t="shared" ref="P379:P388" si="81">O379*H379</f>
        <v>0</v>
      </c>
      <c r="Q379" s="127">
        <v>0</v>
      </c>
      <c r="R379" s="127">
        <f t="shared" ref="R379:R388" si="82">Q379*H379</f>
        <v>0</v>
      </c>
      <c r="S379" s="127">
        <v>0</v>
      </c>
      <c r="T379" s="128">
        <f t="shared" ref="T379:T388" si="83">S379*H379</f>
        <v>0</v>
      </c>
      <c r="W379" s="199"/>
      <c r="X379" s="119" t="s">
        <v>787</v>
      </c>
      <c r="Y379" s="119" t="s">
        <v>231</v>
      </c>
      <c r="Z379" s="120" t="s">
        <v>788</v>
      </c>
      <c r="AA379" s="121" t="s">
        <v>789</v>
      </c>
      <c r="AB379" s="122" t="s">
        <v>292</v>
      </c>
      <c r="AC379" s="123">
        <v>1.9</v>
      </c>
      <c r="AD379" s="124">
        <v>23.22</v>
      </c>
      <c r="AE379" s="200">
        <f t="shared" ref="AE379:AE388" si="84">ROUND(AD379*AC379,2)</f>
        <v>44.12</v>
      </c>
      <c r="AF379" s="956"/>
      <c r="AG379" s="407"/>
      <c r="AR379" s="129" t="s">
        <v>258</v>
      </c>
      <c r="AT379" s="129" t="s">
        <v>231</v>
      </c>
      <c r="AU379" s="129" t="s">
        <v>76</v>
      </c>
      <c r="AY379" s="13" t="s">
        <v>228</v>
      </c>
      <c r="BE379" s="130">
        <f t="shared" ref="BE379:BE388" si="85">IF(N379="základná",J379,0)</f>
        <v>0</v>
      </c>
      <c r="BF379" s="130">
        <f t="shared" ref="BF379:BF388" si="86">IF(N379="znížená",J379,0)</f>
        <v>44.12</v>
      </c>
      <c r="BG379" s="130">
        <f t="shared" ref="BG379:BG388" si="87">IF(N379="zákl. prenesená",J379,0)</f>
        <v>0</v>
      </c>
      <c r="BH379" s="130">
        <f t="shared" ref="BH379:BH388" si="88">IF(N379="zníž. prenesená",J379,0)</f>
        <v>0</v>
      </c>
      <c r="BI379" s="130">
        <f t="shared" ref="BI379:BI388" si="89">IF(N379="nulová",J379,0)</f>
        <v>0</v>
      </c>
      <c r="BJ379" s="13" t="s">
        <v>76</v>
      </c>
      <c r="BK379" s="130">
        <f t="shared" ref="BK379:BK388" si="90">ROUND(I379*H379,2)</f>
        <v>44.12</v>
      </c>
      <c r="BL379" s="13" t="s">
        <v>258</v>
      </c>
      <c r="BM379" s="129" t="s">
        <v>790</v>
      </c>
    </row>
    <row r="380" spans="2:65" s="1" customFormat="1" ht="22.2" customHeight="1" x14ac:dyDescent="0.2">
      <c r="B380" s="118"/>
      <c r="C380" s="119" t="s">
        <v>507</v>
      </c>
      <c r="D380" s="119" t="s">
        <v>231</v>
      </c>
      <c r="E380" s="120" t="s">
        <v>791</v>
      </c>
      <c r="F380" s="121" t="s">
        <v>792</v>
      </c>
      <c r="G380" s="122" t="s">
        <v>292</v>
      </c>
      <c r="H380" s="123">
        <v>64.2</v>
      </c>
      <c r="I380" s="124">
        <v>0.93</v>
      </c>
      <c r="J380" s="124">
        <f t="shared" si="80"/>
        <v>59.71</v>
      </c>
      <c r="K380" s="121" t="s">
        <v>1</v>
      </c>
      <c r="L380" s="24"/>
      <c r="M380" s="125" t="s">
        <v>1</v>
      </c>
      <c r="N380" s="126" t="s">
        <v>32</v>
      </c>
      <c r="O380" s="127">
        <v>0</v>
      </c>
      <c r="P380" s="127">
        <f t="shared" si="81"/>
        <v>0</v>
      </c>
      <c r="Q380" s="127">
        <v>0</v>
      </c>
      <c r="R380" s="127">
        <f t="shared" si="82"/>
        <v>0</v>
      </c>
      <c r="S380" s="127">
        <v>0</v>
      </c>
      <c r="T380" s="128">
        <f t="shared" si="83"/>
        <v>0</v>
      </c>
      <c r="W380" s="199"/>
      <c r="X380" s="119" t="s">
        <v>507</v>
      </c>
      <c r="Y380" s="119" t="s">
        <v>231</v>
      </c>
      <c r="Z380" s="120" t="s">
        <v>791</v>
      </c>
      <c r="AA380" s="121" t="s">
        <v>792</v>
      </c>
      <c r="AB380" s="122" t="s">
        <v>292</v>
      </c>
      <c r="AC380" s="123">
        <v>64.2</v>
      </c>
      <c r="AD380" s="124">
        <v>0.93</v>
      </c>
      <c r="AE380" s="200">
        <f t="shared" si="84"/>
        <v>59.71</v>
      </c>
      <c r="AF380" s="956"/>
      <c r="AG380" s="407"/>
      <c r="AR380" s="129" t="s">
        <v>258</v>
      </c>
      <c r="AT380" s="129" t="s">
        <v>231</v>
      </c>
      <c r="AU380" s="129" t="s">
        <v>76</v>
      </c>
      <c r="AY380" s="13" t="s">
        <v>228</v>
      </c>
      <c r="BE380" s="130">
        <f t="shared" si="85"/>
        <v>0</v>
      </c>
      <c r="BF380" s="130">
        <f t="shared" si="86"/>
        <v>59.71</v>
      </c>
      <c r="BG380" s="130">
        <f t="shared" si="87"/>
        <v>0</v>
      </c>
      <c r="BH380" s="130">
        <f t="shared" si="88"/>
        <v>0</v>
      </c>
      <c r="BI380" s="130">
        <f t="shared" si="89"/>
        <v>0</v>
      </c>
      <c r="BJ380" s="13" t="s">
        <v>76</v>
      </c>
      <c r="BK380" s="130">
        <f t="shared" si="90"/>
        <v>59.71</v>
      </c>
      <c r="BL380" s="13" t="s">
        <v>258</v>
      </c>
      <c r="BM380" s="129" t="s">
        <v>793</v>
      </c>
    </row>
    <row r="381" spans="2:65" s="1" customFormat="1" ht="22.95" customHeight="1" x14ac:dyDescent="0.2">
      <c r="B381" s="118"/>
      <c r="C381" s="205" t="s">
        <v>794</v>
      </c>
      <c r="D381" s="119" t="s">
        <v>231</v>
      </c>
      <c r="E381" s="120" t="s">
        <v>795</v>
      </c>
      <c r="F381" s="121" t="s">
        <v>796</v>
      </c>
      <c r="G381" s="122" t="s">
        <v>292</v>
      </c>
      <c r="H381" s="206">
        <v>130.9</v>
      </c>
      <c r="I381" s="124">
        <v>5.22</v>
      </c>
      <c r="J381" s="124">
        <f t="shared" si="80"/>
        <v>683.3</v>
      </c>
      <c r="K381" s="121" t="s">
        <v>1</v>
      </c>
      <c r="L381" s="24"/>
      <c r="M381" s="125" t="s">
        <v>1</v>
      </c>
      <c r="N381" s="126" t="s">
        <v>32</v>
      </c>
      <c r="O381" s="127">
        <v>0</v>
      </c>
      <c r="P381" s="127">
        <f t="shared" si="81"/>
        <v>0</v>
      </c>
      <c r="Q381" s="127">
        <v>0</v>
      </c>
      <c r="R381" s="127">
        <f t="shared" si="82"/>
        <v>0</v>
      </c>
      <c r="S381" s="127">
        <v>0</v>
      </c>
      <c r="T381" s="128">
        <f t="shared" si="83"/>
        <v>0</v>
      </c>
      <c r="W381" s="199"/>
      <c r="X381" s="205" t="s">
        <v>794</v>
      </c>
      <c r="Y381" s="119" t="s">
        <v>231</v>
      </c>
      <c r="Z381" s="120" t="s">
        <v>795</v>
      </c>
      <c r="AA381" s="121" t="s">
        <v>796</v>
      </c>
      <c r="AB381" s="122" t="s">
        <v>292</v>
      </c>
      <c r="AC381" s="206">
        <f>130.9+38.355</f>
        <v>169.255</v>
      </c>
      <c r="AD381" s="124">
        <v>5.22</v>
      </c>
      <c r="AE381" s="200">
        <f t="shared" si="84"/>
        <v>883.51</v>
      </c>
      <c r="AF381" s="956">
        <v>4</v>
      </c>
      <c r="AG381" s="407"/>
      <c r="AR381" s="129" t="s">
        <v>258</v>
      </c>
      <c r="AT381" s="129" t="s">
        <v>231</v>
      </c>
      <c r="AU381" s="129" t="s">
        <v>76</v>
      </c>
      <c r="AY381" s="13" t="s">
        <v>228</v>
      </c>
      <c r="BE381" s="130">
        <f t="shared" si="85"/>
        <v>0</v>
      </c>
      <c r="BF381" s="130">
        <f t="shared" si="86"/>
        <v>683.3</v>
      </c>
      <c r="BG381" s="130">
        <f t="shared" si="87"/>
        <v>0</v>
      </c>
      <c r="BH381" s="130">
        <f t="shared" si="88"/>
        <v>0</v>
      </c>
      <c r="BI381" s="130">
        <f t="shared" si="89"/>
        <v>0</v>
      </c>
      <c r="BJ381" s="13" t="s">
        <v>76</v>
      </c>
      <c r="BK381" s="130">
        <f t="shared" si="90"/>
        <v>683.3</v>
      </c>
      <c r="BL381" s="13" t="s">
        <v>258</v>
      </c>
      <c r="BM381" s="129" t="s">
        <v>797</v>
      </c>
    </row>
    <row r="382" spans="2:65" s="1" customFormat="1" ht="24" customHeight="1" x14ac:dyDescent="0.2">
      <c r="B382" s="118"/>
      <c r="C382" s="119" t="s">
        <v>511</v>
      </c>
      <c r="D382" s="119" t="s">
        <v>231</v>
      </c>
      <c r="E382" s="120" t="s">
        <v>798</v>
      </c>
      <c r="F382" s="121" t="s">
        <v>799</v>
      </c>
      <c r="G382" s="122" t="s">
        <v>284</v>
      </c>
      <c r="H382" s="123">
        <v>52.31</v>
      </c>
      <c r="I382" s="124">
        <v>2.09</v>
      </c>
      <c r="J382" s="124">
        <f t="shared" si="80"/>
        <v>109.33</v>
      </c>
      <c r="K382" s="121" t="s">
        <v>1</v>
      </c>
      <c r="L382" s="24"/>
      <c r="M382" s="125" t="s">
        <v>1</v>
      </c>
      <c r="N382" s="126" t="s">
        <v>32</v>
      </c>
      <c r="O382" s="127">
        <v>0</v>
      </c>
      <c r="P382" s="127">
        <f t="shared" si="81"/>
        <v>0</v>
      </c>
      <c r="Q382" s="127">
        <v>0</v>
      </c>
      <c r="R382" s="127">
        <f t="shared" si="82"/>
        <v>0</v>
      </c>
      <c r="S382" s="127">
        <v>0</v>
      </c>
      <c r="T382" s="128">
        <f t="shared" si="83"/>
        <v>0</v>
      </c>
      <c r="W382" s="199"/>
      <c r="X382" s="119" t="s">
        <v>511</v>
      </c>
      <c r="Y382" s="119" t="s">
        <v>231</v>
      </c>
      <c r="Z382" s="120" t="s">
        <v>798</v>
      </c>
      <c r="AA382" s="121" t="s">
        <v>799</v>
      </c>
      <c r="AB382" s="122" t="s">
        <v>284</v>
      </c>
      <c r="AC382" s="123">
        <v>52.31</v>
      </c>
      <c r="AD382" s="124">
        <v>2.09</v>
      </c>
      <c r="AE382" s="200">
        <f t="shared" si="84"/>
        <v>109.33</v>
      </c>
      <c r="AF382" s="956"/>
      <c r="AG382" s="407"/>
      <c r="AR382" s="129" t="s">
        <v>258</v>
      </c>
      <c r="AT382" s="129" t="s">
        <v>231</v>
      </c>
      <c r="AU382" s="129" t="s">
        <v>76</v>
      </c>
      <c r="AY382" s="13" t="s">
        <v>228</v>
      </c>
      <c r="BE382" s="130">
        <f t="shared" si="85"/>
        <v>0</v>
      </c>
      <c r="BF382" s="130">
        <f t="shared" si="86"/>
        <v>109.33</v>
      </c>
      <c r="BG382" s="130">
        <f t="shared" si="87"/>
        <v>0</v>
      </c>
      <c r="BH382" s="130">
        <f t="shared" si="88"/>
        <v>0</v>
      </c>
      <c r="BI382" s="130">
        <f t="shared" si="89"/>
        <v>0</v>
      </c>
      <c r="BJ382" s="13" t="s">
        <v>76</v>
      </c>
      <c r="BK382" s="130">
        <f t="shared" si="90"/>
        <v>109.33</v>
      </c>
      <c r="BL382" s="13" t="s">
        <v>258</v>
      </c>
      <c r="BM382" s="129" t="s">
        <v>800</v>
      </c>
    </row>
    <row r="383" spans="2:65" s="1" customFormat="1" ht="16.5" customHeight="1" x14ac:dyDescent="0.2">
      <c r="B383" s="118"/>
      <c r="C383" s="119" t="s">
        <v>801</v>
      </c>
      <c r="D383" s="119" t="s">
        <v>231</v>
      </c>
      <c r="E383" s="120" t="s">
        <v>802</v>
      </c>
      <c r="F383" s="121" t="s">
        <v>803</v>
      </c>
      <c r="G383" s="122" t="s">
        <v>284</v>
      </c>
      <c r="H383" s="123">
        <v>97.95</v>
      </c>
      <c r="I383" s="124">
        <v>1.51</v>
      </c>
      <c r="J383" s="124">
        <f t="shared" si="80"/>
        <v>147.9</v>
      </c>
      <c r="K383" s="121" t="s">
        <v>1</v>
      </c>
      <c r="L383" s="24"/>
      <c r="M383" s="125" t="s">
        <v>1</v>
      </c>
      <c r="N383" s="126" t="s">
        <v>32</v>
      </c>
      <c r="O383" s="127">
        <v>0</v>
      </c>
      <c r="P383" s="127">
        <f t="shared" si="81"/>
        <v>0</v>
      </c>
      <c r="Q383" s="127">
        <v>0</v>
      </c>
      <c r="R383" s="127">
        <f t="shared" si="82"/>
        <v>0</v>
      </c>
      <c r="S383" s="127">
        <v>0</v>
      </c>
      <c r="T383" s="128">
        <f t="shared" si="83"/>
        <v>0</v>
      </c>
      <c r="W383" s="199"/>
      <c r="X383" s="119" t="s">
        <v>801</v>
      </c>
      <c r="Y383" s="119" t="s">
        <v>231</v>
      </c>
      <c r="Z383" s="120" t="s">
        <v>802</v>
      </c>
      <c r="AA383" s="121" t="s">
        <v>803</v>
      </c>
      <c r="AB383" s="122" t="s">
        <v>284</v>
      </c>
      <c r="AC383" s="123">
        <v>97.95</v>
      </c>
      <c r="AD383" s="124">
        <v>1.51</v>
      </c>
      <c r="AE383" s="200">
        <f t="shared" si="84"/>
        <v>147.9</v>
      </c>
      <c r="AF383" s="956"/>
      <c r="AG383" s="407"/>
      <c r="AR383" s="129" t="s">
        <v>258</v>
      </c>
      <c r="AT383" s="129" t="s">
        <v>231</v>
      </c>
      <c r="AU383" s="129" t="s">
        <v>76</v>
      </c>
      <c r="AY383" s="13" t="s">
        <v>228</v>
      </c>
      <c r="BE383" s="130">
        <f t="shared" si="85"/>
        <v>0</v>
      </c>
      <c r="BF383" s="130">
        <f t="shared" si="86"/>
        <v>147.9</v>
      </c>
      <c r="BG383" s="130">
        <f t="shared" si="87"/>
        <v>0</v>
      </c>
      <c r="BH383" s="130">
        <f t="shared" si="88"/>
        <v>0</v>
      </c>
      <c r="BI383" s="130">
        <f t="shared" si="89"/>
        <v>0</v>
      </c>
      <c r="BJ383" s="13" t="s">
        <v>76</v>
      </c>
      <c r="BK383" s="130">
        <f t="shared" si="90"/>
        <v>147.9</v>
      </c>
      <c r="BL383" s="13" t="s">
        <v>258</v>
      </c>
      <c r="BM383" s="129" t="s">
        <v>804</v>
      </c>
    </row>
    <row r="384" spans="2:65" s="1" customFormat="1" ht="24" customHeight="1" x14ac:dyDescent="0.2">
      <c r="B384" s="118"/>
      <c r="C384" s="205" t="s">
        <v>514</v>
      </c>
      <c r="D384" s="119" t="s">
        <v>231</v>
      </c>
      <c r="E384" s="120" t="s">
        <v>805</v>
      </c>
      <c r="F384" s="121" t="s">
        <v>806</v>
      </c>
      <c r="G384" s="122" t="s">
        <v>284</v>
      </c>
      <c r="H384" s="206">
        <v>148.04</v>
      </c>
      <c r="I384" s="124">
        <v>24.38</v>
      </c>
      <c r="J384" s="124">
        <f t="shared" si="80"/>
        <v>3609.22</v>
      </c>
      <c r="K384" s="121" t="s">
        <v>1</v>
      </c>
      <c r="L384" s="24"/>
      <c r="M384" s="125" t="s">
        <v>1</v>
      </c>
      <c r="N384" s="126" t="s">
        <v>32</v>
      </c>
      <c r="O384" s="127">
        <v>0.73099999999999998</v>
      </c>
      <c r="P384" s="127">
        <f t="shared" si="81"/>
        <v>108.21723999999999</v>
      </c>
      <c r="Q384" s="127">
        <v>4.6899999999999997E-3</v>
      </c>
      <c r="R384" s="127">
        <f t="shared" si="82"/>
        <v>0.69430759999999991</v>
      </c>
      <c r="S384" s="127">
        <v>0</v>
      </c>
      <c r="T384" s="128">
        <f t="shared" si="83"/>
        <v>0</v>
      </c>
      <c r="W384" s="199"/>
      <c r="X384" s="205" t="s">
        <v>514</v>
      </c>
      <c r="Y384" s="119" t="s">
        <v>231</v>
      </c>
      <c r="Z384" s="120" t="s">
        <v>805</v>
      </c>
      <c r="AA384" s="121" t="s">
        <v>806</v>
      </c>
      <c r="AB384" s="122" t="s">
        <v>284</v>
      </c>
      <c r="AC384" s="206">
        <f>148.04+46.624+2.1</f>
        <v>196.76399999999998</v>
      </c>
      <c r="AD384" s="124">
        <v>24.38</v>
      </c>
      <c r="AE384" s="200">
        <f t="shared" si="84"/>
        <v>4797.1099999999997</v>
      </c>
      <c r="AF384" s="956" t="s">
        <v>6323</v>
      </c>
      <c r="AG384" s="407"/>
      <c r="AR384" s="129" t="s">
        <v>258</v>
      </c>
      <c r="AT384" s="129" t="s">
        <v>231</v>
      </c>
      <c r="AU384" s="129" t="s">
        <v>76</v>
      </c>
      <c r="AY384" s="13" t="s">
        <v>228</v>
      </c>
      <c r="BE384" s="130">
        <f t="shared" si="85"/>
        <v>0</v>
      </c>
      <c r="BF384" s="130">
        <f t="shared" si="86"/>
        <v>3609.22</v>
      </c>
      <c r="BG384" s="130">
        <f t="shared" si="87"/>
        <v>0</v>
      </c>
      <c r="BH384" s="130">
        <f t="shared" si="88"/>
        <v>0</v>
      </c>
      <c r="BI384" s="130">
        <f t="shared" si="89"/>
        <v>0</v>
      </c>
      <c r="BJ384" s="13" t="s">
        <v>76</v>
      </c>
      <c r="BK384" s="130">
        <f t="shared" si="90"/>
        <v>3609.22</v>
      </c>
      <c r="BL384" s="13" t="s">
        <v>258</v>
      </c>
      <c r="BM384" s="129" t="s">
        <v>807</v>
      </c>
    </row>
    <row r="385" spans="2:65" s="1" customFormat="1" ht="24" customHeight="1" x14ac:dyDescent="0.2">
      <c r="B385" s="118"/>
      <c r="C385" s="119" t="s">
        <v>808</v>
      </c>
      <c r="D385" s="119" t="s">
        <v>231</v>
      </c>
      <c r="E385" s="120" t="s">
        <v>809</v>
      </c>
      <c r="F385" s="121" t="s">
        <v>810</v>
      </c>
      <c r="G385" s="122" t="s">
        <v>284</v>
      </c>
      <c r="H385" s="123">
        <v>77.64</v>
      </c>
      <c r="I385" s="124">
        <v>25.54</v>
      </c>
      <c r="J385" s="124">
        <f t="shared" si="80"/>
        <v>1982.93</v>
      </c>
      <c r="K385" s="121" t="s">
        <v>1</v>
      </c>
      <c r="L385" s="24"/>
      <c r="M385" s="125" t="s">
        <v>1</v>
      </c>
      <c r="N385" s="126" t="s">
        <v>32</v>
      </c>
      <c r="O385" s="127">
        <v>0</v>
      </c>
      <c r="P385" s="127">
        <f t="shared" si="81"/>
        <v>0</v>
      </c>
      <c r="Q385" s="127">
        <v>0</v>
      </c>
      <c r="R385" s="127">
        <f t="shared" si="82"/>
        <v>0</v>
      </c>
      <c r="S385" s="127">
        <v>0</v>
      </c>
      <c r="T385" s="128">
        <f t="shared" si="83"/>
        <v>0</v>
      </c>
      <c r="W385" s="199"/>
      <c r="X385" s="119" t="s">
        <v>808</v>
      </c>
      <c r="Y385" s="119" t="s">
        <v>231</v>
      </c>
      <c r="Z385" s="120" t="s">
        <v>809</v>
      </c>
      <c r="AA385" s="121" t="s">
        <v>810</v>
      </c>
      <c r="AB385" s="122" t="s">
        <v>284</v>
      </c>
      <c r="AC385" s="123">
        <v>77.64</v>
      </c>
      <c r="AD385" s="124">
        <v>25.54</v>
      </c>
      <c r="AE385" s="200">
        <f t="shared" si="84"/>
        <v>1982.93</v>
      </c>
      <c r="AF385" s="956"/>
      <c r="AG385" s="407"/>
      <c r="AR385" s="129" t="s">
        <v>258</v>
      </c>
      <c r="AT385" s="129" t="s">
        <v>231</v>
      </c>
      <c r="AU385" s="129" t="s">
        <v>76</v>
      </c>
      <c r="AY385" s="13" t="s">
        <v>228</v>
      </c>
      <c r="BE385" s="130">
        <f t="shared" si="85"/>
        <v>0</v>
      </c>
      <c r="BF385" s="130">
        <f t="shared" si="86"/>
        <v>1982.93</v>
      </c>
      <c r="BG385" s="130">
        <f t="shared" si="87"/>
        <v>0</v>
      </c>
      <c r="BH385" s="130">
        <f t="shared" si="88"/>
        <v>0</v>
      </c>
      <c r="BI385" s="130">
        <f t="shared" si="89"/>
        <v>0</v>
      </c>
      <c r="BJ385" s="13" t="s">
        <v>76</v>
      </c>
      <c r="BK385" s="130">
        <f t="shared" si="90"/>
        <v>1982.93</v>
      </c>
      <c r="BL385" s="13" t="s">
        <v>258</v>
      </c>
      <c r="BM385" s="129" t="s">
        <v>811</v>
      </c>
    </row>
    <row r="386" spans="2:65" s="1" customFormat="1" ht="16.5" customHeight="1" x14ac:dyDescent="0.2">
      <c r="B386" s="118"/>
      <c r="C386" s="242" t="s">
        <v>518</v>
      </c>
      <c r="D386" s="131" t="s">
        <v>277</v>
      </c>
      <c r="E386" s="132" t="s">
        <v>812</v>
      </c>
      <c r="F386" s="133" t="s">
        <v>813</v>
      </c>
      <c r="G386" s="134" t="s">
        <v>284</v>
      </c>
      <c r="H386" s="241">
        <v>250.709</v>
      </c>
      <c r="I386" s="136">
        <v>13.93</v>
      </c>
      <c r="J386" s="136">
        <f t="shared" si="80"/>
        <v>3492.38</v>
      </c>
      <c r="K386" s="133" t="s">
        <v>1</v>
      </c>
      <c r="L386" s="137"/>
      <c r="M386" s="138" t="s">
        <v>1</v>
      </c>
      <c r="N386" s="139" t="s">
        <v>32</v>
      </c>
      <c r="O386" s="127">
        <v>0</v>
      </c>
      <c r="P386" s="127">
        <f t="shared" si="81"/>
        <v>0</v>
      </c>
      <c r="Q386" s="127">
        <v>0</v>
      </c>
      <c r="R386" s="127">
        <f t="shared" si="82"/>
        <v>0</v>
      </c>
      <c r="S386" s="127">
        <v>0</v>
      </c>
      <c r="T386" s="128">
        <f t="shared" si="83"/>
        <v>0</v>
      </c>
      <c r="W386" s="199"/>
      <c r="X386" s="242" t="s">
        <v>518</v>
      </c>
      <c r="Y386" s="131" t="s">
        <v>277</v>
      </c>
      <c r="Z386" s="132" t="s">
        <v>812</v>
      </c>
      <c r="AA386" s="133" t="s">
        <v>813</v>
      </c>
      <c r="AB386" s="134" t="s">
        <v>284</v>
      </c>
      <c r="AC386" s="241">
        <f>250.709+52.982+2.31</f>
        <v>306.00100000000003</v>
      </c>
      <c r="AD386" s="136">
        <v>13.93</v>
      </c>
      <c r="AE386" s="229">
        <f t="shared" si="84"/>
        <v>4262.59</v>
      </c>
      <c r="AF386" s="956" t="s">
        <v>6323</v>
      </c>
      <c r="AG386" s="407"/>
      <c r="AR386" s="129" t="s">
        <v>288</v>
      </c>
      <c r="AT386" s="129" t="s">
        <v>277</v>
      </c>
      <c r="AU386" s="129" t="s">
        <v>76</v>
      </c>
      <c r="AY386" s="13" t="s">
        <v>228</v>
      </c>
      <c r="BE386" s="130">
        <f t="shared" si="85"/>
        <v>0</v>
      </c>
      <c r="BF386" s="130">
        <f t="shared" si="86"/>
        <v>3492.38</v>
      </c>
      <c r="BG386" s="130">
        <f t="shared" si="87"/>
        <v>0</v>
      </c>
      <c r="BH386" s="130">
        <f t="shared" si="88"/>
        <v>0</v>
      </c>
      <c r="BI386" s="130">
        <f t="shared" si="89"/>
        <v>0</v>
      </c>
      <c r="BJ386" s="13" t="s">
        <v>76</v>
      </c>
      <c r="BK386" s="130">
        <f t="shared" si="90"/>
        <v>3492.38</v>
      </c>
      <c r="BL386" s="13" t="s">
        <v>258</v>
      </c>
      <c r="BM386" s="129" t="s">
        <v>814</v>
      </c>
    </row>
    <row r="387" spans="2:65" s="1" customFormat="1" ht="24" customHeight="1" x14ac:dyDescent="0.2">
      <c r="B387" s="118"/>
      <c r="C387" s="119" t="s">
        <v>815</v>
      </c>
      <c r="D387" s="119" t="s">
        <v>231</v>
      </c>
      <c r="E387" s="120" t="s">
        <v>816</v>
      </c>
      <c r="F387" s="121" t="s">
        <v>817</v>
      </c>
      <c r="G387" s="122" t="s">
        <v>284</v>
      </c>
      <c r="H387" s="123">
        <v>66.13</v>
      </c>
      <c r="I387" s="124">
        <v>2.3199999999999998</v>
      </c>
      <c r="J387" s="124">
        <f t="shared" si="80"/>
        <v>153.41999999999999</v>
      </c>
      <c r="K387" s="121" t="s">
        <v>1</v>
      </c>
      <c r="L387" s="24"/>
      <c r="M387" s="125" t="s">
        <v>1</v>
      </c>
      <c r="N387" s="126" t="s">
        <v>32</v>
      </c>
      <c r="O387" s="127">
        <v>0</v>
      </c>
      <c r="P387" s="127">
        <f t="shared" si="81"/>
        <v>0</v>
      </c>
      <c r="Q387" s="127">
        <v>0</v>
      </c>
      <c r="R387" s="127">
        <f t="shared" si="82"/>
        <v>0</v>
      </c>
      <c r="S387" s="127">
        <v>0</v>
      </c>
      <c r="T387" s="128">
        <f t="shared" si="83"/>
        <v>0</v>
      </c>
      <c r="W387" s="199"/>
      <c r="X387" s="119" t="s">
        <v>815</v>
      </c>
      <c r="Y387" s="119" t="s">
        <v>231</v>
      </c>
      <c r="Z387" s="120" t="s">
        <v>816</v>
      </c>
      <c r="AA387" s="121" t="s">
        <v>817</v>
      </c>
      <c r="AB387" s="122" t="s">
        <v>284</v>
      </c>
      <c r="AC387" s="123">
        <v>66.13</v>
      </c>
      <c r="AD387" s="124">
        <v>2.3199999999999998</v>
      </c>
      <c r="AE387" s="200">
        <f t="shared" si="84"/>
        <v>153.41999999999999</v>
      </c>
      <c r="AF387" s="956"/>
      <c r="AG387" s="407"/>
      <c r="AR387" s="129" t="s">
        <v>258</v>
      </c>
      <c r="AT387" s="129" t="s">
        <v>231</v>
      </c>
      <c r="AU387" s="129" t="s">
        <v>76</v>
      </c>
      <c r="AY387" s="13" t="s">
        <v>228</v>
      </c>
      <c r="BE387" s="130">
        <f t="shared" si="85"/>
        <v>0</v>
      </c>
      <c r="BF387" s="130">
        <f t="shared" si="86"/>
        <v>153.41999999999999</v>
      </c>
      <c r="BG387" s="130">
        <f t="shared" si="87"/>
        <v>0</v>
      </c>
      <c r="BH387" s="130">
        <f t="shared" si="88"/>
        <v>0</v>
      </c>
      <c r="BI387" s="130">
        <f t="shared" si="89"/>
        <v>0</v>
      </c>
      <c r="BJ387" s="13" t="s">
        <v>76</v>
      </c>
      <c r="BK387" s="130">
        <f t="shared" si="90"/>
        <v>153.41999999999999</v>
      </c>
      <c r="BL387" s="13" t="s">
        <v>258</v>
      </c>
      <c r="BM387" s="129" t="s">
        <v>818</v>
      </c>
    </row>
    <row r="388" spans="2:65" s="1" customFormat="1" ht="22.95" customHeight="1" x14ac:dyDescent="0.2">
      <c r="B388" s="118"/>
      <c r="C388" s="205" t="s">
        <v>521</v>
      </c>
      <c r="D388" s="119" t="s">
        <v>231</v>
      </c>
      <c r="E388" s="120" t="s">
        <v>819</v>
      </c>
      <c r="F388" s="121" t="s">
        <v>820</v>
      </c>
      <c r="G388" s="122" t="s">
        <v>570</v>
      </c>
      <c r="H388" s="206">
        <v>104.223</v>
      </c>
      <c r="I388" s="124">
        <v>4.12</v>
      </c>
      <c r="J388" s="124">
        <f t="shared" si="80"/>
        <v>429.4</v>
      </c>
      <c r="K388" s="121" t="s">
        <v>1</v>
      </c>
      <c r="L388" s="24"/>
      <c r="M388" s="125" t="s">
        <v>1</v>
      </c>
      <c r="N388" s="126" t="s">
        <v>32</v>
      </c>
      <c r="O388" s="127">
        <v>0</v>
      </c>
      <c r="P388" s="127">
        <f t="shared" si="81"/>
        <v>0</v>
      </c>
      <c r="Q388" s="127">
        <v>0</v>
      </c>
      <c r="R388" s="127">
        <f t="shared" si="82"/>
        <v>0</v>
      </c>
      <c r="S388" s="127">
        <v>0</v>
      </c>
      <c r="T388" s="128">
        <f t="shared" si="83"/>
        <v>0</v>
      </c>
      <c r="W388" s="199"/>
      <c r="X388" s="205" t="s">
        <v>521</v>
      </c>
      <c r="Y388" s="119" t="s">
        <v>231</v>
      </c>
      <c r="Z388" s="120" t="s">
        <v>819</v>
      </c>
      <c r="AA388" s="121" t="s">
        <v>820</v>
      </c>
      <c r="AB388" s="122" t="s">
        <v>570</v>
      </c>
      <c r="AC388" s="206">
        <f>104.223+20.749+0.834</f>
        <v>125.806</v>
      </c>
      <c r="AD388" s="124">
        <v>4.12</v>
      </c>
      <c r="AE388" s="200">
        <f t="shared" si="84"/>
        <v>518.32000000000005</v>
      </c>
      <c r="AF388" s="956" t="s">
        <v>6323</v>
      </c>
      <c r="AG388" s="407"/>
      <c r="AR388" s="129" t="s">
        <v>258</v>
      </c>
      <c r="AT388" s="129" t="s">
        <v>231</v>
      </c>
      <c r="AU388" s="129" t="s">
        <v>76</v>
      </c>
      <c r="AY388" s="13" t="s">
        <v>228</v>
      </c>
      <c r="BE388" s="130">
        <f t="shared" si="85"/>
        <v>0</v>
      </c>
      <c r="BF388" s="130">
        <f t="shared" si="86"/>
        <v>429.4</v>
      </c>
      <c r="BG388" s="130">
        <f t="shared" si="87"/>
        <v>0</v>
      </c>
      <c r="BH388" s="130">
        <f t="shared" si="88"/>
        <v>0</v>
      </c>
      <c r="BI388" s="130">
        <f t="shared" si="89"/>
        <v>0</v>
      </c>
      <c r="BJ388" s="13" t="s">
        <v>76</v>
      </c>
      <c r="BK388" s="130">
        <f t="shared" si="90"/>
        <v>429.4</v>
      </c>
      <c r="BL388" s="13" t="s">
        <v>258</v>
      </c>
      <c r="BM388" s="129" t="s">
        <v>821</v>
      </c>
    </row>
    <row r="389" spans="2:65" s="11" customFormat="1" ht="22.95" customHeight="1" x14ac:dyDescent="0.25">
      <c r="B389" s="106"/>
      <c r="D389" s="107" t="s">
        <v>57</v>
      </c>
      <c r="E389" s="116" t="s">
        <v>822</v>
      </c>
      <c r="F389" s="116" t="s">
        <v>823</v>
      </c>
      <c r="J389" s="117">
        <f>BK389</f>
        <v>11427.720000000001</v>
      </c>
      <c r="L389" s="106"/>
      <c r="M389" s="110"/>
      <c r="N389" s="111"/>
      <c r="O389" s="111"/>
      <c r="P389" s="112">
        <f>SUM(P390:P400)</f>
        <v>185.45198569999999</v>
      </c>
      <c r="Q389" s="111"/>
      <c r="R389" s="112">
        <f>SUM(R390:R400)</f>
        <v>8.7070499999999995E-2</v>
      </c>
      <c r="S389" s="111"/>
      <c r="T389" s="113">
        <f>SUM(T390:T400)</f>
        <v>0.32708999999999999</v>
      </c>
      <c r="W389" s="195"/>
      <c r="X389" s="111"/>
      <c r="Y389" s="196" t="s">
        <v>57</v>
      </c>
      <c r="Z389" s="201" t="s">
        <v>822</v>
      </c>
      <c r="AA389" s="201" t="s">
        <v>823</v>
      </c>
      <c r="AB389" s="111"/>
      <c r="AC389" s="111"/>
      <c r="AD389" s="111"/>
      <c r="AE389" s="202">
        <f>SUM(AE390:AE400)</f>
        <v>22888.839999999997</v>
      </c>
      <c r="AF389" s="956"/>
      <c r="AG389" s="292"/>
      <c r="AR389" s="107" t="s">
        <v>76</v>
      </c>
      <c r="AT389" s="114" t="s">
        <v>57</v>
      </c>
      <c r="AU389" s="114" t="s">
        <v>63</v>
      </c>
      <c r="AY389" s="107" t="s">
        <v>228</v>
      </c>
      <c r="BK389" s="115">
        <f>SUM(BK390:BK400)</f>
        <v>11427.720000000001</v>
      </c>
    </row>
    <row r="390" spans="2:65" s="1" customFormat="1" ht="20.55" customHeight="1" x14ac:dyDescent="0.2">
      <c r="B390" s="118"/>
      <c r="C390" s="205" t="s">
        <v>824</v>
      </c>
      <c r="D390" s="119" t="s">
        <v>231</v>
      </c>
      <c r="E390" s="120" t="s">
        <v>825</v>
      </c>
      <c r="F390" s="121" t="s">
        <v>826</v>
      </c>
      <c r="G390" s="122" t="s">
        <v>284</v>
      </c>
      <c r="H390" s="206">
        <v>253.74</v>
      </c>
      <c r="I390" s="124">
        <v>1.39</v>
      </c>
      <c r="J390" s="124">
        <f t="shared" ref="J390:J400" si="91">ROUND(I390*H390,2)</f>
        <v>352.7</v>
      </c>
      <c r="K390" s="121" t="s">
        <v>1</v>
      </c>
      <c r="L390" s="24"/>
      <c r="M390" s="125" t="s">
        <v>1</v>
      </c>
      <c r="N390" s="126" t="s">
        <v>32</v>
      </c>
      <c r="O390" s="127">
        <v>0</v>
      </c>
      <c r="P390" s="127">
        <f t="shared" ref="P390:P400" si="92">O390*H390</f>
        <v>0</v>
      </c>
      <c r="Q390" s="127">
        <v>0</v>
      </c>
      <c r="R390" s="127">
        <f t="shared" ref="R390:R400" si="93">Q390*H390</f>
        <v>0</v>
      </c>
      <c r="S390" s="127">
        <v>0</v>
      </c>
      <c r="T390" s="128">
        <f t="shared" ref="T390:T400" si="94">S390*H390</f>
        <v>0</v>
      </c>
      <c r="W390" s="199"/>
      <c r="X390" s="205" t="s">
        <v>824</v>
      </c>
      <c r="Y390" s="119" t="s">
        <v>231</v>
      </c>
      <c r="Z390" s="120" t="s">
        <v>825</v>
      </c>
      <c r="AA390" s="121" t="s">
        <v>826</v>
      </c>
      <c r="AB390" s="122" t="s">
        <v>284</v>
      </c>
      <c r="AC390" s="206">
        <f>253.74+185.078+206.555+61.255</f>
        <v>706.62800000000004</v>
      </c>
      <c r="AD390" s="124">
        <v>1.39</v>
      </c>
      <c r="AE390" s="200">
        <f t="shared" ref="AE390:AE400" si="95">ROUND(AD390*AC390,2)</f>
        <v>982.21</v>
      </c>
      <c r="AF390" s="956" t="s">
        <v>6662</v>
      </c>
      <c r="AG390" s="407"/>
      <c r="AR390" s="129" t="s">
        <v>258</v>
      </c>
      <c r="AT390" s="129" t="s">
        <v>231</v>
      </c>
      <c r="AU390" s="129" t="s">
        <v>76</v>
      </c>
      <c r="AY390" s="13" t="s">
        <v>228</v>
      </c>
      <c r="BE390" s="130">
        <f t="shared" ref="BE390:BE400" si="96">IF(N390="základná",J390,0)</f>
        <v>0</v>
      </c>
      <c r="BF390" s="130">
        <f t="shared" ref="BF390:BF400" si="97">IF(N390="znížená",J390,0)</f>
        <v>352.7</v>
      </c>
      <c r="BG390" s="130">
        <f t="shared" ref="BG390:BG400" si="98">IF(N390="zákl. prenesená",J390,0)</f>
        <v>0</v>
      </c>
      <c r="BH390" s="130">
        <f t="shared" ref="BH390:BH400" si="99">IF(N390="zníž. prenesená",J390,0)</f>
        <v>0</v>
      </c>
      <c r="BI390" s="130">
        <f t="shared" ref="BI390:BI400" si="100">IF(N390="nulová",J390,0)</f>
        <v>0</v>
      </c>
      <c r="BJ390" s="13" t="s">
        <v>76</v>
      </c>
      <c r="BK390" s="130">
        <f t="shared" ref="BK390:BK400" si="101">ROUND(I390*H390,2)</f>
        <v>352.7</v>
      </c>
      <c r="BL390" s="13" t="s">
        <v>258</v>
      </c>
      <c r="BM390" s="129" t="s">
        <v>827</v>
      </c>
    </row>
    <row r="391" spans="2:65" s="1" customFormat="1" ht="22.8" x14ac:dyDescent="0.2">
      <c r="B391" s="118"/>
      <c r="C391" s="205" t="s">
        <v>525</v>
      </c>
      <c r="D391" s="119" t="s">
        <v>231</v>
      </c>
      <c r="E391" s="120" t="s">
        <v>828</v>
      </c>
      <c r="F391" s="121" t="s">
        <v>829</v>
      </c>
      <c r="G391" s="122" t="s">
        <v>292</v>
      </c>
      <c r="H391" s="206">
        <v>32.9</v>
      </c>
      <c r="I391" s="124">
        <v>1.18</v>
      </c>
      <c r="J391" s="124">
        <f t="shared" si="91"/>
        <v>38.82</v>
      </c>
      <c r="K391" s="121" t="s">
        <v>1</v>
      </c>
      <c r="L391" s="24"/>
      <c r="M391" s="125" t="s">
        <v>1</v>
      </c>
      <c r="N391" s="126" t="s">
        <v>32</v>
      </c>
      <c r="O391" s="127">
        <v>9.5000000000000001E-2</v>
      </c>
      <c r="P391" s="127">
        <f t="shared" si="92"/>
        <v>3.1254999999999997</v>
      </c>
      <c r="Q391" s="127">
        <v>0</v>
      </c>
      <c r="R391" s="127">
        <f t="shared" si="93"/>
        <v>0</v>
      </c>
      <c r="S391" s="127">
        <v>1E-3</v>
      </c>
      <c r="T391" s="128">
        <f t="shared" si="94"/>
        <v>3.2899999999999999E-2</v>
      </c>
      <c r="W391" s="199"/>
      <c r="X391" s="205" t="s">
        <v>525</v>
      </c>
      <c r="Y391" s="119" t="s">
        <v>231</v>
      </c>
      <c r="Z391" s="120" t="s">
        <v>828</v>
      </c>
      <c r="AA391" s="121" t="s">
        <v>829</v>
      </c>
      <c r="AB391" s="122" t="s">
        <v>292</v>
      </c>
      <c r="AC391" s="206">
        <f>32.9+83.254</f>
        <v>116.154</v>
      </c>
      <c r="AD391" s="124">
        <v>1.18</v>
      </c>
      <c r="AE391" s="200">
        <f t="shared" si="95"/>
        <v>137.06</v>
      </c>
      <c r="AF391" s="956">
        <v>4</v>
      </c>
      <c r="AG391" s="407"/>
      <c r="AR391" s="129" t="s">
        <v>258</v>
      </c>
      <c r="AT391" s="129" t="s">
        <v>231</v>
      </c>
      <c r="AU391" s="129" t="s">
        <v>76</v>
      </c>
      <c r="AY391" s="13" t="s">
        <v>228</v>
      </c>
      <c r="BE391" s="130">
        <f t="shared" si="96"/>
        <v>0</v>
      </c>
      <c r="BF391" s="130">
        <f t="shared" si="97"/>
        <v>38.82</v>
      </c>
      <c r="BG391" s="130">
        <f t="shared" si="98"/>
        <v>0</v>
      </c>
      <c r="BH391" s="130">
        <f t="shared" si="99"/>
        <v>0</v>
      </c>
      <c r="BI391" s="130">
        <f t="shared" si="100"/>
        <v>0</v>
      </c>
      <c r="BJ391" s="13" t="s">
        <v>76</v>
      </c>
      <c r="BK391" s="130">
        <f t="shared" si="101"/>
        <v>38.82</v>
      </c>
      <c r="BL391" s="13" t="s">
        <v>258</v>
      </c>
      <c r="BM391" s="129" t="s">
        <v>830</v>
      </c>
    </row>
    <row r="392" spans="2:65" s="1" customFormat="1" ht="22.8" x14ac:dyDescent="0.2">
      <c r="B392" s="118"/>
      <c r="C392" s="205" t="s">
        <v>831</v>
      </c>
      <c r="D392" s="119" t="s">
        <v>231</v>
      </c>
      <c r="E392" s="120" t="s">
        <v>832</v>
      </c>
      <c r="F392" s="121" t="s">
        <v>833</v>
      </c>
      <c r="G392" s="122" t="s">
        <v>292</v>
      </c>
      <c r="H392" s="206">
        <v>174.6</v>
      </c>
      <c r="I392" s="124">
        <v>7.55</v>
      </c>
      <c r="J392" s="124">
        <f t="shared" si="91"/>
        <v>1318.23</v>
      </c>
      <c r="K392" s="121" t="s">
        <v>1</v>
      </c>
      <c r="L392" s="24"/>
      <c r="M392" s="125" t="s">
        <v>1</v>
      </c>
      <c r="N392" s="126" t="s">
        <v>32</v>
      </c>
      <c r="O392" s="127">
        <v>0.11799999999999999</v>
      </c>
      <c r="P392" s="127">
        <f t="shared" si="92"/>
        <v>20.602799999999998</v>
      </c>
      <c r="Q392" s="127">
        <v>4.0000000000000003E-5</v>
      </c>
      <c r="R392" s="127">
        <f t="shared" si="93"/>
        <v>6.9840000000000006E-3</v>
      </c>
      <c r="S392" s="127">
        <v>0</v>
      </c>
      <c r="T392" s="128">
        <f t="shared" si="94"/>
        <v>0</v>
      </c>
      <c r="W392" s="199"/>
      <c r="X392" s="205" t="s">
        <v>831</v>
      </c>
      <c r="Y392" s="119" t="s">
        <v>231</v>
      </c>
      <c r="Z392" s="120" t="s">
        <v>832</v>
      </c>
      <c r="AA392" s="121" t="s">
        <v>833</v>
      </c>
      <c r="AB392" s="122" t="s">
        <v>292</v>
      </c>
      <c r="AC392" s="206">
        <f>174.6+135.085+28.815</f>
        <v>338.5</v>
      </c>
      <c r="AD392" s="124">
        <v>7.55</v>
      </c>
      <c r="AE392" s="200">
        <f t="shared" si="95"/>
        <v>2555.6799999999998</v>
      </c>
      <c r="AF392" s="956" t="s">
        <v>6323</v>
      </c>
      <c r="AG392" s="407"/>
      <c r="AR392" s="129" t="s">
        <v>258</v>
      </c>
      <c r="AT392" s="129" t="s">
        <v>231</v>
      </c>
      <c r="AU392" s="129" t="s">
        <v>76</v>
      </c>
      <c r="AY392" s="13" t="s">
        <v>228</v>
      </c>
      <c r="BE392" s="130">
        <f t="shared" si="96"/>
        <v>0</v>
      </c>
      <c r="BF392" s="130">
        <f t="shared" si="97"/>
        <v>1318.23</v>
      </c>
      <c r="BG392" s="130">
        <f t="shared" si="98"/>
        <v>0</v>
      </c>
      <c r="BH392" s="130">
        <f t="shared" si="99"/>
        <v>0</v>
      </c>
      <c r="BI392" s="130">
        <f t="shared" si="100"/>
        <v>0</v>
      </c>
      <c r="BJ392" s="13" t="s">
        <v>76</v>
      </c>
      <c r="BK392" s="130">
        <f t="shared" si="101"/>
        <v>1318.23</v>
      </c>
      <c r="BL392" s="13" t="s">
        <v>258</v>
      </c>
      <c r="BM392" s="129" t="s">
        <v>834</v>
      </c>
    </row>
    <row r="393" spans="2:65" s="1" customFormat="1" ht="22.8" x14ac:dyDescent="0.2">
      <c r="B393" s="118"/>
      <c r="C393" s="119" t="s">
        <v>528</v>
      </c>
      <c r="D393" s="119" t="s">
        <v>231</v>
      </c>
      <c r="E393" s="120" t="s">
        <v>835</v>
      </c>
      <c r="F393" s="121" t="s">
        <v>836</v>
      </c>
      <c r="G393" s="122" t="s">
        <v>292</v>
      </c>
      <c r="H393" s="123">
        <v>45.3</v>
      </c>
      <c r="I393" s="124">
        <v>7.55</v>
      </c>
      <c r="J393" s="124">
        <f t="shared" si="91"/>
        <v>342.02</v>
      </c>
      <c r="K393" s="121" t="s">
        <v>1</v>
      </c>
      <c r="L393" s="24"/>
      <c r="M393" s="125" t="s">
        <v>1</v>
      </c>
      <c r="N393" s="126" t="s">
        <v>32</v>
      </c>
      <c r="O393" s="127">
        <v>0</v>
      </c>
      <c r="P393" s="127">
        <f t="shared" si="92"/>
        <v>0</v>
      </c>
      <c r="Q393" s="127">
        <v>0</v>
      </c>
      <c r="R393" s="127">
        <f t="shared" si="93"/>
        <v>0</v>
      </c>
      <c r="S393" s="127">
        <v>0</v>
      </c>
      <c r="T393" s="128">
        <f t="shared" si="94"/>
        <v>0</v>
      </c>
      <c r="W393" s="199"/>
      <c r="X393" s="119" t="s">
        <v>528</v>
      </c>
      <c r="Y393" s="119" t="s">
        <v>231</v>
      </c>
      <c r="Z393" s="120" t="s">
        <v>835</v>
      </c>
      <c r="AA393" s="121" t="s">
        <v>836</v>
      </c>
      <c r="AB393" s="122" t="s">
        <v>292</v>
      </c>
      <c r="AC393" s="123">
        <v>45.3</v>
      </c>
      <c r="AD393" s="124">
        <v>7.55</v>
      </c>
      <c r="AE393" s="200">
        <f t="shared" si="95"/>
        <v>342.02</v>
      </c>
      <c r="AF393" s="956"/>
      <c r="AG393" s="407"/>
      <c r="AR393" s="129" t="s">
        <v>258</v>
      </c>
      <c r="AT393" s="129" t="s">
        <v>231</v>
      </c>
      <c r="AU393" s="129" t="s">
        <v>76</v>
      </c>
      <c r="AY393" s="13" t="s">
        <v>228</v>
      </c>
      <c r="BE393" s="130">
        <f t="shared" si="96"/>
        <v>0</v>
      </c>
      <c r="BF393" s="130">
        <f t="shared" si="97"/>
        <v>342.02</v>
      </c>
      <c r="BG393" s="130">
        <f t="shared" si="98"/>
        <v>0</v>
      </c>
      <c r="BH393" s="130">
        <f t="shared" si="99"/>
        <v>0</v>
      </c>
      <c r="BI393" s="130">
        <f t="shared" si="100"/>
        <v>0</v>
      </c>
      <c r="BJ393" s="13" t="s">
        <v>76</v>
      </c>
      <c r="BK393" s="130">
        <f t="shared" si="101"/>
        <v>342.02</v>
      </c>
      <c r="BL393" s="13" t="s">
        <v>258</v>
      </c>
      <c r="BM393" s="129" t="s">
        <v>837</v>
      </c>
    </row>
    <row r="394" spans="2:65" s="1" customFormat="1" ht="22.8" x14ac:dyDescent="0.2">
      <c r="B394" s="118"/>
      <c r="C394" s="205" t="s">
        <v>838</v>
      </c>
      <c r="D394" s="119" t="s">
        <v>231</v>
      </c>
      <c r="E394" s="120" t="s">
        <v>839</v>
      </c>
      <c r="F394" s="121" t="s">
        <v>840</v>
      </c>
      <c r="G394" s="122" t="s">
        <v>284</v>
      </c>
      <c r="H394" s="206">
        <v>294.19</v>
      </c>
      <c r="I394" s="124">
        <v>3.13</v>
      </c>
      <c r="J394" s="124">
        <f t="shared" si="91"/>
        <v>920.81</v>
      </c>
      <c r="K394" s="121" t="s">
        <v>1</v>
      </c>
      <c r="L394" s="24"/>
      <c r="M394" s="125" t="s">
        <v>1</v>
      </c>
      <c r="N394" s="126" t="s">
        <v>32</v>
      </c>
      <c r="O394" s="127">
        <v>0.24099999999999999</v>
      </c>
      <c r="P394" s="127">
        <f t="shared" si="92"/>
        <v>70.899789999999996</v>
      </c>
      <c r="Q394" s="127">
        <v>0</v>
      </c>
      <c r="R394" s="127">
        <f t="shared" si="93"/>
        <v>0</v>
      </c>
      <c r="S394" s="127">
        <v>1E-3</v>
      </c>
      <c r="T394" s="128">
        <f t="shared" si="94"/>
        <v>0.29419000000000001</v>
      </c>
      <c r="W394" s="199"/>
      <c r="X394" s="205" t="s">
        <v>838</v>
      </c>
      <c r="Y394" s="119" t="s">
        <v>231</v>
      </c>
      <c r="Z394" s="120" t="s">
        <v>839</v>
      </c>
      <c r="AA394" s="121" t="s">
        <v>840</v>
      </c>
      <c r="AB394" s="122" t="s">
        <v>284</v>
      </c>
      <c r="AC394" s="206">
        <f>294.19+298.011+206.555+61.255</f>
        <v>860.01100000000008</v>
      </c>
      <c r="AD394" s="124">
        <v>3.13</v>
      </c>
      <c r="AE394" s="200">
        <f t="shared" si="95"/>
        <v>2691.83</v>
      </c>
      <c r="AF394" s="956" t="s">
        <v>6662</v>
      </c>
      <c r="AG394" s="407"/>
      <c r="AR394" s="129" t="s">
        <v>258</v>
      </c>
      <c r="AT394" s="129" t="s">
        <v>231</v>
      </c>
      <c r="AU394" s="129" t="s">
        <v>76</v>
      </c>
      <c r="AY394" s="13" t="s">
        <v>228</v>
      </c>
      <c r="BE394" s="130">
        <f t="shared" si="96"/>
        <v>0</v>
      </c>
      <c r="BF394" s="130">
        <f t="shared" si="97"/>
        <v>920.81</v>
      </c>
      <c r="BG394" s="130">
        <f t="shared" si="98"/>
        <v>0</v>
      </c>
      <c r="BH394" s="130">
        <f t="shared" si="99"/>
        <v>0</v>
      </c>
      <c r="BI394" s="130">
        <f t="shared" si="100"/>
        <v>0</v>
      </c>
      <c r="BJ394" s="13" t="s">
        <v>76</v>
      </c>
      <c r="BK394" s="130">
        <f t="shared" si="101"/>
        <v>920.81</v>
      </c>
      <c r="BL394" s="13" t="s">
        <v>258</v>
      </c>
      <c r="BM394" s="129" t="s">
        <v>841</v>
      </c>
    </row>
    <row r="395" spans="2:65" s="1" customFormat="1" ht="20.55" customHeight="1" x14ac:dyDescent="0.2">
      <c r="B395" s="118"/>
      <c r="C395" s="205" t="s">
        <v>532</v>
      </c>
      <c r="D395" s="119" t="s">
        <v>231</v>
      </c>
      <c r="E395" s="120" t="s">
        <v>842</v>
      </c>
      <c r="F395" s="121" t="s">
        <v>843</v>
      </c>
      <c r="G395" s="122" t="s">
        <v>284</v>
      </c>
      <c r="H395" s="206">
        <v>174.45</v>
      </c>
      <c r="I395" s="124">
        <v>4.0599999999999996</v>
      </c>
      <c r="J395" s="124">
        <f t="shared" si="91"/>
        <v>708.27</v>
      </c>
      <c r="K395" s="121" t="s">
        <v>1</v>
      </c>
      <c r="L395" s="24"/>
      <c r="M395" s="125" t="s">
        <v>1</v>
      </c>
      <c r="N395" s="126" t="s">
        <v>32</v>
      </c>
      <c r="O395" s="127">
        <v>0.30853999999999998</v>
      </c>
      <c r="P395" s="127">
        <f t="shared" si="92"/>
        <v>53.824802999999996</v>
      </c>
      <c r="Q395" s="127">
        <v>2.9999999999999997E-4</v>
      </c>
      <c r="R395" s="127">
        <f t="shared" si="93"/>
        <v>5.2334999999999993E-2</v>
      </c>
      <c r="S395" s="127">
        <v>0</v>
      </c>
      <c r="T395" s="128">
        <f t="shared" si="94"/>
        <v>0</v>
      </c>
      <c r="W395" s="199"/>
      <c r="X395" s="205" t="s">
        <v>532</v>
      </c>
      <c r="Y395" s="119" t="s">
        <v>231</v>
      </c>
      <c r="Z395" s="120" t="s">
        <v>842</v>
      </c>
      <c r="AA395" s="121" t="s">
        <v>843</v>
      </c>
      <c r="AB395" s="122" t="s">
        <v>284</v>
      </c>
      <c r="AC395" s="206">
        <f>174.45+146.078+60.477</f>
        <v>381.005</v>
      </c>
      <c r="AD395" s="124">
        <v>4.0599999999999996</v>
      </c>
      <c r="AE395" s="200">
        <f t="shared" si="95"/>
        <v>1546.88</v>
      </c>
      <c r="AF395" s="956" t="s">
        <v>6323</v>
      </c>
      <c r="AG395" s="407"/>
      <c r="AR395" s="129" t="s">
        <v>258</v>
      </c>
      <c r="AT395" s="129" t="s">
        <v>231</v>
      </c>
      <c r="AU395" s="129" t="s">
        <v>76</v>
      </c>
      <c r="AY395" s="13" t="s">
        <v>228</v>
      </c>
      <c r="BE395" s="130">
        <f t="shared" si="96"/>
        <v>0</v>
      </c>
      <c r="BF395" s="130">
        <f t="shared" si="97"/>
        <v>708.27</v>
      </c>
      <c r="BG395" s="130">
        <f t="shared" si="98"/>
        <v>0</v>
      </c>
      <c r="BH395" s="130">
        <f t="shared" si="99"/>
        <v>0</v>
      </c>
      <c r="BI395" s="130">
        <f t="shared" si="100"/>
        <v>0</v>
      </c>
      <c r="BJ395" s="13" t="s">
        <v>76</v>
      </c>
      <c r="BK395" s="130">
        <f t="shared" si="101"/>
        <v>708.27</v>
      </c>
      <c r="BL395" s="13" t="s">
        <v>258</v>
      </c>
      <c r="BM395" s="129" t="s">
        <v>844</v>
      </c>
    </row>
    <row r="396" spans="2:65" s="1" customFormat="1" ht="18" customHeight="1" x14ac:dyDescent="0.2">
      <c r="B396" s="118"/>
      <c r="C396" s="242" t="s">
        <v>845</v>
      </c>
      <c r="D396" s="131" t="s">
        <v>277</v>
      </c>
      <c r="E396" s="132" t="s">
        <v>846</v>
      </c>
      <c r="F396" s="133" t="s">
        <v>847</v>
      </c>
      <c r="G396" s="134" t="s">
        <v>284</v>
      </c>
      <c r="H396" s="241">
        <v>200.61799999999999</v>
      </c>
      <c r="I396" s="136">
        <v>17.420000000000002</v>
      </c>
      <c r="J396" s="136">
        <f t="shared" si="91"/>
        <v>3494.77</v>
      </c>
      <c r="K396" s="133" t="s">
        <v>1</v>
      </c>
      <c r="L396" s="137"/>
      <c r="M396" s="138" t="s">
        <v>1</v>
      </c>
      <c r="N396" s="139" t="s">
        <v>32</v>
      </c>
      <c r="O396" s="127">
        <v>0</v>
      </c>
      <c r="P396" s="127">
        <f t="shared" si="92"/>
        <v>0</v>
      </c>
      <c r="Q396" s="127">
        <v>0</v>
      </c>
      <c r="R396" s="127">
        <f t="shared" si="93"/>
        <v>0</v>
      </c>
      <c r="S396" s="127">
        <v>0</v>
      </c>
      <c r="T396" s="128">
        <f t="shared" si="94"/>
        <v>0</v>
      </c>
      <c r="W396" s="199"/>
      <c r="X396" s="242" t="s">
        <v>845</v>
      </c>
      <c r="Y396" s="131" t="s">
        <v>277</v>
      </c>
      <c r="Z396" s="132" t="s">
        <v>846</v>
      </c>
      <c r="AA396" s="133" t="s">
        <v>847</v>
      </c>
      <c r="AB396" s="134" t="s">
        <v>284</v>
      </c>
      <c r="AC396" s="241">
        <f>200.618+167.99+69.548</f>
        <v>438.15600000000001</v>
      </c>
      <c r="AD396" s="136">
        <v>17.420000000000002</v>
      </c>
      <c r="AE396" s="229">
        <f t="shared" si="95"/>
        <v>7632.68</v>
      </c>
      <c r="AF396" s="956" t="s">
        <v>6323</v>
      </c>
      <c r="AG396" s="407"/>
      <c r="AR396" s="129" t="s">
        <v>288</v>
      </c>
      <c r="AT396" s="129" t="s">
        <v>277</v>
      </c>
      <c r="AU396" s="129" t="s">
        <v>76</v>
      </c>
      <c r="AY396" s="13" t="s">
        <v>228</v>
      </c>
      <c r="BE396" s="130">
        <f t="shared" si="96"/>
        <v>0</v>
      </c>
      <c r="BF396" s="130">
        <f t="shared" si="97"/>
        <v>3494.77</v>
      </c>
      <c r="BG396" s="130">
        <f t="shared" si="98"/>
        <v>0</v>
      </c>
      <c r="BH396" s="130">
        <f t="shared" si="99"/>
        <v>0</v>
      </c>
      <c r="BI396" s="130">
        <f t="shared" si="100"/>
        <v>0</v>
      </c>
      <c r="BJ396" s="13" t="s">
        <v>76</v>
      </c>
      <c r="BK396" s="130">
        <f t="shared" si="101"/>
        <v>3494.77</v>
      </c>
      <c r="BL396" s="13" t="s">
        <v>258</v>
      </c>
      <c r="BM396" s="129" t="s">
        <v>848</v>
      </c>
    </row>
    <row r="397" spans="2:65" s="1" customFormat="1" ht="22.8" x14ac:dyDescent="0.2">
      <c r="B397" s="118"/>
      <c r="C397" s="119" t="s">
        <v>535</v>
      </c>
      <c r="D397" s="119" t="s">
        <v>231</v>
      </c>
      <c r="E397" s="120" t="s">
        <v>849</v>
      </c>
      <c r="F397" s="121" t="s">
        <v>850</v>
      </c>
      <c r="G397" s="122" t="s">
        <v>284</v>
      </c>
      <c r="H397" s="123">
        <v>79.290000000000006</v>
      </c>
      <c r="I397" s="124">
        <v>5.22</v>
      </c>
      <c r="J397" s="124">
        <f t="shared" si="91"/>
        <v>413.89</v>
      </c>
      <c r="K397" s="121" t="s">
        <v>1</v>
      </c>
      <c r="L397" s="24"/>
      <c r="M397" s="125" t="s">
        <v>1</v>
      </c>
      <c r="N397" s="126" t="s">
        <v>32</v>
      </c>
      <c r="O397" s="127">
        <v>0.46662999999999999</v>
      </c>
      <c r="P397" s="127">
        <f t="shared" si="92"/>
        <v>36.999092700000006</v>
      </c>
      <c r="Q397" s="127">
        <v>3.5E-4</v>
      </c>
      <c r="R397" s="127">
        <f t="shared" si="93"/>
        <v>2.7751500000000002E-2</v>
      </c>
      <c r="S397" s="127">
        <v>0</v>
      </c>
      <c r="T397" s="128">
        <f t="shared" si="94"/>
        <v>0</v>
      </c>
      <c r="W397" s="199"/>
      <c r="X397" s="1070" t="s">
        <v>535</v>
      </c>
      <c r="Y397" s="119" t="s">
        <v>231</v>
      </c>
      <c r="Z397" s="120" t="s">
        <v>849</v>
      </c>
      <c r="AA397" s="121" t="s">
        <v>850</v>
      </c>
      <c r="AB397" s="122" t="s">
        <v>284</v>
      </c>
      <c r="AC397" s="1071">
        <f>79.29+61.255</f>
        <v>140.54500000000002</v>
      </c>
      <c r="AD397" s="124">
        <v>5.22</v>
      </c>
      <c r="AE397" s="200">
        <f t="shared" si="95"/>
        <v>733.64</v>
      </c>
      <c r="AF397" s="956">
        <v>22</v>
      </c>
      <c r="AG397" s="407"/>
      <c r="AR397" s="129" t="s">
        <v>258</v>
      </c>
      <c r="AT397" s="129" t="s">
        <v>231</v>
      </c>
      <c r="AU397" s="129" t="s">
        <v>76</v>
      </c>
      <c r="AY397" s="13" t="s">
        <v>228</v>
      </c>
      <c r="BE397" s="130">
        <f t="shared" si="96"/>
        <v>0</v>
      </c>
      <c r="BF397" s="130">
        <f t="shared" si="97"/>
        <v>413.89</v>
      </c>
      <c r="BG397" s="130">
        <f t="shared" si="98"/>
        <v>0</v>
      </c>
      <c r="BH397" s="130">
        <f t="shared" si="99"/>
        <v>0</v>
      </c>
      <c r="BI397" s="130">
        <f t="shared" si="100"/>
        <v>0</v>
      </c>
      <c r="BJ397" s="13" t="s">
        <v>76</v>
      </c>
      <c r="BK397" s="130">
        <f t="shared" si="101"/>
        <v>413.89</v>
      </c>
      <c r="BL397" s="13" t="s">
        <v>258</v>
      </c>
      <c r="BM397" s="129" t="s">
        <v>851</v>
      </c>
    </row>
    <row r="398" spans="2:65" s="1" customFormat="1" ht="22.8" x14ac:dyDescent="0.2">
      <c r="B398" s="118"/>
      <c r="C398" s="131" t="s">
        <v>852</v>
      </c>
      <c r="D398" s="131" t="s">
        <v>277</v>
      </c>
      <c r="E398" s="132" t="s">
        <v>853</v>
      </c>
      <c r="F398" s="133" t="s">
        <v>854</v>
      </c>
      <c r="G398" s="134" t="s">
        <v>284</v>
      </c>
      <c r="H398" s="135">
        <v>99</v>
      </c>
      <c r="I398" s="136">
        <v>30.19</v>
      </c>
      <c r="J398" s="136">
        <f t="shared" si="91"/>
        <v>2988.81</v>
      </c>
      <c r="K398" s="133" t="s">
        <v>1</v>
      </c>
      <c r="L398" s="137"/>
      <c r="M398" s="138" t="s">
        <v>1</v>
      </c>
      <c r="N398" s="139" t="s">
        <v>32</v>
      </c>
      <c r="O398" s="127">
        <v>0</v>
      </c>
      <c r="P398" s="127">
        <f t="shared" si="92"/>
        <v>0</v>
      </c>
      <c r="Q398" s="127">
        <v>0</v>
      </c>
      <c r="R398" s="127">
        <f t="shared" si="93"/>
        <v>0</v>
      </c>
      <c r="S398" s="127">
        <v>0</v>
      </c>
      <c r="T398" s="128">
        <f t="shared" si="94"/>
        <v>0</v>
      </c>
      <c r="W398" s="199"/>
      <c r="X398" s="131" t="s">
        <v>852</v>
      </c>
      <c r="Y398" s="131" t="s">
        <v>277</v>
      </c>
      <c r="Z398" s="132" t="s">
        <v>853</v>
      </c>
      <c r="AA398" s="133" t="s">
        <v>854</v>
      </c>
      <c r="AB398" s="134" t="s">
        <v>284</v>
      </c>
      <c r="AC398" s="135">
        <f>99+76.446</f>
        <v>175.446</v>
      </c>
      <c r="AD398" s="136">
        <v>30.19</v>
      </c>
      <c r="AE398" s="229">
        <f t="shared" si="95"/>
        <v>5296.71</v>
      </c>
      <c r="AF398" s="956">
        <v>22</v>
      </c>
      <c r="AG398" s="407"/>
      <c r="AR398" s="129" t="s">
        <v>288</v>
      </c>
      <c r="AT398" s="129" t="s">
        <v>277</v>
      </c>
      <c r="AU398" s="129" t="s">
        <v>76</v>
      </c>
      <c r="AY398" s="13" t="s">
        <v>228</v>
      </c>
      <c r="BE398" s="130">
        <f t="shared" si="96"/>
        <v>0</v>
      </c>
      <c r="BF398" s="130">
        <f t="shared" si="97"/>
        <v>2988.81</v>
      </c>
      <c r="BG398" s="130">
        <f t="shared" si="98"/>
        <v>0</v>
      </c>
      <c r="BH398" s="130">
        <f t="shared" si="99"/>
        <v>0</v>
      </c>
      <c r="BI398" s="130">
        <f t="shared" si="100"/>
        <v>0</v>
      </c>
      <c r="BJ398" s="13" t="s">
        <v>76</v>
      </c>
      <c r="BK398" s="130">
        <f t="shared" si="101"/>
        <v>2988.81</v>
      </c>
      <c r="BL398" s="13" t="s">
        <v>258</v>
      </c>
      <c r="BM398" s="129" t="s">
        <v>855</v>
      </c>
    </row>
    <row r="399" spans="2:65" s="1" customFormat="1" ht="22.8" x14ac:dyDescent="0.2">
      <c r="B399" s="118"/>
      <c r="C399" s="119" t="s">
        <v>539</v>
      </c>
      <c r="D399" s="119" t="s">
        <v>231</v>
      </c>
      <c r="E399" s="120" t="s">
        <v>856</v>
      </c>
      <c r="F399" s="121" t="s">
        <v>857</v>
      </c>
      <c r="G399" s="122" t="s">
        <v>284</v>
      </c>
      <c r="H399" s="123">
        <v>79.290000000000006</v>
      </c>
      <c r="I399" s="124">
        <v>8.7100000000000009</v>
      </c>
      <c r="J399" s="124">
        <f t="shared" si="91"/>
        <v>690.62</v>
      </c>
      <c r="K399" s="121" t="s">
        <v>1</v>
      </c>
      <c r="L399" s="24"/>
      <c r="M399" s="125" t="s">
        <v>1</v>
      </c>
      <c r="N399" s="126" t="s">
        <v>32</v>
      </c>
      <c r="O399" s="127">
        <v>0</v>
      </c>
      <c r="P399" s="127">
        <f t="shared" si="92"/>
        <v>0</v>
      </c>
      <c r="Q399" s="127">
        <v>0</v>
      </c>
      <c r="R399" s="127">
        <f t="shared" si="93"/>
        <v>0</v>
      </c>
      <c r="S399" s="127">
        <v>0</v>
      </c>
      <c r="T399" s="128">
        <f t="shared" si="94"/>
        <v>0</v>
      </c>
      <c r="W399" s="199"/>
      <c r="X399" s="119" t="s">
        <v>539</v>
      </c>
      <c r="Y399" s="119" t="s">
        <v>231</v>
      </c>
      <c r="Z399" s="120" t="s">
        <v>856</v>
      </c>
      <c r="AA399" s="121" t="s">
        <v>857</v>
      </c>
      <c r="AB399" s="122" t="s">
        <v>284</v>
      </c>
      <c r="AC399" s="123">
        <v>79.290000000000006</v>
      </c>
      <c r="AD399" s="124">
        <v>8.7100000000000009</v>
      </c>
      <c r="AE399" s="200">
        <f t="shared" si="95"/>
        <v>690.62</v>
      </c>
      <c r="AF399" s="956"/>
      <c r="AG399" s="407"/>
      <c r="AR399" s="129" t="s">
        <v>258</v>
      </c>
      <c r="AT399" s="129" t="s">
        <v>231</v>
      </c>
      <c r="AU399" s="129" t="s">
        <v>76</v>
      </c>
      <c r="AY399" s="13" t="s">
        <v>228</v>
      </c>
      <c r="BE399" s="130">
        <f t="shared" si="96"/>
        <v>0</v>
      </c>
      <c r="BF399" s="130">
        <f t="shared" si="97"/>
        <v>690.62</v>
      </c>
      <c r="BG399" s="130">
        <f t="shared" si="98"/>
        <v>0</v>
      </c>
      <c r="BH399" s="130">
        <f t="shared" si="99"/>
        <v>0</v>
      </c>
      <c r="BI399" s="130">
        <f t="shared" si="100"/>
        <v>0</v>
      </c>
      <c r="BJ399" s="13" t="s">
        <v>76</v>
      </c>
      <c r="BK399" s="130">
        <f t="shared" si="101"/>
        <v>690.62</v>
      </c>
      <c r="BL399" s="13" t="s">
        <v>258</v>
      </c>
      <c r="BM399" s="129" t="s">
        <v>858</v>
      </c>
    </row>
    <row r="400" spans="2:65" s="1" customFormat="1" ht="22.8" x14ac:dyDescent="0.2">
      <c r="B400" s="118"/>
      <c r="C400" s="205" t="s">
        <v>859</v>
      </c>
      <c r="D400" s="119" t="s">
        <v>231</v>
      </c>
      <c r="E400" s="120" t="s">
        <v>860</v>
      </c>
      <c r="F400" s="121" t="s">
        <v>861</v>
      </c>
      <c r="G400" s="122" t="s">
        <v>570</v>
      </c>
      <c r="H400" s="206">
        <v>136.87700000000001</v>
      </c>
      <c r="I400" s="124">
        <v>1.1599999999999999</v>
      </c>
      <c r="J400" s="124">
        <f t="shared" si="91"/>
        <v>158.78</v>
      </c>
      <c r="K400" s="121" t="s">
        <v>1</v>
      </c>
      <c r="L400" s="24"/>
      <c r="M400" s="125" t="s">
        <v>1</v>
      </c>
      <c r="N400" s="126" t="s">
        <v>32</v>
      </c>
      <c r="O400" s="127">
        <v>0</v>
      </c>
      <c r="P400" s="127">
        <f t="shared" si="92"/>
        <v>0</v>
      </c>
      <c r="Q400" s="127">
        <v>0</v>
      </c>
      <c r="R400" s="127">
        <f t="shared" si="93"/>
        <v>0</v>
      </c>
      <c r="S400" s="127">
        <v>0</v>
      </c>
      <c r="T400" s="128">
        <f t="shared" si="94"/>
        <v>0</v>
      </c>
      <c r="W400" s="199"/>
      <c r="X400" s="205" t="s">
        <v>859</v>
      </c>
      <c r="Y400" s="119" t="s">
        <v>231</v>
      </c>
      <c r="Z400" s="120" t="s">
        <v>860</v>
      </c>
      <c r="AA400" s="121" t="s">
        <v>861</v>
      </c>
      <c r="AB400" s="122" t="s">
        <v>570</v>
      </c>
      <c r="AC400" s="206">
        <f>136.877+48.949+26.083+29.045</f>
        <v>240.95400000000001</v>
      </c>
      <c r="AD400" s="124">
        <v>1.1599999999999999</v>
      </c>
      <c r="AE400" s="200">
        <f t="shared" si="95"/>
        <v>279.51</v>
      </c>
      <c r="AF400" s="956" t="s">
        <v>6662</v>
      </c>
      <c r="AG400" s="407"/>
      <c r="AR400" s="129" t="s">
        <v>258</v>
      </c>
      <c r="AT400" s="129" t="s">
        <v>231</v>
      </c>
      <c r="AU400" s="129" t="s">
        <v>76</v>
      </c>
      <c r="AY400" s="13" t="s">
        <v>228</v>
      </c>
      <c r="BE400" s="130">
        <f t="shared" si="96"/>
        <v>0</v>
      </c>
      <c r="BF400" s="130">
        <f t="shared" si="97"/>
        <v>158.78</v>
      </c>
      <c r="BG400" s="130">
        <f t="shared" si="98"/>
        <v>0</v>
      </c>
      <c r="BH400" s="130">
        <f t="shared" si="99"/>
        <v>0</v>
      </c>
      <c r="BI400" s="130">
        <f t="shared" si="100"/>
        <v>0</v>
      </c>
      <c r="BJ400" s="13" t="s">
        <v>76</v>
      </c>
      <c r="BK400" s="130">
        <f t="shared" si="101"/>
        <v>158.78</v>
      </c>
      <c r="BL400" s="13" t="s">
        <v>258</v>
      </c>
      <c r="BM400" s="129" t="s">
        <v>862</v>
      </c>
    </row>
    <row r="401" spans="2:65" s="11" customFormat="1" ht="21.45" customHeight="1" x14ac:dyDescent="0.25">
      <c r="B401" s="106"/>
      <c r="D401" s="107" t="s">
        <v>57</v>
      </c>
      <c r="E401" s="116" t="s">
        <v>863</v>
      </c>
      <c r="F401" s="116" t="s">
        <v>864</v>
      </c>
      <c r="J401" s="117">
        <f>BK401</f>
        <v>18919.84</v>
      </c>
      <c r="L401" s="106"/>
      <c r="M401" s="110"/>
      <c r="N401" s="111"/>
      <c r="O401" s="111"/>
      <c r="P401" s="112">
        <f>SUM(P402:P406)</f>
        <v>4.218</v>
      </c>
      <c r="Q401" s="111"/>
      <c r="R401" s="112">
        <f>SUM(R402:R406)</f>
        <v>5.5500000000000001E-2</v>
      </c>
      <c r="S401" s="111"/>
      <c r="T401" s="113">
        <f>SUM(T402:T406)</f>
        <v>0</v>
      </c>
      <c r="W401" s="195"/>
      <c r="X401" s="111"/>
      <c r="Y401" s="196" t="s">
        <v>57</v>
      </c>
      <c r="Z401" s="201" t="s">
        <v>863</v>
      </c>
      <c r="AA401" s="201" t="s">
        <v>864</v>
      </c>
      <c r="AB401" s="111"/>
      <c r="AC401" s="111"/>
      <c r="AD401" s="111"/>
      <c r="AE401" s="202">
        <f>SUM(AE402:AE406)</f>
        <v>22425.32</v>
      </c>
      <c r="AF401" s="956"/>
      <c r="AG401" s="292"/>
      <c r="AR401" s="107" t="s">
        <v>76</v>
      </c>
      <c r="AT401" s="114" t="s">
        <v>57</v>
      </c>
      <c r="AU401" s="114" t="s">
        <v>63</v>
      </c>
      <c r="AY401" s="107" t="s">
        <v>228</v>
      </c>
      <c r="BK401" s="115">
        <f>SUM(BK402:BK406)</f>
        <v>18919.84</v>
      </c>
    </row>
    <row r="402" spans="2:65" s="1" customFormat="1" ht="22.8" x14ac:dyDescent="0.2">
      <c r="B402" s="118"/>
      <c r="C402" s="205" t="s">
        <v>542</v>
      </c>
      <c r="D402" s="119" t="s">
        <v>231</v>
      </c>
      <c r="E402" s="120" t="s">
        <v>865</v>
      </c>
      <c r="F402" s="121" t="s">
        <v>866</v>
      </c>
      <c r="G402" s="122" t="s">
        <v>284</v>
      </c>
      <c r="H402" s="206">
        <v>451.89400000000001</v>
      </c>
      <c r="I402" s="124">
        <v>25.54</v>
      </c>
      <c r="J402" s="124">
        <f>ROUND(I402*H402,2)</f>
        <v>11541.37</v>
      </c>
      <c r="K402" s="121" t="s">
        <v>1</v>
      </c>
      <c r="L402" s="24"/>
      <c r="M402" s="125" t="s">
        <v>1</v>
      </c>
      <c r="N402" s="126" t="s">
        <v>32</v>
      </c>
      <c r="O402" s="127">
        <v>0</v>
      </c>
      <c r="P402" s="127">
        <f>O402*H402</f>
        <v>0</v>
      </c>
      <c r="Q402" s="127">
        <v>0</v>
      </c>
      <c r="R402" s="127">
        <f>Q402*H402</f>
        <v>0</v>
      </c>
      <c r="S402" s="127">
        <v>0</v>
      </c>
      <c r="T402" s="128">
        <f>S402*H402</f>
        <v>0</v>
      </c>
      <c r="W402" s="199"/>
      <c r="X402" s="205" t="s">
        <v>542</v>
      </c>
      <c r="Y402" s="119" t="s">
        <v>231</v>
      </c>
      <c r="Z402" s="120" t="s">
        <v>865</v>
      </c>
      <c r="AA402" s="121" t="s">
        <v>866</v>
      </c>
      <c r="AB402" s="122" t="s">
        <v>284</v>
      </c>
      <c r="AC402" s="206">
        <f>451.894+34.564+30.851+15.7</f>
        <v>533.00900000000001</v>
      </c>
      <c r="AD402" s="124">
        <v>25.54</v>
      </c>
      <c r="AE402" s="200">
        <f>ROUND(AD402*AC402,2)</f>
        <v>13613.05</v>
      </c>
      <c r="AF402" s="956" t="s">
        <v>6662</v>
      </c>
      <c r="AG402" s="407"/>
      <c r="AR402" s="129" t="s">
        <v>258</v>
      </c>
      <c r="AT402" s="129" t="s">
        <v>231</v>
      </c>
      <c r="AU402" s="129" t="s">
        <v>76</v>
      </c>
      <c r="AY402" s="13" t="s">
        <v>228</v>
      </c>
      <c r="BE402" s="130">
        <f>IF(N402="základná",J402,0)</f>
        <v>0</v>
      </c>
      <c r="BF402" s="130">
        <f>IF(N402="znížená",J402,0)</f>
        <v>11541.37</v>
      </c>
      <c r="BG402" s="130">
        <f>IF(N402="zákl. prenesená",J402,0)</f>
        <v>0</v>
      </c>
      <c r="BH402" s="130">
        <f>IF(N402="zníž. prenesená",J402,0)</f>
        <v>0</v>
      </c>
      <c r="BI402" s="130">
        <f>IF(N402="nulová",J402,0)</f>
        <v>0</v>
      </c>
      <c r="BJ402" s="13" t="s">
        <v>76</v>
      </c>
      <c r="BK402" s="130">
        <f>ROUND(I402*H402,2)</f>
        <v>11541.37</v>
      </c>
      <c r="BL402" s="13" t="s">
        <v>258</v>
      </c>
      <c r="BM402" s="129" t="s">
        <v>867</v>
      </c>
    </row>
    <row r="403" spans="2:65" s="1" customFormat="1" ht="16.95" customHeight="1" x14ac:dyDescent="0.2">
      <c r="B403" s="118"/>
      <c r="C403" s="242" t="s">
        <v>868</v>
      </c>
      <c r="D403" s="131" t="s">
        <v>277</v>
      </c>
      <c r="E403" s="132" t="s">
        <v>869</v>
      </c>
      <c r="F403" s="133" t="s">
        <v>870</v>
      </c>
      <c r="G403" s="134" t="s">
        <v>284</v>
      </c>
      <c r="H403" s="241">
        <v>474.49</v>
      </c>
      <c r="I403" s="136">
        <v>13.93</v>
      </c>
      <c r="J403" s="136">
        <f>ROUND(I403*H403,2)</f>
        <v>6609.65</v>
      </c>
      <c r="K403" s="133" t="s">
        <v>1</v>
      </c>
      <c r="L403" s="137"/>
      <c r="M403" s="138" t="s">
        <v>1</v>
      </c>
      <c r="N403" s="139" t="s">
        <v>32</v>
      </c>
      <c r="O403" s="127">
        <v>0</v>
      </c>
      <c r="P403" s="127">
        <f>O403*H403</f>
        <v>0</v>
      </c>
      <c r="Q403" s="127">
        <v>0</v>
      </c>
      <c r="R403" s="127">
        <f>Q403*H403</f>
        <v>0</v>
      </c>
      <c r="S403" s="127">
        <v>0</v>
      </c>
      <c r="T403" s="128">
        <f>S403*H403</f>
        <v>0</v>
      </c>
      <c r="W403" s="199"/>
      <c r="X403" s="242" t="s">
        <v>868</v>
      </c>
      <c r="Y403" s="131" t="s">
        <v>277</v>
      </c>
      <c r="Z403" s="132" t="s">
        <v>869</v>
      </c>
      <c r="AA403" s="133" t="s">
        <v>870</v>
      </c>
      <c r="AB403" s="134" t="s">
        <v>284</v>
      </c>
      <c r="AC403" s="241">
        <f>474.49+36.292+32.392+16.485</f>
        <v>559.65900000000011</v>
      </c>
      <c r="AD403" s="136">
        <v>13.93</v>
      </c>
      <c r="AE403" s="229">
        <f>ROUND(AD403*AC403,2)</f>
        <v>7796.05</v>
      </c>
      <c r="AF403" s="956" t="s">
        <v>6662</v>
      </c>
      <c r="AG403" s="407"/>
      <c r="AR403" s="129" t="s">
        <v>288</v>
      </c>
      <c r="AT403" s="129" t="s">
        <v>277</v>
      </c>
      <c r="AU403" s="129" t="s">
        <v>76</v>
      </c>
      <c r="AY403" s="13" t="s">
        <v>228</v>
      </c>
      <c r="BE403" s="130">
        <f>IF(N403="základná",J403,0)</f>
        <v>0</v>
      </c>
      <c r="BF403" s="130">
        <f>IF(N403="znížená",J403,0)</f>
        <v>6609.65</v>
      </c>
      <c r="BG403" s="130">
        <f>IF(N403="zákl. prenesená",J403,0)</f>
        <v>0</v>
      </c>
      <c r="BH403" s="130">
        <f>IF(N403="zníž. prenesená",J403,0)</f>
        <v>0</v>
      </c>
      <c r="BI403" s="130">
        <f>IF(N403="nulová",J403,0)</f>
        <v>0</v>
      </c>
      <c r="BJ403" s="13" t="s">
        <v>76</v>
      </c>
      <c r="BK403" s="130">
        <f>ROUND(I403*H403,2)</f>
        <v>6609.65</v>
      </c>
      <c r="BL403" s="13" t="s">
        <v>258</v>
      </c>
      <c r="BM403" s="129" t="s">
        <v>871</v>
      </c>
    </row>
    <row r="404" spans="2:65" s="1" customFormat="1" ht="22.8" x14ac:dyDescent="0.2">
      <c r="B404" s="118"/>
      <c r="C404" s="205" t="s">
        <v>546</v>
      </c>
      <c r="D404" s="119" t="s">
        <v>231</v>
      </c>
      <c r="E404" s="120" t="s">
        <v>872</v>
      </c>
      <c r="F404" s="121" t="s">
        <v>873</v>
      </c>
      <c r="G404" s="122" t="s">
        <v>284</v>
      </c>
      <c r="H404" s="206">
        <v>102.443</v>
      </c>
      <c r="I404" s="124">
        <v>1.74</v>
      </c>
      <c r="J404" s="124">
        <f>ROUND(I404*H404,2)</f>
        <v>178.25</v>
      </c>
      <c r="K404" s="121" t="s">
        <v>1</v>
      </c>
      <c r="L404" s="24"/>
      <c r="M404" s="125" t="s">
        <v>1</v>
      </c>
      <c r="N404" s="126" t="s">
        <v>32</v>
      </c>
      <c r="O404" s="127">
        <v>0</v>
      </c>
      <c r="P404" s="127">
        <f>O404*H404</f>
        <v>0</v>
      </c>
      <c r="Q404" s="127">
        <v>0</v>
      </c>
      <c r="R404" s="127">
        <f>Q404*H404</f>
        <v>0</v>
      </c>
      <c r="S404" s="127">
        <v>0</v>
      </c>
      <c r="T404" s="128">
        <f>S404*H404</f>
        <v>0</v>
      </c>
      <c r="W404" s="199"/>
      <c r="X404" s="205" t="s">
        <v>546</v>
      </c>
      <c r="Y404" s="119" t="s">
        <v>231</v>
      </c>
      <c r="Z404" s="120" t="s">
        <v>872</v>
      </c>
      <c r="AA404" s="121" t="s">
        <v>873</v>
      </c>
      <c r="AB404" s="122" t="s">
        <v>284</v>
      </c>
      <c r="AC404" s="206">
        <f>102.443+34.564</f>
        <v>137.00700000000001</v>
      </c>
      <c r="AD404" s="124">
        <v>1.74</v>
      </c>
      <c r="AE404" s="200">
        <f>ROUND(AD404*AC404,2)</f>
        <v>238.39</v>
      </c>
      <c r="AF404" s="956">
        <v>4</v>
      </c>
      <c r="AG404" s="407"/>
      <c r="AR404" s="129" t="s">
        <v>258</v>
      </c>
      <c r="AT404" s="129" t="s">
        <v>231</v>
      </c>
      <c r="AU404" s="129" t="s">
        <v>76</v>
      </c>
      <c r="AY404" s="13" t="s">
        <v>228</v>
      </c>
      <c r="BE404" s="130">
        <f>IF(N404="základná",J404,0)</f>
        <v>0</v>
      </c>
      <c r="BF404" s="130">
        <f>IF(N404="znížená",J404,0)</f>
        <v>178.25</v>
      </c>
      <c r="BG404" s="130">
        <f>IF(N404="zákl. prenesená",J404,0)</f>
        <v>0</v>
      </c>
      <c r="BH404" s="130">
        <f>IF(N404="zníž. prenesená",J404,0)</f>
        <v>0</v>
      </c>
      <c r="BI404" s="130">
        <f>IF(N404="nulová",J404,0)</f>
        <v>0</v>
      </c>
      <c r="BJ404" s="13" t="s">
        <v>76</v>
      </c>
      <c r="BK404" s="130">
        <f>ROUND(I404*H404,2)</f>
        <v>178.25</v>
      </c>
      <c r="BL404" s="13" t="s">
        <v>258</v>
      </c>
      <c r="BM404" s="129" t="s">
        <v>874</v>
      </c>
    </row>
    <row r="405" spans="2:65" s="1" customFormat="1" ht="18.45" customHeight="1" x14ac:dyDescent="0.2">
      <c r="B405" s="118"/>
      <c r="C405" s="205" t="s">
        <v>875</v>
      </c>
      <c r="D405" s="119" t="s">
        <v>231</v>
      </c>
      <c r="E405" s="120" t="s">
        <v>876</v>
      </c>
      <c r="F405" s="121" t="s">
        <v>877</v>
      </c>
      <c r="G405" s="122" t="s">
        <v>292</v>
      </c>
      <c r="H405" s="206">
        <v>111</v>
      </c>
      <c r="I405" s="124">
        <v>1.1599999999999999</v>
      </c>
      <c r="J405" s="124">
        <f>ROUND(I405*H405,2)</f>
        <v>128.76</v>
      </c>
      <c r="K405" s="121" t="s">
        <v>1</v>
      </c>
      <c r="L405" s="24"/>
      <c r="M405" s="125" t="s">
        <v>1</v>
      </c>
      <c r="N405" s="126" t="s">
        <v>32</v>
      </c>
      <c r="O405" s="127">
        <v>3.7999999999999999E-2</v>
      </c>
      <c r="P405" s="127">
        <f>O405*H405</f>
        <v>4.218</v>
      </c>
      <c r="Q405" s="127">
        <v>5.0000000000000001E-4</v>
      </c>
      <c r="R405" s="127">
        <f>Q405*H405</f>
        <v>5.5500000000000001E-2</v>
      </c>
      <c r="S405" s="127">
        <v>0</v>
      </c>
      <c r="T405" s="128">
        <f>S405*H405</f>
        <v>0</v>
      </c>
      <c r="W405" s="199"/>
      <c r="X405" s="205" t="s">
        <v>875</v>
      </c>
      <c r="Y405" s="119" t="s">
        <v>231</v>
      </c>
      <c r="Z405" s="120" t="s">
        <v>876</v>
      </c>
      <c r="AA405" s="121" t="s">
        <v>877</v>
      </c>
      <c r="AB405" s="122" t="s">
        <v>292</v>
      </c>
      <c r="AC405" s="206">
        <f>111+49.84+24.5</f>
        <v>185.34</v>
      </c>
      <c r="AD405" s="124">
        <v>1.1599999999999999</v>
      </c>
      <c r="AE405" s="200">
        <f>ROUND(AD405*AC405,2)</f>
        <v>214.99</v>
      </c>
      <c r="AF405" s="956" t="s">
        <v>6660</v>
      </c>
      <c r="AG405" s="407"/>
      <c r="AR405" s="129" t="s">
        <v>258</v>
      </c>
      <c r="AT405" s="129" t="s">
        <v>231</v>
      </c>
      <c r="AU405" s="129" t="s">
        <v>76</v>
      </c>
      <c r="AY405" s="13" t="s">
        <v>228</v>
      </c>
      <c r="BE405" s="130">
        <f>IF(N405="základná",J405,0)</f>
        <v>0</v>
      </c>
      <c r="BF405" s="130">
        <f>IF(N405="znížená",J405,0)</f>
        <v>128.76</v>
      </c>
      <c r="BG405" s="130">
        <f>IF(N405="zákl. prenesená",J405,0)</f>
        <v>0</v>
      </c>
      <c r="BH405" s="130">
        <f>IF(N405="zníž. prenesená",J405,0)</f>
        <v>0</v>
      </c>
      <c r="BI405" s="130">
        <f>IF(N405="nulová",J405,0)</f>
        <v>0</v>
      </c>
      <c r="BJ405" s="13" t="s">
        <v>76</v>
      </c>
      <c r="BK405" s="130">
        <f>ROUND(I405*H405,2)</f>
        <v>128.76</v>
      </c>
      <c r="BL405" s="13" t="s">
        <v>258</v>
      </c>
      <c r="BM405" s="129" t="s">
        <v>878</v>
      </c>
    </row>
    <row r="406" spans="2:65" s="1" customFormat="1" ht="22.8" x14ac:dyDescent="0.2">
      <c r="B406" s="118"/>
      <c r="C406" s="205" t="s">
        <v>549</v>
      </c>
      <c r="D406" s="119" t="s">
        <v>231</v>
      </c>
      <c r="E406" s="120" t="s">
        <v>879</v>
      </c>
      <c r="F406" s="121" t="s">
        <v>880</v>
      </c>
      <c r="G406" s="122" t="s">
        <v>570</v>
      </c>
      <c r="H406" s="206">
        <v>199.05799999999999</v>
      </c>
      <c r="I406" s="124">
        <v>2.3199999999999998</v>
      </c>
      <c r="J406" s="124">
        <f>ROUND(I406*H406,2)</f>
        <v>461.81</v>
      </c>
      <c r="K406" s="121" t="s">
        <v>1</v>
      </c>
      <c r="L406" s="24"/>
      <c r="M406" s="125" t="s">
        <v>1</v>
      </c>
      <c r="N406" s="126" t="s">
        <v>32</v>
      </c>
      <c r="O406" s="127">
        <v>0</v>
      </c>
      <c r="P406" s="127">
        <f>O406*H406</f>
        <v>0</v>
      </c>
      <c r="Q406" s="127">
        <v>0</v>
      </c>
      <c r="R406" s="127">
        <f>Q406*H406</f>
        <v>0</v>
      </c>
      <c r="S406" s="127">
        <v>0</v>
      </c>
      <c r="T406" s="128">
        <f>S406*H406</f>
        <v>0</v>
      </c>
      <c r="W406" s="199"/>
      <c r="X406" s="205" t="s">
        <v>549</v>
      </c>
      <c r="Y406" s="119" t="s">
        <v>231</v>
      </c>
      <c r="Z406" s="120" t="s">
        <v>879</v>
      </c>
      <c r="AA406" s="121" t="s">
        <v>880</v>
      </c>
      <c r="AB406" s="122" t="s">
        <v>570</v>
      </c>
      <c r="AC406" s="206">
        <f>199.058+24.563+12.392+6.59</f>
        <v>242.60299999999998</v>
      </c>
      <c r="AD406" s="124">
        <v>2.3199999999999998</v>
      </c>
      <c r="AE406" s="200">
        <f>ROUND(AD406*AC406,2)</f>
        <v>562.84</v>
      </c>
      <c r="AF406" s="956" t="s">
        <v>6662</v>
      </c>
      <c r="AG406" s="407"/>
      <c r="AR406" s="129" t="s">
        <v>258</v>
      </c>
      <c r="AT406" s="129" t="s">
        <v>231</v>
      </c>
      <c r="AU406" s="129" t="s">
        <v>76</v>
      </c>
      <c r="AY406" s="13" t="s">
        <v>228</v>
      </c>
      <c r="BE406" s="130">
        <f>IF(N406="základná",J406,0)</f>
        <v>0</v>
      </c>
      <c r="BF406" s="130">
        <f>IF(N406="znížená",J406,0)</f>
        <v>461.81</v>
      </c>
      <c r="BG406" s="130">
        <f>IF(N406="zákl. prenesená",J406,0)</f>
        <v>0</v>
      </c>
      <c r="BH406" s="130">
        <f>IF(N406="zníž. prenesená",J406,0)</f>
        <v>0</v>
      </c>
      <c r="BI406" s="130">
        <f>IF(N406="nulová",J406,0)</f>
        <v>0</v>
      </c>
      <c r="BJ406" s="13" t="s">
        <v>76</v>
      </c>
      <c r="BK406" s="130">
        <f>ROUND(I406*H406,2)</f>
        <v>461.81</v>
      </c>
      <c r="BL406" s="13" t="s">
        <v>258</v>
      </c>
      <c r="BM406" s="129" t="s">
        <v>881</v>
      </c>
    </row>
    <row r="407" spans="2:65" s="11" customFormat="1" ht="22.95" customHeight="1" x14ac:dyDescent="0.25">
      <c r="B407" s="106"/>
      <c r="D407" s="107" t="s">
        <v>57</v>
      </c>
      <c r="E407" s="116" t="s">
        <v>882</v>
      </c>
      <c r="F407" s="116" t="s">
        <v>883</v>
      </c>
      <c r="J407" s="117">
        <f>BK407</f>
        <v>9696.9700000000012</v>
      </c>
      <c r="L407" s="106"/>
      <c r="M407" s="110"/>
      <c r="N407" s="111"/>
      <c r="O407" s="111"/>
      <c r="P407" s="112">
        <f>SUM(P410:P413)</f>
        <v>60.743360000000003</v>
      </c>
      <c r="Q407" s="111"/>
      <c r="R407" s="112">
        <f>SUM(R410:R413)</f>
        <v>0</v>
      </c>
      <c r="S407" s="111"/>
      <c r="T407" s="113">
        <f>SUM(T410:T413)</f>
        <v>0</v>
      </c>
      <c r="W407" s="195"/>
      <c r="X407" s="111"/>
      <c r="Y407" s="196" t="s">
        <v>57</v>
      </c>
      <c r="Z407" s="201" t="s">
        <v>882</v>
      </c>
      <c r="AA407" s="201" t="s">
        <v>883</v>
      </c>
      <c r="AB407" s="111"/>
      <c r="AC407" s="111"/>
      <c r="AD407" s="111"/>
      <c r="AE407" s="202">
        <f>SUM(AE408:AE413)</f>
        <v>20389.27</v>
      </c>
      <c r="AF407" s="956"/>
      <c r="AG407" s="292"/>
      <c r="AR407" s="107" t="s">
        <v>76</v>
      </c>
      <c r="AT407" s="114" t="s">
        <v>57</v>
      </c>
      <c r="AU407" s="114" t="s">
        <v>63</v>
      </c>
      <c r="AY407" s="107" t="s">
        <v>228</v>
      </c>
      <c r="BK407" s="115">
        <f>SUM(BK410:BK413)</f>
        <v>9696.9700000000012</v>
      </c>
    </row>
    <row r="408" spans="2:65" s="11" customFormat="1" ht="30.45" customHeight="1" x14ac:dyDescent="0.2">
      <c r="B408" s="106"/>
      <c r="C408" s="1234" t="s">
        <v>5205</v>
      </c>
      <c r="D408" s="1235"/>
      <c r="E408" s="1235"/>
      <c r="F408" s="1235"/>
      <c r="G408" s="1235"/>
      <c r="H408" s="1235"/>
      <c r="I408" s="1235"/>
      <c r="J408" s="1236"/>
      <c r="L408" s="106"/>
      <c r="M408" s="110"/>
      <c r="N408" s="111"/>
      <c r="O408" s="111"/>
      <c r="P408" s="112"/>
      <c r="Q408" s="111"/>
      <c r="R408" s="112"/>
      <c r="S408" s="111"/>
      <c r="T408" s="113"/>
      <c r="W408" s="195"/>
      <c r="X408" s="207" t="s">
        <v>5856</v>
      </c>
      <c r="Y408" s="207" t="s">
        <v>231</v>
      </c>
      <c r="Z408" s="208" t="s">
        <v>5830</v>
      </c>
      <c r="AA408" s="209" t="s">
        <v>5831</v>
      </c>
      <c r="AB408" s="210" t="s">
        <v>284</v>
      </c>
      <c r="AC408" s="211">
        <v>21.574999999999999</v>
      </c>
      <c r="AD408" s="212">
        <v>6.5</v>
      </c>
      <c r="AE408" s="214">
        <f>ROUND(AD408*AC408,2)</f>
        <v>140.24</v>
      </c>
      <c r="AF408" s="956">
        <v>4</v>
      </c>
      <c r="AG408" s="292"/>
      <c r="AR408" s="107"/>
      <c r="AT408" s="114"/>
      <c r="AU408" s="114"/>
      <c r="AY408" s="107"/>
      <c r="BK408" s="115"/>
    </row>
    <row r="409" spans="2:65" s="1051" customFormat="1" ht="30.45" customHeight="1" x14ac:dyDescent="0.2">
      <c r="B409" s="1052"/>
      <c r="C409" s="1081"/>
      <c r="D409" s="1082"/>
      <c r="E409" s="1082"/>
      <c r="F409" s="1082"/>
      <c r="G409" s="1082"/>
      <c r="H409" s="1082"/>
      <c r="I409" s="1082"/>
      <c r="J409" s="1083"/>
      <c r="L409" s="1052"/>
      <c r="M409" s="1054"/>
      <c r="N409" s="1055"/>
      <c r="O409" s="1055"/>
      <c r="P409" s="1056"/>
      <c r="Q409" s="1055"/>
      <c r="R409" s="1056"/>
      <c r="S409" s="1055"/>
      <c r="T409" s="1057"/>
      <c r="W409" s="1061"/>
      <c r="X409" s="1072" t="s">
        <v>6668</v>
      </c>
      <c r="Y409" s="1072" t="s">
        <v>231</v>
      </c>
      <c r="Z409" s="1073" t="s">
        <v>6669</v>
      </c>
      <c r="AA409" s="1074" t="s">
        <v>6670</v>
      </c>
      <c r="AB409" s="1075" t="s">
        <v>284</v>
      </c>
      <c r="AC409" s="1076">
        <f>16.257</f>
        <v>16.257000000000001</v>
      </c>
      <c r="AD409" s="1077">
        <v>1.58</v>
      </c>
      <c r="AE409" s="1078">
        <f t="shared" ref="AE409" si="102">ROUND(AD409*AC409,2)</f>
        <v>25.69</v>
      </c>
      <c r="AF409" s="956">
        <v>22</v>
      </c>
      <c r="AG409" s="292"/>
      <c r="AR409" s="1053"/>
      <c r="AT409" s="1058"/>
      <c r="AU409" s="1058"/>
      <c r="AY409" s="1053"/>
      <c r="BK409" s="1059"/>
    </row>
    <row r="410" spans="2:65" s="1" customFormat="1" ht="16.5" customHeight="1" x14ac:dyDescent="0.2">
      <c r="B410" s="118"/>
      <c r="C410" s="205" t="s">
        <v>884</v>
      </c>
      <c r="D410" s="119" t="s">
        <v>231</v>
      </c>
      <c r="E410" s="120" t="s">
        <v>885</v>
      </c>
      <c r="F410" s="121" t="s">
        <v>886</v>
      </c>
      <c r="G410" s="122" t="s">
        <v>284</v>
      </c>
      <c r="H410" s="206">
        <v>949.11500000000001</v>
      </c>
      <c r="I410" s="124">
        <v>2.3199999999999998</v>
      </c>
      <c r="J410" s="124">
        <f>ROUND(I410*H410,2)</f>
        <v>2201.9499999999998</v>
      </c>
      <c r="K410" s="121" t="s">
        <v>1</v>
      </c>
      <c r="L410" s="24"/>
      <c r="M410" s="125" t="s">
        <v>1</v>
      </c>
      <c r="N410" s="126" t="s">
        <v>32</v>
      </c>
      <c r="O410" s="127">
        <v>6.4000000000000001E-2</v>
      </c>
      <c r="P410" s="127">
        <f>O410*H410</f>
        <v>60.743360000000003</v>
      </c>
      <c r="Q410" s="127">
        <v>0</v>
      </c>
      <c r="R410" s="127">
        <f>Q410*H410</f>
        <v>0</v>
      </c>
      <c r="S410" s="127">
        <v>0</v>
      </c>
      <c r="T410" s="128">
        <f>S410*H410</f>
        <v>0</v>
      </c>
      <c r="W410" s="199"/>
      <c r="X410" s="205" t="s">
        <v>884</v>
      </c>
      <c r="Y410" s="119" t="s">
        <v>231</v>
      </c>
      <c r="Z410" s="120" t="s">
        <v>885</v>
      </c>
      <c r="AA410" s="121" t="s">
        <v>886</v>
      </c>
      <c r="AB410" s="122" t="s">
        <v>284</v>
      </c>
      <c r="AC410" s="206">
        <f>949.115+485.557+60.445</f>
        <v>1495.117</v>
      </c>
      <c r="AD410" s="124">
        <v>2.3199999999999998</v>
      </c>
      <c r="AE410" s="200">
        <f>ROUND(AD410*AC410,2)</f>
        <v>3468.67</v>
      </c>
      <c r="AF410" s="956" t="s">
        <v>6323</v>
      </c>
      <c r="AG410" s="407"/>
      <c r="AR410" s="129" t="s">
        <v>258</v>
      </c>
      <c r="AT410" s="129" t="s">
        <v>231</v>
      </c>
      <c r="AU410" s="129" t="s">
        <v>76</v>
      </c>
      <c r="AY410" s="13" t="s">
        <v>228</v>
      </c>
      <c r="BE410" s="130">
        <f>IF(N410="základná",J410,0)</f>
        <v>0</v>
      </c>
      <c r="BF410" s="130">
        <f>IF(N410="znížená",J410,0)</f>
        <v>2201.9499999999998</v>
      </c>
      <c r="BG410" s="130">
        <f>IF(N410="zákl. prenesená",J410,0)</f>
        <v>0</v>
      </c>
      <c r="BH410" s="130">
        <f>IF(N410="zníž. prenesená",J410,0)</f>
        <v>0</v>
      </c>
      <c r="BI410" s="130">
        <f>IF(N410="nulová",J410,0)</f>
        <v>0</v>
      </c>
      <c r="BJ410" s="13" t="s">
        <v>76</v>
      </c>
      <c r="BK410" s="130">
        <f>ROUND(I410*H410,2)</f>
        <v>2201.9499999999998</v>
      </c>
      <c r="BL410" s="13" t="s">
        <v>258</v>
      </c>
      <c r="BM410" s="129" t="s">
        <v>887</v>
      </c>
    </row>
    <row r="411" spans="2:65" s="362" customFormat="1" ht="28.95" customHeight="1" x14ac:dyDescent="0.2">
      <c r="B411" s="118"/>
      <c r="C411" s="1234" t="s">
        <v>5205</v>
      </c>
      <c r="D411" s="1235"/>
      <c r="E411" s="1235"/>
      <c r="F411" s="1235"/>
      <c r="G411" s="1235"/>
      <c r="H411" s="1235"/>
      <c r="I411" s="1235"/>
      <c r="J411" s="1236"/>
      <c r="K411" s="121"/>
      <c r="L411" s="24"/>
      <c r="M411" s="125"/>
      <c r="N411" s="126"/>
      <c r="O411" s="127"/>
      <c r="P411" s="127"/>
      <c r="Q411" s="127"/>
      <c r="R411" s="127"/>
      <c r="S411" s="127"/>
      <c r="T411" s="128"/>
      <c r="W411" s="199"/>
      <c r="X411" s="207" t="s">
        <v>5857</v>
      </c>
      <c r="Y411" s="207" t="s">
        <v>231</v>
      </c>
      <c r="Z411" s="208" t="s">
        <v>5832</v>
      </c>
      <c r="AA411" s="209" t="s">
        <v>5833</v>
      </c>
      <c r="AB411" s="210" t="s">
        <v>284</v>
      </c>
      <c r="AC411" s="211">
        <v>157.58000000000001</v>
      </c>
      <c r="AD411" s="212">
        <v>6.43</v>
      </c>
      <c r="AE411" s="214">
        <f>ROUND(AD411*AC411,2)</f>
        <v>1013.24</v>
      </c>
      <c r="AF411" s="956">
        <v>4</v>
      </c>
      <c r="AG411" s="407"/>
      <c r="AR411" s="129"/>
      <c r="AT411" s="129"/>
      <c r="AU411" s="129"/>
      <c r="AY411" s="13"/>
      <c r="BE411" s="130"/>
      <c r="BF411" s="130"/>
      <c r="BG411" s="130"/>
      <c r="BH411" s="130"/>
      <c r="BI411" s="130"/>
      <c r="BJ411" s="13"/>
      <c r="BK411" s="130"/>
      <c r="BL411" s="13"/>
      <c r="BM411" s="129"/>
    </row>
    <row r="412" spans="2:65" s="1084" customFormat="1" ht="28.95" customHeight="1" x14ac:dyDescent="0.2">
      <c r="B412" s="1028"/>
      <c r="C412" s="1081"/>
      <c r="D412" s="1082"/>
      <c r="E412" s="1082"/>
      <c r="F412" s="1082"/>
      <c r="G412" s="1082"/>
      <c r="H412" s="1082"/>
      <c r="I412" s="1082"/>
      <c r="J412" s="1083"/>
      <c r="K412" s="1031"/>
      <c r="L412" s="1027"/>
      <c r="M412" s="1035"/>
      <c r="N412" s="1036"/>
      <c r="O412" s="1037"/>
      <c r="P412" s="1037"/>
      <c r="Q412" s="1037"/>
      <c r="R412" s="1037"/>
      <c r="S412" s="1037"/>
      <c r="T412" s="1038"/>
      <c r="W412" s="1041"/>
      <c r="X412" s="1072" t="s">
        <v>6671</v>
      </c>
      <c r="Y412" s="1072" t="s">
        <v>231</v>
      </c>
      <c r="Z412" s="1073" t="s">
        <v>5830</v>
      </c>
      <c r="AA412" s="1074" t="s">
        <v>6672</v>
      </c>
      <c r="AB412" s="1075" t="s">
        <v>284</v>
      </c>
      <c r="AC412" s="1076">
        <v>16.257000000000001</v>
      </c>
      <c r="AD412" s="1077">
        <v>6.5</v>
      </c>
      <c r="AE412" s="1078">
        <f t="shared" ref="AE412" si="103">ROUND(AD412*AC412,2)</f>
        <v>105.67</v>
      </c>
      <c r="AF412" s="956">
        <v>22</v>
      </c>
      <c r="AG412" s="407"/>
      <c r="AR412" s="1039"/>
      <c r="AT412" s="1039"/>
      <c r="AU412" s="1039"/>
      <c r="AY412" s="1026"/>
      <c r="BE412" s="1040"/>
      <c r="BF412" s="1040"/>
      <c r="BG412" s="1040"/>
      <c r="BH412" s="1040"/>
      <c r="BI412" s="1040"/>
      <c r="BJ412" s="1026"/>
      <c r="BK412" s="1040"/>
      <c r="BL412" s="1026"/>
      <c r="BM412" s="1039"/>
    </row>
    <row r="413" spans="2:65" s="1" customFormat="1" ht="24" customHeight="1" x14ac:dyDescent="0.2">
      <c r="B413" s="118"/>
      <c r="C413" s="205" t="s">
        <v>555</v>
      </c>
      <c r="D413" s="119" t="s">
        <v>231</v>
      </c>
      <c r="E413" s="120" t="s">
        <v>888</v>
      </c>
      <c r="F413" s="121" t="s">
        <v>889</v>
      </c>
      <c r="G413" s="122" t="s">
        <v>284</v>
      </c>
      <c r="H413" s="206">
        <v>1435.828</v>
      </c>
      <c r="I413" s="124">
        <v>5.22</v>
      </c>
      <c r="J413" s="124">
        <f>ROUND(I413*H413,2)</f>
        <v>7495.02</v>
      </c>
      <c r="K413" s="121" t="s">
        <v>1</v>
      </c>
      <c r="L413" s="24"/>
      <c r="M413" s="140" t="s">
        <v>1</v>
      </c>
      <c r="N413" s="141" t="s">
        <v>32</v>
      </c>
      <c r="O413" s="142">
        <v>0</v>
      </c>
      <c r="P413" s="142">
        <f>O413*H413</f>
        <v>0</v>
      </c>
      <c r="Q413" s="142">
        <v>0</v>
      </c>
      <c r="R413" s="142">
        <f>Q413*H413</f>
        <v>0</v>
      </c>
      <c r="S413" s="142">
        <v>0</v>
      </c>
      <c r="T413" s="143">
        <f>S413*H413</f>
        <v>0</v>
      </c>
      <c r="W413" s="199"/>
      <c r="X413" s="205" t="s">
        <v>555</v>
      </c>
      <c r="Y413" s="119" t="s">
        <v>231</v>
      </c>
      <c r="Z413" s="120" t="s">
        <v>888</v>
      </c>
      <c r="AA413" s="121" t="s">
        <v>889</v>
      </c>
      <c r="AB413" s="122" t="s">
        <v>284</v>
      </c>
      <c r="AC413" s="206">
        <f>1435.828+1246.917+312.611</f>
        <v>2995.3559999999998</v>
      </c>
      <c r="AD413" s="124">
        <v>5.22</v>
      </c>
      <c r="AE413" s="200">
        <f>ROUND(AD413*AC413,2)</f>
        <v>15635.76</v>
      </c>
      <c r="AF413" s="956" t="s">
        <v>6660</v>
      </c>
      <c r="AG413" s="407"/>
      <c r="AR413" s="129" t="s">
        <v>258</v>
      </c>
      <c r="AT413" s="129" t="s">
        <v>231</v>
      </c>
      <c r="AU413" s="129" t="s">
        <v>76</v>
      </c>
      <c r="AY413" s="13" t="s">
        <v>228</v>
      </c>
      <c r="BE413" s="130">
        <f>IF(N413="základná",J413,0)</f>
        <v>0</v>
      </c>
      <c r="BF413" s="130">
        <f>IF(N413="znížená",J413,0)</f>
        <v>7495.02</v>
      </c>
      <c r="BG413" s="130">
        <f>IF(N413="zákl. prenesená",J413,0)</f>
        <v>0</v>
      </c>
      <c r="BH413" s="130">
        <f>IF(N413="zníž. prenesená",J413,0)</f>
        <v>0</v>
      </c>
      <c r="BI413" s="130">
        <f>IF(N413="nulová",J413,0)</f>
        <v>0</v>
      </c>
      <c r="BJ413" s="13" t="s">
        <v>76</v>
      </c>
      <c r="BK413" s="130">
        <f>ROUND(I413*H413,2)</f>
        <v>7495.02</v>
      </c>
      <c r="BL413" s="13" t="s">
        <v>258</v>
      </c>
      <c r="BM413" s="129" t="s">
        <v>890</v>
      </c>
    </row>
    <row r="414" spans="2:65" s="1084" customFormat="1" ht="24" customHeight="1" x14ac:dyDescent="0.25">
      <c r="B414" s="1028"/>
      <c r="C414" s="284"/>
      <c r="D414" s="284"/>
      <c r="E414" s="663"/>
      <c r="F414" s="1104"/>
      <c r="G414" s="1105"/>
      <c r="H414" s="1106"/>
      <c r="I414" s="1107"/>
      <c r="J414" s="1107"/>
      <c r="K414" s="1000"/>
      <c r="L414" s="1027"/>
      <c r="M414" s="662"/>
      <c r="N414" s="1036"/>
      <c r="O414" s="1037"/>
      <c r="P414" s="1037"/>
      <c r="Q414" s="1037"/>
      <c r="R414" s="1037"/>
      <c r="S414" s="1037"/>
      <c r="T414" s="1037"/>
      <c r="W414" s="1041"/>
      <c r="X414" s="1102"/>
      <c r="Y414" s="1053" t="s">
        <v>57</v>
      </c>
      <c r="Z414" s="1060" t="s">
        <v>3438</v>
      </c>
      <c r="AA414" s="1060" t="s">
        <v>6683</v>
      </c>
      <c r="AB414" s="1102"/>
      <c r="AC414" s="1102"/>
      <c r="AD414" s="1102"/>
      <c r="AE414" s="281">
        <f>SUM(AE415:AE418)</f>
        <v>10722.695</v>
      </c>
      <c r="AF414" s="956"/>
      <c r="AG414" s="407"/>
      <c r="AR414" s="1039"/>
      <c r="AT414" s="1039"/>
      <c r="AU414" s="1039"/>
      <c r="AY414" s="1026"/>
      <c r="BE414" s="1040"/>
      <c r="BF414" s="1040"/>
      <c r="BG414" s="1040"/>
      <c r="BH414" s="1040"/>
      <c r="BI414" s="1040"/>
      <c r="BJ414" s="1026"/>
      <c r="BK414" s="1040"/>
      <c r="BL414" s="1026"/>
      <c r="BM414" s="1039"/>
    </row>
    <row r="415" spans="2:65" s="1084" customFormat="1" ht="24" customHeight="1" x14ac:dyDescent="0.2">
      <c r="B415" s="1028"/>
      <c r="C415" s="1234" t="s">
        <v>5205</v>
      </c>
      <c r="D415" s="1235"/>
      <c r="E415" s="1235"/>
      <c r="F415" s="1235"/>
      <c r="G415" s="1235"/>
      <c r="H415" s="1235"/>
      <c r="I415" s="1235"/>
      <c r="J415" s="1236"/>
      <c r="K415" s="1000"/>
      <c r="L415" s="1027"/>
      <c r="M415" s="662"/>
      <c r="N415" s="1036"/>
      <c r="O415" s="1037"/>
      <c r="P415" s="1037"/>
      <c r="Q415" s="1037"/>
      <c r="R415" s="1037"/>
      <c r="S415" s="1037"/>
      <c r="T415" s="1037"/>
      <c r="W415" s="1041"/>
      <c r="X415" s="1072" t="s">
        <v>6673</v>
      </c>
      <c r="Y415" s="1072" t="s">
        <v>231</v>
      </c>
      <c r="Z415" s="1073" t="s">
        <v>4406</v>
      </c>
      <c r="AA415" s="1074" t="s">
        <v>6674</v>
      </c>
      <c r="AB415" s="1075" t="s">
        <v>1035</v>
      </c>
      <c r="AC415" s="1076">
        <v>1505.65</v>
      </c>
      <c r="AD415" s="1077">
        <v>4.2</v>
      </c>
      <c r="AE415" s="1078">
        <f>AC415*AD415</f>
        <v>6323.7300000000005</v>
      </c>
      <c r="AF415" s="956">
        <v>22</v>
      </c>
      <c r="AG415" s="407"/>
      <c r="AR415" s="1039"/>
      <c r="AT415" s="1039"/>
      <c r="AU415" s="1039"/>
      <c r="AY415" s="1026"/>
      <c r="BE415" s="1040"/>
      <c r="BF415" s="1040"/>
      <c r="BG415" s="1040"/>
      <c r="BH415" s="1040"/>
      <c r="BI415" s="1040"/>
      <c r="BJ415" s="1026"/>
      <c r="BK415" s="1040"/>
      <c r="BL415" s="1026"/>
      <c r="BM415" s="1039"/>
    </row>
    <row r="416" spans="2:65" s="1084" customFormat="1" ht="24" customHeight="1" x14ac:dyDescent="0.2">
      <c r="B416" s="1028"/>
      <c r="C416" s="1234" t="s">
        <v>5205</v>
      </c>
      <c r="D416" s="1235"/>
      <c r="E416" s="1235"/>
      <c r="F416" s="1235"/>
      <c r="G416" s="1235"/>
      <c r="H416" s="1235"/>
      <c r="I416" s="1235"/>
      <c r="J416" s="1236"/>
      <c r="K416" s="1000"/>
      <c r="L416" s="1027"/>
      <c r="M416" s="662"/>
      <c r="N416" s="1036"/>
      <c r="O416" s="1037"/>
      <c r="P416" s="1037"/>
      <c r="Q416" s="1037"/>
      <c r="R416" s="1037"/>
      <c r="S416" s="1037"/>
      <c r="T416" s="1037"/>
      <c r="W416" s="1041"/>
      <c r="X416" s="1072" t="s">
        <v>6675</v>
      </c>
      <c r="Y416" s="1072" t="s">
        <v>231</v>
      </c>
      <c r="Z416" s="1073" t="s">
        <v>6676</v>
      </c>
      <c r="AA416" s="1074" t="s">
        <v>6677</v>
      </c>
      <c r="AB416" s="1075" t="s">
        <v>1035</v>
      </c>
      <c r="AC416" s="1076">
        <v>1505.65</v>
      </c>
      <c r="AD416" s="1077">
        <v>0.7</v>
      </c>
      <c r="AE416" s="1078">
        <f t="shared" ref="AE416:AE418" si="104">AC416*AD416</f>
        <v>1053.9549999999999</v>
      </c>
      <c r="AF416" s="956">
        <v>22</v>
      </c>
      <c r="AG416" s="407"/>
      <c r="AR416" s="1039"/>
      <c r="AT416" s="1039"/>
      <c r="AU416" s="1039"/>
      <c r="AY416" s="1026"/>
      <c r="BE416" s="1040"/>
      <c r="BF416" s="1040"/>
      <c r="BG416" s="1040"/>
      <c r="BH416" s="1040"/>
      <c r="BI416" s="1040"/>
      <c r="BJ416" s="1026"/>
      <c r="BK416" s="1040"/>
      <c r="BL416" s="1026"/>
      <c r="BM416" s="1039"/>
    </row>
    <row r="417" spans="2:65" s="1084" customFormat="1" ht="24" customHeight="1" x14ac:dyDescent="0.2">
      <c r="B417" s="1028"/>
      <c r="C417" s="1234" t="s">
        <v>5205</v>
      </c>
      <c r="D417" s="1235"/>
      <c r="E417" s="1235"/>
      <c r="F417" s="1235"/>
      <c r="G417" s="1235"/>
      <c r="H417" s="1235"/>
      <c r="I417" s="1235"/>
      <c r="J417" s="1236"/>
      <c r="K417" s="1000"/>
      <c r="L417" s="1027"/>
      <c r="M417" s="662"/>
      <c r="N417" s="1036"/>
      <c r="O417" s="1037"/>
      <c r="P417" s="1037"/>
      <c r="Q417" s="1037"/>
      <c r="R417" s="1037"/>
      <c r="S417" s="1037"/>
      <c r="T417" s="1037"/>
      <c r="W417" s="1041"/>
      <c r="X417" s="1072" t="s">
        <v>6678</v>
      </c>
      <c r="Y417" s="1072" t="s">
        <v>231</v>
      </c>
      <c r="Z417" s="1073" t="s">
        <v>4410</v>
      </c>
      <c r="AA417" s="1074" t="s">
        <v>6679</v>
      </c>
      <c r="AB417" s="1075" t="s">
        <v>1194</v>
      </c>
      <c r="AC417" s="1076">
        <v>179</v>
      </c>
      <c r="AD417" s="1077">
        <v>6.73</v>
      </c>
      <c r="AE417" s="1078">
        <f t="shared" si="104"/>
        <v>1204.67</v>
      </c>
      <c r="AF417" s="956">
        <v>22</v>
      </c>
      <c r="AG417" s="407"/>
      <c r="AR417" s="1039"/>
      <c r="AT417" s="1039"/>
      <c r="AU417" s="1039"/>
      <c r="AY417" s="1026"/>
      <c r="BE417" s="1040"/>
      <c r="BF417" s="1040"/>
      <c r="BG417" s="1040"/>
      <c r="BH417" s="1040"/>
      <c r="BI417" s="1040"/>
      <c r="BJ417" s="1026"/>
      <c r="BK417" s="1040"/>
      <c r="BL417" s="1026"/>
      <c r="BM417" s="1039"/>
    </row>
    <row r="418" spans="2:65" s="1084" customFormat="1" ht="24" customHeight="1" x14ac:dyDescent="0.2">
      <c r="B418" s="1028"/>
      <c r="C418" s="1234" t="s">
        <v>5205</v>
      </c>
      <c r="D418" s="1235"/>
      <c r="E418" s="1235"/>
      <c r="F418" s="1235"/>
      <c r="G418" s="1235"/>
      <c r="H418" s="1235"/>
      <c r="I418" s="1235"/>
      <c r="J418" s="1236"/>
      <c r="K418" s="1000"/>
      <c r="L418" s="1027"/>
      <c r="M418" s="662"/>
      <c r="N418" s="1036"/>
      <c r="O418" s="1037"/>
      <c r="P418" s="1037"/>
      <c r="Q418" s="1037"/>
      <c r="R418" s="1037"/>
      <c r="S418" s="1037"/>
      <c r="T418" s="1037"/>
      <c r="W418" s="1041"/>
      <c r="X418" s="1072" t="s">
        <v>6680</v>
      </c>
      <c r="Y418" s="1072" t="s">
        <v>231</v>
      </c>
      <c r="Z418" s="1073" t="s">
        <v>6681</v>
      </c>
      <c r="AA418" s="1074" t="s">
        <v>6682</v>
      </c>
      <c r="AB418" s="1075" t="s">
        <v>1035</v>
      </c>
      <c r="AC418" s="1076">
        <v>207.8</v>
      </c>
      <c r="AD418" s="1077">
        <v>10.3</v>
      </c>
      <c r="AE418" s="1078">
        <f t="shared" si="104"/>
        <v>2140.34</v>
      </c>
      <c r="AF418" s="956">
        <v>22</v>
      </c>
      <c r="AG418" s="407"/>
      <c r="AR418" s="1039"/>
      <c r="AT418" s="1039"/>
      <c r="AU418" s="1039"/>
      <c r="AY418" s="1026"/>
      <c r="BE418" s="1040"/>
      <c r="BF418" s="1040"/>
      <c r="BG418" s="1040"/>
      <c r="BH418" s="1040"/>
      <c r="BI418" s="1040"/>
      <c r="BJ418" s="1026"/>
      <c r="BK418" s="1040"/>
      <c r="BL418" s="1026"/>
      <c r="BM418" s="1039"/>
    </row>
    <row r="419" spans="2:65" s="1" customFormat="1" ht="7.05" customHeight="1" x14ac:dyDescent="0.2">
      <c r="B419" s="33"/>
      <c r="C419" s="34"/>
      <c r="D419" s="34"/>
      <c r="E419" s="34"/>
      <c r="F419" s="34"/>
      <c r="G419" s="34"/>
      <c r="H419" s="34"/>
      <c r="I419" s="34"/>
      <c r="J419" s="34"/>
      <c r="K419" s="34"/>
      <c r="L419" s="24"/>
      <c r="W419" s="175"/>
      <c r="X419" s="176"/>
      <c r="Y419" s="176"/>
      <c r="Z419" s="176"/>
      <c r="AA419" s="176"/>
      <c r="AB419" s="176"/>
      <c r="AC419" s="176"/>
      <c r="AD419" s="176"/>
      <c r="AE419" s="177"/>
      <c r="AF419" s="354"/>
    </row>
  </sheetData>
  <autoFilter ref="C140:K413" xr:uid="{00000000-0009-0000-0000-000001000000}"/>
  <mergeCells count="102">
    <mergeCell ref="C363:J363"/>
    <mergeCell ref="C368:J368"/>
    <mergeCell ref="C369:J369"/>
    <mergeCell ref="C370:J370"/>
    <mergeCell ref="C371:J371"/>
    <mergeCell ref="C212:J212"/>
    <mergeCell ref="C214:J214"/>
    <mergeCell ref="C215:J215"/>
    <mergeCell ref="C228:J228"/>
    <mergeCell ref="C229:J229"/>
    <mergeCell ref="C223:J223"/>
    <mergeCell ref="C220:J220"/>
    <mergeCell ref="C221:J221"/>
    <mergeCell ref="C226:J226"/>
    <mergeCell ref="C233:J233"/>
    <mergeCell ref="C230:J230"/>
    <mergeCell ref="C231:J231"/>
    <mergeCell ref="C232:J232"/>
    <mergeCell ref="C319:J319"/>
    <mergeCell ref="C260:J260"/>
    <mergeCell ref="C285:J285"/>
    <mergeCell ref="C234:J234"/>
    <mergeCell ref="C235:J235"/>
    <mergeCell ref="C242:J242"/>
    <mergeCell ref="C265:J265"/>
    <mergeCell ref="C266:J266"/>
    <mergeCell ref="C267:J267"/>
    <mergeCell ref="C272:J272"/>
    <mergeCell ref="C286:J286"/>
    <mergeCell ref="C289:J289"/>
    <mergeCell ref="C308:J308"/>
    <mergeCell ref="C317:J317"/>
    <mergeCell ref="C318:J318"/>
    <mergeCell ref="C291:J291"/>
    <mergeCell ref="C302:J302"/>
    <mergeCell ref="C303:J303"/>
    <mergeCell ref="C304:J304"/>
    <mergeCell ref="C305:J305"/>
    <mergeCell ref="C209:J209"/>
    <mergeCell ref="C210:J210"/>
    <mergeCell ref="C211:J211"/>
    <mergeCell ref="C150:J150"/>
    <mergeCell ref="C151:J151"/>
    <mergeCell ref="C162:J162"/>
    <mergeCell ref="C181:J181"/>
    <mergeCell ref="C202:J202"/>
    <mergeCell ref="C160:J160"/>
    <mergeCell ref="C168:J168"/>
    <mergeCell ref="C205:J205"/>
    <mergeCell ref="C206:J206"/>
    <mergeCell ref="C208:J208"/>
    <mergeCell ref="Z87:AC87"/>
    <mergeCell ref="Z131:AC131"/>
    <mergeCell ref="Z133:AC133"/>
    <mergeCell ref="C144:J144"/>
    <mergeCell ref="C146:J146"/>
    <mergeCell ref="E87:H87"/>
    <mergeCell ref="E131:H131"/>
    <mergeCell ref="E133:H133"/>
    <mergeCell ref="C128:J128"/>
    <mergeCell ref="D103:K103"/>
    <mergeCell ref="D111:K111"/>
    <mergeCell ref="D122:K122"/>
    <mergeCell ref="L2:V2"/>
    <mergeCell ref="E9:H9"/>
    <mergeCell ref="E18:H18"/>
    <mergeCell ref="E27:H27"/>
    <mergeCell ref="D6:E6"/>
    <mergeCell ref="F6:J7"/>
    <mergeCell ref="C4:J4"/>
    <mergeCell ref="X4:AE4"/>
    <mergeCell ref="AA6:AE7"/>
    <mergeCell ref="X82:AE82"/>
    <mergeCell ref="Z84:AE84"/>
    <mergeCell ref="E130:J130"/>
    <mergeCell ref="X128:AE129"/>
    <mergeCell ref="Z130:AE130"/>
    <mergeCell ref="E85:H85"/>
    <mergeCell ref="D98:K98"/>
    <mergeCell ref="D99:K99"/>
    <mergeCell ref="E84:J84"/>
    <mergeCell ref="C82:J82"/>
    <mergeCell ref="Z9:AC9"/>
    <mergeCell ref="Z18:AC18"/>
    <mergeCell ref="Z27:AC27"/>
    <mergeCell ref="Z85:AC85"/>
    <mergeCell ref="C342:J342"/>
    <mergeCell ref="C415:J415"/>
    <mergeCell ref="C416:J416"/>
    <mergeCell ref="C417:J417"/>
    <mergeCell ref="C418:J418"/>
    <mergeCell ref="C408:J408"/>
    <mergeCell ref="C411:J411"/>
    <mergeCell ref="C375:J375"/>
    <mergeCell ref="C376:J376"/>
    <mergeCell ref="C351:J351"/>
    <mergeCell ref="C353:J353"/>
    <mergeCell ref="C355:J355"/>
    <mergeCell ref="C357:J357"/>
    <mergeCell ref="C358:J358"/>
    <mergeCell ref="C359:J359"/>
    <mergeCell ref="C361:J361"/>
  </mergeCells>
  <phoneticPr fontId="0" type="noConversion"/>
  <pageMargins left="0.39374999999999999" right="0.39374999999999999" top="0.39374999999999999" bottom="0.39374999999999999" header="0" footer="0"/>
  <pageSetup paperSize="8" scale="11" fitToWidth="0" orientation="landscape" blackAndWhite="1" r:id="rId1"/>
  <headerFooter>
    <oddFooter>&amp;CStrana &amp;P z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70C0"/>
    <pageSetUpPr fitToPage="1"/>
  </sheetPr>
  <dimension ref="A1:BM325"/>
  <sheetViews>
    <sheetView showGridLines="0" topLeftCell="G78" zoomScale="80" zoomScaleNormal="80" workbookViewId="0">
      <selection activeCell="AE317" sqref="AE317:AE325"/>
    </sheetView>
  </sheetViews>
  <sheetFormatPr defaultColWidth="8.7109375" defaultRowHeight="13.2" x14ac:dyDescent="0.2"/>
  <cols>
    <col min="1" max="1" width="8.28515625" customWidth="1"/>
    <col min="2" max="2" width="1.7109375" customWidth="1"/>
    <col min="3" max="4" width="4.28515625" customWidth="1"/>
    <col min="5" max="5" width="17.28515625" customWidth="1"/>
    <col min="6" max="6" width="50.7109375" customWidth="1"/>
    <col min="7" max="7" width="7" customWidth="1"/>
    <col min="8" max="8" width="11.42578125" customWidth="1"/>
    <col min="9" max="10" width="20.28515625" customWidth="1"/>
    <col min="11" max="11" width="20.28515625" hidden="1" customWidth="1"/>
    <col min="12" max="12" width="9.28515625" customWidth="1"/>
    <col min="13" max="13" width="10.7109375" hidden="1" customWidth="1"/>
    <col min="14" max="14" width="9.28515625" hidden="1"/>
    <col min="15" max="20" width="14.28515625" hidden="1" customWidth="1"/>
    <col min="21" max="21" width="16.28515625" hidden="1" customWidth="1"/>
    <col min="22" max="22" width="12.28515625" customWidth="1"/>
    <col min="23" max="23" width="1.7109375" style="371" customWidth="1"/>
    <col min="24" max="24" width="4.7109375" style="371" customWidth="1"/>
    <col min="25" max="25" width="4.28515625" style="371" customWidth="1"/>
    <col min="26" max="26" width="17.28515625" style="371" customWidth="1"/>
    <col min="27" max="27" width="50.7109375" style="371" customWidth="1"/>
    <col min="28" max="28" width="7" style="371" customWidth="1"/>
    <col min="29" max="29" width="11.42578125" style="371" customWidth="1"/>
    <col min="30" max="31" width="20.28515625" style="371" customWidth="1"/>
    <col min="33" max="33" width="12.28515625" style="393" customWidth="1"/>
    <col min="35" max="35" width="10.7109375" style="398" bestFit="1" customWidth="1"/>
    <col min="44" max="65" width="9.28515625" hidden="1"/>
  </cols>
  <sheetData>
    <row r="1" spans="1:46" x14ac:dyDescent="0.2">
      <c r="A1" s="73"/>
    </row>
    <row r="2" spans="1:46" ht="37.049999999999997" customHeight="1" x14ac:dyDescent="0.2">
      <c r="L2" s="1227" t="s">
        <v>5</v>
      </c>
      <c r="M2" s="1225"/>
      <c r="N2" s="1225"/>
      <c r="O2" s="1225"/>
      <c r="P2" s="1225"/>
      <c r="Q2" s="1225"/>
      <c r="R2" s="1225"/>
      <c r="S2" s="1225"/>
      <c r="T2" s="1225"/>
      <c r="U2" s="1225"/>
      <c r="V2" s="1225"/>
      <c r="AT2" s="13" t="s">
        <v>117</v>
      </c>
    </row>
    <row r="3" spans="1:46" ht="7.05" customHeight="1" x14ac:dyDescent="0.2">
      <c r="B3" s="14"/>
      <c r="C3" s="15"/>
      <c r="D3" s="15"/>
      <c r="E3" s="15"/>
      <c r="F3" s="15"/>
      <c r="G3" s="15"/>
      <c r="H3" s="15"/>
      <c r="I3" s="15"/>
      <c r="J3" s="15"/>
      <c r="K3" s="15"/>
      <c r="L3" s="16"/>
      <c r="W3" s="152"/>
      <c r="X3" s="586"/>
      <c r="Y3" s="586"/>
      <c r="Z3" s="586"/>
      <c r="AA3" s="586"/>
      <c r="AB3" s="586"/>
      <c r="AC3" s="586"/>
      <c r="AD3" s="586"/>
      <c r="AE3" s="587"/>
      <c r="AT3" s="13" t="s">
        <v>58</v>
      </c>
    </row>
    <row r="4" spans="1:46" ht="25.05" customHeight="1" x14ac:dyDescent="0.2">
      <c r="B4" s="16"/>
      <c r="C4" s="1165" t="s">
        <v>185</v>
      </c>
      <c r="D4" s="1165"/>
      <c r="E4" s="1165"/>
      <c r="F4" s="1165"/>
      <c r="G4" s="1165"/>
      <c r="H4" s="1165"/>
      <c r="I4" s="1165"/>
      <c r="J4" s="1165"/>
      <c r="L4" s="16"/>
      <c r="M4" s="74" t="s">
        <v>9</v>
      </c>
      <c r="W4" s="155"/>
      <c r="X4" s="1258" t="s">
        <v>185</v>
      </c>
      <c r="Y4" s="1258"/>
      <c r="Z4" s="1258"/>
      <c r="AA4" s="1258"/>
      <c r="AB4" s="1258"/>
      <c r="AC4" s="1258"/>
      <c r="AD4" s="1258"/>
      <c r="AE4" s="1259"/>
      <c r="AT4" s="13" t="s">
        <v>3</v>
      </c>
    </row>
    <row r="5" spans="1:46" ht="7.05" customHeight="1" x14ac:dyDescent="0.2">
      <c r="B5" s="16"/>
      <c r="L5" s="16"/>
      <c r="W5" s="155"/>
      <c r="X5" s="588"/>
      <c r="Y5" s="588"/>
      <c r="Z5" s="588"/>
      <c r="AA5" s="588"/>
      <c r="AB5" s="588"/>
      <c r="AC5" s="588"/>
      <c r="AD5" s="588"/>
      <c r="AE5" s="589"/>
    </row>
    <row r="6" spans="1:46" ht="12" customHeight="1" x14ac:dyDescent="0.2">
      <c r="B6" s="16"/>
      <c r="D6" s="548" t="s">
        <v>12</v>
      </c>
      <c r="F6" s="1254" t="s">
        <v>6176</v>
      </c>
      <c r="G6" s="1254"/>
      <c r="H6" s="1254"/>
      <c r="I6" s="1254"/>
      <c r="J6" s="1254"/>
      <c r="L6" s="16"/>
      <c r="W6" s="155"/>
      <c r="X6" s="588"/>
      <c r="Y6" s="590" t="s">
        <v>12</v>
      </c>
      <c r="Z6" s="588"/>
      <c r="AA6" s="1260" t="s">
        <v>6176</v>
      </c>
      <c r="AB6" s="1260"/>
      <c r="AC6" s="1260"/>
      <c r="AD6" s="1260"/>
      <c r="AE6" s="1261"/>
    </row>
    <row r="7" spans="1:46" ht="23.55" customHeight="1" x14ac:dyDescent="0.2">
      <c r="B7" s="16"/>
      <c r="D7" s="527"/>
      <c r="E7" s="531"/>
      <c r="F7" s="1254"/>
      <c r="G7" s="1254"/>
      <c r="H7" s="1254"/>
      <c r="I7" s="1254"/>
      <c r="J7" s="1254"/>
      <c r="L7" s="16"/>
      <c r="W7" s="155"/>
      <c r="X7" s="588"/>
      <c r="Y7" s="591"/>
      <c r="Z7" s="592"/>
      <c r="AA7" s="1260"/>
      <c r="AB7" s="1260"/>
      <c r="AC7" s="1260"/>
      <c r="AD7" s="1260"/>
      <c r="AE7" s="1261"/>
    </row>
    <row r="8" spans="1:46" s="1" customFormat="1" ht="12" customHeight="1" x14ac:dyDescent="0.2">
      <c r="B8" s="24"/>
      <c r="D8" s="549" t="s">
        <v>186</v>
      </c>
      <c r="F8" s="532" t="s">
        <v>3798</v>
      </c>
      <c r="L8" s="24"/>
      <c r="W8" s="158"/>
      <c r="X8" s="427"/>
      <c r="Y8" s="593" t="s">
        <v>186</v>
      </c>
      <c r="Z8" s="427"/>
      <c r="AA8" s="621" t="s">
        <v>3798</v>
      </c>
      <c r="AB8" s="427"/>
      <c r="AC8" s="427"/>
      <c r="AD8" s="427"/>
      <c r="AE8" s="512"/>
      <c r="AG8" s="130"/>
      <c r="AI8" s="398"/>
    </row>
    <row r="9" spans="1:46" s="1" customFormat="1" ht="37.049999999999997" customHeight="1" x14ac:dyDescent="0.2">
      <c r="B9" s="24"/>
      <c r="D9" s="521"/>
      <c r="E9" s="1251"/>
      <c r="F9" s="1252"/>
      <c r="G9" s="1252"/>
      <c r="H9" s="1252"/>
      <c r="L9" s="24"/>
      <c r="W9" s="158"/>
      <c r="X9" s="427"/>
      <c r="Y9" s="427"/>
      <c r="Z9" s="1262"/>
      <c r="AA9" s="1263"/>
      <c r="AB9" s="1263"/>
      <c r="AC9" s="1263"/>
      <c r="AD9" s="427"/>
      <c r="AE9" s="512"/>
      <c r="AG9" s="130"/>
      <c r="AI9" s="398"/>
    </row>
    <row r="10" spans="1:46" s="1" customFormat="1" x14ac:dyDescent="0.2">
      <c r="B10" s="24"/>
      <c r="D10" s="521"/>
      <c r="L10" s="24"/>
      <c r="W10" s="158"/>
      <c r="X10" s="427"/>
      <c r="Y10" s="427"/>
      <c r="Z10" s="427"/>
      <c r="AA10" s="427"/>
      <c r="AB10" s="427"/>
      <c r="AC10" s="427"/>
      <c r="AD10" s="427"/>
      <c r="AE10" s="512"/>
      <c r="AG10" s="130"/>
      <c r="AI10" s="398"/>
    </row>
    <row r="11" spans="1:46" s="1" customFormat="1" ht="12" customHeight="1" x14ac:dyDescent="0.2">
      <c r="B11" s="24"/>
      <c r="D11" s="528" t="s">
        <v>13</v>
      </c>
      <c r="F11" s="19" t="s">
        <v>1</v>
      </c>
      <c r="I11" s="528" t="s">
        <v>14</v>
      </c>
      <c r="J11" s="19" t="s">
        <v>1</v>
      </c>
      <c r="L11" s="24"/>
      <c r="W11" s="158"/>
      <c r="X11" s="427"/>
      <c r="Y11" s="594" t="s">
        <v>13</v>
      </c>
      <c r="Z11" s="427"/>
      <c r="AA11" s="595" t="s">
        <v>1</v>
      </c>
      <c r="AB11" s="427"/>
      <c r="AC11" s="427"/>
      <c r="AD11" s="594" t="s">
        <v>14</v>
      </c>
      <c r="AE11" s="596" t="s">
        <v>1</v>
      </c>
      <c r="AG11" s="130"/>
      <c r="AI11" s="398"/>
    </row>
    <row r="12" spans="1:46" s="1" customFormat="1" ht="12" customHeight="1" x14ac:dyDescent="0.2">
      <c r="B12" s="24"/>
      <c r="D12" s="528" t="s">
        <v>15</v>
      </c>
      <c r="F12" s="520" t="s">
        <v>6173</v>
      </c>
      <c r="I12" s="528" t="s">
        <v>17</v>
      </c>
      <c r="J12" s="39"/>
      <c r="L12" s="24"/>
      <c r="W12" s="158"/>
      <c r="X12" s="427"/>
      <c r="Y12" s="594" t="s">
        <v>15</v>
      </c>
      <c r="Z12" s="427"/>
      <c r="AA12" s="595" t="s">
        <v>6173</v>
      </c>
      <c r="AB12" s="427"/>
      <c r="AC12" s="427"/>
      <c r="AD12" s="594" t="s">
        <v>17</v>
      </c>
      <c r="AE12" s="597"/>
      <c r="AG12" s="130"/>
      <c r="AI12" s="398"/>
    </row>
    <row r="13" spans="1:46" s="1" customFormat="1" ht="10.95" customHeight="1" x14ac:dyDescent="0.2">
      <c r="B13" s="24"/>
      <c r="D13" s="521"/>
      <c r="F13" s="521"/>
      <c r="I13" s="521"/>
      <c r="L13" s="24"/>
      <c r="W13" s="158"/>
      <c r="X13" s="427"/>
      <c r="Y13" s="427"/>
      <c r="Z13" s="427"/>
      <c r="AA13" s="427"/>
      <c r="AB13" s="427"/>
      <c r="AC13" s="427"/>
      <c r="AD13" s="427"/>
      <c r="AE13" s="512"/>
      <c r="AG13" s="130"/>
      <c r="AI13" s="398"/>
    </row>
    <row r="14" spans="1:46" s="1" customFormat="1" ht="12" customHeight="1" x14ac:dyDescent="0.2">
      <c r="B14" s="24"/>
      <c r="D14" s="528" t="s">
        <v>18</v>
      </c>
      <c r="F14" s="529" t="s">
        <v>6175</v>
      </c>
      <c r="I14" s="528" t="s">
        <v>19</v>
      </c>
      <c r="J14" s="19" t="str">
        <f>IF('Rekapitulácia stavby'!AN10="","",'Rekapitulácia stavby'!AN10)</f>
        <v/>
      </c>
      <c r="L14" s="24"/>
      <c r="W14" s="158"/>
      <c r="X14" s="427"/>
      <c r="Y14" s="594" t="s">
        <v>18</v>
      </c>
      <c r="Z14" s="427"/>
      <c r="AA14" s="622" t="s">
        <v>6175</v>
      </c>
      <c r="AB14" s="427"/>
      <c r="AC14" s="427"/>
      <c r="AD14" s="594" t="s">
        <v>19</v>
      </c>
      <c r="AE14" s="596" t="str">
        <f>IF('Rekapitulácia stavby'!BI10="","",'Rekapitulácia stavby'!BI10)</f>
        <v/>
      </c>
      <c r="AG14" s="130"/>
      <c r="AI14" s="398"/>
    </row>
    <row r="15" spans="1:46" s="1" customFormat="1" ht="18" customHeight="1" x14ac:dyDescent="0.2">
      <c r="B15" s="24"/>
      <c r="D15" s="521"/>
      <c r="E15" s="19" t="str">
        <f>IF('Rekapitulácia stavby'!E11="","",'Rekapitulácia stavby'!E11)</f>
        <v/>
      </c>
      <c r="F15" s="521"/>
      <c r="I15" s="528" t="s">
        <v>20</v>
      </c>
      <c r="J15" s="19" t="str">
        <f>IF('Rekapitulácia stavby'!AN11="","",'Rekapitulácia stavby'!AN11)</f>
        <v/>
      </c>
      <c r="L15" s="24"/>
      <c r="W15" s="158"/>
      <c r="X15" s="427"/>
      <c r="Y15" s="427"/>
      <c r="Z15" s="595" t="str">
        <f>IF('Rekapitulácia stavby'!Z11="","",'Rekapitulácia stavby'!Z11)</f>
        <v/>
      </c>
      <c r="AA15" s="427"/>
      <c r="AB15" s="427"/>
      <c r="AC15" s="427"/>
      <c r="AD15" s="594" t="s">
        <v>20</v>
      </c>
      <c r="AE15" s="596" t="str">
        <f>IF('Rekapitulácia stavby'!BI11="","",'Rekapitulácia stavby'!BI11)</f>
        <v/>
      </c>
      <c r="AG15" s="130"/>
      <c r="AI15" s="398"/>
    </row>
    <row r="16" spans="1:46" s="1" customFormat="1" ht="7.05" customHeight="1" x14ac:dyDescent="0.2">
      <c r="B16" s="24"/>
      <c r="D16" s="521"/>
      <c r="F16" s="521"/>
      <c r="I16" s="521"/>
      <c r="L16" s="24"/>
      <c r="W16" s="158"/>
      <c r="X16" s="427"/>
      <c r="Y16" s="427"/>
      <c r="Z16" s="427"/>
      <c r="AA16" s="427"/>
      <c r="AB16" s="427"/>
      <c r="AC16" s="427"/>
      <c r="AD16" s="427"/>
      <c r="AE16" s="512"/>
      <c r="AG16" s="130"/>
      <c r="AI16" s="398"/>
    </row>
    <row r="17" spans="2:35" s="1" customFormat="1" ht="12" customHeight="1" x14ac:dyDescent="0.2">
      <c r="B17" s="24"/>
      <c r="D17" s="528" t="s">
        <v>21</v>
      </c>
      <c r="F17" s="529" t="s">
        <v>5202</v>
      </c>
      <c r="I17" s="528" t="s">
        <v>19</v>
      </c>
      <c r="J17" s="19"/>
      <c r="L17" s="24"/>
      <c r="W17" s="158"/>
      <c r="X17" s="427"/>
      <c r="Y17" s="594" t="s">
        <v>21</v>
      </c>
      <c r="Z17" s="427"/>
      <c r="AA17" s="622" t="s">
        <v>5202</v>
      </c>
      <c r="AB17" s="427"/>
      <c r="AC17" s="427"/>
      <c r="AD17" s="594" t="s">
        <v>19</v>
      </c>
      <c r="AE17" s="596"/>
      <c r="AG17" s="130"/>
      <c r="AI17" s="398"/>
    </row>
    <row r="18" spans="2:35" s="1" customFormat="1" ht="18" customHeight="1" x14ac:dyDescent="0.2">
      <c r="B18" s="24"/>
      <c r="D18" s="521"/>
      <c r="E18" s="1161"/>
      <c r="F18" s="1161"/>
      <c r="G18" s="1161"/>
      <c r="H18" s="1161"/>
      <c r="I18" s="528" t="s">
        <v>20</v>
      </c>
      <c r="J18" s="19" t="str">
        <f>'Rekapitulácia stavby'!AN14</f>
        <v/>
      </c>
      <c r="L18" s="24"/>
      <c r="W18" s="158"/>
      <c r="X18" s="427"/>
      <c r="Y18" s="427"/>
      <c r="Z18" s="1264"/>
      <c r="AA18" s="1264"/>
      <c r="AB18" s="1264"/>
      <c r="AC18" s="1264"/>
      <c r="AD18" s="594" t="s">
        <v>20</v>
      </c>
      <c r="AE18" s="596"/>
      <c r="AG18" s="130"/>
      <c r="AI18" s="398"/>
    </row>
    <row r="19" spans="2:35" s="1" customFormat="1" ht="7.05" customHeight="1" x14ac:dyDescent="0.2">
      <c r="B19" s="24"/>
      <c r="D19" s="521"/>
      <c r="I19" s="521"/>
      <c r="L19" s="24"/>
      <c r="W19" s="158"/>
      <c r="X19" s="427"/>
      <c r="Y19" s="427"/>
      <c r="Z19" s="427"/>
      <c r="AA19" s="427"/>
      <c r="AB19" s="427"/>
      <c r="AC19" s="427"/>
      <c r="AD19" s="427"/>
      <c r="AE19" s="512"/>
      <c r="AG19" s="130"/>
      <c r="AI19" s="398"/>
    </row>
    <row r="20" spans="2:35" s="1" customFormat="1" ht="12" customHeight="1" x14ac:dyDescent="0.2">
      <c r="B20" s="24"/>
      <c r="D20" s="528" t="s">
        <v>22</v>
      </c>
      <c r="I20" s="528" t="s">
        <v>19</v>
      </c>
      <c r="J20" s="19" t="str">
        <f>IF('Rekapitulácia stavby'!AN16="","",'Rekapitulácia stavby'!AN16)</f>
        <v/>
      </c>
      <c r="L20" s="24"/>
      <c r="W20" s="158"/>
      <c r="X20" s="427"/>
      <c r="Y20" s="594" t="s">
        <v>22</v>
      </c>
      <c r="Z20" s="427"/>
      <c r="AA20" s="427"/>
      <c r="AB20" s="427"/>
      <c r="AC20" s="427"/>
      <c r="AD20" s="594" t="s">
        <v>19</v>
      </c>
      <c r="AE20" s="596" t="str">
        <f>IF('Rekapitulácia stavby'!BI16="","",'Rekapitulácia stavby'!BI16)</f>
        <v/>
      </c>
      <c r="AG20" s="130"/>
      <c r="AI20" s="398"/>
    </row>
    <row r="21" spans="2:35" s="1" customFormat="1" ht="18" customHeight="1" x14ac:dyDescent="0.2">
      <c r="B21" s="24"/>
      <c r="D21" s="521"/>
      <c r="E21" s="19" t="str">
        <f>IF('Rekapitulácia stavby'!E17="","",'Rekapitulácia stavby'!E17)</f>
        <v xml:space="preserve"> </v>
      </c>
      <c r="I21" s="528" t="s">
        <v>20</v>
      </c>
      <c r="J21" s="19" t="str">
        <f>IF('Rekapitulácia stavby'!AN17="","",'Rekapitulácia stavby'!AN17)</f>
        <v/>
      </c>
      <c r="L21" s="24"/>
      <c r="W21" s="158"/>
      <c r="X21" s="427"/>
      <c r="Y21" s="427"/>
      <c r="Z21" s="595" t="str">
        <f>IF('Rekapitulácia stavby'!Z17="","",'Rekapitulácia stavby'!Z17)</f>
        <v/>
      </c>
      <c r="AA21" s="427"/>
      <c r="AB21" s="427"/>
      <c r="AC21" s="427"/>
      <c r="AD21" s="594" t="s">
        <v>20</v>
      </c>
      <c r="AE21" s="596" t="str">
        <f>IF('Rekapitulácia stavby'!BI17="","",'Rekapitulácia stavby'!BI17)</f>
        <v/>
      </c>
      <c r="AG21" s="130"/>
      <c r="AI21" s="398"/>
    </row>
    <row r="22" spans="2:35" s="1" customFormat="1" ht="7.05" customHeight="1" x14ac:dyDescent="0.2">
      <c r="B22" s="24"/>
      <c r="D22" s="521"/>
      <c r="I22" s="521"/>
      <c r="L22" s="24"/>
      <c r="W22" s="158"/>
      <c r="X22" s="427"/>
      <c r="Y22" s="427"/>
      <c r="Z22" s="427"/>
      <c r="AA22" s="427"/>
      <c r="AB22" s="427"/>
      <c r="AC22" s="427"/>
      <c r="AD22" s="427"/>
      <c r="AE22" s="512"/>
      <c r="AG22" s="130"/>
      <c r="AI22" s="398"/>
    </row>
    <row r="23" spans="2:35" s="1" customFormat="1" ht="12" customHeight="1" x14ac:dyDescent="0.2">
      <c r="B23" s="24"/>
      <c r="D23" s="528" t="s">
        <v>24</v>
      </c>
      <c r="I23" s="528" t="s">
        <v>19</v>
      </c>
      <c r="J23" s="19" t="str">
        <f>IF('Rekapitulácia stavby'!AN19="","",'Rekapitulácia stavby'!AN19)</f>
        <v/>
      </c>
      <c r="L23" s="24"/>
      <c r="W23" s="158"/>
      <c r="X23" s="427"/>
      <c r="Y23" s="594" t="s">
        <v>24</v>
      </c>
      <c r="Z23" s="427"/>
      <c r="AA23" s="427"/>
      <c r="AB23" s="427"/>
      <c r="AC23" s="427"/>
      <c r="AD23" s="594" t="s">
        <v>19</v>
      </c>
      <c r="AE23" s="596" t="str">
        <f>IF('Rekapitulácia stavby'!BI19="","",'Rekapitulácia stavby'!BI19)</f>
        <v/>
      </c>
      <c r="AG23" s="130"/>
      <c r="AI23" s="398"/>
    </row>
    <row r="24" spans="2:35" s="1" customFormat="1" ht="18" customHeight="1" x14ac:dyDescent="0.2">
      <c r="B24" s="24"/>
      <c r="D24" s="521"/>
      <c r="E24" s="19" t="str">
        <f>IF('Rekapitulácia stavby'!E20="","",'Rekapitulácia stavby'!E20)</f>
        <v xml:space="preserve"> </v>
      </c>
      <c r="I24" s="528" t="s">
        <v>20</v>
      </c>
      <c r="J24" s="19" t="str">
        <f>IF('Rekapitulácia stavby'!AN20="","",'Rekapitulácia stavby'!AN20)</f>
        <v/>
      </c>
      <c r="L24" s="24"/>
      <c r="W24" s="158"/>
      <c r="X24" s="427"/>
      <c r="Y24" s="427"/>
      <c r="Z24" s="595" t="str">
        <f>IF('Rekapitulácia stavby'!Z20="","",'Rekapitulácia stavby'!Z20)</f>
        <v/>
      </c>
      <c r="AA24" s="427"/>
      <c r="AB24" s="427"/>
      <c r="AC24" s="427"/>
      <c r="AD24" s="594" t="s">
        <v>20</v>
      </c>
      <c r="AE24" s="596" t="str">
        <f>IF('Rekapitulácia stavby'!BI20="","",'Rekapitulácia stavby'!BI20)</f>
        <v/>
      </c>
      <c r="AG24" s="130"/>
      <c r="AI24" s="398"/>
    </row>
    <row r="25" spans="2:35" s="1" customFormat="1" ht="7.05" customHeight="1" x14ac:dyDescent="0.2">
      <c r="B25" s="24"/>
      <c r="D25" s="521"/>
      <c r="L25" s="24"/>
      <c r="W25" s="158"/>
      <c r="X25" s="427"/>
      <c r="Y25" s="427"/>
      <c r="Z25" s="427"/>
      <c r="AA25" s="427"/>
      <c r="AB25" s="427"/>
      <c r="AC25" s="427"/>
      <c r="AD25" s="427"/>
      <c r="AE25" s="512"/>
      <c r="AG25" s="130"/>
      <c r="AI25" s="398"/>
    </row>
    <row r="26" spans="2:35" s="1" customFormat="1" ht="12" customHeight="1" x14ac:dyDescent="0.2">
      <c r="B26" s="24"/>
      <c r="D26" s="528" t="s">
        <v>25</v>
      </c>
      <c r="L26" s="24"/>
      <c r="W26" s="158"/>
      <c r="X26" s="427"/>
      <c r="Y26" s="594" t="s">
        <v>25</v>
      </c>
      <c r="Z26" s="427"/>
      <c r="AA26" s="427"/>
      <c r="AB26" s="427"/>
      <c r="AC26" s="427"/>
      <c r="AD26" s="427"/>
      <c r="AE26" s="512"/>
      <c r="AG26" s="130"/>
      <c r="AI26" s="398"/>
    </row>
    <row r="27" spans="2:35" s="7" customFormat="1" ht="16.5" customHeight="1" x14ac:dyDescent="0.2">
      <c r="B27" s="75"/>
      <c r="E27" s="1228" t="s">
        <v>1</v>
      </c>
      <c r="F27" s="1228"/>
      <c r="G27" s="1228"/>
      <c r="H27" s="1228"/>
      <c r="L27" s="75"/>
      <c r="W27" s="163"/>
      <c r="X27" s="598"/>
      <c r="Y27" s="598"/>
      <c r="Z27" s="1265" t="s">
        <v>1</v>
      </c>
      <c r="AA27" s="1265"/>
      <c r="AB27" s="1265"/>
      <c r="AC27" s="1265"/>
      <c r="AD27" s="598"/>
      <c r="AE27" s="599"/>
      <c r="AG27" s="394"/>
      <c r="AI27" s="399"/>
    </row>
    <row r="28" spans="2:35" s="1" customFormat="1" ht="7.05" customHeight="1" x14ac:dyDescent="0.2">
      <c r="B28" s="24"/>
      <c r="L28" s="24"/>
      <c r="W28" s="158"/>
      <c r="X28" s="427"/>
      <c r="Y28" s="427"/>
      <c r="Z28" s="427"/>
      <c r="AA28" s="427"/>
      <c r="AB28" s="427"/>
      <c r="AC28" s="427"/>
      <c r="AD28" s="427"/>
      <c r="AE28" s="512"/>
      <c r="AG28" s="130"/>
      <c r="AI28" s="398"/>
    </row>
    <row r="29" spans="2:35" s="1" customFormat="1" ht="7.05" customHeight="1" x14ac:dyDescent="0.2">
      <c r="B29" s="24"/>
      <c r="D29" s="40"/>
      <c r="E29" s="40"/>
      <c r="F29" s="40"/>
      <c r="G29" s="40"/>
      <c r="H29" s="40"/>
      <c r="I29" s="40"/>
      <c r="J29" s="40"/>
      <c r="K29" s="40"/>
      <c r="L29" s="24"/>
      <c r="W29" s="158"/>
      <c r="X29" s="427"/>
      <c r="Y29" s="600"/>
      <c r="Z29" s="600"/>
      <c r="AA29" s="600"/>
      <c r="AB29" s="600"/>
      <c r="AC29" s="600"/>
      <c r="AD29" s="600"/>
      <c r="AE29" s="601"/>
      <c r="AG29" s="130"/>
      <c r="AI29" s="398"/>
    </row>
    <row r="30" spans="2:35" s="1" customFormat="1" ht="25.2" customHeight="1" x14ac:dyDescent="0.2">
      <c r="B30" s="24"/>
      <c r="D30" s="76" t="s">
        <v>26</v>
      </c>
      <c r="J30" s="53">
        <f>ROUND(J118, 2)</f>
        <v>95224.91</v>
      </c>
      <c r="L30" s="24"/>
      <c r="W30" s="158"/>
      <c r="X30" s="427"/>
      <c r="Y30" s="602" t="s">
        <v>26</v>
      </c>
      <c r="Z30" s="427"/>
      <c r="AA30" s="427"/>
      <c r="AB30" s="427"/>
      <c r="AC30" s="427"/>
      <c r="AD30" s="427"/>
      <c r="AE30" s="603">
        <f>ROUND(AE118, 2)</f>
        <v>119211.39</v>
      </c>
      <c r="AG30" s="130"/>
      <c r="AI30" s="398"/>
    </row>
    <row r="31" spans="2:35" s="1" customFormat="1" ht="7.05" customHeight="1" x14ac:dyDescent="0.2">
      <c r="B31" s="24"/>
      <c r="D31" s="40"/>
      <c r="E31" s="40"/>
      <c r="F31" s="40"/>
      <c r="G31" s="40"/>
      <c r="H31" s="40"/>
      <c r="I31" s="40"/>
      <c r="J31" s="40"/>
      <c r="K31" s="40"/>
      <c r="L31" s="24"/>
      <c r="W31" s="158"/>
      <c r="X31" s="427"/>
      <c r="Y31" s="600"/>
      <c r="Z31" s="600"/>
      <c r="AA31" s="600"/>
      <c r="AB31" s="600"/>
      <c r="AC31" s="600"/>
      <c r="AD31" s="600"/>
      <c r="AE31" s="601"/>
      <c r="AG31" s="130"/>
      <c r="AI31" s="398"/>
    </row>
    <row r="32" spans="2:35" s="1" customFormat="1" ht="14.55" customHeight="1" x14ac:dyDescent="0.2">
      <c r="B32" s="24"/>
      <c r="D32" s="521"/>
      <c r="E32" s="521"/>
      <c r="F32" s="534" t="s">
        <v>28</v>
      </c>
      <c r="G32" s="521"/>
      <c r="H32" s="521"/>
      <c r="I32" s="534" t="s">
        <v>27</v>
      </c>
      <c r="J32" s="534" t="s">
        <v>29</v>
      </c>
      <c r="L32" s="24"/>
      <c r="W32" s="158"/>
      <c r="X32" s="427"/>
      <c r="Y32" s="427"/>
      <c r="Z32" s="427"/>
      <c r="AA32" s="604" t="s">
        <v>28</v>
      </c>
      <c r="AB32" s="427"/>
      <c r="AC32" s="427"/>
      <c r="AD32" s="604" t="s">
        <v>27</v>
      </c>
      <c r="AE32" s="605" t="s">
        <v>29</v>
      </c>
      <c r="AG32" s="130"/>
      <c r="AI32" s="398"/>
    </row>
    <row r="33" spans="2:35" s="1" customFormat="1" ht="14.55" customHeight="1" x14ac:dyDescent="0.2">
      <c r="B33" s="24"/>
      <c r="D33" s="13" t="s">
        <v>30</v>
      </c>
      <c r="E33" s="528" t="s">
        <v>31</v>
      </c>
      <c r="F33" s="398">
        <f>ROUND((SUM(BE118:BE324)),  2)</f>
        <v>0</v>
      </c>
      <c r="G33" s="521"/>
      <c r="H33" s="521"/>
      <c r="I33" s="535">
        <v>0.2</v>
      </c>
      <c r="J33" s="398">
        <f>ROUND(((SUM(BE118:BE324))*I33),  2)</f>
        <v>0</v>
      </c>
      <c r="L33" s="24"/>
      <c r="W33" s="158"/>
      <c r="X33" s="427"/>
      <c r="Y33" s="606" t="s">
        <v>30</v>
      </c>
      <c r="Z33" s="594" t="s">
        <v>31</v>
      </c>
      <c r="AA33" s="607">
        <f>ROUND((SUM(BZ118:BZ324)),  2)</f>
        <v>0</v>
      </c>
      <c r="AB33" s="427"/>
      <c r="AC33" s="427"/>
      <c r="AD33" s="608">
        <v>0.2</v>
      </c>
      <c r="AE33" s="609">
        <f>ROUND(((SUM(BZ118:BZ324))*AD33),  2)</f>
        <v>0</v>
      </c>
      <c r="AG33" s="130"/>
      <c r="AI33" s="398"/>
    </row>
    <row r="34" spans="2:35" s="1" customFormat="1" ht="14.55" customHeight="1" x14ac:dyDescent="0.2">
      <c r="B34" s="24"/>
      <c r="D34" s="521"/>
      <c r="E34" s="528" t="s">
        <v>32</v>
      </c>
      <c r="F34" s="398">
        <f>ROUND((SUM(BF118:BF324)),  2)</f>
        <v>95224.91</v>
      </c>
      <c r="G34" s="521"/>
      <c r="H34" s="521"/>
      <c r="I34" s="535">
        <v>0.2</v>
      </c>
      <c r="J34" s="398">
        <f>ROUND(((SUM(BF118:BF324))*I34),  2)</f>
        <v>19044.98</v>
      </c>
      <c r="L34" s="24"/>
      <c r="W34" s="158"/>
      <c r="X34" s="427"/>
      <c r="Y34" s="427"/>
      <c r="Z34" s="594" t="s">
        <v>32</v>
      </c>
      <c r="AA34" s="607">
        <f>AE30</f>
        <v>119211.39</v>
      </c>
      <c r="AB34" s="427"/>
      <c r="AC34" s="427"/>
      <c r="AD34" s="608">
        <v>0.2</v>
      </c>
      <c r="AE34" s="609">
        <f>AE30*0.2</f>
        <v>23842.278000000002</v>
      </c>
      <c r="AG34" s="130"/>
      <c r="AI34" s="398"/>
    </row>
    <row r="35" spans="2:35" s="1" customFormat="1" ht="14.55" hidden="1" customHeight="1" x14ac:dyDescent="0.2">
      <c r="B35" s="24"/>
      <c r="E35" s="21" t="s">
        <v>33</v>
      </c>
      <c r="F35" s="78">
        <f>ROUND((SUM(BG118:BG324)),  2)</f>
        <v>0</v>
      </c>
      <c r="I35" s="79">
        <v>0.2</v>
      </c>
      <c r="J35" s="78">
        <f>0</f>
        <v>0</v>
      </c>
      <c r="L35" s="24"/>
      <c r="W35" s="158"/>
      <c r="X35" s="427"/>
      <c r="Y35" s="427"/>
      <c r="Z35" s="610" t="s">
        <v>33</v>
      </c>
      <c r="AA35" s="611">
        <f>ROUND((SUM(CB118:CB324)),  2)</f>
        <v>0</v>
      </c>
      <c r="AB35" s="427"/>
      <c r="AC35" s="427"/>
      <c r="AD35" s="612">
        <v>0.2</v>
      </c>
      <c r="AE35" s="613">
        <f>0</f>
        <v>0</v>
      </c>
      <c r="AG35" s="130"/>
      <c r="AI35" s="398"/>
    </row>
    <row r="36" spans="2:35" s="1" customFormat="1" ht="14.55" hidden="1" customHeight="1" x14ac:dyDescent="0.2">
      <c r="B36" s="24"/>
      <c r="E36" s="21" t="s">
        <v>34</v>
      </c>
      <c r="F36" s="78">
        <f>ROUND((SUM(BH118:BH324)),  2)</f>
        <v>0</v>
      </c>
      <c r="I36" s="79">
        <v>0.2</v>
      </c>
      <c r="J36" s="78">
        <f>0</f>
        <v>0</v>
      </c>
      <c r="L36" s="24"/>
      <c r="W36" s="158"/>
      <c r="X36" s="427"/>
      <c r="Y36" s="427"/>
      <c r="Z36" s="610" t="s">
        <v>34</v>
      </c>
      <c r="AA36" s="611">
        <f>ROUND((SUM(CC118:CC324)),  2)</f>
        <v>0</v>
      </c>
      <c r="AB36" s="427"/>
      <c r="AC36" s="427"/>
      <c r="AD36" s="612">
        <v>0.2</v>
      </c>
      <c r="AE36" s="613">
        <f>0</f>
        <v>0</v>
      </c>
      <c r="AG36" s="130"/>
      <c r="AI36" s="398"/>
    </row>
    <row r="37" spans="2:35" s="1" customFormat="1" ht="14.55" hidden="1" customHeight="1" x14ac:dyDescent="0.2">
      <c r="B37" s="24"/>
      <c r="E37" s="21" t="s">
        <v>35</v>
      </c>
      <c r="F37" s="78">
        <f>ROUND((SUM(BI118:BI324)),  2)</f>
        <v>0</v>
      </c>
      <c r="I37" s="79">
        <v>0</v>
      </c>
      <c r="J37" s="78">
        <f>0</f>
        <v>0</v>
      </c>
      <c r="L37" s="24"/>
      <c r="W37" s="158"/>
      <c r="X37" s="427"/>
      <c r="Y37" s="427"/>
      <c r="Z37" s="610" t="s">
        <v>35</v>
      </c>
      <c r="AA37" s="611">
        <f>ROUND((SUM(CD118:CD324)),  2)</f>
        <v>0</v>
      </c>
      <c r="AB37" s="427"/>
      <c r="AC37" s="427"/>
      <c r="AD37" s="612">
        <v>0</v>
      </c>
      <c r="AE37" s="613">
        <f>0</f>
        <v>0</v>
      </c>
      <c r="AG37" s="130"/>
      <c r="AI37" s="398"/>
    </row>
    <row r="38" spans="2:35" s="1" customFormat="1" ht="7.05" customHeight="1" x14ac:dyDescent="0.2">
      <c r="B38" s="24"/>
      <c r="L38" s="24"/>
      <c r="W38" s="158"/>
      <c r="X38" s="427"/>
      <c r="Y38" s="427"/>
      <c r="Z38" s="427"/>
      <c r="AA38" s="427"/>
      <c r="AB38" s="427"/>
      <c r="AC38" s="427"/>
      <c r="AD38" s="427"/>
      <c r="AE38" s="512"/>
      <c r="AG38" s="130"/>
      <c r="AI38" s="398"/>
    </row>
    <row r="39" spans="2:35" s="1" customFormat="1" ht="25.2" customHeight="1" x14ac:dyDescent="0.2">
      <c r="B39" s="24"/>
      <c r="C39" s="80"/>
      <c r="D39" s="81" t="s">
        <v>36</v>
      </c>
      <c r="E39" s="44"/>
      <c r="F39" s="44"/>
      <c r="G39" s="82" t="s">
        <v>37</v>
      </c>
      <c r="H39" s="83" t="s">
        <v>38</v>
      </c>
      <c r="I39" s="44"/>
      <c r="J39" s="84">
        <f>SUM(J30:J37)</f>
        <v>114269.89</v>
      </c>
      <c r="K39" s="85"/>
      <c r="L39" s="24"/>
      <c r="W39" s="158"/>
      <c r="X39" s="427"/>
      <c r="Y39" s="614" t="s">
        <v>36</v>
      </c>
      <c r="Z39" s="615"/>
      <c r="AA39" s="615"/>
      <c r="AB39" s="616" t="s">
        <v>37</v>
      </c>
      <c r="AC39" s="617" t="s">
        <v>38</v>
      </c>
      <c r="AD39" s="615"/>
      <c r="AE39" s="618">
        <f>SUM(AE30:AE37)</f>
        <v>143053.66800000001</v>
      </c>
      <c r="AG39" s="130"/>
      <c r="AI39" s="398"/>
    </row>
    <row r="40" spans="2:35" s="1" customFormat="1" ht="14.55" customHeight="1" x14ac:dyDescent="0.2">
      <c r="B40" s="24"/>
      <c r="L40" s="24"/>
      <c r="W40" s="158"/>
      <c r="X40" s="427"/>
      <c r="Y40" s="427"/>
      <c r="Z40" s="427"/>
      <c r="AA40" s="427"/>
      <c r="AB40" s="427"/>
      <c r="AC40" s="427"/>
      <c r="AD40" s="427"/>
      <c r="AE40" s="512"/>
      <c r="AG40" s="130"/>
      <c r="AI40" s="398"/>
    </row>
    <row r="41" spans="2:35" ht="14.55" customHeight="1" x14ac:dyDescent="0.2">
      <c r="B41" s="16"/>
      <c r="L41" s="16"/>
      <c r="W41" s="155"/>
      <c r="X41" s="588"/>
      <c r="Y41" s="588"/>
      <c r="Z41" s="588"/>
      <c r="AA41" s="588"/>
      <c r="AB41" s="588"/>
      <c r="AC41" s="588"/>
      <c r="AD41" s="588"/>
      <c r="AE41" s="589"/>
    </row>
    <row r="42" spans="2:35" ht="14.55" customHeight="1" x14ac:dyDescent="0.2">
      <c r="B42" s="16"/>
      <c r="L42" s="16"/>
      <c r="W42" s="155"/>
      <c r="X42" s="588"/>
      <c r="Y42" s="588"/>
      <c r="Z42" s="588"/>
      <c r="AA42" s="588"/>
      <c r="AB42" s="588"/>
      <c r="AC42" s="588"/>
      <c r="AD42" s="588"/>
      <c r="AE42" s="589"/>
    </row>
    <row r="43" spans="2:35" ht="14.55" customHeight="1" x14ac:dyDescent="0.2">
      <c r="B43" s="16"/>
      <c r="L43" s="16"/>
      <c r="W43" s="155"/>
      <c r="X43" s="588"/>
      <c r="Y43" s="588"/>
      <c r="Z43" s="588"/>
      <c r="AA43" s="588"/>
      <c r="AB43" s="588"/>
      <c r="AC43" s="588"/>
      <c r="AD43" s="588"/>
      <c r="AE43" s="589"/>
    </row>
    <row r="44" spans="2:35" ht="14.55" customHeight="1" x14ac:dyDescent="0.2">
      <c r="B44" s="16"/>
      <c r="L44" s="16"/>
      <c r="W44" s="155"/>
      <c r="X44" s="588"/>
      <c r="Y44" s="588"/>
      <c r="Z44" s="588"/>
      <c r="AA44" s="588"/>
      <c r="AB44" s="588"/>
      <c r="AC44" s="588"/>
      <c r="AD44" s="588"/>
      <c r="AE44" s="589"/>
    </row>
    <row r="45" spans="2:35" ht="14.55" customHeight="1" x14ac:dyDescent="0.2">
      <c r="B45" s="16"/>
      <c r="L45" s="16"/>
      <c r="W45" s="155"/>
      <c r="X45" s="588"/>
      <c r="Y45" s="588"/>
      <c r="Z45" s="588"/>
      <c r="AA45" s="588"/>
      <c r="AB45" s="588"/>
      <c r="AC45" s="588"/>
      <c r="AD45" s="588"/>
      <c r="AE45" s="589"/>
    </row>
    <row r="46" spans="2:35" ht="14.55" customHeight="1" x14ac:dyDescent="0.2">
      <c r="B46" s="16"/>
      <c r="L46" s="16"/>
      <c r="W46" s="155"/>
      <c r="X46" s="588"/>
      <c r="Y46" s="588"/>
      <c r="Z46" s="588"/>
      <c r="AA46" s="588"/>
      <c r="AB46" s="588"/>
      <c r="AC46" s="588"/>
      <c r="AD46" s="588"/>
      <c r="AE46" s="589"/>
    </row>
    <row r="47" spans="2:35" ht="14.55" customHeight="1" x14ac:dyDescent="0.2">
      <c r="B47" s="16"/>
      <c r="L47" s="16"/>
      <c r="W47" s="155"/>
      <c r="X47" s="588"/>
      <c r="Y47" s="588"/>
      <c r="Z47" s="588"/>
      <c r="AA47" s="588"/>
      <c r="AB47" s="588"/>
      <c r="AC47" s="588"/>
      <c r="AD47" s="588"/>
      <c r="AE47" s="589"/>
    </row>
    <row r="48" spans="2:35" ht="14.55" customHeight="1" x14ac:dyDescent="0.2">
      <c r="B48" s="16"/>
      <c r="L48" s="16"/>
      <c r="W48" s="155"/>
      <c r="X48" s="588"/>
      <c r="Y48" s="588"/>
      <c r="Z48" s="588"/>
      <c r="AA48" s="588"/>
      <c r="AB48" s="588"/>
      <c r="AC48" s="588"/>
      <c r="AD48" s="588"/>
      <c r="AE48" s="589"/>
    </row>
    <row r="49" spans="2:35" ht="14.55" customHeight="1" x14ac:dyDescent="0.2">
      <c r="B49" s="16"/>
      <c r="D49" s="156"/>
      <c r="E49" s="156"/>
      <c r="F49" s="156"/>
      <c r="G49" s="156"/>
      <c r="H49" s="156"/>
      <c r="I49" s="156"/>
      <c r="J49" s="156"/>
      <c r="L49" s="16"/>
      <c r="W49" s="155"/>
      <c r="X49" s="588"/>
      <c r="Y49" s="588"/>
      <c r="Z49" s="588"/>
      <c r="AA49" s="588"/>
      <c r="AB49" s="588"/>
      <c r="AC49" s="588"/>
      <c r="AD49" s="588"/>
      <c r="AE49" s="589"/>
    </row>
    <row r="50" spans="2:35" s="1" customFormat="1" ht="14.55" customHeight="1" x14ac:dyDescent="0.2">
      <c r="B50" s="24"/>
      <c r="D50" s="530"/>
      <c r="E50" s="523"/>
      <c r="F50" s="523"/>
      <c r="G50" s="530"/>
      <c r="H50" s="523"/>
      <c r="I50" s="523"/>
      <c r="J50" s="523"/>
      <c r="K50" s="32"/>
      <c r="L50" s="24"/>
      <c r="W50" s="158"/>
      <c r="X50" s="427"/>
      <c r="Y50" s="619"/>
      <c r="Z50" s="427"/>
      <c r="AA50" s="427"/>
      <c r="AB50" s="619"/>
      <c r="AC50" s="427"/>
      <c r="AD50" s="427"/>
      <c r="AE50" s="512"/>
      <c r="AG50" s="130"/>
      <c r="AI50" s="398"/>
    </row>
    <row r="51" spans="2:35" x14ac:dyDescent="0.2">
      <c r="B51" s="16"/>
      <c r="D51" s="156"/>
      <c r="E51" s="156"/>
      <c r="F51" s="156"/>
      <c r="G51" s="156"/>
      <c r="H51" s="156"/>
      <c r="I51" s="156"/>
      <c r="J51" s="156"/>
      <c r="L51" s="16"/>
      <c r="W51" s="155"/>
      <c r="X51" s="588"/>
      <c r="Y51" s="588"/>
      <c r="Z51" s="588"/>
      <c r="AA51" s="588"/>
      <c r="AB51" s="588"/>
      <c r="AC51" s="588"/>
      <c r="AD51" s="588"/>
      <c r="AE51" s="589"/>
    </row>
    <row r="52" spans="2:35" x14ac:dyDescent="0.2">
      <c r="B52" s="16"/>
      <c r="D52" s="156"/>
      <c r="E52" s="156"/>
      <c r="F52" s="156"/>
      <c r="G52" s="156"/>
      <c r="H52" s="156"/>
      <c r="I52" s="156"/>
      <c r="J52" s="156"/>
      <c r="L52" s="16"/>
      <c r="W52" s="155"/>
      <c r="X52" s="588"/>
      <c r="Y52" s="588"/>
      <c r="Z52" s="588"/>
      <c r="AA52" s="588"/>
      <c r="AB52" s="588"/>
      <c r="AC52" s="588"/>
      <c r="AD52" s="588"/>
      <c r="AE52" s="589"/>
    </row>
    <row r="53" spans="2:35" x14ac:dyDescent="0.2">
      <c r="B53" s="16"/>
      <c r="D53" s="156"/>
      <c r="E53" s="156"/>
      <c r="F53" s="156"/>
      <c r="G53" s="156"/>
      <c r="H53" s="156"/>
      <c r="I53" s="156"/>
      <c r="J53" s="156"/>
      <c r="L53" s="16"/>
      <c r="W53" s="155"/>
      <c r="X53" s="588"/>
      <c r="Y53" s="588"/>
      <c r="Z53" s="588"/>
      <c r="AA53" s="588"/>
      <c r="AB53" s="588"/>
      <c r="AC53" s="588"/>
      <c r="AD53" s="588"/>
      <c r="AE53" s="589"/>
    </row>
    <row r="54" spans="2:35" x14ac:dyDescent="0.2">
      <c r="B54" s="16"/>
      <c r="D54" s="156"/>
      <c r="E54" s="156"/>
      <c r="F54" s="156"/>
      <c r="G54" s="156"/>
      <c r="H54" s="156"/>
      <c r="I54" s="156"/>
      <c r="J54" s="156"/>
      <c r="L54" s="16"/>
      <c r="W54" s="155"/>
      <c r="X54" s="588"/>
      <c r="Y54" s="588"/>
      <c r="Z54" s="588"/>
      <c r="AA54" s="588"/>
      <c r="AB54" s="588"/>
      <c r="AC54" s="588"/>
      <c r="AD54" s="588"/>
      <c r="AE54" s="589"/>
    </row>
    <row r="55" spans="2:35" x14ac:dyDescent="0.2">
      <c r="B55" s="16"/>
      <c r="D55" s="156"/>
      <c r="E55" s="156"/>
      <c r="F55" s="156"/>
      <c r="G55" s="156"/>
      <c r="H55" s="156"/>
      <c r="I55" s="156"/>
      <c r="J55" s="156"/>
      <c r="L55" s="16"/>
      <c r="W55" s="155"/>
      <c r="X55" s="588"/>
      <c r="Y55" s="588"/>
      <c r="Z55" s="588"/>
      <c r="AA55" s="588"/>
      <c r="AB55" s="588"/>
      <c r="AC55" s="588"/>
      <c r="AD55" s="588"/>
      <c r="AE55" s="589"/>
    </row>
    <row r="56" spans="2:35" x14ac:dyDescent="0.2">
      <c r="B56" s="16"/>
      <c r="D56" s="156"/>
      <c r="E56" s="156"/>
      <c r="F56" s="156"/>
      <c r="G56" s="156"/>
      <c r="H56" s="156"/>
      <c r="I56" s="156"/>
      <c r="J56" s="156"/>
      <c r="L56" s="16"/>
      <c r="W56" s="155"/>
      <c r="X56" s="588"/>
      <c r="Y56" s="588"/>
      <c r="Z56" s="588"/>
      <c r="AA56" s="588"/>
      <c r="AB56" s="588"/>
      <c r="AC56" s="588"/>
      <c r="AD56" s="588"/>
      <c r="AE56" s="589"/>
    </row>
    <row r="57" spans="2:35" x14ac:dyDescent="0.2">
      <c r="B57" s="16"/>
      <c r="D57" s="156"/>
      <c r="E57" s="156"/>
      <c r="F57" s="156"/>
      <c r="G57" s="156"/>
      <c r="H57" s="156"/>
      <c r="I57" s="156"/>
      <c r="J57" s="156"/>
      <c r="L57" s="16"/>
      <c r="W57" s="155"/>
      <c r="X57" s="588"/>
      <c r="Y57" s="588"/>
      <c r="Z57" s="588"/>
      <c r="AA57" s="588"/>
      <c r="AB57" s="588"/>
      <c r="AC57" s="588"/>
      <c r="AD57" s="588"/>
      <c r="AE57" s="589"/>
    </row>
    <row r="58" spans="2:35" x14ac:dyDescent="0.2">
      <c r="B58" s="16"/>
      <c r="D58" s="156"/>
      <c r="E58" s="156"/>
      <c r="F58" s="156"/>
      <c r="G58" s="156"/>
      <c r="H58" s="156"/>
      <c r="I58" s="156"/>
      <c r="J58" s="156"/>
      <c r="L58" s="16"/>
      <c r="W58" s="155"/>
      <c r="X58" s="588"/>
      <c r="Y58" s="588"/>
      <c r="Z58" s="588"/>
      <c r="AA58" s="588"/>
      <c r="AB58" s="588"/>
      <c r="AC58" s="588"/>
      <c r="AD58" s="588"/>
      <c r="AE58" s="589"/>
    </row>
    <row r="59" spans="2:35" x14ac:dyDescent="0.2">
      <c r="B59" s="16"/>
      <c r="D59" s="156"/>
      <c r="E59" s="156"/>
      <c r="F59" s="156"/>
      <c r="G59" s="156"/>
      <c r="H59" s="156"/>
      <c r="I59" s="156"/>
      <c r="J59" s="156"/>
      <c r="L59" s="16"/>
      <c r="W59" s="155"/>
      <c r="X59" s="588"/>
      <c r="Y59" s="588"/>
      <c r="Z59" s="588"/>
      <c r="AA59" s="588"/>
      <c r="AB59" s="588"/>
      <c r="AC59" s="588"/>
      <c r="AD59" s="588"/>
      <c r="AE59" s="589"/>
    </row>
    <row r="60" spans="2:35" x14ac:dyDescent="0.2">
      <c r="B60" s="16"/>
      <c r="D60" s="156"/>
      <c r="E60" s="156"/>
      <c r="F60" s="156"/>
      <c r="G60" s="156"/>
      <c r="H60" s="156"/>
      <c r="I60" s="156"/>
      <c r="J60" s="156"/>
      <c r="L60" s="16"/>
      <c r="W60" s="155"/>
      <c r="X60" s="588"/>
      <c r="Y60" s="588"/>
      <c r="Z60" s="588"/>
      <c r="AA60" s="588"/>
      <c r="AB60" s="588"/>
      <c r="AC60" s="588"/>
      <c r="AD60" s="588"/>
      <c r="AE60" s="589"/>
    </row>
    <row r="61" spans="2:35" s="1" customFormat="1" x14ac:dyDescent="0.2">
      <c r="B61" s="24"/>
      <c r="D61" s="522"/>
      <c r="E61" s="523"/>
      <c r="F61" s="536"/>
      <c r="G61" s="522"/>
      <c r="H61" s="523"/>
      <c r="I61" s="523"/>
      <c r="J61" s="169"/>
      <c r="K61" s="26"/>
      <c r="L61" s="24"/>
      <c r="W61" s="158"/>
      <c r="X61" s="427"/>
      <c r="Y61" s="610"/>
      <c r="Z61" s="427"/>
      <c r="AA61" s="620"/>
      <c r="AB61" s="610"/>
      <c r="AC61" s="427"/>
      <c r="AD61" s="427"/>
      <c r="AE61" s="623"/>
      <c r="AG61" s="130"/>
      <c r="AI61" s="398"/>
    </row>
    <row r="62" spans="2:35" x14ac:dyDescent="0.2">
      <c r="B62" s="16"/>
      <c r="D62" s="156"/>
      <c r="E62" s="156"/>
      <c r="F62" s="156"/>
      <c r="G62" s="156"/>
      <c r="H62" s="156"/>
      <c r="I62" s="156"/>
      <c r="J62" s="156"/>
      <c r="L62" s="16"/>
      <c r="W62" s="155"/>
      <c r="X62" s="588"/>
      <c r="Y62" s="588"/>
      <c r="Z62" s="588"/>
      <c r="AA62" s="588"/>
      <c r="AB62" s="588"/>
      <c r="AC62" s="588"/>
      <c r="AD62" s="588"/>
      <c r="AE62" s="589"/>
    </row>
    <row r="63" spans="2:35" x14ac:dyDescent="0.2">
      <c r="B63" s="16"/>
      <c r="D63" s="156"/>
      <c r="E63" s="156"/>
      <c r="F63" s="156"/>
      <c r="G63" s="156"/>
      <c r="H63" s="156"/>
      <c r="I63" s="156"/>
      <c r="J63" s="156"/>
      <c r="L63" s="16"/>
      <c r="W63" s="155"/>
      <c r="X63" s="588"/>
      <c r="Y63" s="588"/>
      <c r="Z63" s="588"/>
      <c r="AA63" s="588"/>
      <c r="AB63" s="588"/>
      <c r="AC63" s="588"/>
      <c r="AD63" s="588"/>
      <c r="AE63" s="589"/>
    </row>
    <row r="64" spans="2:35" x14ac:dyDescent="0.2">
      <c r="B64" s="16"/>
      <c r="D64" s="156"/>
      <c r="E64" s="156"/>
      <c r="F64" s="156"/>
      <c r="G64" s="156"/>
      <c r="H64" s="156"/>
      <c r="I64" s="156"/>
      <c r="J64" s="156"/>
      <c r="L64" s="16"/>
      <c r="W64" s="155"/>
      <c r="X64" s="588"/>
      <c r="Y64" s="588"/>
      <c r="Z64" s="588"/>
      <c r="AA64" s="588"/>
      <c r="AB64" s="588"/>
      <c r="AC64" s="588"/>
      <c r="AD64" s="588"/>
      <c r="AE64" s="589"/>
    </row>
    <row r="65" spans="2:35" s="1" customFormat="1" x14ac:dyDescent="0.2">
      <c r="B65" s="24"/>
      <c r="D65" s="530"/>
      <c r="E65" s="523"/>
      <c r="F65" s="523"/>
      <c r="G65" s="530"/>
      <c r="H65" s="523"/>
      <c r="I65" s="523"/>
      <c r="J65" s="523"/>
      <c r="K65" s="32"/>
      <c r="L65" s="24"/>
      <c r="W65" s="158"/>
      <c r="X65" s="427"/>
      <c r="Y65" s="619"/>
      <c r="Z65" s="427"/>
      <c r="AA65" s="427"/>
      <c r="AB65" s="619"/>
      <c r="AC65" s="427"/>
      <c r="AD65" s="427"/>
      <c r="AE65" s="512"/>
      <c r="AG65" s="130"/>
      <c r="AI65" s="398"/>
    </row>
    <row r="66" spans="2:35" x14ac:dyDescent="0.2">
      <c r="B66" s="16"/>
      <c r="D66" s="156"/>
      <c r="E66" s="156"/>
      <c r="F66" s="156"/>
      <c r="G66" s="156"/>
      <c r="H66" s="156"/>
      <c r="I66" s="156"/>
      <c r="J66" s="156"/>
      <c r="L66" s="16"/>
      <c r="W66" s="155"/>
      <c r="X66" s="588"/>
      <c r="Y66" s="588"/>
      <c r="Z66" s="588"/>
      <c r="AA66" s="588"/>
      <c r="AB66" s="588"/>
      <c r="AC66" s="588"/>
      <c r="AD66" s="588"/>
      <c r="AE66" s="589"/>
    </row>
    <row r="67" spans="2:35" x14ac:dyDescent="0.2">
      <c r="B67" s="16"/>
      <c r="D67" s="156"/>
      <c r="E67" s="156"/>
      <c r="F67" s="156"/>
      <c r="G67" s="156"/>
      <c r="H67" s="156"/>
      <c r="I67" s="156"/>
      <c r="J67" s="156"/>
      <c r="L67" s="16"/>
      <c r="W67" s="155"/>
      <c r="X67" s="588"/>
      <c r="Y67" s="588"/>
      <c r="Z67" s="588"/>
      <c r="AA67" s="588"/>
      <c r="AB67" s="588"/>
      <c r="AC67" s="588"/>
      <c r="AD67" s="588"/>
      <c r="AE67" s="589"/>
    </row>
    <row r="68" spans="2:35" x14ac:dyDescent="0.2">
      <c r="B68" s="16"/>
      <c r="D68" s="156"/>
      <c r="E68" s="156"/>
      <c r="F68" s="156"/>
      <c r="G68" s="156"/>
      <c r="H68" s="156"/>
      <c r="I68" s="156"/>
      <c r="J68" s="156"/>
      <c r="L68" s="16"/>
      <c r="W68" s="155"/>
      <c r="X68" s="588"/>
      <c r="Y68" s="588"/>
      <c r="Z68" s="588"/>
      <c r="AA68" s="588"/>
      <c r="AB68" s="588"/>
      <c r="AC68" s="588"/>
      <c r="AD68" s="588"/>
      <c r="AE68" s="589"/>
    </row>
    <row r="69" spans="2:35" x14ac:dyDescent="0.2">
      <c r="B69" s="16"/>
      <c r="D69" s="156"/>
      <c r="E69" s="156"/>
      <c r="F69" s="156"/>
      <c r="G69" s="156"/>
      <c r="H69" s="156"/>
      <c r="I69" s="156"/>
      <c r="J69" s="156"/>
      <c r="L69" s="16"/>
      <c r="W69" s="155"/>
      <c r="X69" s="588"/>
      <c r="Y69" s="588"/>
      <c r="Z69" s="588"/>
      <c r="AA69" s="588"/>
      <c r="AB69" s="588"/>
      <c r="AC69" s="588"/>
      <c r="AD69" s="588"/>
      <c r="AE69" s="589"/>
    </row>
    <row r="70" spans="2:35" x14ac:dyDescent="0.2">
      <c r="B70" s="16"/>
      <c r="D70" s="156"/>
      <c r="E70" s="156"/>
      <c r="F70" s="156"/>
      <c r="G70" s="156"/>
      <c r="H70" s="156"/>
      <c r="I70" s="156"/>
      <c r="J70" s="156"/>
      <c r="L70" s="16"/>
      <c r="W70" s="155"/>
      <c r="X70" s="588"/>
      <c r="Y70" s="588"/>
      <c r="Z70" s="588"/>
      <c r="AA70" s="588"/>
      <c r="AB70" s="588"/>
      <c r="AC70" s="588"/>
      <c r="AD70" s="588"/>
      <c r="AE70" s="589"/>
    </row>
    <row r="71" spans="2:35" x14ac:dyDescent="0.2">
      <c r="B71" s="16"/>
      <c r="D71" s="156"/>
      <c r="E71" s="156"/>
      <c r="F71" s="156"/>
      <c r="G71" s="156"/>
      <c r="H71" s="156"/>
      <c r="I71" s="156"/>
      <c r="J71" s="156"/>
      <c r="L71" s="16"/>
      <c r="W71" s="155"/>
      <c r="X71" s="588"/>
      <c r="Y71" s="588"/>
      <c r="Z71" s="588"/>
      <c r="AA71" s="588"/>
      <c r="AB71" s="588"/>
      <c r="AC71" s="588"/>
      <c r="AD71" s="588"/>
      <c r="AE71" s="589"/>
    </row>
    <row r="72" spans="2:35" x14ac:dyDescent="0.2">
      <c r="B72" s="16"/>
      <c r="D72" s="156"/>
      <c r="E72" s="156"/>
      <c r="F72" s="156"/>
      <c r="G72" s="156"/>
      <c r="H72" s="156"/>
      <c r="I72" s="156"/>
      <c r="J72" s="156"/>
      <c r="L72" s="16"/>
      <c r="W72" s="155"/>
      <c r="X72" s="588"/>
      <c r="Y72" s="588"/>
      <c r="Z72" s="588"/>
      <c r="AA72" s="588"/>
      <c r="AB72" s="588"/>
      <c r="AC72" s="588"/>
      <c r="AD72" s="588"/>
      <c r="AE72" s="589"/>
    </row>
    <row r="73" spans="2:35" x14ac:dyDescent="0.2">
      <c r="B73" s="16"/>
      <c r="D73" s="156"/>
      <c r="E73" s="156"/>
      <c r="F73" s="156"/>
      <c r="G73" s="156"/>
      <c r="H73" s="156"/>
      <c r="I73" s="156"/>
      <c r="J73" s="156"/>
      <c r="L73" s="16"/>
      <c r="W73" s="155"/>
      <c r="X73" s="588"/>
      <c r="Y73" s="588"/>
      <c r="Z73" s="588"/>
      <c r="AA73" s="588"/>
      <c r="AB73" s="588"/>
      <c r="AC73" s="588"/>
      <c r="AD73" s="588"/>
      <c r="AE73" s="589"/>
    </row>
    <row r="74" spans="2:35" x14ac:dyDescent="0.2">
      <c r="B74" s="16"/>
      <c r="D74" s="156"/>
      <c r="E74" s="156"/>
      <c r="F74" s="156"/>
      <c r="G74" s="156"/>
      <c r="H74" s="156"/>
      <c r="I74" s="156"/>
      <c r="J74" s="156"/>
      <c r="L74" s="16"/>
      <c r="W74" s="155"/>
      <c r="X74" s="588"/>
      <c r="Y74" s="588"/>
      <c r="Z74" s="588"/>
      <c r="AA74" s="588"/>
      <c r="AB74" s="588"/>
      <c r="AC74" s="588"/>
      <c r="AD74" s="588"/>
      <c r="AE74" s="589"/>
    </row>
    <row r="75" spans="2:35" x14ac:dyDescent="0.2">
      <c r="B75" s="16"/>
      <c r="D75" s="156"/>
      <c r="E75" s="156"/>
      <c r="F75" s="156"/>
      <c r="G75" s="156"/>
      <c r="H75" s="156"/>
      <c r="I75" s="156"/>
      <c r="J75" s="156"/>
      <c r="L75" s="16"/>
      <c r="W75" s="155"/>
      <c r="X75" s="588"/>
      <c r="Y75" s="588"/>
      <c r="Z75" s="588"/>
      <c r="AA75" s="588"/>
      <c r="AB75" s="588"/>
      <c r="AC75" s="588"/>
      <c r="AD75" s="588"/>
      <c r="AE75" s="589"/>
    </row>
    <row r="76" spans="2:35" s="1" customFormat="1" x14ac:dyDescent="0.2">
      <c r="B76" s="24"/>
      <c r="D76" s="522"/>
      <c r="E76" s="523"/>
      <c r="F76" s="536"/>
      <c r="G76" s="522"/>
      <c r="H76" s="523"/>
      <c r="I76" s="523"/>
      <c r="J76" s="169"/>
      <c r="K76" s="26"/>
      <c r="L76" s="24"/>
      <c r="W76" s="158"/>
      <c r="X76" s="427"/>
      <c r="Y76" s="610"/>
      <c r="Z76" s="427"/>
      <c r="AA76" s="620"/>
      <c r="AB76" s="610"/>
      <c r="AC76" s="427"/>
      <c r="AD76" s="427"/>
      <c r="AE76" s="623"/>
      <c r="AG76" s="130"/>
      <c r="AI76" s="398"/>
    </row>
    <row r="77" spans="2:35" s="1" customFormat="1" ht="14.55" customHeight="1" x14ac:dyDescent="0.2">
      <c r="B77" s="33"/>
      <c r="C77" s="34"/>
      <c r="D77" s="34"/>
      <c r="E77" s="34"/>
      <c r="F77" s="34"/>
      <c r="G77" s="34"/>
      <c r="H77" s="34"/>
      <c r="I77" s="34"/>
      <c r="J77" s="34"/>
      <c r="K77" s="34"/>
      <c r="L77" s="24"/>
      <c r="W77" s="175"/>
      <c r="X77" s="487"/>
      <c r="Y77" s="487"/>
      <c r="Z77" s="487"/>
      <c r="AA77" s="487"/>
      <c r="AB77" s="487"/>
      <c r="AC77" s="487"/>
      <c r="AD77" s="487"/>
      <c r="AE77" s="516"/>
      <c r="AG77" s="130"/>
      <c r="AI77" s="398"/>
    </row>
    <row r="81" spans="2:47" s="1" customFormat="1" ht="7.05" customHeight="1" x14ac:dyDescent="0.2">
      <c r="B81" s="35"/>
      <c r="C81" s="36"/>
      <c r="D81" s="36"/>
      <c r="E81" s="36"/>
      <c r="F81" s="36"/>
      <c r="G81" s="36"/>
      <c r="H81" s="36"/>
      <c r="I81" s="36"/>
      <c r="J81" s="36"/>
      <c r="K81" s="36"/>
      <c r="L81" s="24"/>
      <c r="W81" s="178"/>
      <c r="X81" s="179"/>
      <c r="Y81" s="179"/>
      <c r="Z81" s="179"/>
      <c r="AA81" s="179"/>
      <c r="AB81" s="179"/>
      <c r="AC81" s="179"/>
      <c r="AD81" s="179"/>
      <c r="AE81" s="180"/>
      <c r="AG81" s="130"/>
      <c r="AI81" s="398"/>
    </row>
    <row r="82" spans="2:47" s="1" customFormat="1" ht="25.05" customHeight="1" x14ac:dyDescent="0.2">
      <c r="B82" s="24"/>
      <c r="C82" s="1165" t="s">
        <v>188</v>
      </c>
      <c r="D82" s="1165"/>
      <c r="E82" s="1165"/>
      <c r="F82" s="1165"/>
      <c r="G82" s="1165"/>
      <c r="H82" s="1165"/>
      <c r="I82" s="1165"/>
      <c r="J82" s="1165"/>
      <c r="L82" s="24"/>
      <c r="W82" s="158"/>
      <c r="X82" s="1237" t="s">
        <v>188</v>
      </c>
      <c r="Y82" s="1237"/>
      <c r="Z82" s="1237"/>
      <c r="AA82" s="1237"/>
      <c r="AB82" s="1237"/>
      <c r="AC82" s="1237"/>
      <c r="AD82" s="1237"/>
      <c r="AE82" s="1238"/>
      <c r="AG82" s="130"/>
      <c r="AI82" s="398"/>
    </row>
    <row r="83" spans="2:47" s="1" customFormat="1" ht="7.05" customHeight="1" x14ac:dyDescent="0.2">
      <c r="B83" s="24"/>
      <c r="L83" s="24"/>
      <c r="W83" s="158"/>
      <c r="X83" s="557"/>
      <c r="Y83" s="557"/>
      <c r="Z83" s="557"/>
      <c r="AA83" s="557"/>
      <c r="AB83" s="557"/>
      <c r="AC83" s="557"/>
      <c r="AD83" s="557"/>
      <c r="AE83" s="159"/>
      <c r="AG83" s="130"/>
      <c r="AI83" s="398"/>
    </row>
    <row r="84" spans="2:47" s="1" customFormat="1" ht="12" customHeight="1" x14ac:dyDescent="0.2">
      <c r="B84" s="24"/>
      <c r="C84" s="528" t="s">
        <v>12</v>
      </c>
      <c r="E84" s="1242" t="s">
        <v>6177</v>
      </c>
      <c r="F84" s="1242"/>
      <c r="G84" s="1242"/>
      <c r="H84" s="1242"/>
      <c r="I84" s="1242"/>
      <c r="J84" s="1242"/>
      <c r="L84" s="24"/>
      <c r="W84" s="158"/>
      <c r="X84" s="538" t="s">
        <v>12</v>
      </c>
      <c r="Y84" s="557"/>
      <c r="Z84" s="1163" t="s">
        <v>6177</v>
      </c>
      <c r="AA84" s="1163"/>
      <c r="AB84" s="1163"/>
      <c r="AC84" s="1163"/>
      <c r="AD84" s="1163"/>
      <c r="AE84" s="1241"/>
      <c r="AG84" s="130"/>
      <c r="AI84" s="398"/>
    </row>
    <row r="85" spans="2:47" s="1" customFormat="1" ht="23.55" customHeight="1" x14ac:dyDescent="0.2">
      <c r="B85" s="24"/>
      <c r="C85" s="521"/>
      <c r="E85" s="531"/>
      <c r="F85" s="519"/>
      <c r="G85" s="519"/>
      <c r="H85" s="519"/>
      <c r="L85" s="24"/>
      <c r="W85" s="158"/>
      <c r="X85" s="557"/>
      <c r="Y85" s="557"/>
      <c r="Z85" s="1249"/>
      <c r="AA85" s="1250"/>
      <c r="AB85" s="1250"/>
      <c r="AC85" s="1250"/>
      <c r="AD85" s="557"/>
      <c r="AE85" s="159"/>
      <c r="AG85" s="130"/>
      <c r="AI85" s="398"/>
    </row>
    <row r="86" spans="2:47" s="1" customFormat="1" ht="12" customHeight="1" x14ac:dyDescent="0.2">
      <c r="B86" s="24"/>
      <c r="C86" s="528" t="s">
        <v>186</v>
      </c>
      <c r="F86" s="532" t="s">
        <v>3798</v>
      </c>
      <c r="L86" s="24"/>
      <c r="W86" s="158"/>
      <c r="X86" s="538" t="s">
        <v>186</v>
      </c>
      <c r="Y86" s="557"/>
      <c r="Z86" s="557"/>
      <c r="AA86" s="555" t="s">
        <v>3798</v>
      </c>
      <c r="AB86" s="557"/>
      <c r="AC86" s="557"/>
      <c r="AD86" s="557"/>
      <c r="AE86" s="159"/>
      <c r="AG86" s="130"/>
      <c r="AI86" s="398"/>
    </row>
    <row r="87" spans="2:47" s="1" customFormat="1" ht="16.5" customHeight="1" x14ac:dyDescent="0.2">
      <c r="B87" s="24"/>
      <c r="C87" s="521"/>
      <c r="E87" s="1251"/>
      <c r="F87" s="1252"/>
      <c r="G87" s="1252"/>
      <c r="H87" s="1252"/>
      <c r="L87" s="24"/>
      <c r="W87" s="158"/>
      <c r="X87" s="557"/>
      <c r="Y87" s="557"/>
      <c r="Z87" s="1245"/>
      <c r="AA87" s="1246"/>
      <c r="AB87" s="1246"/>
      <c r="AC87" s="1246"/>
      <c r="AD87" s="557"/>
      <c r="AE87" s="159"/>
      <c r="AG87" s="130"/>
      <c r="AI87" s="398"/>
    </row>
    <row r="88" spans="2:47" s="1" customFormat="1" ht="7.05" customHeight="1" x14ac:dyDescent="0.2">
      <c r="B88" s="24"/>
      <c r="C88" s="521"/>
      <c r="L88" s="24"/>
      <c r="W88" s="158"/>
      <c r="X88" s="557"/>
      <c r="Y88" s="557"/>
      <c r="Z88" s="557"/>
      <c r="AA88" s="557"/>
      <c r="AB88" s="557"/>
      <c r="AC88" s="557"/>
      <c r="AD88" s="557"/>
      <c r="AE88" s="159"/>
      <c r="AG88" s="130"/>
      <c r="AI88" s="398"/>
    </row>
    <row r="89" spans="2:47" s="1" customFormat="1" ht="12" customHeight="1" x14ac:dyDescent="0.2">
      <c r="B89" s="24"/>
      <c r="C89" s="528" t="s">
        <v>15</v>
      </c>
      <c r="F89" s="19" t="str">
        <f>F12</f>
        <v>Kuzmányho nábrežie 28, 960 01 Zvolen</v>
      </c>
      <c r="I89" s="528" t="s">
        <v>17</v>
      </c>
      <c r="J89" s="39" t="str">
        <f>IF(J12="","",J12)</f>
        <v/>
      </c>
      <c r="L89" s="24"/>
      <c r="W89" s="158"/>
      <c r="X89" s="538" t="s">
        <v>15</v>
      </c>
      <c r="Y89" s="557"/>
      <c r="Z89" s="557"/>
      <c r="AA89" s="558" t="str">
        <f>AA12</f>
        <v>Kuzmányho nábrežie 28, 960 01 Zvolen</v>
      </c>
      <c r="AB89" s="557"/>
      <c r="AC89" s="557"/>
      <c r="AD89" s="538" t="s">
        <v>17</v>
      </c>
      <c r="AE89" s="162" t="str">
        <f>IF(AE12="","",AE12)</f>
        <v/>
      </c>
      <c r="AG89" s="130"/>
      <c r="AI89" s="398"/>
    </row>
    <row r="90" spans="2:47" s="1" customFormat="1" ht="7.05" customHeight="1" x14ac:dyDescent="0.2">
      <c r="B90" s="24"/>
      <c r="C90" s="521"/>
      <c r="I90" s="521"/>
      <c r="L90" s="24"/>
      <c r="W90" s="158"/>
      <c r="X90" s="557"/>
      <c r="Y90" s="557"/>
      <c r="Z90" s="557"/>
      <c r="AA90" s="557"/>
      <c r="AB90" s="557"/>
      <c r="AC90" s="557"/>
      <c r="AD90" s="557"/>
      <c r="AE90" s="159"/>
      <c r="AG90" s="130"/>
      <c r="AI90" s="398"/>
    </row>
    <row r="91" spans="2:47" s="1" customFormat="1" ht="15.3" customHeight="1" x14ac:dyDescent="0.2">
      <c r="B91" s="24"/>
      <c r="C91" s="528" t="s">
        <v>18</v>
      </c>
      <c r="F91" s="529" t="s">
        <v>6175</v>
      </c>
      <c r="I91" s="528" t="s">
        <v>22</v>
      </c>
      <c r="J91" s="22" t="str">
        <f>E21</f>
        <v xml:space="preserve"> </v>
      </c>
      <c r="L91" s="24"/>
      <c r="W91" s="158"/>
      <c r="X91" s="538" t="s">
        <v>18</v>
      </c>
      <c r="Y91" s="557"/>
      <c r="Z91" s="557"/>
      <c r="AA91" s="576" t="s">
        <v>6175</v>
      </c>
      <c r="AB91" s="557"/>
      <c r="AC91" s="557"/>
      <c r="AD91" s="538" t="s">
        <v>22</v>
      </c>
      <c r="AE91" s="181" t="str">
        <f>Z21</f>
        <v/>
      </c>
      <c r="AG91" s="130"/>
      <c r="AI91" s="398"/>
    </row>
    <row r="92" spans="2:47" s="1" customFormat="1" ht="15.3" customHeight="1" x14ac:dyDescent="0.2">
      <c r="B92" s="24"/>
      <c r="C92" s="528" t="s">
        <v>21</v>
      </c>
      <c r="F92" s="529" t="s">
        <v>5202</v>
      </c>
      <c r="I92" s="520" t="s">
        <v>24</v>
      </c>
      <c r="J92" s="22" t="str">
        <f>E24</f>
        <v xml:space="preserve"> </v>
      </c>
      <c r="L92" s="24"/>
      <c r="W92" s="158"/>
      <c r="X92" s="538" t="s">
        <v>21</v>
      </c>
      <c r="Y92" s="557"/>
      <c r="Z92" s="557"/>
      <c r="AA92" s="576" t="s">
        <v>5202</v>
      </c>
      <c r="AB92" s="557"/>
      <c r="AC92" s="557"/>
      <c r="AD92" s="538" t="s">
        <v>24</v>
      </c>
      <c r="AE92" s="181" t="str">
        <f>Z24</f>
        <v/>
      </c>
      <c r="AG92" s="130"/>
      <c r="AI92" s="398"/>
    </row>
    <row r="93" spans="2:47" s="1" customFormat="1" ht="10.199999999999999" customHeight="1" x14ac:dyDescent="0.2">
      <c r="B93" s="24"/>
      <c r="L93" s="24"/>
      <c r="W93" s="158"/>
      <c r="X93" s="557"/>
      <c r="Y93" s="557"/>
      <c r="Z93" s="557"/>
      <c r="AA93" s="557"/>
      <c r="AB93" s="557"/>
      <c r="AC93" s="557"/>
      <c r="AD93" s="557"/>
      <c r="AE93" s="159"/>
      <c r="AG93" s="130"/>
      <c r="AI93" s="398"/>
    </row>
    <row r="94" spans="2:47" s="1" customFormat="1" ht="29.25" customHeight="1" x14ac:dyDescent="0.2">
      <c r="B94" s="24"/>
      <c r="C94" s="86" t="s">
        <v>189</v>
      </c>
      <c r="D94" s="80"/>
      <c r="E94" s="80"/>
      <c r="F94" s="80"/>
      <c r="G94" s="80"/>
      <c r="H94" s="80"/>
      <c r="I94" s="80"/>
      <c r="J94" s="87" t="s">
        <v>190</v>
      </c>
      <c r="K94" s="80"/>
      <c r="L94" s="24"/>
      <c r="W94" s="158"/>
      <c r="X94" s="182" t="s">
        <v>189</v>
      </c>
      <c r="Y94" s="173"/>
      <c r="Z94" s="173"/>
      <c r="AA94" s="173"/>
      <c r="AB94" s="173"/>
      <c r="AC94" s="173"/>
      <c r="AD94" s="173"/>
      <c r="AE94" s="183" t="s">
        <v>190</v>
      </c>
      <c r="AG94" s="130"/>
      <c r="AI94" s="398"/>
    </row>
    <row r="95" spans="2:47" s="1" customFormat="1" ht="10.199999999999999" customHeight="1" x14ac:dyDescent="0.2">
      <c r="B95" s="24"/>
      <c r="L95" s="24"/>
      <c r="W95" s="158"/>
      <c r="X95" s="557"/>
      <c r="Y95" s="557"/>
      <c r="Z95" s="557"/>
      <c r="AA95" s="557"/>
      <c r="AB95" s="557"/>
      <c r="AC95" s="557"/>
      <c r="AD95" s="557"/>
      <c r="AE95" s="159"/>
      <c r="AG95" s="130"/>
      <c r="AI95" s="398"/>
    </row>
    <row r="96" spans="2:47" s="1" customFormat="1" ht="22.95" customHeight="1" x14ac:dyDescent="0.2">
      <c r="B96" s="24"/>
      <c r="C96" s="88" t="s">
        <v>191</v>
      </c>
      <c r="J96" s="53">
        <f>J118</f>
        <v>95224.91</v>
      </c>
      <c r="L96" s="24"/>
      <c r="W96" s="158"/>
      <c r="X96" s="184" t="s">
        <v>191</v>
      </c>
      <c r="Y96" s="557"/>
      <c r="Z96" s="557"/>
      <c r="AA96" s="557"/>
      <c r="AB96" s="557"/>
      <c r="AC96" s="557"/>
      <c r="AD96" s="557"/>
      <c r="AE96" s="168">
        <f>AE118</f>
        <v>119211.39000000001</v>
      </c>
      <c r="AG96" s="130"/>
      <c r="AI96" s="398"/>
      <c r="AU96" s="13" t="s">
        <v>192</v>
      </c>
    </row>
    <row r="97" spans="2:35" s="8" customFormat="1" ht="25.05" customHeight="1" x14ac:dyDescent="0.2">
      <c r="B97" s="89"/>
      <c r="D97" s="90" t="s">
        <v>3799</v>
      </c>
      <c r="E97" s="91"/>
      <c r="F97" s="91"/>
      <c r="G97" s="91"/>
      <c r="H97" s="91"/>
      <c r="I97" s="91"/>
      <c r="J97" s="92">
        <f>J119</f>
        <v>84864.59</v>
      </c>
      <c r="L97" s="89"/>
      <c r="W97" s="185"/>
      <c r="X97" s="186"/>
      <c r="Y97" s="90" t="s">
        <v>3799</v>
      </c>
      <c r="Z97" s="91"/>
      <c r="AA97" s="91"/>
      <c r="AB97" s="91"/>
      <c r="AC97" s="91"/>
      <c r="AD97" s="91"/>
      <c r="AE97" s="187">
        <f>AE119</f>
        <v>111251.57</v>
      </c>
      <c r="AG97" s="328"/>
      <c r="AI97" s="397"/>
    </row>
    <row r="98" spans="2:35" s="8" customFormat="1" ht="25.05" customHeight="1" x14ac:dyDescent="0.2">
      <c r="B98" s="89"/>
      <c r="D98" s="90" t="s">
        <v>3800</v>
      </c>
      <c r="E98" s="91"/>
      <c r="F98" s="91"/>
      <c r="G98" s="91"/>
      <c r="H98" s="91"/>
      <c r="I98" s="91"/>
      <c r="J98" s="92">
        <f>J316</f>
        <v>10360.32</v>
      </c>
      <c r="L98" s="89"/>
      <c r="W98" s="185"/>
      <c r="X98" s="186"/>
      <c r="Y98" s="90" t="s">
        <v>3800</v>
      </c>
      <c r="Z98" s="91"/>
      <c r="AA98" s="91"/>
      <c r="AB98" s="91"/>
      <c r="AC98" s="91"/>
      <c r="AD98" s="91"/>
      <c r="AE98" s="187">
        <f>AE316</f>
        <v>7959.82</v>
      </c>
      <c r="AG98" s="328"/>
      <c r="AI98" s="397"/>
    </row>
    <row r="99" spans="2:35" s="1" customFormat="1" ht="21.75" customHeight="1" x14ac:dyDescent="0.2">
      <c r="B99" s="24"/>
      <c r="L99" s="24"/>
      <c r="W99" s="158"/>
      <c r="X99" s="373"/>
      <c r="Y99" s="373"/>
      <c r="Z99" s="373"/>
      <c r="AA99" s="373"/>
      <c r="AB99" s="373"/>
      <c r="AC99" s="373"/>
      <c r="AD99" s="373"/>
      <c r="AE99" s="159"/>
      <c r="AG99" s="130"/>
      <c r="AI99" s="398"/>
    </row>
    <row r="100" spans="2:35" s="1" customFormat="1" ht="7.05" customHeight="1" x14ac:dyDescent="0.2">
      <c r="B100" s="33"/>
      <c r="C100" s="34"/>
      <c r="D100" s="34"/>
      <c r="E100" s="34"/>
      <c r="F100" s="34"/>
      <c r="G100" s="34"/>
      <c r="H100" s="34"/>
      <c r="I100" s="34"/>
      <c r="J100" s="34"/>
      <c r="K100" s="34"/>
      <c r="L100" s="24"/>
      <c r="W100" s="175"/>
      <c r="X100" s="176"/>
      <c r="Y100" s="176"/>
      <c r="Z100" s="176"/>
      <c r="AA100" s="176"/>
      <c r="AB100" s="176"/>
      <c r="AC100" s="176"/>
      <c r="AD100" s="176"/>
      <c r="AE100" s="177"/>
      <c r="AG100" s="130"/>
      <c r="AI100" s="398"/>
    </row>
    <row r="104" spans="2:35" s="1" customFormat="1" ht="7.05" customHeight="1" x14ac:dyDescent="0.2">
      <c r="B104" s="35"/>
      <c r="C104" s="36"/>
      <c r="D104" s="36"/>
      <c r="E104" s="36"/>
      <c r="F104" s="36"/>
      <c r="G104" s="36"/>
      <c r="H104" s="36"/>
      <c r="I104" s="36"/>
      <c r="J104" s="36"/>
      <c r="K104" s="36"/>
      <c r="L104" s="24"/>
      <c r="W104" s="178"/>
      <c r="X104" s="179"/>
      <c r="Y104" s="179"/>
      <c r="Z104" s="179"/>
      <c r="AA104" s="179"/>
      <c r="AB104" s="179"/>
      <c r="AC104" s="179"/>
      <c r="AD104" s="179"/>
      <c r="AE104" s="180"/>
      <c r="AG104" s="130"/>
      <c r="AI104" s="398"/>
    </row>
    <row r="105" spans="2:35" s="1" customFormat="1" ht="25.05" customHeight="1" x14ac:dyDescent="0.2">
      <c r="B105" s="24"/>
      <c r="C105" s="1165" t="s">
        <v>214</v>
      </c>
      <c r="D105" s="1165"/>
      <c r="E105" s="1165"/>
      <c r="F105" s="1165"/>
      <c r="G105" s="1165"/>
      <c r="H105" s="1165"/>
      <c r="I105" s="1165"/>
      <c r="J105" s="1165"/>
      <c r="L105" s="24"/>
      <c r="W105" s="158"/>
      <c r="X105" s="1237" t="s">
        <v>214</v>
      </c>
      <c r="Y105" s="1237"/>
      <c r="Z105" s="1237"/>
      <c r="AA105" s="1237"/>
      <c r="AB105" s="1237"/>
      <c r="AC105" s="1237"/>
      <c r="AD105" s="1237"/>
      <c r="AE105" s="1238"/>
      <c r="AG105" s="130"/>
      <c r="AI105" s="398"/>
    </row>
    <row r="106" spans="2:35" s="1" customFormat="1" ht="7.05" customHeight="1" x14ac:dyDescent="0.2">
      <c r="B106" s="24"/>
      <c r="L106" s="24"/>
      <c r="W106" s="158"/>
      <c r="X106" s="557"/>
      <c r="Y106" s="557"/>
      <c r="Z106" s="557"/>
      <c r="AA106" s="557"/>
      <c r="AB106" s="557"/>
      <c r="AC106" s="557"/>
      <c r="AD106" s="557"/>
      <c r="AE106" s="159"/>
      <c r="AG106" s="130"/>
      <c r="AI106" s="398"/>
    </row>
    <row r="107" spans="2:35" s="1" customFormat="1" ht="12" customHeight="1" x14ac:dyDescent="0.2">
      <c r="B107" s="24"/>
      <c r="C107" s="528" t="s">
        <v>12</v>
      </c>
      <c r="E107" s="1242" t="s">
        <v>6177</v>
      </c>
      <c r="F107" s="1242"/>
      <c r="G107" s="1242"/>
      <c r="H107" s="1242"/>
      <c r="I107" s="1242"/>
      <c r="J107" s="1242"/>
      <c r="L107" s="24"/>
      <c r="W107" s="158"/>
      <c r="X107" s="538" t="s">
        <v>12</v>
      </c>
      <c r="Y107" s="557"/>
      <c r="Z107" s="1163" t="s">
        <v>6177</v>
      </c>
      <c r="AA107" s="1163"/>
      <c r="AB107" s="1163"/>
      <c r="AC107" s="1163"/>
      <c r="AD107" s="1163"/>
      <c r="AE107" s="1241"/>
      <c r="AG107" s="130"/>
      <c r="AI107" s="398"/>
    </row>
    <row r="108" spans="2:35" s="1" customFormat="1" ht="22.95" customHeight="1" x14ac:dyDescent="0.2">
      <c r="B108" s="24"/>
      <c r="C108" s="521"/>
      <c r="E108" s="1243"/>
      <c r="F108" s="1244"/>
      <c r="G108" s="1244"/>
      <c r="H108" s="1244"/>
      <c r="L108" s="24"/>
      <c r="W108" s="158"/>
      <c r="X108" s="557"/>
      <c r="Y108" s="557"/>
      <c r="Z108" s="1249"/>
      <c r="AA108" s="1250"/>
      <c r="AB108" s="1250"/>
      <c r="AC108" s="1250"/>
      <c r="AD108" s="557"/>
      <c r="AE108" s="159"/>
      <c r="AG108" s="130"/>
      <c r="AI108" s="398"/>
    </row>
    <row r="109" spans="2:35" s="1" customFormat="1" ht="12" customHeight="1" x14ac:dyDescent="0.2">
      <c r="B109" s="24"/>
      <c r="C109" s="528" t="s">
        <v>186</v>
      </c>
      <c r="F109" s="532" t="s">
        <v>3798</v>
      </c>
      <c r="L109" s="24"/>
      <c r="W109" s="158"/>
      <c r="X109" s="538" t="s">
        <v>186</v>
      </c>
      <c r="Y109" s="557"/>
      <c r="Z109" s="557"/>
      <c r="AA109" s="555" t="s">
        <v>3798</v>
      </c>
      <c r="AB109" s="557"/>
      <c r="AC109" s="557"/>
      <c r="AD109" s="557"/>
      <c r="AE109" s="159"/>
      <c r="AG109" s="130"/>
      <c r="AI109" s="398"/>
    </row>
    <row r="110" spans="2:35" s="1" customFormat="1" ht="16.5" customHeight="1" x14ac:dyDescent="0.2">
      <c r="B110" s="24"/>
      <c r="C110" s="521"/>
      <c r="E110" s="1251"/>
      <c r="F110" s="1252"/>
      <c r="G110" s="1252"/>
      <c r="H110" s="1252"/>
      <c r="L110" s="24"/>
      <c r="W110" s="158"/>
      <c r="X110" s="557"/>
      <c r="Y110" s="557"/>
      <c r="Z110" s="1245"/>
      <c r="AA110" s="1246"/>
      <c r="AB110" s="1246"/>
      <c r="AC110" s="1246"/>
      <c r="AD110" s="557"/>
      <c r="AE110" s="159"/>
      <c r="AG110" s="130"/>
      <c r="AI110" s="398"/>
    </row>
    <row r="111" spans="2:35" s="1" customFormat="1" ht="7.05" customHeight="1" x14ac:dyDescent="0.2">
      <c r="B111" s="24"/>
      <c r="C111" s="521"/>
      <c r="L111" s="24"/>
      <c r="W111" s="158"/>
      <c r="X111" s="557"/>
      <c r="Y111" s="557"/>
      <c r="Z111" s="557"/>
      <c r="AA111" s="557"/>
      <c r="AB111" s="557"/>
      <c r="AC111" s="557"/>
      <c r="AD111" s="557"/>
      <c r="AE111" s="159"/>
      <c r="AG111" s="130"/>
      <c r="AI111" s="398"/>
    </row>
    <row r="112" spans="2:35" s="1" customFormat="1" ht="12" customHeight="1" x14ac:dyDescent="0.2">
      <c r="B112" s="24"/>
      <c r="C112" s="528" t="s">
        <v>15</v>
      </c>
      <c r="F112" s="19" t="str">
        <f>F12</f>
        <v>Kuzmányho nábrežie 28, 960 01 Zvolen</v>
      </c>
      <c r="I112" s="528" t="s">
        <v>17</v>
      </c>
      <c r="J112" s="39" t="str">
        <f>IF(J12="","",J12)</f>
        <v/>
      </c>
      <c r="L112" s="24"/>
      <c r="W112" s="158"/>
      <c r="X112" s="538" t="s">
        <v>15</v>
      </c>
      <c r="Y112" s="557"/>
      <c r="Z112" s="557"/>
      <c r="AA112" s="558" t="str">
        <f>AA12</f>
        <v>Kuzmányho nábrežie 28, 960 01 Zvolen</v>
      </c>
      <c r="AB112" s="557"/>
      <c r="AC112" s="557"/>
      <c r="AD112" s="538" t="s">
        <v>17</v>
      </c>
      <c r="AE112" s="162" t="str">
        <f>IF(AE12="","",AE12)</f>
        <v/>
      </c>
      <c r="AG112" s="130"/>
      <c r="AI112" s="398"/>
    </row>
    <row r="113" spans="2:65" s="1" customFormat="1" ht="7.05" customHeight="1" x14ac:dyDescent="0.2">
      <c r="B113" s="24"/>
      <c r="C113" s="521"/>
      <c r="I113" s="521"/>
      <c r="L113" s="24"/>
      <c r="W113" s="158"/>
      <c r="X113" s="557"/>
      <c r="Y113" s="557"/>
      <c r="Z113" s="557"/>
      <c r="AA113" s="557"/>
      <c r="AB113" s="557"/>
      <c r="AC113" s="557"/>
      <c r="AD113" s="557"/>
      <c r="AE113" s="159"/>
      <c r="AG113" s="130"/>
      <c r="AI113" s="398"/>
    </row>
    <row r="114" spans="2:65" s="1" customFormat="1" ht="15.3" customHeight="1" x14ac:dyDescent="0.2">
      <c r="B114" s="24"/>
      <c r="C114" s="528" t="s">
        <v>18</v>
      </c>
      <c r="F114" s="529" t="s">
        <v>6175</v>
      </c>
      <c r="I114" s="528" t="s">
        <v>22</v>
      </c>
      <c r="J114" s="22" t="str">
        <f>E21</f>
        <v xml:space="preserve"> </v>
      </c>
      <c r="L114" s="24"/>
      <c r="W114" s="158"/>
      <c r="X114" s="538" t="s">
        <v>18</v>
      </c>
      <c r="Y114" s="557"/>
      <c r="Z114" s="557"/>
      <c r="AA114" s="576" t="s">
        <v>6175</v>
      </c>
      <c r="AB114" s="557"/>
      <c r="AC114" s="557"/>
      <c r="AD114" s="538" t="s">
        <v>22</v>
      </c>
      <c r="AE114" s="181" t="str">
        <f>Z21</f>
        <v/>
      </c>
      <c r="AG114" s="130"/>
      <c r="AI114" s="398"/>
    </row>
    <row r="115" spans="2:65" s="1" customFormat="1" ht="15.3" customHeight="1" x14ac:dyDescent="0.2">
      <c r="B115" s="24"/>
      <c r="C115" s="528" t="s">
        <v>21</v>
      </c>
      <c r="F115" s="529" t="s">
        <v>5202</v>
      </c>
      <c r="I115" s="528" t="s">
        <v>24</v>
      </c>
      <c r="J115" s="22" t="str">
        <f>E24</f>
        <v xml:space="preserve"> </v>
      </c>
      <c r="L115" s="24"/>
      <c r="W115" s="158"/>
      <c r="X115" s="538" t="s">
        <v>21</v>
      </c>
      <c r="Y115" s="557"/>
      <c r="Z115" s="557"/>
      <c r="AA115" s="576" t="s">
        <v>5202</v>
      </c>
      <c r="AB115" s="557"/>
      <c r="AC115" s="557"/>
      <c r="AD115" s="538" t="s">
        <v>24</v>
      </c>
      <c r="AE115" s="181" t="str">
        <f>Z24</f>
        <v/>
      </c>
      <c r="AG115" s="130"/>
      <c r="AI115" s="398"/>
    </row>
    <row r="116" spans="2:65" s="1" customFormat="1" ht="10.199999999999999" customHeight="1" x14ac:dyDescent="0.2">
      <c r="B116" s="24"/>
      <c r="L116" s="24"/>
      <c r="W116" s="158"/>
      <c r="X116" s="557"/>
      <c r="Y116" s="557"/>
      <c r="Z116" s="557"/>
      <c r="AA116" s="557"/>
      <c r="AB116" s="557"/>
      <c r="AC116" s="557"/>
      <c r="AD116" s="557"/>
      <c r="AE116" s="159"/>
      <c r="AG116" s="130"/>
      <c r="AI116" s="398"/>
    </row>
    <row r="117" spans="2:65" s="10" customFormat="1" ht="29.25" customHeight="1" x14ac:dyDescent="0.2">
      <c r="B117" s="97"/>
      <c r="C117" s="98" t="s">
        <v>215</v>
      </c>
      <c r="D117" s="99" t="s">
        <v>43</v>
      </c>
      <c r="E117" s="99" t="s">
        <v>41</v>
      </c>
      <c r="F117" s="99" t="s">
        <v>42</v>
      </c>
      <c r="G117" s="99" t="s">
        <v>216</v>
      </c>
      <c r="H117" s="99" t="s">
        <v>217</v>
      </c>
      <c r="I117" s="99" t="s">
        <v>218</v>
      </c>
      <c r="J117" s="100" t="s">
        <v>190</v>
      </c>
      <c r="K117" s="101" t="s">
        <v>219</v>
      </c>
      <c r="L117" s="97"/>
      <c r="M117" s="46" t="s">
        <v>1</v>
      </c>
      <c r="N117" s="47" t="s">
        <v>30</v>
      </c>
      <c r="O117" s="47" t="s">
        <v>220</v>
      </c>
      <c r="P117" s="47" t="s">
        <v>221</v>
      </c>
      <c r="Q117" s="47" t="s">
        <v>222</v>
      </c>
      <c r="R117" s="47" t="s">
        <v>223</v>
      </c>
      <c r="S117" s="47" t="s">
        <v>224</v>
      </c>
      <c r="T117" s="48" t="s">
        <v>225</v>
      </c>
      <c r="W117" s="191"/>
      <c r="X117" s="98" t="s">
        <v>215</v>
      </c>
      <c r="Y117" s="99" t="s">
        <v>43</v>
      </c>
      <c r="Z117" s="99" t="s">
        <v>41</v>
      </c>
      <c r="AA117" s="99" t="s">
        <v>42</v>
      </c>
      <c r="AB117" s="99" t="s">
        <v>216</v>
      </c>
      <c r="AC117" s="99" t="s">
        <v>217</v>
      </c>
      <c r="AD117" s="99" t="s">
        <v>218</v>
      </c>
      <c r="AE117" s="192" t="s">
        <v>190</v>
      </c>
      <c r="AF117" s="228" t="s">
        <v>5220</v>
      </c>
      <c r="AG117" s="395"/>
      <c r="AI117" s="400"/>
    </row>
    <row r="118" spans="2:65" s="1" customFormat="1" ht="22.95" customHeight="1" x14ac:dyDescent="0.3">
      <c r="B118" s="24"/>
      <c r="C118" s="51" t="s">
        <v>191</v>
      </c>
      <c r="J118" s="102">
        <f>BK118</f>
        <v>95224.91</v>
      </c>
      <c r="L118" s="24"/>
      <c r="M118" s="49"/>
      <c r="N118" s="40"/>
      <c r="O118" s="40"/>
      <c r="P118" s="103">
        <f>P119+P316</f>
        <v>0</v>
      </c>
      <c r="Q118" s="40"/>
      <c r="R118" s="103">
        <f>R119+R316</f>
        <v>2.0219200000000002</v>
      </c>
      <c r="S118" s="40"/>
      <c r="T118" s="104">
        <f>T119+T316</f>
        <v>0</v>
      </c>
      <c r="W118" s="158"/>
      <c r="X118" s="193" t="s">
        <v>191</v>
      </c>
      <c r="Y118" s="557"/>
      <c r="Z118" s="557"/>
      <c r="AA118" s="557"/>
      <c r="AB118" s="557"/>
      <c r="AC118" s="557"/>
      <c r="AD118" s="557"/>
      <c r="AE118" s="194">
        <f>AE119+AE316</f>
        <v>119211.39000000001</v>
      </c>
      <c r="AF118" s="227"/>
      <c r="AG118" s="130"/>
      <c r="AI118" s="398"/>
      <c r="AT118" s="13" t="s">
        <v>57</v>
      </c>
      <c r="AU118" s="13" t="s">
        <v>192</v>
      </c>
      <c r="BK118" s="105">
        <f>BK119+BK316</f>
        <v>95224.91</v>
      </c>
    </row>
    <row r="119" spans="2:65" s="11" customFormat="1" ht="25.95" customHeight="1" x14ac:dyDescent="0.25">
      <c r="B119" s="106"/>
      <c r="D119" s="107" t="s">
        <v>57</v>
      </c>
      <c r="E119" s="108" t="s">
        <v>1302</v>
      </c>
      <c r="F119" s="108" t="s">
        <v>3801</v>
      </c>
      <c r="J119" s="109">
        <f>BK119</f>
        <v>84864.59</v>
      </c>
      <c r="L119" s="106"/>
      <c r="M119" s="110"/>
      <c r="N119" s="111"/>
      <c r="O119" s="111"/>
      <c r="P119" s="112">
        <f>SUM(P122:P315)</f>
        <v>0</v>
      </c>
      <c r="Q119" s="111"/>
      <c r="R119" s="112">
        <f>SUM(R122:R315)</f>
        <v>2.0219200000000002</v>
      </c>
      <c r="S119" s="111"/>
      <c r="T119" s="113">
        <f>SUM(T122:T315)</f>
        <v>0</v>
      </c>
      <c r="W119" s="195"/>
      <c r="X119" s="111"/>
      <c r="Y119" s="196" t="s">
        <v>57</v>
      </c>
      <c r="Z119" s="197" t="s">
        <v>1302</v>
      </c>
      <c r="AA119" s="197" t="s">
        <v>3801</v>
      </c>
      <c r="AB119" s="111"/>
      <c r="AC119" s="111"/>
      <c r="AD119" s="111"/>
      <c r="AE119" s="198">
        <f>SUM(AE120:AE315)</f>
        <v>111251.57</v>
      </c>
      <c r="AF119" s="248"/>
      <c r="AG119" s="364"/>
      <c r="AI119" s="397"/>
      <c r="AR119" s="107" t="s">
        <v>229</v>
      </c>
      <c r="AT119" s="114" t="s">
        <v>57</v>
      </c>
      <c r="AU119" s="114" t="s">
        <v>58</v>
      </c>
      <c r="AY119" s="107" t="s">
        <v>228</v>
      </c>
      <c r="BK119" s="115">
        <f>SUM(BK122:BK315)</f>
        <v>84864.59</v>
      </c>
    </row>
    <row r="120" spans="2:65" s="11" customFormat="1" ht="25.95" customHeight="1" x14ac:dyDescent="0.2">
      <c r="B120" s="106"/>
      <c r="C120" s="1234" t="s">
        <v>5205</v>
      </c>
      <c r="D120" s="1235"/>
      <c r="E120" s="1235"/>
      <c r="F120" s="1235"/>
      <c r="G120" s="1235"/>
      <c r="H120" s="1235"/>
      <c r="I120" s="1235"/>
      <c r="J120" s="1236"/>
      <c r="L120" s="106"/>
      <c r="M120" s="110"/>
      <c r="N120" s="111"/>
      <c r="O120" s="111"/>
      <c r="P120" s="112"/>
      <c r="Q120" s="111"/>
      <c r="R120" s="112"/>
      <c r="S120" s="111"/>
      <c r="T120" s="113"/>
      <c r="W120" s="195"/>
      <c r="X120" s="207" t="s">
        <v>5323</v>
      </c>
      <c r="Y120" s="207" t="s">
        <v>231</v>
      </c>
      <c r="Z120" s="208" t="s">
        <v>5858</v>
      </c>
      <c r="AA120" s="209" t="s">
        <v>5859</v>
      </c>
      <c r="AB120" s="210" t="s">
        <v>1194</v>
      </c>
      <c r="AC120" s="211">
        <v>1</v>
      </c>
      <c r="AD120" s="212">
        <v>5.87</v>
      </c>
      <c r="AE120" s="214">
        <f>ROUND(AD120*AC120,2)</f>
        <v>5.87</v>
      </c>
      <c r="AF120" s="248">
        <v>2</v>
      </c>
      <c r="AG120" s="396"/>
      <c r="AI120" s="397"/>
      <c r="AR120" s="107"/>
      <c r="AT120" s="114"/>
      <c r="AU120" s="114"/>
      <c r="AY120" s="107"/>
      <c r="BK120" s="115"/>
    </row>
    <row r="121" spans="2:65" s="11" customFormat="1" ht="25.95" customHeight="1" x14ac:dyDescent="0.2">
      <c r="B121" s="106"/>
      <c r="C121" s="1234" t="s">
        <v>5205</v>
      </c>
      <c r="D121" s="1235"/>
      <c r="E121" s="1235"/>
      <c r="F121" s="1235"/>
      <c r="G121" s="1235"/>
      <c r="H121" s="1235"/>
      <c r="I121" s="1235"/>
      <c r="J121" s="1236"/>
      <c r="L121" s="106"/>
      <c r="M121" s="110"/>
      <c r="N121" s="111"/>
      <c r="O121" s="111"/>
      <c r="P121" s="112"/>
      <c r="Q121" s="111"/>
      <c r="R121" s="112"/>
      <c r="S121" s="111"/>
      <c r="T121" s="113"/>
      <c r="W121" s="195"/>
      <c r="X121" s="386" t="s">
        <v>5836</v>
      </c>
      <c r="Y121" s="386" t="s">
        <v>277</v>
      </c>
      <c r="Z121" s="387" t="s">
        <v>5860</v>
      </c>
      <c r="AA121" s="388" t="s">
        <v>5861</v>
      </c>
      <c r="AB121" s="389" t="s">
        <v>1194</v>
      </c>
      <c r="AC121" s="390">
        <v>1</v>
      </c>
      <c r="AD121" s="391">
        <v>7.26</v>
      </c>
      <c r="AE121" s="401">
        <f>ROUND(AD121*AC121,2)</f>
        <v>7.26</v>
      </c>
      <c r="AF121" s="227">
        <v>2</v>
      </c>
      <c r="AG121" s="396"/>
      <c r="AI121" s="397"/>
      <c r="AR121" s="107"/>
      <c r="AT121" s="114"/>
      <c r="AU121" s="114"/>
      <c r="AY121" s="107"/>
      <c r="BK121" s="115"/>
    </row>
    <row r="122" spans="2:65" s="1" customFormat="1" ht="36" customHeight="1" x14ac:dyDescent="0.2">
      <c r="B122" s="118"/>
      <c r="C122" s="119" t="s">
        <v>63</v>
      </c>
      <c r="D122" s="119" t="s">
        <v>231</v>
      </c>
      <c r="E122" s="120" t="s">
        <v>3802</v>
      </c>
      <c r="F122" s="121" t="s">
        <v>3803</v>
      </c>
      <c r="G122" s="122" t="s">
        <v>1194</v>
      </c>
      <c r="H122" s="123">
        <v>9</v>
      </c>
      <c r="I122" s="124">
        <v>9.2200000000000006</v>
      </c>
      <c r="J122" s="124">
        <f t="shared" ref="J122:J159" si="0">ROUND(I122*H122,2)</f>
        <v>82.98</v>
      </c>
      <c r="K122" s="121" t="s">
        <v>1</v>
      </c>
      <c r="L122" s="24"/>
      <c r="M122" s="125" t="s">
        <v>1</v>
      </c>
      <c r="N122" s="126" t="s">
        <v>32</v>
      </c>
      <c r="O122" s="127">
        <v>0</v>
      </c>
      <c r="P122" s="127">
        <f t="shared" ref="P122:P159" si="1">O122*H122</f>
        <v>0</v>
      </c>
      <c r="Q122" s="127">
        <v>0</v>
      </c>
      <c r="R122" s="127">
        <f t="shared" ref="R122:R159" si="2">Q122*H122</f>
        <v>0</v>
      </c>
      <c r="S122" s="127">
        <v>0</v>
      </c>
      <c r="T122" s="128">
        <f t="shared" ref="T122:T159" si="3">S122*H122</f>
        <v>0</v>
      </c>
      <c r="W122" s="199"/>
      <c r="X122" s="119" t="s">
        <v>63</v>
      </c>
      <c r="Y122" s="119" t="s">
        <v>231</v>
      </c>
      <c r="Z122" s="120" t="s">
        <v>3802</v>
      </c>
      <c r="AA122" s="121" t="s">
        <v>3803</v>
      </c>
      <c r="AB122" s="122" t="s">
        <v>1194</v>
      </c>
      <c r="AC122" s="123">
        <v>9</v>
      </c>
      <c r="AD122" s="124">
        <v>9.2200000000000006</v>
      </c>
      <c r="AE122" s="200">
        <f t="shared" ref="AE122:AE195" si="4">ROUND(AD122*AC122,2)</f>
        <v>82.98</v>
      </c>
      <c r="AF122" s="227"/>
      <c r="AG122" s="396"/>
      <c r="AI122" s="397"/>
      <c r="AR122" s="129" t="s">
        <v>347</v>
      </c>
      <c r="AT122" s="129" t="s">
        <v>231</v>
      </c>
      <c r="AU122" s="129" t="s">
        <v>63</v>
      </c>
      <c r="AY122" s="13" t="s">
        <v>228</v>
      </c>
      <c r="BE122" s="130">
        <f t="shared" ref="BE122:BE159" si="5">IF(N122="základná",J122,0)</f>
        <v>0</v>
      </c>
      <c r="BF122" s="130">
        <f t="shared" ref="BF122:BF159" si="6">IF(N122="znížená",J122,0)</f>
        <v>82.98</v>
      </c>
      <c r="BG122" s="130">
        <f t="shared" ref="BG122:BG159" si="7">IF(N122="zákl. prenesená",J122,0)</f>
        <v>0</v>
      </c>
      <c r="BH122" s="130">
        <f t="shared" ref="BH122:BH159" si="8">IF(N122="zníž. prenesená",J122,0)</f>
        <v>0</v>
      </c>
      <c r="BI122" s="130">
        <f t="shared" ref="BI122:BI159" si="9">IF(N122="nulová",J122,0)</f>
        <v>0</v>
      </c>
      <c r="BJ122" s="13" t="s">
        <v>76</v>
      </c>
      <c r="BK122" s="130">
        <f t="shared" ref="BK122:BK159" si="10">ROUND(I122*H122,2)</f>
        <v>82.98</v>
      </c>
      <c r="BL122" s="13" t="s">
        <v>347</v>
      </c>
      <c r="BM122" s="129" t="s">
        <v>76</v>
      </c>
    </row>
    <row r="123" spans="2:65" s="1" customFormat="1" ht="16.5" customHeight="1" x14ac:dyDescent="0.2">
      <c r="B123" s="118"/>
      <c r="C123" s="131" t="s">
        <v>76</v>
      </c>
      <c r="D123" s="131" t="s">
        <v>277</v>
      </c>
      <c r="E123" s="132" t="s">
        <v>3804</v>
      </c>
      <c r="F123" s="133" t="s">
        <v>3805</v>
      </c>
      <c r="G123" s="134" t="s">
        <v>1194</v>
      </c>
      <c r="H123" s="135">
        <v>9</v>
      </c>
      <c r="I123" s="136">
        <v>2.54</v>
      </c>
      <c r="J123" s="136">
        <f t="shared" si="0"/>
        <v>22.86</v>
      </c>
      <c r="K123" s="133" t="s">
        <v>1</v>
      </c>
      <c r="L123" s="137"/>
      <c r="M123" s="138" t="s">
        <v>1</v>
      </c>
      <c r="N123" s="139" t="s">
        <v>32</v>
      </c>
      <c r="O123" s="127">
        <v>0</v>
      </c>
      <c r="P123" s="127">
        <f t="shared" si="1"/>
        <v>0</v>
      </c>
      <c r="Q123" s="127">
        <v>0</v>
      </c>
      <c r="R123" s="127">
        <f t="shared" si="2"/>
        <v>0</v>
      </c>
      <c r="S123" s="127">
        <v>0</v>
      </c>
      <c r="T123" s="128">
        <f t="shared" si="3"/>
        <v>0</v>
      </c>
      <c r="W123" s="199"/>
      <c r="X123" s="131" t="s">
        <v>76</v>
      </c>
      <c r="Y123" s="131" t="s">
        <v>277</v>
      </c>
      <c r="Z123" s="132" t="s">
        <v>3804</v>
      </c>
      <c r="AA123" s="133" t="s">
        <v>3805</v>
      </c>
      <c r="AB123" s="134" t="s">
        <v>1194</v>
      </c>
      <c r="AC123" s="135">
        <v>9</v>
      </c>
      <c r="AD123" s="136">
        <v>2.54</v>
      </c>
      <c r="AE123" s="229">
        <f t="shared" si="4"/>
        <v>22.86</v>
      </c>
      <c r="AF123" s="227"/>
      <c r="AG123" s="396"/>
      <c r="AI123" s="397"/>
      <c r="AR123" s="129" t="s">
        <v>705</v>
      </c>
      <c r="AT123" s="129" t="s">
        <v>277</v>
      </c>
      <c r="AU123" s="129" t="s">
        <v>63</v>
      </c>
      <c r="AY123" s="13" t="s">
        <v>228</v>
      </c>
      <c r="BE123" s="130">
        <f t="shared" si="5"/>
        <v>0</v>
      </c>
      <c r="BF123" s="130">
        <f t="shared" si="6"/>
        <v>22.86</v>
      </c>
      <c r="BG123" s="130">
        <f t="shared" si="7"/>
        <v>0</v>
      </c>
      <c r="BH123" s="130">
        <f t="shared" si="8"/>
        <v>0</v>
      </c>
      <c r="BI123" s="130">
        <f t="shared" si="9"/>
        <v>0</v>
      </c>
      <c r="BJ123" s="13" t="s">
        <v>76</v>
      </c>
      <c r="BK123" s="130">
        <f t="shared" si="10"/>
        <v>22.86</v>
      </c>
      <c r="BL123" s="13" t="s">
        <v>347</v>
      </c>
      <c r="BM123" s="129" t="s">
        <v>235</v>
      </c>
    </row>
    <row r="124" spans="2:65" s="1" customFormat="1" ht="24" customHeight="1" x14ac:dyDescent="0.2">
      <c r="B124" s="118"/>
      <c r="C124" s="119" t="s">
        <v>229</v>
      </c>
      <c r="D124" s="119" t="s">
        <v>231</v>
      </c>
      <c r="E124" s="120" t="s">
        <v>3806</v>
      </c>
      <c r="F124" s="121" t="s">
        <v>3807</v>
      </c>
      <c r="G124" s="122" t="s">
        <v>292</v>
      </c>
      <c r="H124" s="123">
        <v>230</v>
      </c>
      <c r="I124" s="124">
        <v>2</v>
      </c>
      <c r="J124" s="124">
        <f t="shared" si="0"/>
        <v>460</v>
      </c>
      <c r="K124" s="121" t="s">
        <v>1</v>
      </c>
      <c r="L124" s="24"/>
      <c r="M124" s="125" t="s">
        <v>1</v>
      </c>
      <c r="N124" s="126" t="s">
        <v>32</v>
      </c>
      <c r="O124" s="127">
        <v>0</v>
      </c>
      <c r="P124" s="127">
        <f t="shared" si="1"/>
        <v>0</v>
      </c>
      <c r="Q124" s="127">
        <v>0</v>
      </c>
      <c r="R124" s="127">
        <f t="shared" si="2"/>
        <v>0</v>
      </c>
      <c r="S124" s="127">
        <v>0</v>
      </c>
      <c r="T124" s="128">
        <f t="shared" si="3"/>
        <v>0</v>
      </c>
      <c r="W124" s="199"/>
      <c r="X124" s="119" t="s">
        <v>229</v>
      </c>
      <c r="Y124" s="119" t="s">
        <v>231</v>
      </c>
      <c r="Z124" s="120" t="s">
        <v>3806</v>
      </c>
      <c r="AA124" s="121" t="s">
        <v>3807</v>
      </c>
      <c r="AB124" s="122" t="s">
        <v>292</v>
      </c>
      <c r="AC124" s="123">
        <v>230</v>
      </c>
      <c r="AD124" s="124">
        <v>2</v>
      </c>
      <c r="AE124" s="200">
        <f t="shared" si="4"/>
        <v>460</v>
      </c>
      <c r="AF124" s="227"/>
      <c r="AG124" s="396"/>
      <c r="AI124" s="397"/>
      <c r="AR124" s="129" t="s">
        <v>347</v>
      </c>
      <c r="AT124" s="129" t="s">
        <v>231</v>
      </c>
      <c r="AU124" s="129" t="s">
        <v>63</v>
      </c>
      <c r="AY124" s="13" t="s">
        <v>228</v>
      </c>
      <c r="BE124" s="130">
        <f t="shared" si="5"/>
        <v>0</v>
      </c>
      <c r="BF124" s="130">
        <f t="shared" si="6"/>
        <v>460</v>
      </c>
      <c r="BG124" s="130">
        <f t="shared" si="7"/>
        <v>0</v>
      </c>
      <c r="BH124" s="130">
        <f t="shared" si="8"/>
        <v>0</v>
      </c>
      <c r="BI124" s="130">
        <f t="shared" si="9"/>
        <v>0</v>
      </c>
      <c r="BJ124" s="13" t="s">
        <v>76</v>
      </c>
      <c r="BK124" s="130">
        <f t="shared" si="10"/>
        <v>460</v>
      </c>
      <c r="BL124" s="13" t="s">
        <v>347</v>
      </c>
      <c r="BM124" s="129" t="s">
        <v>240</v>
      </c>
    </row>
    <row r="125" spans="2:65" s="1" customFormat="1" ht="16.5" customHeight="1" x14ac:dyDescent="0.2">
      <c r="B125" s="118"/>
      <c r="C125" s="131" t="s">
        <v>235</v>
      </c>
      <c r="D125" s="131" t="s">
        <v>277</v>
      </c>
      <c r="E125" s="132" t="s">
        <v>3808</v>
      </c>
      <c r="F125" s="133" t="s">
        <v>3809</v>
      </c>
      <c r="G125" s="134" t="s">
        <v>292</v>
      </c>
      <c r="H125" s="135">
        <v>230</v>
      </c>
      <c r="I125" s="136">
        <v>7.35</v>
      </c>
      <c r="J125" s="136">
        <f t="shared" si="0"/>
        <v>1690.5</v>
      </c>
      <c r="K125" s="133" t="s">
        <v>1</v>
      </c>
      <c r="L125" s="137"/>
      <c r="M125" s="138" t="s">
        <v>1</v>
      </c>
      <c r="N125" s="139" t="s">
        <v>32</v>
      </c>
      <c r="O125" s="127">
        <v>0</v>
      </c>
      <c r="P125" s="127">
        <f t="shared" si="1"/>
        <v>0</v>
      </c>
      <c r="Q125" s="127">
        <v>0</v>
      </c>
      <c r="R125" s="127">
        <f t="shared" si="2"/>
        <v>0</v>
      </c>
      <c r="S125" s="127">
        <v>0</v>
      </c>
      <c r="T125" s="128">
        <f t="shared" si="3"/>
        <v>0</v>
      </c>
      <c r="W125" s="199"/>
      <c r="X125" s="131" t="s">
        <v>235</v>
      </c>
      <c r="Y125" s="131" t="s">
        <v>277</v>
      </c>
      <c r="Z125" s="132" t="s">
        <v>3808</v>
      </c>
      <c r="AA125" s="133" t="s">
        <v>3809</v>
      </c>
      <c r="AB125" s="134" t="s">
        <v>292</v>
      </c>
      <c r="AC125" s="135">
        <v>230</v>
      </c>
      <c r="AD125" s="136">
        <v>7.35</v>
      </c>
      <c r="AE125" s="229">
        <f t="shared" si="4"/>
        <v>1690.5</v>
      </c>
      <c r="AF125" s="227"/>
      <c r="AG125" s="396"/>
      <c r="AI125" s="397"/>
      <c r="AR125" s="129" t="s">
        <v>705</v>
      </c>
      <c r="AT125" s="129" t="s">
        <v>277</v>
      </c>
      <c r="AU125" s="129" t="s">
        <v>63</v>
      </c>
      <c r="AY125" s="13" t="s">
        <v>228</v>
      </c>
      <c r="BE125" s="130">
        <f t="shared" si="5"/>
        <v>0</v>
      </c>
      <c r="BF125" s="130">
        <f t="shared" si="6"/>
        <v>1690.5</v>
      </c>
      <c r="BG125" s="130">
        <f t="shared" si="7"/>
        <v>0</v>
      </c>
      <c r="BH125" s="130">
        <f t="shared" si="8"/>
        <v>0</v>
      </c>
      <c r="BI125" s="130">
        <f t="shared" si="9"/>
        <v>0</v>
      </c>
      <c r="BJ125" s="13" t="s">
        <v>76</v>
      </c>
      <c r="BK125" s="130">
        <f t="shared" si="10"/>
        <v>1690.5</v>
      </c>
      <c r="BL125" s="13" t="s">
        <v>347</v>
      </c>
      <c r="BM125" s="129" t="s">
        <v>244</v>
      </c>
    </row>
    <row r="126" spans="2:65" s="1" customFormat="1" ht="24" customHeight="1" x14ac:dyDescent="0.2">
      <c r="B126" s="118"/>
      <c r="C126" s="119" t="s">
        <v>245</v>
      </c>
      <c r="D126" s="119" t="s">
        <v>231</v>
      </c>
      <c r="E126" s="120" t="s">
        <v>3810</v>
      </c>
      <c r="F126" s="121" t="s">
        <v>3811</v>
      </c>
      <c r="G126" s="122" t="s">
        <v>292</v>
      </c>
      <c r="H126" s="123">
        <v>34</v>
      </c>
      <c r="I126" s="124">
        <v>2.94</v>
      </c>
      <c r="J126" s="124">
        <f t="shared" si="0"/>
        <v>99.96</v>
      </c>
      <c r="K126" s="121" t="s">
        <v>1</v>
      </c>
      <c r="L126" s="24"/>
      <c r="M126" s="125" t="s">
        <v>1</v>
      </c>
      <c r="N126" s="126" t="s">
        <v>32</v>
      </c>
      <c r="O126" s="127">
        <v>0</v>
      </c>
      <c r="P126" s="127">
        <f t="shared" si="1"/>
        <v>0</v>
      </c>
      <c r="Q126" s="127">
        <v>0</v>
      </c>
      <c r="R126" s="127">
        <f t="shared" si="2"/>
        <v>0</v>
      </c>
      <c r="S126" s="127">
        <v>0</v>
      </c>
      <c r="T126" s="128">
        <f t="shared" si="3"/>
        <v>0</v>
      </c>
      <c r="W126" s="199"/>
      <c r="X126" s="119" t="s">
        <v>245</v>
      </c>
      <c r="Y126" s="119" t="s">
        <v>231</v>
      </c>
      <c r="Z126" s="120" t="s">
        <v>3810</v>
      </c>
      <c r="AA126" s="121" t="s">
        <v>3811</v>
      </c>
      <c r="AB126" s="122" t="s">
        <v>292</v>
      </c>
      <c r="AC126" s="123">
        <v>34</v>
      </c>
      <c r="AD126" s="124">
        <v>2.94</v>
      </c>
      <c r="AE126" s="200">
        <f t="shared" si="4"/>
        <v>99.96</v>
      </c>
      <c r="AF126" s="227"/>
      <c r="AG126" s="396"/>
      <c r="AI126" s="397"/>
      <c r="AR126" s="129" t="s">
        <v>347</v>
      </c>
      <c r="AT126" s="129" t="s">
        <v>231</v>
      </c>
      <c r="AU126" s="129" t="s">
        <v>63</v>
      </c>
      <c r="AY126" s="13" t="s">
        <v>228</v>
      </c>
      <c r="BE126" s="130">
        <f t="shared" si="5"/>
        <v>0</v>
      </c>
      <c r="BF126" s="130">
        <f t="shared" si="6"/>
        <v>99.96</v>
      </c>
      <c r="BG126" s="130">
        <f t="shared" si="7"/>
        <v>0</v>
      </c>
      <c r="BH126" s="130">
        <f t="shared" si="8"/>
        <v>0</v>
      </c>
      <c r="BI126" s="130">
        <f t="shared" si="9"/>
        <v>0</v>
      </c>
      <c r="BJ126" s="13" t="s">
        <v>76</v>
      </c>
      <c r="BK126" s="130">
        <f t="shared" si="10"/>
        <v>99.96</v>
      </c>
      <c r="BL126" s="13" t="s">
        <v>347</v>
      </c>
      <c r="BM126" s="129" t="s">
        <v>248</v>
      </c>
    </row>
    <row r="127" spans="2:65" s="1" customFormat="1" ht="24" customHeight="1" x14ac:dyDescent="0.2">
      <c r="B127" s="118"/>
      <c r="C127" s="131" t="s">
        <v>240</v>
      </c>
      <c r="D127" s="131" t="s">
        <v>277</v>
      </c>
      <c r="E127" s="132" t="s">
        <v>3810</v>
      </c>
      <c r="F127" s="133" t="s">
        <v>3811</v>
      </c>
      <c r="G127" s="134" t="s">
        <v>292</v>
      </c>
      <c r="H127" s="135">
        <v>34</v>
      </c>
      <c r="I127" s="136">
        <v>11.35</v>
      </c>
      <c r="J127" s="136">
        <f t="shared" si="0"/>
        <v>385.9</v>
      </c>
      <c r="K127" s="133" t="s">
        <v>1</v>
      </c>
      <c r="L127" s="137"/>
      <c r="M127" s="138" t="s">
        <v>1</v>
      </c>
      <c r="N127" s="139" t="s">
        <v>32</v>
      </c>
      <c r="O127" s="127">
        <v>0</v>
      </c>
      <c r="P127" s="127">
        <f t="shared" si="1"/>
        <v>0</v>
      </c>
      <c r="Q127" s="127">
        <v>0</v>
      </c>
      <c r="R127" s="127">
        <f t="shared" si="2"/>
        <v>0</v>
      </c>
      <c r="S127" s="127">
        <v>0</v>
      </c>
      <c r="T127" s="128">
        <f t="shared" si="3"/>
        <v>0</v>
      </c>
      <c r="W127" s="199"/>
      <c r="X127" s="131" t="s">
        <v>240</v>
      </c>
      <c r="Y127" s="131" t="s">
        <v>277</v>
      </c>
      <c r="Z127" s="132" t="s">
        <v>3810</v>
      </c>
      <c r="AA127" s="133" t="s">
        <v>3811</v>
      </c>
      <c r="AB127" s="134" t="s">
        <v>292</v>
      </c>
      <c r="AC127" s="135">
        <v>34</v>
      </c>
      <c r="AD127" s="136">
        <v>11.35</v>
      </c>
      <c r="AE127" s="229">
        <f t="shared" si="4"/>
        <v>385.9</v>
      </c>
      <c r="AF127" s="227"/>
      <c r="AG127" s="396"/>
      <c r="AI127" s="397"/>
      <c r="AR127" s="129" t="s">
        <v>705</v>
      </c>
      <c r="AT127" s="129" t="s">
        <v>277</v>
      </c>
      <c r="AU127" s="129" t="s">
        <v>63</v>
      </c>
      <c r="AY127" s="13" t="s">
        <v>228</v>
      </c>
      <c r="BE127" s="130">
        <f t="shared" si="5"/>
        <v>0</v>
      </c>
      <c r="BF127" s="130">
        <f t="shared" si="6"/>
        <v>385.9</v>
      </c>
      <c r="BG127" s="130">
        <f t="shared" si="7"/>
        <v>0</v>
      </c>
      <c r="BH127" s="130">
        <f t="shared" si="8"/>
        <v>0</v>
      </c>
      <c r="BI127" s="130">
        <f t="shared" si="9"/>
        <v>0</v>
      </c>
      <c r="BJ127" s="13" t="s">
        <v>76</v>
      </c>
      <c r="BK127" s="130">
        <f t="shared" si="10"/>
        <v>385.9</v>
      </c>
      <c r="BL127" s="13" t="s">
        <v>347</v>
      </c>
      <c r="BM127" s="129" t="s">
        <v>3812</v>
      </c>
    </row>
    <row r="128" spans="2:65" s="1" customFormat="1" ht="24" customHeight="1" x14ac:dyDescent="0.2">
      <c r="B128" s="118"/>
      <c r="C128" s="119" t="s">
        <v>252</v>
      </c>
      <c r="D128" s="119" t="s">
        <v>231</v>
      </c>
      <c r="E128" s="120" t="s">
        <v>1331</v>
      </c>
      <c r="F128" s="121" t="s">
        <v>1332</v>
      </c>
      <c r="G128" s="122" t="s">
        <v>1194</v>
      </c>
      <c r="H128" s="123">
        <v>12</v>
      </c>
      <c r="I128" s="124">
        <v>1.24</v>
      </c>
      <c r="J128" s="124">
        <f t="shared" si="0"/>
        <v>14.88</v>
      </c>
      <c r="K128" s="121" t="s">
        <v>1</v>
      </c>
      <c r="L128" s="24"/>
      <c r="M128" s="125" t="s">
        <v>1</v>
      </c>
      <c r="N128" s="126" t="s">
        <v>32</v>
      </c>
      <c r="O128" s="127">
        <v>0</v>
      </c>
      <c r="P128" s="127">
        <f t="shared" si="1"/>
        <v>0</v>
      </c>
      <c r="Q128" s="127">
        <v>0</v>
      </c>
      <c r="R128" s="127">
        <f t="shared" si="2"/>
        <v>0</v>
      </c>
      <c r="S128" s="127">
        <v>0</v>
      </c>
      <c r="T128" s="128">
        <f t="shared" si="3"/>
        <v>0</v>
      </c>
      <c r="W128" s="199"/>
      <c r="X128" s="119" t="s">
        <v>252</v>
      </c>
      <c r="Y128" s="119" t="s">
        <v>231</v>
      </c>
      <c r="Z128" s="120" t="s">
        <v>1331</v>
      </c>
      <c r="AA128" s="121" t="s">
        <v>1332</v>
      </c>
      <c r="AB128" s="122" t="s">
        <v>1194</v>
      </c>
      <c r="AC128" s="123">
        <v>12</v>
      </c>
      <c r="AD128" s="124">
        <v>1.24</v>
      </c>
      <c r="AE128" s="200">
        <f t="shared" si="4"/>
        <v>14.88</v>
      </c>
      <c r="AF128" s="227"/>
      <c r="AG128" s="396"/>
      <c r="AI128" s="397"/>
      <c r="AR128" s="129" t="s">
        <v>347</v>
      </c>
      <c r="AT128" s="129" t="s">
        <v>231</v>
      </c>
      <c r="AU128" s="129" t="s">
        <v>63</v>
      </c>
      <c r="AY128" s="13" t="s">
        <v>228</v>
      </c>
      <c r="BE128" s="130">
        <f t="shared" si="5"/>
        <v>0</v>
      </c>
      <c r="BF128" s="130">
        <f t="shared" si="6"/>
        <v>14.88</v>
      </c>
      <c r="BG128" s="130">
        <f t="shared" si="7"/>
        <v>0</v>
      </c>
      <c r="BH128" s="130">
        <f t="shared" si="8"/>
        <v>0</v>
      </c>
      <c r="BI128" s="130">
        <f t="shared" si="9"/>
        <v>0</v>
      </c>
      <c r="BJ128" s="13" t="s">
        <v>76</v>
      </c>
      <c r="BK128" s="130">
        <f t="shared" si="10"/>
        <v>14.88</v>
      </c>
      <c r="BL128" s="13" t="s">
        <v>347</v>
      </c>
      <c r="BM128" s="129" t="s">
        <v>255</v>
      </c>
    </row>
    <row r="129" spans="2:65" s="1" customFormat="1" ht="24" customHeight="1" x14ac:dyDescent="0.2">
      <c r="B129" s="118"/>
      <c r="C129" s="285" t="s">
        <v>244</v>
      </c>
      <c r="D129" s="119" t="s">
        <v>231</v>
      </c>
      <c r="E129" s="120" t="s">
        <v>1340</v>
      </c>
      <c r="F129" s="121" t="s">
        <v>1341</v>
      </c>
      <c r="G129" s="122" t="s">
        <v>1194</v>
      </c>
      <c r="H129" s="123">
        <v>32</v>
      </c>
      <c r="I129" s="124">
        <v>3.99</v>
      </c>
      <c r="J129" s="124">
        <f t="shared" si="0"/>
        <v>127.68</v>
      </c>
      <c r="K129" s="121" t="s">
        <v>1</v>
      </c>
      <c r="L129" s="24"/>
      <c r="M129" s="125" t="s">
        <v>1</v>
      </c>
      <c r="N129" s="126" t="s">
        <v>32</v>
      </c>
      <c r="O129" s="127">
        <v>0</v>
      </c>
      <c r="P129" s="127">
        <f t="shared" si="1"/>
        <v>0</v>
      </c>
      <c r="Q129" s="127">
        <v>0</v>
      </c>
      <c r="R129" s="127">
        <f t="shared" si="2"/>
        <v>0</v>
      </c>
      <c r="S129" s="127">
        <v>0</v>
      </c>
      <c r="T129" s="128">
        <f t="shared" si="3"/>
        <v>0</v>
      </c>
      <c r="W129" s="199"/>
      <c r="X129" s="285" t="s">
        <v>244</v>
      </c>
      <c r="Y129" s="119" t="s">
        <v>231</v>
      </c>
      <c r="Z129" s="120" t="s">
        <v>1340</v>
      </c>
      <c r="AA129" s="121" t="s">
        <v>1341</v>
      </c>
      <c r="AB129" s="122" t="s">
        <v>1194</v>
      </c>
      <c r="AC129" s="288">
        <v>32</v>
      </c>
      <c r="AD129" s="124">
        <v>3.99</v>
      </c>
      <c r="AE129" s="200">
        <f t="shared" si="4"/>
        <v>127.68</v>
      </c>
      <c r="AF129" s="227"/>
      <c r="AG129" s="396"/>
      <c r="AI129" s="397"/>
      <c r="AR129" s="129" t="s">
        <v>347</v>
      </c>
      <c r="AT129" s="129" t="s">
        <v>231</v>
      </c>
      <c r="AU129" s="129" t="s">
        <v>63</v>
      </c>
      <c r="AY129" s="13" t="s">
        <v>228</v>
      </c>
      <c r="BE129" s="130">
        <f t="shared" si="5"/>
        <v>0</v>
      </c>
      <c r="BF129" s="130">
        <f t="shared" si="6"/>
        <v>127.68</v>
      </c>
      <c r="BG129" s="130">
        <f t="shared" si="7"/>
        <v>0</v>
      </c>
      <c r="BH129" s="130">
        <f t="shared" si="8"/>
        <v>0</v>
      </c>
      <c r="BI129" s="130">
        <f t="shared" si="9"/>
        <v>0</v>
      </c>
      <c r="BJ129" s="13" t="s">
        <v>76</v>
      </c>
      <c r="BK129" s="130">
        <f t="shared" si="10"/>
        <v>127.68</v>
      </c>
      <c r="BL129" s="13" t="s">
        <v>347</v>
      </c>
      <c r="BM129" s="129" t="s">
        <v>258</v>
      </c>
    </row>
    <row r="130" spans="2:65" s="372" customFormat="1" ht="24" customHeight="1" x14ac:dyDescent="0.2">
      <c r="B130" s="118"/>
      <c r="C130" s="1234" t="s">
        <v>5205</v>
      </c>
      <c r="D130" s="1235"/>
      <c r="E130" s="1235"/>
      <c r="F130" s="1235"/>
      <c r="G130" s="1235"/>
      <c r="H130" s="1235"/>
      <c r="I130" s="1235"/>
      <c r="J130" s="1236"/>
      <c r="K130" s="121"/>
      <c r="L130" s="24"/>
      <c r="M130" s="125"/>
      <c r="N130" s="126"/>
      <c r="O130" s="127"/>
      <c r="P130" s="127"/>
      <c r="Q130" s="127"/>
      <c r="R130" s="127"/>
      <c r="S130" s="127"/>
      <c r="T130" s="128"/>
      <c r="W130" s="199"/>
      <c r="X130" s="386" t="s">
        <v>5204</v>
      </c>
      <c r="Y130" s="386" t="s">
        <v>277</v>
      </c>
      <c r="Z130" s="387" t="s">
        <v>5910</v>
      </c>
      <c r="AA130" s="388" t="s">
        <v>5911</v>
      </c>
      <c r="AB130" s="389" t="s">
        <v>1194</v>
      </c>
      <c r="AC130" s="390">
        <v>8</v>
      </c>
      <c r="AD130" s="391">
        <v>1.29</v>
      </c>
      <c r="AE130" s="401">
        <f>ROUND(AD130*AC130,2)</f>
        <v>10.32</v>
      </c>
      <c r="AF130" s="227">
        <v>2</v>
      </c>
      <c r="AG130" s="396"/>
      <c r="AI130" s="397"/>
      <c r="AR130" s="129"/>
      <c r="AT130" s="129"/>
      <c r="AU130" s="129"/>
      <c r="AY130" s="13"/>
      <c r="BE130" s="130"/>
      <c r="BF130" s="130"/>
      <c r="BG130" s="130"/>
      <c r="BH130" s="130"/>
      <c r="BI130" s="130"/>
      <c r="BJ130" s="13"/>
      <c r="BK130" s="130"/>
      <c r="BL130" s="13"/>
      <c r="BM130" s="129"/>
    </row>
    <row r="131" spans="2:65" s="372" customFormat="1" ht="24" customHeight="1" x14ac:dyDescent="0.2">
      <c r="B131" s="118"/>
      <c r="C131" s="1234" t="s">
        <v>5205</v>
      </c>
      <c r="D131" s="1235"/>
      <c r="E131" s="1235"/>
      <c r="F131" s="1235"/>
      <c r="G131" s="1235"/>
      <c r="H131" s="1235"/>
      <c r="I131" s="1235"/>
      <c r="J131" s="1236"/>
      <c r="K131" s="121"/>
      <c r="L131" s="24"/>
      <c r="M131" s="125"/>
      <c r="N131" s="126"/>
      <c r="O131" s="127"/>
      <c r="P131" s="127"/>
      <c r="Q131" s="127"/>
      <c r="R131" s="127"/>
      <c r="S131" s="127"/>
      <c r="T131" s="128"/>
      <c r="W131" s="199"/>
      <c r="X131" s="207" t="s">
        <v>5691</v>
      </c>
      <c r="Y131" s="207" t="s">
        <v>231</v>
      </c>
      <c r="Z131" s="208" t="s">
        <v>1346</v>
      </c>
      <c r="AA131" s="209" t="s">
        <v>1347</v>
      </c>
      <c r="AB131" s="210" t="s">
        <v>1194</v>
      </c>
      <c r="AC131" s="211">
        <v>24</v>
      </c>
      <c r="AD131" s="212">
        <v>4.32</v>
      </c>
      <c r="AE131" s="214">
        <f>ROUND(AD131*AC131,2)</f>
        <v>103.68</v>
      </c>
      <c r="AF131" s="227">
        <v>2</v>
      </c>
      <c r="AG131" s="396"/>
      <c r="AI131" s="397"/>
      <c r="AR131" s="129"/>
      <c r="AT131" s="129"/>
      <c r="AU131" s="129"/>
      <c r="AY131" s="13"/>
      <c r="BE131" s="130"/>
      <c r="BF131" s="130"/>
      <c r="BG131" s="130"/>
      <c r="BH131" s="130"/>
      <c r="BI131" s="130"/>
      <c r="BJ131" s="13"/>
      <c r="BK131" s="130"/>
      <c r="BL131" s="13"/>
      <c r="BM131" s="129"/>
    </row>
    <row r="132" spans="2:65" s="372" customFormat="1" ht="24" customHeight="1" x14ac:dyDescent="0.2">
      <c r="B132" s="118"/>
      <c r="C132" s="1234" t="s">
        <v>5205</v>
      </c>
      <c r="D132" s="1235"/>
      <c r="E132" s="1235"/>
      <c r="F132" s="1235"/>
      <c r="G132" s="1235"/>
      <c r="H132" s="1235"/>
      <c r="I132" s="1235"/>
      <c r="J132" s="1236"/>
      <c r="K132" s="121"/>
      <c r="L132" s="24"/>
      <c r="M132" s="125"/>
      <c r="N132" s="126"/>
      <c r="O132" s="127"/>
      <c r="P132" s="127"/>
      <c r="Q132" s="127"/>
      <c r="R132" s="127"/>
      <c r="S132" s="127"/>
      <c r="T132" s="128"/>
      <c r="W132" s="199"/>
      <c r="X132" s="386" t="s">
        <v>5935</v>
      </c>
      <c r="Y132" s="386" t="s">
        <v>277</v>
      </c>
      <c r="Z132" s="387" t="s">
        <v>5912</v>
      </c>
      <c r="AA132" s="388" t="s">
        <v>5913</v>
      </c>
      <c r="AB132" s="389" t="s">
        <v>1194</v>
      </c>
      <c r="AC132" s="390">
        <v>24</v>
      </c>
      <c r="AD132" s="391">
        <v>1.56</v>
      </c>
      <c r="AE132" s="401">
        <f>ROUND(AD132*AC132,2)</f>
        <v>37.44</v>
      </c>
      <c r="AF132" s="227">
        <v>2</v>
      </c>
      <c r="AG132" s="396"/>
      <c r="AI132" s="397"/>
      <c r="AR132" s="129"/>
      <c r="AT132" s="129"/>
      <c r="AU132" s="129"/>
      <c r="AY132" s="13"/>
      <c r="BE132" s="130"/>
      <c r="BF132" s="130"/>
      <c r="BG132" s="130"/>
      <c r="BH132" s="130"/>
      <c r="BI132" s="130"/>
      <c r="BJ132" s="13"/>
      <c r="BK132" s="130"/>
      <c r="BL132" s="13"/>
      <c r="BM132" s="129"/>
    </row>
    <row r="133" spans="2:65" s="1" customFormat="1" ht="24" customHeight="1" x14ac:dyDescent="0.2">
      <c r="B133" s="118"/>
      <c r="C133" s="119" t="s">
        <v>259</v>
      </c>
      <c r="D133" s="119" t="s">
        <v>231</v>
      </c>
      <c r="E133" s="120" t="s">
        <v>3813</v>
      </c>
      <c r="F133" s="121" t="s">
        <v>3814</v>
      </c>
      <c r="G133" s="122" t="s">
        <v>1194</v>
      </c>
      <c r="H133" s="123">
        <v>4</v>
      </c>
      <c r="I133" s="124">
        <v>7.52</v>
      </c>
      <c r="J133" s="124">
        <f t="shared" si="0"/>
        <v>30.08</v>
      </c>
      <c r="K133" s="121" t="s">
        <v>1</v>
      </c>
      <c r="L133" s="24"/>
      <c r="M133" s="125" t="s">
        <v>1</v>
      </c>
      <c r="N133" s="126" t="s">
        <v>32</v>
      </c>
      <c r="O133" s="127">
        <v>0</v>
      </c>
      <c r="P133" s="127">
        <f t="shared" si="1"/>
        <v>0</v>
      </c>
      <c r="Q133" s="127">
        <v>0</v>
      </c>
      <c r="R133" s="127">
        <f t="shared" si="2"/>
        <v>0</v>
      </c>
      <c r="S133" s="127">
        <v>0</v>
      </c>
      <c r="T133" s="128">
        <f t="shared" si="3"/>
        <v>0</v>
      </c>
      <c r="W133" s="199"/>
      <c r="X133" s="119" t="s">
        <v>259</v>
      </c>
      <c r="Y133" s="119" t="s">
        <v>231</v>
      </c>
      <c r="Z133" s="120" t="s">
        <v>3813</v>
      </c>
      <c r="AA133" s="121" t="s">
        <v>3814</v>
      </c>
      <c r="AB133" s="122" t="s">
        <v>1194</v>
      </c>
      <c r="AC133" s="123">
        <v>4</v>
      </c>
      <c r="AD133" s="124">
        <v>7.52</v>
      </c>
      <c r="AE133" s="200">
        <f t="shared" si="4"/>
        <v>30.08</v>
      </c>
      <c r="AF133" s="227"/>
      <c r="AG133" s="396"/>
      <c r="AI133" s="397"/>
      <c r="AR133" s="129" t="s">
        <v>347</v>
      </c>
      <c r="AT133" s="129" t="s">
        <v>231</v>
      </c>
      <c r="AU133" s="129" t="s">
        <v>63</v>
      </c>
      <c r="AY133" s="13" t="s">
        <v>228</v>
      </c>
      <c r="BE133" s="130">
        <f t="shared" si="5"/>
        <v>0</v>
      </c>
      <c r="BF133" s="130">
        <f t="shared" si="6"/>
        <v>30.08</v>
      </c>
      <c r="BG133" s="130">
        <f t="shared" si="7"/>
        <v>0</v>
      </c>
      <c r="BH133" s="130">
        <f t="shared" si="8"/>
        <v>0</v>
      </c>
      <c r="BI133" s="130">
        <f t="shared" si="9"/>
        <v>0</v>
      </c>
      <c r="BJ133" s="13" t="s">
        <v>76</v>
      </c>
      <c r="BK133" s="130">
        <f t="shared" si="10"/>
        <v>30.08</v>
      </c>
      <c r="BL133" s="13" t="s">
        <v>347</v>
      </c>
      <c r="BM133" s="129" t="s">
        <v>262</v>
      </c>
    </row>
    <row r="134" spans="2:65" s="372" customFormat="1" ht="24" customHeight="1" x14ac:dyDescent="0.2">
      <c r="B134" s="118"/>
      <c r="C134" s="1234" t="s">
        <v>5205</v>
      </c>
      <c r="D134" s="1235"/>
      <c r="E134" s="1235"/>
      <c r="F134" s="1235"/>
      <c r="G134" s="1235"/>
      <c r="H134" s="1235"/>
      <c r="I134" s="1235"/>
      <c r="J134" s="1236"/>
      <c r="K134" s="121"/>
      <c r="L134" s="24"/>
      <c r="M134" s="125"/>
      <c r="N134" s="126"/>
      <c r="O134" s="127"/>
      <c r="P134" s="127"/>
      <c r="Q134" s="127"/>
      <c r="R134" s="127"/>
      <c r="S134" s="127"/>
      <c r="T134" s="128"/>
      <c r="W134" s="199"/>
      <c r="X134" s="207" t="s">
        <v>5341</v>
      </c>
      <c r="Y134" s="207" t="s">
        <v>231</v>
      </c>
      <c r="Z134" s="208" t="s">
        <v>1371</v>
      </c>
      <c r="AA134" s="209" t="s">
        <v>1372</v>
      </c>
      <c r="AB134" s="210" t="s">
        <v>1194</v>
      </c>
      <c r="AC134" s="211">
        <v>8</v>
      </c>
      <c r="AD134" s="212">
        <v>20.47</v>
      </c>
      <c r="AE134" s="214">
        <f>ROUND(AD134*AC134,2)</f>
        <v>163.76</v>
      </c>
      <c r="AF134" s="227">
        <v>2</v>
      </c>
      <c r="AG134" s="396"/>
      <c r="AI134" s="397"/>
      <c r="AR134" s="129"/>
      <c r="AT134" s="129"/>
      <c r="AU134" s="129"/>
      <c r="AY134" s="13"/>
      <c r="BE134" s="130"/>
      <c r="BF134" s="130"/>
      <c r="BG134" s="130"/>
      <c r="BH134" s="130"/>
      <c r="BI134" s="130"/>
      <c r="BJ134" s="13"/>
      <c r="BK134" s="130"/>
      <c r="BL134" s="13"/>
      <c r="BM134" s="129"/>
    </row>
    <row r="135" spans="2:65" s="1" customFormat="1" ht="24" customHeight="1" x14ac:dyDescent="0.2">
      <c r="B135" s="118"/>
      <c r="C135" s="119" t="s">
        <v>248</v>
      </c>
      <c r="D135" s="119" t="s">
        <v>231</v>
      </c>
      <c r="E135" s="120" t="s">
        <v>3815</v>
      </c>
      <c r="F135" s="121" t="s">
        <v>3816</v>
      </c>
      <c r="G135" s="122" t="s">
        <v>1194</v>
      </c>
      <c r="H135" s="123">
        <v>1</v>
      </c>
      <c r="I135" s="124">
        <v>4.63</v>
      </c>
      <c r="J135" s="124">
        <f t="shared" si="0"/>
        <v>4.63</v>
      </c>
      <c r="K135" s="121" t="s">
        <v>1</v>
      </c>
      <c r="L135" s="24"/>
      <c r="M135" s="125" t="s">
        <v>1</v>
      </c>
      <c r="N135" s="126" t="s">
        <v>32</v>
      </c>
      <c r="O135" s="127">
        <v>0</v>
      </c>
      <c r="P135" s="127">
        <f t="shared" si="1"/>
        <v>0</v>
      </c>
      <c r="Q135" s="127">
        <v>0</v>
      </c>
      <c r="R135" s="127">
        <f t="shared" si="2"/>
        <v>0</v>
      </c>
      <c r="S135" s="127">
        <v>0</v>
      </c>
      <c r="T135" s="128">
        <f t="shared" si="3"/>
        <v>0</v>
      </c>
      <c r="W135" s="199"/>
      <c r="X135" s="119" t="s">
        <v>248</v>
      </c>
      <c r="Y135" s="119" t="s">
        <v>231</v>
      </c>
      <c r="Z135" s="120" t="s">
        <v>3815</v>
      </c>
      <c r="AA135" s="121" t="s">
        <v>3816</v>
      </c>
      <c r="AB135" s="122" t="s">
        <v>1194</v>
      </c>
      <c r="AC135" s="123">
        <v>1</v>
      </c>
      <c r="AD135" s="124">
        <v>4.63</v>
      </c>
      <c r="AE135" s="200">
        <f t="shared" si="4"/>
        <v>4.63</v>
      </c>
      <c r="AF135" s="227"/>
      <c r="AG135" s="396"/>
      <c r="AI135" s="397"/>
      <c r="AR135" s="129" t="s">
        <v>347</v>
      </c>
      <c r="AT135" s="129" t="s">
        <v>231</v>
      </c>
      <c r="AU135" s="129" t="s">
        <v>63</v>
      </c>
      <c r="AY135" s="13" t="s">
        <v>228</v>
      </c>
      <c r="BE135" s="130">
        <f t="shared" si="5"/>
        <v>0</v>
      </c>
      <c r="BF135" s="130">
        <f t="shared" si="6"/>
        <v>4.63</v>
      </c>
      <c r="BG135" s="130">
        <f t="shared" si="7"/>
        <v>0</v>
      </c>
      <c r="BH135" s="130">
        <f t="shared" si="8"/>
        <v>0</v>
      </c>
      <c r="BI135" s="130">
        <f t="shared" si="9"/>
        <v>0</v>
      </c>
      <c r="BJ135" s="13" t="s">
        <v>76</v>
      </c>
      <c r="BK135" s="130">
        <f t="shared" si="10"/>
        <v>4.63</v>
      </c>
      <c r="BL135" s="13" t="s">
        <v>347</v>
      </c>
      <c r="BM135" s="129" t="s">
        <v>7</v>
      </c>
    </row>
    <row r="136" spans="2:65" s="1" customFormat="1" ht="16.5" customHeight="1" x14ac:dyDescent="0.2">
      <c r="B136" s="118"/>
      <c r="C136" s="131" t="s">
        <v>265</v>
      </c>
      <c r="D136" s="131" t="s">
        <v>277</v>
      </c>
      <c r="E136" s="132" t="s">
        <v>3817</v>
      </c>
      <c r="F136" s="133" t="s">
        <v>3818</v>
      </c>
      <c r="G136" s="134" t="s">
        <v>1194</v>
      </c>
      <c r="H136" s="135">
        <v>1</v>
      </c>
      <c r="I136" s="136">
        <v>11.03</v>
      </c>
      <c r="J136" s="136">
        <f t="shared" si="0"/>
        <v>11.03</v>
      </c>
      <c r="K136" s="133" t="s">
        <v>1</v>
      </c>
      <c r="L136" s="137"/>
      <c r="M136" s="138" t="s">
        <v>1</v>
      </c>
      <c r="N136" s="139" t="s">
        <v>32</v>
      </c>
      <c r="O136" s="127">
        <v>0</v>
      </c>
      <c r="P136" s="127">
        <f t="shared" si="1"/>
        <v>0</v>
      </c>
      <c r="Q136" s="127">
        <v>0</v>
      </c>
      <c r="R136" s="127">
        <f t="shared" si="2"/>
        <v>0</v>
      </c>
      <c r="S136" s="127">
        <v>0</v>
      </c>
      <c r="T136" s="128">
        <f t="shared" si="3"/>
        <v>0</v>
      </c>
      <c r="W136" s="199"/>
      <c r="X136" s="131" t="s">
        <v>265</v>
      </c>
      <c r="Y136" s="131" t="s">
        <v>277</v>
      </c>
      <c r="Z136" s="132" t="s">
        <v>3817</v>
      </c>
      <c r="AA136" s="133" t="s">
        <v>3818</v>
      </c>
      <c r="AB136" s="134" t="s">
        <v>1194</v>
      </c>
      <c r="AC136" s="135">
        <v>1</v>
      </c>
      <c r="AD136" s="136">
        <v>11.03</v>
      </c>
      <c r="AE136" s="229">
        <f t="shared" si="4"/>
        <v>11.03</v>
      </c>
      <c r="AF136" s="227"/>
      <c r="AG136" s="396"/>
      <c r="AI136" s="397"/>
      <c r="AR136" s="129" t="s">
        <v>705</v>
      </c>
      <c r="AT136" s="129" t="s">
        <v>277</v>
      </c>
      <c r="AU136" s="129" t="s">
        <v>63</v>
      </c>
      <c r="AY136" s="13" t="s">
        <v>228</v>
      </c>
      <c r="BE136" s="130">
        <f t="shared" si="5"/>
        <v>0</v>
      </c>
      <c r="BF136" s="130">
        <f t="shared" si="6"/>
        <v>11.03</v>
      </c>
      <c r="BG136" s="130">
        <f t="shared" si="7"/>
        <v>0</v>
      </c>
      <c r="BH136" s="130">
        <f t="shared" si="8"/>
        <v>0</v>
      </c>
      <c r="BI136" s="130">
        <f t="shared" si="9"/>
        <v>0</v>
      </c>
      <c r="BJ136" s="13" t="s">
        <v>76</v>
      </c>
      <c r="BK136" s="130">
        <f t="shared" si="10"/>
        <v>11.03</v>
      </c>
      <c r="BL136" s="13" t="s">
        <v>347</v>
      </c>
      <c r="BM136" s="129" t="s">
        <v>268</v>
      </c>
    </row>
    <row r="137" spans="2:65" s="1" customFormat="1" ht="24" customHeight="1" x14ac:dyDescent="0.2">
      <c r="B137" s="118"/>
      <c r="C137" s="119" t="s">
        <v>251</v>
      </c>
      <c r="D137" s="119" t="s">
        <v>231</v>
      </c>
      <c r="E137" s="120" t="s">
        <v>3819</v>
      </c>
      <c r="F137" s="121" t="s">
        <v>3820</v>
      </c>
      <c r="G137" s="122" t="s">
        <v>1194</v>
      </c>
      <c r="H137" s="123">
        <v>3</v>
      </c>
      <c r="I137" s="124">
        <v>4.97</v>
      </c>
      <c r="J137" s="124">
        <f t="shared" si="0"/>
        <v>14.91</v>
      </c>
      <c r="K137" s="121" t="s">
        <v>1</v>
      </c>
      <c r="L137" s="24"/>
      <c r="M137" s="125" t="s">
        <v>1</v>
      </c>
      <c r="N137" s="126" t="s">
        <v>32</v>
      </c>
      <c r="O137" s="127">
        <v>0</v>
      </c>
      <c r="P137" s="127">
        <f t="shared" si="1"/>
        <v>0</v>
      </c>
      <c r="Q137" s="127">
        <v>0</v>
      </c>
      <c r="R137" s="127">
        <f t="shared" si="2"/>
        <v>0</v>
      </c>
      <c r="S137" s="127">
        <v>0</v>
      </c>
      <c r="T137" s="128">
        <f t="shared" si="3"/>
        <v>0</v>
      </c>
      <c r="W137" s="199"/>
      <c r="X137" s="119" t="s">
        <v>251</v>
      </c>
      <c r="Y137" s="119" t="s">
        <v>231</v>
      </c>
      <c r="Z137" s="120" t="s">
        <v>3819</v>
      </c>
      <c r="AA137" s="121" t="s">
        <v>3820</v>
      </c>
      <c r="AB137" s="122" t="s">
        <v>1194</v>
      </c>
      <c r="AC137" s="123">
        <v>3</v>
      </c>
      <c r="AD137" s="124">
        <v>4.97</v>
      </c>
      <c r="AE137" s="200">
        <f t="shared" si="4"/>
        <v>14.91</v>
      </c>
      <c r="AF137" s="227"/>
      <c r="AG137" s="396"/>
      <c r="AI137" s="397"/>
      <c r="AR137" s="129" t="s">
        <v>347</v>
      </c>
      <c r="AT137" s="129" t="s">
        <v>231</v>
      </c>
      <c r="AU137" s="129" t="s">
        <v>63</v>
      </c>
      <c r="AY137" s="13" t="s">
        <v>228</v>
      </c>
      <c r="BE137" s="130">
        <f t="shared" si="5"/>
        <v>0</v>
      </c>
      <c r="BF137" s="130">
        <f t="shared" si="6"/>
        <v>14.91</v>
      </c>
      <c r="BG137" s="130">
        <f t="shared" si="7"/>
        <v>0</v>
      </c>
      <c r="BH137" s="130">
        <f t="shared" si="8"/>
        <v>0</v>
      </c>
      <c r="BI137" s="130">
        <f t="shared" si="9"/>
        <v>0</v>
      </c>
      <c r="BJ137" s="13" t="s">
        <v>76</v>
      </c>
      <c r="BK137" s="130">
        <f t="shared" si="10"/>
        <v>14.91</v>
      </c>
      <c r="BL137" s="13" t="s">
        <v>347</v>
      </c>
      <c r="BM137" s="129" t="s">
        <v>272</v>
      </c>
    </row>
    <row r="138" spans="2:65" s="1" customFormat="1" ht="16.5" customHeight="1" x14ac:dyDescent="0.2">
      <c r="B138" s="118"/>
      <c r="C138" s="131" t="s">
        <v>273</v>
      </c>
      <c r="D138" s="131" t="s">
        <v>277</v>
      </c>
      <c r="E138" s="132" t="s">
        <v>3821</v>
      </c>
      <c r="F138" s="133" t="s">
        <v>3822</v>
      </c>
      <c r="G138" s="134" t="s">
        <v>1194</v>
      </c>
      <c r="H138" s="135">
        <v>3</v>
      </c>
      <c r="I138" s="136">
        <v>14.05</v>
      </c>
      <c r="J138" s="136">
        <f t="shared" si="0"/>
        <v>42.15</v>
      </c>
      <c r="K138" s="133" t="s">
        <v>1</v>
      </c>
      <c r="L138" s="137"/>
      <c r="M138" s="138" t="s">
        <v>1</v>
      </c>
      <c r="N138" s="139" t="s">
        <v>32</v>
      </c>
      <c r="O138" s="127">
        <v>0</v>
      </c>
      <c r="P138" s="127">
        <f t="shared" si="1"/>
        <v>0</v>
      </c>
      <c r="Q138" s="127">
        <v>0</v>
      </c>
      <c r="R138" s="127">
        <f t="shared" si="2"/>
        <v>0</v>
      </c>
      <c r="S138" s="127">
        <v>0</v>
      </c>
      <c r="T138" s="128">
        <f t="shared" si="3"/>
        <v>0</v>
      </c>
      <c r="W138" s="199"/>
      <c r="X138" s="131" t="s">
        <v>273</v>
      </c>
      <c r="Y138" s="131" t="s">
        <v>277</v>
      </c>
      <c r="Z138" s="132" t="s">
        <v>3821</v>
      </c>
      <c r="AA138" s="133" t="s">
        <v>3822</v>
      </c>
      <c r="AB138" s="134" t="s">
        <v>1194</v>
      </c>
      <c r="AC138" s="135">
        <v>3</v>
      </c>
      <c r="AD138" s="136">
        <v>14.05</v>
      </c>
      <c r="AE138" s="229">
        <f t="shared" si="4"/>
        <v>42.15</v>
      </c>
      <c r="AF138" s="227"/>
      <c r="AG138" s="396"/>
      <c r="AI138" s="397"/>
      <c r="AR138" s="129" t="s">
        <v>705</v>
      </c>
      <c r="AT138" s="129" t="s">
        <v>277</v>
      </c>
      <c r="AU138" s="129" t="s">
        <v>63</v>
      </c>
      <c r="AY138" s="13" t="s">
        <v>228</v>
      </c>
      <c r="BE138" s="130">
        <f t="shared" si="5"/>
        <v>0</v>
      </c>
      <c r="BF138" s="130">
        <f t="shared" si="6"/>
        <v>42.15</v>
      </c>
      <c r="BG138" s="130">
        <f t="shared" si="7"/>
        <v>0</v>
      </c>
      <c r="BH138" s="130">
        <f t="shared" si="8"/>
        <v>0</v>
      </c>
      <c r="BI138" s="130">
        <f t="shared" si="9"/>
        <v>0</v>
      </c>
      <c r="BJ138" s="13" t="s">
        <v>76</v>
      </c>
      <c r="BK138" s="130">
        <f t="shared" si="10"/>
        <v>42.15</v>
      </c>
      <c r="BL138" s="13" t="s">
        <v>347</v>
      </c>
      <c r="BM138" s="129" t="s">
        <v>276</v>
      </c>
    </row>
    <row r="139" spans="2:65" s="1" customFormat="1" ht="24" customHeight="1" x14ac:dyDescent="0.2">
      <c r="B139" s="118"/>
      <c r="C139" s="205" t="s">
        <v>255</v>
      </c>
      <c r="D139" s="119" t="s">
        <v>231</v>
      </c>
      <c r="E139" s="120" t="s">
        <v>3823</v>
      </c>
      <c r="F139" s="121" t="s">
        <v>3824</v>
      </c>
      <c r="G139" s="122" t="s">
        <v>1194</v>
      </c>
      <c r="H139" s="206">
        <v>3</v>
      </c>
      <c r="I139" s="124">
        <v>5.04</v>
      </c>
      <c r="J139" s="124">
        <f t="shared" si="0"/>
        <v>15.12</v>
      </c>
      <c r="K139" s="121" t="s">
        <v>1</v>
      </c>
      <c r="L139" s="24"/>
      <c r="M139" s="125" t="s">
        <v>1</v>
      </c>
      <c r="N139" s="126" t="s">
        <v>32</v>
      </c>
      <c r="O139" s="127">
        <v>0</v>
      </c>
      <c r="P139" s="127">
        <f t="shared" si="1"/>
        <v>0</v>
      </c>
      <c r="Q139" s="127">
        <v>0</v>
      </c>
      <c r="R139" s="127">
        <f t="shared" si="2"/>
        <v>0</v>
      </c>
      <c r="S139" s="127">
        <v>0</v>
      </c>
      <c r="T139" s="128">
        <f t="shared" si="3"/>
        <v>0</v>
      </c>
      <c r="W139" s="199"/>
      <c r="X139" s="205" t="s">
        <v>255</v>
      </c>
      <c r="Y139" s="119" t="s">
        <v>231</v>
      </c>
      <c r="Z139" s="120" t="s">
        <v>3823</v>
      </c>
      <c r="AA139" s="121" t="s">
        <v>3824</v>
      </c>
      <c r="AB139" s="122" t="s">
        <v>1194</v>
      </c>
      <c r="AC139" s="206">
        <f>3+3</f>
        <v>6</v>
      </c>
      <c r="AD139" s="124">
        <v>5.04</v>
      </c>
      <c r="AE139" s="200">
        <f t="shared" si="4"/>
        <v>30.24</v>
      </c>
      <c r="AF139" s="227">
        <v>2</v>
      </c>
      <c r="AG139" s="396"/>
      <c r="AI139" s="397"/>
      <c r="AR139" s="129" t="s">
        <v>347</v>
      </c>
      <c r="AT139" s="129" t="s">
        <v>231</v>
      </c>
      <c r="AU139" s="129" t="s">
        <v>63</v>
      </c>
      <c r="AY139" s="13" t="s">
        <v>228</v>
      </c>
      <c r="BE139" s="130">
        <f t="shared" si="5"/>
        <v>0</v>
      </c>
      <c r="BF139" s="130">
        <f t="shared" si="6"/>
        <v>15.12</v>
      </c>
      <c r="BG139" s="130">
        <f t="shared" si="7"/>
        <v>0</v>
      </c>
      <c r="BH139" s="130">
        <f t="shared" si="8"/>
        <v>0</v>
      </c>
      <c r="BI139" s="130">
        <f t="shared" si="9"/>
        <v>0</v>
      </c>
      <c r="BJ139" s="13" t="s">
        <v>76</v>
      </c>
      <c r="BK139" s="130">
        <f t="shared" si="10"/>
        <v>15.12</v>
      </c>
      <c r="BL139" s="13" t="s">
        <v>347</v>
      </c>
      <c r="BM139" s="129" t="s">
        <v>280</v>
      </c>
    </row>
    <row r="140" spans="2:65" s="1" customFormat="1" ht="16.5" customHeight="1" x14ac:dyDescent="0.2">
      <c r="B140" s="118"/>
      <c r="C140" s="242" t="s">
        <v>281</v>
      </c>
      <c r="D140" s="131" t="s">
        <v>277</v>
      </c>
      <c r="E140" s="132" t="s">
        <v>3825</v>
      </c>
      <c r="F140" s="133" t="s">
        <v>3826</v>
      </c>
      <c r="G140" s="134" t="s">
        <v>1194</v>
      </c>
      <c r="H140" s="241">
        <v>3</v>
      </c>
      <c r="I140" s="136">
        <v>7.35</v>
      </c>
      <c r="J140" s="136">
        <f t="shared" si="0"/>
        <v>22.05</v>
      </c>
      <c r="K140" s="133" t="s">
        <v>1</v>
      </c>
      <c r="L140" s="137"/>
      <c r="M140" s="138" t="s">
        <v>1</v>
      </c>
      <c r="N140" s="139" t="s">
        <v>32</v>
      </c>
      <c r="O140" s="127">
        <v>0</v>
      </c>
      <c r="P140" s="127">
        <f t="shared" si="1"/>
        <v>0</v>
      </c>
      <c r="Q140" s="127">
        <v>0</v>
      </c>
      <c r="R140" s="127">
        <f t="shared" si="2"/>
        <v>0</v>
      </c>
      <c r="S140" s="127">
        <v>0</v>
      </c>
      <c r="T140" s="128">
        <f t="shared" si="3"/>
        <v>0</v>
      </c>
      <c r="W140" s="199"/>
      <c r="X140" s="242" t="s">
        <v>281</v>
      </c>
      <c r="Y140" s="131" t="s">
        <v>277</v>
      </c>
      <c r="Z140" s="132" t="s">
        <v>3825</v>
      </c>
      <c r="AA140" s="133" t="s">
        <v>3826</v>
      </c>
      <c r="AB140" s="134" t="s">
        <v>1194</v>
      </c>
      <c r="AC140" s="241">
        <f>3+3</f>
        <v>6</v>
      </c>
      <c r="AD140" s="136">
        <v>7.35</v>
      </c>
      <c r="AE140" s="229">
        <f t="shared" si="4"/>
        <v>44.1</v>
      </c>
      <c r="AF140" s="227">
        <v>2</v>
      </c>
      <c r="AG140" s="396"/>
      <c r="AI140" s="397"/>
      <c r="AR140" s="129" t="s">
        <v>705</v>
      </c>
      <c r="AT140" s="129" t="s">
        <v>277</v>
      </c>
      <c r="AU140" s="129" t="s">
        <v>63</v>
      </c>
      <c r="AY140" s="13" t="s">
        <v>228</v>
      </c>
      <c r="BE140" s="130">
        <f t="shared" si="5"/>
        <v>0</v>
      </c>
      <c r="BF140" s="130">
        <f t="shared" si="6"/>
        <v>22.05</v>
      </c>
      <c r="BG140" s="130">
        <f t="shared" si="7"/>
        <v>0</v>
      </c>
      <c r="BH140" s="130">
        <f t="shared" si="8"/>
        <v>0</v>
      </c>
      <c r="BI140" s="130">
        <f t="shared" si="9"/>
        <v>0</v>
      </c>
      <c r="BJ140" s="13" t="s">
        <v>76</v>
      </c>
      <c r="BK140" s="130">
        <f t="shared" si="10"/>
        <v>22.05</v>
      </c>
      <c r="BL140" s="13" t="s">
        <v>347</v>
      </c>
      <c r="BM140" s="129" t="s">
        <v>285</v>
      </c>
    </row>
    <row r="141" spans="2:65" s="1" customFormat="1" ht="24" customHeight="1" x14ac:dyDescent="0.2">
      <c r="B141" s="118"/>
      <c r="C141" s="119" t="s">
        <v>258</v>
      </c>
      <c r="D141" s="119" t="s">
        <v>231</v>
      </c>
      <c r="E141" s="120" t="s">
        <v>3827</v>
      </c>
      <c r="F141" s="121" t="s">
        <v>3828</v>
      </c>
      <c r="G141" s="122" t="s">
        <v>1194</v>
      </c>
      <c r="H141" s="123">
        <v>1</v>
      </c>
      <c r="I141" s="124">
        <v>5.61</v>
      </c>
      <c r="J141" s="124">
        <f t="shared" si="0"/>
        <v>5.61</v>
      </c>
      <c r="K141" s="121" t="s">
        <v>1</v>
      </c>
      <c r="L141" s="24"/>
      <c r="M141" s="125" t="s">
        <v>1</v>
      </c>
      <c r="N141" s="126" t="s">
        <v>32</v>
      </c>
      <c r="O141" s="127">
        <v>0</v>
      </c>
      <c r="P141" s="127">
        <f t="shared" si="1"/>
        <v>0</v>
      </c>
      <c r="Q141" s="127">
        <v>0</v>
      </c>
      <c r="R141" s="127">
        <f t="shared" si="2"/>
        <v>0</v>
      </c>
      <c r="S141" s="127">
        <v>0</v>
      </c>
      <c r="T141" s="128">
        <f t="shared" si="3"/>
        <v>0</v>
      </c>
      <c r="W141" s="199"/>
      <c r="X141" s="119" t="s">
        <v>258</v>
      </c>
      <c r="Y141" s="119" t="s">
        <v>231</v>
      </c>
      <c r="Z141" s="120" t="s">
        <v>3827</v>
      </c>
      <c r="AA141" s="121" t="s">
        <v>3828</v>
      </c>
      <c r="AB141" s="122" t="s">
        <v>1194</v>
      </c>
      <c r="AC141" s="123">
        <v>1</v>
      </c>
      <c r="AD141" s="124">
        <v>5.61</v>
      </c>
      <c r="AE141" s="200">
        <f t="shared" si="4"/>
        <v>5.61</v>
      </c>
      <c r="AF141" s="227"/>
      <c r="AG141" s="396"/>
      <c r="AI141" s="397"/>
      <c r="AR141" s="129" t="s">
        <v>347</v>
      </c>
      <c r="AT141" s="129" t="s">
        <v>231</v>
      </c>
      <c r="AU141" s="129" t="s">
        <v>63</v>
      </c>
      <c r="AY141" s="13" t="s">
        <v>228</v>
      </c>
      <c r="BE141" s="130">
        <f t="shared" si="5"/>
        <v>0</v>
      </c>
      <c r="BF141" s="130">
        <f t="shared" si="6"/>
        <v>5.61</v>
      </c>
      <c r="BG141" s="130">
        <f t="shared" si="7"/>
        <v>0</v>
      </c>
      <c r="BH141" s="130">
        <f t="shared" si="8"/>
        <v>0</v>
      </c>
      <c r="BI141" s="130">
        <f t="shared" si="9"/>
        <v>0</v>
      </c>
      <c r="BJ141" s="13" t="s">
        <v>76</v>
      </c>
      <c r="BK141" s="130">
        <f t="shared" si="10"/>
        <v>5.61</v>
      </c>
      <c r="BL141" s="13" t="s">
        <v>347</v>
      </c>
      <c r="BM141" s="129" t="s">
        <v>288</v>
      </c>
    </row>
    <row r="142" spans="2:65" s="1" customFormat="1" ht="16.5" customHeight="1" x14ac:dyDescent="0.2">
      <c r="B142" s="118"/>
      <c r="C142" s="131" t="s">
        <v>289</v>
      </c>
      <c r="D142" s="131" t="s">
        <v>277</v>
      </c>
      <c r="E142" s="132" t="s">
        <v>3829</v>
      </c>
      <c r="F142" s="133" t="s">
        <v>3830</v>
      </c>
      <c r="G142" s="134" t="s">
        <v>1194</v>
      </c>
      <c r="H142" s="135">
        <v>1</v>
      </c>
      <c r="I142" s="136">
        <v>5.21</v>
      </c>
      <c r="J142" s="136">
        <f t="shared" si="0"/>
        <v>5.21</v>
      </c>
      <c r="K142" s="133" t="s">
        <v>1</v>
      </c>
      <c r="L142" s="137"/>
      <c r="M142" s="138" t="s">
        <v>1</v>
      </c>
      <c r="N142" s="139" t="s">
        <v>32</v>
      </c>
      <c r="O142" s="127">
        <v>0</v>
      </c>
      <c r="P142" s="127">
        <f t="shared" si="1"/>
        <v>0</v>
      </c>
      <c r="Q142" s="127">
        <v>0</v>
      </c>
      <c r="R142" s="127">
        <f t="shared" si="2"/>
        <v>0</v>
      </c>
      <c r="S142" s="127">
        <v>0</v>
      </c>
      <c r="T142" s="128">
        <f t="shared" si="3"/>
        <v>0</v>
      </c>
      <c r="W142" s="199"/>
      <c r="X142" s="131" t="s">
        <v>289</v>
      </c>
      <c r="Y142" s="131" t="s">
        <v>277</v>
      </c>
      <c r="Z142" s="132" t="s">
        <v>3829</v>
      </c>
      <c r="AA142" s="133" t="s">
        <v>3830</v>
      </c>
      <c r="AB142" s="134" t="s">
        <v>1194</v>
      </c>
      <c r="AC142" s="135">
        <v>1</v>
      </c>
      <c r="AD142" s="136">
        <v>5.21</v>
      </c>
      <c r="AE142" s="229">
        <f t="shared" si="4"/>
        <v>5.21</v>
      </c>
      <c r="AF142" s="227"/>
      <c r="AG142" s="396"/>
      <c r="AI142" s="397"/>
      <c r="AR142" s="129" t="s">
        <v>705</v>
      </c>
      <c r="AT142" s="129" t="s">
        <v>277</v>
      </c>
      <c r="AU142" s="129" t="s">
        <v>63</v>
      </c>
      <c r="AY142" s="13" t="s">
        <v>228</v>
      </c>
      <c r="BE142" s="130">
        <f t="shared" si="5"/>
        <v>0</v>
      </c>
      <c r="BF142" s="130">
        <f t="shared" si="6"/>
        <v>5.21</v>
      </c>
      <c r="BG142" s="130">
        <f t="shared" si="7"/>
        <v>0</v>
      </c>
      <c r="BH142" s="130">
        <f t="shared" si="8"/>
        <v>0</v>
      </c>
      <c r="BI142" s="130">
        <f t="shared" si="9"/>
        <v>0</v>
      </c>
      <c r="BJ142" s="13" t="s">
        <v>76</v>
      </c>
      <c r="BK142" s="130">
        <f t="shared" si="10"/>
        <v>5.21</v>
      </c>
      <c r="BL142" s="13" t="s">
        <v>347</v>
      </c>
      <c r="BM142" s="129" t="s">
        <v>293</v>
      </c>
    </row>
    <row r="143" spans="2:65" s="1" customFormat="1" ht="24" customHeight="1" x14ac:dyDescent="0.2">
      <c r="B143" s="118"/>
      <c r="C143" s="119" t="s">
        <v>262</v>
      </c>
      <c r="D143" s="119" t="s">
        <v>231</v>
      </c>
      <c r="E143" s="120" t="s">
        <v>3831</v>
      </c>
      <c r="F143" s="121" t="s">
        <v>3832</v>
      </c>
      <c r="G143" s="122" t="s">
        <v>1194</v>
      </c>
      <c r="H143" s="123">
        <v>5</v>
      </c>
      <c r="I143" s="124">
        <v>9.2200000000000006</v>
      </c>
      <c r="J143" s="124">
        <f t="shared" si="0"/>
        <v>46.1</v>
      </c>
      <c r="K143" s="121" t="s">
        <v>1</v>
      </c>
      <c r="L143" s="24"/>
      <c r="M143" s="125" t="s">
        <v>1</v>
      </c>
      <c r="N143" s="126" t="s">
        <v>32</v>
      </c>
      <c r="O143" s="127">
        <v>0</v>
      </c>
      <c r="P143" s="127">
        <f t="shared" si="1"/>
        <v>0</v>
      </c>
      <c r="Q143" s="127">
        <v>0</v>
      </c>
      <c r="R143" s="127">
        <f t="shared" si="2"/>
        <v>0</v>
      </c>
      <c r="S143" s="127">
        <v>0</v>
      </c>
      <c r="T143" s="128">
        <f t="shared" si="3"/>
        <v>0</v>
      </c>
      <c r="W143" s="199"/>
      <c r="X143" s="119" t="s">
        <v>262</v>
      </c>
      <c r="Y143" s="119" t="s">
        <v>231</v>
      </c>
      <c r="Z143" s="120" t="s">
        <v>3831</v>
      </c>
      <c r="AA143" s="121" t="s">
        <v>3832</v>
      </c>
      <c r="AB143" s="122" t="s">
        <v>1194</v>
      </c>
      <c r="AC143" s="123">
        <v>5</v>
      </c>
      <c r="AD143" s="124">
        <v>9.2200000000000006</v>
      </c>
      <c r="AE143" s="200">
        <f t="shared" si="4"/>
        <v>46.1</v>
      </c>
      <c r="AF143" s="227"/>
      <c r="AG143" s="396"/>
      <c r="AI143" s="397"/>
      <c r="AR143" s="129" t="s">
        <v>347</v>
      </c>
      <c r="AT143" s="129" t="s">
        <v>231</v>
      </c>
      <c r="AU143" s="129" t="s">
        <v>63</v>
      </c>
      <c r="AY143" s="13" t="s">
        <v>228</v>
      </c>
      <c r="BE143" s="130">
        <f t="shared" si="5"/>
        <v>0</v>
      </c>
      <c r="BF143" s="130">
        <f t="shared" si="6"/>
        <v>46.1</v>
      </c>
      <c r="BG143" s="130">
        <f t="shared" si="7"/>
        <v>0</v>
      </c>
      <c r="BH143" s="130">
        <f t="shared" si="8"/>
        <v>0</v>
      </c>
      <c r="BI143" s="130">
        <f t="shared" si="9"/>
        <v>0</v>
      </c>
      <c r="BJ143" s="13" t="s">
        <v>76</v>
      </c>
      <c r="BK143" s="130">
        <f t="shared" si="10"/>
        <v>46.1</v>
      </c>
      <c r="BL143" s="13" t="s">
        <v>347</v>
      </c>
      <c r="BM143" s="129" t="s">
        <v>296</v>
      </c>
    </row>
    <row r="144" spans="2:65" s="1" customFormat="1" ht="24" customHeight="1" x14ac:dyDescent="0.2">
      <c r="B144" s="118"/>
      <c r="C144" s="131" t="s">
        <v>297</v>
      </c>
      <c r="D144" s="131" t="s">
        <v>277</v>
      </c>
      <c r="E144" s="132" t="s">
        <v>3833</v>
      </c>
      <c r="F144" s="133" t="s">
        <v>3834</v>
      </c>
      <c r="G144" s="134" t="s">
        <v>1194</v>
      </c>
      <c r="H144" s="135">
        <v>5</v>
      </c>
      <c r="I144" s="136">
        <v>36.049999999999997</v>
      </c>
      <c r="J144" s="136">
        <f t="shared" si="0"/>
        <v>180.25</v>
      </c>
      <c r="K144" s="133" t="s">
        <v>1</v>
      </c>
      <c r="L144" s="137"/>
      <c r="M144" s="138" t="s">
        <v>1</v>
      </c>
      <c r="N144" s="139" t="s">
        <v>32</v>
      </c>
      <c r="O144" s="127">
        <v>0</v>
      </c>
      <c r="P144" s="127">
        <f t="shared" si="1"/>
        <v>0</v>
      </c>
      <c r="Q144" s="127">
        <v>0</v>
      </c>
      <c r="R144" s="127">
        <f t="shared" si="2"/>
        <v>0</v>
      </c>
      <c r="S144" s="127">
        <v>0</v>
      </c>
      <c r="T144" s="128">
        <f t="shared" si="3"/>
        <v>0</v>
      </c>
      <c r="W144" s="199"/>
      <c r="X144" s="131" t="s">
        <v>297</v>
      </c>
      <c r="Y144" s="131" t="s">
        <v>277</v>
      </c>
      <c r="Z144" s="132" t="s">
        <v>3833</v>
      </c>
      <c r="AA144" s="133" t="s">
        <v>3834</v>
      </c>
      <c r="AB144" s="134" t="s">
        <v>1194</v>
      </c>
      <c r="AC144" s="135">
        <v>5</v>
      </c>
      <c r="AD144" s="136">
        <v>36.049999999999997</v>
      </c>
      <c r="AE144" s="229">
        <f t="shared" si="4"/>
        <v>180.25</v>
      </c>
      <c r="AF144" s="227"/>
      <c r="AG144" s="396"/>
      <c r="AI144" s="397"/>
      <c r="AR144" s="129" t="s">
        <v>705</v>
      </c>
      <c r="AT144" s="129" t="s">
        <v>277</v>
      </c>
      <c r="AU144" s="129" t="s">
        <v>63</v>
      </c>
      <c r="AY144" s="13" t="s">
        <v>228</v>
      </c>
      <c r="BE144" s="130">
        <f t="shared" si="5"/>
        <v>0</v>
      </c>
      <c r="BF144" s="130">
        <f t="shared" si="6"/>
        <v>180.25</v>
      </c>
      <c r="BG144" s="130">
        <f t="shared" si="7"/>
        <v>0</v>
      </c>
      <c r="BH144" s="130">
        <f t="shared" si="8"/>
        <v>0</v>
      </c>
      <c r="BI144" s="130">
        <f t="shared" si="9"/>
        <v>0</v>
      </c>
      <c r="BJ144" s="13" t="s">
        <v>76</v>
      </c>
      <c r="BK144" s="130">
        <f t="shared" si="10"/>
        <v>180.25</v>
      </c>
      <c r="BL144" s="13" t="s">
        <v>347</v>
      </c>
      <c r="BM144" s="129" t="s">
        <v>300</v>
      </c>
    </row>
    <row r="145" spans="2:65" s="1" customFormat="1" ht="24" customHeight="1" x14ac:dyDescent="0.2">
      <c r="B145" s="118"/>
      <c r="C145" s="119" t="s">
        <v>7</v>
      </c>
      <c r="D145" s="119" t="s">
        <v>231</v>
      </c>
      <c r="E145" s="120" t="s">
        <v>1600</v>
      </c>
      <c r="F145" s="121" t="s">
        <v>3835</v>
      </c>
      <c r="G145" s="122" t="s">
        <v>1194</v>
      </c>
      <c r="H145" s="123">
        <v>4</v>
      </c>
      <c r="I145" s="124">
        <v>11.48</v>
      </c>
      <c r="J145" s="124">
        <f t="shared" si="0"/>
        <v>45.92</v>
      </c>
      <c r="K145" s="121" t="s">
        <v>1</v>
      </c>
      <c r="L145" s="24"/>
      <c r="M145" s="125" t="s">
        <v>1</v>
      </c>
      <c r="N145" s="126" t="s">
        <v>32</v>
      </c>
      <c r="O145" s="127">
        <v>0</v>
      </c>
      <c r="P145" s="127">
        <f t="shared" si="1"/>
        <v>0</v>
      </c>
      <c r="Q145" s="127">
        <v>0</v>
      </c>
      <c r="R145" s="127">
        <f t="shared" si="2"/>
        <v>0</v>
      </c>
      <c r="S145" s="127">
        <v>0</v>
      </c>
      <c r="T145" s="128">
        <f t="shared" si="3"/>
        <v>0</v>
      </c>
      <c r="W145" s="199"/>
      <c r="X145" s="119" t="s">
        <v>7</v>
      </c>
      <c r="Y145" s="119" t="s">
        <v>231</v>
      </c>
      <c r="Z145" s="120" t="s">
        <v>1600</v>
      </c>
      <c r="AA145" s="121" t="s">
        <v>3835</v>
      </c>
      <c r="AB145" s="122" t="s">
        <v>1194</v>
      </c>
      <c r="AC145" s="123">
        <v>4</v>
      </c>
      <c r="AD145" s="124">
        <v>11.48</v>
      </c>
      <c r="AE145" s="200">
        <f t="shared" si="4"/>
        <v>45.92</v>
      </c>
      <c r="AF145" s="227"/>
      <c r="AG145" s="396"/>
      <c r="AI145" s="397"/>
      <c r="AR145" s="129" t="s">
        <v>347</v>
      </c>
      <c r="AT145" s="129" t="s">
        <v>231</v>
      </c>
      <c r="AU145" s="129" t="s">
        <v>63</v>
      </c>
      <c r="AY145" s="13" t="s">
        <v>228</v>
      </c>
      <c r="BE145" s="130">
        <f t="shared" si="5"/>
        <v>0</v>
      </c>
      <c r="BF145" s="130">
        <f t="shared" si="6"/>
        <v>45.92</v>
      </c>
      <c r="BG145" s="130">
        <f t="shared" si="7"/>
        <v>0</v>
      </c>
      <c r="BH145" s="130">
        <f t="shared" si="8"/>
        <v>0</v>
      </c>
      <c r="BI145" s="130">
        <f t="shared" si="9"/>
        <v>0</v>
      </c>
      <c r="BJ145" s="13" t="s">
        <v>76</v>
      </c>
      <c r="BK145" s="130">
        <f t="shared" si="10"/>
        <v>45.92</v>
      </c>
      <c r="BL145" s="13" t="s">
        <v>347</v>
      </c>
      <c r="BM145" s="129" t="s">
        <v>303</v>
      </c>
    </row>
    <row r="146" spans="2:65" s="1" customFormat="1" ht="24" customHeight="1" x14ac:dyDescent="0.2">
      <c r="B146" s="118"/>
      <c r="C146" s="131" t="s">
        <v>305</v>
      </c>
      <c r="D146" s="131" t="s">
        <v>277</v>
      </c>
      <c r="E146" s="132" t="s">
        <v>3836</v>
      </c>
      <c r="F146" s="133" t="s">
        <v>3835</v>
      </c>
      <c r="G146" s="134" t="s">
        <v>1194</v>
      </c>
      <c r="H146" s="135">
        <v>4</v>
      </c>
      <c r="I146" s="136">
        <v>38.19</v>
      </c>
      <c r="J146" s="136">
        <f t="shared" si="0"/>
        <v>152.76</v>
      </c>
      <c r="K146" s="133" t="s">
        <v>1</v>
      </c>
      <c r="L146" s="137"/>
      <c r="M146" s="138" t="s">
        <v>1</v>
      </c>
      <c r="N146" s="139" t="s">
        <v>32</v>
      </c>
      <c r="O146" s="127">
        <v>0</v>
      </c>
      <c r="P146" s="127">
        <f t="shared" si="1"/>
        <v>0</v>
      </c>
      <c r="Q146" s="127">
        <v>0</v>
      </c>
      <c r="R146" s="127">
        <f t="shared" si="2"/>
        <v>0</v>
      </c>
      <c r="S146" s="127">
        <v>0</v>
      </c>
      <c r="T146" s="128">
        <f t="shared" si="3"/>
        <v>0</v>
      </c>
      <c r="W146" s="199"/>
      <c r="X146" s="131" t="s">
        <v>305</v>
      </c>
      <c r="Y146" s="131" t="s">
        <v>277</v>
      </c>
      <c r="Z146" s="132" t="s">
        <v>3836</v>
      </c>
      <c r="AA146" s="133" t="s">
        <v>3835</v>
      </c>
      <c r="AB146" s="134" t="s">
        <v>1194</v>
      </c>
      <c r="AC146" s="135">
        <v>4</v>
      </c>
      <c r="AD146" s="136">
        <v>38.19</v>
      </c>
      <c r="AE146" s="229">
        <f t="shared" si="4"/>
        <v>152.76</v>
      </c>
      <c r="AF146" s="227"/>
      <c r="AG146" s="396"/>
      <c r="AI146" s="397"/>
      <c r="AR146" s="129" t="s">
        <v>705</v>
      </c>
      <c r="AT146" s="129" t="s">
        <v>277</v>
      </c>
      <c r="AU146" s="129" t="s">
        <v>63</v>
      </c>
      <c r="AY146" s="13" t="s">
        <v>228</v>
      </c>
      <c r="BE146" s="130">
        <f t="shared" si="5"/>
        <v>0</v>
      </c>
      <c r="BF146" s="130">
        <f t="shared" si="6"/>
        <v>152.76</v>
      </c>
      <c r="BG146" s="130">
        <f t="shared" si="7"/>
        <v>0</v>
      </c>
      <c r="BH146" s="130">
        <f t="shared" si="8"/>
        <v>0</v>
      </c>
      <c r="BI146" s="130">
        <f t="shared" si="9"/>
        <v>0</v>
      </c>
      <c r="BJ146" s="13" t="s">
        <v>76</v>
      </c>
      <c r="BK146" s="130">
        <f t="shared" si="10"/>
        <v>152.76</v>
      </c>
      <c r="BL146" s="13" t="s">
        <v>347</v>
      </c>
      <c r="BM146" s="129" t="s">
        <v>308</v>
      </c>
    </row>
    <row r="147" spans="2:65" s="372" customFormat="1" ht="24" customHeight="1" x14ac:dyDescent="0.2">
      <c r="B147" s="118"/>
      <c r="C147" s="1234" t="s">
        <v>5205</v>
      </c>
      <c r="D147" s="1235"/>
      <c r="E147" s="1235"/>
      <c r="F147" s="1235"/>
      <c r="G147" s="1235"/>
      <c r="H147" s="1235"/>
      <c r="I147" s="1235"/>
      <c r="J147" s="1236"/>
      <c r="K147" s="133"/>
      <c r="L147" s="137"/>
      <c r="M147" s="138"/>
      <c r="N147" s="139"/>
      <c r="O147" s="127"/>
      <c r="P147" s="127"/>
      <c r="Q147" s="127"/>
      <c r="R147" s="127"/>
      <c r="S147" s="127"/>
      <c r="T147" s="128"/>
      <c r="W147" s="199"/>
      <c r="X147" s="207" t="s">
        <v>5351</v>
      </c>
      <c r="Y147" s="207" t="s">
        <v>231</v>
      </c>
      <c r="Z147" s="208" t="s">
        <v>5914</v>
      </c>
      <c r="AA147" s="209" t="s">
        <v>5915</v>
      </c>
      <c r="AB147" s="210" t="s">
        <v>292</v>
      </c>
      <c r="AC147" s="211">
        <v>120</v>
      </c>
      <c r="AD147" s="212">
        <v>1.68</v>
      </c>
      <c r="AE147" s="214">
        <f>ROUND(AD147*AC147,2)</f>
        <v>201.6</v>
      </c>
      <c r="AF147" s="227">
        <v>2</v>
      </c>
      <c r="AG147" s="396"/>
      <c r="AI147" s="397"/>
      <c r="AR147" s="129"/>
      <c r="AT147" s="129"/>
      <c r="AU147" s="129"/>
      <c r="AY147" s="13"/>
      <c r="BE147" s="130"/>
      <c r="BF147" s="130"/>
      <c r="BG147" s="130"/>
      <c r="BH147" s="130"/>
      <c r="BI147" s="130"/>
      <c r="BJ147" s="13"/>
      <c r="BK147" s="130"/>
      <c r="BL147" s="13"/>
      <c r="BM147" s="129"/>
    </row>
    <row r="148" spans="2:65" s="372" customFormat="1" ht="24" customHeight="1" x14ac:dyDescent="0.2">
      <c r="B148" s="118"/>
      <c r="C148" s="1234" t="s">
        <v>5205</v>
      </c>
      <c r="D148" s="1235"/>
      <c r="E148" s="1235"/>
      <c r="F148" s="1235"/>
      <c r="G148" s="1235"/>
      <c r="H148" s="1235"/>
      <c r="I148" s="1235"/>
      <c r="J148" s="1236"/>
      <c r="K148" s="133"/>
      <c r="L148" s="137"/>
      <c r="M148" s="138"/>
      <c r="N148" s="139"/>
      <c r="O148" s="127"/>
      <c r="P148" s="127"/>
      <c r="Q148" s="127"/>
      <c r="R148" s="127"/>
      <c r="S148" s="127"/>
      <c r="T148" s="128"/>
      <c r="W148" s="199"/>
      <c r="X148" s="386" t="s">
        <v>5936</v>
      </c>
      <c r="Y148" s="386" t="s">
        <v>277</v>
      </c>
      <c r="Z148" s="387" t="s">
        <v>5916</v>
      </c>
      <c r="AA148" s="388" t="s">
        <v>5917</v>
      </c>
      <c r="AB148" s="389" t="s">
        <v>1035</v>
      </c>
      <c r="AC148" s="390">
        <v>113</v>
      </c>
      <c r="AD148" s="391">
        <v>1.47</v>
      </c>
      <c r="AE148" s="401">
        <f>ROUND(AD148*AC148,2)</f>
        <v>166.11</v>
      </c>
      <c r="AF148" s="227">
        <v>2</v>
      </c>
      <c r="AG148" s="396"/>
      <c r="AI148" s="397"/>
      <c r="AR148" s="129"/>
      <c r="AT148" s="129"/>
      <c r="AU148" s="129"/>
      <c r="AY148" s="13"/>
      <c r="BE148" s="130"/>
      <c r="BF148" s="130"/>
      <c r="BG148" s="130"/>
      <c r="BH148" s="130"/>
      <c r="BI148" s="130"/>
      <c r="BJ148" s="13"/>
      <c r="BK148" s="130"/>
      <c r="BL148" s="13"/>
      <c r="BM148" s="129"/>
    </row>
    <row r="149" spans="2:65" s="1" customFormat="1" ht="24" customHeight="1" x14ac:dyDescent="0.2">
      <c r="B149" s="118"/>
      <c r="C149" s="285" t="s">
        <v>268</v>
      </c>
      <c r="D149" s="285" t="s">
        <v>231</v>
      </c>
      <c r="E149" s="120" t="s">
        <v>3837</v>
      </c>
      <c r="F149" s="121" t="s">
        <v>3838</v>
      </c>
      <c r="G149" s="122" t="s">
        <v>1194</v>
      </c>
      <c r="H149" s="288">
        <v>100</v>
      </c>
      <c r="I149" s="124">
        <v>1.68</v>
      </c>
      <c r="J149" s="124">
        <f t="shared" si="0"/>
        <v>168</v>
      </c>
      <c r="K149" s="121" t="s">
        <v>1</v>
      </c>
      <c r="L149" s="24"/>
      <c r="M149" s="125" t="s">
        <v>1</v>
      </c>
      <c r="N149" s="126" t="s">
        <v>32</v>
      </c>
      <c r="O149" s="127">
        <v>0</v>
      </c>
      <c r="P149" s="127">
        <f t="shared" si="1"/>
        <v>0</v>
      </c>
      <c r="Q149" s="127">
        <v>0</v>
      </c>
      <c r="R149" s="127">
        <f t="shared" si="2"/>
        <v>0</v>
      </c>
      <c r="S149" s="127">
        <v>0</v>
      </c>
      <c r="T149" s="128">
        <f t="shared" si="3"/>
        <v>0</v>
      </c>
      <c r="W149" s="199"/>
      <c r="X149" s="285" t="s">
        <v>268</v>
      </c>
      <c r="Y149" s="119" t="s">
        <v>231</v>
      </c>
      <c r="Z149" s="120" t="s">
        <v>3837</v>
      </c>
      <c r="AA149" s="121" t="s">
        <v>3838</v>
      </c>
      <c r="AB149" s="122" t="s">
        <v>1194</v>
      </c>
      <c r="AC149" s="288">
        <v>100</v>
      </c>
      <c r="AD149" s="124">
        <v>1.68</v>
      </c>
      <c r="AE149" s="200">
        <f t="shared" si="4"/>
        <v>168</v>
      </c>
      <c r="AF149" s="227"/>
      <c r="AG149" s="396"/>
      <c r="AI149" s="397"/>
      <c r="AR149" s="129" t="s">
        <v>347</v>
      </c>
      <c r="AT149" s="129" t="s">
        <v>231</v>
      </c>
      <c r="AU149" s="129" t="s">
        <v>63</v>
      </c>
      <c r="AY149" s="13" t="s">
        <v>228</v>
      </c>
      <c r="BE149" s="130">
        <f t="shared" si="5"/>
        <v>0</v>
      </c>
      <c r="BF149" s="130">
        <f t="shared" si="6"/>
        <v>168</v>
      </c>
      <c r="BG149" s="130">
        <f t="shared" si="7"/>
        <v>0</v>
      </c>
      <c r="BH149" s="130">
        <f t="shared" si="8"/>
        <v>0</v>
      </c>
      <c r="BI149" s="130">
        <f t="shared" si="9"/>
        <v>0</v>
      </c>
      <c r="BJ149" s="13" t="s">
        <v>76</v>
      </c>
      <c r="BK149" s="130">
        <f t="shared" si="10"/>
        <v>168</v>
      </c>
      <c r="BL149" s="13" t="s">
        <v>347</v>
      </c>
      <c r="BM149" s="129" t="s">
        <v>312</v>
      </c>
    </row>
    <row r="150" spans="2:65" s="1" customFormat="1" ht="24" customHeight="1" x14ac:dyDescent="0.2">
      <c r="B150" s="118"/>
      <c r="C150" s="444" t="s">
        <v>313</v>
      </c>
      <c r="D150" s="444" t="s">
        <v>277</v>
      </c>
      <c r="E150" s="132" t="s">
        <v>3839</v>
      </c>
      <c r="F150" s="133" t="s">
        <v>3840</v>
      </c>
      <c r="G150" s="134" t="s">
        <v>1035</v>
      </c>
      <c r="H150" s="443">
        <v>62</v>
      </c>
      <c r="I150" s="136">
        <v>1.47</v>
      </c>
      <c r="J150" s="136">
        <f t="shared" si="0"/>
        <v>91.14</v>
      </c>
      <c r="K150" s="133" t="s">
        <v>1</v>
      </c>
      <c r="L150" s="137"/>
      <c r="M150" s="138" t="s">
        <v>1</v>
      </c>
      <c r="N150" s="139" t="s">
        <v>32</v>
      </c>
      <c r="O150" s="127">
        <v>0</v>
      </c>
      <c r="P150" s="127">
        <f t="shared" si="1"/>
        <v>0</v>
      </c>
      <c r="Q150" s="127">
        <v>0</v>
      </c>
      <c r="R150" s="127">
        <f t="shared" si="2"/>
        <v>0</v>
      </c>
      <c r="S150" s="127">
        <v>0</v>
      </c>
      <c r="T150" s="128">
        <f t="shared" si="3"/>
        <v>0</v>
      </c>
      <c r="W150" s="199"/>
      <c r="X150" s="444" t="s">
        <v>313</v>
      </c>
      <c r="Y150" s="131" t="s">
        <v>277</v>
      </c>
      <c r="Z150" s="132" t="s">
        <v>3839</v>
      </c>
      <c r="AA150" s="133" t="s">
        <v>3840</v>
      </c>
      <c r="AB150" s="134" t="s">
        <v>1035</v>
      </c>
      <c r="AC150" s="443">
        <v>62</v>
      </c>
      <c r="AD150" s="136">
        <v>1.47</v>
      </c>
      <c r="AE150" s="229">
        <f t="shared" si="4"/>
        <v>91.14</v>
      </c>
      <c r="AF150" s="227"/>
      <c r="AG150" s="396"/>
      <c r="AI150" s="397"/>
      <c r="AR150" s="129" t="s">
        <v>705</v>
      </c>
      <c r="AT150" s="129" t="s">
        <v>277</v>
      </c>
      <c r="AU150" s="129" t="s">
        <v>63</v>
      </c>
      <c r="AY150" s="13" t="s">
        <v>228</v>
      </c>
      <c r="BE150" s="130">
        <f t="shared" si="5"/>
        <v>0</v>
      </c>
      <c r="BF150" s="130">
        <f t="shared" si="6"/>
        <v>91.14</v>
      </c>
      <c r="BG150" s="130">
        <f t="shared" si="7"/>
        <v>0</v>
      </c>
      <c r="BH150" s="130">
        <f t="shared" si="8"/>
        <v>0</v>
      </c>
      <c r="BI150" s="130">
        <f t="shared" si="9"/>
        <v>0</v>
      </c>
      <c r="BJ150" s="13" t="s">
        <v>76</v>
      </c>
      <c r="BK150" s="130">
        <f t="shared" si="10"/>
        <v>91.14</v>
      </c>
      <c r="BL150" s="13" t="s">
        <v>347</v>
      </c>
      <c r="BM150" s="129" t="s">
        <v>316</v>
      </c>
    </row>
    <row r="151" spans="2:65" s="1" customFormat="1" ht="16.5" customHeight="1" x14ac:dyDescent="0.2">
      <c r="B151" s="118"/>
      <c r="C151" s="285" t="s">
        <v>272</v>
      </c>
      <c r="D151" s="285" t="s">
        <v>231</v>
      </c>
      <c r="E151" s="120" t="s">
        <v>3841</v>
      </c>
      <c r="F151" s="121" t="s">
        <v>3842</v>
      </c>
      <c r="G151" s="122" t="s">
        <v>1194</v>
      </c>
      <c r="H151" s="123">
        <v>80</v>
      </c>
      <c r="I151" s="124">
        <v>2.0099999999999998</v>
      </c>
      <c r="J151" s="124">
        <f t="shared" si="0"/>
        <v>160.80000000000001</v>
      </c>
      <c r="K151" s="121" t="s">
        <v>1</v>
      </c>
      <c r="L151" s="24"/>
      <c r="M151" s="125" t="s">
        <v>1</v>
      </c>
      <c r="N151" s="126" t="s">
        <v>32</v>
      </c>
      <c r="O151" s="127">
        <v>0</v>
      </c>
      <c r="P151" s="127">
        <f t="shared" si="1"/>
        <v>0</v>
      </c>
      <c r="Q151" s="127">
        <v>0</v>
      </c>
      <c r="R151" s="127">
        <f t="shared" si="2"/>
        <v>0</v>
      </c>
      <c r="S151" s="127">
        <v>0</v>
      </c>
      <c r="T151" s="128">
        <f t="shared" si="3"/>
        <v>0</v>
      </c>
      <c r="W151" s="199"/>
      <c r="X151" s="119" t="s">
        <v>272</v>
      </c>
      <c r="Y151" s="119" t="s">
        <v>231</v>
      </c>
      <c r="Z151" s="120" t="s">
        <v>3841</v>
      </c>
      <c r="AA151" s="121" t="s">
        <v>3842</v>
      </c>
      <c r="AB151" s="122" t="s">
        <v>1194</v>
      </c>
      <c r="AC151" s="123">
        <v>80</v>
      </c>
      <c r="AD151" s="124">
        <v>2.0099999999999998</v>
      </c>
      <c r="AE151" s="200">
        <f t="shared" si="4"/>
        <v>160.80000000000001</v>
      </c>
      <c r="AF151" s="227"/>
      <c r="AG151" s="396"/>
      <c r="AI151" s="397"/>
      <c r="AR151" s="129" t="s">
        <v>347</v>
      </c>
      <c r="AT151" s="129" t="s">
        <v>231</v>
      </c>
      <c r="AU151" s="129" t="s">
        <v>63</v>
      </c>
      <c r="AY151" s="13" t="s">
        <v>228</v>
      </c>
      <c r="BE151" s="130">
        <f t="shared" si="5"/>
        <v>0</v>
      </c>
      <c r="BF151" s="130">
        <f t="shared" si="6"/>
        <v>160.80000000000001</v>
      </c>
      <c r="BG151" s="130">
        <f t="shared" si="7"/>
        <v>0</v>
      </c>
      <c r="BH151" s="130">
        <f t="shared" si="8"/>
        <v>0</v>
      </c>
      <c r="BI151" s="130">
        <f t="shared" si="9"/>
        <v>0</v>
      </c>
      <c r="BJ151" s="13" t="s">
        <v>76</v>
      </c>
      <c r="BK151" s="130">
        <f t="shared" si="10"/>
        <v>160.80000000000001</v>
      </c>
      <c r="BL151" s="13" t="s">
        <v>347</v>
      </c>
      <c r="BM151" s="129" t="s">
        <v>319</v>
      </c>
    </row>
    <row r="152" spans="2:65" s="1" customFormat="1" ht="24" customHeight="1" x14ac:dyDescent="0.2">
      <c r="B152" s="118"/>
      <c r="C152" s="131" t="s">
        <v>320</v>
      </c>
      <c r="D152" s="131" t="s">
        <v>277</v>
      </c>
      <c r="E152" s="132" t="s">
        <v>3843</v>
      </c>
      <c r="F152" s="133" t="s">
        <v>3844</v>
      </c>
      <c r="G152" s="134" t="s">
        <v>1194</v>
      </c>
      <c r="H152" s="135">
        <v>80</v>
      </c>
      <c r="I152" s="136">
        <v>0.53</v>
      </c>
      <c r="J152" s="136">
        <f t="shared" si="0"/>
        <v>42.4</v>
      </c>
      <c r="K152" s="133" t="s">
        <v>1</v>
      </c>
      <c r="L152" s="137"/>
      <c r="M152" s="138" t="s">
        <v>1</v>
      </c>
      <c r="N152" s="139" t="s">
        <v>32</v>
      </c>
      <c r="O152" s="127">
        <v>0</v>
      </c>
      <c r="P152" s="127">
        <f t="shared" si="1"/>
        <v>0</v>
      </c>
      <c r="Q152" s="127">
        <v>0</v>
      </c>
      <c r="R152" s="127">
        <f t="shared" si="2"/>
        <v>0</v>
      </c>
      <c r="S152" s="127">
        <v>0</v>
      </c>
      <c r="T152" s="128">
        <f t="shared" si="3"/>
        <v>0</v>
      </c>
      <c r="W152" s="199"/>
      <c r="X152" s="131" t="s">
        <v>320</v>
      </c>
      <c r="Y152" s="131" t="s">
        <v>277</v>
      </c>
      <c r="Z152" s="132" t="s">
        <v>3843</v>
      </c>
      <c r="AA152" s="133" t="s">
        <v>3844</v>
      </c>
      <c r="AB152" s="134" t="s">
        <v>1194</v>
      </c>
      <c r="AC152" s="135">
        <v>80</v>
      </c>
      <c r="AD152" s="136">
        <v>0.53</v>
      </c>
      <c r="AE152" s="229">
        <f t="shared" si="4"/>
        <v>42.4</v>
      </c>
      <c r="AF152" s="227"/>
      <c r="AG152" s="396"/>
      <c r="AI152" s="397"/>
      <c r="AR152" s="129" t="s">
        <v>705</v>
      </c>
      <c r="AT152" s="129" t="s">
        <v>277</v>
      </c>
      <c r="AU152" s="129" t="s">
        <v>63</v>
      </c>
      <c r="AY152" s="13" t="s">
        <v>228</v>
      </c>
      <c r="BE152" s="130">
        <f t="shared" si="5"/>
        <v>0</v>
      </c>
      <c r="BF152" s="130">
        <f t="shared" si="6"/>
        <v>42.4</v>
      </c>
      <c r="BG152" s="130">
        <f t="shared" si="7"/>
        <v>0</v>
      </c>
      <c r="BH152" s="130">
        <f t="shared" si="8"/>
        <v>0</v>
      </c>
      <c r="BI152" s="130">
        <f t="shared" si="9"/>
        <v>0</v>
      </c>
      <c r="BJ152" s="13" t="s">
        <v>76</v>
      </c>
      <c r="BK152" s="130">
        <f t="shared" si="10"/>
        <v>42.4</v>
      </c>
      <c r="BL152" s="13" t="s">
        <v>347</v>
      </c>
      <c r="BM152" s="129" t="s">
        <v>323</v>
      </c>
    </row>
    <row r="153" spans="2:65" s="1" customFormat="1" ht="16.5" customHeight="1" x14ac:dyDescent="0.2">
      <c r="B153" s="118"/>
      <c r="C153" s="119" t="s">
        <v>276</v>
      </c>
      <c r="D153" s="119" t="s">
        <v>231</v>
      </c>
      <c r="E153" s="120" t="s">
        <v>3841</v>
      </c>
      <c r="F153" s="121" t="s">
        <v>3842</v>
      </c>
      <c r="G153" s="122" t="s">
        <v>1194</v>
      </c>
      <c r="H153" s="123">
        <v>40</v>
      </c>
      <c r="I153" s="124">
        <v>2.0099999999999998</v>
      </c>
      <c r="J153" s="124">
        <f t="shared" si="0"/>
        <v>80.400000000000006</v>
      </c>
      <c r="K153" s="121" t="s">
        <v>1</v>
      </c>
      <c r="L153" s="24"/>
      <c r="M153" s="125" t="s">
        <v>1</v>
      </c>
      <c r="N153" s="126" t="s">
        <v>32</v>
      </c>
      <c r="O153" s="127">
        <v>0</v>
      </c>
      <c r="P153" s="127">
        <f t="shared" si="1"/>
        <v>0</v>
      </c>
      <c r="Q153" s="127">
        <v>0</v>
      </c>
      <c r="R153" s="127">
        <f t="shared" si="2"/>
        <v>0</v>
      </c>
      <c r="S153" s="127">
        <v>0</v>
      </c>
      <c r="T153" s="128">
        <f t="shared" si="3"/>
        <v>0</v>
      </c>
      <c r="W153" s="199"/>
      <c r="X153" s="119" t="s">
        <v>276</v>
      </c>
      <c r="Y153" s="119" t="s">
        <v>231</v>
      </c>
      <c r="Z153" s="120" t="s">
        <v>3841</v>
      </c>
      <c r="AA153" s="121" t="s">
        <v>3842</v>
      </c>
      <c r="AB153" s="122" t="s">
        <v>1194</v>
      </c>
      <c r="AC153" s="123">
        <v>40</v>
      </c>
      <c r="AD153" s="124">
        <v>2.0099999999999998</v>
      </c>
      <c r="AE153" s="200">
        <f t="shared" si="4"/>
        <v>80.400000000000006</v>
      </c>
      <c r="AF153" s="227"/>
      <c r="AG153" s="396"/>
      <c r="AI153" s="397"/>
      <c r="AR153" s="129" t="s">
        <v>347</v>
      </c>
      <c r="AT153" s="129" t="s">
        <v>231</v>
      </c>
      <c r="AU153" s="129" t="s">
        <v>63</v>
      </c>
      <c r="AY153" s="13" t="s">
        <v>228</v>
      </c>
      <c r="BE153" s="130">
        <f t="shared" si="5"/>
        <v>0</v>
      </c>
      <c r="BF153" s="130">
        <f t="shared" si="6"/>
        <v>80.400000000000006</v>
      </c>
      <c r="BG153" s="130">
        <f t="shared" si="7"/>
        <v>0</v>
      </c>
      <c r="BH153" s="130">
        <f t="shared" si="8"/>
        <v>0</v>
      </c>
      <c r="BI153" s="130">
        <f t="shared" si="9"/>
        <v>0</v>
      </c>
      <c r="BJ153" s="13" t="s">
        <v>76</v>
      </c>
      <c r="BK153" s="130">
        <f t="shared" si="10"/>
        <v>80.400000000000006</v>
      </c>
      <c r="BL153" s="13" t="s">
        <v>347</v>
      </c>
      <c r="BM153" s="129" t="s">
        <v>326</v>
      </c>
    </row>
    <row r="154" spans="2:65" s="1" customFormat="1" ht="24" customHeight="1" x14ac:dyDescent="0.2">
      <c r="B154" s="118"/>
      <c r="C154" s="131" t="s">
        <v>327</v>
      </c>
      <c r="D154" s="131" t="s">
        <v>277</v>
      </c>
      <c r="E154" s="132" t="s">
        <v>3843</v>
      </c>
      <c r="F154" s="133" t="s">
        <v>3844</v>
      </c>
      <c r="G154" s="134" t="s">
        <v>1194</v>
      </c>
      <c r="H154" s="135">
        <v>40</v>
      </c>
      <c r="I154" s="136">
        <v>0.53</v>
      </c>
      <c r="J154" s="136">
        <f t="shared" si="0"/>
        <v>21.2</v>
      </c>
      <c r="K154" s="133" t="s">
        <v>1</v>
      </c>
      <c r="L154" s="137"/>
      <c r="M154" s="138" t="s">
        <v>1</v>
      </c>
      <c r="N154" s="139" t="s">
        <v>32</v>
      </c>
      <c r="O154" s="127">
        <v>0</v>
      </c>
      <c r="P154" s="127">
        <f t="shared" si="1"/>
        <v>0</v>
      </c>
      <c r="Q154" s="127">
        <v>0</v>
      </c>
      <c r="R154" s="127">
        <f t="shared" si="2"/>
        <v>0</v>
      </c>
      <c r="S154" s="127">
        <v>0</v>
      </c>
      <c r="T154" s="128">
        <f t="shared" si="3"/>
        <v>0</v>
      </c>
      <c r="W154" s="199"/>
      <c r="X154" s="131" t="s">
        <v>327</v>
      </c>
      <c r="Y154" s="131" t="s">
        <v>277</v>
      </c>
      <c r="Z154" s="132" t="s">
        <v>3843</v>
      </c>
      <c r="AA154" s="133" t="s">
        <v>3844</v>
      </c>
      <c r="AB154" s="134" t="s">
        <v>1194</v>
      </c>
      <c r="AC154" s="135">
        <v>40</v>
      </c>
      <c r="AD154" s="136">
        <v>0.53</v>
      </c>
      <c r="AE154" s="229">
        <f t="shared" si="4"/>
        <v>21.2</v>
      </c>
      <c r="AF154" s="227"/>
      <c r="AG154" s="396"/>
      <c r="AI154" s="397"/>
      <c r="AR154" s="129" t="s">
        <v>705</v>
      </c>
      <c r="AT154" s="129" t="s">
        <v>277</v>
      </c>
      <c r="AU154" s="129" t="s">
        <v>63</v>
      </c>
      <c r="AY154" s="13" t="s">
        <v>228</v>
      </c>
      <c r="BE154" s="130">
        <f t="shared" si="5"/>
        <v>0</v>
      </c>
      <c r="BF154" s="130">
        <f t="shared" si="6"/>
        <v>21.2</v>
      </c>
      <c r="BG154" s="130">
        <f t="shared" si="7"/>
        <v>0</v>
      </c>
      <c r="BH154" s="130">
        <f t="shared" si="8"/>
        <v>0</v>
      </c>
      <c r="BI154" s="130">
        <f t="shared" si="9"/>
        <v>0</v>
      </c>
      <c r="BJ154" s="13" t="s">
        <v>76</v>
      </c>
      <c r="BK154" s="130">
        <f t="shared" si="10"/>
        <v>21.2</v>
      </c>
      <c r="BL154" s="13" t="s">
        <v>347</v>
      </c>
      <c r="BM154" s="129" t="s">
        <v>330</v>
      </c>
    </row>
    <row r="155" spans="2:65" s="1" customFormat="1" ht="16.5" customHeight="1" x14ac:dyDescent="0.2">
      <c r="B155" s="118"/>
      <c r="C155" s="119" t="s">
        <v>280</v>
      </c>
      <c r="D155" s="119" t="s">
        <v>231</v>
      </c>
      <c r="E155" s="120" t="s">
        <v>3845</v>
      </c>
      <c r="F155" s="121" t="s">
        <v>3846</v>
      </c>
      <c r="G155" s="122" t="s">
        <v>1194</v>
      </c>
      <c r="H155" s="123">
        <v>24</v>
      </c>
      <c r="I155" s="124">
        <v>2.0099999999999998</v>
      </c>
      <c r="J155" s="124">
        <f t="shared" si="0"/>
        <v>48.24</v>
      </c>
      <c r="K155" s="121" t="s">
        <v>1</v>
      </c>
      <c r="L155" s="24"/>
      <c r="M155" s="125" t="s">
        <v>1</v>
      </c>
      <c r="N155" s="126" t="s">
        <v>32</v>
      </c>
      <c r="O155" s="127">
        <v>0</v>
      </c>
      <c r="P155" s="127">
        <f t="shared" si="1"/>
        <v>0</v>
      </c>
      <c r="Q155" s="127">
        <v>0</v>
      </c>
      <c r="R155" s="127">
        <f t="shared" si="2"/>
        <v>0</v>
      </c>
      <c r="S155" s="127">
        <v>0</v>
      </c>
      <c r="T155" s="128">
        <f t="shared" si="3"/>
        <v>0</v>
      </c>
      <c r="W155" s="199"/>
      <c r="X155" s="119" t="s">
        <v>280</v>
      </c>
      <c r="Y155" s="119" t="s">
        <v>231</v>
      </c>
      <c r="Z155" s="120" t="s">
        <v>3845</v>
      </c>
      <c r="AA155" s="121" t="s">
        <v>3846</v>
      </c>
      <c r="AB155" s="122" t="s">
        <v>1194</v>
      </c>
      <c r="AC155" s="123">
        <v>24</v>
      </c>
      <c r="AD155" s="124">
        <v>2.0099999999999998</v>
      </c>
      <c r="AE155" s="200">
        <f t="shared" si="4"/>
        <v>48.24</v>
      </c>
      <c r="AF155" s="227"/>
      <c r="AG155" s="396"/>
      <c r="AI155" s="397"/>
      <c r="AR155" s="129" t="s">
        <v>347</v>
      </c>
      <c r="AT155" s="129" t="s">
        <v>231</v>
      </c>
      <c r="AU155" s="129" t="s">
        <v>63</v>
      </c>
      <c r="AY155" s="13" t="s">
        <v>228</v>
      </c>
      <c r="BE155" s="130">
        <f t="shared" si="5"/>
        <v>0</v>
      </c>
      <c r="BF155" s="130">
        <f t="shared" si="6"/>
        <v>48.24</v>
      </c>
      <c r="BG155" s="130">
        <f t="shared" si="7"/>
        <v>0</v>
      </c>
      <c r="BH155" s="130">
        <f t="shared" si="8"/>
        <v>0</v>
      </c>
      <c r="BI155" s="130">
        <f t="shared" si="9"/>
        <v>0</v>
      </c>
      <c r="BJ155" s="13" t="s">
        <v>76</v>
      </c>
      <c r="BK155" s="130">
        <f t="shared" si="10"/>
        <v>48.24</v>
      </c>
      <c r="BL155" s="13" t="s">
        <v>347</v>
      </c>
      <c r="BM155" s="129" t="s">
        <v>333</v>
      </c>
    </row>
    <row r="156" spans="2:65" s="1" customFormat="1" ht="24" customHeight="1" x14ac:dyDescent="0.2">
      <c r="B156" s="118"/>
      <c r="C156" s="131" t="s">
        <v>334</v>
      </c>
      <c r="D156" s="131" t="s">
        <v>277</v>
      </c>
      <c r="E156" s="132" t="s">
        <v>3847</v>
      </c>
      <c r="F156" s="133" t="s">
        <v>3848</v>
      </c>
      <c r="G156" s="134" t="s">
        <v>1194</v>
      </c>
      <c r="H156" s="135">
        <v>24</v>
      </c>
      <c r="I156" s="136">
        <v>0.67</v>
      </c>
      <c r="J156" s="136">
        <f t="shared" si="0"/>
        <v>16.079999999999998</v>
      </c>
      <c r="K156" s="133" t="s">
        <v>1</v>
      </c>
      <c r="L156" s="137"/>
      <c r="M156" s="138" t="s">
        <v>1</v>
      </c>
      <c r="N156" s="139" t="s">
        <v>32</v>
      </c>
      <c r="O156" s="127">
        <v>0</v>
      </c>
      <c r="P156" s="127">
        <f t="shared" si="1"/>
        <v>0</v>
      </c>
      <c r="Q156" s="127">
        <v>0</v>
      </c>
      <c r="R156" s="127">
        <f t="shared" si="2"/>
        <v>0</v>
      </c>
      <c r="S156" s="127">
        <v>0</v>
      </c>
      <c r="T156" s="128">
        <f t="shared" si="3"/>
        <v>0</v>
      </c>
      <c r="W156" s="199"/>
      <c r="X156" s="131" t="s">
        <v>334</v>
      </c>
      <c r="Y156" s="131" t="s">
        <v>277</v>
      </c>
      <c r="Z156" s="132" t="s">
        <v>3847</v>
      </c>
      <c r="AA156" s="133" t="s">
        <v>3848</v>
      </c>
      <c r="AB156" s="134" t="s">
        <v>1194</v>
      </c>
      <c r="AC156" s="135">
        <v>24</v>
      </c>
      <c r="AD156" s="136">
        <v>0.67</v>
      </c>
      <c r="AE156" s="229">
        <f t="shared" si="4"/>
        <v>16.079999999999998</v>
      </c>
      <c r="AF156" s="227"/>
      <c r="AG156" s="396"/>
      <c r="AI156" s="397"/>
      <c r="AR156" s="129" t="s">
        <v>705</v>
      </c>
      <c r="AT156" s="129" t="s">
        <v>277</v>
      </c>
      <c r="AU156" s="129" t="s">
        <v>63</v>
      </c>
      <c r="AY156" s="13" t="s">
        <v>228</v>
      </c>
      <c r="BE156" s="130">
        <f t="shared" si="5"/>
        <v>0</v>
      </c>
      <c r="BF156" s="130">
        <f t="shared" si="6"/>
        <v>16.079999999999998</v>
      </c>
      <c r="BG156" s="130">
        <f t="shared" si="7"/>
        <v>0</v>
      </c>
      <c r="BH156" s="130">
        <f t="shared" si="8"/>
        <v>0</v>
      </c>
      <c r="BI156" s="130">
        <f t="shared" si="9"/>
        <v>0</v>
      </c>
      <c r="BJ156" s="13" t="s">
        <v>76</v>
      </c>
      <c r="BK156" s="130">
        <f t="shared" si="10"/>
        <v>16.079999999999998</v>
      </c>
      <c r="BL156" s="13" t="s">
        <v>347</v>
      </c>
      <c r="BM156" s="129" t="s">
        <v>337</v>
      </c>
    </row>
    <row r="157" spans="2:65" s="1" customFormat="1" ht="24" customHeight="1" x14ac:dyDescent="0.2">
      <c r="B157" s="118"/>
      <c r="C157" s="119" t="s">
        <v>285</v>
      </c>
      <c r="D157" s="119" t="s">
        <v>231</v>
      </c>
      <c r="E157" s="120" t="s">
        <v>3849</v>
      </c>
      <c r="F157" s="121" t="s">
        <v>3850</v>
      </c>
      <c r="G157" s="122" t="s">
        <v>1194</v>
      </c>
      <c r="H157" s="123">
        <v>5</v>
      </c>
      <c r="I157" s="124">
        <v>7.88</v>
      </c>
      <c r="J157" s="124">
        <f t="shared" si="0"/>
        <v>39.4</v>
      </c>
      <c r="K157" s="121" t="s">
        <v>1</v>
      </c>
      <c r="L157" s="24"/>
      <c r="M157" s="125" t="s">
        <v>1</v>
      </c>
      <c r="N157" s="126" t="s">
        <v>32</v>
      </c>
      <c r="O157" s="127">
        <v>0</v>
      </c>
      <c r="P157" s="127">
        <f t="shared" si="1"/>
        <v>0</v>
      </c>
      <c r="Q157" s="127">
        <v>0</v>
      </c>
      <c r="R157" s="127">
        <f t="shared" si="2"/>
        <v>0</v>
      </c>
      <c r="S157" s="127">
        <v>0</v>
      </c>
      <c r="T157" s="128">
        <f t="shared" si="3"/>
        <v>0</v>
      </c>
      <c r="W157" s="199"/>
      <c r="X157" s="119" t="s">
        <v>285</v>
      </c>
      <c r="Y157" s="119" t="s">
        <v>231</v>
      </c>
      <c r="Z157" s="120" t="s">
        <v>3849</v>
      </c>
      <c r="AA157" s="121" t="s">
        <v>3850</v>
      </c>
      <c r="AB157" s="122" t="s">
        <v>1194</v>
      </c>
      <c r="AC157" s="123">
        <v>5</v>
      </c>
      <c r="AD157" s="124">
        <v>7.88</v>
      </c>
      <c r="AE157" s="200">
        <f t="shared" si="4"/>
        <v>39.4</v>
      </c>
      <c r="AF157" s="227"/>
      <c r="AG157" s="396"/>
      <c r="AI157" s="397"/>
      <c r="AR157" s="129" t="s">
        <v>347</v>
      </c>
      <c r="AT157" s="129" t="s">
        <v>231</v>
      </c>
      <c r="AU157" s="129" t="s">
        <v>63</v>
      </c>
      <c r="AY157" s="13" t="s">
        <v>228</v>
      </c>
      <c r="BE157" s="130">
        <f t="shared" si="5"/>
        <v>0</v>
      </c>
      <c r="BF157" s="130">
        <f t="shared" si="6"/>
        <v>39.4</v>
      </c>
      <c r="BG157" s="130">
        <f t="shared" si="7"/>
        <v>0</v>
      </c>
      <c r="BH157" s="130">
        <f t="shared" si="8"/>
        <v>0</v>
      </c>
      <c r="BI157" s="130">
        <f t="shared" si="9"/>
        <v>0</v>
      </c>
      <c r="BJ157" s="13" t="s">
        <v>76</v>
      </c>
      <c r="BK157" s="130">
        <f t="shared" si="10"/>
        <v>39.4</v>
      </c>
      <c r="BL157" s="13" t="s">
        <v>347</v>
      </c>
      <c r="BM157" s="129" t="s">
        <v>340</v>
      </c>
    </row>
    <row r="158" spans="2:65" s="1" customFormat="1" ht="24" customHeight="1" x14ac:dyDescent="0.2">
      <c r="B158" s="118"/>
      <c r="C158" s="131" t="s">
        <v>341</v>
      </c>
      <c r="D158" s="131" t="s">
        <v>277</v>
      </c>
      <c r="E158" s="132" t="s">
        <v>3851</v>
      </c>
      <c r="F158" s="133" t="s">
        <v>3852</v>
      </c>
      <c r="G158" s="134" t="s">
        <v>1194</v>
      </c>
      <c r="H158" s="135">
        <v>5</v>
      </c>
      <c r="I158" s="136">
        <v>10.02</v>
      </c>
      <c r="J158" s="136">
        <f t="shared" si="0"/>
        <v>50.1</v>
      </c>
      <c r="K158" s="133" t="s">
        <v>1</v>
      </c>
      <c r="L158" s="137"/>
      <c r="M158" s="138" t="s">
        <v>1</v>
      </c>
      <c r="N158" s="139" t="s">
        <v>32</v>
      </c>
      <c r="O158" s="127">
        <v>0</v>
      </c>
      <c r="P158" s="127">
        <f t="shared" si="1"/>
        <v>0</v>
      </c>
      <c r="Q158" s="127">
        <v>0</v>
      </c>
      <c r="R158" s="127">
        <f t="shared" si="2"/>
        <v>0</v>
      </c>
      <c r="S158" s="127">
        <v>0</v>
      </c>
      <c r="T158" s="128">
        <f t="shared" si="3"/>
        <v>0</v>
      </c>
      <c r="W158" s="199"/>
      <c r="X158" s="131" t="s">
        <v>341</v>
      </c>
      <c r="Y158" s="131" t="s">
        <v>277</v>
      </c>
      <c r="Z158" s="132" t="s">
        <v>3851</v>
      </c>
      <c r="AA158" s="133" t="s">
        <v>3852</v>
      </c>
      <c r="AB158" s="134" t="s">
        <v>1194</v>
      </c>
      <c r="AC158" s="135">
        <v>5</v>
      </c>
      <c r="AD158" s="136">
        <v>10.02</v>
      </c>
      <c r="AE158" s="229">
        <f t="shared" si="4"/>
        <v>50.1</v>
      </c>
      <c r="AF158" s="227"/>
      <c r="AG158" s="396"/>
      <c r="AI158" s="397"/>
      <c r="AR158" s="129" t="s">
        <v>705</v>
      </c>
      <c r="AT158" s="129" t="s">
        <v>277</v>
      </c>
      <c r="AU158" s="129" t="s">
        <v>63</v>
      </c>
      <c r="AY158" s="13" t="s">
        <v>228</v>
      </c>
      <c r="BE158" s="130">
        <f t="shared" si="5"/>
        <v>0</v>
      </c>
      <c r="BF158" s="130">
        <f t="shared" si="6"/>
        <v>50.1</v>
      </c>
      <c r="BG158" s="130">
        <f t="shared" si="7"/>
        <v>0</v>
      </c>
      <c r="BH158" s="130">
        <f t="shared" si="8"/>
        <v>0</v>
      </c>
      <c r="BI158" s="130">
        <f t="shared" si="9"/>
        <v>0</v>
      </c>
      <c r="BJ158" s="13" t="s">
        <v>76</v>
      </c>
      <c r="BK158" s="130">
        <f t="shared" si="10"/>
        <v>50.1</v>
      </c>
      <c r="BL158" s="13" t="s">
        <v>347</v>
      </c>
      <c r="BM158" s="129" t="s">
        <v>344</v>
      </c>
    </row>
    <row r="159" spans="2:65" s="1" customFormat="1" ht="16.5" customHeight="1" x14ac:dyDescent="0.2">
      <c r="B159" s="118"/>
      <c r="C159" s="119" t="s">
        <v>288</v>
      </c>
      <c r="D159" s="119" t="s">
        <v>231</v>
      </c>
      <c r="E159" s="120" t="s">
        <v>3853</v>
      </c>
      <c r="F159" s="121" t="s">
        <v>3854</v>
      </c>
      <c r="G159" s="122" t="s">
        <v>1194</v>
      </c>
      <c r="H159" s="123">
        <v>8</v>
      </c>
      <c r="I159" s="124">
        <v>8.9499999999999993</v>
      </c>
      <c r="J159" s="124">
        <f t="shared" si="0"/>
        <v>71.599999999999994</v>
      </c>
      <c r="K159" s="121" t="s">
        <v>1</v>
      </c>
      <c r="L159" s="24"/>
      <c r="M159" s="125" t="s">
        <v>1</v>
      </c>
      <c r="N159" s="126" t="s">
        <v>32</v>
      </c>
      <c r="O159" s="127">
        <v>0</v>
      </c>
      <c r="P159" s="127">
        <f t="shared" si="1"/>
        <v>0</v>
      </c>
      <c r="Q159" s="127">
        <v>0</v>
      </c>
      <c r="R159" s="127">
        <f t="shared" si="2"/>
        <v>0</v>
      </c>
      <c r="S159" s="127">
        <v>0</v>
      </c>
      <c r="T159" s="128">
        <f t="shared" si="3"/>
        <v>0</v>
      </c>
      <c r="W159" s="199"/>
      <c r="X159" s="119" t="s">
        <v>288</v>
      </c>
      <c r="Y159" s="119" t="s">
        <v>231</v>
      </c>
      <c r="Z159" s="120" t="s">
        <v>3853</v>
      </c>
      <c r="AA159" s="121" t="s">
        <v>3854</v>
      </c>
      <c r="AB159" s="122" t="s">
        <v>1194</v>
      </c>
      <c r="AC159" s="123">
        <v>8</v>
      </c>
      <c r="AD159" s="124">
        <v>8.9499999999999993</v>
      </c>
      <c r="AE159" s="200">
        <f t="shared" si="4"/>
        <v>71.599999999999994</v>
      </c>
      <c r="AF159" s="227"/>
      <c r="AG159" s="396"/>
      <c r="AI159" s="397"/>
      <c r="AR159" s="129" t="s">
        <v>347</v>
      </c>
      <c r="AT159" s="129" t="s">
        <v>231</v>
      </c>
      <c r="AU159" s="129" t="s">
        <v>63</v>
      </c>
      <c r="AY159" s="13" t="s">
        <v>228</v>
      </c>
      <c r="BE159" s="130">
        <f t="shared" si="5"/>
        <v>0</v>
      </c>
      <c r="BF159" s="130">
        <f t="shared" si="6"/>
        <v>71.599999999999994</v>
      </c>
      <c r="BG159" s="130">
        <f t="shared" si="7"/>
        <v>0</v>
      </c>
      <c r="BH159" s="130">
        <f t="shared" si="8"/>
        <v>0</v>
      </c>
      <c r="BI159" s="130">
        <f t="shared" si="9"/>
        <v>0</v>
      </c>
      <c r="BJ159" s="13" t="s">
        <v>76</v>
      </c>
      <c r="BK159" s="130">
        <f t="shared" si="10"/>
        <v>71.599999999999994</v>
      </c>
      <c r="BL159" s="13" t="s">
        <v>347</v>
      </c>
      <c r="BM159" s="129" t="s">
        <v>347</v>
      </c>
    </row>
    <row r="160" spans="2:65" s="1" customFormat="1" ht="24" customHeight="1" x14ac:dyDescent="0.2">
      <c r="B160" s="118"/>
      <c r="C160" s="131" t="s">
        <v>348</v>
      </c>
      <c r="D160" s="131" t="s">
        <v>277</v>
      </c>
      <c r="E160" s="132" t="s">
        <v>3855</v>
      </c>
      <c r="F160" s="133" t="s">
        <v>3856</v>
      </c>
      <c r="G160" s="134" t="s">
        <v>1194</v>
      </c>
      <c r="H160" s="135">
        <v>8</v>
      </c>
      <c r="I160" s="136">
        <v>1.07</v>
      </c>
      <c r="J160" s="136">
        <f t="shared" ref="J160:J195" si="11">ROUND(I160*H160,2)</f>
        <v>8.56</v>
      </c>
      <c r="K160" s="133" t="s">
        <v>1</v>
      </c>
      <c r="L160" s="137"/>
      <c r="M160" s="138" t="s">
        <v>1</v>
      </c>
      <c r="N160" s="139" t="s">
        <v>32</v>
      </c>
      <c r="O160" s="127">
        <v>0</v>
      </c>
      <c r="P160" s="127">
        <f t="shared" ref="P160:P195" si="12">O160*H160</f>
        <v>0</v>
      </c>
      <c r="Q160" s="127">
        <v>0</v>
      </c>
      <c r="R160" s="127">
        <f t="shared" ref="R160:R195" si="13">Q160*H160</f>
        <v>0</v>
      </c>
      <c r="S160" s="127">
        <v>0</v>
      </c>
      <c r="T160" s="128">
        <f t="shared" ref="T160:T195" si="14">S160*H160</f>
        <v>0</v>
      </c>
      <c r="W160" s="199"/>
      <c r="X160" s="131" t="s">
        <v>348</v>
      </c>
      <c r="Y160" s="131" t="s">
        <v>277</v>
      </c>
      <c r="Z160" s="132" t="s">
        <v>3855</v>
      </c>
      <c r="AA160" s="133" t="s">
        <v>3856</v>
      </c>
      <c r="AB160" s="134" t="s">
        <v>1194</v>
      </c>
      <c r="AC160" s="135">
        <v>8</v>
      </c>
      <c r="AD160" s="136">
        <v>1.07</v>
      </c>
      <c r="AE160" s="229">
        <f t="shared" si="4"/>
        <v>8.56</v>
      </c>
      <c r="AF160" s="227"/>
      <c r="AG160" s="396"/>
      <c r="AI160" s="397"/>
      <c r="AR160" s="129" t="s">
        <v>705</v>
      </c>
      <c r="AT160" s="129" t="s">
        <v>277</v>
      </c>
      <c r="AU160" s="129" t="s">
        <v>63</v>
      </c>
      <c r="AY160" s="13" t="s">
        <v>228</v>
      </c>
      <c r="BE160" s="130">
        <f t="shared" ref="BE160:BE195" si="15">IF(N160="základná",J160,0)</f>
        <v>0</v>
      </c>
      <c r="BF160" s="130">
        <f t="shared" ref="BF160:BF195" si="16">IF(N160="znížená",J160,0)</f>
        <v>8.56</v>
      </c>
      <c r="BG160" s="130">
        <f t="shared" ref="BG160:BG195" si="17">IF(N160="zákl. prenesená",J160,0)</f>
        <v>0</v>
      </c>
      <c r="BH160" s="130">
        <f t="shared" ref="BH160:BH195" si="18">IF(N160="zníž. prenesená",J160,0)</f>
        <v>0</v>
      </c>
      <c r="BI160" s="130">
        <f t="shared" ref="BI160:BI195" si="19">IF(N160="nulová",J160,0)</f>
        <v>0</v>
      </c>
      <c r="BJ160" s="13" t="s">
        <v>76</v>
      </c>
      <c r="BK160" s="130">
        <f t="shared" ref="BK160:BK195" si="20">ROUND(I160*H160,2)</f>
        <v>8.56</v>
      </c>
      <c r="BL160" s="13" t="s">
        <v>347</v>
      </c>
      <c r="BM160" s="129" t="s">
        <v>351</v>
      </c>
    </row>
    <row r="161" spans="2:65" s="1" customFormat="1" ht="16.5" customHeight="1" x14ac:dyDescent="0.2">
      <c r="B161" s="118"/>
      <c r="C161" s="119" t="s">
        <v>293</v>
      </c>
      <c r="D161" s="119" t="s">
        <v>231</v>
      </c>
      <c r="E161" s="120" t="s">
        <v>3857</v>
      </c>
      <c r="F161" s="121" t="s">
        <v>3858</v>
      </c>
      <c r="G161" s="122" t="s">
        <v>1194</v>
      </c>
      <c r="H161" s="123">
        <v>5</v>
      </c>
      <c r="I161" s="124">
        <v>0.94</v>
      </c>
      <c r="J161" s="124">
        <f t="shared" si="11"/>
        <v>4.7</v>
      </c>
      <c r="K161" s="121" t="s">
        <v>1</v>
      </c>
      <c r="L161" s="24"/>
      <c r="M161" s="125" t="s">
        <v>1</v>
      </c>
      <c r="N161" s="126" t="s">
        <v>32</v>
      </c>
      <c r="O161" s="127">
        <v>0</v>
      </c>
      <c r="P161" s="127">
        <f t="shared" si="12"/>
        <v>0</v>
      </c>
      <c r="Q161" s="127">
        <v>0</v>
      </c>
      <c r="R161" s="127">
        <f t="shared" si="13"/>
        <v>0</v>
      </c>
      <c r="S161" s="127">
        <v>0</v>
      </c>
      <c r="T161" s="128">
        <f t="shared" si="14"/>
        <v>0</v>
      </c>
      <c r="W161" s="199"/>
      <c r="X161" s="119" t="s">
        <v>293</v>
      </c>
      <c r="Y161" s="119" t="s">
        <v>231</v>
      </c>
      <c r="Z161" s="120" t="s">
        <v>3857</v>
      </c>
      <c r="AA161" s="121" t="s">
        <v>3858</v>
      </c>
      <c r="AB161" s="122" t="s">
        <v>1194</v>
      </c>
      <c r="AC161" s="123">
        <v>5</v>
      </c>
      <c r="AD161" s="124">
        <v>0.94</v>
      </c>
      <c r="AE161" s="200">
        <f t="shared" si="4"/>
        <v>4.7</v>
      </c>
      <c r="AF161" s="227"/>
      <c r="AG161" s="396"/>
      <c r="AI161" s="397"/>
      <c r="AR161" s="129" t="s">
        <v>347</v>
      </c>
      <c r="AT161" s="129" t="s">
        <v>231</v>
      </c>
      <c r="AU161" s="129" t="s">
        <v>63</v>
      </c>
      <c r="AY161" s="13" t="s">
        <v>228</v>
      </c>
      <c r="BE161" s="130">
        <f t="shared" si="15"/>
        <v>0</v>
      </c>
      <c r="BF161" s="130">
        <f t="shared" si="16"/>
        <v>4.7</v>
      </c>
      <c r="BG161" s="130">
        <f t="shared" si="17"/>
        <v>0</v>
      </c>
      <c r="BH161" s="130">
        <f t="shared" si="18"/>
        <v>0</v>
      </c>
      <c r="BI161" s="130">
        <f t="shared" si="19"/>
        <v>0</v>
      </c>
      <c r="BJ161" s="13" t="s">
        <v>76</v>
      </c>
      <c r="BK161" s="130">
        <f t="shared" si="20"/>
        <v>4.7</v>
      </c>
      <c r="BL161" s="13" t="s">
        <v>347</v>
      </c>
      <c r="BM161" s="129" t="s">
        <v>354</v>
      </c>
    </row>
    <row r="162" spans="2:65" s="1" customFormat="1" ht="24" customHeight="1" x14ac:dyDescent="0.2">
      <c r="B162" s="118"/>
      <c r="C162" s="131" t="s">
        <v>355</v>
      </c>
      <c r="D162" s="131" t="s">
        <v>277</v>
      </c>
      <c r="E162" s="132" t="s">
        <v>3859</v>
      </c>
      <c r="F162" s="133" t="s">
        <v>3860</v>
      </c>
      <c r="G162" s="134" t="s">
        <v>1194</v>
      </c>
      <c r="H162" s="135">
        <v>5</v>
      </c>
      <c r="I162" s="136">
        <v>1.74</v>
      </c>
      <c r="J162" s="136">
        <f t="shared" si="11"/>
        <v>8.6999999999999993</v>
      </c>
      <c r="K162" s="133" t="s">
        <v>1</v>
      </c>
      <c r="L162" s="137"/>
      <c r="M162" s="138" t="s">
        <v>1</v>
      </c>
      <c r="N162" s="139" t="s">
        <v>32</v>
      </c>
      <c r="O162" s="127">
        <v>0</v>
      </c>
      <c r="P162" s="127">
        <f t="shared" si="12"/>
        <v>0</v>
      </c>
      <c r="Q162" s="127">
        <v>0</v>
      </c>
      <c r="R162" s="127">
        <f t="shared" si="13"/>
        <v>0</v>
      </c>
      <c r="S162" s="127">
        <v>0</v>
      </c>
      <c r="T162" s="128">
        <f t="shared" si="14"/>
        <v>0</v>
      </c>
      <c r="W162" s="199"/>
      <c r="X162" s="131" t="s">
        <v>355</v>
      </c>
      <c r="Y162" s="131" t="s">
        <v>277</v>
      </c>
      <c r="Z162" s="132" t="s">
        <v>3859</v>
      </c>
      <c r="AA162" s="133" t="s">
        <v>3860</v>
      </c>
      <c r="AB162" s="134" t="s">
        <v>1194</v>
      </c>
      <c r="AC162" s="135">
        <v>5</v>
      </c>
      <c r="AD162" s="136">
        <v>1.74</v>
      </c>
      <c r="AE162" s="229">
        <f t="shared" si="4"/>
        <v>8.6999999999999993</v>
      </c>
      <c r="AF162" s="227"/>
      <c r="AG162" s="396"/>
      <c r="AI162" s="397"/>
      <c r="AR162" s="129" t="s">
        <v>705</v>
      </c>
      <c r="AT162" s="129" t="s">
        <v>277</v>
      </c>
      <c r="AU162" s="129" t="s">
        <v>63</v>
      </c>
      <c r="AY162" s="13" t="s">
        <v>228</v>
      </c>
      <c r="BE162" s="130">
        <f t="shared" si="15"/>
        <v>0</v>
      </c>
      <c r="BF162" s="130">
        <f t="shared" si="16"/>
        <v>8.6999999999999993</v>
      </c>
      <c r="BG162" s="130">
        <f t="shared" si="17"/>
        <v>0</v>
      </c>
      <c r="BH162" s="130">
        <f t="shared" si="18"/>
        <v>0</v>
      </c>
      <c r="BI162" s="130">
        <f t="shared" si="19"/>
        <v>0</v>
      </c>
      <c r="BJ162" s="13" t="s">
        <v>76</v>
      </c>
      <c r="BK162" s="130">
        <f t="shared" si="20"/>
        <v>8.6999999999999993</v>
      </c>
      <c r="BL162" s="13" t="s">
        <v>347</v>
      </c>
      <c r="BM162" s="129" t="s">
        <v>358</v>
      </c>
    </row>
    <row r="163" spans="2:65" s="1" customFormat="1" ht="16.5" customHeight="1" x14ac:dyDescent="0.2">
      <c r="B163" s="118"/>
      <c r="C163" s="119" t="s">
        <v>296</v>
      </c>
      <c r="D163" s="119" t="s">
        <v>231</v>
      </c>
      <c r="E163" s="120" t="s">
        <v>3861</v>
      </c>
      <c r="F163" s="121" t="s">
        <v>3862</v>
      </c>
      <c r="G163" s="122" t="s">
        <v>1194</v>
      </c>
      <c r="H163" s="123">
        <v>5</v>
      </c>
      <c r="I163" s="124">
        <v>3.45</v>
      </c>
      <c r="J163" s="124">
        <f t="shared" si="11"/>
        <v>17.25</v>
      </c>
      <c r="K163" s="121" t="s">
        <v>1</v>
      </c>
      <c r="L163" s="24"/>
      <c r="M163" s="125" t="s">
        <v>1</v>
      </c>
      <c r="N163" s="126" t="s">
        <v>32</v>
      </c>
      <c r="O163" s="127">
        <v>0</v>
      </c>
      <c r="P163" s="127">
        <f t="shared" si="12"/>
        <v>0</v>
      </c>
      <c r="Q163" s="127">
        <v>0</v>
      </c>
      <c r="R163" s="127">
        <f t="shared" si="13"/>
        <v>0</v>
      </c>
      <c r="S163" s="127">
        <v>0</v>
      </c>
      <c r="T163" s="128">
        <f t="shared" si="14"/>
        <v>0</v>
      </c>
      <c r="W163" s="199"/>
      <c r="X163" s="119" t="s">
        <v>296</v>
      </c>
      <c r="Y163" s="119" t="s">
        <v>231</v>
      </c>
      <c r="Z163" s="120" t="s">
        <v>3861</v>
      </c>
      <c r="AA163" s="121" t="s">
        <v>3862</v>
      </c>
      <c r="AB163" s="122" t="s">
        <v>1194</v>
      </c>
      <c r="AC163" s="123">
        <v>5</v>
      </c>
      <c r="AD163" s="124">
        <v>3.45</v>
      </c>
      <c r="AE163" s="200">
        <f t="shared" si="4"/>
        <v>17.25</v>
      </c>
      <c r="AF163" s="227"/>
      <c r="AG163" s="396"/>
      <c r="AI163" s="397"/>
      <c r="AR163" s="129" t="s">
        <v>347</v>
      </c>
      <c r="AT163" s="129" t="s">
        <v>231</v>
      </c>
      <c r="AU163" s="129" t="s">
        <v>63</v>
      </c>
      <c r="AY163" s="13" t="s">
        <v>228</v>
      </c>
      <c r="BE163" s="130">
        <f t="shared" si="15"/>
        <v>0</v>
      </c>
      <c r="BF163" s="130">
        <f t="shared" si="16"/>
        <v>17.25</v>
      </c>
      <c r="BG163" s="130">
        <f t="shared" si="17"/>
        <v>0</v>
      </c>
      <c r="BH163" s="130">
        <f t="shared" si="18"/>
        <v>0</v>
      </c>
      <c r="BI163" s="130">
        <f t="shared" si="19"/>
        <v>0</v>
      </c>
      <c r="BJ163" s="13" t="s">
        <v>76</v>
      </c>
      <c r="BK163" s="130">
        <f t="shared" si="20"/>
        <v>17.25</v>
      </c>
      <c r="BL163" s="13" t="s">
        <v>347</v>
      </c>
      <c r="BM163" s="129" t="s">
        <v>361</v>
      </c>
    </row>
    <row r="164" spans="2:65" s="1" customFormat="1" ht="24" customHeight="1" x14ac:dyDescent="0.2">
      <c r="B164" s="118"/>
      <c r="C164" s="131" t="s">
        <v>362</v>
      </c>
      <c r="D164" s="131" t="s">
        <v>277</v>
      </c>
      <c r="E164" s="132" t="s">
        <v>3863</v>
      </c>
      <c r="F164" s="133" t="s">
        <v>3864</v>
      </c>
      <c r="G164" s="134" t="s">
        <v>1194</v>
      </c>
      <c r="H164" s="135">
        <v>5</v>
      </c>
      <c r="I164" s="136">
        <v>1.36</v>
      </c>
      <c r="J164" s="136">
        <f t="shared" si="11"/>
        <v>6.8</v>
      </c>
      <c r="K164" s="133" t="s">
        <v>1</v>
      </c>
      <c r="L164" s="137"/>
      <c r="M164" s="138" t="s">
        <v>1</v>
      </c>
      <c r="N164" s="139" t="s">
        <v>32</v>
      </c>
      <c r="O164" s="127">
        <v>0</v>
      </c>
      <c r="P164" s="127">
        <f t="shared" si="12"/>
        <v>0</v>
      </c>
      <c r="Q164" s="127">
        <v>0</v>
      </c>
      <c r="R164" s="127">
        <f t="shared" si="13"/>
        <v>0</v>
      </c>
      <c r="S164" s="127">
        <v>0</v>
      </c>
      <c r="T164" s="128">
        <f t="shared" si="14"/>
        <v>0</v>
      </c>
      <c r="W164" s="199"/>
      <c r="X164" s="131" t="s">
        <v>362</v>
      </c>
      <c r="Y164" s="131" t="s">
        <v>277</v>
      </c>
      <c r="Z164" s="132" t="s">
        <v>3863</v>
      </c>
      <c r="AA164" s="133" t="s">
        <v>3864</v>
      </c>
      <c r="AB164" s="134" t="s">
        <v>1194</v>
      </c>
      <c r="AC164" s="135">
        <v>5</v>
      </c>
      <c r="AD164" s="136">
        <v>1.36</v>
      </c>
      <c r="AE164" s="229">
        <f t="shared" si="4"/>
        <v>6.8</v>
      </c>
      <c r="AF164" s="227"/>
      <c r="AG164" s="396"/>
      <c r="AI164" s="397"/>
      <c r="AR164" s="129" t="s">
        <v>705</v>
      </c>
      <c r="AT164" s="129" t="s">
        <v>277</v>
      </c>
      <c r="AU164" s="129" t="s">
        <v>63</v>
      </c>
      <c r="AY164" s="13" t="s">
        <v>228</v>
      </c>
      <c r="BE164" s="130">
        <f t="shared" si="15"/>
        <v>0</v>
      </c>
      <c r="BF164" s="130">
        <f t="shared" si="16"/>
        <v>6.8</v>
      </c>
      <c r="BG164" s="130">
        <f t="shared" si="17"/>
        <v>0</v>
      </c>
      <c r="BH164" s="130">
        <f t="shared" si="18"/>
        <v>0</v>
      </c>
      <c r="BI164" s="130">
        <f t="shared" si="19"/>
        <v>0</v>
      </c>
      <c r="BJ164" s="13" t="s">
        <v>76</v>
      </c>
      <c r="BK164" s="130">
        <f t="shared" si="20"/>
        <v>6.8</v>
      </c>
      <c r="BL164" s="13" t="s">
        <v>347</v>
      </c>
      <c r="BM164" s="129" t="s">
        <v>365</v>
      </c>
    </row>
    <row r="165" spans="2:65" s="1" customFormat="1" ht="16.5" customHeight="1" x14ac:dyDescent="0.2">
      <c r="B165" s="118"/>
      <c r="C165" s="119" t="s">
        <v>300</v>
      </c>
      <c r="D165" s="119" t="s">
        <v>231</v>
      </c>
      <c r="E165" s="120" t="s">
        <v>3865</v>
      </c>
      <c r="F165" s="121" t="s">
        <v>3866</v>
      </c>
      <c r="G165" s="122" t="s">
        <v>1194</v>
      </c>
      <c r="H165" s="123">
        <v>1</v>
      </c>
      <c r="I165" s="124">
        <v>3.45</v>
      </c>
      <c r="J165" s="124">
        <f t="shared" si="11"/>
        <v>3.45</v>
      </c>
      <c r="K165" s="121" t="s">
        <v>1</v>
      </c>
      <c r="L165" s="24"/>
      <c r="M165" s="125" t="s">
        <v>1</v>
      </c>
      <c r="N165" s="126" t="s">
        <v>32</v>
      </c>
      <c r="O165" s="127">
        <v>0</v>
      </c>
      <c r="P165" s="127">
        <f t="shared" si="12"/>
        <v>0</v>
      </c>
      <c r="Q165" s="127">
        <v>0</v>
      </c>
      <c r="R165" s="127">
        <f t="shared" si="13"/>
        <v>0</v>
      </c>
      <c r="S165" s="127">
        <v>0</v>
      </c>
      <c r="T165" s="128">
        <f t="shared" si="14"/>
        <v>0</v>
      </c>
      <c r="W165" s="199"/>
      <c r="X165" s="119" t="s">
        <v>300</v>
      </c>
      <c r="Y165" s="119" t="s">
        <v>231</v>
      </c>
      <c r="Z165" s="120" t="s">
        <v>3865</v>
      </c>
      <c r="AA165" s="121" t="s">
        <v>3866</v>
      </c>
      <c r="AB165" s="122" t="s">
        <v>1194</v>
      </c>
      <c r="AC165" s="123">
        <v>1</v>
      </c>
      <c r="AD165" s="124">
        <v>3.45</v>
      </c>
      <c r="AE165" s="200">
        <f t="shared" si="4"/>
        <v>3.45</v>
      </c>
      <c r="AF165" s="227"/>
      <c r="AG165" s="396"/>
      <c r="AI165" s="397"/>
      <c r="AR165" s="129" t="s">
        <v>347</v>
      </c>
      <c r="AT165" s="129" t="s">
        <v>231</v>
      </c>
      <c r="AU165" s="129" t="s">
        <v>63</v>
      </c>
      <c r="AY165" s="13" t="s">
        <v>228</v>
      </c>
      <c r="BE165" s="130">
        <f t="shared" si="15"/>
        <v>0</v>
      </c>
      <c r="BF165" s="130">
        <f t="shared" si="16"/>
        <v>3.45</v>
      </c>
      <c r="BG165" s="130">
        <f t="shared" si="17"/>
        <v>0</v>
      </c>
      <c r="BH165" s="130">
        <f t="shared" si="18"/>
        <v>0</v>
      </c>
      <c r="BI165" s="130">
        <f t="shared" si="19"/>
        <v>0</v>
      </c>
      <c r="BJ165" s="13" t="s">
        <v>76</v>
      </c>
      <c r="BK165" s="130">
        <f t="shared" si="20"/>
        <v>3.45</v>
      </c>
      <c r="BL165" s="13" t="s">
        <v>347</v>
      </c>
      <c r="BM165" s="129" t="s">
        <v>368</v>
      </c>
    </row>
    <row r="166" spans="2:65" s="1" customFormat="1" ht="16.5" customHeight="1" x14ac:dyDescent="0.2">
      <c r="B166" s="118"/>
      <c r="C166" s="131" t="s">
        <v>369</v>
      </c>
      <c r="D166" s="131" t="s">
        <v>277</v>
      </c>
      <c r="E166" s="132" t="s">
        <v>3867</v>
      </c>
      <c r="F166" s="133" t="s">
        <v>3868</v>
      </c>
      <c r="G166" s="134" t="s">
        <v>1194</v>
      </c>
      <c r="H166" s="135">
        <v>1</v>
      </c>
      <c r="I166" s="136">
        <v>0.8</v>
      </c>
      <c r="J166" s="136">
        <f t="shared" si="11"/>
        <v>0.8</v>
      </c>
      <c r="K166" s="133" t="s">
        <v>1</v>
      </c>
      <c r="L166" s="137"/>
      <c r="M166" s="138" t="s">
        <v>1</v>
      </c>
      <c r="N166" s="139" t="s">
        <v>32</v>
      </c>
      <c r="O166" s="127">
        <v>0</v>
      </c>
      <c r="P166" s="127">
        <f t="shared" si="12"/>
        <v>0</v>
      </c>
      <c r="Q166" s="127">
        <v>0</v>
      </c>
      <c r="R166" s="127">
        <f t="shared" si="13"/>
        <v>0</v>
      </c>
      <c r="S166" s="127">
        <v>0</v>
      </c>
      <c r="T166" s="128">
        <f t="shared" si="14"/>
        <v>0</v>
      </c>
      <c r="W166" s="199"/>
      <c r="X166" s="131" t="s">
        <v>369</v>
      </c>
      <c r="Y166" s="131" t="s">
        <v>277</v>
      </c>
      <c r="Z166" s="132" t="s">
        <v>3867</v>
      </c>
      <c r="AA166" s="133" t="s">
        <v>3868</v>
      </c>
      <c r="AB166" s="134" t="s">
        <v>1194</v>
      </c>
      <c r="AC166" s="135">
        <v>1</v>
      </c>
      <c r="AD166" s="136">
        <v>0.8</v>
      </c>
      <c r="AE166" s="229">
        <f t="shared" si="4"/>
        <v>0.8</v>
      </c>
      <c r="AF166" s="227"/>
      <c r="AG166" s="396"/>
      <c r="AI166" s="397"/>
      <c r="AR166" s="129" t="s">
        <v>705</v>
      </c>
      <c r="AT166" s="129" t="s">
        <v>277</v>
      </c>
      <c r="AU166" s="129" t="s">
        <v>63</v>
      </c>
      <c r="AY166" s="13" t="s">
        <v>228</v>
      </c>
      <c r="BE166" s="130">
        <f t="shared" si="15"/>
        <v>0</v>
      </c>
      <c r="BF166" s="130">
        <f t="shared" si="16"/>
        <v>0.8</v>
      </c>
      <c r="BG166" s="130">
        <f t="shared" si="17"/>
        <v>0</v>
      </c>
      <c r="BH166" s="130">
        <f t="shared" si="18"/>
        <v>0</v>
      </c>
      <c r="BI166" s="130">
        <f t="shared" si="19"/>
        <v>0</v>
      </c>
      <c r="BJ166" s="13" t="s">
        <v>76</v>
      </c>
      <c r="BK166" s="130">
        <f t="shared" si="20"/>
        <v>0.8</v>
      </c>
      <c r="BL166" s="13" t="s">
        <v>347</v>
      </c>
      <c r="BM166" s="129" t="s">
        <v>372</v>
      </c>
    </row>
    <row r="167" spans="2:65" s="1" customFormat="1" ht="16.5" customHeight="1" x14ac:dyDescent="0.2">
      <c r="B167" s="118"/>
      <c r="C167" s="119" t="s">
        <v>303</v>
      </c>
      <c r="D167" s="119" t="s">
        <v>231</v>
      </c>
      <c r="E167" s="120" t="s">
        <v>3869</v>
      </c>
      <c r="F167" s="121" t="s">
        <v>3870</v>
      </c>
      <c r="G167" s="122" t="s">
        <v>1194</v>
      </c>
      <c r="H167" s="123">
        <v>18</v>
      </c>
      <c r="I167" s="124">
        <v>3.45</v>
      </c>
      <c r="J167" s="124">
        <f t="shared" si="11"/>
        <v>62.1</v>
      </c>
      <c r="K167" s="121" t="s">
        <v>1</v>
      </c>
      <c r="L167" s="24"/>
      <c r="M167" s="125" t="s">
        <v>1</v>
      </c>
      <c r="N167" s="126" t="s">
        <v>32</v>
      </c>
      <c r="O167" s="127">
        <v>0</v>
      </c>
      <c r="P167" s="127">
        <f t="shared" si="12"/>
        <v>0</v>
      </c>
      <c r="Q167" s="127">
        <v>0</v>
      </c>
      <c r="R167" s="127">
        <f t="shared" si="13"/>
        <v>0</v>
      </c>
      <c r="S167" s="127">
        <v>0</v>
      </c>
      <c r="T167" s="128">
        <f t="shared" si="14"/>
        <v>0</v>
      </c>
      <c r="W167" s="199"/>
      <c r="X167" s="119" t="s">
        <v>303</v>
      </c>
      <c r="Y167" s="119" t="s">
        <v>231</v>
      </c>
      <c r="Z167" s="120" t="s">
        <v>3869</v>
      </c>
      <c r="AA167" s="121" t="s">
        <v>3870</v>
      </c>
      <c r="AB167" s="122" t="s">
        <v>1194</v>
      </c>
      <c r="AC167" s="123">
        <v>18</v>
      </c>
      <c r="AD167" s="124">
        <v>3.45</v>
      </c>
      <c r="AE167" s="200">
        <f t="shared" si="4"/>
        <v>62.1</v>
      </c>
      <c r="AF167" s="227"/>
      <c r="AG167" s="396"/>
      <c r="AI167" s="397"/>
      <c r="AR167" s="129" t="s">
        <v>347</v>
      </c>
      <c r="AT167" s="129" t="s">
        <v>231</v>
      </c>
      <c r="AU167" s="129" t="s">
        <v>63</v>
      </c>
      <c r="AY167" s="13" t="s">
        <v>228</v>
      </c>
      <c r="BE167" s="130">
        <f t="shared" si="15"/>
        <v>0</v>
      </c>
      <c r="BF167" s="130">
        <f t="shared" si="16"/>
        <v>62.1</v>
      </c>
      <c r="BG167" s="130">
        <f t="shared" si="17"/>
        <v>0</v>
      </c>
      <c r="BH167" s="130">
        <f t="shared" si="18"/>
        <v>0</v>
      </c>
      <c r="BI167" s="130">
        <f t="shared" si="19"/>
        <v>0</v>
      </c>
      <c r="BJ167" s="13" t="s">
        <v>76</v>
      </c>
      <c r="BK167" s="130">
        <f t="shared" si="20"/>
        <v>62.1</v>
      </c>
      <c r="BL167" s="13" t="s">
        <v>347</v>
      </c>
      <c r="BM167" s="129" t="s">
        <v>375</v>
      </c>
    </row>
    <row r="168" spans="2:65" s="1" customFormat="1" ht="24" customHeight="1" x14ac:dyDescent="0.2">
      <c r="B168" s="118"/>
      <c r="C168" s="131" t="s">
        <v>376</v>
      </c>
      <c r="D168" s="131" t="s">
        <v>277</v>
      </c>
      <c r="E168" s="132" t="s">
        <v>3871</v>
      </c>
      <c r="F168" s="133" t="s">
        <v>3872</v>
      </c>
      <c r="G168" s="134" t="s">
        <v>1194</v>
      </c>
      <c r="H168" s="135">
        <v>18</v>
      </c>
      <c r="I168" s="136">
        <v>0.55000000000000004</v>
      </c>
      <c r="J168" s="136">
        <f t="shared" si="11"/>
        <v>9.9</v>
      </c>
      <c r="K168" s="133" t="s">
        <v>1</v>
      </c>
      <c r="L168" s="137"/>
      <c r="M168" s="138" t="s">
        <v>1</v>
      </c>
      <c r="N168" s="139" t="s">
        <v>32</v>
      </c>
      <c r="O168" s="127">
        <v>0</v>
      </c>
      <c r="P168" s="127">
        <f t="shared" si="12"/>
        <v>0</v>
      </c>
      <c r="Q168" s="127">
        <v>0</v>
      </c>
      <c r="R168" s="127">
        <f t="shared" si="13"/>
        <v>0</v>
      </c>
      <c r="S168" s="127">
        <v>0</v>
      </c>
      <c r="T168" s="128">
        <f t="shared" si="14"/>
        <v>0</v>
      </c>
      <c r="W168" s="199"/>
      <c r="X168" s="131" t="s">
        <v>376</v>
      </c>
      <c r="Y168" s="131" t="s">
        <v>277</v>
      </c>
      <c r="Z168" s="132" t="s">
        <v>3871</v>
      </c>
      <c r="AA168" s="133" t="s">
        <v>3872</v>
      </c>
      <c r="AB168" s="134" t="s">
        <v>1194</v>
      </c>
      <c r="AC168" s="135">
        <v>18</v>
      </c>
      <c r="AD168" s="136">
        <v>0.55000000000000004</v>
      </c>
      <c r="AE168" s="229">
        <f t="shared" si="4"/>
        <v>9.9</v>
      </c>
      <c r="AF168" s="227"/>
      <c r="AG168" s="396"/>
      <c r="AI168" s="397"/>
      <c r="AR168" s="129" t="s">
        <v>705</v>
      </c>
      <c r="AT168" s="129" t="s">
        <v>277</v>
      </c>
      <c r="AU168" s="129" t="s">
        <v>63</v>
      </c>
      <c r="AY168" s="13" t="s">
        <v>228</v>
      </c>
      <c r="BE168" s="130">
        <f t="shared" si="15"/>
        <v>0</v>
      </c>
      <c r="BF168" s="130">
        <f t="shared" si="16"/>
        <v>9.9</v>
      </c>
      <c r="BG168" s="130">
        <f t="shared" si="17"/>
        <v>0</v>
      </c>
      <c r="BH168" s="130">
        <f t="shared" si="18"/>
        <v>0</v>
      </c>
      <c r="BI168" s="130">
        <f t="shared" si="19"/>
        <v>0</v>
      </c>
      <c r="BJ168" s="13" t="s">
        <v>76</v>
      </c>
      <c r="BK168" s="130">
        <f t="shared" si="20"/>
        <v>9.9</v>
      </c>
      <c r="BL168" s="13" t="s">
        <v>347</v>
      </c>
      <c r="BM168" s="129" t="s">
        <v>379</v>
      </c>
    </row>
    <row r="169" spans="2:65" s="1" customFormat="1" ht="16.5" customHeight="1" x14ac:dyDescent="0.2">
      <c r="B169" s="118"/>
      <c r="C169" s="119" t="s">
        <v>308</v>
      </c>
      <c r="D169" s="119" t="s">
        <v>231</v>
      </c>
      <c r="E169" s="120" t="s">
        <v>3873</v>
      </c>
      <c r="F169" s="121" t="s">
        <v>3874</v>
      </c>
      <c r="G169" s="122" t="s">
        <v>1194</v>
      </c>
      <c r="H169" s="123">
        <v>6</v>
      </c>
      <c r="I169" s="124">
        <v>3.61</v>
      </c>
      <c r="J169" s="124">
        <f t="shared" si="11"/>
        <v>21.66</v>
      </c>
      <c r="K169" s="121" t="s">
        <v>1</v>
      </c>
      <c r="L169" s="24"/>
      <c r="M169" s="125" t="s">
        <v>1</v>
      </c>
      <c r="N169" s="126" t="s">
        <v>32</v>
      </c>
      <c r="O169" s="127">
        <v>0</v>
      </c>
      <c r="P169" s="127">
        <f t="shared" si="12"/>
        <v>0</v>
      </c>
      <c r="Q169" s="127">
        <v>0</v>
      </c>
      <c r="R169" s="127">
        <f t="shared" si="13"/>
        <v>0</v>
      </c>
      <c r="S169" s="127">
        <v>0</v>
      </c>
      <c r="T169" s="128">
        <f t="shared" si="14"/>
        <v>0</v>
      </c>
      <c r="W169" s="199"/>
      <c r="X169" s="119" t="s">
        <v>308</v>
      </c>
      <c r="Y169" s="119" t="s">
        <v>231</v>
      </c>
      <c r="Z169" s="120" t="s">
        <v>3873</v>
      </c>
      <c r="AA169" s="121" t="s">
        <v>3874</v>
      </c>
      <c r="AB169" s="122" t="s">
        <v>1194</v>
      </c>
      <c r="AC169" s="123">
        <v>6</v>
      </c>
      <c r="AD169" s="124">
        <v>3.61</v>
      </c>
      <c r="AE169" s="200">
        <f t="shared" si="4"/>
        <v>21.66</v>
      </c>
      <c r="AF169" s="227"/>
      <c r="AG169" s="396"/>
      <c r="AI169" s="397"/>
      <c r="AR169" s="129" t="s">
        <v>347</v>
      </c>
      <c r="AT169" s="129" t="s">
        <v>231</v>
      </c>
      <c r="AU169" s="129" t="s">
        <v>63</v>
      </c>
      <c r="AY169" s="13" t="s">
        <v>228</v>
      </c>
      <c r="BE169" s="130">
        <f t="shared" si="15"/>
        <v>0</v>
      </c>
      <c r="BF169" s="130">
        <f t="shared" si="16"/>
        <v>21.66</v>
      </c>
      <c r="BG169" s="130">
        <f t="shared" si="17"/>
        <v>0</v>
      </c>
      <c r="BH169" s="130">
        <f t="shared" si="18"/>
        <v>0</v>
      </c>
      <c r="BI169" s="130">
        <f t="shared" si="19"/>
        <v>0</v>
      </c>
      <c r="BJ169" s="13" t="s">
        <v>76</v>
      </c>
      <c r="BK169" s="130">
        <f t="shared" si="20"/>
        <v>21.66</v>
      </c>
      <c r="BL169" s="13" t="s">
        <v>347</v>
      </c>
      <c r="BM169" s="129" t="s">
        <v>382</v>
      </c>
    </row>
    <row r="170" spans="2:65" s="1" customFormat="1" ht="24" customHeight="1" x14ac:dyDescent="0.2">
      <c r="B170" s="118"/>
      <c r="C170" s="131" t="s">
        <v>383</v>
      </c>
      <c r="D170" s="131" t="s">
        <v>277</v>
      </c>
      <c r="E170" s="132" t="s">
        <v>3875</v>
      </c>
      <c r="F170" s="133" t="s">
        <v>3876</v>
      </c>
      <c r="G170" s="134" t="s">
        <v>1194</v>
      </c>
      <c r="H170" s="135">
        <v>6</v>
      </c>
      <c r="I170" s="136">
        <v>1.1399999999999999</v>
      </c>
      <c r="J170" s="136">
        <f t="shared" si="11"/>
        <v>6.84</v>
      </c>
      <c r="K170" s="133" t="s">
        <v>1</v>
      </c>
      <c r="L170" s="137"/>
      <c r="M170" s="138" t="s">
        <v>1</v>
      </c>
      <c r="N170" s="139" t="s">
        <v>32</v>
      </c>
      <c r="O170" s="127">
        <v>0</v>
      </c>
      <c r="P170" s="127">
        <f t="shared" si="12"/>
        <v>0</v>
      </c>
      <c r="Q170" s="127">
        <v>0</v>
      </c>
      <c r="R170" s="127">
        <f t="shared" si="13"/>
        <v>0</v>
      </c>
      <c r="S170" s="127">
        <v>0</v>
      </c>
      <c r="T170" s="128">
        <f t="shared" si="14"/>
        <v>0</v>
      </c>
      <c r="W170" s="199"/>
      <c r="X170" s="131" t="s">
        <v>383</v>
      </c>
      <c r="Y170" s="131" t="s">
        <v>277</v>
      </c>
      <c r="Z170" s="132" t="s">
        <v>3875</v>
      </c>
      <c r="AA170" s="133" t="s">
        <v>3876</v>
      </c>
      <c r="AB170" s="134" t="s">
        <v>1194</v>
      </c>
      <c r="AC170" s="135">
        <v>6</v>
      </c>
      <c r="AD170" s="136">
        <v>1.1399999999999999</v>
      </c>
      <c r="AE170" s="229">
        <f t="shared" si="4"/>
        <v>6.84</v>
      </c>
      <c r="AF170" s="227"/>
      <c r="AG170" s="396"/>
      <c r="AI170" s="397"/>
      <c r="AR170" s="129" t="s">
        <v>705</v>
      </c>
      <c r="AT170" s="129" t="s">
        <v>277</v>
      </c>
      <c r="AU170" s="129" t="s">
        <v>63</v>
      </c>
      <c r="AY170" s="13" t="s">
        <v>228</v>
      </c>
      <c r="BE170" s="130">
        <f t="shared" si="15"/>
        <v>0</v>
      </c>
      <c r="BF170" s="130">
        <f t="shared" si="16"/>
        <v>6.84</v>
      </c>
      <c r="BG170" s="130">
        <f t="shared" si="17"/>
        <v>0</v>
      </c>
      <c r="BH170" s="130">
        <f t="shared" si="18"/>
        <v>0</v>
      </c>
      <c r="BI170" s="130">
        <f t="shared" si="19"/>
        <v>0</v>
      </c>
      <c r="BJ170" s="13" t="s">
        <v>76</v>
      </c>
      <c r="BK170" s="130">
        <f t="shared" si="20"/>
        <v>6.84</v>
      </c>
      <c r="BL170" s="13" t="s">
        <v>347</v>
      </c>
      <c r="BM170" s="129" t="s">
        <v>386</v>
      </c>
    </row>
    <row r="171" spans="2:65" s="1" customFormat="1" ht="16.5" customHeight="1" x14ac:dyDescent="0.2">
      <c r="B171" s="118"/>
      <c r="C171" s="119" t="s">
        <v>312</v>
      </c>
      <c r="D171" s="119" t="s">
        <v>231</v>
      </c>
      <c r="E171" s="120" t="s">
        <v>3877</v>
      </c>
      <c r="F171" s="121" t="s">
        <v>3878</v>
      </c>
      <c r="G171" s="122" t="s">
        <v>1194</v>
      </c>
      <c r="H171" s="123">
        <v>8</v>
      </c>
      <c r="I171" s="124">
        <v>3.45</v>
      </c>
      <c r="J171" s="124">
        <f t="shared" si="11"/>
        <v>27.6</v>
      </c>
      <c r="K171" s="121" t="s">
        <v>1</v>
      </c>
      <c r="L171" s="24"/>
      <c r="M171" s="125" t="s">
        <v>1</v>
      </c>
      <c r="N171" s="126" t="s">
        <v>32</v>
      </c>
      <c r="O171" s="127">
        <v>0</v>
      </c>
      <c r="P171" s="127">
        <f t="shared" si="12"/>
        <v>0</v>
      </c>
      <c r="Q171" s="127">
        <v>0</v>
      </c>
      <c r="R171" s="127">
        <f t="shared" si="13"/>
        <v>0</v>
      </c>
      <c r="S171" s="127">
        <v>0</v>
      </c>
      <c r="T171" s="128">
        <f t="shared" si="14"/>
        <v>0</v>
      </c>
      <c r="W171" s="199"/>
      <c r="X171" s="119" t="s">
        <v>312</v>
      </c>
      <c r="Y171" s="119" t="s">
        <v>231</v>
      </c>
      <c r="Z171" s="120" t="s">
        <v>3877</v>
      </c>
      <c r="AA171" s="121" t="s">
        <v>3878</v>
      </c>
      <c r="AB171" s="122" t="s">
        <v>1194</v>
      </c>
      <c r="AC171" s="123">
        <v>8</v>
      </c>
      <c r="AD171" s="124">
        <v>3.45</v>
      </c>
      <c r="AE171" s="200">
        <f t="shared" si="4"/>
        <v>27.6</v>
      </c>
      <c r="AF171" s="227"/>
      <c r="AG171" s="396"/>
      <c r="AI171" s="397"/>
      <c r="AR171" s="129" t="s">
        <v>347</v>
      </c>
      <c r="AT171" s="129" t="s">
        <v>231</v>
      </c>
      <c r="AU171" s="129" t="s">
        <v>63</v>
      </c>
      <c r="AY171" s="13" t="s">
        <v>228</v>
      </c>
      <c r="BE171" s="130">
        <f t="shared" si="15"/>
        <v>0</v>
      </c>
      <c r="BF171" s="130">
        <f t="shared" si="16"/>
        <v>27.6</v>
      </c>
      <c r="BG171" s="130">
        <f t="shared" si="17"/>
        <v>0</v>
      </c>
      <c r="BH171" s="130">
        <f t="shared" si="18"/>
        <v>0</v>
      </c>
      <c r="BI171" s="130">
        <f t="shared" si="19"/>
        <v>0</v>
      </c>
      <c r="BJ171" s="13" t="s">
        <v>76</v>
      </c>
      <c r="BK171" s="130">
        <f t="shared" si="20"/>
        <v>27.6</v>
      </c>
      <c r="BL171" s="13" t="s">
        <v>347</v>
      </c>
      <c r="BM171" s="129" t="s">
        <v>389</v>
      </c>
    </row>
    <row r="172" spans="2:65" s="1" customFormat="1" ht="24" customHeight="1" x14ac:dyDescent="0.2">
      <c r="B172" s="118"/>
      <c r="C172" s="131" t="s">
        <v>390</v>
      </c>
      <c r="D172" s="131" t="s">
        <v>277</v>
      </c>
      <c r="E172" s="132" t="s">
        <v>3879</v>
      </c>
      <c r="F172" s="133" t="s">
        <v>3880</v>
      </c>
      <c r="G172" s="134" t="s">
        <v>1194</v>
      </c>
      <c r="H172" s="135">
        <v>8</v>
      </c>
      <c r="I172" s="136">
        <v>1.35</v>
      </c>
      <c r="J172" s="136">
        <f t="shared" si="11"/>
        <v>10.8</v>
      </c>
      <c r="K172" s="133" t="s">
        <v>1</v>
      </c>
      <c r="L172" s="137"/>
      <c r="M172" s="138" t="s">
        <v>1</v>
      </c>
      <c r="N172" s="139" t="s">
        <v>32</v>
      </c>
      <c r="O172" s="127">
        <v>0</v>
      </c>
      <c r="P172" s="127">
        <f t="shared" si="12"/>
        <v>0</v>
      </c>
      <c r="Q172" s="127">
        <v>0</v>
      </c>
      <c r="R172" s="127">
        <f t="shared" si="13"/>
        <v>0</v>
      </c>
      <c r="S172" s="127">
        <v>0</v>
      </c>
      <c r="T172" s="128">
        <f t="shared" si="14"/>
        <v>0</v>
      </c>
      <c r="W172" s="199"/>
      <c r="X172" s="131" t="s">
        <v>390</v>
      </c>
      <c r="Y172" s="131" t="s">
        <v>277</v>
      </c>
      <c r="Z172" s="132" t="s">
        <v>3879</v>
      </c>
      <c r="AA172" s="133" t="s">
        <v>3880</v>
      </c>
      <c r="AB172" s="134" t="s">
        <v>1194</v>
      </c>
      <c r="AC172" s="135">
        <v>8</v>
      </c>
      <c r="AD172" s="136">
        <v>1.35</v>
      </c>
      <c r="AE172" s="229">
        <f t="shared" si="4"/>
        <v>10.8</v>
      </c>
      <c r="AF172" s="227"/>
      <c r="AG172" s="396"/>
      <c r="AI172" s="397"/>
      <c r="AR172" s="129" t="s">
        <v>705</v>
      </c>
      <c r="AT172" s="129" t="s">
        <v>277</v>
      </c>
      <c r="AU172" s="129" t="s">
        <v>63</v>
      </c>
      <c r="AY172" s="13" t="s">
        <v>228</v>
      </c>
      <c r="BE172" s="130">
        <f t="shared" si="15"/>
        <v>0</v>
      </c>
      <c r="BF172" s="130">
        <f t="shared" si="16"/>
        <v>10.8</v>
      </c>
      <c r="BG172" s="130">
        <f t="shared" si="17"/>
        <v>0</v>
      </c>
      <c r="BH172" s="130">
        <f t="shared" si="18"/>
        <v>0</v>
      </c>
      <c r="BI172" s="130">
        <f t="shared" si="19"/>
        <v>0</v>
      </c>
      <c r="BJ172" s="13" t="s">
        <v>76</v>
      </c>
      <c r="BK172" s="130">
        <f t="shared" si="20"/>
        <v>10.8</v>
      </c>
      <c r="BL172" s="13" t="s">
        <v>347</v>
      </c>
      <c r="BM172" s="129" t="s">
        <v>393</v>
      </c>
    </row>
    <row r="173" spans="2:65" s="1" customFormat="1" ht="16.5" customHeight="1" x14ac:dyDescent="0.2">
      <c r="B173" s="118"/>
      <c r="C173" s="205" t="s">
        <v>316</v>
      </c>
      <c r="D173" s="119" t="s">
        <v>231</v>
      </c>
      <c r="E173" s="120" t="s">
        <v>3881</v>
      </c>
      <c r="F173" s="121" t="s">
        <v>3882</v>
      </c>
      <c r="G173" s="122" t="s">
        <v>1194</v>
      </c>
      <c r="H173" s="206">
        <v>16</v>
      </c>
      <c r="I173" s="124">
        <v>4.8099999999999996</v>
      </c>
      <c r="J173" s="124">
        <f t="shared" si="11"/>
        <v>76.959999999999994</v>
      </c>
      <c r="K173" s="121" t="s">
        <v>1</v>
      </c>
      <c r="L173" s="24"/>
      <c r="M173" s="125" t="s">
        <v>1</v>
      </c>
      <c r="N173" s="126" t="s">
        <v>32</v>
      </c>
      <c r="O173" s="127">
        <v>0</v>
      </c>
      <c r="P173" s="127">
        <f t="shared" si="12"/>
        <v>0</v>
      </c>
      <c r="Q173" s="127">
        <v>0</v>
      </c>
      <c r="R173" s="127">
        <f t="shared" si="13"/>
        <v>0</v>
      </c>
      <c r="S173" s="127">
        <v>0</v>
      </c>
      <c r="T173" s="128">
        <f t="shared" si="14"/>
        <v>0</v>
      </c>
      <c r="W173" s="199"/>
      <c r="X173" s="205" t="s">
        <v>316</v>
      </c>
      <c r="Y173" s="119" t="s">
        <v>231</v>
      </c>
      <c r="Z173" s="120" t="s">
        <v>3881</v>
      </c>
      <c r="AA173" s="121" t="s">
        <v>3882</v>
      </c>
      <c r="AB173" s="122" t="s">
        <v>1194</v>
      </c>
      <c r="AC173" s="206">
        <f>16+14</f>
        <v>30</v>
      </c>
      <c r="AD173" s="124">
        <v>4.8099999999999996</v>
      </c>
      <c r="AE173" s="200">
        <f t="shared" si="4"/>
        <v>144.30000000000001</v>
      </c>
      <c r="AF173" s="227">
        <v>2</v>
      </c>
      <c r="AG173" s="396"/>
      <c r="AI173" s="397"/>
      <c r="AR173" s="129" t="s">
        <v>347</v>
      </c>
      <c r="AT173" s="129" t="s">
        <v>231</v>
      </c>
      <c r="AU173" s="129" t="s">
        <v>63</v>
      </c>
      <c r="AY173" s="13" t="s">
        <v>228</v>
      </c>
      <c r="BE173" s="130">
        <f t="shared" si="15"/>
        <v>0</v>
      </c>
      <c r="BF173" s="130">
        <f t="shared" si="16"/>
        <v>76.959999999999994</v>
      </c>
      <c r="BG173" s="130">
        <f t="shared" si="17"/>
        <v>0</v>
      </c>
      <c r="BH173" s="130">
        <f t="shared" si="18"/>
        <v>0</v>
      </c>
      <c r="BI173" s="130">
        <f t="shared" si="19"/>
        <v>0</v>
      </c>
      <c r="BJ173" s="13" t="s">
        <v>76</v>
      </c>
      <c r="BK173" s="130">
        <f t="shared" si="20"/>
        <v>76.959999999999994</v>
      </c>
      <c r="BL173" s="13" t="s">
        <v>347</v>
      </c>
      <c r="BM173" s="129" t="s">
        <v>396</v>
      </c>
    </row>
    <row r="174" spans="2:65" s="1" customFormat="1" ht="24" customHeight="1" x14ac:dyDescent="0.2">
      <c r="B174" s="118"/>
      <c r="C174" s="242" t="s">
        <v>397</v>
      </c>
      <c r="D174" s="131" t="s">
        <v>277</v>
      </c>
      <c r="E174" s="132" t="s">
        <v>3883</v>
      </c>
      <c r="F174" s="133" t="s">
        <v>3884</v>
      </c>
      <c r="G174" s="134" t="s">
        <v>1194</v>
      </c>
      <c r="H174" s="241">
        <v>16</v>
      </c>
      <c r="I174" s="136">
        <v>0.87</v>
      </c>
      <c r="J174" s="136">
        <f t="shared" si="11"/>
        <v>13.92</v>
      </c>
      <c r="K174" s="133" t="s">
        <v>1</v>
      </c>
      <c r="L174" s="137"/>
      <c r="M174" s="138" t="s">
        <v>1</v>
      </c>
      <c r="N174" s="139" t="s">
        <v>32</v>
      </c>
      <c r="O174" s="127">
        <v>0</v>
      </c>
      <c r="P174" s="127">
        <f t="shared" si="12"/>
        <v>0</v>
      </c>
      <c r="Q174" s="127">
        <v>0</v>
      </c>
      <c r="R174" s="127">
        <f t="shared" si="13"/>
        <v>0</v>
      </c>
      <c r="S174" s="127">
        <v>0</v>
      </c>
      <c r="T174" s="128">
        <f t="shared" si="14"/>
        <v>0</v>
      </c>
      <c r="W174" s="199"/>
      <c r="X174" s="242" t="s">
        <v>397</v>
      </c>
      <c r="Y174" s="131" t="s">
        <v>277</v>
      </c>
      <c r="Z174" s="132" t="s">
        <v>3883</v>
      </c>
      <c r="AA174" s="133" t="s">
        <v>3884</v>
      </c>
      <c r="AB174" s="134" t="s">
        <v>1194</v>
      </c>
      <c r="AC174" s="241">
        <f>16+14</f>
        <v>30</v>
      </c>
      <c r="AD174" s="136">
        <v>0.87</v>
      </c>
      <c r="AE174" s="229">
        <f t="shared" si="4"/>
        <v>26.1</v>
      </c>
      <c r="AF174" s="227">
        <v>2</v>
      </c>
      <c r="AG174" s="396"/>
      <c r="AI174" s="397"/>
      <c r="AR174" s="129" t="s">
        <v>705</v>
      </c>
      <c r="AT174" s="129" t="s">
        <v>277</v>
      </c>
      <c r="AU174" s="129" t="s">
        <v>63</v>
      </c>
      <c r="AY174" s="13" t="s">
        <v>228</v>
      </c>
      <c r="BE174" s="130">
        <f t="shared" si="15"/>
        <v>0</v>
      </c>
      <c r="BF174" s="130">
        <f t="shared" si="16"/>
        <v>13.92</v>
      </c>
      <c r="BG174" s="130">
        <f t="shared" si="17"/>
        <v>0</v>
      </c>
      <c r="BH174" s="130">
        <f t="shared" si="18"/>
        <v>0</v>
      </c>
      <c r="BI174" s="130">
        <f t="shared" si="19"/>
        <v>0</v>
      </c>
      <c r="BJ174" s="13" t="s">
        <v>76</v>
      </c>
      <c r="BK174" s="130">
        <f t="shared" si="20"/>
        <v>13.92</v>
      </c>
      <c r="BL174" s="13" t="s">
        <v>347</v>
      </c>
      <c r="BM174" s="129" t="s">
        <v>400</v>
      </c>
    </row>
    <row r="175" spans="2:65" s="1" customFormat="1" ht="16.5" customHeight="1" x14ac:dyDescent="0.2">
      <c r="B175" s="118"/>
      <c r="C175" s="205" t="s">
        <v>319</v>
      </c>
      <c r="D175" s="119" t="s">
        <v>231</v>
      </c>
      <c r="E175" s="120" t="s">
        <v>3885</v>
      </c>
      <c r="F175" s="121" t="s">
        <v>3886</v>
      </c>
      <c r="G175" s="122" t="s">
        <v>1194</v>
      </c>
      <c r="H175" s="206">
        <v>8</v>
      </c>
      <c r="I175" s="124">
        <v>13.22</v>
      </c>
      <c r="J175" s="124">
        <f t="shared" si="11"/>
        <v>105.76</v>
      </c>
      <c r="K175" s="121" t="s">
        <v>1</v>
      </c>
      <c r="L175" s="24"/>
      <c r="M175" s="125" t="s">
        <v>1</v>
      </c>
      <c r="N175" s="126" t="s">
        <v>32</v>
      </c>
      <c r="O175" s="127">
        <v>0</v>
      </c>
      <c r="P175" s="127">
        <f t="shared" si="12"/>
        <v>0</v>
      </c>
      <c r="Q175" s="127">
        <v>0</v>
      </c>
      <c r="R175" s="127">
        <f t="shared" si="13"/>
        <v>0</v>
      </c>
      <c r="S175" s="127">
        <v>0</v>
      </c>
      <c r="T175" s="128">
        <f t="shared" si="14"/>
        <v>0</v>
      </c>
      <c r="W175" s="199"/>
      <c r="X175" s="205" t="s">
        <v>319</v>
      </c>
      <c r="Y175" s="119" t="s">
        <v>231</v>
      </c>
      <c r="Z175" s="120" t="s">
        <v>3885</v>
      </c>
      <c r="AA175" s="121" t="s">
        <v>3886</v>
      </c>
      <c r="AB175" s="122" t="s">
        <v>1194</v>
      </c>
      <c r="AC175" s="206">
        <f>8+2</f>
        <v>10</v>
      </c>
      <c r="AD175" s="124">
        <v>13.22</v>
      </c>
      <c r="AE175" s="200">
        <f t="shared" si="4"/>
        <v>132.19999999999999</v>
      </c>
      <c r="AF175" s="227">
        <v>2</v>
      </c>
      <c r="AG175" s="396"/>
      <c r="AI175" s="397"/>
      <c r="AR175" s="129" t="s">
        <v>347</v>
      </c>
      <c r="AT175" s="129" t="s">
        <v>231</v>
      </c>
      <c r="AU175" s="129" t="s">
        <v>63</v>
      </c>
      <c r="AY175" s="13" t="s">
        <v>228</v>
      </c>
      <c r="BE175" s="130">
        <f t="shared" si="15"/>
        <v>0</v>
      </c>
      <c r="BF175" s="130">
        <f t="shared" si="16"/>
        <v>105.76</v>
      </c>
      <c r="BG175" s="130">
        <f t="shared" si="17"/>
        <v>0</v>
      </c>
      <c r="BH175" s="130">
        <f t="shared" si="18"/>
        <v>0</v>
      </c>
      <c r="BI175" s="130">
        <f t="shared" si="19"/>
        <v>0</v>
      </c>
      <c r="BJ175" s="13" t="s">
        <v>76</v>
      </c>
      <c r="BK175" s="130">
        <f t="shared" si="20"/>
        <v>105.76</v>
      </c>
      <c r="BL175" s="13" t="s">
        <v>347</v>
      </c>
      <c r="BM175" s="129" t="s">
        <v>404</v>
      </c>
    </row>
    <row r="176" spans="2:65" s="1" customFormat="1" ht="24" customHeight="1" x14ac:dyDescent="0.2">
      <c r="B176" s="118"/>
      <c r="C176" s="242" t="s">
        <v>407</v>
      </c>
      <c r="D176" s="131" t="s">
        <v>277</v>
      </c>
      <c r="E176" s="132" t="s">
        <v>3887</v>
      </c>
      <c r="F176" s="133" t="s">
        <v>3888</v>
      </c>
      <c r="G176" s="134" t="s">
        <v>1194</v>
      </c>
      <c r="H176" s="241">
        <v>8</v>
      </c>
      <c r="I176" s="136">
        <v>5.61</v>
      </c>
      <c r="J176" s="136">
        <f t="shared" si="11"/>
        <v>44.88</v>
      </c>
      <c r="K176" s="133" t="s">
        <v>1</v>
      </c>
      <c r="L176" s="137"/>
      <c r="M176" s="138" t="s">
        <v>1</v>
      </c>
      <c r="N176" s="139" t="s">
        <v>32</v>
      </c>
      <c r="O176" s="127">
        <v>0</v>
      </c>
      <c r="P176" s="127">
        <f t="shared" si="12"/>
        <v>0</v>
      </c>
      <c r="Q176" s="127">
        <v>0</v>
      </c>
      <c r="R176" s="127">
        <f t="shared" si="13"/>
        <v>0</v>
      </c>
      <c r="S176" s="127">
        <v>0</v>
      </c>
      <c r="T176" s="128">
        <f t="shared" si="14"/>
        <v>0</v>
      </c>
      <c r="W176" s="199"/>
      <c r="X176" s="242" t="s">
        <v>407</v>
      </c>
      <c r="Y176" s="131" t="s">
        <v>277</v>
      </c>
      <c r="Z176" s="132" t="s">
        <v>3887</v>
      </c>
      <c r="AA176" s="133" t="s">
        <v>3888</v>
      </c>
      <c r="AB176" s="134" t="s">
        <v>1194</v>
      </c>
      <c r="AC176" s="241">
        <f>8+2</f>
        <v>10</v>
      </c>
      <c r="AD176" s="136">
        <v>5.61</v>
      </c>
      <c r="AE176" s="229">
        <f t="shared" si="4"/>
        <v>56.1</v>
      </c>
      <c r="AF176" s="227">
        <v>2</v>
      </c>
      <c r="AG176" s="396"/>
      <c r="AI176" s="397"/>
      <c r="AR176" s="129" t="s">
        <v>705</v>
      </c>
      <c r="AT176" s="129" t="s">
        <v>277</v>
      </c>
      <c r="AU176" s="129" t="s">
        <v>63</v>
      </c>
      <c r="AY176" s="13" t="s">
        <v>228</v>
      </c>
      <c r="BE176" s="130">
        <f t="shared" si="15"/>
        <v>0</v>
      </c>
      <c r="BF176" s="130">
        <f t="shared" si="16"/>
        <v>44.88</v>
      </c>
      <c r="BG176" s="130">
        <f t="shared" si="17"/>
        <v>0</v>
      </c>
      <c r="BH176" s="130">
        <f t="shared" si="18"/>
        <v>0</v>
      </c>
      <c r="BI176" s="130">
        <f t="shared" si="19"/>
        <v>0</v>
      </c>
      <c r="BJ176" s="13" t="s">
        <v>76</v>
      </c>
      <c r="BK176" s="130">
        <f t="shared" si="20"/>
        <v>44.88</v>
      </c>
      <c r="BL176" s="13" t="s">
        <v>347</v>
      </c>
      <c r="BM176" s="129" t="s">
        <v>410</v>
      </c>
    </row>
    <row r="177" spans="2:65" s="1" customFormat="1" ht="16.5" customHeight="1" x14ac:dyDescent="0.2">
      <c r="B177" s="118"/>
      <c r="C177" s="205" t="s">
        <v>323</v>
      </c>
      <c r="D177" s="119" t="s">
        <v>231</v>
      </c>
      <c r="E177" s="120" t="s">
        <v>3889</v>
      </c>
      <c r="F177" s="121" t="s">
        <v>3890</v>
      </c>
      <c r="G177" s="122" t="s">
        <v>1194</v>
      </c>
      <c r="H177" s="206">
        <v>16</v>
      </c>
      <c r="I177" s="124">
        <v>6.01</v>
      </c>
      <c r="J177" s="124">
        <f t="shared" si="11"/>
        <v>96.16</v>
      </c>
      <c r="K177" s="121" t="s">
        <v>1</v>
      </c>
      <c r="L177" s="24"/>
      <c r="M177" s="125" t="s">
        <v>1</v>
      </c>
      <c r="N177" s="126" t="s">
        <v>32</v>
      </c>
      <c r="O177" s="127">
        <v>0</v>
      </c>
      <c r="P177" s="127">
        <f t="shared" si="12"/>
        <v>0</v>
      </c>
      <c r="Q177" s="127">
        <v>0</v>
      </c>
      <c r="R177" s="127">
        <f t="shared" si="13"/>
        <v>0</v>
      </c>
      <c r="S177" s="127">
        <v>0</v>
      </c>
      <c r="T177" s="128">
        <f t="shared" si="14"/>
        <v>0</v>
      </c>
      <c r="W177" s="199"/>
      <c r="X177" s="205" t="s">
        <v>323</v>
      </c>
      <c r="Y177" s="119" t="s">
        <v>231</v>
      </c>
      <c r="Z177" s="120" t="s">
        <v>3889</v>
      </c>
      <c r="AA177" s="121" t="s">
        <v>3890</v>
      </c>
      <c r="AB177" s="122" t="s">
        <v>1194</v>
      </c>
      <c r="AC177" s="206">
        <f>16+4</f>
        <v>20</v>
      </c>
      <c r="AD177" s="124">
        <v>6.01</v>
      </c>
      <c r="AE177" s="200">
        <f t="shared" si="4"/>
        <v>120.2</v>
      </c>
      <c r="AF177" s="227">
        <v>2</v>
      </c>
      <c r="AG177" s="396"/>
      <c r="AI177" s="397"/>
      <c r="AR177" s="129" t="s">
        <v>347</v>
      </c>
      <c r="AT177" s="129" t="s">
        <v>231</v>
      </c>
      <c r="AU177" s="129" t="s">
        <v>63</v>
      </c>
      <c r="AY177" s="13" t="s">
        <v>228</v>
      </c>
      <c r="BE177" s="130">
        <f t="shared" si="15"/>
        <v>0</v>
      </c>
      <c r="BF177" s="130">
        <f t="shared" si="16"/>
        <v>96.16</v>
      </c>
      <c r="BG177" s="130">
        <f t="shared" si="17"/>
        <v>0</v>
      </c>
      <c r="BH177" s="130">
        <f t="shared" si="18"/>
        <v>0</v>
      </c>
      <c r="BI177" s="130">
        <f t="shared" si="19"/>
        <v>0</v>
      </c>
      <c r="BJ177" s="13" t="s">
        <v>76</v>
      </c>
      <c r="BK177" s="130">
        <f t="shared" si="20"/>
        <v>96.16</v>
      </c>
      <c r="BL177" s="13" t="s">
        <v>347</v>
      </c>
      <c r="BM177" s="129" t="s">
        <v>414</v>
      </c>
    </row>
    <row r="178" spans="2:65" s="1" customFormat="1" ht="24" customHeight="1" x14ac:dyDescent="0.2">
      <c r="B178" s="118"/>
      <c r="C178" s="242" t="s">
        <v>415</v>
      </c>
      <c r="D178" s="131" t="s">
        <v>277</v>
      </c>
      <c r="E178" s="132" t="s">
        <v>3891</v>
      </c>
      <c r="F178" s="133" t="s">
        <v>3892</v>
      </c>
      <c r="G178" s="134" t="s">
        <v>1194</v>
      </c>
      <c r="H178" s="241">
        <v>16</v>
      </c>
      <c r="I178" s="136">
        <v>0.82</v>
      </c>
      <c r="J178" s="136">
        <f t="shared" si="11"/>
        <v>13.12</v>
      </c>
      <c r="K178" s="133" t="s">
        <v>1</v>
      </c>
      <c r="L178" s="137"/>
      <c r="M178" s="138" t="s">
        <v>1</v>
      </c>
      <c r="N178" s="139" t="s">
        <v>32</v>
      </c>
      <c r="O178" s="127">
        <v>0</v>
      </c>
      <c r="P178" s="127">
        <f t="shared" si="12"/>
        <v>0</v>
      </c>
      <c r="Q178" s="127">
        <v>0</v>
      </c>
      <c r="R178" s="127">
        <f t="shared" si="13"/>
        <v>0</v>
      </c>
      <c r="S178" s="127">
        <v>0</v>
      </c>
      <c r="T178" s="128">
        <f t="shared" si="14"/>
        <v>0</v>
      </c>
      <c r="W178" s="199"/>
      <c r="X178" s="242" t="s">
        <v>415</v>
      </c>
      <c r="Y178" s="131" t="s">
        <v>277</v>
      </c>
      <c r="Z178" s="132" t="s">
        <v>3891</v>
      </c>
      <c r="AA178" s="133" t="s">
        <v>3892</v>
      </c>
      <c r="AB178" s="134" t="s">
        <v>1194</v>
      </c>
      <c r="AC178" s="241">
        <f>16+4</f>
        <v>20</v>
      </c>
      <c r="AD178" s="136">
        <v>0.82</v>
      </c>
      <c r="AE178" s="229">
        <f t="shared" si="4"/>
        <v>16.399999999999999</v>
      </c>
      <c r="AF178" s="227">
        <v>2</v>
      </c>
      <c r="AG178" s="396"/>
      <c r="AI178" s="397"/>
      <c r="AR178" s="129" t="s">
        <v>705</v>
      </c>
      <c r="AT178" s="129" t="s">
        <v>277</v>
      </c>
      <c r="AU178" s="129" t="s">
        <v>63</v>
      </c>
      <c r="AY178" s="13" t="s">
        <v>228</v>
      </c>
      <c r="BE178" s="130">
        <f t="shared" si="15"/>
        <v>0</v>
      </c>
      <c r="BF178" s="130">
        <f t="shared" si="16"/>
        <v>13.12</v>
      </c>
      <c r="BG178" s="130">
        <f t="shared" si="17"/>
        <v>0</v>
      </c>
      <c r="BH178" s="130">
        <f t="shared" si="18"/>
        <v>0</v>
      </c>
      <c r="BI178" s="130">
        <f t="shared" si="19"/>
        <v>0</v>
      </c>
      <c r="BJ178" s="13" t="s">
        <v>76</v>
      </c>
      <c r="BK178" s="130">
        <f t="shared" si="20"/>
        <v>13.12</v>
      </c>
      <c r="BL178" s="13" t="s">
        <v>347</v>
      </c>
      <c r="BM178" s="129" t="s">
        <v>418</v>
      </c>
    </row>
    <row r="179" spans="2:65" s="1" customFormat="1" ht="16.5" customHeight="1" x14ac:dyDescent="0.2">
      <c r="B179" s="118"/>
      <c r="C179" s="205" t="s">
        <v>326</v>
      </c>
      <c r="D179" s="119" t="s">
        <v>231</v>
      </c>
      <c r="E179" s="120" t="s">
        <v>3893</v>
      </c>
      <c r="F179" s="121" t="s">
        <v>3894</v>
      </c>
      <c r="G179" s="122" t="s">
        <v>1194</v>
      </c>
      <c r="H179" s="206">
        <v>8</v>
      </c>
      <c r="I179" s="124">
        <v>9.2899999999999991</v>
      </c>
      <c r="J179" s="124">
        <f t="shared" si="11"/>
        <v>74.319999999999993</v>
      </c>
      <c r="K179" s="121" t="s">
        <v>1</v>
      </c>
      <c r="L179" s="24"/>
      <c r="M179" s="125" t="s">
        <v>1</v>
      </c>
      <c r="N179" s="126" t="s">
        <v>32</v>
      </c>
      <c r="O179" s="127">
        <v>0</v>
      </c>
      <c r="P179" s="127">
        <f t="shared" si="12"/>
        <v>0</v>
      </c>
      <c r="Q179" s="127">
        <v>0</v>
      </c>
      <c r="R179" s="127">
        <f t="shared" si="13"/>
        <v>0</v>
      </c>
      <c r="S179" s="127">
        <v>0</v>
      </c>
      <c r="T179" s="128">
        <f t="shared" si="14"/>
        <v>0</v>
      </c>
      <c r="W179" s="199"/>
      <c r="X179" s="205" t="s">
        <v>326</v>
      </c>
      <c r="Y179" s="119" t="s">
        <v>231</v>
      </c>
      <c r="Z179" s="120" t="s">
        <v>3893</v>
      </c>
      <c r="AA179" s="121" t="s">
        <v>3894</v>
      </c>
      <c r="AB179" s="122" t="s">
        <v>1194</v>
      </c>
      <c r="AC179" s="206">
        <f>8+2</f>
        <v>10</v>
      </c>
      <c r="AD179" s="124">
        <v>9.2899999999999991</v>
      </c>
      <c r="AE179" s="200">
        <f t="shared" si="4"/>
        <v>92.9</v>
      </c>
      <c r="AF179" s="227">
        <v>2</v>
      </c>
      <c r="AG179" s="396"/>
      <c r="AI179" s="397"/>
      <c r="AR179" s="129" t="s">
        <v>347</v>
      </c>
      <c r="AT179" s="129" t="s">
        <v>231</v>
      </c>
      <c r="AU179" s="129" t="s">
        <v>63</v>
      </c>
      <c r="AY179" s="13" t="s">
        <v>228</v>
      </c>
      <c r="BE179" s="130">
        <f t="shared" si="15"/>
        <v>0</v>
      </c>
      <c r="BF179" s="130">
        <f t="shared" si="16"/>
        <v>74.319999999999993</v>
      </c>
      <c r="BG179" s="130">
        <f t="shared" si="17"/>
        <v>0</v>
      </c>
      <c r="BH179" s="130">
        <f t="shared" si="18"/>
        <v>0</v>
      </c>
      <c r="BI179" s="130">
        <f t="shared" si="19"/>
        <v>0</v>
      </c>
      <c r="BJ179" s="13" t="s">
        <v>76</v>
      </c>
      <c r="BK179" s="130">
        <f t="shared" si="20"/>
        <v>74.319999999999993</v>
      </c>
      <c r="BL179" s="13" t="s">
        <v>347</v>
      </c>
      <c r="BM179" s="129" t="s">
        <v>421</v>
      </c>
    </row>
    <row r="180" spans="2:65" s="1" customFormat="1" ht="24" customHeight="1" x14ac:dyDescent="0.2">
      <c r="B180" s="118"/>
      <c r="C180" s="242" t="s">
        <v>422</v>
      </c>
      <c r="D180" s="131" t="s">
        <v>277</v>
      </c>
      <c r="E180" s="132" t="s">
        <v>3895</v>
      </c>
      <c r="F180" s="133" t="s">
        <v>3896</v>
      </c>
      <c r="G180" s="134" t="s">
        <v>1194</v>
      </c>
      <c r="H180" s="241">
        <v>8</v>
      </c>
      <c r="I180" s="136">
        <v>46.73</v>
      </c>
      <c r="J180" s="136">
        <f t="shared" si="11"/>
        <v>373.84</v>
      </c>
      <c r="K180" s="133" t="s">
        <v>1</v>
      </c>
      <c r="L180" s="137"/>
      <c r="M180" s="138" t="s">
        <v>1</v>
      </c>
      <c r="N180" s="139" t="s">
        <v>32</v>
      </c>
      <c r="O180" s="127">
        <v>0</v>
      </c>
      <c r="P180" s="127">
        <f t="shared" si="12"/>
        <v>0</v>
      </c>
      <c r="Q180" s="127">
        <v>0</v>
      </c>
      <c r="R180" s="127">
        <f t="shared" si="13"/>
        <v>0</v>
      </c>
      <c r="S180" s="127">
        <v>0</v>
      </c>
      <c r="T180" s="128">
        <f t="shared" si="14"/>
        <v>0</v>
      </c>
      <c r="W180" s="199"/>
      <c r="X180" s="242" t="s">
        <v>422</v>
      </c>
      <c r="Y180" s="131" t="s">
        <v>277</v>
      </c>
      <c r="Z180" s="132" t="s">
        <v>3895</v>
      </c>
      <c r="AA180" s="133" t="s">
        <v>3896</v>
      </c>
      <c r="AB180" s="134" t="s">
        <v>1194</v>
      </c>
      <c r="AC180" s="241">
        <f>8+2</f>
        <v>10</v>
      </c>
      <c r="AD180" s="136">
        <v>46.73</v>
      </c>
      <c r="AE180" s="229">
        <f t="shared" si="4"/>
        <v>467.3</v>
      </c>
      <c r="AF180" s="227">
        <v>2</v>
      </c>
      <c r="AG180" s="396"/>
      <c r="AI180" s="397"/>
      <c r="AR180" s="129" t="s">
        <v>705</v>
      </c>
      <c r="AT180" s="129" t="s">
        <v>277</v>
      </c>
      <c r="AU180" s="129" t="s">
        <v>63</v>
      </c>
      <c r="AY180" s="13" t="s">
        <v>228</v>
      </c>
      <c r="BE180" s="130">
        <f t="shared" si="15"/>
        <v>0</v>
      </c>
      <c r="BF180" s="130">
        <f t="shared" si="16"/>
        <v>373.84</v>
      </c>
      <c r="BG180" s="130">
        <f t="shared" si="17"/>
        <v>0</v>
      </c>
      <c r="BH180" s="130">
        <f t="shared" si="18"/>
        <v>0</v>
      </c>
      <c r="BI180" s="130">
        <f t="shared" si="19"/>
        <v>0</v>
      </c>
      <c r="BJ180" s="13" t="s">
        <v>76</v>
      </c>
      <c r="BK180" s="130">
        <f t="shared" si="20"/>
        <v>373.84</v>
      </c>
      <c r="BL180" s="13" t="s">
        <v>347</v>
      </c>
      <c r="BM180" s="129" t="s">
        <v>425</v>
      </c>
    </row>
    <row r="181" spans="2:65" s="1" customFormat="1" ht="16.5" customHeight="1" x14ac:dyDescent="0.2">
      <c r="B181" s="118"/>
      <c r="C181" s="119" t="s">
        <v>330</v>
      </c>
      <c r="D181" s="119" t="s">
        <v>231</v>
      </c>
      <c r="E181" s="120" t="s">
        <v>3897</v>
      </c>
      <c r="F181" s="121" t="s">
        <v>3898</v>
      </c>
      <c r="G181" s="122" t="s">
        <v>292</v>
      </c>
      <c r="H181" s="123">
        <v>160</v>
      </c>
      <c r="I181" s="124">
        <v>5.12</v>
      </c>
      <c r="J181" s="124">
        <f t="shared" si="11"/>
        <v>819.2</v>
      </c>
      <c r="K181" s="121" t="s">
        <v>1</v>
      </c>
      <c r="L181" s="24"/>
      <c r="M181" s="125" t="s">
        <v>1</v>
      </c>
      <c r="N181" s="126" t="s">
        <v>32</v>
      </c>
      <c r="O181" s="127">
        <v>0</v>
      </c>
      <c r="P181" s="127">
        <f t="shared" si="12"/>
        <v>0</v>
      </c>
      <c r="Q181" s="127">
        <v>0</v>
      </c>
      <c r="R181" s="127">
        <f t="shared" si="13"/>
        <v>0</v>
      </c>
      <c r="S181" s="127">
        <v>0</v>
      </c>
      <c r="T181" s="128">
        <f t="shared" si="14"/>
        <v>0</v>
      </c>
      <c r="W181" s="199"/>
      <c r="X181" s="119" t="s">
        <v>330</v>
      </c>
      <c r="Y181" s="119" t="s">
        <v>231</v>
      </c>
      <c r="Z181" s="120" t="s">
        <v>3897</v>
      </c>
      <c r="AA181" s="121" t="s">
        <v>3898</v>
      </c>
      <c r="AB181" s="122" t="s">
        <v>292</v>
      </c>
      <c r="AC181" s="123">
        <v>160</v>
      </c>
      <c r="AD181" s="124">
        <v>5.12</v>
      </c>
      <c r="AE181" s="200">
        <f t="shared" si="4"/>
        <v>819.2</v>
      </c>
      <c r="AF181" s="227"/>
      <c r="AG181" s="396"/>
      <c r="AI181" s="397"/>
      <c r="AR181" s="129" t="s">
        <v>347</v>
      </c>
      <c r="AT181" s="129" t="s">
        <v>231</v>
      </c>
      <c r="AU181" s="129" t="s">
        <v>63</v>
      </c>
      <c r="AY181" s="13" t="s">
        <v>228</v>
      </c>
      <c r="BE181" s="130">
        <f t="shared" si="15"/>
        <v>0</v>
      </c>
      <c r="BF181" s="130">
        <f t="shared" si="16"/>
        <v>819.2</v>
      </c>
      <c r="BG181" s="130">
        <f t="shared" si="17"/>
        <v>0</v>
      </c>
      <c r="BH181" s="130">
        <f t="shared" si="18"/>
        <v>0</v>
      </c>
      <c r="BI181" s="130">
        <f t="shared" si="19"/>
        <v>0</v>
      </c>
      <c r="BJ181" s="13" t="s">
        <v>76</v>
      </c>
      <c r="BK181" s="130">
        <f t="shared" si="20"/>
        <v>819.2</v>
      </c>
      <c r="BL181" s="13" t="s">
        <v>347</v>
      </c>
      <c r="BM181" s="129" t="s">
        <v>428</v>
      </c>
    </row>
    <row r="182" spans="2:65" s="1" customFormat="1" ht="16.5" customHeight="1" x14ac:dyDescent="0.2">
      <c r="B182" s="118"/>
      <c r="C182" s="131" t="s">
        <v>429</v>
      </c>
      <c r="D182" s="131" t="s">
        <v>277</v>
      </c>
      <c r="E182" s="132" t="s">
        <v>3899</v>
      </c>
      <c r="F182" s="133" t="s">
        <v>3900</v>
      </c>
      <c r="G182" s="134" t="s">
        <v>1035</v>
      </c>
      <c r="H182" s="135">
        <v>4.05</v>
      </c>
      <c r="I182" s="136">
        <v>5.61</v>
      </c>
      <c r="J182" s="136">
        <f t="shared" si="11"/>
        <v>22.72</v>
      </c>
      <c r="K182" s="133" t="s">
        <v>1</v>
      </c>
      <c r="L182" s="137"/>
      <c r="M182" s="138" t="s">
        <v>1</v>
      </c>
      <c r="N182" s="139" t="s">
        <v>32</v>
      </c>
      <c r="O182" s="127">
        <v>0</v>
      </c>
      <c r="P182" s="127">
        <f t="shared" si="12"/>
        <v>0</v>
      </c>
      <c r="Q182" s="127">
        <v>0</v>
      </c>
      <c r="R182" s="127">
        <f t="shared" si="13"/>
        <v>0</v>
      </c>
      <c r="S182" s="127">
        <v>0</v>
      </c>
      <c r="T182" s="128">
        <f t="shared" si="14"/>
        <v>0</v>
      </c>
      <c r="W182" s="199"/>
      <c r="X182" s="131" t="s">
        <v>429</v>
      </c>
      <c r="Y182" s="131" t="s">
        <v>277</v>
      </c>
      <c r="Z182" s="132" t="s">
        <v>3899</v>
      </c>
      <c r="AA182" s="133" t="s">
        <v>3900</v>
      </c>
      <c r="AB182" s="134" t="s">
        <v>1035</v>
      </c>
      <c r="AC182" s="135">
        <v>4.05</v>
      </c>
      <c r="AD182" s="136">
        <v>5.61</v>
      </c>
      <c r="AE182" s="229">
        <f t="shared" si="4"/>
        <v>22.72</v>
      </c>
      <c r="AF182" s="227"/>
      <c r="AG182" s="396"/>
      <c r="AI182" s="397"/>
      <c r="AR182" s="129" t="s">
        <v>705</v>
      </c>
      <c r="AT182" s="129" t="s">
        <v>277</v>
      </c>
      <c r="AU182" s="129" t="s">
        <v>63</v>
      </c>
      <c r="AY182" s="13" t="s">
        <v>228</v>
      </c>
      <c r="BE182" s="130">
        <f t="shared" si="15"/>
        <v>0</v>
      </c>
      <c r="BF182" s="130">
        <f t="shared" si="16"/>
        <v>22.72</v>
      </c>
      <c r="BG182" s="130">
        <f t="shared" si="17"/>
        <v>0</v>
      </c>
      <c r="BH182" s="130">
        <f t="shared" si="18"/>
        <v>0</v>
      </c>
      <c r="BI182" s="130">
        <f t="shared" si="19"/>
        <v>0</v>
      </c>
      <c r="BJ182" s="13" t="s">
        <v>76</v>
      </c>
      <c r="BK182" s="130">
        <f t="shared" si="20"/>
        <v>22.72</v>
      </c>
      <c r="BL182" s="13" t="s">
        <v>347</v>
      </c>
      <c r="BM182" s="129" t="s">
        <v>432</v>
      </c>
    </row>
    <row r="183" spans="2:65" s="372" customFormat="1" ht="22.8" x14ac:dyDescent="0.2">
      <c r="B183" s="118"/>
      <c r="C183" s="1234" t="s">
        <v>5205</v>
      </c>
      <c r="D183" s="1235"/>
      <c r="E183" s="1235"/>
      <c r="F183" s="1235"/>
      <c r="G183" s="1235"/>
      <c r="H183" s="1235"/>
      <c r="I183" s="1235"/>
      <c r="J183" s="1236"/>
      <c r="K183" s="133"/>
      <c r="L183" s="137"/>
      <c r="M183" s="138"/>
      <c r="N183" s="139"/>
      <c r="O183" s="127"/>
      <c r="P183" s="127"/>
      <c r="Q183" s="127"/>
      <c r="R183" s="127"/>
      <c r="S183" s="127"/>
      <c r="T183" s="128"/>
      <c r="W183" s="199"/>
      <c r="X183" s="207" t="s">
        <v>5937</v>
      </c>
      <c r="Y183" s="207" t="s">
        <v>231</v>
      </c>
      <c r="Z183" s="208" t="s">
        <v>5918</v>
      </c>
      <c r="AA183" s="209" t="s">
        <v>5919</v>
      </c>
      <c r="AB183" s="210" t="s">
        <v>292</v>
      </c>
      <c r="AC183" s="211">
        <v>905</v>
      </c>
      <c r="AD183" s="212">
        <v>0.57999999999999996</v>
      </c>
      <c r="AE183" s="214">
        <f t="shared" si="4"/>
        <v>524.9</v>
      </c>
      <c r="AF183" s="227">
        <v>2</v>
      </c>
      <c r="AG183" s="396"/>
      <c r="AI183" s="397"/>
      <c r="AR183" s="129"/>
      <c r="AT183" s="129"/>
      <c r="AU183" s="129"/>
      <c r="AY183" s="13"/>
      <c r="BE183" s="130"/>
      <c r="BF183" s="130"/>
      <c r="BG183" s="130"/>
      <c r="BH183" s="130"/>
      <c r="BI183" s="130"/>
      <c r="BJ183" s="13"/>
      <c r="BK183" s="130"/>
      <c r="BL183" s="13"/>
      <c r="BM183" s="129"/>
    </row>
    <row r="184" spans="2:65" s="372" customFormat="1" ht="22.8" x14ac:dyDescent="0.2">
      <c r="B184" s="118"/>
      <c r="C184" s="1234" t="s">
        <v>5205</v>
      </c>
      <c r="D184" s="1235"/>
      <c r="E184" s="1235"/>
      <c r="F184" s="1235"/>
      <c r="G184" s="1235"/>
      <c r="H184" s="1235"/>
      <c r="I184" s="1235"/>
      <c r="J184" s="1236"/>
      <c r="K184" s="133"/>
      <c r="L184" s="137"/>
      <c r="M184" s="138"/>
      <c r="N184" s="139"/>
      <c r="O184" s="127"/>
      <c r="P184" s="127"/>
      <c r="Q184" s="127"/>
      <c r="R184" s="127"/>
      <c r="S184" s="127"/>
      <c r="T184" s="128"/>
      <c r="W184" s="199"/>
      <c r="X184" s="386" t="s">
        <v>5938</v>
      </c>
      <c r="Y184" s="386" t="s">
        <v>277</v>
      </c>
      <c r="Z184" s="387" t="s">
        <v>1636</v>
      </c>
      <c r="AA184" s="388" t="s">
        <v>5920</v>
      </c>
      <c r="AB184" s="389" t="s">
        <v>292</v>
      </c>
      <c r="AC184" s="390">
        <v>905</v>
      </c>
      <c r="AD184" s="391">
        <v>1.92</v>
      </c>
      <c r="AE184" s="401">
        <f t="shared" si="4"/>
        <v>1737.6</v>
      </c>
      <c r="AF184" s="227">
        <v>2</v>
      </c>
      <c r="AG184" s="396"/>
      <c r="AI184" s="397"/>
      <c r="AR184" s="129"/>
      <c r="AT184" s="129"/>
      <c r="AU184" s="129"/>
      <c r="AY184" s="13"/>
      <c r="BE184" s="130"/>
      <c r="BF184" s="130"/>
      <c r="BG184" s="130"/>
      <c r="BH184" s="130"/>
      <c r="BI184" s="130"/>
      <c r="BJ184" s="13"/>
      <c r="BK184" s="130"/>
      <c r="BL184" s="13"/>
      <c r="BM184" s="129"/>
    </row>
    <row r="185" spans="2:65" s="372" customFormat="1" ht="22.8" x14ac:dyDescent="0.2">
      <c r="B185" s="118"/>
      <c r="C185" s="1234" t="s">
        <v>5205</v>
      </c>
      <c r="D185" s="1235"/>
      <c r="E185" s="1235"/>
      <c r="F185" s="1235"/>
      <c r="G185" s="1235"/>
      <c r="H185" s="1235"/>
      <c r="I185" s="1235"/>
      <c r="J185" s="1236"/>
      <c r="K185" s="133"/>
      <c r="L185" s="137"/>
      <c r="M185" s="138"/>
      <c r="N185" s="139"/>
      <c r="O185" s="127"/>
      <c r="P185" s="127"/>
      <c r="Q185" s="127"/>
      <c r="R185" s="127"/>
      <c r="S185" s="127"/>
      <c r="T185" s="128"/>
      <c r="W185" s="199"/>
      <c r="X185" s="207" t="s">
        <v>5939</v>
      </c>
      <c r="Y185" s="207" t="s">
        <v>231</v>
      </c>
      <c r="Z185" s="208" t="s">
        <v>5921</v>
      </c>
      <c r="AA185" s="209" t="s">
        <v>5922</v>
      </c>
      <c r="AB185" s="210" t="s">
        <v>292</v>
      </c>
      <c r="AC185" s="211">
        <v>27</v>
      </c>
      <c r="AD185" s="212">
        <v>0.68</v>
      </c>
      <c r="AE185" s="214">
        <f t="shared" si="4"/>
        <v>18.36</v>
      </c>
      <c r="AF185" s="227">
        <v>2</v>
      </c>
      <c r="AG185" s="396"/>
      <c r="AI185" s="397"/>
      <c r="AR185" s="129"/>
      <c r="AT185" s="129"/>
      <c r="AU185" s="129"/>
      <c r="AY185" s="13"/>
      <c r="BE185" s="130"/>
      <c r="BF185" s="130"/>
      <c r="BG185" s="130"/>
      <c r="BH185" s="130"/>
      <c r="BI185" s="130"/>
      <c r="BJ185" s="13"/>
      <c r="BK185" s="130"/>
      <c r="BL185" s="13"/>
      <c r="BM185" s="129"/>
    </row>
    <row r="186" spans="2:65" s="372" customFormat="1" ht="22.8" x14ac:dyDescent="0.2">
      <c r="B186" s="118"/>
      <c r="C186" s="1234" t="s">
        <v>5205</v>
      </c>
      <c r="D186" s="1235"/>
      <c r="E186" s="1235"/>
      <c r="F186" s="1235"/>
      <c r="G186" s="1235"/>
      <c r="H186" s="1235"/>
      <c r="I186" s="1235"/>
      <c r="J186" s="1236"/>
      <c r="K186" s="133"/>
      <c r="L186" s="137"/>
      <c r="M186" s="138"/>
      <c r="N186" s="139"/>
      <c r="O186" s="127"/>
      <c r="P186" s="127"/>
      <c r="Q186" s="127"/>
      <c r="R186" s="127"/>
      <c r="S186" s="127"/>
      <c r="T186" s="128"/>
      <c r="W186" s="199"/>
      <c r="X186" s="386" t="s">
        <v>5940</v>
      </c>
      <c r="Y186" s="386" t="s">
        <v>277</v>
      </c>
      <c r="Z186" s="387" t="s">
        <v>1481</v>
      </c>
      <c r="AA186" s="388" t="s">
        <v>1482</v>
      </c>
      <c r="AB186" s="389" t="s">
        <v>292</v>
      </c>
      <c r="AC186" s="390">
        <v>27</v>
      </c>
      <c r="AD186" s="391">
        <v>11.95</v>
      </c>
      <c r="AE186" s="401">
        <f t="shared" si="4"/>
        <v>322.64999999999998</v>
      </c>
      <c r="AF186" s="227">
        <v>2</v>
      </c>
      <c r="AG186" s="396"/>
      <c r="AI186" s="397"/>
      <c r="AR186" s="129"/>
      <c r="AT186" s="129"/>
      <c r="AU186" s="129"/>
      <c r="AY186" s="13"/>
      <c r="BE186" s="130"/>
      <c r="BF186" s="130"/>
      <c r="BG186" s="130"/>
      <c r="BH186" s="130"/>
      <c r="BI186" s="130"/>
      <c r="BJ186" s="13"/>
      <c r="BK186" s="130"/>
      <c r="BL186" s="13"/>
      <c r="BM186" s="129"/>
    </row>
    <row r="187" spans="2:65" s="1" customFormat="1" ht="24" customHeight="1" x14ac:dyDescent="0.2">
      <c r="B187" s="118"/>
      <c r="C187" s="119" t="s">
        <v>333</v>
      </c>
      <c r="D187" s="119" t="s">
        <v>231</v>
      </c>
      <c r="E187" s="120" t="s">
        <v>1609</v>
      </c>
      <c r="F187" s="121" t="s">
        <v>1610</v>
      </c>
      <c r="G187" s="122" t="s">
        <v>292</v>
      </c>
      <c r="H187" s="123">
        <v>90</v>
      </c>
      <c r="I187" s="124">
        <v>1.24</v>
      </c>
      <c r="J187" s="124">
        <f t="shared" si="11"/>
        <v>111.6</v>
      </c>
      <c r="K187" s="121" t="s">
        <v>1</v>
      </c>
      <c r="L187" s="24"/>
      <c r="M187" s="125" t="s">
        <v>1</v>
      </c>
      <c r="N187" s="126" t="s">
        <v>32</v>
      </c>
      <c r="O187" s="127">
        <v>0</v>
      </c>
      <c r="P187" s="127">
        <f t="shared" si="12"/>
        <v>0</v>
      </c>
      <c r="Q187" s="127">
        <v>0</v>
      </c>
      <c r="R187" s="127">
        <f t="shared" si="13"/>
        <v>0</v>
      </c>
      <c r="S187" s="127">
        <v>0</v>
      </c>
      <c r="T187" s="128">
        <f t="shared" si="14"/>
        <v>0</v>
      </c>
      <c r="W187" s="199"/>
      <c r="X187" s="119" t="s">
        <v>333</v>
      </c>
      <c r="Y187" s="119" t="s">
        <v>231</v>
      </c>
      <c r="Z187" s="120" t="s">
        <v>1609</v>
      </c>
      <c r="AA187" s="121" t="s">
        <v>1610</v>
      </c>
      <c r="AB187" s="122" t="s">
        <v>292</v>
      </c>
      <c r="AC187" s="123">
        <v>90</v>
      </c>
      <c r="AD187" s="124">
        <v>1.24</v>
      </c>
      <c r="AE187" s="200">
        <f t="shared" si="4"/>
        <v>111.6</v>
      </c>
      <c r="AF187" s="227"/>
      <c r="AG187" s="396"/>
      <c r="AI187" s="397"/>
      <c r="AR187" s="129" t="s">
        <v>347</v>
      </c>
      <c r="AT187" s="129" t="s">
        <v>231</v>
      </c>
      <c r="AU187" s="129" t="s">
        <v>63</v>
      </c>
      <c r="AY187" s="13" t="s">
        <v>228</v>
      </c>
      <c r="BE187" s="130">
        <f t="shared" si="15"/>
        <v>0</v>
      </c>
      <c r="BF187" s="130">
        <f t="shared" si="16"/>
        <v>111.6</v>
      </c>
      <c r="BG187" s="130">
        <f t="shared" si="17"/>
        <v>0</v>
      </c>
      <c r="BH187" s="130">
        <f t="shared" si="18"/>
        <v>0</v>
      </c>
      <c r="BI187" s="130">
        <f t="shared" si="19"/>
        <v>0</v>
      </c>
      <c r="BJ187" s="13" t="s">
        <v>76</v>
      </c>
      <c r="BK187" s="130">
        <f t="shared" si="20"/>
        <v>111.6</v>
      </c>
      <c r="BL187" s="13" t="s">
        <v>347</v>
      </c>
      <c r="BM187" s="129" t="s">
        <v>435</v>
      </c>
    </row>
    <row r="188" spans="2:65" s="1" customFormat="1" ht="24" customHeight="1" x14ac:dyDescent="0.2">
      <c r="B188" s="118"/>
      <c r="C188" s="131" t="s">
        <v>438</v>
      </c>
      <c r="D188" s="131" t="s">
        <v>277</v>
      </c>
      <c r="E188" s="132" t="s">
        <v>1612</v>
      </c>
      <c r="F188" s="133" t="s">
        <v>3901</v>
      </c>
      <c r="G188" s="134" t="s">
        <v>292</v>
      </c>
      <c r="H188" s="135">
        <v>90</v>
      </c>
      <c r="I188" s="136">
        <v>8.42</v>
      </c>
      <c r="J188" s="136">
        <f t="shared" si="11"/>
        <v>757.8</v>
      </c>
      <c r="K188" s="133" t="s">
        <v>1</v>
      </c>
      <c r="L188" s="137"/>
      <c r="M188" s="138" t="s">
        <v>1</v>
      </c>
      <c r="N188" s="139" t="s">
        <v>32</v>
      </c>
      <c r="O188" s="127">
        <v>0</v>
      </c>
      <c r="P188" s="127">
        <f t="shared" si="12"/>
        <v>0</v>
      </c>
      <c r="Q188" s="127">
        <v>5.8E-4</v>
      </c>
      <c r="R188" s="127">
        <f t="shared" si="13"/>
        <v>5.2200000000000003E-2</v>
      </c>
      <c r="S188" s="127">
        <v>0</v>
      </c>
      <c r="T188" s="128">
        <f t="shared" si="14"/>
        <v>0</v>
      </c>
      <c r="W188" s="199"/>
      <c r="X188" s="131" t="s">
        <v>438</v>
      </c>
      <c r="Y188" s="131" t="s">
        <v>277</v>
      </c>
      <c r="Z188" s="132" t="s">
        <v>1612</v>
      </c>
      <c r="AA188" s="133" t="s">
        <v>3901</v>
      </c>
      <c r="AB188" s="134" t="s">
        <v>292</v>
      </c>
      <c r="AC188" s="135">
        <v>90</v>
      </c>
      <c r="AD188" s="136">
        <v>8.42</v>
      </c>
      <c r="AE188" s="229">
        <f t="shared" si="4"/>
        <v>757.8</v>
      </c>
      <c r="AF188" s="227"/>
      <c r="AG188" s="396"/>
      <c r="AI188" s="397"/>
      <c r="AR188" s="129" t="s">
        <v>705</v>
      </c>
      <c r="AT188" s="129" t="s">
        <v>277</v>
      </c>
      <c r="AU188" s="129" t="s">
        <v>63</v>
      </c>
      <c r="AY188" s="13" t="s">
        <v>228</v>
      </c>
      <c r="BE188" s="130">
        <f t="shared" si="15"/>
        <v>0</v>
      </c>
      <c r="BF188" s="130">
        <f t="shared" si="16"/>
        <v>757.8</v>
      </c>
      <c r="BG188" s="130">
        <f t="shared" si="17"/>
        <v>0</v>
      </c>
      <c r="BH188" s="130">
        <f t="shared" si="18"/>
        <v>0</v>
      </c>
      <c r="BI188" s="130">
        <f t="shared" si="19"/>
        <v>0</v>
      </c>
      <c r="BJ188" s="13" t="s">
        <v>76</v>
      </c>
      <c r="BK188" s="130">
        <f t="shared" si="20"/>
        <v>757.8</v>
      </c>
      <c r="BL188" s="13" t="s">
        <v>347</v>
      </c>
      <c r="BM188" s="129" t="s">
        <v>441</v>
      </c>
    </row>
    <row r="189" spans="2:65" s="1" customFormat="1" ht="24" customHeight="1" x14ac:dyDescent="0.2">
      <c r="B189" s="118"/>
      <c r="C189" s="205" t="s">
        <v>337</v>
      </c>
      <c r="D189" s="119" t="s">
        <v>231</v>
      </c>
      <c r="E189" s="120" t="s">
        <v>1615</v>
      </c>
      <c r="F189" s="121" t="s">
        <v>1622</v>
      </c>
      <c r="G189" s="122" t="s">
        <v>292</v>
      </c>
      <c r="H189" s="206">
        <v>750</v>
      </c>
      <c r="I189" s="124">
        <v>1.24</v>
      </c>
      <c r="J189" s="124">
        <f t="shared" si="11"/>
        <v>930</v>
      </c>
      <c r="K189" s="121" t="s">
        <v>1</v>
      </c>
      <c r="L189" s="24"/>
      <c r="M189" s="125" t="s">
        <v>1</v>
      </c>
      <c r="N189" s="126" t="s">
        <v>32</v>
      </c>
      <c r="O189" s="127">
        <v>0</v>
      </c>
      <c r="P189" s="127">
        <f t="shared" si="12"/>
        <v>0</v>
      </c>
      <c r="Q189" s="127">
        <v>0</v>
      </c>
      <c r="R189" s="127">
        <f t="shared" si="13"/>
        <v>0</v>
      </c>
      <c r="S189" s="127">
        <v>0</v>
      </c>
      <c r="T189" s="128">
        <f t="shared" si="14"/>
        <v>0</v>
      </c>
      <c r="W189" s="199"/>
      <c r="X189" s="205" t="s">
        <v>337</v>
      </c>
      <c r="Y189" s="119" t="s">
        <v>231</v>
      </c>
      <c r="Z189" s="120" t="s">
        <v>1615</v>
      </c>
      <c r="AA189" s="121" t="s">
        <v>1622</v>
      </c>
      <c r="AB189" s="122" t="s">
        <v>292</v>
      </c>
      <c r="AC189" s="206">
        <f>750+350</f>
        <v>1100</v>
      </c>
      <c r="AD189" s="124">
        <v>1.24</v>
      </c>
      <c r="AE189" s="200">
        <f t="shared" si="4"/>
        <v>1364</v>
      </c>
      <c r="AF189" s="227">
        <v>2</v>
      </c>
      <c r="AG189" s="396"/>
      <c r="AI189" s="397"/>
      <c r="AR189" s="129" t="s">
        <v>347</v>
      </c>
      <c r="AT189" s="129" t="s">
        <v>231</v>
      </c>
      <c r="AU189" s="129" t="s">
        <v>63</v>
      </c>
      <c r="AY189" s="13" t="s">
        <v>228</v>
      </c>
      <c r="BE189" s="130">
        <f t="shared" si="15"/>
        <v>0</v>
      </c>
      <c r="BF189" s="130">
        <f t="shared" si="16"/>
        <v>930</v>
      </c>
      <c r="BG189" s="130">
        <f t="shared" si="17"/>
        <v>0</v>
      </c>
      <c r="BH189" s="130">
        <f t="shared" si="18"/>
        <v>0</v>
      </c>
      <c r="BI189" s="130">
        <f t="shared" si="19"/>
        <v>0</v>
      </c>
      <c r="BJ189" s="13" t="s">
        <v>76</v>
      </c>
      <c r="BK189" s="130">
        <f t="shared" si="20"/>
        <v>930</v>
      </c>
      <c r="BL189" s="13" t="s">
        <v>347</v>
      </c>
      <c r="BM189" s="129" t="s">
        <v>444</v>
      </c>
    </row>
    <row r="190" spans="2:65" s="1" customFormat="1" ht="24" customHeight="1" x14ac:dyDescent="0.2">
      <c r="B190" s="118"/>
      <c r="C190" s="242" t="s">
        <v>445</v>
      </c>
      <c r="D190" s="131" t="s">
        <v>277</v>
      </c>
      <c r="E190" s="132" t="s">
        <v>1618</v>
      </c>
      <c r="F190" s="133" t="s">
        <v>3902</v>
      </c>
      <c r="G190" s="134" t="s">
        <v>292</v>
      </c>
      <c r="H190" s="241">
        <v>750</v>
      </c>
      <c r="I190" s="136">
        <v>1.49</v>
      </c>
      <c r="J190" s="136">
        <f t="shared" si="11"/>
        <v>1117.5</v>
      </c>
      <c r="K190" s="133" t="s">
        <v>1</v>
      </c>
      <c r="L190" s="137"/>
      <c r="M190" s="138" t="s">
        <v>1</v>
      </c>
      <c r="N190" s="139" t="s">
        <v>32</v>
      </c>
      <c r="O190" s="127">
        <v>0</v>
      </c>
      <c r="P190" s="127">
        <f t="shared" si="12"/>
        <v>0</v>
      </c>
      <c r="Q190" s="127">
        <v>2.9999999999999997E-4</v>
      </c>
      <c r="R190" s="127">
        <f t="shared" si="13"/>
        <v>0.22499999999999998</v>
      </c>
      <c r="S190" s="127">
        <v>0</v>
      </c>
      <c r="T190" s="128">
        <f t="shared" si="14"/>
        <v>0</v>
      </c>
      <c r="W190" s="199"/>
      <c r="X190" s="242" t="s">
        <v>445</v>
      </c>
      <c r="Y190" s="131" t="s">
        <v>277</v>
      </c>
      <c r="Z190" s="132" t="s">
        <v>1618</v>
      </c>
      <c r="AA190" s="133" t="s">
        <v>3902</v>
      </c>
      <c r="AB190" s="134" t="s">
        <v>292</v>
      </c>
      <c r="AC190" s="241">
        <f>750+350</f>
        <v>1100</v>
      </c>
      <c r="AD190" s="136">
        <v>1.49</v>
      </c>
      <c r="AE190" s="229">
        <f t="shared" si="4"/>
        <v>1639</v>
      </c>
      <c r="AF190" s="227">
        <v>2</v>
      </c>
      <c r="AG190" s="396"/>
      <c r="AI190" s="397"/>
      <c r="AR190" s="129" t="s">
        <v>705</v>
      </c>
      <c r="AT190" s="129" t="s">
        <v>277</v>
      </c>
      <c r="AU190" s="129" t="s">
        <v>63</v>
      </c>
      <c r="AY190" s="13" t="s">
        <v>228</v>
      </c>
      <c r="BE190" s="130">
        <f t="shared" si="15"/>
        <v>0</v>
      </c>
      <c r="BF190" s="130">
        <f t="shared" si="16"/>
        <v>1117.5</v>
      </c>
      <c r="BG190" s="130">
        <f t="shared" si="17"/>
        <v>0</v>
      </c>
      <c r="BH190" s="130">
        <f t="shared" si="18"/>
        <v>0</v>
      </c>
      <c r="BI190" s="130">
        <f t="shared" si="19"/>
        <v>0</v>
      </c>
      <c r="BJ190" s="13" t="s">
        <v>76</v>
      </c>
      <c r="BK190" s="130">
        <f t="shared" si="20"/>
        <v>1117.5</v>
      </c>
      <c r="BL190" s="13" t="s">
        <v>347</v>
      </c>
      <c r="BM190" s="129" t="s">
        <v>448</v>
      </c>
    </row>
    <row r="191" spans="2:65" s="1" customFormat="1" ht="24" customHeight="1" x14ac:dyDescent="0.2">
      <c r="B191" s="118"/>
      <c r="C191" s="119" t="s">
        <v>340</v>
      </c>
      <c r="D191" s="119" t="s">
        <v>231</v>
      </c>
      <c r="E191" s="120" t="s">
        <v>1621</v>
      </c>
      <c r="F191" s="121" t="s">
        <v>1616</v>
      </c>
      <c r="G191" s="122" t="s">
        <v>292</v>
      </c>
      <c r="H191" s="123">
        <v>200</v>
      </c>
      <c r="I191" s="124">
        <v>1.24</v>
      </c>
      <c r="J191" s="124">
        <f t="shared" si="11"/>
        <v>248</v>
      </c>
      <c r="K191" s="121" t="s">
        <v>1</v>
      </c>
      <c r="L191" s="24"/>
      <c r="M191" s="125" t="s">
        <v>1</v>
      </c>
      <c r="N191" s="126" t="s">
        <v>32</v>
      </c>
      <c r="O191" s="127">
        <v>0</v>
      </c>
      <c r="P191" s="127">
        <f t="shared" si="12"/>
        <v>0</v>
      </c>
      <c r="Q191" s="127">
        <v>0</v>
      </c>
      <c r="R191" s="127">
        <f t="shared" si="13"/>
        <v>0</v>
      </c>
      <c r="S191" s="127">
        <v>0</v>
      </c>
      <c r="T191" s="128">
        <f t="shared" si="14"/>
        <v>0</v>
      </c>
      <c r="W191" s="199"/>
      <c r="X191" s="119" t="s">
        <v>340</v>
      </c>
      <c r="Y191" s="119" t="s">
        <v>231</v>
      </c>
      <c r="Z191" s="120" t="s">
        <v>1621</v>
      </c>
      <c r="AA191" s="121" t="s">
        <v>1616</v>
      </c>
      <c r="AB191" s="122" t="s">
        <v>292</v>
      </c>
      <c r="AC191" s="123">
        <v>200</v>
      </c>
      <c r="AD191" s="124">
        <v>1.24</v>
      </c>
      <c r="AE191" s="200">
        <f t="shared" si="4"/>
        <v>248</v>
      </c>
      <c r="AF191" s="227"/>
      <c r="AG191" s="396"/>
      <c r="AI191" s="397"/>
      <c r="AR191" s="129" t="s">
        <v>347</v>
      </c>
      <c r="AT191" s="129" t="s">
        <v>231</v>
      </c>
      <c r="AU191" s="129" t="s">
        <v>63</v>
      </c>
      <c r="AY191" s="13" t="s">
        <v>228</v>
      </c>
      <c r="BE191" s="130">
        <f t="shared" si="15"/>
        <v>0</v>
      </c>
      <c r="BF191" s="130">
        <f t="shared" si="16"/>
        <v>248</v>
      </c>
      <c r="BG191" s="130">
        <f t="shared" si="17"/>
        <v>0</v>
      </c>
      <c r="BH191" s="130">
        <f t="shared" si="18"/>
        <v>0</v>
      </c>
      <c r="BI191" s="130">
        <f t="shared" si="19"/>
        <v>0</v>
      </c>
      <c r="BJ191" s="13" t="s">
        <v>76</v>
      </c>
      <c r="BK191" s="130">
        <f t="shared" si="20"/>
        <v>248</v>
      </c>
      <c r="BL191" s="13" t="s">
        <v>347</v>
      </c>
      <c r="BM191" s="129" t="s">
        <v>451</v>
      </c>
    </row>
    <row r="192" spans="2:65" s="1" customFormat="1" ht="24" customHeight="1" x14ac:dyDescent="0.2">
      <c r="B192" s="118"/>
      <c r="C192" s="131" t="s">
        <v>452</v>
      </c>
      <c r="D192" s="131" t="s">
        <v>277</v>
      </c>
      <c r="E192" s="132" t="s">
        <v>1624</v>
      </c>
      <c r="F192" s="133" t="s">
        <v>3903</v>
      </c>
      <c r="G192" s="134" t="s">
        <v>292</v>
      </c>
      <c r="H192" s="135">
        <v>200</v>
      </c>
      <c r="I192" s="136">
        <v>1.49</v>
      </c>
      <c r="J192" s="136">
        <f t="shared" si="11"/>
        <v>298</v>
      </c>
      <c r="K192" s="133" t="s">
        <v>1</v>
      </c>
      <c r="L192" s="137"/>
      <c r="M192" s="138" t="s">
        <v>1</v>
      </c>
      <c r="N192" s="139" t="s">
        <v>32</v>
      </c>
      <c r="O192" s="127">
        <v>0</v>
      </c>
      <c r="P192" s="127">
        <f t="shared" si="12"/>
        <v>0</v>
      </c>
      <c r="Q192" s="127">
        <v>2.9999999999999997E-4</v>
      </c>
      <c r="R192" s="127">
        <f t="shared" si="13"/>
        <v>0.06</v>
      </c>
      <c r="S192" s="127">
        <v>0</v>
      </c>
      <c r="T192" s="128">
        <f t="shared" si="14"/>
        <v>0</v>
      </c>
      <c r="W192" s="199"/>
      <c r="X192" s="131" t="s">
        <v>452</v>
      </c>
      <c r="Y192" s="131" t="s">
        <v>277</v>
      </c>
      <c r="Z192" s="132" t="s">
        <v>1624</v>
      </c>
      <c r="AA192" s="133" t="s">
        <v>3903</v>
      </c>
      <c r="AB192" s="134" t="s">
        <v>292</v>
      </c>
      <c r="AC192" s="135">
        <v>200</v>
      </c>
      <c r="AD192" s="136">
        <v>1.49</v>
      </c>
      <c r="AE192" s="229">
        <f t="shared" si="4"/>
        <v>298</v>
      </c>
      <c r="AF192" s="227"/>
      <c r="AG192" s="396"/>
      <c r="AI192" s="397"/>
      <c r="AR192" s="129" t="s">
        <v>705</v>
      </c>
      <c r="AT192" s="129" t="s">
        <v>277</v>
      </c>
      <c r="AU192" s="129" t="s">
        <v>63</v>
      </c>
      <c r="AY192" s="13" t="s">
        <v>228</v>
      </c>
      <c r="BE192" s="130">
        <f t="shared" si="15"/>
        <v>0</v>
      </c>
      <c r="BF192" s="130">
        <f t="shared" si="16"/>
        <v>298</v>
      </c>
      <c r="BG192" s="130">
        <f t="shared" si="17"/>
        <v>0</v>
      </c>
      <c r="BH192" s="130">
        <f t="shared" si="18"/>
        <v>0</v>
      </c>
      <c r="BI192" s="130">
        <f t="shared" si="19"/>
        <v>0</v>
      </c>
      <c r="BJ192" s="13" t="s">
        <v>76</v>
      </c>
      <c r="BK192" s="130">
        <f t="shared" si="20"/>
        <v>298</v>
      </c>
      <c r="BL192" s="13" t="s">
        <v>347</v>
      </c>
      <c r="BM192" s="129" t="s">
        <v>455</v>
      </c>
    </row>
    <row r="193" spans="2:65" s="1" customFormat="1" ht="24" customHeight="1" x14ac:dyDescent="0.2">
      <c r="B193" s="118"/>
      <c r="C193" s="205" t="s">
        <v>344</v>
      </c>
      <c r="D193" s="119" t="s">
        <v>231</v>
      </c>
      <c r="E193" s="120" t="s">
        <v>1627</v>
      </c>
      <c r="F193" s="121" t="s">
        <v>1628</v>
      </c>
      <c r="G193" s="122" t="s">
        <v>292</v>
      </c>
      <c r="H193" s="206">
        <v>2190</v>
      </c>
      <c r="I193" s="124">
        <v>1.24</v>
      </c>
      <c r="J193" s="124">
        <f t="shared" si="11"/>
        <v>2715.6</v>
      </c>
      <c r="K193" s="121" t="s">
        <v>1</v>
      </c>
      <c r="L193" s="24"/>
      <c r="M193" s="125" t="s">
        <v>1</v>
      </c>
      <c r="N193" s="126" t="s">
        <v>32</v>
      </c>
      <c r="O193" s="127">
        <v>0</v>
      </c>
      <c r="P193" s="127">
        <f t="shared" si="12"/>
        <v>0</v>
      </c>
      <c r="Q193" s="127">
        <v>0</v>
      </c>
      <c r="R193" s="127">
        <f t="shared" si="13"/>
        <v>0</v>
      </c>
      <c r="S193" s="127">
        <v>0</v>
      </c>
      <c r="T193" s="128">
        <f t="shared" si="14"/>
        <v>0</v>
      </c>
      <c r="W193" s="199"/>
      <c r="X193" s="205" t="s">
        <v>344</v>
      </c>
      <c r="Y193" s="119" t="s">
        <v>231</v>
      </c>
      <c r="Z193" s="120" t="s">
        <v>1627</v>
      </c>
      <c r="AA193" s="121" t="s">
        <v>1628</v>
      </c>
      <c r="AB193" s="122" t="s">
        <v>292</v>
      </c>
      <c r="AC193" s="206">
        <f>2190+1000</f>
        <v>3190</v>
      </c>
      <c r="AD193" s="124">
        <v>1.24</v>
      </c>
      <c r="AE193" s="200">
        <f t="shared" si="4"/>
        <v>3955.6</v>
      </c>
      <c r="AF193" s="227">
        <v>2</v>
      </c>
      <c r="AG193" s="396"/>
      <c r="AI193" s="397"/>
      <c r="AR193" s="129" t="s">
        <v>347</v>
      </c>
      <c r="AT193" s="129" t="s">
        <v>231</v>
      </c>
      <c r="AU193" s="129" t="s">
        <v>63</v>
      </c>
      <c r="AY193" s="13" t="s">
        <v>228</v>
      </c>
      <c r="BE193" s="130">
        <f t="shared" si="15"/>
        <v>0</v>
      </c>
      <c r="BF193" s="130">
        <f t="shared" si="16"/>
        <v>2715.6</v>
      </c>
      <c r="BG193" s="130">
        <f t="shared" si="17"/>
        <v>0</v>
      </c>
      <c r="BH193" s="130">
        <f t="shared" si="18"/>
        <v>0</v>
      </c>
      <c r="BI193" s="130">
        <f t="shared" si="19"/>
        <v>0</v>
      </c>
      <c r="BJ193" s="13" t="s">
        <v>76</v>
      </c>
      <c r="BK193" s="130">
        <f t="shared" si="20"/>
        <v>2715.6</v>
      </c>
      <c r="BL193" s="13" t="s">
        <v>347</v>
      </c>
      <c r="BM193" s="129" t="s">
        <v>458</v>
      </c>
    </row>
    <row r="194" spans="2:65" s="1" customFormat="1" ht="24" customHeight="1" x14ac:dyDescent="0.2">
      <c r="B194" s="118"/>
      <c r="C194" s="242" t="s">
        <v>459</v>
      </c>
      <c r="D194" s="131" t="s">
        <v>277</v>
      </c>
      <c r="E194" s="132" t="s">
        <v>1630</v>
      </c>
      <c r="F194" s="133" t="s">
        <v>3904</v>
      </c>
      <c r="G194" s="134" t="s">
        <v>292</v>
      </c>
      <c r="H194" s="241">
        <v>2190</v>
      </c>
      <c r="I194" s="136">
        <v>1.83</v>
      </c>
      <c r="J194" s="136">
        <f t="shared" si="11"/>
        <v>4007.7</v>
      </c>
      <c r="K194" s="133" t="s">
        <v>1</v>
      </c>
      <c r="L194" s="137"/>
      <c r="M194" s="138" t="s">
        <v>1</v>
      </c>
      <c r="N194" s="139" t="s">
        <v>32</v>
      </c>
      <c r="O194" s="127">
        <v>0</v>
      </c>
      <c r="P194" s="127">
        <f t="shared" si="12"/>
        <v>0</v>
      </c>
      <c r="Q194" s="127">
        <v>3.5E-4</v>
      </c>
      <c r="R194" s="127">
        <f t="shared" si="13"/>
        <v>0.76649999999999996</v>
      </c>
      <c r="S194" s="127">
        <v>0</v>
      </c>
      <c r="T194" s="128">
        <f t="shared" si="14"/>
        <v>0</v>
      </c>
      <c r="W194" s="199"/>
      <c r="X194" s="242" t="s">
        <v>459</v>
      </c>
      <c r="Y194" s="131" t="s">
        <v>277</v>
      </c>
      <c r="Z194" s="132" t="s">
        <v>1630</v>
      </c>
      <c r="AA194" s="133" t="s">
        <v>3904</v>
      </c>
      <c r="AB194" s="134" t="s">
        <v>292</v>
      </c>
      <c r="AC194" s="241">
        <f>2190+1000</f>
        <v>3190</v>
      </c>
      <c r="AD194" s="136">
        <v>1.83</v>
      </c>
      <c r="AE194" s="229">
        <f t="shared" si="4"/>
        <v>5837.7</v>
      </c>
      <c r="AF194" s="227">
        <v>2</v>
      </c>
      <c r="AG194" s="396"/>
      <c r="AI194" s="397"/>
      <c r="AR194" s="129" t="s">
        <v>705</v>
      </c>
      <c r="AT194" s="129" t="s">
        <v>277</v>
      </c>
      <c r="AU194" s="129" t="s">
        <v>63</v>
      </c>
      <c r="AY194" s="13" t="s">
        <v>228</v>
      </c>
      <c r="BE194" s="130">
        <f t="shared" si="15"/>
        <v>0</v>
      </c>
      <c r="BF194" s="130">
        <f t="shared" si="16"/>
        <v>4007.7</v>
      </c>
      <c r="BG194" s="130">
        <f t="shared" si="17"/>
        <v>0</v>
      </c>
      <c r="BH194" s="130">
        <f t="shared" si="18"/>
        <v>0</v>
      </c>
      <c r="BI194" s="130">
        <f t="shared" si="19"/>
        <v>0</v>
      </c>
      <c r="BJ194" s="13" t="s">
        <v>76</v>
      </c>
      <c r="BK194" s="130">
        <f t="shared" si="20"/>
        <v>4007.7</v>
      </c>
      <c r="BL194" s="13" t="s">
        <v>347</v>
      </c>
      <c r="BM194" s="129" t="s">
        <v>462</v>
      </c>
    </row>
    <row r="195" spans="2:65" s="1" customFormat="1" ht="24" customHeight="1" x14ac:dyDescent="0.2">
      <c r="B195" s="118"/>
      <c r="C195" s="205" t="s">
        <v>347</v>
      </c>
      <c r="D195" s="119" t="s">
        <v>231</v>
      </c>
      <c r="E195" s="120" t="s">
        <v>1478</v>
      </c>
      <c r="F195" s="121" t="s">
        <v>1479</v>
      </c>
      <c r="G195" s="122" t="s">
        <v>292</v>
      </c>
      <c r="H195" s="206">
        <v>18</v>
      </c>
      <c r="I195" s="124">
        <v>1.74</v>
      </c>
      <c r="J195" s="124">
        <f t="shared" si="11"/>
        <v>31.32</v>
      </c>
      <c r="K195" s="121" t="s">
        <v>1</v>
      </c>
      <c r="L195" s="24"/>
      <c r="M195" s="125" t="s">
        <v>1</v>
      </c>
      <c r="N195" s="126" t="s">
        <v>32</v>
      </c>
      <c r="O195" s="127">
        <v>0</v>
      </c>
      <c r="P195" s="127">
        <f t="shared" si="12"/>
        <v>0</v>
      </c>
      <c r="Q195" s="127">
        <v>0</v>
      </c>
      <c r="R195" s="127">
        <f t="shared" si="13"/>
        <v>0</v>
      </c>
      <c r="S195" s="127">
        <v>0</v>
      </c>
      <c r="T195" s="128">
        <f t="shared" si="14"/>
        <v>0</v>
      </c>
      <c r="W195" s="199"/>
      <c r="X195" s="205" t="s">
        <v>347</v>
      </c>
      <c r="Y195" s="119" t="s">
        <v>231</v>
      </c>
      <c r="Z195" s="120" t="s">
        <v>1478</v>
      </c>
      <c r="AA195" s="121" t="s">
        <v>1479</v>
      </c>
      <c r="AB195" s="122" t="s">
        <v>292</v>
      </c>
      <c r="AC195" s="206">
        <f>18+9</f>
        <v>27</v>
      </c>
      <c r="AD195" s="124">
        <v>1.74</v>
      </c>
      <c r="AE195" s="200">
        <f t="shared" si="4"/>
        <v>46.98</v>
      </c>
      <c r="AF195" s="227">
        <v>2</v>
      </c>
      <c r="AG195" s="396"/>
      <c r="AI195" s="397"/>
      <c r="AR195" s="129" t="s">
        <v>347</v>
      </c>
      <c r="AT195" s="129" t="s">
        <v>231</v>
      </c>
      <c r="AU195" s="129" t="s">
        <v>63</v>
      </c>
      <c r="AY195" s="13" t="s">
        <v>228</v>
      </c>
      <c r="BE195" s="130">
        <f t="shared" si="15"/>
        <v>0</v>
      </c>
      <c r="BF195" s="130">
        <f t="shared" si="16"/>
        <v>31.32</v>
      </c>
      <c r="BG195" s="130">
        <f t="shared" si="17"/>
        <v>0</v>
      </c>
      <c r="BH195" s="130">
        <f t="shared" si="18"/>
        <v>0</v>
      </c>
      <c r="BI195" s="130">
        <f t="shared" si="19"/>
        <v>0</v>
      </c>
      <c r="BJ195" s="13" t="s">
        <v>76</v>
      </c>
      <c r="BK195" s="130">
        <f t="shared" si="20"/>
        <v>31.32</v>
      </c>
      <c r="BL195" s="13" t="s">
        <v>347</v>
      </c>
      <c r="BM195" s="129" t="s">
        <v>465</v>
      </c>
    </row>
    <row r="196" spans="2:65" s="1" customFormat="1" ht="16.5" customHeight="1" x14ac:dyDescent="0.2">
      <c r="B196" s="118"/>
      <c r="C196" s="242" t="s">
        <v>466</v>
      </c>
      <c r="D196" s="131" t="s">
        <v>277</v>
      </c>
      <c r="E196" s="132" t="s">
        <v>1481</v>
      </c>
      <c r="F196" s="133" t="s">
        <v>1482</v>
      </c>
      <c r="G196" s="134" t="s">
        <v>292</v>
      </c>
      <c r="H196" s="241">
        <v>18</v>
      </c>
      <c r="I196" s="136">
        <v>11.95</v>
      </c>
      <c r="J196" s="136">
        <f t="shared" ref="J196:J235" si="21">ROUND(I196*H196,2)</f>
        <v>215.1</v>
      </c>
      <c r="K196" s="133" t="s">
        <v>1</v>
      </c>
      <c r="L196" s="137"/>
      <c r="M196" s="138" t="s">
        <v>1</v>
      </c>
      <c r="N196" s="139" t="s">
        <v>32</v>
      </c>
      <c r="O196" s="127">
        <v>0</v>
      </c>
      <c r="P196" s="127">
        <f t="shared" ref="P196:P235" si="22">O196*H196</f>
        <v>0</v>
      </c>
      <c r="Q196" s="127">
        <v>9.1E-4</v>
      </c>
      <c r="R196" s="127">
        <f t="shared" ref="R196:R235" si="23">Q196*H196</f>
        <v>1.6379999999999999E-2</v>
      </c>
      <c r="S196" s="127">
        <v>0</v>
      </c>
      <c r="T196" s="128">
        <f t="shared" ref="T196:T235" si="24">S196*H196</f>
        <v>0</v>
      </c>
      <c r="W196" s="199"/>
      <c r="X196" s="242" t="s">
        <v>466</v>
      </c>
      <c r="Y196" s="131" t="s">
        <v>277</v>
      </c>
      <c r="Z196" s="132" t="s">
        <v>1481</v>
      </c>
      <c r="AA196" s="133" t="s">
        <v>1482</v>
      </c>
      <c r="AB196" s="134" t="s">
        <v>292</v>
      </c>
      <c r="AC196" s="241">
        <f>18+9</f>
        <v>27</v>
      </c>
      <c r="AD196" s="136">
        <v>11.95</v>
      </c>
      <c r="AE196" s="229">
        <f t="shared" ref="AE196:AE276" si="25">ROUND(AD196*AC196,2)</f>
        <v>322.64999999999998</v>
      </c>
      <c r="AF196" s="227">
        <v>2</v>
      </c>
      <c r="AG196" s="396"/>
      <c r="AI196" s="397"/>
      <c r="AR196" s="129" t="s">
        <v>705</v>
      </c>
      <c r="AT196" s="129" t="s">
        <v>277</v>
      </c>
      <c r="AU196" s="129" t="s">
        <v>63</v>
      </c>
      <c r="AY196" s="13" t="s">
        <v>228</v>
      </c>
      <c r="BE196" s="130">
        <f t="shared" ref="BE196:BE235" si="26">IF(N196="základná",J196,0)</f>
        <v>0</v>
      </c>
      <c r="BF196" s="130">
        <f t="shared" ref="BF196:BF235" si="27">IF(N196="znížená",J196,0)</f>
        <v>215.1</v>
      </c>
      <c r="BG196" s="130">
        <f t="shared" ref="BG196:BG235" si="28">IF(N196="zákl. prenesená",J196,0)</f>
        <v>0</v>
      </c>
      <c r="BH196" s="130">
        <f t="shared" ref="BH196:BH235" si="29">IF(N196="zníž. prenesená",J196,0)</f>
        <v>0</v>
      </c>
      <c r="BI196" s="130">
        <f t="shared" ref="BI196:BI235" si="30">IF(N196="nulová",J196,0)</f>
        <v>0</v>
      </c>
      <c r="BJ196" s="13" t="s">
        <v>76</v>
      </c>
      <c r="BK196" s="130">
        <f t="shared" ref="BK196:BK235" si="31">ROUND(I196*H196,2)</f>
        <v>215.1</v>
      </c>
      <c r="BL196" s="13" t="s">
        <v>347</v>
      </c>
      <c r="BM196" s="129" t="s">
        <v>469</v>
      </c>
    </row>
    <row r="197" spans="2:65" s="1" customFormat="1" ht="24" customHeight="1" x14ac:dyDescent="0.2">
      <c r="B197" s="118"/>
      <c r="C197" s="119" t="s">
        <v>351</v>
      </c>
      <c r="D197" s="119" t="s">
        <v>231</v>
      </c>
      <c r="E197" s="120" t="s">
        <v>1639</v>
      </c>
      <c r="F197" s="121" t="s">
        <v>1640</v>
      </c>
      <c r="G197" s="122" t="s">
        <v>292</v>
      </c>
      <c r="H197" s="123">
        <v>80</v>
      </c>
      <c r="I197" s="124">
        <v>1.24</v>
      </c>
      <c r="J197" s="124">
        <f t="shared" si="21"/>
        <v>99.2</v>
      </c>
      <c r="K197" s="121" t="s">
        <v>1</v>
      </c>
      <c r="L197" s="24"/>
      <c r="M197" s="125" t="s">
        <v>1</v>
      </c>
      <c r="N197" s="126" t="s">
        <v>32</v>
      </c>
      <c r="O197" s="127">
        <v>0</v>
      </c>
      <c r="P197" s="127">
        <f t="shared" si="22"/>
        <v>0</v>
      </c>
      <c r="Q197" s="127">
        <v>0</v>
      </c>
      <c r="R197" s="127">
        <f t="shared" si="23"/>
        <v>0</v>
      </c>
      <c r="S197" s="127">
        <v>0</v>
      </c>
      <c r="T197" s="128">
        <f t="shared" si="24"/>
        <v>0</v>
      </c>
      <c r="W197" s="199"/>
      <c r="X197" s="119" t="s">
        <v>351</v>
      </c>
      <c r="Y197" s="119" t="s">
        <v>231</v>
      </c>
      <c r="Z197" s="120" t="s">
        <v>1639</v>
      </c>
      <c r="AA197" s="121" t="s">
        <v>1640</v>
      </c>
      <c r="AB197" s="122" t="s">
        <v>292</v>
      </c>
      <c r="AC197" s="123">
        <v>80</v>
      </c>
      <c r="AD197" s="124">
        <v>1.24</v>
      </c>
      <c r="AE197" s="200">
        <f t="shared" si="25"/>
        <v>99.2</v>
      </c>
      <c r="AF197" s="227"/>
      <c r="AG197" s="396"/>
      <c r="AI197" s="397"/>
      <c r="AR197" s="129" t="s">
        <v>347</v>
      </c>
      <c r="AT197" s="129" t="s">
        <v>231</v>
      </c>
      <c r="AU197" s="129" t="s">
        <v>63</v>
      </c>
      <c r="AY197" s="13" t="s">
        <v>228</v>
      </c>
      <c r="BE197" s="130">
        <f t="shared" si="26"/>
        <v>0</v>
      </c>
      <c r="BF197" s="130">
        <f t="shared" si="27"/>
        <v>99.2</v>
      </c>
      <c r="BG197" s="130">
        <f t="shared" si="28"/>
        <v>0</v>
      </c>
      <c r="BH197" s="130">
        <f t="shared" si="29"/>
        <v>0</v>
      </c>
      <c r="BI197" s="130">
        <f t="shared" si="30"/>
        <v>0</v>
      </c>
      <c r="BJ197" s="13" t="s">
        <v>76</v>
      </c>
      <c r="BK197" s="130">
        <f t="shared" si="31"/>
        <v>99.2</v>
      </c>
      <c r="BL197" s="13" t="s">
        <v>347</v>
      </c>
      <c r="BM197" s="129" t="s">
        <v>472</v>
      </c>
    </row>
    <row r="198" spans="2:65" s="1" customFormat="1" ht="24" customHeight="1" x14ac:dyDescent="0.2">
      <c r="B198" s="118"/>
      <c r="C198" s="131" t="s">
        <v>473</v>
      </c>
      <c r="D198" s="131" t="s">
        <v>277</v>
      </c>
      <c r="E198" s="132" t="s">
        <v>1642</v>
      </c>
      <c r="F198" s="133" t="s">
        <v>3905</v>
      </c>
      <c r="G198" s="134" t="s">
        <v>292</v>
      </c>
      <c r="H198" s="135">
        <v>80</v>
      </c>
      <c r="I198" s="136">
        <v>2.21</v>
      </c>
      <c r="J198" s="136">
        <f t="shared" si="21"/>
        <v>176.8</v>
      </c>
      <c r="K198" s="133" t="s">
        <v>1</v>
      </c>
      <c r="L198" s="137"/>
      <c r="M198" s="138" t="s">
        <v>1</v>
      </c>
      <c r="N198" s="139" t="s">
        <v>32</v>
      </c>
      <c r="O198" s="127">
        <v>0</v>
      </c>
      <c r="P198" s="127">
        <f t="shared" si="22"/>
        <v>0</v>
      </c>
      <c r="Q198" s="127">
        <v>4.0000000000000002E-4</v>
      </c>
      <c r="R198" s="127">
        <f t="shared" si="23"/>
        <v>3.2000000000000001E-2</v>
      </c>
      <c r="S198" s="127">
        <v>0</v>
      </c>
      <c r="T198" s="128">
        <f t="shared" si="24"/>
        <v>0</v>
      </c>
      <c r="W198" s="199"/>
      <c r="X198" s="131" t="s">
        <v>473</v>
      </c>
      <c r="Y198" s="131" t="s">
        <v>277</v>
      </c>
      <c r="Z198" s="132" t="s">
        <v>1642</v>
      </c>
      <c r="AA198" s="133" t="s">
        <v>3905</v>
      </c>
      <c r="AB198" s="134" t="s">
        <v>292</v>
      </c>
      <c r="AC198" s="135">
        <v>80</v>
      </c>
      <c r="AD198" s="136">
        <v>2.21</v>
      </c>
      <c r="AE198" s="229">
        <f t="shared" si="25"/>
        <v>176.8</v>
      </c>
      <c r="AF198" s="227"/>
      <c r="AG198" s="396"/>
      <c r="AI198" s="397"/>
      <c r="AR198" s="129" t="s">
        <v>705</v>
      </c>
      <c r="AT198" s="129" t="s">
        <v>277</v>
      </c>
      <c r="AU198" s="129" t="s">
        <v>63</v>
      </c>
      <c r="AY198" s="13" t="s">
        <v>228</v>
      </c>
      <c r="BE198" s="130">
        <f t="shared" si="26"/>
        <v>0</v>
      </c>
      <c r="BF198" s="130">
        <f t="shared" si="27"/>
        <v>176.8</v>
      </c>
      <c r="BG198" s="130">
        <f t="shared" si="28"/>
        <v>0</v>
      </c>
      <c r="BH198" s="130">
        <f t="shared" si="29"/>
        <v>0</v>
      </c>
      <c r="BI198" s="130">
        <f t="shared" si="30"/>
        <v>0</v>
      </c>
      <c r="BJ198" s="13" t="s">
        <v>76</v>
      </c>
      <c r="BK198" s="130">
        <f t="shared" si="31"/>
        <v>176.8</v>
      </c>
      <c r="BL198" s="13" t="s">
        <v>347</v>
      </c>
      <c r="BM198" s="129" t="s">
        <v>476</v>
      </c>
    </row>
    <row r="199" spans="2:65" s="1" customFormat="1" ht="24" customHeight="1" x14ac:dyDescent="0.2">
      <c r="B199" s="118"/>
      <c r="C199" s="119" t="s">
        <v>354</v>
      </c>
      <c r="D199" s="119" t="s">
        <v>231</v>
      </c>
      <c r="E199" s="120" t="s">
        <v>1526</v>
      </c>
      <c r="F199" s="121" t="s">
        <v>1527</v>
      </c>
      <c r="G199" s="122" t="s">
        <v>292</v>
      </c>
      <c r="H199" s="123">
        <v>20</v>
      </c>
      <c r="I199" s="124">
        <v>1.3</v>
      </c>
      <c r="J199" s="124">
        <f t="shared" si="21"/>
        <v>26</v>
      </c>
      <c r="K199" s="121" t="s">
        <v>1</v>
      </c>
      <c r="L199" s="24"/>
      <c r="M199" s="125" t="s">
        <v>1</v>
      </c>
      <c r="N199" s="126" t="s">
        <v>32</v>
      </c>
      <c r="O199" s="127">
        <v>0</v>
      </c>
      <c r="P199" s="127">
        <f t="shared" si="22"/>
        <v>0</v>
      </c>
      <c r="Q199" s="127">
        <v>0</v>
      </c>
      <c r="R199" s="127">
        <f t="shared" si="23"/>
        <v>0</v>
      </c>
      <c r="S199" s="127">
        <v>0</v>
      </c>
      <c r="T199" s="128">
        <f t="shared" si="24"/>
        <v>0</v>
      </c>
      <c r="W199" s="199"/>
      <c r="X199" s="119" t="s">
        <v>354</v>
      </c>
      <c r="Y199" s="119" t="s">
        <v>231</v>
      </c>
      <c r="Z199" s="120" t="s">
        <v>1526</v>
      </c>
      <c r="AA199" s="121" t="s">
        <v>1527</v>
      </c>
      <c r="AB199" s="122" t="s">
        <v>292</v>
      </c>
      <c r="AC199" s="123">
        <v>20</v>
      </c>
      <c r="AD199" s="124">
        <v>1.3</v>
      </c>
      <c r="AE199" s="200">
        <f t="shared" si="25"/>
        <v>26</v>
      </c>
      <c r="AF199" s="227"/>
      <c r="AG199" s="396"/>
      <c r="AI199" s="397"/>
      <c r="AR199" s="129" t="s">
        <v>347</v>
      </c>
      <c r="AT199" s="129" t="s">
        <v>231</v>
      </c>
      <c r="AU199" s="129" t="s">
        <v>63</v>
      </c>
      <c r="AY199" s="13" t="s">
        <v>228</v>
      </c>
      <c r="BE199" s="130">
        <f t="shared" si="26"/>
        <v>0</v>
      </c>
      <c r="BF199" s="130">
        <f t="shared" si="27"/>
        <v>26</v>
      </c>
      <c r="BG199" s="130">
        <f t="shared" si="28"/>
        <v>0</v>
      </c>
      <c r="BH199" s="130">
        <f t="shared" si="29"/>
        <v>0</v>
      </c>
      <c r="BI199" s="130">
        <f t="shared" si="30"/>
        <v>0</v>
      </c>
      <c r="BJ199" s="13" t="s">
        <v>76</v>
      </c>
      <c r="BK199" s="130">
        <f t="shared" si="31"/>
        <v>26</v>
      </c>
      <c r="BL199" s="13" t="s">
        <v>347</v>
      </c>
      <c r="BM199" s="129" t="s">
        <v>479</v>
      </c>
    </row>
    <row r="200" spans="2:65" s="1" customFormat="1" ht="24" customHeight="1" x14ac:dyDescent="0.2">
      <c r="B200" s="118"/>
      <c r="C200" s="131" t="s">
        <v>480</v>
      </c>
      <c r="D200" s="131" t="s">
        <v>277</v>
      </c>
      <c r="E200" s="132" t="s">
        <v>1529</v>
      </c>
      <c r="F200" s="133" t="s">
        <v>3906</v>
      </c>
      <c r="G200" s="134" t="s">
        <v>292</v>
      </c>
      <c r="H200" s="135">
        <v>20</v>
      </c>
      <c r="I200" s="136">
        <v>3.94</v>
      </c>
      <c r="J200" s="136">
        <f t="shared" si="21"/>
        <v>78.8</v>
      </c>
      <c r="K200" s="133" t="s">
        <v>1</v>
      </c>
      <c r="L200" s="137"/>
      <c r="M200" s="138" t="s">
        <v>1</v>
      </c>
      <c r="N200" s="139" t="s">
        <v>32</v>
      </c>
      <c r="O200" s="127">
        <v>0</v>
      </c>
      <c r="P200" s="127">
        <f t="shared" si="22"/>
        <v>0</v>
      </c>
      <c r="Q200" s="127">
        <v>5.4000000000000001E-4</v>
      </c>
      <c r="R200" s="127">
        <f t="shared" si="23"/>
        <v>1.0800000000000001E-2</v>
      </c>
      <c r="S200" s="127">
        <v>0</v>
      </c>
      <c r="T200" s="128">
        <f t="shared" si="24"/>
        <v>0</v>
      </c>
      <c r="W200" s="199"/>
      <c r="X200" s="131" t="s">
        <v>480</v>
      </c>
      <c r="Y200" s="131" t="s">
        <v>277</v>
      </c>
      <c r="Z200" s="132" t="s">
        <v>1529</v>
      </c>
      <c r="AA200" s="133" t="s">
        <v>3906</v>
      </c>
      <c r="AB200" s="134" t="s">
        <v>292</v>
      </c>
      <c r="AC200" s="135">
        <v>20</v>
      </c>
      <c r="AD200" s="136">
        <v>3.94</v>
      </c>
      <c r="AE200" s="229">
        <f t="shared" si="25"/>
        <v>78.8</v>
      </c>
      <c r="AF200" s="227"/>
      <c r="AG200" s="396"/>
      <c r="AI200" s="397"/>
      <c r="AR200" s="129" t="s">
        <v>705</v>
      </c>
      <c r="AT200" s="129" t="s">
        <v>277</v>
      </c>
      <c r="AU200" s="129" t="s">
        <v>63</v>
      </c>
      <c r="AY200" s="13" t="s">
        <v>228</v>
      </c>
      <c r="BE200" s="130">
        <f t="shared" si="26"/>
        <v>0</v>
      </c>
      <c r="BF200" s="130">
        <f t="shared" si="27"/>
        <v>78.8</v>
      </c>
      <c r="BG200" s="130">
        <f t="shared" si="28"/>
        <v>0</v>
      </c>
      <c r="BH200" s="130">
        <f t="shared" si="29"/>
        <v>0</v>
      </c>
      <c r="BI200" s="130">
        <f t="shared" si="30"/>
        <v>0</v>
      </c>
      <c r="BJ200" s="13" t="s">
        <v>76</v>
      </c>
      <c r="BK200" s="130">
        <f t="shared" si="31"/>
        <v>78.8</v>
      </c>
      <c r="BL200" s="13" t="s">
        <v>347</v>
      </c>
      <c r="BM200" s="129" t="s">
        <v>483</v>
      </c>
    </row>
    <row r="201" spans="2:65" s="372" customFormat="1" ht="24" customHeight="1" x14ac:dyDescent="0.2">
      <c r="B201" s="118"/>
      <c r="C201" s="1234" t="s">
        <v>5205</v>
      </c>
      <c r="D201" s="1235"/>
      <c r="E201" s="1235"/>
      <c r="F201" s="1235"/>
      <c r="G201" s="1235"/>
      <c r="H201" s="1235"/>
      <c r="I201" s="1235"/>
      <c r="J201" s="1236"/>
      <c r="K201" s="133"/>
      <c r="L201" s="137"/>
      <c r="M201" s="138"/>
      <c r="N201" s="139"/>
      <c r="O201" s="127"/>
      <c r="P201" s="127"/>
      <c r="Q201" s="127"/>
      <c r="R201" s="127"/>
      <c r="S201" s="127"/>
      <c r="T201" s="128"/>
      <c r="W201" s="199"/>
      <c r="X201" s="207" t="s">
        <v>5941</v>
      </c>
      <c r="Y201" s="207" t="s">
        <v>231</v>
      </c>
      <c r="Z201" s="208" t="s">
        <v>5923</v>
      </c>
      <c r="AA201" s="209" t="s">
        <v>5924</v>
      </c>
      <c r="AB201" s="210" t="s">
        <v>292</v>
      </c>
      <c r="AC201" s="211">
        <v>905</v>
      </c>
      <c r="AD201" s="212">
        <v>1.19</v>
      </c>
      <c r="AE201" s="214">
        <f>ROUND(AD201*AC201,2)</f>
        <v>1076.95</v>
      </c>
      <c r="AF201" s="227">
        <v>2</v>
      </c>
      <c r="AG201" s="396"/>
      <c r="AI201" s="397"/>
      <c r="AR201" s="129"/>
      <c r="AT201" s="129"/>
      <c r="AU201" s="129"/>
      <c r="AY201" s="13"/>
      <c r="BE201" s="130"/>
      <c r="BF201" s="130"/>
      <c r="BG201" s="130"/>
      <c r="BH201" s="130"/>
      <c r="BI201" s="130"/>
      <c r="BJ201" s="13"/>
      <c r="BK201" s="130"/>
      <c r="BL201" s="13"/>
      <c r="BM201" s="129"/>
    </row>
    <row r="202" spans="2:65" s="372" customFormat="1" ht="24" customHeight="1" x14ac:dyDescent="0.2">
      <c r="B202" s="118"/>
      <c r="C202" s="1234" t="s">
        <v>5205</v>
      </c>
      <c r="D202" s="1235"/>
      <c r="E202" s="1235"/>
      <c r="F202" s="1235"/>
      <c r="G202" s="1235"/>
      <c r="H202" s="1235"/>
      <c r="I202" s="1235"/>
      <c r="J202" s="1236"/>
      <c r="K202" s="133"/>
      <c r="L202" s="137"/>
      <c r="M202" s="138"/>
      <c r="N202" s="139"/>
      <c r="O202" s="127"/>
      <c r="P202" s="127"/>
      <c r="Q202" s="127"/>
      <c r="R202" s="127"/>
      <c r="S202" s="127"/>
      <c r="T202" s="128"/>
      <c r="W202" s="199"/>
      <c r="X202" s="386" t="s">
        <v>5942</v>
      </c>
      <c r="Y202" s="386" t="s">
        <v>277</v>
      </c>
      <c r="Z202" s="387" t="s">
        <v>5925</v>
      </c>
      <c r="AA202" s="388" t="s">
        <v>5926</v>
      </c>
      <c r="AB202" s="389" t="s">
        <v>292</v>
      </c>
      <c r="AC202" s="390">
        <v>905</v>
      </c>
      <c r="AD202" s="391">
        <v>1.18</v>
      </c>
      <c r="AE202" s="401">
        <f>ROUND(AD202*AC202,2)</f>
        <v>1067.9000000000001</v>
      </c>
      <c r="AF202" s="227">
        <v>2</v>
      </c>
      <c r="AG202" s="396"/>
      <c r="AI202" s="397"/>
      <c r="AR202" s="129"/>
      <c r="AT202" s="129"/>
      <c r="AU202" s="129"/>
      <c r="AY202" s="13"/>
      <c r="BE202" s="130"/>
      <c r="BF202" s="130"/>
      <c r="BG202" s="130"/>
      <c r="BH202" s="130"/>
      <c r="BI202" s="130"/>
      <c r="BJ202" s="13"/>
      <c r="BK202" s="130"/>
      <c r="BL202" s="13"/>
      <c r="BM202" s="129"/>
    </row>
    <row r="203" spans="2:65" s="1" customFormat="1" ht="24" customHeight="1" x14ac:dyDescent="0.2">
      <c r="B203" s="118"/>
      <c r="C203" s="119" t="s">
        <v>358</v>
      </c>
      <c r="D203" s="119" t="s">
        <v>231</v>
      </c>
      <c r="E203" s="120" t="s">
        <v>1645</v>
      </c>
      <c r="F203" s="121" t="s">
        <v>3907</v>
      </c>
      <c r="G203" s="122" t="s">
        <v>292</v>
      </c>
      <c r="H203" s="123">
        <v>500</v>
      </c>
      <c r="I203" s="124">
        <v>1.24</v>
      </c>
      <c r="J203" s="124">
        <f t="shared" si="21"/>
        <v>620</v>
      </c>
      <c r="K203" s="121" t="s">
        <v>1</v>
      </c>
      <c r="L203" s="24"/>
      <c r="M203" s="125" t="s">
        <v>1</v>
      </c>
      <c r="N203" s="126" t="s">
        <v>32</v>
      </c>
      <c r="O203" s="127">
        <v>0</v>
      </c>
      <c r="P203" s="127">
        <f t="shared" si="22"/>
        <v>0</v>
      </c>
      <c r="Q203" s="127">
        <v>0</v>
      </c>
      <c r="R203" s="127">
        <f t="shared" si="23"/>
        <v>0</v>
      </c>
      <c r="S203" s="127">
        <v>0</v>
      </c>
      <c r="T203" s="128">
        <f t="shared" si="24"/>
        <v>0</v>
      </c>
      <c r="W203" s="199"/>
      <c r="X203" s="119" t="s">
        <v>358</v>
      </c>
      <c r="Y203" s="119" t="s">
        <v>231</v>
      </c>
      <c r="Z203" s="120" t="s">
        <v>1645</v>
      </c>
      <c r="AA203" s="121" t="s">
        <v>3907</v>
      </c>
      <c r="AB203" s="122" t="s">
        <v>292</v>
      </c>
      <c r="AC203" s="123">
        <v>500</v>
      </c>
      <c r="AD203" s="124">
        <v>1.24</v>
      </c>
      <c r="AE203" s="200">
        <f t="shared" si="25"/>
        <v>620</v>
      </c>
      <c r="AF203" s="227"/>
      <c r="AG203" s="396"/>
      <c r="AI203" s="397"/>
      <c r="AR203" s="129" t="s">
        <v>347</v>
      </c>
      <c r="AT203" s="129" t="s">
        <v>231</v>
      </c>
      <c r="AU203" s="129" t="s">
        <v>63</v>
      </c>
      <c r="AY203" s="13" t="s">
        <v>228</v>
      </c>
      <c r="BE203" s="130">
        <f t="shared" si="26"/>
        <v>0</v>
      </c>
      <c r="BF203" s="130">
        <f t="shared" si="27"/>
        <v>620</v>
      </c>
      <c r="BG203" s="130">
        <f t="shared" si="28"/>
        <v>0</v>
      </c>
      <c r="BH203" s="130">
        <f t="shared" si="29"/>
        <v>0</v>
      </c>
      <c r="BI203" s="130">
        <f t="shared" si="30"/>
        <v>0</v>
      </c>
      <c r="BJ203" s="13" t="s">
        <v>76</v>
      </c>
      <c r="BK203" s="130">
        <f t="shared" si="31"/>
        <v>620</v>
      </c>
      <c r="BL203" s="13" t="s">
        <v>347</v>
      </c>
      <c r="BM203" s="129" t="s">
        <v>486</v>
      </c>
    </row>
    <row r="204" spans="2:65" s="1" customFormat="1" ht="24" customHeight="1" x14ac:dyDescent="0.2">
      <c r="B204" s="118"/>
      <c r="C204" s="131" t="s">
        <v>487</v>
      </c>
      <c r="D204" s="131" t="s">
        <v>277</v>
      </c>
      <c r="E204" s="132" t="s">
        <v>1648</v>
      </c>
      <c r="F204" s="133" t="s">
        <v>3908</v>
      </c>
      <c r="G204" s="134" t="s">
        <v>292</v>
      </c>
      <c r="H204" s="135">
        <v>500</v>
      </c>
      <c r="I204" s="136">
        <v>1.23</v>
      </c>
      <c r="J204" s="136">
        <f t="shared" si="21"/>
        <v>615</v>
      </c>
      <c r="K204" s="133" t="s">
        <v>1</v>
      </c>
      <c r="L204" s="137"/>
      <c r="M204" s="138" t="s">
        <v>1</v>
      </c>
      <c r="N204" s="139" t="s">
        <v>32</v>
      </c>
      <c r="O204" s="127">
        <v>0</v>
      </c>
      <c r="P204" s="127">
        <f t="shared" si="22"/>
        <v>0</v>
      </c>
      <c r="Q204" s="127">
        <v>1.2E-4</v>
      </c>
      <c r="R204" s="127">
        <f t="shared" si="23"/>
        <v>6.0000000000000005E-2</v>
      </c>
      <c r="S204" s="127">
        <v>0</v>
      </c>
      <c r="T204" s="128">
        <f t="shared" si="24"/>
        <v>0</v>
      </c>
      <c r="W204" s="199"/>
      <c r="X204" s="131" t="s">
        <v>487</v>
      </c>
      <c r="Y204" s="131" t="s">
        <v>277</v>
      </c>
      <c r="Z204" s="132" t="s">
        <v>1648</v>
      </c>
      <c r="AA204" s="133" t="s">
        <v>3908</v>
      </c>
      <c r="AB204" s="134" t="s">
        <v>292</v>
      </c>
      <c r="AC204" s="135">
        <v>500</v>
      </c>
      <c r="AD204" s="136">
        <v>1.23</v>
      </c>
      <c r="AE204" s="229">
        <f t="shared" si="25"/>
        <v>615</v>
      </c>
      <c r="AF204" s="227"/>
      <c r="AG204" s="396"/>
      <c r="AI204" s="397"/>
      <c r="AR204" s="129" t="s">
        <v>705</v>
      </c>
      <c r="AT204" s="129" t="s">
        <v>277</v>
      </c>
      <c r="AU204" s="129" t="s">
        <v>63</v>
      </c>
      <c r="AY204" s="13" t="s">
        <v>228</v>
      </c>
      <c r="BE204" s="130">
        <f t="shared" si="26"/>
        <v>0</v>
      </c>
      <c r="BF204" s="130">
        <f t="shared" si="27"/>
        <v>615</v>
      </c>
      <c r="BG204" s="130">
        <f t="shared" si="28"/>
        <v>0</v>
      </c>
      <c r="BH204" s="130">
        <f t="shared" si="29"/>
        <v>0</v>
      </c>
      <c r="BI204" s="130">
        <f t="shared" si="30"/>
        <v>0</v>
      </c>
      <c r="BJ204" s="13" t="s">
        <v>76</v>
      </c>
      <c r="BK204" s="130">
        <f t="shared" si="31"/>
        <v>615</v>
      </c>
      <c r="BL204" s="13" t="s">
        <v>347</v>
      </c>
      <c r="BM204" s="129" t="s">
        <v>490</v>
      </c>
    </row>
    <row r="205" spans="2:65" s="1" customFormat="1" ht="16.5" customHeight="1" x14ac:dyDescent="0.2">
      <c r="B205" s="118"/>
      <c r="C205" s="205" t="s">
        <v>361</v>
      </c>
      <c r="D205" s="119" t="s">
        <v>231</v>
      </c>
      <c r="E205" s="120" t="s">
        <v>3909</v>
      </c>
      <c r="F205" s="121" t="s">
        <v>1652</v>
      </c>
      <c r="G205" s="122" t="s">
        <v>292</v>
      </c>
      <c r="H205" s="206">
        <v>4350</v>
      </c>
      <c r="I205" s="124">
        <v>0.67</v>
      </c>
      <c r="J205" s="124">
        <f t="shared" si="21"/>
        <v>2914.5</v>
      </c>
      <c r="K205" s="121" t="s">
        <v>1</v>
      </c>
      <c r="L205" s="24"/>
      <c r="M205" s="125" t="s">
        <v>1</v>
      </c>
      <c r="N205" s="126" t="s">
        <v>32</v>
      </c>
      <c r="O205" s="127">
        <v>0</v>
      </c>
      <c r="P205" s="127">
        <f t="shared" si="22"/>
        <v>0</v>
      </c>
      <c r="Q205" s="127">
        <v>0</v>
      </c>
      <c r="R205" s="127">
        <f t="shared" si="23"/>
        <v>0</v>
      </c>
      <c r="S205" s="127">
        <v>0</v>
      </c>
      <c r="T205" s="128">
        <f t="shared" si="24"/>
        <v>0</v>
      </c>
      <c r="W205" s="199"/>
      <c r="X205" s="205" t="s">
        <v>361</v>
      </c>
      <c r="Y205" s="119" t="s">
        <v>231</v>
      </c>
      <c r="Z205" s="120" t="s">
        <v>3909</v>
      </c>
      <c r="AA205" s="121" t="s">
        <v>1652</v>
      </c>
      <c r="AB205" s="122" t="s">
        <v>292</v>
      </c>
      <c r="AC205" s="206">
        <f>4350+150</f>
        <v>4500</v>
      </c>
      <c r="AD205" s="124">
        <v>0.67</v>
      </c>
      <c r="AE205" s="200">
        <f t="shared" si="25"/>
        <v>3015</v>
      </c>
      <c r="AF205" s="227">
        <v>2</v>
      </c>
      <c r="AG205" s="396"/>
      <c r="AI205" s="397"/>
      <c r="AR205" s="129" t="s">
        <v>347</v>
      </c>
      <c r="AT205" s="129" t="s">
        <v>231</v>
      </c>
      <c r="AU205" s="129" t="s">
        <v>63</v>
      </c>
      <c r="AY205" s="13" t="s">
        <v>228</v>
      </c>
      <c r="BE205" s="130">
        <f t="shared" si="26"/>
        <v>0</v>
      </c>
      <c r="BF205" s="130">
        <f t="shared" si="27"/>
        <v>2914.5</v>
      </c>
      <c r="BG205" s="130">
        <f t="shared" si="28"/>
        <v>0</v>
      </c>
      <c r="BH205" s="130">
        <f t="shared" si="29"/>
        <v>0</v>
      </c>
      <c r="BI205" s="130">
        <f t="shared" si="30"/>
        <v>0</v>
      </c>
      <c r="BJ205" s="13" t="s">
        <v>76</v>
      </c>
      <c r="BK205" s="130">
        <f t="shared" si="31"/>
        <v>2914.5</v>
      </c>
      <c r="BL205" s="13" t="s">
        <v>347</v>
      </c>
      <c r="BM205" s="129" t="s">
        <v>493</v>
      </c>
    </row>
    <row r="206" spans="2:65" s="1" customFormat="1" ht="16.5" customHeight="1" x14ac:dyDescent="0.2">
      <c r="B206" s="118"/>
      <c r="C206" s="242" t="s">
        <v>494</v>
      </c>
      <c r="D206" s="131" t="s">
        <v>277</v>
      </c>
      <c r="E206" s="132" t="s">
        <v>3909</v>
      </c>
      <c r="F206" s="133" t="s">
        <v>1652</v>
      </c>
      <c r="G206" s="134" t="s">
        <v>292</v>
      </c>
      <c r="H206" s="241">
        <v>4350</v>
      </c>
      <c r="I206" s="136">
        <v>1.21</v>
      </c>
      <c r="J206" s="136">
        <f t="shared" si="21"/>
        <v>5263.5</v>
      </c>
      <c r="K206" s="133" t="s">
        <v>1</v>
      </c>
      <c r="L206" s="137"/>
      <c r="M206" s="138" t="s">
        <v>1</v>
      </c>
      <c r="N206" s="139" t="s">
        <v>32</v>
      </c>
      <c r="O206" s="127">
        <v>0</v>
      </c>
      <c r="P206" s="127">
        <f t="shared" si="22"/>
        <v>0</v>
      </c>
      <c r="Q206" s="127">
        <v>0</v>
      </c>
      <c r="R206" s="127">
        <f t="shared" si="23"/>
        <v>0</v>
      </c>
      <c r="S206" s="127">
        <v>0</v>
      </c>
      <c r="T206" s="128">
        <f t="shared" si="24"/>
        <v>0</v>
      </c>
      <c r="W206" s="199"/>
      <c r="X206" s="242" t="s">
        <v>494</v>
      </c>
      <c r="Y206" s="131" t="s">
        <v>277</v>
      </c>
      <c r="Z206" s="132" t="s">
        <v>3909</v>
      </c>
      <c r="AA206" s="133" t="s">
        <v>1652</v>
      </c>
      <c r="AB206" s="134" t="s">
        <v>292</v>
      </c>
      <c r="AC206" s="241">
        <f>4350+150</f>
        <v>4500</v>
      </c>
      <c r="AD206" s="136">
        <v>1.21</v>
      </c>
      <c r="AE206" s="229">
        <f t="shared" si="25"/>
        <v>5445</v>
      </c>
      <c r="AF206" s="227">
        <v>2</v>
      </c>
      <c r="AG206" s="396"/>
      <c r="AI206" s="397"/>
      <c r="AR206" s="129" t="s">
        <v>705</v>
      </c>
      <c r="AT206" s="129" t="s">
        <v>277</v>
      </c>
      <c r="AU206" s="129" t="s">
        <v>63</v>
      </c>
      <c r="AY206" s="13" t="s">
        <v>228</v>
      </c>
      <c r="BE206" s="130">
        <f t="shared" si="26"/>
        <v>0</v>
      </c>
      <c r="BF206" s="130">
        <f t="shared" si="27"/>
        <v>5263.5</v>
      </c>
      <c r="BG206" s="130">
        <f t="shared" si="28"/>
        <v>0</v>
      </c>
      <c r="BH206" s="130">
        <f t="shared" si="29"/>
        <v>0</v>
      </c>
      <c r="BI206" s="130">
        <f t="shared" si="30"/>
        <v>0</v>
      </c>
      <c r="BJ206" s="13" t="s">
        <v>76</v>
      </c>
      <c r="BK206" s="130">
        <f t="shared" si="31"/>
        <v>5263.5</v>
      </c>
      <c r="BL206" s="13" t="s">
        <v>347</v>
      </c>
      <c r="BM206" s="129" t="s">
        <v>497</v>
      </c>
    </row>
    <row r="207" spans="2:65" s="1" customFormat="1" ht="24" customHeight="1" x14ac:dyDescent="0.2">
      <c r="B207" s="118"/>
      <c r="C207" s="119" t="s">
        <v>365</v>
      </c>
      <c r="D207" s="119" t="s">
        <v>231</v>
      </c>
      <c r="E207" s="120" t="s">
        <v>1304</v>
      </c>
      <c r="F207" s="121" t="s">
        <v>3910</v>
      </c>
      <c r="G207" s="122" t="s">
        <v>292</v>
      </c>
      <c r="H207" s="123">
        <v>1500</v>
      </c>
      <c r="I207" s="124">
        <v>1.21</v>
      </c>
      <c r="J207" s="124">
        <f t="shared" si="21"/>
        <v>1815</v>
      </c>
      <c r="K207" s="121" t="s">
        <v>1</v>
      </c>
      <c r="L207" s="24"/>
      <c r="M207" s="125" t="s">
        <v>1</v>
      </c>
      <c r="N207" s="126" t="s">
        <v>32</v>
      </c>
      <c r="O207" s="127">
        <v>0</v>
      </c>
      <c r="P207" s="127">
        <f t="shared" si="22"/>
        <v>0</v>
      </c>
      <c r="Q207" s="127">
        <v>0</v>
      </c>
      <c r="R207" s="127">
        <f t="shared" si="23"/>
        <v>0</v>
      </c>
      <c r="S207" s="127">
        <v>0</v>
      </c>
      <c r="T207" s="128">
        <f t="shared" si="24"/>
        <v>0</v>
      </c>
      <c r="W207" s="199"/>
      <c r="X207" s="119" t="s">
        <v>365</v>
      </c>
      <c r="Y207" s="119" t="s">
        <v>231</v>
      </c>
      <c r="Z207" s="120" t="s">
        <v>1304</v>
      </c>
      <c r="AA207" s="121" t="s">
        <v>3910</v>
      </c>
      <c r="AB207" s="122" t="s">
        <v>292</v>
      </c>
      <c r="AC207" s="123">
        <v>1500</v>
      </c>
      <c r="AD207" s="124">
        <v>1.21</v>
      </c>
      <c r="AE207" s="200">
        <f t="shared" si="25"/>
        <v>1815</v>
      </c>
      <c r="AF207" s="227"/>
      <c r="AG207" s="396"/>
      <c r="AI207" s="397"/>
      <c r="AR207" s="129" t="s">
        <v>347</v>
      </c>
      <c r="AT207" s="129" t="s">
        <v>231</v>
      </c>
      <c r="AU207" s="129" t="s">
        <v>63</v>
      </c>
      <c r="AY207" s="13" t="s">
        <v>228</v>
      </c>
      <c r="BE207" s="130">
        <f t="shared" si="26"/>
        <v>0</v>
      </c>
      <c r="BF207" s="130">
        <f t="shared" si="27"/>
        <v>1815</v>
      </c>
      <c r="BG207" s="130">
        <f t="shared" si="28"/>
        <v>0</v>
      </c>
      <c r="BH207" s="130">
        <f t="shared" si="29"/>
        <v>0</v>
      </c>
      <c r="BI207" s="130">
        <f t="shared" si="30"/>
        <v>0</v>
      </c>
      <c r="BJ207" s="13" t="s">
        <v>76</v>
      </c>
      <c r="BK207" s="130">
        <f t="shared" si="31"/>
        <v>1815</v>
      </c>
      <c r="BL207" s="13" t="s">
        <v>347</v>
      </c>
      <c r="BM207" s="129" t="s">
        <v>500</v>
      </c>
    </row>
    <row r="208" spans="2:65" s="1" customFormat="1" ht="16.5" customHeight="1" x14ac:dyDescent="0.2">
      <c r="B208" s="118"/>
      <c r="C208" s="131" t="s">
        <v>501</v>
      </c>
      <c r="D208" s="131" t="s">
        <v>277</v>
      </c>
      <c r="E208" s="132" t="s">
        <v>1307</v>
      </c>
      <c r="F208" s="133" t="s">
        <v>3911</v>
      </c>
      <c r="G208" s="134" t="s">
        <v>1194</v>
      </c>
      <c r="H208" s="135">
        <v>1500</v>
      </c>
      <c r="I208" s="136">
        <v>2.14</v>
      </c>
      <c r="J208" s="136">
        <f t="shared" si="21"/>
        <v>3210</v>
      </c>
      <c r="K208" s="133" t="s">
        <v>1</v>
      </c>
      <c r="L208" s="137"/>
      <c r="M208" s="138" t="s">
        <v>1</v>
      </c>
      <c r="N208" s="139" t="s">
        <v>32</v>
      </c>
      <c r="O208" s="127">
        <v>0</v>
      </c>
      <c r="P208" s="127">
        <f t="shared" si="22"/>
        <v>0</v>
      </c>
      <c r="Q208" s="127">
        <v>0</v>
      </c>
      <c r="R208" s="127">
        <f t="shared" si="23"/>
        <v>0</v>
      </c>
      <c r="S208" s="127">
        <v>0</v>
      </c>
      <c r="T208" s="128">
        <f t="shared" si="24"/>
        <v>0</v>
      </c>
      <c r="W208" s="199"/>
      <c r="X208" s="131" t="s">
        <v>501</v>
      </c>
      <c r="Y208" s="131" t="s">
        <v>277</v>
      </c>
      <c r="Z208" s="132" t="s">
        <v>1307</v>
      </c>
      <c r="AA208" s="133" t="s">
        <v>3911</v>
      </c>
      <c r="AB208" s="134" t="s">
        <v>1194</v>
      </c>
      <c r="AC208" s="135">
        <v>1500</v>
      </c>
      <c r="AD208" s="136">
        <v>2.14</v>
      </c>
      <c r="AE208" s="229">
        <f t="shared" si="25"/>
        <v>3210</v>
      </c>
      <c r="AF208" s="227"/>
      <c r="AG208" s="396"/>
      <c r="AI208" s="397"/>
      <c r="AR208" s="129" t="s">
        <v>705</v>
      </c>
      <c r="AT208" s="129" t="s">
        <v>277</v>
      </c>
      <c r="AU208" s="129" t="s">
        <v>63</v>
      </c>
      <c r="AY208" s="13" t="s">
        <v>228</v>
      </c>
      <c r="BE208" s="130">
        <f t="shared" si="26"/>
        <v>0</v>
      </c>
      <c r="BF208" s="130">
        <f t="shared" si="27"/>
        <v>3210</v>
      </c>
      <c r="BG208" s="130">
        <f t="shared" si="28"/>
        <v>0</v>
      </c>
      <c r="BH208" s="130">
        <f t="shared" si="29"/>
        <v>0</v>
      </c>
      <c r="BI208" s="130">
        <f t="shared" si="30"/>
        <v>0</v>
      </c>
      <c r="BJ208" s="13" t="s">
        <v>76</v>
      </c>
      <c r="BK208" s="130">
        <f t="shared" si="31"/>
        <v>3210</v>
      </c>
      <c r="BL208" s="13" t="s">
        <v>347</v>
      </c>
      <c r="BM208" s="129" t="s">
        <v>504</v>
      </c>
    </row>
    <row r="209" spans="2:65" s="1" customFormat="1" ht="16.5" customHeight="1" x14ac:dyDescent="0.2">
      <c r="B209" s="118"/>
      <c r="C209" s="119" t="s">
        <v>368</v>
      </c>
      <c r="D209" s="119" t="s">
        <v>231</v>
      </c>
      <c r="E209" s="120" t="s">
        <v>1310</v>
      </c>
      <c r="F209" s="121" t="s">
        <v>1311</v>
      </c>
      <c r="G209" s="122" t="s">
        <v>1194</v>
      </c>
      <c r="H209" s="123">
        <v>211</v>
      </c>
      <c r="I209" s="124">
        <v>2.54</v>
      </c>
      <c r="J209" s="124">
        <f t="shared" si="21"/>
        <v>535.94000000000005</v>
      </c>
      <c r="K209" s="121" t="s">
        <v>1</v>
      </c>
      <c r="L209" s="24"/>
      <c r="M209" s="125" t="s">
        <v>1</v>
      </c>
      <c r="N209" s="126" t="s">
        <v>32</v>
      </c>
      <c r="O209" s="127">
        <v>0</v>
      </c>
      <c r="P209" s="127">
        <f t="shared" si="22"/>
        <v>0</v>
      </c>
      <c r="Q209" s="127">
        <v>0</v>
      </c>
      <c r="R209" s="127">
        <f t="shared" si="23"/>
        <v>0</v>
      </c>
      <c r="S209" s="127">
        <v>0</v>
      </c>
      <c r="T209" s="128">
        <f t="shared" si="24"/>
        <v>0</v>
      </c>
      <c r="W209" s="199"/>
      <c r="X209" s="119" t="s">
        <v>368</v>
      </c>
      <c r="Y209" s="119" t="s">
        <v>231</v>
      </c>
      <c r="Z209" s="120" t="s">
        <v>1310</v>
      </c>
      <c r="AA209" s="121" t="s">
        <v>1311</v>
      </c>
      <c r="AB209" s="122" t="s">
        <v>1194</v>
      </c>
      <c r="AC209" s="123">
        <v>211</v>
      </c>
      <c r="AD209" s="124">
        <v>2.54</v>
      </c>
      <c r="AE209" s="200">
        <f t="shared" si="25"/>
        <v>535.94000000000005</v>
      </c>
      <c r="AF209" s="227"/>
      <c r="AG209" s="396"/>
      <c r="AI209" s="397"/>
      <c r="AR209" s="129" t="s">
        <v>347</v>
      </c>
      <c r="AT209" s="129" t="s">
        <v>231</v>
      </c>
      <c r="AU209" s="129" t="s">
        <v>63</v>
      </c>
      <c r="AY209" s="13" t="s">
        <v>228</v>
      </c>
      <c r="BE209" s="130">
        <f t="shared" si="26"/>
        <v>0</v>
      </c>
      <c r="BF209" s="130">
        <f t="shared" si="27"/>
        <v>535.94000000000005</v>
      </c>
      <c r="BG209" s="130">
        <f t="shared" si="28"/>
        <v>0</v>
      </c>
      <c r="BH209" s="130">
        <f t="shared" si="29"/>
        <v>0</v>
      </c>
      <c r="BI209" s="130">
        <f t="shared" si="30"/>
        <v>0</v>
      </c>
      <c r="BJ209" s="13" t="s">
        <v>76</v>
      </c>
      <c r="BK209" s="130">
        <f t="shared" si="31"/>
        <v>535.94000000000005</v>
      </c>
      <c r="BL209" s="13" t="s">
        <v>347</v>
      </c>
      <c r="BM209" s="129" t="s">
        <v>507</v>
      </c>
    </row>
    <row r="210" spans="2:65" s="1" customFormat="1" ht="16.5" customHeight="1" x14ac:dyDescent="0.2">
      <c r="B210" s="118"/>
      <c r="C210" s="131" t="s">
        <v>508</v>
      </c>
      <c r="D210" s="131" t="s">
        <v>277</v>
      </c>
      <c r="E210" s="132" t="s">
        <v>1313</v>
      </c>
      <c r="F210" s="133" t="s">
        <v>3912</v>
      </c>
      <c r="G210" s="134" t="s">
        <v>1194</v>
      </c>
      <c r="H210" s="135">
        <v>211</v>
      </c>
      <c r="I210" s="136">
        <v>0.53</v>
      </c>
      <c r="J210" s="136">
        <f t="shared" si="21"/>
        <v>111.83</v>
      </c>
      <c r="K210" s="133" t="s">
        <v>1</v>
      </c>
      <c r="L210" s="137"/>
      <c r="M210" s="138" t="s">
        <v>1</v>
      </c>
      <c r="N210" s="139" t="s">
        <v>32</v>
      </c>
      <c r="O210" s="127">
        <v>0</v>
      </c>
      <c r="P210" s="127">
        <f t="shared" si="22"/>
        <v>0</v>
      </c>
      <c r="Q210" s="127">
        <v>4.0000000000000003E-5</v>
      </c>
      <c r="R210" s="127">
        <f t="shared" si="23"/>
        <v>8.4400000000000013E-3</v>
      </c>
      <c r="S210" s="127">
        <v>0</v>
      </c>
      <c r="T210" s="128">
        <f t="shared" si="24"/>
        <v>0</v>
      </c>
      <c r="W210" s="199"/>
      <c r="X210" s="131" t="s">
        <v>508</v>
      </c>
      <c r="Y210" s="131" t="s">
        <v>277</v>
      </c>
      <c r="Z210" s="132" t="s">
        <v>1313</v>
      </c>
      <c r="AA210" s="133" t="s">
        <v>3912</v>
      </c>
      <c r="AB210" s="134" t="s">
        <v>1194</v>
      </c>
      <c r="AC210" s="135">
        <v>211</v>
      </c>
      <c r="AD210" s="136">
        <v>0.53</v>
      </c>
      <c r="AE210" s="229">
        <f t="shared" si="25"/>
        <v>111.83</v>
      </c>
      <c r="AF210" s="227"/>
      <c r="AG210" s="396"/>
      <c r="AI210" s="397"/>
      <c r="AR210" s="129" t="s">
        <v>705</v>
      </c>
      <c r="AT210" s="129" t="s">
        <v>277</v>
      </c>
      <c r="AU210" s="129" t="s">
        <v>63</v>
      </c>
      <c r="AY210" s="13" t="s">
        <v>228</v>
      </c>
      <c r="BE210" s="130">
        <f t="shared" si="26"/>
        <v>0</v>
      </c>
      <c r="BF210" s="130">
        <f t="shared" si="27"/>
        <v>111.83</v>
      </c>
      <c r="BG210" s="130">
        <f t="shared" si="28"/>
        <v>0</v>
      </c>
      <c r="BH210" s="130">
        <f t="shared" si="29"/>
        <v>0</v>
      </c>
      <c r="BI210" s="130">
        <f t="shared" si="30"/>
        <v>0</v>
      </c>
      <c r="BJ210" s="13" t="s">
        <v>76</v>
      </c>
      <c r="BK210" s="130">
        <f t="shared" si="31"/>
        <v>111.83</v>
      </c>
      <c r="BL210" s="13" t="s">
        <v>347</v>
      </c>
      <c r="BM210" s="129" t="s">
        <v>511</v>
      </c>
    </row>
    <row r="211" spans="2:65" s="1" customFormat="1" ht="24" customHeight="1" x14ac:dyDescent="0.2">
      <c r="B211" s="118"/>
      <c r="C211" s="119" t="s">
        <v>372</v>
      </c>
      <c r="D211" s="119" t="s">
        <v>231</v>
      </c>
      <c r="E211" s="120" t="s">
        <v>1316</v>
      </c>
      <c r="F211" s="121" t="s">
        <v>3913</v>
      </c>
      <c r="G211" s="122" t="s">
        <v>1194</v>
      </c>
      <c r="H211" s="123">
        <v>40</v>
      </c>
      <c r="I211" s="124">
        <v>3.12</v>
      </c>
      <c r="J211" s="124">
        <f t="shared" si="21"/>
        <v>124.8</v>
      </c>
      <c r="K211" s="121" t="s">
        <v>1</v>
      </c>
      <c r="L211" s="24"/>
      <c r="M211" s="125" t="s">
        <v>1</v>
      </c>
      <c r="N211" s="126" t="s">
        <v>32</v>
      </c>
      <c r="O211" s="127">
        <v>0</v>
      </c>
      <c r="P211" s="127">
        <f t="shared" si="22"/>
        <v>0</v>
      </c>
      <c r="Q211" s="127">
        <v>0</v>
      </c>
      <c r="R211" s="127">
        <f t="shared" si="23"/>
        <v>0</v>
      </c>
      <c r="S211" s="127">
        <v>0</v>
      </c>
      <c r="T211" s="128">
        <f t="shared" si="24"/>
        <v>0</v>
      </c>
      <c r="W211" s="199"/>
      <c r="X211" s="119" t="s">
        <v>372</v>
      </c>
      <c r="Y211" s="119" t="s">
        <v>231</v>
      </c>
      <c r="Z211" s="120" t="s">
        <v>1316</v>
      </c>
      <c r="AA211" s="121" t="s">
        <v>3913</v>
      </c>
      <c r="AB211" s="122" t="s">
        <v>1194</v>
      </c>
      <c r="AC211" s="123">
        <v>40</v>
      </c>
      <c r="AD211" s="124">
        <v>3.12</v>
      </c>
      <c r="AE211" s="200">
        <f t="shared" si="25"/>
        <v>124.8</v>
      </c>
      <c r="AF211" s="227"/>
      <c r="AG211" s="396"/>
      <c r="AI211" s="397"/>
      <c r="AR211" s="129" t="s">
        <v>347</v>
      </c>
      <c r="AT211" s="129" t="s">
        <v>231</v>
      </c>
      <c r="AU211" s="129" t="s">
        <v>63</v>
      </c>
      <c r="AY211" s="13" t="s">
        <v>228</v>
      </c>
      <c r="BE211" s="130">
        <f t="shared" si="26"/>
        <v>0</v>
      </c>
      <c r="BF211" s="130">
        <f t="shared" si="27"/>
        <v>124.8</v>
      </c>
      <c r="BG211" s="130">
        <f t="shared" si="28"/>
        <v>0</v>
      </c>
      <c r="BH211" s="130">
        <f t="shared" si="29"/>
        <v>0</v>
      </c>
      <c r="BI211" s="130">
        <f t="shared" si="30"/>
        <v>0</v>
      </c>
      <c r="BJ211" s="13" t="s">
        <v>76</v>
      </c>
      <c r="BK211" s="130">
        <f t="shared" si="31"/>
        <v>124.8</v>
      </c>
      <c r="BL211" s="13" t="s">
        <v>347</v>
      </c>
      <c r="BM211" s="129" t="s">
        <v>514</v>
      </c>
    </row>
    <row r="212" spans="2:65" s="1" customFormat="1" ht="16.5" customHeight="1" x14ac:dyDescent="0.2">
      <c r="B212" s="118"/>
      <c r="C212" s="131" t="s">
        <v>515</v>
      </c>
      <c r="D212" s="131" t="s">
        <v>277</v>
      </c>
      <c r="E212" s="132" t="s">
        <v>1319</v>
      </c>
      <c r="F212" s="133" t="s">
        <v>3914</v>
      </c>
      <c r="G212" s="134" t="s">
        <v>1194</v>
      </c>
      <c r="H212" s="135">
        <v>40</v>
      </c>
      <c r="I212" s="136">
        <v>1.74</v>
      </c>
      <c r="J212" s="136">
        <f t="shared" si="21"/>
        <v>69.599999999999994</v>
      </c>
      <c r="K212" s="133" t="s">
        <v>1</v>
      </c>
      <c r="L212" s="137"/>
      <c r="M212" s="138" t="s">
        <v>1</v>
      </c>
      <c r="N212" s="139" t="s">
        <v>32</v>
      </c>
      <c r="O212" s="127">
        <v>0</v>
      </c>
      <c r="P212" s="127">
        <f t="shared" si="22"/>
        <v>0</v>
      </c>
      <c r="Q212" s="127">
        <v>0</v>
      </c>
      <c r="R212" s="127">
        <f t="shared" si="23"/>
        <v>0</v>
      </c>
      <c r="S212" s="127">
        <v>0</v>
      </c>
      <c r="T212" s="128">
        <f t="shared" si="24"/>
        <v>0</v>
      </c>
      <c r="W212" s="199"/>
      <c r="X212" s="131" t="s">
        <v>515</v>
      </c>
      <c r="Y212" s="131" t="s">
        <v>277</v>
      </c>
      <c r="Z212" s="132" t="s">
        <v>1319</v>
      </c>
      <c r="AA212" s="133" t="s">
        <v>3914</v>
      </c>
      <c r="AB212" s="134" t="s">
        <v>1194</v>
      </c>
      <c r="AC212" s="135">
        <v>40</v>
      </c>
      <c r="AD212" s="136">
        <v>1.74</v>
      </c>
      <c r="AE212" s="229">
        <f t="shared" si="25"/>
        <v>69.599999999999994</v>
      </c>
      <c r="AF212" s="227"/>
      <c r="AG212" s="396"/>
      <c r="AI212" s="397"/>
      <c r="AR212" s="129" t="s">
        <v>705</v>
      </c>
      <c r="AT212" s="129" t="s">
        <v>277</v>
      </c>
      <c r="AU212" s="129" t="s">
        <v>63</v>
      </c>
      <c r="AY212" s="13" t="s">
        <v>228</v>
      </c>
      <c r="BE212" s="130">
        <f t="shared" si="26"/>
        <v>0</v>
      </c>
      <c r="BF212" s="130">
        <f t="shared" si="27"/>
        <v>69.599999999999994</v>
      </c>
      <c r="BG212" s="130">
        <f t="shared" si="28"/>
        <v>0</v>
      </c>
      <c r="BH212" s="130">
        <f t="shared" si="29"/>
        <v>0</v>
      </c>
      <c r="BI212" s="130">
        <f t="shared" si="30"/>
        <v>0</v>
      </c>
      <c r="BJ212" s="13" t="s">
        <v>76</v>
      </c>
      <c r="BK212" s="130">
        <f t="shared" si="31"/>
        <v>69.599999999999994</v>
      </c>
      <c r="BL212" s="13" t="s">
        <v>347</v>
      </c>
      <c r="BM212" s="129" t="s">
        <v>518</v>
      </c>
    </row>
    <row r="213" spans="2:65" s="1" customFormat="1" ht="24" customHeight="1" x14ac:dyDescent="0.2">
      <c r="B213" s="118"/>
      <c r="C213" s="119" t="s">
        <v>375</v>
      </c>
      <c r="D213" s="119" t="s">
        <v>231</v>
      </c>
      <c r="E213" s="120" t="s">
        <v>1377</v>
      </c>
      <c r="F213" s="121" t="s">
        <v>3915</v>
      </c>
      <c r="G213" s="122" t="s">
        <v>1194</v>
      </c>
      <c r="H213" s="123">
        <v>15</v>
      </c>
      <c r="I213" s="124">
        <v>4.63</v>
      </c>
      <c r="J213" s="124">
        <f t="shared" si="21"/>
        <v>69.45</v>
      </c>
      <c r="K213" s="121" t="s">
        <v>1</v>
      </c>
      <c r="L213" s="24"/>
      <c r="M213" s="125" t="s">
        <v>1</v>
      </c>
      <c r="N213" s="126" t="s">
        <v>32</v>
      </c>
      <c r="O213" s="127">
        <v>0</v>
      </c>
      <c r="P213" s="127">
        <f t="shared" si="22"/>
        <v>0</v>
      </c>
      <c r="Q213" s="127">
        <v>0</v>
      </c>
      <c r="R213" s="127">
        <f t="shared" si="23"/>
        <v>0</v>
      </c>
      <c r="S213" s="127">
        <v>0</v>
      </c>
      <c r="T213" s="128">
        <f t="shared" si="24"/>
        <v>0</v>
      </c>
      <c r="W213" s="199"/>
      <c r="X213" s="119" t="s">
        <v>375</v>
      </c>
      <c r="Y213" s="119" t="s">
        <v>231</v>
      </c>
      <c r="Z213" s="120" t="s">
        <v>1377</v>
      </c>
      <c r="AA213" s="121" t="s">
        <v>3915</v>
      </c>
      <c r="AB213" s="122" t="s">
        <v>1194</v>
      </c>
      <c r="AC213" s="123">
        <v>15</v>
      </c>
      <c r="AD213" s="124">
        <v>4.63</v>
      </c>
      <c r="AE213" s="200">
        <f t="shared" si="25"/>
        <v>69.45</v>
      </c>
      <c r="AF213" s="227"/>
      <c r="AG213" s="396"/>
      <c r="AI213" s="397"/>
      <c r="AR213" s="129" t="s">
        <v>347</v>
      </c>
      <c r="AT213" s="129" t="s">
        <v>231</v>
      </c>
      <c r="AU213" s="129" t="s">
        <v>63</v>
      </c>
      <c r="AY213" s="13" t="s">
        <v>228</v>
      </c>
      <c r="BE213" s="130">
        <f t="shared" si="26"/>
        <v>0</v>
      </c>
      <c r="BF213" s="130">
        <f t="shared" si="27"/>
        <v>69.45</v>
      </c>
      <c r="BG213" s="130">
        <f t="shared" si="28"/>
        <v>0</v>
      </c>
      <c r="BH213" s="130">
        <f t="shared" si="29"/>
        <v>0</v>
      </c>
      <c r="BI213" s="130">
        <f t="shared" si="30"/>
        <v>0</v>
      </c>
      <c r="BJ213" s="13" t="s">
        <v>76</v>
      </c>
      <c r="BK213" s="130">
        <f t="shared" si="31"/>
        <v>69.45</v>
      </c>
      <c r="BL213" s="13" t="s">
        <v>347</v>
      </c>
      <c r="BM213" s="129" t="s">
        <v>521</v>
      </c>
    </row>
    <row r="214" spans="2:65" s="1" customFormat="1" ht="16.5" customHeight="1" x14ac:dyDescent="0.2">
      <c r="B214" s="118"/>
      <c r="C214" s="131" t="s">
        <v>522</v>
      </c>
      <c r="D214" s="131" t="s">
        <v>277</v>
      </c>
      <c r="E214" s="132" t="s">
        <v>1380</v>
      </c>
      <c r="F214" s="133" t="s">
        <v>1381</v>
      </c>
      <c r="G214" s="134" t="s">
        <v>1194</v>
      </c>
      <c r="H214" s="135">
        <v>15</v>
      </c>
      <c r="I214" s="136">
        <v>11.03</v>
      </c>
      <c r="J214" s="136">
        <f t="shared" si="21"/>
        <v>165.45</v>
      </c>
      <c r="K214" s="133" t="s">
        <v>1</v>
      </c>
      <c r="L214" s="137"/>
      <c r="M214" s="138" t="s">
        <v>1</v>
      </c>
      <c r="N214" s="139" t="s">
        <v>32</v>
      </c>
      <c r="O214" s="127">
        <v>0</v>
      </c>
      <c r="P214" s="127">
        <f t="shared" si="22"/>
        <v>0</v>
      </c>
      <c r="Q214" s="127">
        <v>5.0000000000000002E-5</v>
      </c>
      <c r="R214" s="127">
        <f t="shared" si="23"/>
        <v>7.5000000000000002E-4</v>
      </c>
      <c r="S214" s="127">
        <v>0</v>
      </c>
      <c r="T214" s="128">
        <f t="shared" si="24"/>
        <v>0</v>
      </c>
      <c r="W214" s="199"/>
      <c r="X214" s="131" t="s">
        <v>522</v>
      </c>
      <c r="Y214" s="131" t="s">
        <v>277</v>
      </c>
      <c r="Z214" s="132" t="s">
        <v>1380</v>
      </c>
      <c r="AA214" s="133" t="s">
        <v>1381</v>
      </c>
      <c r="AB214" s="134" t="s">
        <v>1194</v>
      </c>
      <c r="AC214" s="135">
        <v>15</v>
      </c>
      <c r="AD214" s="136">
        <v>11.03</v>
      </c>
      <c r="AE214" s="229">
        <f t="shared" si="25"/>
        <v>165.45</v>
      </c>
      <c r="AF214" s="227"/>
      <c r="AG214" s="396"/>
      <c r="AI214" s="397"/>
      <c r="AR214" s="129" t="s">
        <v>705</v>
      </c>
      <c r="AT214" s="129" t="s">
        <v>277</v>
      </c>
      <c r="AU214" s="129" t="s">
        <v>63</v>
      </c>
      <c r="AY214" s="13" t="s">
        <v>228</v>
      </c>
      <c r="BE214" s="130">
        <f t="shared" si="26"/>
        <v>0</v>
      </c>
      <c r="BF214" s="130">
        <f t="shared" si="27"/>
        <v>165.45</v>
      </c>
      <c r="BG214" s="130">
        <f t="shared" si="28"/>
        <v>0</v>
      </c>
      <c r="BH214" s="130">
        <f t="shared" si="29"/>
        <v>0</v>
      </c>
      <c r="BI214" s="130">
        <f t="shared" si="30"/>
        <v>0</v>
      </c>
      <c r="BJ214" s="13" t="s">
        <v>76</v>
      </c>
      <c r="BK214" s="130">
        <f t="shared" si="31"/>
        <v>165.45</v>
      </c>
      <c r="BL214" s="13" t="s">
        <v>347</v>
      </c>
      <c r="BM214" s="129" t="s">
        <v>525</v>
      </c>
    </row>
    <row r="215" spans="2:65" s="1" customFormat="1" ht="24" customHeight="1" x14ac:dyDescent="0.2">
      <c r="B215" s="118"/>
      <c r="C215" s="119" t="s">
        <v>379</v>
      </c>
      <c r="D215" s="119" t="s">
        <v>231</v>
      </c>
      <c r="E215" s="120" t="s">
        <v>1383</v>
      </c>
      <c r="F215" s="121" t="s">
        <v>3916</v>
      </c>
      <c r="G215" s="122" t="s">
        <v>1194</v>
      </c>
      <c r="H215" s="123">
        <v>11</v>
      </c>
      <c r="I215" s="124">
        <v>4.97</v>
      </c>
      <c r="J215" s="124">
        <f t="shared" si="21"/>
        <v>54.67</v>
      </c>
      <c r="K215" s="121" t="s">
        <v>1</v>
      </c>
      <c r="L215" s="24"/>
      <c r="M215" s="125" t="s">
        <v>1</v>
      </c>
      <c r="N215" s="126" t="s">
        <v>32</v>
      </c>
      <c r="O215" s="127">
        <v>0</v>
      </c>
      <c r="P215" s="127">
        <f t="shared" si="22"/>
        <v>0</v>
      </c>
      <c r="Q215" s="127">
        <v>0</v>
      </c>
      <c r="R215" s="127">
        <f t="shared" si="23"/>
        <v>0</v>
      </c>
      <c r="S215" s="127">
        <v>0</v>
      </c>
      <c r="T215" s="128">
        <f t="shared" si="24"/>
        <v>0</v>
      </c>
      <c r="W215" s="199"/>
      <c r="X215" s="119" t="s">
        <v>379</v>
      </c>
      <c r="Y215" s="119" t="s">
        <v>231</v>
      </c>
      <c r="Z215" s="120" t="s">
        <v>1383</v>
      </c>
      <c r="AA215" s="121" t="s">
        <v>3916</v>
      </c>
      <c r="AB215" s="122" t="s">
        <v>1194</v>
      </c>
      <c r="AC215" s="123">
        <v>11</v>
      </c>
      <c r="AD215" s="124">
        <v>4.97</v>
      </c>
      <c r="AE215" s="200">
        <f t="shared" si="25"/>
        <v>54.67</v>
      </c>
      <c r="AF215" s="227"/>
      <c r="AG215" s="396"/>
      <c r="AI215" s="397"/>
      <c r="AR215" s="129" t="s">
        <v>347</v>
      </c>
      <c r="AT215" s="129" t="s">
        <v>231</v>
      </c>
      <c r="AU215" s="129" t="s">
        <v>63</v>
      </c>
      <c r="AY215" s="13" t="s">
        <v>228</v>
      </c>
      <c r="BE215" s="130">
        <f t="shared" si="26"/>
        <v>0</v>
      </c>
      <c r="BF215" s="130">
        <f t="shared" si="27"/>
        <v>54.67</v>
      </c>
      <c r="BG215" s="130">
        <f t="shared" si="28"/>
        <v>0</v>
      </c>
      <c r="BH215" s="130">
        <f t="shared" si="29"/>
        <v>0</v>
      </c>
      <c r="BI215" s="130">
        <f t="shared" si="30"/>
        <v>0</v>
      </c>
      <c r="BJ215" s="13" t="s">
        <v>76</v>
      </c>
      <c r="BK215" s="130">
        <f t="shared" si="31"/>
        <v>54.67</v>
      </c>
      <c r="BL215" s="13" t="s">
        <v>347</v>
      </c>
      <c r="BM215" s="129" t="s">
        <v>528</v>
      </c>
    </row>
    <row r="216" spans="2:65" s="1" customFormat="1" ht="16.5" customHeight="1" x14ac:dyDescent="0.2">
      <c r="B216" s="118"/>
      <c r="C216" s="131" t="s">
        <v>529</v>
      </c>
      <c r="D216" s="131" t="s">
        <v>277</v>
      </c>
      <c r="E216" s="132" t="s">
        <v>3917</v>
      </c>
      <c r="F216" s="133" t="s">
        <v>3918</v>
      </c>
      <c r="G216" s="134" t="s">
        <v>1194</v>
      </c>
      <c r="H216" s="135">
        <v>11</v>
      </c>
      <c r="I216" s="136">
        <v>14.05</v>
      </c>
      <c r="J216" s="136">
        <f t="shared" si="21"/>
        <v>154.55000000000001</v>
      </c>
      <c r="K216" s="133" t="s">
        <v>1</v>
      </c>
      <c r="L216" s="137"/>
      <c r="M216" s="138" t="s">
        <v>1</v>
      </c>
      <c r="N216" s="139" t="s">
        <v>32</v>
      </c>
      <c r="O216" s="127">
        <v>0</v>
      </c>
      <c r="P216" s="127">
        <f t="shared" si="22"/>
        <v>0</v>
      </c>
      <c r="Q216" s="127">
        <v>0</v>
      </c>
      <c r="R216" s="127">
        <f t="shared" si="23"/>
        <v>0</v>
      </c>
      <c r="S216" s="127">
        <v>0</v>
      </c>
      <c r="T216" s="128">
        <f t="shared" si="24"/>
        <v>0</v>
      </c>
      <c r="W216" s="199"/>
      <c r="X216" s="131" t="s">
        <v>529</v>
      </c>
      <c r="Y216" s="131" t="s">
        <v>277</v>
      </c>
      <c r="Z216" s="132" t="s">
        <v>3917</v>
      </c>
      <c r="AA216" s="133" t="s">
        <v>3918</v>
      </c>
      <c r="AB216" s="134" t="s">
        <v>1194</v>
      </c>
      <c r="AC216" s="135">
        <v>11</v>
      </c>
      <c r="AD216" s="136">
        <v>14.05</v>
      </c>
      <c r="AE216" s="229">
        <f t="shared" si="25"/>
        <v>154.55000000000001</v>
      </c>
      <c r="AF216" s="227"/>
      <c r="AG216" s="396"/>
      <c r="AI216" s="397"/>
      <c r="AR216" s="129" t="s">
        <v>705</v>
      </c>
      <c r="AT216" s="129" t="s">
        <v>277</v>
      </c>
      <c r="AU216" s="129" t="s">
        <v>63</v>
      </c>
      <c r="AY216" s="13" t="s">
        <v>228</v>
      </c>
      <c r="BE216" s="130">
        <f t="shared" si="26"/>
        <v>0</v>
      </c>
      <c r="BF216" s="130">
        <f t="shared" si="27"/>
        <v>154.55000000000001</v>
      </c>
      <c r="BG216" s="130">
        <f t="shared" si="28"/>
        <v>0</v>
      </c>
      <c r="BH216" s="130">
        <f t="shared" si="29"/>
        <v>0</v>
      </c>
      <c r="BI216" s="130">
        <f t="shared" si="30"/>
        <v>0</v>
      </c>
      <c r="BJ216" s="13" t="s">
        <v>76</v>
      </c>
      <c r="BK216" s="130">
        <f t="shared" si="31"/>
        <v>154.55000000000001</v>
      </c>
      <c r="BL216" s="13" t="s">
        <v>347</v>
      </c>
      <c r="BM216" s="129" t="s">
        <v>532</v>
      </c>
    </row>
    <row r="217" spans="2:65" s="1" customFormat="1" ht="24" customHeight="1" x14ac:dyDescent="0.2">
      <c r="B217" s="118"/>
      <c r="C217" s="119" t="s">
        <v>382</v>
      </c>
      <c r="D217" s="119" t="s">
        <v>231</v>
      </c>
      <c r="E217" s="120" t="s">
        <v>1401</v>
      </c>
      <c r="F217" s="121" t="s">
        <v>1402</v>
      </c>
      <c r="G217" s="122" t="s">
        <v>1194</v>
      </c>
      <c r="H217" s="123">
        <v>1</v>
      </c>
      <c r="I217" s="124">
        <v>5.0999999999999996</v>
      </c>
      <c r="J217" s="124">
        <f t="shared" si="21"/>
        <v>5.0999999999999996</v>
      </c>
      <c r="K217" s="121" t="s">
        <v>1</v>
      </c>
      <c r="L217" s="24"/>
      <c r="M217" s="125" t="s">
        <v>1</v>
      </c>
      <c r="N217" s="126" t="s">
        <v>32</v>
      </c>
      <c r="O217" s="127">
        <v>0</v>
      </c>
      <c r="P217" s="127">
        <f t="shared" si="22"/>
        <v>0</v>
      </c>
      <c r="Q217" s="127">
        <v>0</v>
      </c>
      <c r="R217" s="127">
        <f t="shared" si="23"/>
        <v>0</v>
      </c>
      <c r="S217" s="127">
        <v>0</v>
      </c>
      <c r="T217" s="128">
        <f t="shared" si="24"/>
        <v>0</v>
      </c>
      <c r="W217" s="199"/>
      <c r="X217" s="119" t="s">
        <v>382</v>
      </c>
      <c r="Y217" s="119" t="s">
        <v>231</v>
      </c>
      <c r="Z217" s="120" t="s">
        <v>1401</v>
      </c>
      <c r="AA217" s="121" t="s">
        <v>1402</v>
      </c>
      <c r="AB217" s="122" t="s">
        <v>1194</v>
      </c>
      <c r="AC217" s="123">
        <v>1</v>
      </c>
      <c r="AD217" s="124">
        <v>5.0999999999999996</v>
      </c>
      <c r="AE217" s="200">
        <f t="shared" si="25"/>
        <v>5.0999999999999996</v>
      </c>
      <c r="AF217" s="227"/>
      <c r="AG217" s="396"/>
      <c r="AI217" s="397"/>
      <c r="AR217" s="129" t="s">
        <v>347</v>
      </c>
      <c r="AT217" s="129" t="s">
        <v>231</v>
      </c>
      <c r="AU217" s="129" t="s">
        <v>63</v>
      </c>
      <c r="AY217" s="13" t="s">
        <v>228</v>
      </c>
      <c r="BE217" s="130">
        <f t="shared" si="26"/>
        <v>0</v>
      </c>
      <c r="BF217" s="130">
        <f t="shared" si="27"/>
        <v>5.0999999999999996</v>
      </c>
      <c r="BG217" s="130">
        <f t="shared" si="28"/>
        <v>0</v>
      </c>
      <c r="BH217" s="130">
        <f t="shared" si="29"/>
        <v>0</v>
      </c>
      <c r="BI217" s="130">
        <f t="shared" si="30"/>
        <v>0</v>
      </c>
      <c r="BJ217" s="13" t="s">
        <v>76</v>
      </c>
      <c r="BK217" s="130">
        <f t="shared" si="31"/>
        <v>5.0999999999999996</v>
      </c>
      <c r="BL217" s="13" t="s">
        <v>347</v>
      </c>
      <c r="BM217" s="129" t="s">
        <v>535</v>
      </c>
    </row>
    <row r="218" spans="2:65" s="1" customFormat="1" ht="16.5" customHeight="1" x14ac:dyDescent="0.2">
      <c r="B218" s="118"/>
      <c r="C218" s="131" t="s">
        <v>536</v>
      </c>
      <c r="D218" s="131" t="s">
        <v>277</v>
      </c>
      <c r="E218" s="132" t="s">
        <v>1404</v>
      </c>
      <c r="F218" s="133" t="s">
        <v>3919</v>
      </c>
      <c r="G218" s="134" t="s">
        <v>1194</v>
      </c>
      <c r="H218" s="135">
        <v>1</v>
      </c>
      <c r="I218" s="136">
        <v>14.05</v>
      </c>
      <c r="J218" s="136">
        <f t="shared" si="21"/>
        <v>14.05</v>
      </c>
      <c r="K218" s="133" t="s">
        <v>1</v>
      </c>
      <c r="L218" s="137"/>
      <c r="M218" s="138" t="s">
        <v>1</v>
      </c>
      <c r="N218" s="139" t="s">
        <v>32</v>
      </c>
      <c r="O218" s="127">
        <v>0</v>
      </c>
      <c r="P218" s="127">
        <f t="shared" si="22"/>
        <v>0</v>
      </c>
      <c r="Q218" s="127">
        <v>5.0000000000000002E-5</v>
      </c>
      <c r="R218" s="127">
        <f t="shared" si="23"/>
        <v>5.0000000000000002E-5</v>
      </c>
      <c r="S218" s="127">
        <v>0</v>
      </c>
      <c r="T218" s="128">
        <f t="shared" si="24"/>
        <v>0</v>
      </c>
      <c r="W218" s="199"/>
      <c r="X218" s="131" t="s">
        <v>536</v>
      </c>
      <c r="Y218" s="131" t="s">
        <v>277</v>
      </c>
      <c r="Z218" s="132" t="s">
        <v>1404</v>
      </c>
      <c r="AA218" s="133" t="s">
        <v>3919</v>
      </c>
      <c r="AB218" s="134" t="s">
        <v>1194</v>
      </c>
      <c r="AC218" s="135">
        <v>1</v>
      </c>
      <c r="AD218" s="136">
        <v>14.05</v>
      </c>
      <c r="AE218" s="229">
        <f t="shared" si="25"/>
        <v>14.05</v>
      </c>
      <c r="AF218" s="227"/>
      <c r="AG218" s="396"/>
      <c r="AI218" s="397"/>
      <c r="AR218" s="129" t="s">
        <v>705</v>
      </c>
      <c r="AT218" s="129" t="s">
        <v>277</v>
      </c>
      <c r="AU218" s="129" t="s">
        <v>63</v>
      </c>
      <c r="AY218" s="13" t="s">
        <v>228</v>
      </c>
      <c r="BE218" s="130">
        <f t="shared" si="26"/>
        <v>0</v>
      </c>
      <c r="BF218" s="130">
        <f t="shared" si="27"/>
        <v>14.05</v>
      </c>
      <c r="BG218" s="130">
        <f t="shared" si="28"/>
        <v>0</v>
      </c>
      <c r="BH218" s="130">
        <f t="shared" si="29"/>
        <v>0</v>
      </c>
      <c r="BI218" s="130">
        <f t="shared" si="30"/>
        <v>0</v>
      </c>
      <c r="BJ218" s="13" t="s">
        <v>76</v>
      </c>
      <c r="BK218" s="130">
        <f t="shared" si="31"/>
        <v>14.05</v>
      </c>
      <c r="BL218" s="13" t="s">
        <v>347</v>
      </c>
      <c r="BM218" s="129" t="s">
        <v>539</v>
      </c>
    </row>
    <row r="219" spans="2:65" s="1" customFormat="1" ht="24" customHeight="1" x14ac:dyDescent="0.2">
      <c r="B219" s="118"/>
      <c r="C219" s="119" t="s">
        <v>386</v>
      </c>
      <c r="D219" s="119" t="s">
        <v>231</v>
      </c>
      <c r="E219" s="120" t="s">
        <v>1389</v>
      </c>
      <c r="F219" s="121" t="s">
        <v>1396</v>
      </c>
      <c r="G219" s="122" t="s">
        <v>1194</v>
      </c>
      <c r="H219" s="123">
        <v>3</v>
      </c>
      <c r="I219" s="124">
        <v>2.57</v>
      </c>
      <c r="J219" s="124">
        <f t="shared" si="21"/>
        <v>7.71</v>
      </c>
      <c r="K219" s="121" t="s">
        <v>1</v>
      </c>
      <c r="L219" s="24"/>
      <c r="M219" s="125" t="s">
        <v>1</v>
      </c>
      <c r="N219" s="126" t="s">
        <v>32</v>
      </c>
      <c r="O219" s="127">
        <v>0</v>
      </c>
      <c r="P219" s="127">
        <f t="shared" si="22"/>
        <v>0</v>
      </c>
      <c r="Q219" s="127">
        <v>0</v>
      </c>
      <c r="R219" s="127">
        <f t="shared" si="23"/>
        <v>0</v>
      </c>
      <c r="S219" s="127">
        <v>0</v>
      </c>
      <c r="T219" s="128">
        <f t="shared" si="24"/>
        <v>0</v>
      </c>
      <c r="W219" s="199"/>
      <c r="X219" s="119" t="s">
        <v>386</v>
      </c>
      <c r="Y219" s="119" t="s">
        <v>231</v>
      </c>
      <c r="Z219" s="120" t="s">
        <v>1389</v>
      </c>
      <c r="AA219" s="121" t="s">
        <v>1396</v>
      </c>
      <c r="AB219" s="122" t="s">
        <v>1194</v>
      </c>
      <c r="AC219" s="123">
        <v>3</v>
      </c>
      <c r="AD219" s="124">
        <v>2.57</v>
      </c>
      <c r="AE219" s="200">
        <f t="shared" si="25"/>
        <v>7.71</v>
      </c>
      <c r="AF219" s="227"/>
      <c r="AG219" s="396"/>
      <c r="AI219" s="397"/>
      <c r="AR219" s="129" t="s">
        <v>347</v>
      </c>
      <c r="AT219" s="129" t="s">
        <v>231</v>
      </c>
      <c r="AU219" s="129" t="s">
        <v>63</v>
      </c>
      <c r="AY219" s="13" t="s">
        <v>228</v>
      </c>
      <c r="BE219" s="130">
        <f t="shared" si="26"/>
        <v>0</v>
      </c>
      <c r="BF219" s="130">
        <f t="shared" si="27"/>
        <v>7.71</v>
      </c>
      <c r="BG219" s="130">
        <f t="shared" si="28"/>
        <v>0</v>
      </c>
      <c r="BH219" s="130">
        <f t="shared" si="29"/>
        <v>0</v>
      </c>
      <c r="BI219" s="130">
        <f t="shared" si="30"/>
        <v>0</v>
      </c>
      <c r="BJ219" s="13" t="s">
        <v>76</v>
      </c>
      <c r="BK219" s="130">
        <f t="shared" si="31"/>
        <v>7.71</v>
      </c>
      <c r="BL219" s="13" t="s">
        <v>347</v>
      </c>
      <c r="BM219" s="129" t="s">
        <v>542</v>
      </c>
    </row>
    <row r="220" spans="2:65" s="1" customFormat="1" ht="16.5" customHeight="1" x14ac:dyDescent="0.2">
      <c r="B220" s="118"/>
      <c r="C220" s="131" t="s">
        <v>543</v>
      </c>
      <c r="D220" s="131" t="s">
        <v>277</v>
      </c>
      <c r="E220" s="132" t="s">
        <v>1392</v>
      </c>
      <c r="F220" s="133" t="s">
        <v>1399</v>
      </c>
      <c r="G220" s="134" t="s">
        <v>1194</v>
      </c>
      <c r="H220" s="135">
        <v>3</v>
      </c>
      <c r="I220" s="136">
        <v>15.7</v>
      </c>
      <c r="J220" s="136">
        <f t="shared" si="21"/>
        <v>47.1</v>
      </c>
      <c r="K220" s="133" t="s">
        <v>1</v>
      </c>
      <c r="L220" s="137"/>
      <c r="M220" s="138" t="s">
        <v>1</v>
      </c>
      <c r="N220" s="139" t="s">
        <v>32</v>
      </c>
      <c r="O220" s="127">
        <v>0</v>
      </c>
      <c r="P220" s="127">
        <f t="shared" si="22"/>
        <v>0</v>
      </c>
      <c r="Q220" s="127">
        <v>0</v>
      </c>
      <c r="R220" s="127">
        <f t="shared" si="23"/>
        <v>0</v>
      </c>
      <c r="S220" s="127">
        <v>0</v>
      </c>
      <c r="T220" s="128">
        <f t="shared" si="24"/>
        <v>0</v>
      </c>
      <c r="W220" s="199"/>
      <c r="X220" s="131" t="s">
        <v>543</v>
      </c>
      <c r="Y220" s="131" t="s">
        <v>277</v>
      </c>
      <c r="Z220" s="132" t="s">
        <v>1392</v>
      </c>
      <c r="AA220" s="133" t="s">
        <v>1399</v>
      </c>
      <c r="AB220" s="134" t="s">
        <v>1194</v>
      </c>
      <c r="AC220" s="135">
        <v>3</v>
      </c>
      <c r="AD220" s="136">
        <v>15.7</v>
      </c>
      <c r="AE220" s="229">
        <f t="shared" si="25"/>
        <v>47.1</v>
      </c>
      <c r="AF220" s="227"/>
      <c r="AG220" s="396"/>
      <c r="AI220" s="397"/>
      <c r="AR220" s="129" t="s">
        <v>705</v>
      </c>
      <c r="AT220" s="129" t="s">
        <v>277</v>
      </c>
      <c r="AU220" s="129" t="s">
        <v>63</v>
      </c>
      <c r="AY220" s="13" t="s">
        <v>228</v>
      </c>
      <c r="BE220" s="130">
        <f t="shared" si="26"/>
        <v>0</v>
      </c>
      <c r="BF220" s="130">
        <f t="shared" si="27"/>
        <v>47.1</v>
      </c>
      <c r="BG220" s="130">
        <f t="shared" si="28"/>
        <v>0</v>
      </c>
      <c r="BH220" s="130">
        <f t="shared" si="29"/>
        <v>0</v>
      </c>
      <c r="BI220" s="130">
        <f t="shared" si="30"/>
        <v>0</v>
      </c>
      <c r="BJ220" s="13" t="s">
        <v>76</v>
      </c>
      <c r="BK220" s="130">
        <f t="shared" si="31"/>
        <v>47.1</v>
      </c>
      <c r="BL220" s="13" t="s">
        <v>347</v>
      </c>
      <c r="BM220" s="129" t="s">
        <v>546</v>
      </c>
    </row>
    <row r="221" spans="2:65" s="1" customFormat="1" ht="24" customHeight="1" x14ac:dyDescent="0.2">
      <c r="B221" s="118"/>
      <c r="C221" s="205" t="s">
        <v>389</v>
      </c>
      <c r="D221" s="119" t="s">
        <v>231</v>
      </c>
      <c r="E221" s="120" t="s">
        <v>1407</v>
      </c>
      <c r="F221" s="121" t="s">
        <v>1408</v>
      </c>
      <c r="G221" s="122" t="s">
        <v>1194</v>
      </c>
      <c r="H221" s="206">
        <v>146</v>
      </c>
      <c r="I221" s="124">
        <v>4.2699999999999996</v>
      </c>
      <c r="J221" s="124">
        <f t="shared" si="21"/>
        <v>623.41999999999996</v>
      </c>
      <c r="K221" s="121" t="s">
        <v>1</v>
      </c>
      <c r="L221" s="24"/>
      <c r="M221" s="125" t="s">
        <v>1</v>
      </c>
      <c r="N221" s="126" t="s">
        <v>32</v>
      </c>
      <c r="O221" s="127">
        <v>0</v>
      </c>
      <c r="P221" s="127">
        <f t="shared" si="22"/>
        <v>0</v>
      </c>
      <c r="Q221" s="127">
        <v>0</v>
      </c>
      <c r="R221" s="127">
        <f t="shared" si="23"/>
        <v>0</v>
      </c>
      <c r="S221" s="127">
        <v>0</v>
      </c>
      <c r="T221" s="128">
        <f t="shared" si="24"/>
        <v>0</v>
      </c>
      <c r="W221" s="199"/>
      <c r="X221" s="205" t="s">
        <v>389</v>
      </c>
      <c r="Y221" s="119" t="s">
        <v>231</v>
      </c>
      <c r="Z221" s="120" t="s">
        <v>1407</v>
      </c>
      <c r="AA221" s="121" t="s">
        <v>1408</v>
      </c>
      <c r="AB221" s="122" t="s">
        <v>1194</v>
      </c>
      <c r="AC221" s="206">
        <f>146-61</f>
        <v>85</v>
      </c>
      <c r="AD221" s="124">
        <v>4.2699999999999996</v>
      </c>
      <c r="AE221" s="200">
        <f t="shared" si="25"/>
        <v>362.95</v>
      </c>
      <c r="AF221" s="227">
        <v>2</v>
      </c>
      <c r="AG221" s="396"/>
      <c r="AI221" s="397"/>
      <c r="AR221" s="129" t="s">
        <v>347</v>
      </c>
      <c r="AT221" s="129" t="s">
        <v>231</v>
      </c>
      <c r="AU221" s="129" t="s">
        <v>63</v>
      </c>
      <c r="AY221" s="13" t="s">
        <v>228</v>
      </c>
      <c r="BE221" s="130">
        <f t="shared" si="26"/>
        <v>0</v>
      </c>
      <c r="BF221" s="130">
        <f t="shared" si="27"/>
        <v>623.41999999999996</v>
      </c>
      <c r="BG221" s="130">
        <f t="shared" si="28"/>
        <v>0</v>
      </c>
      <c r="BH221" s="130">
        <f t="shared" si="29"/>
        <v>0</v>
      </c>
      <c r="BI221" s="130">
        <f t="shared" si="30"/>
        <v>0</v>
      </c>
      <c r="BJ221" s="13" t="s">
        <v>76</v>
      </c>
      <c r="BK221" s="130">
        <f t="shared" si="31"/>
        <v>623.41999999999996</v>
      </c>
      <c r="BL221" s="13" t="s">
        <v>347</v>
      </c>
      <c r="BM221" s="129" t="s">
        <v>549</v>
      </c>
    </row>
    <row r="222" spans="2:65" s="1" customFormat="1" ht="16.5" customHeight="1" x14ac:dyDescent="0.2">
      <c r="B222" s="118"/>
      <c r="C222" s="242" t="s">
        <v>552</v>
      </c>
      <c r="D222" s="131" t="s">
        <v>277</v>
      </c>
      <c r="E222" s="132" t="s">
        <v>1410</v>
      </c>
      <c r="F222" s="133" t="s">
        <v>1411</v>
      </c>
      <c r="G222" s="134" t="s">
        <v>1194</v>
      </c>
      <c r="H222" s="241">
        <v>146</v>
      </c>
      <c r="I222" s="136">
        <v>14.64</v>
      </c>
      <c r="J222" s="136">
        <f t="shared" si="21"/>
        <v>2137.44</v>
      </c>
      <c r="K222" s="133" t="s">
        <v>1</v>
      </c>
      <c r="L222" s="137"/>
      <c r="M222" s="138" t="s">
        <v>1</v>
      </c>
      <c r="N222" s="139" t="s">
        <v>32</v>
      </c>
      <c r="O222" s="127">
        <v>0</v>
      </c>
      <c r="P222" s="127">
        <f t="shared" si="22"/>
        <v>0</v>
      </c>
      <c r="Q222" s="127">
        <v>8.0000000000000007E-5</v>
      </c>
      <c r="R222" s="127">
        <f t="shared" si="23"/>
        <v>1.1680000000000001E-2</v>
      </c>
      <c r="S222" s="127">
        <v>0</v>
      </c>
      <c r="T222" s="128">
        <f t="shared" si="24"/>
        <v>0</v>
      </c>
      <c r="W222" s="199"/>
      <c r="X222" s="242" t="s">
        <v>552</v>
      </c>
      <c r="Y222" s="131" t="s">
        <v>277</v>
      </c>
      <c r="Z222" s="132" t="s">
        <v>1410</v>
      </c>
      <c r="AA222" s="133" t="s">
        <v>1411</v>
      </c>
      <c r="AB222" s="134" t="s">
        <v>1194</v>
      </c>
      <c r="AC222" s="241">
        <f>146-61</f>
        <v>85</v>
      </c>
      <c r="AD222" s="136">
        <v>14.64</v>
      </c>
      <c r="AE222" s="229">
        <f t="shared" si="25"/>
        <v>1244.4000000000001</v>
      </c>
      <c r="AF222" s="227">
        <v>2</v>
      </c>
      <c r="AG222" s="396"/>
      <c r="AI222" s="397"/>
      <c r="AR222" s="129" t="s">
        <v>705</v>
      </c>
      <c r="AT222" s="129" t="s">
        <v>277</v>
      </c>
      <c r="AU222" s="129" t="s">
        <v>63</v>
      </c>
      <c r="AY222" s="13" t="s">
        <v>228</v>
      </c>
      <c r="BE222" s="130">
        <f t="shared" si="26"/>
        <v>0</v>
      </c>
      <c r="BF222" s="130">
        <f t="shared" si="27"/>
        <v>2137.44</v>
      </c>
      <c r="BG222" s="130">
        <f t="shared" si="28"/>
        <v>0</v>
      </c>
      <c r="BH222" s="130">
        <f t="shared" si="29"/>
        <v>0</v>
      </c>
      <c r="BI222" s="130">
        <f t="shared" si="30"/>
        <v>0</v>
      </c>
      <c r="BJ222" s="13" t="s">
        <v>76</v>
      </c>
      <c r="BK222" s="130">
        <f t="shared" si="31"/>
        <v>2137.44</v>
      </c>
      <c r="BL222" s="13" t="s">
        <v>347</v>
      </c>
      <c r="BM222" s="129" t="s">
        <v>555</v>
      </c>
    </row>
    <row r="223" spans="2:65" s="1" customFormat="1" ht="24" customHeight="1" x14ac:dyDescent="0.2">
      <c r="B223" s="118"/>
      <c r="C223" s="119" t="s">
        <v>393</v>
      </c>
      <c r="D223" s="119" t="s">
        <v>231</v>
      </c>
      <c r="E223" s="120" t="s">
        <v>1413</v>
      </c>
      <c r="F223" s="121" t="s">
        <v>1414</v>
      </c>
      <c r="G223" s="122" t="s">
        <v>1194</v>
      </c>
      <c r="H223" s="123">
        <v>25</v>
      </c>
      <c r="I223" s="124">
        <v>4.2699999999999996</v>
      </c>
      <c r="J223" s="124">
        <f t="shared" si="21"/>
        <v>106.75</v>
      </c>
      <c r="K223" s="121" t="s">
        <v>1</v>
      </c>
      <c r="L223" s="24"/>
      <c r="M223" s="125" t="s">
        <v>1</v>
      </c>
      <c r="N223" s="126" t="s">
        <v>32</v>
      </c>
      <c r="O223" s="127">
        <v>0</v>
      </c>
      <c r="P223" s="127">
        <f t="shared" si="22"/>
        <v>0</v>
      </c>
      <c r="Q223" s="127">
        <v>0</v>
      </c>
      <c r="R223" s="127">
        <f t="shared" si="23"/>
        <v>0</v>
      </c>
      <c r="S223" s="127">
        <v>0</v>
      </c>
      <c r="T223" s="128">
        <f t="shared" si="24"/>
        <v>0</v>
      </c>
      <c r="W223" s="199"/>
      <c r="X223" s="119" t="s">
        <v>393</v>
      </c>
      <c r="Y223" s="119" t="s">
        <v>231</v>
      </c>
      <c r="Z223" s="120" t="s">
        <v>1413</v>
      </c>
      <c r="AA223" s="121" t="s">
        <v>1414</v>
      </c>
      <c r="AB223" s="122" t="s">
        <v>1194</v>
      </c>
      <c r="AC223" s="123">
        <v>25</v>
      </c>
      <c r="AD223" s="124">
        <v>4.2699999999999996</v>
      </c>
      <c r="AE223" s="200">
        <f t="shared" si="25"/>
        <v>106.75</v>
      </c>
      <c r="AF223" s="227"/>
      <c r="AG223" s="396"/>
      <c r="AI223" s="397"/>
      <c r="AR223" s="129" t="s">
        <v>347</v>
      </c>
      <c r="AT223" s="129" t="s">
        <v>231</v>
      </c>
      <c r="AU223" s="129" t="s">
        <v>63</v>
      </c>
      <c r="AY223" s="13" t="s">
        <v>228</v>
      </c>
      <c r="BE223" s="130">
        <f t="shared" si="26"/>
        <v>0</v>
      </c>
      <c r="BF223" s="130">
        <f t="shared" si="27"/>
        <v>106.75</v>
      </c>
      <c r="BG223" s="130">
        <f t="shared" si="28"/>
        <v>0</v>
      </c>
      <c r="BH223" s="130">
        <f t="shared" si="29"/>
        <v>0</v>
      </c>
      <c r="BI223" s="130">
        <f t="shared" si="30"/>
        <v>0</v>
      </c>
      <c r="BJ223" s="13" t="s">
        <v>76</v>
      </c>
      <c r="BK223" s="130">
        <f t="shared" si="31"/>
        <v>106.75</v>
      </c>
      <c r="BL223" s="13" t="s">
        <v>347</v>
      </c>
      <c r="BM223" s="129" t="s">
        <v>562</v>
      </c>
    </row>
    <row r="224" spans="2:65" s="1" customFormat="1" ht="16.5" customHeight="1" x14ac:dyDescent="0.2">
      <c r="B224" s="118"/>
      <c r="C224" s="131" t="s">
        <v>563</v>
      </c>
      <c r="D224" s="131" t="s">
        <v>277</v>
      </c>
      <c r="E224" s="132" t="s">
        <v>1416</v>
      </c>
      <c r="F224" s="133" t="s">
        <v>1417</v>
      </c>
      <c r="G224" s="134" t="s">
        <v>1194</v>
      </c>
      <c r="H224" s="135">
        <v>25</v>
      </c>
      <c r="I224" s="136">
        <v>43.4</v>
      </c>
      <c r="J224" s="136">
        <f t="shared" si="21"/>
        <v>1085</v>
      </c>
      <c r="K224" s="133" t="s">
        <v>1</v>
      </c>
      <c r="L224" s="137"/>
      <c r="M224" s="138" t="s">
        <v>1</v>
      </c>
      <c r="N224" s="139" t="s">
        <v>32</v>
      </c>
      <c r="O224" s="127">
        <v>0</v>
      </c>
      <c r="P224" s="127">
        <f t="shared" si="22"/>
        <v>0</v>
      </c>
      <c r="Q224" s="127">
        <v>1.1E-4</v>
      </c>
      <c r="R224" s="127">
        <f t="shared" si="23"/>
        <v>2.7500000000000003E-3</v>
      </c>
      <c r="S224" s="127">
        <v>0</v>
      </c>
      <c r="T224" s="128">
        <f t="shared" si="24"/>
        <v>0</v>
      </c>
      <c r="W224" s="199"/>
      <c r="X224" s="131" t="s">
        <v>563</v>
      </c>
      <c r="Y224" s="131" t="s">
        <v>277</v>
      </c>
      <c r="Z224" s="132" t="s">
        <v>1416</v>
      </c>
      <c r="AA224" s="133" t="s">
        <v>1417</v>
      </c>
      <c r="AB224" s="134" t="s">
        <v>1194</v>
      </c>
      <c r="AC224" s="135">
        <v>25</v>
      </c>
      <c r="AD224" s="136">
        <v>43.4</v>
      </c>
      <c r="AE224" s="229">
        <f t="shared" si="25"/>
        <v>1085</v>
      </c>
      <c r="AF224" s="227"/>
      <c r="AG224" s="396"/>
      <c r="AI224" s="397"/>
      <c r="AR224" s="129" t="s">
        <v>705</v>
      </c>
      <c r="AT224" s="129" t="s">
        <v>277</v>
      </c>
      <c r="AU224" s="129" t="s">
        <v>63</v>
      </c>
      <c r="AY224" s="13" t="s">
        <v>228</v>
      </c>
      <c r="BE224" s="130">
        <f t="shared" si="26"/>
        <v>0</v>
      </c>
      <c r="BF224" s="130">
        <f t="shared" si="27"/>
        <v>1085</v>
      </c>
      <c r="BG224" s="130">
        <f t="shared" si="28"/>
        <v>0</v>
      </c>
      <c r="BH224" s="130">
        <f t="shared" si="29"/>
        <v>0</v>
      </c>
      <c r="BI224" s="130">
        <f t="shared" si="30"/>
        <v>0</v>
      </c>
      <c r="BJ224" s="13" t="s">
        <v>76</v>
      </c>
      <c r="BK224" s="130">
        <f t="shared" si="31"/>
        <v>1085</v>
      </c>
      <c r="BL224" s="13" t="s">
        <v>347</v>
      </c>
      <c r="BM224" s="129" t="s">
        <v>567</v>
      </c>
    </row>
    <row r="225" spans="2:65" s="1" customFormat="1" ht="24" customHeight="1" x14ac:dyDescent="0.2">
      <c r="B225" s="118"/>
      <c r="C225" s="285" t="s">
        <v>396</v>
      </c>
      <c r="D225" s="285" t="s">
        <v>231</v>
      </c>
      <c r="E225" s="286" t="s">
        <v>1538</v>
      </c>
      <c r="F225" s="240" t="s">
        <v>3920</v>
      </c>
      <c r="G225" s="287" t="s">
        <v>292</v>
      </c>
      <c r="H225" s="288">
        <v>190</v>
      </c>
      <c r="I225" s="289">
        <v>2.59</v>
      </c>
      <c r="J225" s="289">
        <f t="shared" si="21"/>
        <v>492.1</v>
      </c>
      <c r="K225" s="240" t="s">
        <v>1</v>
      </c>
      <c r="L225" s="447"/>
      <c r="M225" s="448" t="s">
        <v>1</v>
      </c>
      <c r="N225" s="449" t="s">
        <v>32</v>
      </c>
      <c r="O225" s="450">
        <v>0</v>
      </c>
      <c r="P225" s="450">
        <f t="shared" si="22"/>
        <v>0</v>
      </c>
      <c r="Q225" s="450">
        <v>0</v>
      </c>
      <c r="R225" s="450">
        <f t="shared" si="23"/>
        <v>0</v>
      </c>
      <c r="S225" s="450">
        <v>0</v>
      </c>
      <c r="T225" s="451">
        <f t="shared" si="24"/>
        <v>0</v>
      </c>
      <c r="U225" s="407"/>
      <c r="V225" s="407"/>
      <c r="W225" s="452"/>
      <c r="X225" s="285" t="s">
        <v>396</v>
      </c>
      <c r="Y225" s="285" t="s">
        <v>231</v>
      </c>
      <c r="Z225" s="286" t="s">
        <v>1538</v>
      </c>
      <c r="AA225" s="240" t="s">
        <v>3920</v>
      </c>
      <c r="AB225" s="287" t="s">
        <v>292</v>
      </c>
      <c r="AC225" s="288">
        <v>190</v>
      </c>
      <c r="AD225" s="289">
        <v>2.59</v>
      </c>
      <c r="AE225" s="290">
        <f t="shared" si="25"/>
        <v>492.1</v>
      </c>
      <c r="AF225" s="227"/>
      <c r="AG225" s="396"/>
      <c r="AI225" s="397"/>
      <c r="AR225" s="129" t="s">
        <v>347</v>
      </c>
      <c r="AT225" s="129" t="s">
        <v>231</v>
      </c>
      <c r="AU225" s="129" t="s">
        <v>63</v>
      </c>
      <c r="AY225" s="13" t="s">
        <v>228</v>
      </c>
      <c r="BE225" s="130">
        <f t="shared" si="26"/>
        <v>0</v>
      </c>
      <c r="BF225" s="130">
        <f t="shared" si="27"/>
        <v>492.1</v>
      </c>
      <c r="BG225" s="130">
        <f t="shared" si="28"/>
        <v>0</v>
      </c>
      <c r="BH225" s="130">
        <f t="shared" si="29"/>
        <v>0</v>
      </c>
      <c r="BI225" s="130">
        <f t="shared" si="30"/>
        <v>0</v>
      </c>
      <c r="BJ225" s="13" t="s">
        <v>76</v>
      </c>
      <c r="BK225" s="130">
        <f t="shared" si="31"/>
        <v>492.1</v>
      </c>
      <c r="BL225" s="13" t="s">
        <v>347</v>
      </c>
      <c r="BM225" s="129" t="s">
        <v>571</v>
      </c>
    </row>
    <row r="226" spans="2:65" s="1" customFormat="1" ht="24" customHeight="1" x14ac:dyDescent="0.2">
      <c r="B226" s="118"/>
      <c r="C226" s="444" t="s">
        <v>574</v>
      </c>
      <c r="D226" s="444" t="s">
        <v>277</v>
      </c>
      <c r="E226" s="453" t="s">
        <v>1541</v>
      </c>
      <c r="F226" s="454" t="s">
        <v>3921</v>
      </c>
      <c r="G226" s="455" t="s">
        <v>292</v>
      </c>
      <c r="H226" s="443">
        <v>190</v>
      </c>
      <c r="I226" s="456">
        <v>34.979999999999997</v>
      </c>
      <c r="J226" s="456">
        <f t="shared" si="21"/>
        <v>6646.2</v>
      </c>
      <c r="K226" s="454" t="s">
        <v>1</v>
      </c>
      <c r="L226" s="457"/>
      <c r="M226" s="458" t="s">
        <v>1</v>
      </c>
      <c r="N226" s="459" t="s">
        <v>32</v>
      </c>
      <c r="O226" s="450">
        <v>0</v>
      </c>
      <c r="P226" s="450">
        <f t="shared" si="22"/>
        <v>0</v>
      </c>
      <c r="Q226" s="450">
        <v>3.8999999999999998E-3</v>
      </c>
      <c r="R226" s="450">
        <f t="shared" si="23"/>
        <v>0.74099999999999999</v>
      </c>
      <c r="S226" s="450">
        <v>0</v>
      </c>
      <c r="T226" s="451">
        <f t="shared" si="24"/>
        <v>0</v>
      </c>
      <c r="U226" s="407"/>
      <c r="V226" s="407"/>
      <c r="W226" s="452"/>
      <c r="X226" s="444" t="s">
        <v>574</v>
      </c>
      <c r="Y226" s="444" t="s">
        <v>277</v>
      </c>
      <c r="Z226" s="453" t="s">
        <v>1541</v>
      </c>
      <c r="AA226" s="454" t="s">
        <v>3921</v>
      </c>
      <c r="AB226" s="455" t="s">
        <v>292</v>
      </c>
      <c r="AC226" s="443">
        <v>190</v>
      </c>
      <c r="AD226" s="456">
        <v>34.979999999999997</v>
      </c>
      <c r="AE226" s="460">
        <f t="shared" si="25"/>
        <v>6646.2</v>
      </c>
      <c r="AF226" s="227"/>
      <c r="AG226" s="396"/>
      <c r="AI226" s="397"/>
      <c r="AR226" s="129" t="s">
        <v>705</v>
      </c>
      <c r="AT226" s="129" t="s">
        <v>277</v>
      </c>
      <c r="AU226" s="129" t="s">
        <v>63</v>
      </c>
      <c r="AY226" s="13" t="s">
        <v>228</v>
      </c>
      <c r="BE226" s="130">
        <f t="shared" si="26"/>
        <v>0</v>
      </c>
      <c r="BF226" s="130">
        <f t="shared" si="27"/>
        <v>6646.2</v>
      </c>
      <c r="BG226" s="130">
        <f t="shared" si="28"/>
        <v>0</v>
      </c>
      <c r="BH226" s="130">
        <f t="shared" si="29"/>
        <v>0</v>
      </c>
      <c r="BI226" s="130">
        <f t="shared" si="30"/>
        <v>0</v>
      </c>
      <c r="BJ226" s="13" t="s">
        <v>76</v>
      </c>
      <c r="BK226" s="130">
        <f t="shared" si="31"/>
        <v>6646.2</v>
      </c>
      <c r="BL226" s="13" t="s">
        <v>347</v>
      </c>
      <c r="BM226" s="129" t="s">
        <v>577</v>
      </c>
    </row>
    <row r="227" spans="2:65" s="372" customFormat="1" ht="24" customHeight="1" x14ac:dyDescent="0.2">
      <c r="B227" s="118"/>
      <c r="C227" s="1234" t="s">
        <v>5205</v>
      </c>
      <c r="D227" s="1235"/>
      <c r="E227" s="1235"/>
      <c r="F227" s="1235"/>
      <c r="G227" s="1235"/>
      <c r="H227" s="1235"/>
      <c r="I227" s="1235"/>
      <c r="J227" s="1236"/>
      <c r="K227" s="133"/>
      <c r="L227" s="137"/>
      <c r="M227" s="138"/>
      <c r="N227" s="139"/>
      <c r="O227" s="127"/>
      <c r="P227" s="127"/>
      <c r="Q227" s="127"/>
      <c r="R227" s="127"/>
      <c r="S227" s="127"/>
      <c r="T227" s="128"/>
      <c r="W227" s="199"/>
      <c r="X227" s="207" t="s">
        <v>5943</v>
      </c>
      <c r="Y227" s="207" t="s">
        <v>231</v>
      </c>
      <c r="Z227" s="208" t="s">
        <v>5927</v>
      </c>
      <c r="AA227" s="209" t="s">
        <v>5928</v>
      </c>
      <c r="AB227" s="210" t="s">
        <v>292</v>
      </c>
      <c r="AC227" s="211">
        <v>115</v>
      </c>
      <c r="AD227" s="212">
        <v>2.59</v>
      </c>
      <c r="AE227" s="214">
        <f>ROUND(AD227*AC227,2)</f>
        <v>297.85000000000002</v>
      </c>
      <c r="AF227" s="227">
        <v>2</v>
      </c>
      <c r="AG227" s="396"/>
      <c r="AI227" s="397"/>
      <c r="AR227" s="129"/>
      <c r="AT227" s="129"/>
      <c r="AU227" s="129"/>
      <c r="AY227" s="13"/>
      <c r="BE227" s="130"/>
      <c r="BF227" s="130"/>
      <c r="BG227" s="130"/>
      <c r="BH227" s="130"/>
      <c r="BI227" s="130"/>
      <c r="BJ227" s="13"/>
      <c r="BK227" s="130"/>
      <c r="BL227" s="13"/>
      <c r="BM227" s="129"/>
    </row>
    <row r="228" spans="2:65" s="372" customFormat="1" ht="24" customHeight="1" x14ac:dyDescent="0.2">
      <c r="B228" s="118"/>
      <c r="C228" s="1234" t="s">
        <v>5205</v>
      </c>
      <c r="D228" s="1235"/>
      <c r="E228" s="1235"/>
      <c r="F228" s="1235"/>
      <c r="G228" s="1235"/>
      <c r="H228" s="1235"/>
      <c r="I228" s="1235"/>
      <c r="J228" s="1236"/>
      <c r="K228" s="133"/>
      <c r="L228" s="137"/>
      <c r="M228" s="138"/>
      <c r="N228" s="139"/>
      <c r="O228" s="127"/>
      <c r="P228" s="127"/>
      <c r="Q228" s="127"/>
      <c r="R228" s="127"/>
      <c r="S228" s="127"/>
      <c r="T228" s="128"/>
      <c r="W228" s="199"/>
      <c r="X228" s="386" t="s">
        <v>5944</v>
      </c>
      <c r="Y228" s="386" t="s">
        <v>277</v>
      </c>
      <c r="Z228" s="387" t="s">
        <v>5929</v>
      </c>
      <c r="AA228" s="388" t="s">
        <v>5930</v>
      </c>
      <c r="AB228" s="389" t="s">
        <v>292</v>
      </c>
      <c r="AC228" s="390">
        <v>115</v>
      </c>
      <c r="AD228" s="391">
        <v>46.63</v>
      </c>
      <c r="AE228" s="401">
        <f t="shared" ref="AE228:AE232" si="32">ROUND(AD228*AC228,2)</f>
        <v>5362.45</v>
      </c>
      <c r="AF228" s="227">
        <v>2</v>
      </c>
      <c r="AG228" s="396"/>
      <c r="AI228" s="397"/>
      <c r="AR228" s="129"/>
      <c r="AT228" s="129"/>
      <c r="AU228" s="129"/>
      <c r="AY228" s="13"/>
      <c r="BE228" s="130"/>
      <c r="BF228" s="130"/>
      <c r="BG228" s="130"/>
      <c r="BH228" s="130"/>
      <c r="BI228" s="130"/>
      <c r="BJ228" s="13"/>
      <c r="BK228" s="130"/>
      <c r="BL228" s="13"/>
      <c r="BM228" s="129"/>
    </row>
    <row r="229" spans="2:65" s="372" customFormat="1" ht="24" customHeight="1" x14ac:dyDescent="0.2">
      <c r="B229" s="118"/>
      <c r="C229" s="1234" t="s">
        <v>5205</v>
      </c>
      <c r="D229" s="1235"/>
      <c r="E229" s="1235"/>
      <c r="F229" s="1235"/>
      <c r="G229" s="1235"/>
      <c r="H229" s="1235"/>
      <c r="I229" s="1235"/>
      <c r="J229" s="1236"/>
      <c r="K229" s="133"/>
      <c r="L229" s="137"/>
      <c r="M229" s="138"/>
      <c r="N229" s="139"/>
      <c r="O229" s="127"/>
      <c r="P229" s="127"/>
      <c r="Q229" s="127"/>
      <c r="R229" s="127"/>
      <c r="S229" s="127"/>
      <c r="T229" s="128"/>
      <c r="W229" s="199"/>
      <c r="X229" s="207" t="s">
        <v>5945</v>
      </c>
      <c r="Y229" s="207" t="s">
        <v>231</v>
      </c>
      <c r="Z229" s="208" t="s">
        <v>5864</v>
      </c>
      <c r="AA229" s="209" t="s">
        <v>5865</v>
      </c>
      <c r="AB229" s="210" t="s">
        <v>292</v>
      </c>
      <c r="AC229" s="211">
        <v>9</v>
      </c>
      <c r="AD229" s="212">
        <v>1.47</v>
      </c>
      <c r="AE229" s="214">
        <f t="shared" si="32"/>
        <v>13.23</v>
      </c>
      <c r="AF229" s="227">
        <v>2</v>
      </c>
      <c r="AG229" s="396"/>
      <c r="AI229" s="397"/>
      <c r="AR229" s="129"/>
      <c r="AT229" s="129"/>
      <c r="AU229" s="129"/>
      <c r="AY229" s="13"/>
      <c r="BE229" s="130"/>
      <c r="BF229" s="130"/>
      <c r="BG229" s="130"/>
      <c r="BH229" s="130"/>
      <c r="BI229" s="130"/>
      <c r="BJ229" s="13"/>
      <c r="BK229" s="130"/>
      <c r="BL229" s="13"/>
      <c r="BM229" s="129"/>
    </row>
    <row r="230" spans="2:65" s="372" customFormat="1" ht="24" customHeight="1" x14ac:dyDescent="0.2">
      <c r="B230" s="118"/>
      <c r="C230" s="1234" t="s">
        <v>5205</v>
      </c>
      <c r="D230" s="1235"/>
      <c r="E230" s="1235"/>
      <c r="F230" s="1235"/>
      <c r="G230" s="1235"/>
      <c r="H230" s="1235"/>
      <c r="I230" s="1235"/>
      <c r="J230" s="1236"/>
      <c r="K230" s="133"/>
      <c r="L230" s="137"/>
      <c r="M230" s="138"/>
      <c r="N230" s="139"/>
      <c r="O230" s="127"/>
      <c r="P230" s="127"/>
      <c r="Q230" s="127"/>
      <c r="R230" s="127"/>
      <c r="S230" s="127"/>
      <c r="T230" s="128"/>
      <c r="W230" s="199"/>
      <c r="X230" s="386" t="s">
        <v>5946</v>
      </c>
      <c r="Y230" s="386" t="s">
        <v>277</v>
      </c>
      <c r="Z230" s="387" t="s">
        <v>5866</v>
      </c>
      <c r="AA230" s="388" t="s">
        <v>5867</v>
      </c>
      <c r="AB230" s="389" t="s">
        <v>292</v>
      </c>
      <c r="AC230" s="390">
        <v>9</v>
      </c>
      <c r="AD230" s="391">
        <v>8.36</v>
      </c>
      <c r="AE230" s="401">
        <f t="shared" si="32"/>
        <v>75.239999999999995</v>
      </c>
      <c r="AF230" s="227">
        <v>2</v>
      </c>
      <c r="AG230" s="396"/>
      <c r="AI230" s="397"/>
      <c r="AR230" s="129"/>
      <c r="AT230" s="129"/>
      <c r="AU230" s="129"/>
      <c r="AY230" s="13"/>
      <c r="BE230" s="130"/>
      <c r="BF230" s="130"/>
      <c r="BG230" s="130"/>
      <c r="BH230" s="130"/>
      <c r="BI230" s="130"/>
      <c r="BJ230" s="13"/>
      <c r="BK230" s="130"/>
      <c r="BL230" s="13"/>
      <c r="BM230" s="129"/>
    </row>
    <row r="231" spans="2:65" s="372" customFormat="1" ht="24" customHeight="1" x14ac:dyDescent="0.2">
      <c r="B231" s="118"/>
      <c r="C231" s="1234" t="s">
        <v>5205</v>
      </c>
      <c r="D231" s="1235"/>
      <c r="E231" s="1235"/>
      <c r="F231" s="1235"/>
      <c r="G231" s="1235"/>
      <c r="H231" s="1235"/>
      <c r="I231" s="1235"/>
      <c r="J231" s="1236"/>
      <c r="K231" s="133"/>
      <c r="L231" s="137"/>
      <c r="M231" s="138"/>
      <c r="N231" s="139"/>
      <c r="O231" s="127"/>
      <c r="P231" s="127"/>
      <c r="Q231" s="127"/>
      <c r="R231" s="127"/>
      <c r="S231" s="127"/>
      <c r="T231" s="128"/>
      <c r="W231" s="199"/>
      <c r="X231" s="207" t="s">
        <v>5947</v>
      </c>
      <c r="Y231" s="207" t="s">
        <v>231</v>
      </c>
      <c r="Z231" s="208" t="s">
        <v>5868</v>
      </c>
      <c r="AA231" s="209" t="s">
        <v>5869</v>
      </c>
      <c r="AB231" s="210" t="s">
        <v>292</v>
      </c>
      <c r="AC231" s="211">
        <v>10</v>
      </c>
      <c r="AD231" s="212">
        <v>1.94</v>
      </c>
      <c r="AE231" s="214">
        <f t="shared" si="32"/>
        <v>19.399999999999999</v>
      </c>
      <c r="AF231" s="227">
        <v>2</v>
      </c>
      <c r="AG231" s="396"/>
      <c r="AI231" s="397"/>
      <c r="AR231" s="129"/>
      <c r="AT231" s="129"/>
      <c r="AU231" s="129"/>
      <c r="AY231" s="13"/>
      <c r="BE231" s="130"/>
      <c r="BF231" s="130"/>
      <c r="BG231" s="130"/>
      <c r="BH231" s="130"/>
      <c r="BI231" s="130"/>
      <c r="BJ231" s="13"/>
      <c r="BK231" s="130"/>
      <c r="BL231" s="13"/>
      <c r="BM231" s="129"/>
    </row>
    <row r="232" spans="2:65" s="372" customFormat="1" ht="24" customHeight="1" x14ac:dyDescent="0.2">
      <c r="B232" s="118"/>
      <c r="C232" s="1234" t="s">
        <v>5205</v>
      </c>
      <c r="D232" s="1235"/>
      <c r="E232" s="1235"/>
      <c r="F232" s="1235"/>
      <c r="G232" s="1235"/>
      <c r="H232" s="1235"/>
      <c r="I232" s="1235"/>
      <c r="J232" s="1236"/>
      <c r="K232" s="133"/>
      <c r="L232" s="137"/>
      <c r="M232" s="138"/>
      <c r="N232" s="139"/>
      <c r="O232" s="127"/>
      <c r="P232" s="127"/>
      <c r="Q232" s="127"/>
      <c r="R232" s="127"/>
      <c r="S232" s="127"/>
      <c r="T232" s="128"/>
      <c r="W232" s="199"/>
      <c r="X232" s="386" t="s">
        <v>5948</v>
      </c>
      <c r="Y232" s="386" t="s">
        <v>277</v>
      </c>
      <c r="Z232" s="387" t="s">
        <v>5870</v>
      </c>
      <c r="AA232" s="388" t="s">
        <v>5871</v>
      </c>
      <c r="AB232" s="389" t="s">
        <v>292</v>
      </c>
      <c r="AC232" s="390">
        <v>10</v>
      </c>
      <c r="AD232" s="391">
        <v>12.32</v>
      </c>
      <c r="AE232" s="401">
        <f t="shared" si="32"/>
        <v>123.2</v>
      </c>
      <c r="AF232" s="227">
        <v>2</v>
      </c>
      <c r="AG232" s="396"/>
      <c r="AI232" s="397"/>
      <c r="AR232" s="129"/>
      <c r="AT232" s="129"/>
      <c r="AU232" s="129"/>
      <c r="AY232" s="13"/>
      <c r="BE232" s="130"/>
      <c r="BF232" s="130"/>
      <c r="BG232" s="130"/>
      <c r="BH232" s="130"/>
      <c r="BI232" s="130"/>
      <c r="BJ232" s="13"/>
      <c r="BK232" s="130"/>
      <c r="BL232" s="13"/>
      <c r="BM232" s="129"/>
    </row>
    <row r="233" spans="2:65" s="1" customFormat="1" ht="16.5" customHeight="1" x14ac:dyDescent="0.2">
      <c r="B233" s="118"/>
      <c r="C233" s="119" t="s">
        <v>400</v>
      </c>
      <c r="D233" s="119" t="s">
        <v>231</v>
      </c>
      <c r="E233" s="120" t="s">
        <v>1544</v>
      </c>
      <c r="F233" s="121" t="s">
        <v>1545</v>
      </c>
      <c r="G233" s="122" t="s">
        <v>1194</v>
      </c>
      <c r="H233" s="123">
        <v>5</v>
      </c>
      <c r="I233" s="124">
        <v>11.48</v>
      </c>
      <c r="J233" s="124">
        <f t="shared" si="21"/>
        <v>57.4</v>
      </c>
      <c r="K233" s="121" t="s">
        <v>1</v>
      </c>
      <c r="L233" s="24"/>
      <c r="M233" s="125" t="s">
        <v>1</v>
      </c>
      <c r="N233" s="126" t="s">
        <v>32</v>
      </c>
      <c r="O233" s="127">
        <v>0</v>
      </c>
      <c r="P233" s="127">
        <f t="shared" si="22"/>
        <v>0</v>
      </c>
      <c r="Q233" s="127">
        <v>0</v>
      </c>
      <c r="R233" s="127">
        <f t="shared" si="23"/>
        <v>0</v>
      </c>
      <c r="S233" s="127">
        <v>0</v>
      </c>
      <c r="T233" s="128">
        <f t="shared" si="24"/>
        <v>0</v>
      </c>
      <c r="W233" s="199"/>
      <c r="X233" s="119" t="s">
        <v>400</v>
      </c>
      <c r="Y233" s="119" t="s">
        <v>231</v>
      </c>
      <c r="Z233" s="120" t="s">
        <v>1544</v>
      </c>
      <c r="AA233" s="121" t="s">
        <v>1545</v>
      </c>
      <c r="AB233" s="122" t="s">
        <v>1194</v>
      </c>
      <c r="AC233" s="123">
        <v>5</v>
      </c>
      <c r="AD233" s="124">
        <v>11.48</v>
      </c>
      <c r="AE233" s="200">
        <f t="shared" si="25"/>
        <v>57.4</v>
      </c>
      <c r="AF233" s="227"/>
      <c r="AG233" s="396"/>
      <c r="AI233" s="397"/>
      <c r="AR233" s="129" t="s">
        <v>347</v>
      </c>
      <c r="AT233" s="129" t="s">
        <v>231</v>
      </c>
      <c r="AU233" s="129" t="s">
        <v>63</v>
      </c>
      <c r="AY233" s="13" t="s">
        <v>228</v>
      </c>
      <c r="BE233" s="130">
        <f t="shared" si="26"/>
        <v>0</v>
      </c>
      <c r="BF233" s="130">
        <f t="shared" si="27"/>
        <v>57.4</v>
      </c>
      <c r="BG233" s="130">
        <f t="shared" si="28"/>
        <v>0</v>
      </c>
      <c r="BH233" s="130">
        <f t="shared" si="29"/>
        <v>0</v>
      </c>
      <c r="BI233" s="130">
        <f t="shared" si="30"/>
        <v>0</v>
      </c>
      <c r="BJ233" s="13" t="s">
        <v>76</v>
      </c>
      <c r="BK233" s="130">
        <f t="shared" si="31"/>
        <v>57.4</v>
      </c>
      <c r="BL233" s="13" t="s">
        <v>347</v>
      </c>
      <c r="BM233" s="129" t="s">
        <v>580</v>
      </c>
    </row>
    <row r="234" spans="2:65" s="1" customFormat="1" ht="16.5" customHeight="1" x14ac:dyDescent="0.2">
      <c r="B234" s="118"/>
      <c r="C234" s="131" t="s">
        <v>405</v>
      </c>
      <c r="D234" s="131" t="s">
        <v>277</v>
      </c>
      <c r="E234" s="132" t="s">
        <v>1544</v>
      </c>
      <c r="F234" s="133" t="s">
        <v>1545</v>
      </c>
      <c r="G234" s="134" t="s">
        <v>1194</v>
      </c>
      <c r="H234" s="135">
        <v>5</v>
      </c>
      <c r="I234" s="136">
        <v>38.19</v>
      </c>
      <c r="J234" s="136">
        <f t="shared" si="21"/>
        <v>190.95</v>
      </c>
      <c r="K234" s="133" t="s">
        <v>1</v>
      </c>
      <c r="L234" s="137"/>
      <c r="M234" s="138" t="s">
        <v>1</v>
      </c>
      <c r="N234" s="139" t="s">
        <v>32</v>
      </c>
      <c r="O234" s="127">
        <v>0</v>
      </c>
      <c r="P234" s="127">
        <f t="shared" si="22"/>
        <v>0</v>
      </c>
      <c r="Q234" s="127">
        <v>0</v>
      </c>
      <c r="R234" s="127">
        <f t="shared" si="23"/>
        <v>0</v>
      </c>
      <c r="S234" s="127">
        <v>0</v>
      </c>
      <c r="T234" s="128">
        <f t="shared" si="24"/>
        <v>0</v>
      </c>
      <c r="W234" s="199"/>
      <c r="X234" s="131" t="s">
        <v>405</v>
      </c>
      <c r="Y234" s="131" t="s">
        <v>277</v>
      </c>
      <c r="Z234" s="132" t="s">
        <v>1544</v>
      </c>
      <c r="AA234" s="133" t="s">
        <v>1545</v>
      </c>
      <c r="AB234" s="134" t="s">
        <v>1194</v>
      </c>
      <c r="AC234" s="135">
        <v>5</v>
      </c>
      <c r="AD234" s="136">
        <v>38.19</v>
      </c>
      <c r="AE234" s="229">
        <f t="shared" si="25"/>
        <v>190.95</v>
      </c>
      <c r="AF234" s="227"/>
      <c r="AG234" s="396"/>
      <c r="AI234" s="397"/>
      <c r="AR234" s="129" t="s">
        <v>705</v>
      </c>
      <c r="AT234" s="129" t="s">
        <v>277</v>
      </c>
      <c r="AU234" s="129" t="s">
        <v>63</v>
      </c>
      <c r="AY234" s="13" t="s">
        <v>228</v>
      </c>
      <c r="BE234" s="130">
        <f t="shared" si="26"/>
        <v>0</v>
      </c>
      <c r="BF234" s="130">
        <f t="shared" si="27"/>
        <v>190.95</v>
      </c>
      <c r="BG234" s="130">
        <f t="shared" si="28"/>
        <v>0</v>
      </c>
      <c r="BH234" s="130">
        <f t="shared" si="29"/>
        <v>0</v>
      </c>
      <c r="BI234" s="130">
        <f t="shared" si="30"/>
        <v>0</v>
      </c>
      <c r="BJ234" s="13" t="s">
        <v>76</v>
      </c>
      <c r="BK234" s="130">
        <f t="shared" si="31"/>
        <v>190.95</v>
      </c>
      <c r="BL234" s="13" t="s">
        <v>347</v>
      </c>
      <c r="BM234" s="129" t="s">
        <v>585</v>
      </c>
    </row>
    <row r="235" spans="2:65" s="1" customFormat="1" ht="16.5" customHeight="1" x14ac:dyDescent="0.2">
      <c r="B235" s="118"/>
      <c r="C235" s="119" t="s">
        <v>404</v>
      </c>
      <c r="D235" s="119" t="s">
        <v>231</v>
      </c>
      <c r="E235" s="120" t="s">
        <v>1514</v>
      </c>
      <c r="F235" s="121" t="s">
        <v>3922</v>
      </c>
      <c r="G235" s="122" t="s">
        <v>1194</v>
      </c>
      <c r="H235" s="123">
        <v>24</v>
      </c>
      <c r="I235" s="124">
        <v>9.08</v>
      </c>
      <c r="J235" s="124">
        <f t="shared" si="21"/>
        <v>217.92</v>
      </c>
      <c r="K235" s="121" t="s">
        <v>1</v>
      </c>
      <c r="L235" s="24"/>
      <c r="M235" s="125" t="s">
        <v>1</v>
      </c>
      <c r="N235" s="126" t="s">
        <v>32</v>
      </c>
      <c r="O235" s="127">
        <v>0</v>
      </c>
      <c r="P235" s="127">
        <f t="shared" si="22"/>
        <v>0</v>
      </c>
      <c r="Q235" s="127">
        <v>0</v>
      </c>
      <c r="R235" s="127">
        <f t="shared" si="23"/>
        <v>0</v>
      </c>
      <c r="S235" s="127">
        <v>0</v>
      </c>
      <c r="T235" s="128">
        <f t="shared" si="24"/>
        <v>0</v>
      </c>
      <c r="W235" s="199"/>
      <c r="X235" s="119" t="s">
        <v>404</v>
      </c>
      <c r="Y235" s="119" t="s">
        <v>231</v>
      </c>
      <c r="Z235" s="120" t="s">
        <v>1514</v>
      </c>
      <c r="AA235" s="121" t="s">
        <v>3922</v>
      </c>
      <c r="AB235" s="122" t="s">
        <v>1194</v>
      </c>
      <c r="AC235" s="123">
        <v>24</v>
      </c>
      <c r="AD235" s="124">
        <v>9.08</v>
      </c>
      <c r="AE235" s="200">
        <f t="shared" si="25"/>
        <v>217.92</v>
      </c>
      <c r="AF235" s="227"/>
      <c r="AG235" s="396"/>
      <c r="AI235" s="397"/>
      <c r="AR235" s="129" t="s">
        <v>347</v>
      </c>
      <c r="AT235" s="129" t="s">
        <v>231</v>
      </c>
      <c r="AU235" s="129" t="s">
        <v>63</v>
      </c>
      <c r="AY235" s="13" t="s">
        <v>228</v>
      </c>
      <c r="BE235" s="130">
        <f t="shared" si="26"/>
        <v>0</v>
      </c>
      <c r="BF235" s="130">
        <f t="shared" si="27"/>
        <v>217.92</v>
      </c>
      <c r="BG235" s="130">
        <f t="shared" si="28"/>
        <v>0</v>
      </c>
      <c r="BH235" s="130">
        <f t="shared" si="29"/>
        <v>0</v>
      </c>
      <c r="BI235" s="130">
        <f t="shared" si="30"/>
        <v>0</v>
      </c>
      <c r="BJ235" s="13" t="s">
        <v>76</v>
      </c>
      <c r="BK235" s="130">
        <f t="shared" si="31"/>
        <v>217.92</v>
      </c>
      <c r="BL235" s="13" t="s">
        <v>347</v>
      </c>
      <c r="BM235" s="129" t="s">
        <v>588</v>
      </c>
    </row>
    <row r="236" spans="2:65" s="1" customFormat="1" ht="24" customHeight="1" x14ac:dyDescent="0.2">
      <c r="B236" s="118"/>
      <c r="C236" s="131" t="s">
        <v>436</v>
      </c>
      <c r="D236" s="131" t="s">
        <v>277</v>
      </c>
      <c r="E236" s="132" t="s">
        <v>1517</v>
      </c>
      <c r="F236" s="133" t="s">
        <v>3923</v>
      </c>
      <c r="G236" s="134" t="s">
        <v>1194</v>
      </c>
      <c r="H236" s="135">
        <v>24</v>
      </c>
      <c r="I236" s="136">
        <v>14.02</v>
      </c>
      <c r="J236" s="136">
        <f t="shared" ref="J236:J276" si="33">ROUND(I236*H236,2)</f>
        <v>336.48</v>
      </c>
      <c r="K236" s="133" t="s">
        <v>1</v>
      </c>
      <c r="L236" s="137"/>
      <c r="M236" s="138" t="s">
        <v>1</v>
      </c>
      <c r="N236" s="139" t="s">
        <v>32</v>
      </c>
      <c r="O236" s="127">
        <v>0</v>
      </c>
      <c r="P236" s="127">
        <f t="shared" ref="P236:P276" si="34">O236*H236</f>
        <v>0</v>
      </c>
      <c r="Q236" s="127">
        <v>0</v>
      </c>
      <c r="R236" s="127">
        <f t="shared" ref="R236:R276" si="35">Q236*H236</f>
        <v>0</v>
      </c>
      <c r="S236" s="127">
        <v>0</v>
      </c>
      <c r="T236" s="128">
        <f t="shared" ref="T236:T276" si="36">S236*H236</f>
        <v>0</v>
      </c>
      <c r="W236" s="199"/>
      <c r="X236" s="131" t="s">
        <v>436</v>
      </c>
      <c r="Y236" s="131" t="s">
        <v>277</v>
      </c>
      <c r="Z236" s="132" t="s">
        <v>1517</v>
      </c>
      <c r="AA236" s="133" t="s">
        <v>3923</v>
      </c>
      <c r="AB236" s="134" t="s">
        <v>1194</v>
      </c>
      <c r="AC236" s="135">
        <v>24</v>
      </c>
      <c r="AD236" s="136">
        <v>14.02</v>
      </c>
      <c r="AE236" s="229">
        <f t="shared" si="25"/>
        <v>336.48</v>
      </c>
      <c r="AF236" s="227"/>
      <c r="AG236" s="396"/>
      <c r="AI236" s="397"/>
      <c r="AR236" s="129" t="s">
        <v>705</v>
      </c>
      <c r="AT236" s="129" t="s">
        <v>277</v>
      </c>
      <c r="AU236" s="129" t="s">
        <v>63</v>
      </c>
      <c r="AY236" s="13" t="s">
        <v>228</v>
      </c>
      <c r="BE236" s="130">
        <f t="shared" ref="BE236:BE276" si="37">IF(N236="základná",J236,0)</f>
        <v>0</v>
      </c>
      <c r="BF236" s="130">
        <f t="shared" ref="BF236:BF276" si="38">IF(N236="znížená",J236,0)</f>
        <v>336.48</v>
      </c>
      <c r="BG236" s="130">
        <f t="shared" ref="BG236:BG276" si="39">IF(N236="zákl. prenesená",J236,0)</f>
        <v>0</v>
      </c>
      <c r="BH236" s="130">
        <f t="shared" ref="BH236:BH276" si="40">IF(N236="zníž. prenesená",J236,0)</f>
        <v>0</v>
      </c>
      <c r="BI236" s="130">
        <f t="shared" ref="BI236:BI276" si="41">IF(N236="nulová",J236,0)</f>
        <v>0</v>
      </c>
      <c r="BJ236" s="13" t="s">
        <v>76</v>
      </c>
      <c r="BK236" s="130">
        <f t="shared" ref="BK236:BK276" si="42">ROUND(I236*H236,2)</f>
        <v>336.48</v>
      </c>
      <c r="BL236" s="13" t="s">
        <v>347</v>
      </c>
      <c r="BM236" s="129" t="s">
        <v>591</v>
      </c>
    </row>
    <row r="237" spans="2:65" s="1" customFormat="1" ht="16.5" customHeight="1" x14ac:dyDescent="0.2">
      <c r="B237" s="118"/>
      <c r="C237" s="119" t="s">
        <v>410</v>
      </c>
      <c r="D237" s="119" t="s">
        <v>231</v>
      </c>
      <c r="E237" s="120" t="s">
        <v>1520</v>
      </c>
      <c r="F237" s="121" t="s">
        <v>3924</v>
      </c>
      <c r="G237" s="122" t="s">
        <v>1194</v>
      </c>
      <c r="H237" s="123">
        <v>3</v>
      </c>
      <c r="I237" s="124">
        <v>9.08</v>
      </c>
      <c r="J237" s="124">
        <f t="shared" si="33"/>
        <v>27.24</v>
      </c>
      <c r="K237" s="121" t="s">
        <v>1</v>
      </c>
      <c r="L237" s="24"/>
      <c r="M237" s="125" t="s">
        <v>1</v>
      </c>
      <c r="N237" s="126" t="s">
        <v>32</v>
      </c>
      <c r="O237" s="127">
        <v>0</v>
      </c>
      <c r="P237" s="127">
        <f t="shared" si="34"/>
        <v>0</v>
      </c>
      <c r="Q237" s="127">
        <v>0</v>
      </c>
      <c r="R237" s="127">
        <f t="shared" si="35"/>
        <v>0</v>
      </c>
      <c r="S237" s="127">
        <v>0</v>
      </c>
      <c r="T237" s="128">
        <f t="shared" si="36"/>
        <v>0</v>
      </c>
      <c r="W237" s="199"/>
      <c r="X237" s="119" t="s">
        <v>410</v>
      </c>
      <c r="Y237" s="119" t="s">
        <v>231</v>
      </c>
      <c r="Z237" s="120" t="s">
        <v>1520</v>
      </c>
      <c r="AA237" s="121" t="s">
        <v>3924</v>
      </c>
      <c r="AB237" s="122" t="s">
        <v>1194</v>
      </c>
      <c r="AC237" s="123">
        <v>3</v>
      </c>
      <c r="AD237" s="124">
        <v>9.08</v>
      </c>
      <c r="AE237" s="200">
        <f t="shared" si="25"/>
        <v>27.24</v>
      </c>
      <c r="AF237" s="227"/>
      <c r="AG237" s="396"/>
      <c r="AI237" s="397"/>
      <c r="AR237" s="129" t="s">
        <v>347</v>
      </c>
      <c r="AT237" s="129" t="s">
        <v>231</v>
      </c>
      <c r="AU237" s="129" t="s">
        <v>63</v>
      </c>
      <c r="AY237" s="13" t="s">
        <v>228</v>
      </c>
      <c r="BE237" s="130">
        <f t="shared" si="37"/>
        <v>0</v>
      </c>
      <c r="BF237" s="130">
        <f t="shared" si="38"/>
        <v>27.24</v>
      </c>
      <c r="BG237" s="130">
        <f t="shared" si="39"/>
        <v>0</v>
      </c>
      <c r="BH237" s="130">
        <f t="shared" si="40"/>
        <v>0</v>
      </c>
      <c r="BI237" s="130">
        <f t="shared" si="41"/>
        <v>0</v>
      </c>
      <c r="BJ237" s="13" t="s">
        <v>76</v>
      </c>
      <c r="BK237" s="130">
        <f t="shared" si="42"/>
        <v>27.24</v>
      </c>
      <c r="BL237" s="13" t="s">
        <v>347</v>
      </c>
      <c r="BM237" s="129" t="s">
        <v>594</v>
      </c>
    </row>
    <row r="238" spans="2:65" s="1" customFormat="1" ht="24" customHeight="1" x14ac:dyDescent="0.2">
      <c r="B238" s="118"/>
      <c r="C238" s="131" t="s">
        <v>595</v>
      </c>
      <c r="D238" s="131" t="s">
        <v>277</v>
      </c>
      <c r="E238" s="132" t="s">
        <v>1523</v>
      </c>
      <c r="F238" s="133" t="s">
        <v>3925</v>
      </c>
      <c r="G238" s="134" t="s">
        <v>1194</v>
      </c>
      <c r="H238" s="135">
        <v>3</v>
      </c>
      <c r="I238" s="136">
        <v>16.7</v>
      </c>
      <c r="J238" s="136">
        <f t="shared" si="33"/>
        <v>50.1</v>
      </c>
      <c r="K238" s="133" t="s">
        <v>1</v>
      </c>
      <c r="L238" s="137"/>
      <c r="M238" s="138" t="s">
        <v>1</v>
      </c>
      <c r="N238" s="139" t="s">
        <v>32</v>
      </c>
      <c r="O238" s="127">
        <v>0</v>
      </c>
      <c r="P238" s="127">
        <f t="shared" si="34"/>
        <v>0</v>
      </c>
      <c r="Q238" s="127">
        <v>0</v>
      </c>
      <c r="R238" s="127">
        <f t="shared" si="35"/>
        <v>0</v>
      </c>
      <c r="S238" s="127">
        <v>0</v>
      </c>
      <c r="T238" s="128">
        <f t="shared" si="36"/>
        <v>0</v>
      </c>
      <c r="W238" s="199"/>
      <c r="X238" s="131" t="s">
        <v>595</v>
      </c>
      <c r="Y238" s="131" t="s">
        <v>277</v>
      </c>
      <c r="Z238" s="132" t="s">
        <v>1523</v>
      </c>
      <c r="AA238" s="133" t="s">
        <v>3925</v>
      </c>
      <c r="AB238" s="134" t="s">
        <v>1194</v>
      </c>
      <c r="AC238" s="135">
        <v>3</v>
      </c>
      <c r="AD238" s="136">
        <v>16.7</v>
      </c>
      <c r="AE238" s="229">
        <f t="shared" si="25"/>
        <v>50.1</v>
      </c>
      <c r="AF238" s="227"/>
      <c r="AG238" s="396"/>
      <c r="AI238" s="397"/>
      <c r="AR238" s="129" t="s">
        <v>705</v>
      </c>
      <c r="AT238" s="129" t="s">
        <v>277</v>
      </c>
      <c r="AU238" s="129" t="s">
        <v>63</v>
      </c>
      <c r="AY238" s="13" t="s">
        <v>228</v>
      </c>
      <c r="BE238" s="130">
        <f t="shared" si="37"/>
        <v>0</v>
      </c>
      <c r="BF238" s="130">
        <f t="shared" si="38"/>
        <v>50.1</v>
      </c>
      <c r="BG238" s="130">
        <f t="shared" si="39"/>
        <v>0</v>
      </c>
      <c r="BH238" s="130">
        <f t="shared" si="40"/>
        <v>0</v>
      </c>
      <c r="BI238" s="130">
        <f t="shared" si="41"/>
        <v>0</v>
      </c>
      <c r="BJ238" s="13" t="s">
        <v>76</v>
      </c>
      <c r="BK238" s="130">
        <f t="shared" si="42"/>
        <v>50.1</v>
      </c>
      <c r="BL238" s="13" t="s">
        <v>347</v>
      </c>
      <c r="BM238" s="129" t="s">
        <v>598</v>
      </c>
    </row>
    <row r="239" spans="2:65" s="1" customFormat="1" ht="16.5" customHeight="1" x14ac:dyDescent="0.2">
      <c r="B239" s="118"/>
      <c r="C239" s="119" t="s">
        <v>414</v>
      </c>
      <c r="D239" s="119" t="s">
        <v>231</v>
      </c>
      <c r="E239" s="120" t="s">
        <v>1674</v>
      </c>
      <c r="F239" s="121" t="s">
        <v>1721</v>
      </c>
      <c r="G239" s="122" t="s">
        <v>1194</v>
      </c>
      <c r="H239" s="123">
        <v>6</v>
      </c>
      <c r="I239" s="124">
        <v>5.04</v>
      </c>
      <c r="J239" s="124">
        <f t="shared" si="33"/>
        <v>30.24</v>
      </c>
      <c r="K239" s="121" t="s">
        <v>1</v>
      </c>
      <c r="L239" s="24"/>
      <c r="M239" s="125" t="s">
        <v>1</v>
      </c>
      <c r="N239" s="126" t="s">
        <v>32</v>
      </c>
      <c r="O239" s="127">
        <v>0</v>
      </c>
      <c r="P239" s="127">
        <f t="shared" si="34"/>
        <v>0</v>
      </c>
      <c r="Q239" s="127">
        <v>0</v>
      </c>
      <c r="R239" s="127">
        <f t="shared" si="35"/>
        <v>0</v>
      </c>
      <c r="S239" s="127">
        <v>0</v>
      </c>
      <c r="T239" s="128">
        <f t="shared" si="36"/>
        <v>0</v>
      </c>
      <c r="W239" s="199"/>
      <c r="X239" s="119" t="s">
        <v>414</v>
      </c>
      <c r="Y239" s="119" t="s">
        <v>231</v>
      </c>
      <c r="Z239" s="120" t="s">
        <v>1674</v>
      </c>
      <c r="AA239" s="121" t="s">
        <v>1721</v>
      </c>
      <c r="AB239" s="122" t="s">
        <v>1194</v>
      </c>
      <c r="AC239" s="123">
        <v>6</v>
      </c>
      <c r="AD239" s="124">
        <v>5.04</v>
      </c>
      <c r="AE239" s="200">
        <f t="shared" si="25"/>
        <v>30.24</v>
      </c>
      <c r="AF239" s="227"/>
      <c r="AG239" s="396"/>
      <c r="AI239" s="397"/>
      <c r="AR239" s="129" t="s">
        <v>347</v>
      </c>
      <c r="AT239" s="129" t="s">
        <v>231</v>
      </c>
      <c r="AU239" s="129" t="s">
        <v>63</v>
      </c>
      <c r="AY239" s="13" t="s">
        <v>228</v>
      </c>
      <c r="BE239" s="130">
        <f t="shared" si="37"/>
        <v>0</v>
      </c>
      <c r="BF239" s="130">
        <f t="shared" si="38"/>
        <v>30.24</v>
      </c>
      <c r="BG239" s="130">
        <f t="shared" si="39"/>
        <v>0</v>
      </c>
      <c r="BH239" s="130">
        <f t="shared" si="40"/>
        <v>0</v>
      </c>
      <c r="BI239" s="130">
        <f t="shared" si="41"/>
        <v>0</v>
      </c>
      <c r="BJ239" s="13" t="s">
        <v>76</v>
      </c>
      <c r="BK239" s="130">
        <f t="shared" si="42"/>
        <v>30.24</v>
      </c>
      <c r="BL239" s="13" t="s">
        <v>347</v>
      </c>
      <c r="BM239" s="129" t="s">
        <v>601</v>
      </c>
    </row>
    <row r="240" spans="2:65" s="1" customFormat="1" ht="16.5" customHeight="1" x14ac:dyDescent="0.2">
      <c r="B240" s="118"/>
      <c r="C240" s="131" t="s">
        <v>602</v>
      </c>
      <c r="D240" s="131" t="s">
        <v>277</v>
      </c>
      <c r="E240" s="132" t="s">
        <v>1674</v>
      </c>
      <c r="F240" s="133" t="s">
        <v>1721</v>
      </c>
      <c r="G240" s="134" t="s">
        <v>1194</v>
      </c>
      <c r="H240" s="135">
        <v>6</v>
      </c>
      <c r="I240" s="136">
        <v>24.71</v>
      </c>
      <c r="J240" s="136">
        <f t="shared" si="33"/>
        <v>148.26</v>
      </c>
      <c r="K240" s="133" t="s">
        <v>1</v>
      </c>
      <c r="L240" s="137"/>
      <c r="M240" s="138" t="s">
        <v>1</v>
      </c>
      <c r="N240" s="139" t="s">
        <v>32</v>
      </c>
      <c r="O240" s="127">
        <v>0</v>
      </c>
      <c r="P240" s="127">
        <f t="shared" si="34"/>
        <v>0</v>
      </c>
      <c r="Q240" s="127">
        <v>0</v>
      </c>
      <c r="R240" s="127">
        <f t="shared" si="35"/>
        <v>0</v>
      </c>
      <c r="S240" s="127">
        <v>0</v>
      </c>
      <c r="T240" s="128">
        <f t="shared" si="36"/>
        <v>0</v>
      </c>
      <c r="W240" s="199"/>
      <c r="X240" s="131" t="s">
        <v>602</v>
      </c>
      <c r="Y240" s="131" t="s">
        <v>277</v>
      </c>
      <c r="Z240" s="132" t="s">
        <v>1674</v>
      </c>
      <c r="AA240" s="133" t="s">
        <v>1721</v>
      </c>
      <c r="AB240" s="134" t="s">
        <v>1194</v>
      </c>
      <c r="AC240" s="135">
        <v>6</v>
      </c>
      <c r="AD240" s="136">
        <v>24.71</v>
      </c>
      <c r="AE240" s="229">
        <f t="shared" si="25"/>
        <v>148.26</v>
      </c>
      <c r="AF240" s="227"/>
      <c r="AG240" s="396"/>
      <c r="AI240" s="397"/>
      <c r="AR240" s="129" t="s">
        <v>705</v>
      </c>
      <c r="AT240" s="129" t="s">
        <v>277</v>
      </c>
      <c r="AU240" s="129" t="s">
        <v>63</v>
      </c>
      <c r="AY240" s="13" t="s">
        <v>228</v>
      </c>
      <c r="BE240" s="130">
        <f t="shared" si="37"/>
        <v>0</v>
      </c>
      <c r="BF240" s="130">
        <f t="shared" si="38"/>
        <v>148.26</v>
      </c>
      <c r="BG240" s="130">
        <f t="shared" si="39"/>
        <v>0</v>
      </c>
      <c r="BH240" s="130">
        <f t="shared" si="40"/>
        <v>0</v>
      </c>
      <c r="BI240" s="130">
        <f t="shared" si="41"/>
        <v>0</v>
      </c>
      <c r="BJ240" s="13" t="s">
        <v>76</v>
      </c>
      <c r="BK240" s="130">
        <f t="shared" si="42"/>
        <v>148.26</v>
      </c>
      <c r="BL240" s="13" t="s">
        <v>347</v>
      </c>
      <c r="BM240" s="129" t="s">
        <v>605</v>
      </c>
    </row>
    <row r="241" spans="2:65" s="1" customFormat="1" ht="24" customHeight="1" x14ac:dyDescent="0.2">
      <c r="B241" s="118"/>
      <c r="C241" s="205" t="s">
        <v>418</v>
      </c>
      <c r="D241" s="119" t="s">
        <v>231</v>
      </c>
      <c r="E241" s="120" t="s">
        <v>3926</v>
      </c>
      <c r="F241" s="121" t="s">
        <v>1323</v>
      </c>
      <c r="G241" s="122" t="s">
        <v>1194</v>
      </c>
      <c r="H241" s="206">
        <v>16</v>
      </c>
      <c r="I241" s="124">
        <v>3.12</v>
      </c>
      <c r="J241" s="124">
        <f t="shared" si="33"/>
        <v>49.92</v>
      </c>
      <c r="K241" s="121" t="s">
        <v>1</v>
      </c>
      <c r="L241" s="24"/>
      <c r="M241" s="125" t="s">
        <v>1</v>
      </c>
      <c r="N241" s="126" t="s">
        <v>32</v>
      </c>
      <c r="O241" s="127">
        <v>0</v>
      </c>
      <c r="P241" s="127">
        <f t="shared" si="34"/>
        <v>0</v>
      </c>
      <c r="Q241" s="127">
        <v>0</v>
      </c>
      <c r="R241" s="127">
        <f t="shared" si="35"/>
        <v>0</v>
      </c>
      <c r="S241" s="127">
        <v>0</v>
      </c>
      <c r="T241" s="128">
        <f t="shared" si="36"/>
        <v>0</v>
      </c>
      <c r="W241" s="199"/>
      <c r="X241" s="205" t="s">
        <v>418</v>
      </c>
      <c r="Y241" s="119" t="s">
        <v>231</v>
      </c>
      <c r="Z241" s="120" t="s">
        <v>3926</v>
      </c>
      <c r="AA241" s="121" t="s">
        <v>1323</v>
      </c>
      <c r="AB241" s="122" t="s">
        <v>1194</v>
      </c>
      <c r="AC241" s="206">
        <f>16-1</f>
        <v>15</v>
      </c>
      <c r="AD241" s="124">
        <v>3.12</v>
      </c>
      <c r="AE241" s="200">
        <f t="shared" si="25"/>
        <v>46.8</v>
      </c>
      <c r="AF241" s="227">
        <v>2</v>
      </c>
      <c r="AG241" s="396"/>
      <c r="AI241" s="397"/>
      <c r="AR241" s="129" t="s">
        <v>347</v>
      </c>
      <c r="AT241" s="129" t="s">
        <v>231</v>
      </c>
      <c r="AU241" s="129" t="s">
        <v>63</v>
      </c>
      <c r="AY241" s="13" t="s">
        <v>228</v>
      </c>
      <c r="BE241" s="130">
        <f t="shared" si="37"/>
        <v>0</v>
      </c>
      <c r="BF241" s="130">
        <f t="shared" si="38"/>
        <v>49.92</v>
      </c>
      <c r="BG241" s="130">
        <f t="shared" si="39"/>
        <v>0</v>
      </c>
      <c r="BH241" s="130">
        <f t="shared" si="40"/>
        <v>0</v>
      </c>
      <c r="BI241" s="130">
        <f t="shared" si="41"/>
        <v>0</v>
      </c>
      <c r="BJ241" s="13" t="s">
        <v>76</v>
      </c>
      <c r="BK241" s="130">
        <f t="shared" si="42"/>
        <v>49.92</v>
      </c>
      <c r="BL241" s="13" t="s">
        <v>347</v>
      </c>
      <c r="BM241" s="129" t="s">
        <v>610</v>
      </c>
    </row>
    <row r="242" spans="2:65" s="1" customFormat="1" ht="16.5" customHeight="1" x14ac:dyDescent="0.2">
      <c r="B242" s="118"/>
      <c r="C242" s="242" t="s">
        <v>613</v>
      </c>
      <c r="D242" s="131" t="s">
        <v>277</v>
      </c>
      <c r="E242" s="132" t="s">
        <v>3927</v>
      </c>
      <c r="F242" s="133" t="s">
        <v>1326</v>
      </c>
      <c r="G242" s="134" t="s">
        <v>1194</v>
      </c>
      <c r="H242" s="241">
        <v>16</v>
      </c>
      <c r="I242" s="136">
        <v>2.6</v>
      </c>
      <c r="J242" s="136">
        <f t="shared" si="33"/>
        <v>41.6</v>
      </c>
      <c r="K242" s="133" t="s">
        <v>1</v>
      </c>
      <c r="L242" s="137"/>
      <c r="M242" s="138" t="s">
        <v>1</v>
      </c>
      <c r="N242" s="139" t="s">
        <v>32</v>
      </c>
      <c r="O242" s="127">
        <v>0</v>
      </c>
      <c r="P242" s="127">
        <f t="shared" si="34"/>
        <v>0</v>
      </c>
      <c r="Q242" s="127">
        <v>0</v>
      </c>
      <c r="R242" s="127">
        <f t="shared" si="35"/>
        <v>0</v>
      </c>
      <c r="S242" s="127">
        <v>0</v>
      </c>
      <c r="T242" s="128">
        <f t="shared" si="36"/>
        <v>0</v>
      </c>
      <c r="W242" s="199"/>
      <c r="X242" s="242" t="s">
        <v>613</v>
      </c>
      <c r="Y242" s="131" t="s">
        <v>277</v>
      </c>
      <c r="Z242" s="132" t="s">
        <v>3927</v>
      </c>
      <c r="AA242" s="133" t="s">
        <v>1326</v>
      </c>
      <c r="AB242" s="134" t="s">
        <v>1194</v>
      </c>
      <c r="AC242" s="241">
        <f>16-1</f>
        <v>15</v>
      </c>
      <c r="AD242" s="136">
        <v>2.6</v>
      </c>
      <c r="AE242" s="229">
        <f t="shared" si="25"/>
        <v>39</v>
      </c>
      <c r="AF242" s="227">
        <v>2</v>
      </c>
      <c r="AG242" s="396"/>
      <c r="AI242" s="397"/>
      <c r="AR242" s="129" t="s">
        <v>705</v>
      </c>
      <c r="AT242" s="129" t="s">
        <v>277</v>
      </c>
      <c r="AU242" s="129" t="s">
        <v>63</v>
      </c>
      <c r="AY242" s="13" t="s">
        <v>228</v>
      </c>
      <c r="BE242" s="130">
        <f t="shared" si="37"/>
        <v>0</v>
      </c>
      <c r="BF242" s="130">
        <f t="shared" si="38"/>
        <v>41.6</v>
      </c>
      <c r="BG242" s="130">
        <f t="shared" si="39"/>
        <v>0</v>
      </c>
      <c r="BH242" s="130">
        <f t="shared" si="40"/>
        <v>0</v>
      </c>
      <c r="BI242" s="130">
        <f t="shared" si="41"/>
        <v>0</v>
      </c>
      <c r="BJ242" s="13" t="s">
        <v>76</v>
      </c>
      <c r="BK242" s="130">
        <f t="shared" si="42"/>
        <v>41.6</v>
      </c>
      <c r="BL242" s="13" t="s">
        <v>347</v>
      </c>
      <c r="BM242" s="129" t="s">
        <v>616</v>
      </c>
    </row>
    <row r="243" spans="2:65" s="1" customFormat="1" ht="36" customHeight="1" x14ac:dyDescent="0.2">
      <c r="B243" s="118"/>
      <c r="C243" s="119" t="s">
        <v>421</v>
      </c>
      <c r="D243" s="119" t="s">
        <v>231</v>
      </c>
      <c r="E243" s="120" t="s">
        <v>1659</v>
      </c>
      <c r="F243" s="121" t="s">
        <v>1660</v>
      </c>
      <c r="G243" s="122" t="s">
        <v>1194</v>
      </c>
      <c r="H243" s="123">
        <v>16</v>
      </c>
      <c r="I243" s="124">
        <v>7.88</v>
      </c>
      <c r="J243" s="124">
        <f t="shared" si="33"/>
        <v>126.08</v>
      </c>
      <c r="K243" s="121" t="s">
        <v>1</v>
      </c>
      <c r="L243" s="24"/>
      <c r="M243" s="125" t="s">
        <v>1</v>
      </c>
      <c r="N243" s="126" t="s">
        <v>32</v>
      </c>
      <c r="O243" s="127">
        <v>0</v>
      </c>
      <c r="P243" s="127">
        <f t="shared" si="34"/>
        <v>0</v>
      </c>
      <c r="Q243" s="127">
        <v>0</v>
      </c>
      <c r="R243" s="127">
        <f t="shared" si="35"/>
        <v>0</v>
      </c>
      <c r="S243" s="127">
        <v>0</v>
      </c>
      <c r="T243" s="128">
        <f t="shared" si="36"/>
        <v>0</v>
      </c>
      <c r="W243" s="199"/>
      <c r="X243" s="119" t="s">
        <v>421</v>
      </c>
      <c r="Y243" s="119" t="s">
        <v>231</v>
      </c>
      <c r="Z243" s="120" t="s">
        <v>1659</v>
      </c>
      <c r="AA243" s="121" t="s">
        <v>1660</v>
      </c>
      <c r="AB243" s="122" t="s">
        <v>1194</v>
      </c>
      <c r="AC243" s="123">
        <v>16</v>
      </c>
      <c r="AD243" s="124">
        <v>7.88</v>
      </c>
      <c r="AE243" s="200">
        <f t="shared" si="25"/>
        <v>126.08</v>
      </c>
      <c r="AF243" s="227"/>
      <c r="AG243" s="396"/>
      <c r="AI243" s="397"/>
      <c r="AR243" s="129" t="s">
        <v>347</v>
      </c>
      <c r="AT243" s="129" t="s">
        <v>231</v>
      </c>
      <c r="AU243" s="129" t="s">
        <v>63</v>
      </c>
      <c r="AY243" s="13" t="s">
        <v>228</v>
      </c>
      <c r="BE243" s="130">
        <f t="shared" si="37"/>
        <v>0</v>
      </c>
      <c r="BF243" s="130">
        <f t="shared" si="38"/>
        <v>126.08</v>
      </c>
      <c r="BG243" s="130">
        <f t="shared" si="39"/>
        <v>0</v>
      </c>
      <c r="BH243" s="130">
        <f t="shared" si="40"/>
        <v>0</v>
      </c>
      <c r="BI243" s="130">
        <f t="shared" si="41"/>
        <v>0</v>
      </c>
      <c r="BJ243" s="13" t="s">
        <v>76</v>
      </c>
      <c r="BK243" s="130">
        <f t="shared" si="42"/>
        <v>126.08</v>
      </c>
      <c r="BL243" s="13" t="s">
        <v>347</v>
      </c>
      <c r="BM243" s="129" t="s">
        <v>619</v>
      </c>
    </row>
    <row r="244" spans="2:65" s="1" customFormat="1" ht="24" customHeight="1" x14ac:dyDescent="0.2">
      <c r="B244" s="118"/>
      <c r="C244" s="131" t="s">
        <v>620</v>
      </c>
      <c r="D244" s="131" t="s">
        <v>277</v>
      </c>
      <c r="E244" s="132" t="s">
        <v>1659</v>
      </c>
      <c r="F244" s="133" t="s">
        <v>3928</v>
      </c>
      <c r="G244" s="134" t="s">
        <v>1194</v>
      </c>
      <c r="H244" s="135">
        <v>16</v>
      </c>
      <c r="I244" s="136">
        <v>22.04</v>
      </c>
      <c r="J244" s="136">
        <f t="shared" si="33"/>
        <v>352.64</v>
      </c>
      <c r="K244" s="133" t="s">
        <v>1</v>
      </c>
      <c r="L244" s="137"/>
      <c r="M244" s="138" t="s">
        <v>1</v>
      </c>
      <c r="N244" s="139" t="s">
        <v>32</v>
      </c>
      <c r="O244" s="127">
        <v>0</v>
      </c>
      <c r="P244" s="127">
        <f t="shared" si="34"/>
        <v>0</v>
      </c>
      <c r="Q244" s="127">
        <v>0</v>
      </c>
      <c r="R244" s="127">
        <f t="shared" si="35"/>
        <v>0</v>
      </c>
      <c r="S244" s="127">
        <v>0</v>
      </c>
      <c r="T244" s="128">
        <f t="shared" si="36"/>
        <v>0</v>
      </c>
      <c r="W244" s="199"/>
      <c r="X244" s="131" t="s">
        <v>620</v>
      </c>
      <c r="Y244" s="131" t="s">
        <v>277</v>
      </c>
      <c r="Z244" s="132" t="s">
        <v>1659</v>
      </c>
      <c r="AA244" s="133" t="s">
        <v>3928</v>
      </c>
      <c r="AB244" s="134" t="s">
        <v>1194</v>
      </c>
      <c r="AC244" s="135">
        <v>16</v>
      </c>
      <c r="AD244" s="136">
        <v>22.04</v>
      </c>
      <c r="AE244" s="229">
        <f t="shared" si="25"/>
        <v>352.64</v>
      </c>
      <c r="AF244" s="227"/>
      <c r="AG244" s="396"/>
      <c r="AI244" s="397"/>
      <c r="AR244" s="129" t="s">
        <v>705</v>
      </c>
      <c r="AT244" s="129" t="s">
        <v>277</v>
      </c>
      <c r="AU244" s="129" t="s">
        <v>63</v>
      </c>
      <c r="AY244" s="13" t="s">
        <v>228</v>
      </c>
      <c r="BE244" s="130">
        <f t="shared" si="37"/>
        <v>0</v>
      </c>
      <c r="BF244" s="130">
        <f t="shared" si="38"/>
        <v>352.64</v>
      </c>
      <c r="BG244" s="130">
        <f t="shared" si="39"/>
        <v>0</v>
      </c>
      <c r="BH244" s="130">
        <f t="shared" si="40"/>
        <v>0</v>
      </c>
      <c r="BI244" s="130">
        <f t="shared" si="41"/>
        <v>0</v>
      </c>
      <c r="BJ244" s="13" t="s">
        <v>76</v>
      </c>
      <c r="BK244" s="130">
        <f t="shared" si="42"/>
        <v>352.64</v>
      </c>
      <c r="BL244" s="13" t="s">
        <v>347</v>
      </c>
      <c r="BM244" s="129" t="s">
        <v>623</v>
      </c>
    </row>
    <row r="245" spans="2:65" s="372" customFormat="1" ht="24" customHeight="1" x14ac:dyDescent="0.2">
      <c r="B245" s="118"/>
      <c r="C245" s="1234" t="s">
        <v>5205</v>
      </c>
      <c r="D245" s="1235"/>
      <c r="E245" s="1235"/>
      <c r="F245" s="1235"/>
      <c r="G245" s="1235"/>
      <c r="H245" s="1235"/>
      <c r="I245" s="1235"/>
      <c r="J245" s="1236"/>
      <c r="K245" s="133"/>
      <c r="L245" s="137"/>
      <c r="M245" s="138"/>
      <c r="N245" s="139"/>
      <c r="O245" s="127"/>
      <c r="P245" s="127"/>
      <c r="Q245" s="127"/>
      <c r="R245" s="127"/>
      <c r="S245" s="127"/>
      <c r="T245" s="128"/>
      <c r="W245" s="199"/>
      <c r="X245" s="207" t="s">
        <v>5949</v>
      </c>
      <c r="Y245" s="207" t="s">
        <v>231</v>
      </c>
      <c r="Z245" s="208" t="s">
        <v>5895</v>
      </c>
      <c r="AA245" s="209" t="s">
        <v>5931</v>
      </c>
      <c r="AB245" s="210" t="s">
        <v>1194</v>
      </c>
      <c r="AC245" s="211">
        <v>2</v>
      </c>
      <c r="AD245" s="212">
        <v>2.9</v>
      </c>
      <c r="AE245" s="214">
        <f t="shared" si="25"/>
        <v>5.8</v>
      </c>
      <c r="AF245" s="227">
        <v>2</v>
      </c>
      <c r="AG245" s="396"/>
      <c r="AI245" s="397"/>
      <c r="AR245" s="129"/>
      <c r="AT245" s="129"/>
      <c r="AU245" s="129"/>
      <c r="AY245" s="13"/>
      <c r="BE245" s="130"/>
      <c r="BF245" s="130"/>
      <c r="BG245" s="130"/>
      <c r="BH245" s="130"/>
      <c r="BI245" s="130"/>
      <c r="BJ245" s="13"/>
      <c r="BK245" s="130"/>
      <c r="BL245" s="13"/>
      <c r="BM245" s="129"/>
    </row>
    <row r="246" spans="2:65" s="372" customFormat="1" ht="24" customHeight="1" x14ac:dyDescent="0.2">
      <c r="B246" s="118"/>
      <c r="C246" s="1234" t="s">
        <v>5205</v>
      </c>
      <c r="D246" s="1235"/>
      <c r="E246" s="1235"/>
      <c r="F246" s="1235"/>
      <c r="G246" s="1235"/>
      <c r="H246" s="1235"/>
      <c r="I246" s="1235"/>
      <c r="J246" s="1236"/>
      <c r="K246" s="133"/>
      <c r="L246" s="137"/>
      <c r="M246" s="138"/>
      <c r="N246" s="139"/>
      <c r="O246" s="127"/>
      <c r="P246" s="127"/>
      <c r="Q246" s="127"/>
      <c r="R246" s="127"/>
      <c r="S246" s="127"/>
      <c r="T246" s="128"/>
      <c r="W246" s="199"/>
      <c r="X246" s="386" t="s">
        <v>5950</v>
      </c>
      <c r="Y246" s="386" t="s">
        <v>277</v>
      </c>
      <c r="Z246" s="387" t="s">
        <v>5932</v>
      </c>
      <c r="AA246" s="388" t="s">
        <v>5931</v>
      </c>
      <c r="AB246" s="389" t="s">
        <v>1194</v>
      </c>
      <c r="AC246" s="390">
        <v>2</v>
      </c>
      <c r="AD246" s="391">
        <v>0.66</v>
      </c>
      <c r="AE246" s="401">
        <f t="shared" si="25"/>
        <v>1.32</v>
      </c>
      <c r="AF246" s="227">
        <v>2</v>
      </c>
      <c r="AG246" s="396"/>
      <c r="AI246" s="397"/>
      <c r="AR246" s="129"/>
      <c r="AT246" s="129"/>
      <c r="AU246" s="129"/>
      <c r="AY246" s="13"/>
      <c r="BE246" s="130"/>
      <c r="BF246" s="130"/>
      <c r="BG246" s="130"/>
      <c r="BH246" s="130"/>
      <c r="BI246" s="130"/>
      <c r="BJ246" s="13"/>
      <c r="BK246" s="130"/>
      <c r="BL246" s="13"/>
      <c r="BM246" s="129"/>
    </row>
    <row r="247" spans="2:65" s="372" customFormat="1" ht="24" customHeight="1" x14ac:dyDescent="0.2">
      <c r="B247" s="118"/>
      <c r="C247" s="1234" t="s">
        <v>5205</v>
      </c>
      <c r="D247" s="1235"/>
      <c r="E247" s="1235"/>
      <c r="F247" s="1235"/>
      <c r="G247" s="1235"/>
      <c r="H247" s="1235"/>
      <c r="I247" s="1235"/>
      <c r="J247" s="1236"/>
      <c r="K247" s="133"/>
      <c r="L247" s="137"/>
      <c r="M247" s="138"/>
      <c r="N247" s="139"/>
      <c r="O247" s="127"/>
      <c r="P247" s="127"/>
      <c r="Q247" s="127"/>
      <c r="R247" s="127"/>
      <c r="S247" s="127"/>
      <c r="T247" s="128"/>
      <c r="W247" s="199"/>
      <c r="X247" s="207" t="s">
        <v>5951</v>
      </c>
      <c r="Y247" s="207" t="s">
        <v>231</v>
      </c>
      <c r="Z247" s="208" t="s">
        <v>5890</v>
      </c>
      <c r="AA247" s="209" t="s">
        <v>5891</v>
      </c>
      <c r="AB247" s="210" t="s">
        <v>1194</v>
      </c>
      <c r="AC247" s="211">
        <v>1</v>
      </c>
      <c r="AD247" s="212">
        <v>3.7</v>
      </c>
      <c r="AE247" s="214">
        <f t="shared" si="25"/>
        <v>3.7</v>
      </c>
      <c r="AF247" s="227">
        <v>2</v>
      </c>
      <c r="AG247" s="396"/>
      <c r="AI247" s="397"/>
      <c r="AR247" s="129"/>
      <c r="AT247" s="129"/>
      <c r="AU247" s="129"/>
      <c r="AY247" s="13"/>
      <c r="BE247" s="130"/>
      <c r="BF247" s="130"/>
      <c r="BG247" s="130"/>
      <c r="BH247" s="130"/>
      <c r="BI247" s="130"/>
      <c r="BJ247" s="13"/>
      <c r="BK247" s="130"/>
      <c r="BL247" s="13"/>
      <c r="BM247" s="129"/>
    </row>
    <row r="248" spans="2:65" s="372" customFormat="1" ht="24" customHeight="1" x14ac:dyDescent="0.2">
      <c r="B248" s="118"/>
      <c r="C248" s="1234" t="s">
        <v>5205</v>
      </c>
      <c r="D248" s="1235"/>
      <c r="E248" s="1235"/>
      <c r="F248" s="1235"/>
      <c r="G248" s="1235"/>
      <c r="H248" s="1235"/>
      <c r="I248" s="1235"/>
      <c r="J248" s="1236"/>
      <c r="K248" s="133"/>
      <c r="L248" s="137"/>
      <c r="M248" s="138"/>
      <c r="N248" s="139"/>
      <c r="O248" s="127"/>
      <c r="P248" s="127"/>
      <c r="Q248" s="127"/>
      <c r="R248" s="127"/>
      <c r="S248" s="127"/>
      <c r="T248" s="128"/>
      <c r="W248" s="199"/>
      <c r="X248" s="386" t="s">
        <v>5952</v>
      </c>
      <c r="Y248" s="386" t="s">
        <v>277</v>
      </c>
      <c r="Z248" s="387" t="s">
        <v>5892</v>
      </c>
      <c r="AA248" s="388" t="s">
        <v>5891</v>
      </c>
      <c r="AB248" s="389" t="s">
        <v>1194</v>
      </c>
      <c r="AC248" s="390">
        <v>1</v>
      </c>
      <c r="AD248" s="391">
        <v>8.4499999999999993</v>
      </c>
      <c r="AE248" s="401">
        <f t="shared" si="25"/>
        <v>8.4499999999999993</v>
      </c>
      <c r="AF248" s="227">
        <v>2</v>
      </c>
      <c r="AG248" s="396"/>
      <c r="AI248" s="397"/>
      <c r="AR248" s="129"/>
      <c r="AT248" s="129"/>
      <c r="AU248" s="129"/>
      <c r="AY248" s="13"/>
      <c r="BE248" s="130"/>
      <c r="BF248" s="130"/>
      <c r="BG248" s="130"/>
      <c r="BH248" s="130"/>
      <c r="BI248" s="130"/>
      <c r="BJ248" s="13"/>
      <c r="BK248" s="130"/>
      <c r="BL248" s="13"/>
      <c r="BM248" s="129"/>
    </row>
    <row r="249" spans="2:65" s="1" customFormat="1" ht="24" customHeight="1" x14ac:dyDescent="0.2">
      <c r="B249" s="118"/>
      <c r="C249" s="205" t="s">
        <v>425</v>
      </c>
      <c r="D249" s="119" t="s">
        <v>231</v>
      </c>
      <c r="E249" s="120" t="s">
        <v>3929</v>
      </c>
      <c r="F249" s="121" t="s">
        <v>3930</v>
      </c>
      <c r="G249" s="122" t="s">
        <v>1194</v>
      </c>
      <c r="H249" s="206">
        <v>21</v>
      </c>
      <c r="I249" s="124">
        <v>11.35</v>
      </c>
      <c r="J249" s="124">
        <f t="shared" si="33"/>
        <v>238.35</v>
      </c>
      <c r="K249" s="121" t="s">
        <v>1</v>
      </c>
      <c r="L249" s="24"/>
      <c r="M249" s="125" t="s">
        <v>1</v>
      </c>
      <c r="N249" s="126" t="s">
        <v>32</v>
      </c>
      <c r="O249" s="127">
        <v>0</v>
      </c>
      <c r="P249" s="127">
        <f t="shared" si="34"/>
        <v>0</v>
      </c>
      <c r="Q249" s="127">
        <v>0</v>
      </c>
      <c r="R249" s="127">
        <f t="shared" si="35"/>
        <v>0</v>
      </c>
      <c r="S249" s="127">
        <v>0</v>
      </c>
      <c r="T249" s="128">
        <f t="shared" si="36"/>
        <v>0</v>
      </c>
      <c r="W249" s="199"/>
      <c r="X249" s="205" t="s">
        <v>425</v>
      </c>
      <c r="Y249" s="119" t="s">
        <v>231</v>
      </c>
      <c r="Z249" s="120" t="s">
        <v>3929</v>
      </c>
      <c r="AA249" s="121" t="s">
        <v>3930</v>
      </c>
      <c r="AB249" s="122" t="s">
        <v>1194</v>
      </c>
      <c r="AC249" s="206">
        <f>21-21</f>
        <v>0</v>
      </c>
      <c r="AD249" s="124">
        <v>11.35</v>
      </c>
      <c r="AE249" s="200">
        <f t="shared" si="25"/>
        <v>0</v>
      </c>
      <c r="AF249" s="227">
        <v>2</v>
      </c>
      <c r="AG249" s="396"/>
      <c r="AI249" s="397"/>
      <c r="AR249" s="129" t="s">
        <v>347</v>
      </c>
      <c r="AT249" s="129" t="s">
        <v>231</v>
      </c>
      <c r="AU249" s="129" t="s">
        <v>63</v>
      </c>
      <c r="AY249" s="13" t="s">
        <v>228</v>
      </c>
      <c r="BE249" s="130">
        <f t="shared" si="37"/>
        <v>0</v>
      </c>
      <c r="BF249" s="130">
        <f t="shared" si="38"/>
        <v>238.35</v>
      </c>
      <c r="BG249" s="130">
        <f t="shared" si="39"/>
        <v>0</v>
      </c>
      <c r="BH249" s="130">
        <f t="shared" si="40"/>
        <v>0</v>
      </c>
      <c r="BI249" s="130">
        <f t="shared" si="41"/>
        <v>0</v>
      </c>
      <c r="BJ249" s="13" t="s">
        <v>76</v>
      </c>
      <c r="BK249" s="130">
        <f t="shared" si="42"/>
        <v>238.35</v>
      </c>
      <c r="BL249" s="13" t="s">
        <v>347</v>
      </c>
      <c r="BM249" s="129" t="s">
        <v>626</v>
      </c>
    </row>
    <row r="250" spans="2:65" s="1" customFormat="1" ht="24" customHeight="1" x14ac:dyDescent="0.2">
      <c r="B250" s="118"/>
      <c r="C250" s="242" t="s">
        <v>627</v>
      </c>
      <c r="D250" s="131" t="s">
        <v>277</v>
      </c>
      <c r="E250" s="132" t="s">
        <v>3931</v>
      </c>
      <c r="F250" s="133" t="s">
        <v>3932</v>
      </c>
      <c r="G250" s="134" t="s">
        <v>1194</v>
      </c>
      <c r="H250" s="241">
        <v>21</v>
      </c>
      <c r="I250" s="136">
        <v>41.39</v>
      </c>
      <c r="J250" s="136">
        <f t="shared" si="33"/>
        <v>869.19</v>
      </c>
      <c r="K250" s="133" t="s">
        <v>1</v>
      </c>
      <c r="L250" s="137"/>
      <c r="M250" s="138" t="s">
        <v>1</v>
      </c>
      <c r="N250" s="139" t="s">
        <v>32</v>
      </c>
      <c r="O250" s="127">
        <v>0</v>
      </c>
      <c r="P250" s="127">
        <f t="shared" si="34"/>
        <v>0</v>
      </c>
      <c r="Q250" s="127">
        <v>0</v>
      </c>
      <c r="R250" s="127">
        <f t="shared" si="35"/>
        <v>0</v>
      </c>
      <c r="S250" s="127">
        <v>0</v>
      </c>
      <c r="T250" s="128">
        <f t="shared" si="36"/>
        <v>0</v>
      </c>
      <c r="W250" s="199"/>
      <c r="X250" s="242" t="s">
        <v>627</v>
      </c>
      <c r="Y250" s="131" t="s">
        <v>277</v>
      </c>
      <c r="Z250" s="132" t="s">
        <v>3931</v>
      </c>
      <c r="AA250" s="133" t="s">
        <v>3932</v>
      </c>
      <c r="AB250" s="134" t="s">
        <v>1194</v>
      </c>
      <c r="AC250" s="241">
        <f>21-21</f>
        <v>0</v>
      </c>
      <c r="AD250" s="136">
        <v>41.39</v>
      </c>
      <c r="AE250" s="229">
        <f t="shared" si="25"/>
        <v>0</v>
      </c>
      <c r="AF250" s="227">
        <v>2</v>
      </c>
      <c r="AG250" s="396"/>
      <c r="AI250" s="397"/>
      <c r="AR250" s="129" t="s">
        <v>705</v>
      </c>
      <c r="AT250" s="129" t="s">
        <v>277</v>
      </c>
      <c r="AU250" s="129" t="s">
        <v>63</v>
      </c>
      <c r="AY250" s="13" t="s">
        <v>228</v>
      </c>
      <c r="BE250" s="130">
        <f t="shared" si="37"/>
        <v>0</v>
      </c>
      <c r="BF250" s="130">
        <f t="shared" si="38"/>
        <v>869.19</v>
      </c>
      <c r="BG250" s="130">
        <f t="shared" si="39"/>
        <v>0</v>
      </c>
      <c r="BH250" s="130">
        <f t="shared" si="40"/>
        <v>0</v>
      </c>
      <c r="BI250" s="130">
        <f t="shared" si="41"/>
        <v>0</v>
      </c>
      <c r="BJ250" s="13" t="s">
        <v>76</v>
      </c>
      <c r="BK250" s="130">
        <f t="shared" si="42"/>
        <v>869.19</v>
      </c>
      <c r="BL250" s="13" t="s">
        <v>347</v>
      </c>
      <c r="BM250" s="129" t="s">
        <v>630</v>
      </c>
    </row>
    <row r="251" spans="2:65" s="1" customFormat="1" ht="24" customHeight="1" x14ac:dyDescent="0.2">
      <c r="B251" s="118"/>
      <c r="C251" s="242" t="s">
        <v>428</v>
      </c>
      <c r="D251" s="131" t="s">
        <v>277</v>
      </c>
      <c r="E251" s="132" t="s">
        <v>3933</v>
      </c>
      <c r="F251" s="133" t="s">
        <v>3934</v>
      </c>
      <c r="G251" s="134" t="s">
        <v>1194</v>
      </c>
      <c r="H251" s="241">
        <v>21</v>
      </c>
      <c r="I251" s="136">
        <v>2.3199999999999998</v>
      </c>
      <c r="J251" s="136">
        <f t="shared" si="33"/>
        <v>48.72</v>
      </c>
      <c r="K251" s="133" t="s">
        <v>1</v>
      </c>
      <c r="L251" s="137"/>
      <c r="M251" s="138" t="s">
        <v>1</v>
      </c>
      <c r="N251" s="139" t="s">
        <v>32</v>
      </c>
      <c r="O251" s="127">
        <v>0</v>
      </c>
      <c r="P251" s="127">
        <f t="shared" si="34"/>
        <v>0</v>
      </c>
      <c r="Q251" s="127">
        <v>0</v>
      </c>
      <c r="R251" s="127">
        <f t="shared" si="35"/>
        <v>0</v>
      </c>
      <c r="S251" s="127">
        <v>0</v>
      </c>
      <c r="T251" s="128">
        <f t="shared" si="36"/>
        <v>0</v>
      </c>
      <c r="W251" s="199"/>
      <c r="X251" s="242" t="s">
        <v>428</v>
      </c>
      <c r="Y251" s="131" t="s">
        <v>277</v>
      </c>
      <c r="Z251" s="132" t="s">
        <v>3933</v>
      </c>
      <c r="AA251" s="133" t="s">
        <v>3934</v>
      </c>
      <c r="AB251" s="134" t="s">
        <v>1194</v>
      </c>
      <c r="AC251" s="241">
        <f>21-21</f>
        <v>0</v>
      </c>
      <c r="AD251" s="136">
        <v>2.3199999999999998</v>
      </c>
      <c r="AE251" s="229">
        <f t="shared" si="25"/>
        <v>0</v>
      </c>
      <c r="AF251" s="227">
        <v>2</v>
      </c>
      <c r="AG251" s="396"/>
      <c r="AI251" s="397"/>
      <c r="AR251" s="129" t="s">
        <v>705</v>
      </c>
      <c r="AT251" s="129" t="s">
        <v>277</v>
      </c>
      <c r="AU251" s="129" t="s">
        <v>63</v>
      </c>
      <c r="AY251" s="13" t="s">
        <v>228</v>
      </c>
      <c r="BE251" s="130">
        <f t="shared" si="37"/>
        <v>0</v>
      </c>
      <c r="BF251" s="130">
        <f t="shared" si="38"/>
        <v>48.72</v>
      </c>
      <c r="BG251" s="130">
        <f t="shared" si="39"/>
        <v>0</v>
      </c>
      <c r="BH251" s="130">
        <f t="shared" si="40"/>
        <v>0</v>
      </c>
      <c r="BI251" s="130">
        <f t="shared" si="41"/>
        <v>0</v>
      </c>
      <c r="BJ251" s="13" t="s">
        <v>76</v>
      </c>
      <c r="BK251" s="130">
        <f t="shared" si="42"/>
        <v>48.72</v>
      </c>
      <c r="BL251" s="13" t="s">
        <v>347</v>
      </c>
      <c r="BM251" s="129" t="s">
        <v>635</v>
      </c>
    </row>
    <row r="252" spans="2:65" s="1" customFormat="1" ht="16.5" customHeight="1" x14ac:dyDescent="0.2">
      <c r="B252" s="118"/>
      <c r="C252" s="205" t="s">
        <v>636</v>
      </c>
      <c r="D252" s="119" t="s">
        <v>231</v>
      </c>
      <c r="E252" s="120" t="s">
        <v>1587</v>
      </c>
      <c r="F252" s="121" t="s">
        <v>1588</v>
      </c>
      <c r="G252" s="122" t="s">
        <v>1194</v>
      </c>
      <c r="H252" s="206">
        <v>13</v>
      </c>
      <c r="I252" s="124">
        <v>11.35</v>
      </c>
      <c r="J252" s="124">
        <f t="shared" si="33"/>
        <v>147.55000000000001</v>
      </c>
      <c r="K252" s="121" t="s">
        <v>1</v>
      </c>
      <c r="L252" s="24"/>
      <c r="M252" s="125" t="s">
        <v>1</v>
      </c>
      <c r="N252" s="126" t="s">
        <v>32</v>
      </c>
      <c r="O252" s="127">
        <v>0</v>
      </c>
      <c r="P252" s="127">
        <f t="shared" si="34"/>
        <v>0</v>
      </c>
      <c r="Q252" s="127">
        <v>0</v>
      </c>
      <c r="R252" s="127">
        <f t="shared" si="35"/>
        <v>0</v>
      </c>
      <c r="S252" s="127">
        <v>0</v>
      </c>
      <c r="T252" s="128">
        <f t="shared" si="36"/>
        <v>0</v>
      </c>
      <c r="W252" s="199"/>
      <c r="X252" s="205" t="s">
        <v>636</v>
      </c>
      <c r="Y252" s="119" t="s">
        <v>231</v>
      </c>
      <c r="Z252" s="120" t="s">
        <v>1587</v>
      </c>
      <c r="AA252" s="121" t="s">
        <v>1588</v>
      </c>
      <c r="AB252" s="122" t="s">
        <v>1194</v>
      </c>
      <c r="AC252" s="206">
        <f>13+11</f>
        <v>24</v>
      </c>
      <c r="AD252" s="124">
        <v>11.35</v>
      </c>
      <c r="AE252" s="200">
        <f t="shared" si="25"/>
        <v>272.39999999999998</v>
      </c>
      <c r="AF252" s="227">
        <v>2</v>
      </c>
      <c r="AG252" s="396"/>
      <c r="AI252" s="397"/>
      <c r="AR252" s="129" t="s">
        <v>347</v>
      </c>
      <c r="AT252" s="129" t="s">
        <v>231</v>
      </c>
      <c r="AU252" s="129" t="s">
        <v>63</v>
      </c>
      <c r="AY252" s="13" t="s">
        <v>228</v>
      </c>
      <c r="BE252" s="130">
        <f t="shared" si="37"/>
        <v>0</v>
      </c>
      <c r="BF252" s="130">
        <f t="shared" si="38"/>
        <v>147.55000000000001</v>
      </c>
      <c r="BG252" s="130">
        <f t="shared" si="39"/>
        <v>0</v>
      </c>
      <c r="BH252" s="130">
        <f t="shared" si="40"/>
        <v>0</v>
      </c>
      <c r="BI252" s="130">
        <f t="shared" si="41"/>
        <v>0</v>
      </c>
      <c r="BJ252" s="13" t="s">
        <v>76</v>
      </c>
      <c r="BK252" s="130">
        <f t="shared" si="42"/>
        <v>147.55000000000001</v>
      </c>
      <c r="BL252" s="13" t="s">
        <v>347</v>
      </c>
      <c r="BM252" s="129" t="s">
        <v>639</v>
      </c>
    </row>
    <row r="253" spans="2:65" s="1" customFormat="1" ht="16.5" customHeight="1" x14ac:dyDescent="0.2">
      <c r="B253" s="118"/>
      <c r="C253" s="242" t="s">
        <v>432</v>
      </c>
      <c r="D253" s="131" t="s">
        <v>277</v>
      </c>
      <c r="E253" s="132" t="s">
        <v>1587</v>
      </c>
      <c r="F253" s="133" t="s">
        <v>1588</v>
      </c>
      <c r="G253" s="134" t="s">
        <v>1194</v>
      </c>
      <c r="H253" s="241">
        <v>13</v>
      </c>
      <c r="I253" s="136">
        <v>46.73</v>
      </c>
      <c r="J253" s="136">
        <f t="shared" si="33"/>
        <v>607.49</v>
      </c>
      <c r="K253" s="133" t="s">
        <v>1</v>
      </c>
      <c r="L253" s="137"/>
      <c r="M253" s="138" t="s">
        <v>1</v>
      </c>
      <c r="N253" s="139" t="s">
        <v>32</v>
      </c>
      <c r="O253" s="127">
        <v>0</v>
      </c>
      <c r="P253" s="127">
        <f t="shared" si="34"/>
        <v>0</v>
      </c>
      <c r="Q253" s="127">
        <v>0</v>
      </c>
      <c r="R253" s="127">
        <f t="shared" si="35"/>
        <v>0</v>
      </c>
      <c r="S253" s="127">
        <v>0</v>
      </c>
      <c r="T253" s="128">
        <f t="shared" si="36"/>
        <v>0</v>
      </c>
      <c r="W253" s="199"/>
      <c r="X253" s="242" t="s">
        <v>432</v>
      </c>
      <c r="Y253" s="131" t="s">
        <v>277</v>
      </c>
      <c r="Z253" s="132" t="s">
        <v>1587</v>
      </c>
      <c r="AA253" s="133" t="s">
        <v>1588</v>
      </c>
      <c r="AB253" s="134" t="s">
        <v>1194</v>
      </c>
      <c r="AC253" s="241">
        <f>24-24</f>
        <v>0</v>
      </c>
      <c r="AD253" s="136">
        <v>46.73</v>
      </c>
      <c r="AE253" s="229">
        <f t="shared" si="25"/>
        <v>0</v>
      </c>
      <c r="AF253" s="227" t="s">
        <v>6751</v>
      </c>
      <c r="AG253" s="396"/>
      <c r="AI253" s="397"/>
      <c r="AR253" s="129" t="s">
        <v>705</v>
      </c>
      <c r="AT253" s="129" t="s">
        <v>277</v>
      </c>
      <c r="AU253" s="129" t="s">
        <v>63</v>
      </c>
      <c r="AY253" s="13" t="s">
        <v>228</v>
      </c>
      <c r="BE253" s="130">
        <f t="shared" si="37"/>
        <v>0</v>
      </c>
      <c r="BF253" s="130">
        <f t="shared" si="38"/>
        <v>607.49</v>
      </c>
      <c r="BG253" s="130">
        <f t="shared" si="39"/>
        <v>0</v>
      </c>
      <c r="BH253" s="130">
        <f t="shared" si="40"/>
        <v>0</v>
      </c>
      <c r="BI253" s="130">
        <f t="shared" si="41"/>
        <v>0</v>
      </c>
      <c r="BJ253" s="13" t="s">
        <v>76</v>
      </c>
      <c r="BK253" s="130">
        <f t="shared" si="42"/>
        <v>607.49</v>
      </c>
      <c r="BL253" s="13" t="s">
        <v>347</v>
      </c>
      <c r="BM253" s="129" t="s">
        <v>642</v>
      </c>
    </row>
    <row r="254" spans="2:65" s="1116" customFormat="1" ht="42.45" customHeight="1" x14ac:dyDescent="0.2">
      <c r="B254" s="1118"/>
      <c r="C254" s="1234" t="s">
        <v>5205</v>
      </c>
      <c r="D254" s="1235"/>
      <c r="E254" s="1235"/>
      <c r="F254" s="1235"/>
      <c r="G254" s="1235"/>
      <c r="H254" s="1235"/>
      <c r="I254" s="1235"/>
      <c r="J254" s="1236"/>
      <c r="K254" s="133"/>
      <c r="L254" s="137"/>
      <c r="M254" s="138"/>
      <c r="N254" s="139"/>
      <c r="O254" s="1037"/>
      <c r="P254" s="1037"/>
      <c r="Q254" s="1037"/>
      <c r="R254" s="1037"/>
      <c r="S254" s="1037"/>
      <c r="T254" s="1038"/>
      <c r="W254" s="1041"/>
      <c r="X254" s="386" t="s">
        <v>6770</v>
      </c>
      <c r="Y254" s="386" t="s">
        <v>277</v>
      </c>
      <c r="Z254" s="387" t="s">
        <v>6769</v>
      </c>
      <c r="AA254" s="388" t="s">
        <v>6765</v>
      </c>
      <c r="AB254" s="389" t="s">
        <v>1194</v>
      </c>
      <c r="AC254" s="390">
        <v>24</v>
      </c>
      <c r="AD254" s="391">
        <v>46.73</v>
      </c>
      <c r="AE254" s="401">
        <f t="shared" si="25"/>
        <v>1121.52</v>
      </c>
      <c r="AF254" s="1079">
        <v>29</v>
      </c>
      <c r="AG254" s="396"/>
      <c r="AI254" s="397"/>
      <c r="AR254" s="1039"/>
      <c r="AT254" s="1039"/>
      <c r="AU254" s="1039"/>
      <c r="AY254" s="1117"/>
      <c r="BE254" s="1119"/>
      <c r="BF254" s="1119"/>
      <c r="BG254" s="1119"/>
      <c r="BH254" s="1119"/>
      <c r="BI254" s="1119"/>
      <c r="BJ254" s="1117"/>
      <c r="BK254" s="1119"/>
      <c r="BL254" s="1117"/>
      <c r="BM254" s="1039"/>
    </row>
    <row r="255" spans="2:65" s="1" customFormat="1" ht="24" customHeight="1" x14ac:dyDescent="0.2">
      <c r="B255" s="118"/>
      <c r="C255" s="205" t="s">
        <v>643</v>
      </c>
      <c r="D255" s="119" t="s">
        <v>231</v>
      </c>
      <c r="E255" s="120" t="s">
        <v>1578</v>
      </c>
      <c r="F255" s="121" t="s">
        <v>1579</v>
      </c>
      <c r="G255" s="122" t="s">
        <v>1194</v>
      </c>
      <c r="H255" s="206">
        <v>25</v>
      </c>
      <c r="I255" s="124">
        <v>9.2200000000000006</v>
      </c>
      <c r="J255" s="124">
        <f t="shared" si="33"/>
        <v>230.5</v>
      </c>
      <c r="K255" s="121" t="s">
        <v>1</v>
      </c>
      <c r="L255" s="24"/>
      <c r="M255" s="125" t="s">
        <v>1</v>
      </c>
      <c r="N255" s="126" t="s">
        <v>32</v>
      </c>
      <c r="O255" s="127">
        <v>0</v>
      </c>
      <c r="P255" s="127">
        <f t="shared" si="34"/>
        <v>0</v>
      </c>
      <c r="Q255" s="127">
        <v>0</v>
      </c>
      <c r="R255" s="127">
        <f t="shared" si="35"/>
        <v>0</v>
      </c>
      <c r="S255" s="127">
        <v>0</v>
      </c>
      <c r="T255" s="128">
        <f t="shared" si="36"/>
        <v>0</v>
      </c>
      <c r="W255" s="199"/>
      <c r="X255" s="205" t="s">
        <v>643</v>
      </c>
      <c r="Y255" s="119" t="s">
        <v>231</v>
      </c>
      <c r="Z255" s="120" t="s">
        <v>1578</v>
      </c>
      <c r="AA255" s="121" t="s">
        <v>1579</v>
      </c>
      <c r="AB255" s="122" t="s">
        <v>1194</v>
      </c>
      <c r="AC255" s="206">
        <f>25-6</f>
        <v>19</v>
      </c>
      <c r="AD255" s="124">
        <v>9.2200000000000006</v>
      </c>
      <c r="AE255" s="200">
        <f t="shared" si="25"/>
        <v>175.18</v>
      </c>
      <c r="AF255" s="227">
        <v>2</v>
      </c>
      <c r="AG255" s="396"/>
      <c r="AI255" s="397"/>
      <c r="AR255" s="129" t="s">
        <v>347</v>
      </c>
      <c r="AT255" s="129" t="s">
        <v>231</v>
      </c>
      <c r="AU255" s="129" t="s">
        <v>63</v>
      </c>
      <c r="AY255" s="13" t="s">
        <v>228</v>
      </c>
      <c r="BE255" s="130">
        <f t="shared" si="37"/>
        <v>0</v>
      </c>
      <c r="BF255" s="130">
        <f t="shared" si="38"/>
        <v>230.5</v>
      </c>
      <c r="BG255" s="130">
        <f t="shared" si="39"/>
        <v>0</v>
      </c>
      <c r="BH255" s="130">
        <f t="shared" si="40"/>
        <v>0</v>
      </c>
      <c r="BI255" s="130">
        <f t="shared" si="41"/>
        <v>0</v>
      </c>
      <c r="BJ255" s="13" t="s">
        <v>76</v>
      </c>
      <c r="BK255" s="130">
        <f t="shared" si="42"/>
        <v>230.5</v>
      </c>
      <c r="BL255" s="13" t="s">
        <v>347</v>
      </c>
      <c r="BM255" s="129" t="s">
        <v>646</v>
      </c>
    </row>
    <row r="256" spans="2:65" s="1" customFormat="1" ht="25.2" customHeight="1" x14ac:dyDescent="0.2">
      <c r="B256" s="118"/>
      <c r="C256" s="242" t="s">
        <v>435</v>
      </c>
      <c r="D256" s="131" t="s">
        <v>277</v>
      </c>
      <c r="E256" s="132" t="s">
        <v>3935</v>
      </c>
      <c r="F256" s="133" t="s">
        <v>3936</v>
      </c>
      <c r="G256" s="134" t="s">
        <v>1194</v>
      </c>
      <c r="H256" s="241">
        <v>25</v>
      </c>
      <c r="I256" s="136">
        <v>36.049999999999997</v>
      </c>
      <c r="J256" s="136">
        <f t="shared" si="33"/>
        <v>901.25</v>
      </c>
      <c r="K256" s="133" t="s">
        <v>1</v>
      </c>
      <c r="L256" s="137"/>
      <c r="M256" s="138" t="s">
        <v>1</v>
      </c>
      <c r="N256" s="139" t="s">
        <v>32</v>
      </c>
      <c r="O256" s="127">
        <v>0</v>
      </c>
      <c r="P256" s="127">
        <f t="shared" si="34"/>
        <v>0</v>
      </c>
      <c r="Q256" s="127">
        <v>0</v>
      </c>
      <c r="R256" s="127">
        <f t="shared" si="35"/>
        <v>0</v>
      </c>
      <c r="S256" s="127">
        <v>0</v>
      </c>
      <c r="T256" s="128">
        <f t="shared" si="36"/>
        <v>0</v>
      </c>
      <c r="W256" s="199"/>
      <c r="X256" s="242" t="s">
        <v>435</v>
      </c>
      <c r="Y256" s="131" t="s">
        <v>277</v>
      </c>
      <c r="Z256" s="132" t="s">
        <v>3935</v>
      </c>
      <c r="AA256" s="133" t="s">
        <v>3936</v>
      </c>
      <c r="AB256" s="134" t="s">
        <v>1194</v>
      </c>
      <c r="AC256" s="241">
        <f>19-19</f>
        <v>0</v>
      </c>
      <c r="AD256" s="136">
        <v>36.049999999999997</v>
      </c>
      <c r="AE256" s="229">
        <f t="shared" si="25"/>
        <v>0</v>
      </c>
      <c r="AF256" s="1079" t="s">
        <v>6751</v>
      </c>
      <c r="AG256" s="396"/>
      <c r="AI256" s="397"/>
      <c r="AR256" s="129" t="s">
        <v>705</v>
      </c>
      <c r="AT256" s="129" t="s">
        <v>277</v>
      </c>
      <c r="AU256" s="129" t="s">
        <v>63</v>
      </c>
      <c r="AY256" s="13" t="s">
        <v>228</v>
      </c>
      <c r="BE256" s="130">
        <f t="shared" si="37"/>
        <v>0</v>
      </c>
      <c r="BF256" s="130">
        <f t="shared" si="38"/>
        <v>901.25</v>
      </c>
      <c r="BG256" s="130">
        <f t="shared" si="39"/>
        <v>0</v>
      </c>
      <c r="BH256" s="130">
        <f t="shared" si="40"/>
        <v>0</v>
      </c>
      <c r="BI256" s="130">
        <f t="shared" si="41"/>
        <v>0</v>
      </c>
      <c r="BJ256" s="13" t="s">
        <v>76</v>
      </c>
      <c r="BK256" s="130">
        <f t="shared" si="42"/>
        <v>901.25</v>
      </c>
      <c r="BL256" s="13" t="s">
        <v>347</v>
      </c>
      <c r="BM256" s="129" t="s">
        <v>649</v>
      </c>
    </row>
    <row r="257" spans="2:65" s="1" customFormat="1" ht="27" customHeight="1" x14ac:dyDescent="0.2">
      <c r="B257" s="118"/>
      <c r="C257" s="242" t="s">
        <v>650</v>
      </c>
      <c r="D257" s="131" t="s">
        <v>277</v>
      </c>
      <c r="E257" s="132" t="s">
        <v>1584</v>
      </c>
      <c r="F257" s="133" t="s">
        <v>3937</v>
      </c>
      <c r="G257" s="134" t="s">
        <v>1194</v>
      </c>
      <c r="H257" s="241">
        <v>25</v>
      </c>
      <c r="I257" s="136">
        <v>2.3199999999999998</v>
      </c>
      <c r="J257" s="136">
        <f t="shared" si="33"/>
        <v>58</v>
      </c>
      <c r="K257" s="133" t="s">
        <v>1</v>
      </c>
      <c r="L257" s="137"/>
      <c r="M257" s="138" t="s">
        <v>1</v>
      </c>
      <c r="N257" s="139" t="s">
        <v>32</v>
      </c>
      <c r="O257" s="127">
        <v>0</v>
      </c>
      <c r="P257" s="127">
        <f t="shared" si="34"/>
        <v>0</v>
      </c>
      <c r="Q257" s="127">
        <v>1.2999999999999999E-4</v>
      </c>
      <c r="R257" s="127">
        <f t="shared" si="35"/>
        <v>3.2499999999999999E-3</v>
      </c>
      <c r="S257" s="127">
        <v>0</v>
      </c>
      <c r="T257" s="128">
        <f t="shared" si="36"/>
        <v>0</v>
      </c>
      <c r="W257" s="199"/>
      <c r="X257" s="242" t="s">
        <v>650</v>
      </c>
      <c r="Y257" s="131" t="s">
        <v>277</v>
      </c>
      <c r="Z257" s="132" t="s">
        <v>1584</v>
      </c>
      <c r="AA257" s="133" t="s">
        <v>3937</v>
      </c>
      <c r="AB257" s="134" t="s">
        <v>1194</v>
      </c>
      <c r="AC257" s="241">
        <f>19-19</f>
        <v>0</v>
      </c>
      <c r="AD257" s="136">
        <v>2.3199999999999998</v>
      </c>
      <c r="AE257" s="229">
        <f t="shared" si="25"/>
        <v>0</v>
      </c>
      <c r="AF257" s="1079" t="s">
        <v>6751</v>
      </c>
      <c r="AG257" s="396"/>
      <c r="AI257" s="397"/>
      <c r="AR257" s="129" t="s">
        <v>705</v>
      </c>
      <c r="AT257" s="129" t="s">
        <v>277</v>
      </c>
      <c r="AU257" s="129" t="s">
        <v>63</v>
      </c>
      <c r="AY257" s="13" t="s">
        <v>228</v>
      </c>
      <c r="BE257" s="130">
        <f t="shared" si="37"/>
        <v>0</v>
      </c>
      <c r="BF257" s="130">
        <f t="shared" si="38"/>
        <v>58</v>
      </c>
      <c r="BG257" s="130">
        <f t="shared" si="39"/>
        <v>0</v>
      </c>
      <c r="BH257" s="130">
        <f t="shared" si="40"/>
        <v>0</v>
      </c>
      <c r="BI257" s="130">
        <f t="shared" si="41"/>
        <v>0</v>
      </c>
      <c r="BJ257" s="13" t="s">
        <v>76</v>
      </c>
      <c r="BK257" s="130">
        <f t="shared" si="42"/>
        <v>58</v>
      </c>
      <c r="BL257" s="13" t="s">
        <v>347</v>
      </c>
      <c r="BM257" s="129" t="s">
        <v>653</v>
      </c>
    </row>
    <row r="258" spans="2:65" s="1116" customFormat="1" ht="40.200000000000003" customHeight="1" x14ac:dyDescent="0.2">
      <c r="B258" s="1118"/>
      <c r="C258" s="1234" t="s">
        <v>5205</v>
      </c>
      <c r="D258" s="1235"/>
      <c r="E258" s="1235"/>
      <c r="F258" s="1235"/>
      <c r="G258" s="1235"/>
      <c r="H258" s="1235"/>
      <c r="I258" s="1235"/>
      <c r="J258" s="1236"/>
      <c r="K258" s="133"/>
      <c r="L258" s="137"/>
      <c r="M258" s="138"/>
      <c r="N258" s="139"/>
      <c r="O258" s="1037"/>
      <c r="P258" s="1037"/>
      <c r="Q258" s="1037"/>
      <c r="R258" s="1037"/>
      <c r="S258" s="1037"/>
      <c r="T258" s="1038"/>
      <c r="W258" s="1041"/>
      <c r="X258" s="386" t="s">
        <v>6519</v>
      </c>
      <c r="Y258" s="386" t="s">
        <v>277</v>
      </c>
      <c r="Z258" s="387" t="s">
        <v>6771</v>
      </c>
      <c r="AA258" s="388" t="s">
        <v>6760</v>
      </c>
      <c r="AB258" s="389" t="s">
        <v>1194</v>
      </c>
      <c r="AC258" s="390">
        <v>19</v>
      </c>
      <c r="AD258" s="391">
        <v>38.369999999999997</v>
      </c>
      <c r="AE258" s="401">
        <f t="shared" si="25"/>
        <v>729.03</v>
      </c>
      <c r="AF258" s="1079">
        <v>29</v>
      </c>
      <c r="AG258" s="396"/>
      <c r="AI258" s="397"/>
      <c r="AR258" s="1039"/>
      <c r="AT258" s="1039"/>
      <c r="AU258" s="1039"/>
      <c r="AY258" s="1117"/>
      <c r="BE258" s="1119"/>
      <c r="BF258" s="1119"/>
      <c r="BG258" s="1119"/>
      <c r="BH258" s="1119"/>
      <c r="BI258" s="1119"/>
      <c r="BJ258" s="1117"/>
      <c r="BK258" s="1119"/>
      <c r="BL258" s="1117"/>
      <c r="BM258" s="1039"/>
    </row>
    <row r="259" spans="2:65" s="1" customFormat="1" ht="36" customHeight="1" x14ac:dyDescent="0.2">
      <c r="B259" s="118"/>
      <c r="C259" s="119" t="s">
        <v>441</v>
      </c>
      <c r="D259" s="119" t="s">
        <v>231</v>
      </c>
      <c r="E259" s="120" t="s">
        <v>1560</v>
      </c>
      <c r="F259" s="121" t="s">
        <v>1570</v>
      </c>
      <c r="G259" s="122" t="s">
        <v>1194</v>
      </c>
      <c r="H259" s="123">
        <v>4</v>
      </c>
      <c r="I259" s="124">
        <v>11.35</v>
      </c>
      <c r="J259" s="124">
        <f t="shared" si="33"/>
        <v>45.4</v>
      </c>
      <c r="K259" s="121" t="s">
        <v>1</v>
      </c>
      <c r="L259" s="24"/>
      <c r="M259" s="125" t="s">
        <v>1</v>
      </c>
      <c r="N259" s="126" t="s">
        <v>32</v>
      </c>
      <c r="O259" s="127">
        <v>0</v>
      </c>
      <c r="P259" s="127">
        <f t="shared" si="34"/>
        <v>0</v>
      </c>
      <c r="Q259" s="127">
        <v>0</v>
      </c>
      <c r="R259" s="127">
        <f t="shared" si="35"/>
        <v>0</v>
      </c>
      <c r="S259" s="127">
        <v>0</v>
      </c>
      <c r="T259" s="128">
        <f t="shared" si="36"/>
        <v>0</v>
      </c>
      <c r="W259" s="199"/>
      <c r="X259" s="119" t="s">
        <v>441</v>
      </c>
      <c r="Y259" s="119" t="s">
        <v>231</v>
      </c>
      <c r="Z259" s="120" t="s">
        <v>1560</v>
      </c>
      <c r="AA259" s="121" t="s">
        <v>1570</v>
      </c>
      <c r="AB259" s="122" t="s">
        <v>1194</v>
      </c>
      <c r="AC259" s="123">
        <v>4</v>
      </c>
      <c r="AD259" s="124">
        <v>11.35</v>
      </c>
      <c r="AE259" s="200">
        <f t="shared" si="25"/>
        <v>45.4</v>
      </c>
      <c r="AF259" s="227"/>
      <c r="AG259" s="396"/>
      <c r="AI259" s="397"/>
      <c r="AR259" s="129" t="s">
        <v>347</v>
      </c>
      <c r="AT259" s="129" t="s">
        <v>231</v>
      </c>
      <c r="AU259" s="129" t="s">
        <v>63</v>
      </c>
      <c r="AY259" s="13" t="s">
        <v>228</v>
      </c>
      <c r="BE259" s="130">
        <f t="shared" si="37"/>
        <v>0</v>
      </c>
      <c r="BF259" s="130">
        <f t="shared" si="38"/>
        <v>45.4</v>
      </c>
      <c r="BG259" s="130">
        <f t="shared" si="39"/>
        <v>0</v>
      </c>
      <c r="BH259" s="130">
        <f t="shared" si="40"/>
        <v>0</v>
      </c>
      <c r="BI259" s="130">
        <f t="shared" si="41"/>
        <v>0</v>
      </c>
      <c r="BJ259" s="13" t="s">
        <v>76</v>
      </c>
      <c r="BK259" s="130">
        <f t="shared" si="42"/>
        <v>45.4</v>
      </c>
      <c r="BL259" s="13" t="s">
        <v>347</v>
      </c>
      <c r="BM259" s="129" t="s">
        <v>656</v>
      </c>
    </row>
    <row r="260" spans="2:65" s="1" customFormat="1" ht="36" customHeight="1" x14ac:dyDescent="0.2">
      <c r="B260" s="118"/>
      <c r="C260" s="979" t="s">
        <v>657</v>
      </c>
      <c r="D260" s="131" t="s">
        <v>277</v>
      </c>
      <c r="E260" s="132" t="s">
        <v>1572</v>
      </c>
      <c r="F260" s="133" t="s">
        <v>3938</v>
      </c>
      <c r="G260" s="134" t="s">
        <v>1194</v>
      </c>
      <c r="H260" s="978">
        <v>4</v>
      </c>
      <c r="I260" s="136">
        <v>150.21</v>
      </c>
      <c r="J260" s="136">
        <f t="shared" si="33"/>
        <v>600.84</v>
      </c>
      <c r="K260" s="133" t="s">
        <v>1</v>
      </c>
      <c r="L260" s="137"/>
      <c r="M260" s="138" t="s">
        <v>1</v>
      </c>
      <c r="N260" s="139" t="s">
        <v>32</v>
      </c>
      <c r="O260" s="127">
        <v>0</v>
      </c>
      <c r="P260" s="127">
        <f t="shared" si="34"/>
        <v>0</v>
      </c>
      <c r="Q260" s="127">
        <v>5.2900000000000004E-3</v>
      </c>
      <c r="R260" s="127">
        <f t="shared" si="35"/>
        <v>2.1160000000000002E-2</v>
      </c>
      <c r="S260" s="127">
        <v>0</v>
      </c>
      <c r="T260" s="128">
        <f t="shared" si="36"/>
        <v>0</v>
      </c>
      <c r="W260" s="199"/>
      <c r="X260" s="979" t="s">
        <v>657</v>
      </c>
      <c r="Y260" s="131" t="s">
        <v>277</v>
      </c>
      <c r="Z260" s="132" t="s">
        <v>1572</v>
      </c>
      <c r="AA260" s="133" t="s">
        <v>3938</v>
      </c>
      <c r="AB260" s="134" t="s">
        <v>1194</v>
      </c>
      <c r="AC260" s="978">
        <f>4-4</f>
        <v>0</v>
      </c>
      <c r="AD260" s="136">
        <v>150.21</v>
      </c>
      <c r="AE260" s="229">
        <f t="shared" si="25"/>
        <v>0</v>
      </c>
      <c r="AF260" s="227">
        <v>29</v>
      </c>
      <c r="AG260" s="396"/>
      <c r="AI260" s="397"/>
      <c r="AR260" s="129" t="s">
        <v>705</v>
      </c>
      <c r="AT260" s="129" t="s">
        <v>277</v>
      </c>
      <c r="AU260" s="129" t="s">
        <v>63</v>
      </c>
      <c r="AY260" s="13" t="s">
        <v>228</v>
      </c>
      <c r="BE260" s="130">
        <f t="shared" si="37"/>
        <v>0</v>
      </c>
      <c r="BF260" s="130">
        <f t="shared" si="38"/>
        <v>600.84</v>
      </c>
      <c r="BG260" s="130">
        <f t="shared" si="39"/>
        <v>0</v>
      </c>
      <c r="BH260" s="130">
        <f t="shared" si="40"/>
        <v>0</v>
      </c>
      <c r="BI260" s="130">
        <f t="shared" si="41"/>
        <v>0</v>
      </c>
      <c r="BJ260" s="13" t="s">
        <v>76</v>
      </c>
      <c r="BK260" s="130">
        <f t="shared" si="42"/>
        <v>600.84</v>
      </c>
      <c r="BL260" s="13" t="s">
        <v>347</v>
      </c>
      <c r="BM260" s="129" t="s">
        <v>660</v>
      </c>
    </row>
    <row r="261" spans="2:65" s="1116" customFormat="1" ht="36" customHeight="1" x14ac:dyDescent="0.2">
      <c r="B261" s="1118"/>
      <c r="C261" s="1234" t="s">
        <v>5205</v>
      </c>
      <c r="D261" s="1235"/>
      <c r="E261" s="1235"/>
      <c r="F261" s="1235"/>
      <c r="G261" s="1235"/>
      <c r="H261" s="1235"/>
      <c r="I261" s="1235"/>
      <c r="J261" s="1236"/>
      <c r="K261" s="133"/>
      <c r="L261" s="137"/>
      <c r="M261" s="138"/>
      <c r="N261" s="139"/>
      <c r="O261" s="1037"/>
      <c r="P261" s="1037"/>
      <c r="Q261" s="1037"/>
      <c r="R261" s="1037"/>
      <c r="S261" s="1037"/>
      <c r="T261" s="1038"/>
      <c r="W261" s="1041"/>
      <c r="X261" s="386" t="s">
        <v>6773</v>
      </c>
      <c r="Y261" s="386" t="s">
        <v>277</v>
      </c>
      <c r="Z261" s="387" t="s">
        <v>6772</v>
      </c>
      <c r="AA261" s="388" t="s">
        <v>6757</v>
      </c>
      <c r="AB261" s="389" t="s">
        <v>1194</v>
      </c>
      <c r="AC261" s="390">
        <v>4</v>
      </c>
      <c r="AD261" s="391">
        <v>159.49</v>
      </c>
      <c r="AE261" s="401">
        <f t="shared" si="25"/>
        <v>637.96</v>
      </c>
      <c r="AF261" s="1079">
        <v>29</v>
      </c>
      <c r="AG261" s="396"/>
      <c r="AI261" s="397"/>
      <c r="AR261" s="1039"/>
      <c r="AT261" s="1039"/>
      <c r="AU261" s="1039"/>
      <c r="AY261" s="1117"/>
      <c r="BE261" s="1119"/>
      <c r="BF261" s="1119"/>
      <c r="BG261" s="1119"/>
      <c r="BH261" s="1119"/>
      <c r="BI261" s="1119"/>
      <c r="BJ261" s="1117"/>
      <c r="BK261" s="1119"/>
      <c r="BL261" s="1117"/>
      <c r="BM261" s="1039"/>
    </row>
    <row r="262" spans="2:65" s="1" customFormat="1" ht="25.95" customHeight="1" x14ac:dyDescent="0.2">
      <c r="B262" s="118"/>
      <c r="C262" s="979" t="s">
        <v>444</v>
      </c>
      <c r="D262" s="131" t="s">
        <v>277</v>
      </c>
      <c r="E262" s="132" t="s">
        <v>1575</v>
      </c>
      <c r="F262" s="133" t="s">
        <v>3939</v>
      </c>
      <c r="G262" s="134" t="s">
        <v>1194</v>
      </c>
      <c r="H262" s="978">
        <v>16</v>
      </c>
      <c r="I262" s="136">
        <v>2.3199999999999998</v>
      </c>
      <c r="J262" s="136">
        <f t="shared" si="33"/>
        <v>37.119999999999997</v>
      </c>
      <c r="K262" s="133" t="s">
        <v>1</v>
      </c>
      <c r="L262" s="137"/>
      <c r="M262" s="138" t="s">
        <v>1</v>
      </c>
      <c r="N262" s="139" t="s">
        <v>32</v>
      </c>
      <c r="O262" s="127">
        <v>0</v>
      </c>
      <c r="P262" s="127">
        <f t="shared" si="34"/>
        <v>0</v>
      </c>
      <c r="Q262" s="127">
        <v>1.7000000000000001E-4</v>
      </c>
      <c r="R262" s="127">
        <f t="shared" si="35"/>
        <v>2.7200000000000002E-3</v>
      </c>
      <c r="S262" s="127">
        <v>0</v>
      </c>
      <c r="T262" s="128">
        <f t="shared" si="36"/>
        <v>0</v>
      </c>
      <c r="W262" s="199"/>
      <c r="X262" s="979" t="s">
        <v>444</v>
      </c>
      <c r="Y262" s="131" t="s">
        <v>277</v>
      </c>
      <c r="Z262" s="132" t="s">
        <v>1575</v>
      </c>
      <c r="AA262" s="133" t="s">
        <v>3939</v>
      </c>
      <c r="AB262" s="134" t="s">
        <v>1194</v>
      </c>
      <c r="AC262" s="978">
        <f>16-16</f>
        <v>0</v>
      </c>
      <c r="AD262" s="136">
        <v>2.3199999999999998</v>
      </c>
      <c r="AE262" s="229">
        <f t="shared" si="25"/>
        <v>0</v>
      </c>
      <c r="AF262" s="227">
        <v>29</v>
      </c>
      <c r="AG262" s="396"/>
      <c r="AI262" s="397"/>
      <c r="AR262" s="129" t="s">
        <v>705</v>
      </c>
      <c r="AT262" s="129" t="s">
        <v>277</v>
      </c>
      <c r="AU262" s="129" t="s">
        <v>63</v>
      </c>
      <c r="AY262" s="13" t="s">
        <v>228</v>
      </c>
      <c r="BE262" s="130">
        <f t="shared" si="37"/>
        <v>0</v>
      </c>
      <c r="BF262" s="130">
        <f t="shared" si="38"/>
        <v>37.119999999999997</v>
      </c>
      <c r="BG262" s="130">
        <f t="shared" si="39"/>
        <v>0</v>
      </c>
      <c r="BH262" s="130">
        <f t="shared" si="40"/>
        <v>0</v>
      </c>
      <c r="BI262" s="130">
        <f t="shared" si="41"/>
        <v>0</v>
      </c>
      <c r="BJ262" s="13" t="s">
        <v>76</v>
      </c>
      <c r="BK262" s="130">
        <f t="shared" si="42"/>
        <v>37.119999999999997</v>
      </c>
      <c r="BL262" s="13" t="s">
        <v>347</v>
      </c>
      <c r="BM262" s="129" t="s">
        <v>663</v>
      </c>
    </row>
    <row r="263" spans="2:65" s="1" customFormat="1" ht="24" customHeight="1" x14ac:dyDescent="0.2">
      <c r="B263" s="118"/>
      <c r="C263" s="205" t="s">
        <v>664</v>
      </c>
      <c r="D263" s="119" t="s">
        <v>231</v>
      </c>
      <c r="E263" s="120" t="s">
        <v>3940</v>
      </c>
      <c r="F263" s="121" t="s">
        <v>1561</v>
      </c>
      <c r="G263" s="122" t="s">
        <v>1194</v>
      </c>
      <c r="H263" s="206">
        <v>5</v>
      </c>
      <c r="I263" s="124">
        <v>11.35</v>
      </c>
      <c r="J263" s="124">
        <f t="shared" si="33"/>
        <v>56.75</v>
      </c>
      <c r="K263" s="121" t="s">
        <v>1</v>
      </c>
      <c r="L263" s="24"/>
      <c r="M263" s="125" t="s">
        <v>1</v>
      </c>
      <c r="N263" s="126" t="s">
        <v>32</v>
      </c>
      <c r="O263" s="127">
        <v>0</v>
      </c>
      <c r="P263" s="127">
        <f t="shared" si="34"/>
        <v>0</v>
      </c>
      <c r="Q263" s="127">
        <v>0</v>
      </c>
      <c r="R263" s="127">
        <f t="shared" si="35"/>
        <v>0</v>
      </c>
      <c r="S263" s="127">
        <v>0</v>
      </c>
      <c r="T263" s="128">
        <f t="shared" si="36"/>
        <v>0</v>
      </c>
      <c r="W263" s="199"/>
      <c r="X263" s="205" t="s">
        <v>664</v>
      </c>
      <c r="Y263" s="119" t="s">
        <v>231</v>
      </c>
      <c r="Z263" s="120" t="s">
        <v>3940</v>
      </c>
      <c r="AA263" s="121" t="s">
        <v>1561</v>
      </c>
      <c r="AB263" s="122" t="s">
        <v>1194</v>
      </c>
      <c r="AC263" s="206">
        <f>5+13</f>
        <v>18</v>
      </c>
      <c r="AD263" s="124">
        <v>11.35</v>
      </c>
      <c r="AE263" s="200">
        <f t="shared" si="25"/>
        <v>204.3</v>
      </c>
      <c r="AF263" s="227">
        <v>2</v>
      </c>
      <c r="AG263" s="396"/>
      <c r="AI263" s="397"/>
      <c r="AR263" s="129" t="s">
        <v>347</v>
      </c>
      <c r="AT263" s="129" t="s">
        <v>231</v>
      </c>
      <c r="AU263" s="129" t="s">
        <v>63</v>
      </c>
      <c r="AY263" s="13" t="s">
        <v>228</v>
      </c>
      <c r="BE263" s="130">
        <f t="shared" si="37"/>
        <v>0</v>
      </c>
      <c r="BF263" s="130">
        <f t="shared" si="38"/>
        <v>56.75</v>
      </c>
      <c r="BG263" s="130">
        <f t="shared" si="39"/>
        <v>0</v>
      </c>
      <c r="BH263" s="130">
        <f t="shared" si="40"/>
        <v>0</v>
      </c>
      <c r="BI263" s="130">
        <f t="shared" si="41"/>
        <v>0</v>
      </c>
      <c r="BJ263" s="13" t="s">
        <v>76</v>
      </c>
      <c r="BK263" s="130">
        <f t="shared" si="42"/>
        <v>56.75</v>
      </c>
      <c r="BL263" s="13" t="s">
        <v>347</v>
      </c>
      <c r="BM263" s="129" t="s">
        <v>667</v>
      </c>
    </row>
    <row r="264" spans="2:65" s="1" customFormat="1" ht="36" customHeight="1" x14ac:dyDescent="0.2">
      <c r="B264" s="118"/>
      <c r="C264" s="242" t="s">
        <v>448</v>
      </c>
      <c r="D264" s="131" t="s">
        <v>277</v>
      </c>
      <c r="E264" s="132" t="s">
        <v>3941</v>
      </c>
      <c r="F264" s="133" t="s">
        <v>3942</v>
      </c>
      <c r="G264" s="134" t="s">
        <v>1194</v>
      </c>
      <c r="H264" s="241">
        <v>5</v>
      </c>
      <c r="I264" s="136">
        <v>90.4</v>
      </c>
      <c r="J264" s="136">
        <f t="shared" si="33"/>
        <v>452</v>
      </c>
      <c r="K264" s="133" t="s">
        <v>1</v>
      </c>
      <c r="L264" s="137"/>
      <c r="M264" s="138" t="s">
        <v>1</v>
      </c>
      <c r="N264" s="139" t="s">
        <v>32</v>
      </c>
      <c r="O264" s="127">
        <v>0</v>
      </c>
      <c r="P264" s="127">
        <f t="shared" si="34"/>
        <v>0</v>
      </c>
      <c r="Q264" s="127">
        <v>0</v>
      </c>
      <c r="R264" s="127">
        <f t="shared" si="35"/>
        <v>0</v>
      </c>
      <c r="S264" s="127">
        <v>0</v>
      </c>
      <c r="T264" s="128">
        <f t="shared" si="36"/>
        <v>0</v>
      </c>
      <c r="W264" s="199"/>
      <c r="X264" s="242" t="s">
        <v>448</v>
      </c>
      <c r="Y264" s="131" t="s">
        <v>277</v>
      </c>
      <c r="Z264" s="132" t="s">
        <v>3941</v>
      </c>
      <c r="AA264" s="133" t="s">
        <v>3942</v>
      </c>
      <c r="AB264" s="134" t="s">
        <v>1194</v>
      </c>
      <c r="AC264" s="241">
        <f>5+13-18</f>
        <v>0</v>
      </c>
      <c r="AD264" s="136">
        <v>90.4</v>
      </c>
      <c r="AE264" s="229">
        <f t="shared" si="25"/>
        <v>0</v>
      </c>
      <c r="AF264" s="227" t="s">
        <v>6751</v>
      </c>
      <c r="AG264" s="396"/>
      <c r="AI264" s="397"/>
      <c r="AR264" s="129" t="s">
        <v>705</v>
      </c>
      <c r="AT264" s="129" t="s">
        <v>277</v>
      </c>
      <c r="AU264" s="129" t="s">
        <v>63</v>
      </c>
      <c r="AY264" s="13" t="s">
        <v>228</v>
      </c>
      <c r="BE264" s="130">
        <f t="shared" si="37"/>
        <v>0</v>
      </c>
      <c r="BF264" s="130">
        <f t="shared" si="38"/>
        <v>452</v>
      </c>
      <c r="BG264" s="130">
        <f t="shared" si="39"/>
        <v>0</v>
      </c>
      <c r="BH264" s="130">
        <f t="shared" si="40"/>
        <v>0</v>
      </c>
      <c r="BI264" s="130">
        <f t="shared" si="41"/>
        <v>0</v>
      </c>
      <c r="BJ264" s="13" t="s">
        <v>76</v>
      </c>
      <c r="BK264" s="130">
        <f t="shared" si="42"/>
        <v>452</v>
      </c>
      <c r="BL264" s="13" t="s">
        <v>347</v>
      </c>
      <c r="BM264" s="129" t="s">
        <v>670</v>
      </c>
    </row>
    <row r="265" spans="2:65" s="1" customFormat="1" ht="25.2" customHeight="1" x14ac:dyDescent="0.2">
      <c r="B265" s="118"/>
      <c r="C265" s="242" t="s">
        <v>671</v>
      </c>
      <c r="D265" s="131" t="s">
        <v>277</v>
      </c>
      <c r="E265" s="132" t="s">
        <v>1575</v>
      </c>
      <c r="F265" s="133" t="s">
        <v>3939</v>
      </c>
      <c r="G265" s="134" t="s">
        <v>1194</v>
      </c>
      <c r="H265" s="241">
        <v>20</v>
      </c>
      <c r="I265" s="136">
        <v>2.3199999999999998</v>
      </c>
      <c r="J265" s="136">
        <f t="shared" si="33"/>
        <v>46.4</v>
      </c>
      <c r="K265" s="133" t="s">
        <v>1</v>
      </c>
      <c r="L265" s="137"/>
      <c r="M265" s="138" t="s">
        <v>1</v>
      </c>
      <c r="N265" s="139" t="s">
        <v>32</v>
      </c>
      <c r="O265" s="127">
        <v>0</v>
      </c>
      <c r="P265" s="127">
        <f t="shared" si="34"/>
        <v>0</v>
      </c>
      <c r="Q265" s="127">
        <v>1.7000000000000001E-4</v>
      </c>
      <c r="R265" s="127">
        <f t="shared" si="35"/>
        <v>3.4000000000000002E-3</v>
      </c>
      <c r="S265" s="127">
        <v>0</v>
      </c>
      <c r="T265" s="128">
        <f t="shared" si="36"/>
        <v>0</v>
      </c>
      <c r="W265" s="199"/>
      <c r="X265" s="242" t="s">
        <v>671</v>
      </c>
      <c r="Y265" s="131" t="s">
        <v>277</v>
      </c>
      <c r="Z265" s="132" t="s">
        <v>1575</v>
      </c>
      <c r="AA265" s="133" t="s">
        <v>3939</v>
      </c>
      <c r="AB265" s="134" t="s">
        <v>1194</v>
      </c>
      <c r="AC265" s="978">
        <f>72-72</f>
        <v>0</v>
      </c>
      <c r="AD265" s="136">
        <v>2.3199999999999998</v>
      </c>
      <c r="AE265" s="229">
        <f t="shared" si="25"/>
        <v>0</v>
      </c>
      <c r="AF265" s="227" t="s">
        <v>6751</v>
      </c>
      <c r="AG265" s="396"/>
      <c r="AI265" s="397"/>
      <c r="AR265" s="129" t="s">
        <v>705</v>
      </c>
      <c r="AT265" s="129" t="s">
        <v>277</v>
      </c>
      <c r="AU265" s="129" t="s">
        <v>63</v>
      </c>
      <c r="AY265" s="13" t="s">
        <v>228</v>
      </c>
      <c r="BE265" s="130">
        <f t="shared" si="37"/>
        <v>0</v>
      </c>
      <c r="BF265" s="130">
        <f t="shared" si="38"/>
        <v>46.4</v>
      </c>
      <c r="BG265" s="130">
        <f t="shared" si="39"/>
        <v>0</v>
      </c>
      <c r="BH265" s="130">
        <f t="shared" si="40"/>
        <v>0</v>
      </c>
      <c r="BI265" s="130">
        <f t="shared" si="41"/>
        <v>0</v>
      </c>
      <c r="BJ265" s="13" t="s">
        <v>76</v>
      </c>
      <c r="BK265" s="130">
        <f t="shared" si="42"/>
        <v>46.4</v>
      </c>
      <c r="BL265" s="13" t="s">
        <v>347</v>
      </c>
      <c r="BM265" s="129" t="s">
        <v>674</v>
      </c>
    </row>
    <row r="266" spans="2:65" s="1116" customFormat="1" ht="36" customHeight="1" x14ac:dyDescent="0.2">
      <c r="B266" s="1118"/>
      <c r="C266" s="1234" t="s">
        <v>5205</v>
      </c>
      <c r="D266" s="1235"/>
      <c r="E266" s="1235"/>
      <c r="F266" s="1235"/>
      <c r="G266" s="1235"/>
      <c r="H266" s="1235"/>
      <c r="I266" s="1235"/>
      <c r="J266" s="1236"/>
      <c r="K266" s="133"/>
      <c r="L266" s="137"/>
      <c r="M266" s="138"/>
      <c r="N266" s="139"/>
      <c r="O266" s="1037"/>
      <c r="P266" s="1037"/>
      <c r="Q266" s="1037"/>
      <c r="R266" s="1037"/>
      <c r="S266" s="1037"/>
      <c r="T266" s="1038"/>
      <c r="W266" s="1041"/>
      <c r="X266" s="386" t="s">
        <v>6775</v>
      </c>
      <c r="Y266" s="386" t="s">
        <v>277</v>
      </c>
      <c r="Z266" s="387" t="s">
        <v>6774</v>
      </c>
      <c r="AA266" s="388" t="s">
        <v>6755</v>
      </c>
      <c r="AB266" s="389" t="s">
        <v>1194</v>
      </c>
      <c r="AC266" s="390">
        <v>18</v>
      </c>
      <c r="AD266" s="391">
        <v>99.68</v>
      </c>
      <c r="AE266" s="401">
        <f t="shared" si="25"/>
        <v>1794.24</v>
      </c>
      <c r="AF266" s="1079">
        <v>29</v>
      </c>
      <c r="AG266" s="396"/>
      <c r="AI266" s="397"/>
      <c r="AR266" s="1039"/>
      <c r="AT266" s="1039"/>
      <c r="AU266" s="1039"/>
      <c r="AY266" s="1117"/>
      <c r="BE266" s="1119"/>
      <c r="BF266" s="1119"/>
      <c r="BG266" s="1119"/>
      <c r="BH266" s="1119"/>
      <c r="BI266" s="1119"/>
      <c r="BJ266" s="1117"/>
      <c r="BK266" s="1119"/>
      <c r="BL266" s="1117"/>
      <c r="BM266" s="1039"/>
    </row>
    <row r="267" spans="2:65" s="1" customFormat="1" ht="24" customHeight="1" x14ac:dyDescent="0.2">
      <c r="B267" s="118"/>
      <c r="C267" s="119" t="s">
        <v>451</v>
      </c>
      <c r="D267" s="119" t="s">
        <v>231</v>
      </c>
      <c r="E267" s="120" t="s">
        <v>3943</v>
      </c>
      <c r="F267" s="121" t="s">
        <v>3944</v>
      </c>
      <c r="G267" s="122" t="s">
        <v>1194</v>
      </c>
      <c r="H267" s="123">
        <v>18</v>
      </c>
      <c r="I267" s="124">
        <v>11.35</v>
      </c>
      <c r="J267" s="124">
        <f t="shared" si="33"/>
        <v>204.3</v>
      </c>
      <c r="K267" s="121" t="s">
        <v>1</v>
      </c>
      <c r="L267" s="24"/>
      <c r="M267" s="125" t="s">
        <v>1</v>
      </c>
      <c r="N267" s="126" t="s">
        <v>32</v>
      </c>
      <c r="O267" s="127">
        <v>0</v>
      </c>
      <c r="P267" s="127">
        <f t="shared" si="34"/>
        <v>0</v>
      </c>
      <c r="Q267" s="127">
        <v>0</v>
      </c>
      <c r="R267" s="127">
        <f t="shared" si="35"/>
        <v>0</v>
      </c>
      <c r="S267" s="127">
        <v>0</v>
      </c>
      <c r="T267" s="128">
        <f t="shared" si="36"/>
        <v>0</v>
      </c>
      <c r="W267" s="199"/>
      <c r="X267" s="119" t="s">
        <v>451</v>
      </c>
      <c r="Y267" s="119" t="s">
        <v>231</v>
      </c>
      <c r="Z267" s="120" t="s">
        <v>3943</v>
      </c>
      <c r="AA267" s="121" t="s">
        <v>3944</v>
      </c>
      <c r="AB267" s="122" t="s">
        <v>1194</v>
      </c>
      <c r="AC267" s="123">
        <v>18</v>
      </c>
      <c r="AD267" s="124">
        <v>11.35</v>
      </c>
      <c r="AE267" s="200">
        <f t="shared" si="25"/>
        <v>204.3</v>
      </c>
      <c r="AF267" s="227"/>
      <c r="AG267" s="396"/>
      <c r="AI267" s="397"/>
      <c r="AR267" s="129" t="s">
        <v>347</v>
      </c>
      <c r="AT267" s="129" t="s">
        <v>231</v>
      </c>
      <c r="AU267" s="129" t="s">
        <v>63</v>
      </c>
      <c r="AY267" s="13" t="s">
        <v>228</v>
      </c>
      <c r="BE267" s="130">
        <f t="shared" si="37"/>
        <v>0</v>
      </c>
      <c r="BF267" s="130">
        <f t="shared" si="38"/>
        <v>204.3</v>
      </c>
      <c r="BG267" s="130">
        <f t="shared" si="39"/>
        <v>0</v>
      </c>
      <c r="BH267" s="130">
        <f t="shared" si="40"/>
        <v>0</v>
      </c>
      <c r="BI267" s="130">
        <f t="shared" si="41"/>
        <v>0</v>
      </c>
      <c r="BJ267" s="13" t="s">
        <v>76</v>
      </c>
      <c r="BK267" s="130">
        <f t="shared" si="42"/>
        <v>204.3</v>
      </c>
      <c r="BL267" s="13" t="s">
        <v>347</v>
      </c>
      <c r="BM267" s="129" t="s">
        <v>677</v>
      </c>
    </row>
    <row r="268" spans="2:65" s="1" customFormat="1" ht="24" customHeight="1" x14ac:dyDescent="0.2">
      <c r="B268" s="118"/>
      <c r="C268" s="979" t="s">
        <v>678</v>
      </c>
      <c r="D268" s="131" t="s">
        <v>277</v>
      </c>
      <c r="E268" s="132" t="s">
        <v>3945</v>
      </c>
      <c r="F268" s="133" t="s">
        <v>3946</v>
      </c>
      <c r="G268" s="134" t="s">
        <v>1194</v>
      </c>
      <c r="H268" s="978">
        <v>18</v>
      </c>
      <c r="I268" s="136">
        <v>58.73</v>
      </c>
      <c r="J268" s="136">
        <f t="shared" si="33"/>
        <v>1057.1400000000001</v>
      </c>
      <c r="K268" s="133" t="s">
        <v>1</v>
      </c>
      <c r="L268" s="137"/>
      <c r="M268" s="138" t="s">
        <v>1</v>
      </c>
      <c r="N268" s="139" t="s">
        <v>32</v>
      </c>
      <c r="O268" s="127">
        <v>0</v>
      </c>
      <c r="P268" s="127">
        <f t="shared" si="34"/>
        <v>0</v>
      </c>
      <c r="Q268" s="127">
        <v>0</v>
      </c>
      <c r="R268" s="127">
        <f t="shared" si="35"/>
        <v>0</v>
      </c>
      <c r="S268" s="127">
        <v>0</v>
      </c>
      <c r="T268" s="128">
        <f t="shared" si="36"/>
        <v>0</v>
      </c>
      <c r="W268" s="199"/>
      <c r="X268" s="979" t="s">
        <v>678</v>
      </c>
      <c r="Y268" s="131" t="s">
        <v>277</v>
      </c>
      <c r="Z268" s="132" t="s">
        <v>3945</v>
      </c>
      <c r="AA268" s="133" t="s">
        <v>3946</v>
      </c>
      <c r="AB268" s="134" t="s">
        <v>1194</v>
      </c>
      <c r="AC268" s="978">
        <f>18-18</f>
        <v>0</v>
      </c>
      <c r="AD268" s="136">
        <v>58.73</v>
      </c>
      <c r="AE268" s="229">
        <f t="shared" si="25"/>
        <v>0</v>
      </c>
      <c r="AF268" s="227">
        <v>29</v>
      </c>
      <c r="AG268" s="396"/>
      <c r="AI268" s="397"/>
      <c r="AR268" s="129" t="s">
        <v>705</v>
      </c>
      <c r="AT268" s="129" t="s">
        <v>277</v>
      </c>
      <c r="AU268" s="129" t="s">
        <v>63</v>
      </c>
      <c r="AY268" s="13" t="s">
        <v>228</v>
      </c>
      <c r="BE268" s="130">
        <f t="shared" si="37"/>
        <v>0</v>
      </c>
      <c r="BF268" s="130">
        <f t="shared" si="38"/>
        <v>1057.1400000000001</v>
      </c>
      <c r="BG268" s="130">
        <f t="shared" si="39"/>
        <v>0</v>
      </c>
      <c r="BH268" s="130">
        <f t="shared" si="40"/>
        <v>0</v>
      </c>
      <c r="BI268" s="130">
        <f t="shared" si="41"/>
        <v>0</v>
      </c>
      <c r="BJ268" s="13" t="s">
        <v>76</v>
      </c>
      <c r="BK268" s="130">
        <f t="shared" si="42"/>
        <v>1057.1400000000001</v>
      </c>
      <c r="BL268" s="13" t="s">
        <v>347</v>
      </c>
      <c r="BM268" s="129" t="s">
        <v>681</v>
      </c>
    </row>
    <row r="269" spans="2:65" s="1" customFormat="1" ht="28.2" customHeight="1" x14ac:dyDescent="0.2">
      <c r="B269" s="118"/>
      <c r="C269" s="979" t="s">
        <v>455</v>
      </c>
      <c r="D269" s="131" t="s">
        <v>277</v>
      </c>
      <c r="E269" s="132" t="s">
        <v>3947</v>
      </c>
      <c r="F269" s="133" t="s">
        <v>3948</v>
      </c>
      <c r="G269" s="134" t="s">
        <v>1194</v>
      </c>
      <c r="H269" s="978">
        <v>36</v>
      </c>
      <c r="I269" s="136">
        <v>2.3199999999999998</v>
      </c>
      <c r="J269" s="136">
        <f t="shared" si="33"/>
        <v>83.52</v>
      </c>
      <c r="K269" s="133" t="s">
        <v>1</v>
      </c>
      <c r="L269" s="137"/>
      <c r="M269" s="138" t="s">
        <v>1</v>
      </c>
      <c r="N269" s="139" t="s">
        <v>32</v>
      </c>
      <c r="O269" s="127">
        <v>0</v>
      </c>
      <c r="P269" s="127">
        <f t="shared" si="34"/>
        <v>0</v>
      </c>
      <c r="Q269" s="127">
        <v>0</v>
      </c>
      <c r="R269" s="127">
        <f t="shared" si="35"/>
        <v>0</v>
      </c>
      <c r="S269" s="127">
        <v>0</v>
      </c>
      <c r="T269" s="128">
        <f t="shared" si="36"/>
        <v>0</v>
      </c>
      <c r="W269" s="199"/>
      <c r="X269" s="979" t="s">
        <v>455</v>
      </c>
      <c r="Y269" s="131" t="s">
        <v>277</v>
      </c>
      <c r="Z269" s="132" t="s">
        <v>3947</v>
      </c>
      <c r="AA269" s="133" t="s">
        <v>3948</v>
      </c>
      <c r="AB269" s="134" t="s">
        <v>1194</v>
      </c>
      <c r="AC269" s="978">
        <f>36-36</f>
        <v>0</v>
      </c>
      <c r="AD269" s="136">
        <v>2.3199999999999998</v>
      </c>
      <c r="AE269" s="229">
        <f t="shared" si="25"/>
        <v>0</v>
      </c>
      <c r="AF269" s="227">
        <v>29</v>
      </c>
      <c r="AG269" s="396"/>
      <c r="AI269" s="397"/>
      <c r="AR269" s="129" t="s">
        <v>705</v>
      </c>
      <c r="AT269" s="129" t="s">
        <v>277</v>
      </c>
      <c r="AU269" s="129" t="s">
        <v>63</v>
      </c>
      <c r="AY269" s="13" t="s">
        <v>228</v>
      </c>
      <c r="BE269" s="130">
        <f t="shared" si="37"/>
        <v>0</v>
      </c>
      <c r="BF269" s="130">
        <f t="shared" si="38"/>
        <v>83.52</v>
      </c>
      <c r="BG269" s="130">
        <f t="shared" si="39"/>
        <v>0</v>
      </c>
      <c r="BH269" s="130">
        <f t="shared" si="40"/>
        <v>0</v>
      </c>
      <c r="BI269" s="130">
        <f t="shared" si="41"/>
        <v>0</v>
      </c>
      <c r="BJ269" s="13" t="s">
        <v>76</v>
      </c>
      <c r="BK269" s="130">
        <f t="shared" si="42"/>
        <v>83.52</v>
      </c>
      <c r="BL269" s="13" t="s">
        <v>347</v>
      </c>
      <c r="BM269" s="129" t="s">
        <v>684</v>
      </c>
    </row>
    <row r="270" spans="2:65" s="1116" customFormat="1" ht="36" customHeight="1" x14ac:dyDescent="0.2">
      <c r="B270" s="1118"/>
      <c r="C270" s="1234" t="s">
        <v>5205</v>
      </c>
      <c r="D270" s="1235"/>
      <c r="E270" s="1235"/>
      <c r="F270" s="1235"/>
      <c r="G270" s="1235"/>
      <c r="H270" s="1235"/>
      <c r="I270" s="1235"/>
      <c r="J270" s="1236"/>
      <c r="K270" s="133"/>
      <c r="L270" s="137"/>
      <c r="M270" s="138"/>
      <c r="N270" s="139"/>
      <c r="O270" s="1037"/>
      <c r="P270" s="1037"/>
      <c r="Q270" s="1037"/>
      <c r="R270" s="1037"/>
      <c r="S270" s="1037"/>
      <c r="T270" s="1038"/>
      <c r="W270" s="1041"/>
      <c r="X270" s="386" t="s">
        <v>5288</v>
      </c>
      <c r="Y270" s="386" t="s">
        <v>277</v>
      </c>
      <c r="Z270" s="387" t="s">
        <v>6776</v>
      </c>
      <c r="AA270" s="388" t="s">
        <v>6777</v>
      </c>
      <c r="AB270" s="389" t="s">
        <v>1194</v>
      </c>
      <c r="AC270" s="390">
        <v>18</v>
      </c>
      <c r="AD270" s="391">
        <v>63.37</v>
      </c>
      <c r="AE270" s="401">
        <f t="shared" si="25"/>
        <v>1140.6600000000001</v>
      </c>
      <c r="AF270" s="1079">
        <v>29</v>
      </c>
      <c r="AG270" s="396"/>
      <c r="AI270" s="397"/>
      <c r="AR270" s="1039"/>
      <c r="AT270" s="1039"/>
      <c r="AU270" s="1039"/>
      <c r="AY270" s="1117"/>
      <c r="BE270" s="1119"/>
      <c r="BF270" s="1119"/>
      <c r="BG270" s="1119"/>
      <c r="BH270" s="1119"/>
      <c r="BI270" s="1119"/>
      <c r="BJ270" s="1117"/>
      <c r="BK270" s="1119"/>
      <c r="BL270" s="1117"/>
      <c r="BM270" s="1039"/>
    </row>
    <row r="271" spans="2:65" s="1" customFormat="1" ht="24" customHeight="1" x14ac:dyDescent="0.2">
      <c r="B271" s="118"/>
      <c r="C271" s="119" t="s">
        <v>685</v>
      </c>
      <c r="D271" s="119" t="s">
        <v>231</v>
      </c>
      <c r="E271" s="120" t="s">
        <v>1590</v>
      </c>
      <c r="F271" s="121" t="s">
        <v>1591</v>
      </c>
      <c r="G271" s="122" t="s">
        <v>1194</v>
      </c>
      <c r="H271" s="123">
        <v>2</v>
      </c>
      <c r="I271" s="124">
        <v>10.02</v>
      </c>
      <c r="J271" s="124">
        <f t="shared" si="33"/>
        <v>20.04</v>
      </c>
      <c r="K271" s="121" t="s">
        <v>1</v>
      </c>
      <c r="L271" s="24"/>
      <c r="M271" s="125" t="s">
        <v>1</v>
      </c>
      <c r="N271" s="126" t="s">
        <v>32</v>
      </c>
      <c r="O271" s="127">
        <v>0</v>
      </c>
      <c r="P271" s="127">
        <f t="shared" si="34"/>
        <v>0</v>
      </c>
      <c r="Q271" s="127">
        <v>0</v>
      </c>
      <c r="R271" s="127">
        <f t="shared" si="35"/>
        <v>0</v>
      </c>
      <c r="S271" s="127">
        <v>0</v>
      </c>
      <c r="T271" s="128">
        <f t="shared" si="36"/>
        <v>0</v>
      </c>
      <c r="W271" s="199"/>
      <c r="X271" s="119" t="s">
        <v>685</v>
      </c>
      <c r="Y271" s="119" t="s">
        <v>231</v>
      </c>
      <c r="Z271" s="120" t="s">
        <v>1590</v>
      </c>
      <c r="AA271" s="121" t="s">
        <v>1591</v>
      </c>
      <c r="AB271" s="122" t="s">
        <v>1194</v>
      </c>
      <c r="AC271" s="123">
        <v>2</v>
      </c>
      <c r="AD271" s="124">
        <v>10.02</v>
      </c>
      <c r="AE271" s="200">
        <f t="shared" si="25"/>
        <v>20.04</v>
      </c>
      <c r="AF271" s="227"/>
      <c r="AG271" s="396"/>
      <c r="AI271" s="397"/>
      <c r="AR271" s="129" t="s">
        <v>347</v>
      </c>
      <c r="AT271" s="129" t="s">
        <v>231</v>
      </c>
      <c r="AU271" s="129" t="s">
        <v>63</v>
      </c>
      <c r="AY271" s="13" t="s">
        <v>228</v>
      </c>
      <c r="BE271" s="130">
        <f t="shared" si="37"/>
        <v>0</v>
      </c>
      <c r="BF271" s="130">
        <f t="shared" si="38"/>
        <v>20.04</v>
      </c>
      <c r="BG271" s="130">
        <f t="shared" si="39"/>
        <v>0</v>
      </c>
      <c r="BH271" s="130">
        <f t="shared" si="40"/>
        <v>0</v>
      </c>
      <c r="BI271" s="130">
        <f t="shared" si="41"/>
        <v>0</v>
      </c>
      <c r="BJ271" s="13" t="s">
        <v>76</v>
      </c>
      <c r="BK271" s="130">
        <f t="shared" si="42"/>
        <v>20.04</v>
      </c>
      <c r="BL271" s="13" t="s">
        <v>347</v>
      </c>
      <c r="BM271" s="129" t="s">
        <v>688</v>
      </c>
    </row>
    <row r="272" spans="2:65" s="1" customFormat="1" ht="24" customHeight="1" x14ac:dyDescent="0.2">
      <c r="B272" s="118"/>
      <c r="C272" s="131" t="s">
        <v>458</v>
      </c>
      <c r="D272" s="131" t="s">
        <v>277</v>
      </c>
      <c r="E272" s="132" t="s">
        <v>1593</v>
      </c>
      <c r="F272" s="133" t="s">
        <v>3949</v>
      </c>
      <c r="G272" s="134" t="s">
        <v>1194</v>
      </c>
      <c r="H272" s="135">
        <v>2</v>
      </c>
      <c r="I272" s="136">
        <v>25.9</v>
      </c>
      <c r="J272" s="136">
        <f t="shared" si="33"/>
        <v>51.8</v>
      </c>
      <c r="K272" s="133" t="s">
        <v>1</v>
      </c>
      <c r="L272" s="137"/>
      <c r="M272" s="138" t="s">
        <v>1</v>
      </c>
      <c r="N272" s="139" t="s">
        <v>32</v>
      </c>
      <c r="O272" s="127">
        <v>0</v>
      </c>
      <c r="P272" s="127">
        <f t="shared" si="34"/>
        <v>0</v>
      </c>
      <c r="Q272" s="127">
        <v>1.92E-3</v>
      </c>
      <c r="R272" s="127">
        <f t="shared" si="35"/>
        <v>3.8400000000000001E-3</v>
      </c>
      <c r="S272" s="127">
        <v>0</v>
      </c>
      <c r="T272" s="128">
        <f t="shared" si="36"/>
        <v>0</v>
      </c>
      <c r="W272" s="199"/>
      <c r="X272" s="131" t="s">
        <v>458</v>
      </c>
      <c r="Y272" s="131" t="s">
        <v>277</v>
      </c>
      <c r="Z272" s="132" t="s">
        <v>1593</v>
      </c>
      <c r="AA272" s="133" t="s">
        <v>3949</v>
      </c>
      <c r="AB272" s="134" t="s">
        <v>1194</v>
      </c>
      <c r="AC272" s="135">
        <v>2</v>
      </c>
      <c r="AD272" s="136">
        <v>25.9</v>
      </c>
      <c r="AE272" s="229">
        <f t="shared" si="25"/>
        <v>51.8</v>
      </c>
      <c r="AF272" s="227"/>
      <c r="AG272" s="396"/>
      <c r="AI272" s="397"/>
      <c r="AR272" s="129" t="s">
        <v>705</v>
      </c>
      <c r="AT272" s="129" t="s">
        <v>277</v>
      </c>
      <c r="AU272" s="129" t="s">
        <v>63</v>
      </c>
      <c r="AY272" s="13" t="s">
        <v>228</v>
      </c>
      <c r="BE272" s="130">
        <f t="shared" si="37"/>
        <v>0</v>
      </c>
      <c r="BF272" s="130">
        <f t="shared" si="38"/>
        <v>51.8</v>
      </c>
      <c r="BG272" s="130">
        <f t="shared" si="39"/>
        <v>0</v>
      </c>
      <c r="BH272" s="130">
        <f t="shared" si="40"/>
        <v>0</v>
      </c>
      <c r="BI272" s="130">
        <f t="shared" si="41"/>
        <v>0</v>
      </c>
      <c r="BJ272" s="13" t="s">
        <v>76</v>
      </c>
      <c r="BK272" s="130">
        <f t="shared" si="42"/>
        <v>51.8</v>
      </c>
      <c r="BL272" s="13" t="s">
        <v>347</v>
      </c>
      <c r="BM272" s="129" t="s">
        <v>691</v>
      </c>
    </row>
    <row r="273" spans="2:65" s="1" customFormat="1" ht="16.5" customHeight="1" x14ac:dyDescent="0.2">
      <c r="B273" s="118"/>
      <c r="C273" s="205" t="s">
        <v>692</v>
      </c>
      <c r="D273" s="119" t="s">
        <v>231</v>
      </c>
      <c r="E273" s="120" t="s">
        <v>1679</v>
      </c>
      <c r="F273" s="121" t="s">
        <v>3950</v>
      </c>
      <c r="G273" s="122" t="s">
        <v>1194</v>
      </c>
      <c r="H273" s="206">
        <v>2</v>
      </c>
      <c r="I273" s="124">
        <v>200.27</v>
      </c>
      <c r="J273" s="124">
        <f t="shared" si="33"/>
        <v>400.54</v>
      </c>
      <c r="K273" s="121" t="s">
        <v>1</v>
      </c>
      <c r="L273" s="24"/>
      <c r="M273" s="125" t="s">
        <v>1</v>
      </c>
      <c r="N273" s="126" t="s">
        <v>32</v>
      </c>
      <c r="O273" s="127">
        <v>0</v>
      </c>
      <c r="P273" s="127">
        <f t="shared" si="34"/>
        <v>0</v>
      </c>
      <c r="Q273" s="127">
        <v>0</v>
      </c>
      <c r="R273" s="127">
        <f t="shared" si="35"/>
        <v>0</v>
      </c>
      <c r="S273" s="127">
        <v>0</v>
      </c>
      <c r="T273" s="128">
        <f t="shared" si="36"/>
        <v>0</v>
      </c>
      <c r="W273" s="199"/>
      <c r="X273" s="205" t="s">
        <v>692</v>
      </c>
      <c r="Y273" s="119" t="s">
        <v>231</v>
      </c>
      <c r="Z273" s="120" t="s">
        <v>1679</v>
      </c>
      <c r="AA273" s="121" t="s">
        <v>3950</v>
      </c>
      <c r="AB273" s="122" t="s">
        <v>1194</v>
      </c>
      <c r="AC273" s="206">
        <f>2+3</f>
        <v>5</v>
      </c>
      <c r="AD273" s="124">
        <v>200.27</v>
      </c>
      <c r="AE273" s="200">
        <f t="shared" si="25"/>
        <v>1001.35</v>
      </c>
      <c r="AF273" s="227">
        <v>2</v>
      </c>
      <c r="AG273" s="396"/>
      <c r="AI273" s="397"/>
      <c r="AR273" s="129" t="s">
        <v>347</v>
      </c>
      <c r="AT273" s="129" t="s">
        <v>231</v>
      </c>
      <c r="AU273" s="129" t="s">
        <v>63</v>
      </c>
      <c r="AY273" s="13" t="s">
        <v>228</v>
      </c>
      <c r="BE273" s="130">
        <f t="shared" si="37"/>
        <v>0</v>
      </c>
      <c r="BF273" s="130">
        <f t="shared" si="38"/>
        <v>400.54</v>
      </c>
      <c r="BG273" s="130">
        <f t="shared" si="39"/>
        <v>0</v>
      </c>
      <c r="BH273" s="130">
        <f t="shared" si="40"/>
        <v>0</v>
      </c>
      <c r="BI273" s="130">
        <f t="shared" si="41"/>
        <v>0</v>
      </c>
      <c r="BJ273" s="13" t="s">
        <v>76</v>
      </c>
      <c r="BK273" s="130">
        <f t="shared" si="42"/>
        <v>400.54</v>
      </c>
      <c r="BL273" s="13" t="s">
        <v>347</v>
      </c>
      <c r="BM273" s="129" t="s">
        <v>695</v>
      </c>
    </row>
    <row r="274" spans="2:65" s="1" customFormat="1" ht="16.5" customHeight="1" x14ac:dyDescent="0.2">
      <c r="B274" s="118"/>
      <c r="C274" s="242" t="s">
        <v>462</v>
      </c>
      <c r="D274" s="131" t="s">
        <v>277</v>
      </c>
      <c r="E274" s="132" t="s">
        <v>1679</v>
      </c>
      <c r="F274" s="133" t="s">
        <v>3951</v>
      </c>
      <c r="G274" s="134" t="s">
        <v>1194</v>
      </c>
      <c r="H274" s="241">
        <v>2</v>
      </c>
      <c r="I274" s="136">
        <v>1602.18</v>
      </c>
      <c r="J274" s="136">
        <f t="shared" si="33"/>
        <v>3204.36</v>
      </c>
      <c r="K274" s="133" t="s">
        <v>1</v>
      </c>
      <c r="L274" s="137"/>
      <c r="M274" s="138" t="s">
        <v>1</v>
      </c>
      <c r="N274" s="139" t="s">
        <v>32</v>
      </c>
      <c r="O274" s="127">
        <v>0</v>
      </c>
      <c r="P274" s="127">
        <f t="shared" si="34"/>
        <v>0</v>
      </c>
      <c r="Q274" s="127">
        <v>0</v>
      </c>
      <c r="R274" s="127">
        <f t="shared" si="35"/>
        <v>0</v>
      </c>
      <c r="S274" s="127">
        <v>0</v>
      </c>
      <c r="T274" s="128">
        <f t="shared" si="36"/>
        <v>0</v>
      </c>
      <c r="W274" s="199"/>
      <c r="X274" s="242" t="s">
        <v>462</v>
      </c>
      <c r="Y274" s="131" t="s">
        <v>277</v>
      </c>
      <c r="Z274" s="132" t="s">
        <v>1679</v>
      </c>
      <c r="AA274" s="133" t="s">
        <v>3951</v>
      </c>
      <c r="AB274" s="134" t="s">
        <v>1194</v>
      </c>
      <c r="AC274" s="241">
        <f>2+3</f>
        <v>5</v>
      </c>
      <c r="AD274" s="136">
        <v>1602.18</v>
      </c>
      <c r="AE274" s="229">
        <f t="shared" si="25"/>
        <v>8010.9</v>
      </c>
      <c r="AF274" s="227">
        <v>2</v>
      </c>
      <c r="AG274" s="396"/>
      <c r="AI274" s="397"/>
      <c r="AR274" s="129" t="s">
        <v>705</v>
      </c>
      <c r="AT274" s="129" t="s">
        <v>277</v>
      </c>
      <c r="AU274" s="129" t="s">
        <v>63</v>
      </c>
      <c r="AY274" s="13" t="s">
        <v>228</v>
      </c>
      <c r="BE274" s="130">
        <f t="shared" si="37"/>
        <v>0</v>
      </c>
      <c r="BF274" s="130">
        <f t="shared" si="38"/>
        <v>3204.36</v>
      </c>
      <c r="BG274" s="130">
        <f t="shared" si="39"/>
        <v>0</v>
      </c>
      <c r="BH274" s="130">
        <f t="shared" si="40"/>
        <v>0</v>
      </c>
      <c r="BI274" s="130">
        <f t="shared" si="41"/>
        <v>0</v>
      </c>
      <c r="BJ274" s="13" t="s">
        <v>76</v>
      </c>
      <c r="BK274" s="130">
        <f t="shared" si="42"/>
        <v>3204.36</v>
      </c>
      <c r="BL274" s="13" t="s">
        <v>347</v>
      </c>
      <c r="BM274" s="129" t="s">
        <v>698</v>
      </c>
    </row>
    <row r="275" spans="2:65" s="1" customFormat="1" ht="16.5" customHeight="1" x14ac:dyDescent="0.2">
      <c r="B275" s="118"/>
      <c r="C275" s="285" t="s">
        <v>699</v>
      </c>
      <c r="D275" s="285" t="s">
        <v>231</v>
      </c>
      <c r="E275" s="286" t="s">
        <v>1684</v>
      </c>
      <c r="F275" s="240" t="s">
        <v>1685</v>
      </c>
      <c r="G275" s="287" t="s">
        <v>1194</v>
      </c>
      <c r="H275" s="288">
        <v>1</v>
      </c>
      <c r="I275" s="124">
        <v>467.3</v>
      </c>
      <c r="J275" s="124">
        <f t="shared" si="33"/>
        <v>467.3</v>
      </c>
      <c r="K275" s="121" t="s">
        <v>1</v>
      </c>
      <c r="L275" s="24"/>
      <c r="M275" s="125" t="s">
        <v>1</v>
      </c>
      <c r="N275" s="126" t="s">
        <v>32</v>
      </c>
      <c r="O275" s="127">
        <v>0</v>
      </c>
      <c r="P275" s="127">
        <f t="shared" si="34"/>
        <v>0</v>
      </c>
      <c r="Q275" s="127">
        <v>0</v>
      </c>
      <c r="R275" s="127">
        <f t="shared" si="35"/>
        <v>0</v>
      </c>
      <c r="S275" s="127">
        <v>0</v>
      </c>
      <c r="T275" s="128">
        <f t="shared" si="36"/>
        <v>0</v>
      </c>
      <c r="W275" s="199"/>
      <c r="X275" s="285" t="s">
        <v>699</v>
      </c>
      <c r="Y275" s="119" t="s">
        <v>231</v>
      </c>
      <c r="Z275" s="120" t="s">
        <v>1684</v>
      </c>
      <c r="AA275" s="121" t="s">
        <v>1685</v>
      </c>
      <c r="AB275" s="122" t="s">
        <v>1194</v>
      </c>
      <c r="AC275" s="288">
        <v>1</v>
      </c>
      <c r="AD275" s="124">
        <v>467.3</v>
      </c>
      <c r="AE275" s="200">
        <f t="shared" si="25"/>
        <v>467.3</v>
      </c>
      <c r="AF275" s="227"/>
      <c r="AG275" s="396"/>
      <c r="AI275" s="397"/>
      <c r="AR275" s="129" t="s">
        <v>347</v>
      </c>
      <c r="AT275" s="129" t="s">
        <v>231</v>
      </c>
      <c r="AU275" s="129" t="s">
        <v>63</v>
      </c>
      <c r="AY275" s="13" t="s">
        <v>228</v>
      </c>
      <c r="BE275" s="130">
        <f t="shared" si="37"/>
        <v>0</v>
      </c>
      <c r="BF275" s="130">
        <f t="shared" si="38"/>
        <v>467.3</v>
      </c>
      <c r="BG275" s="130">
        <f t="shared" si="39"/>
        <v>0</v>
      </c>
      <c r="BH275" s="130">
        <f t="shared" si="40"/>
        <v>0</v>
      </c>
      <c r="BI275" s="130">
        <f t="shared" si="41"/>
        <v>0</v>
      </c>
      <c r="BJ275" s="13" t="s">
        <v>76</v>
      </c>
      <c r="BK275" s="130">
        <f t="shared" si="42"/>
        <v>467.3</v>
      </c>
      <c r="BL275" s="13" t="s">
        <v>347</v>
      </c>
      <c r="BM275" s="129" t="s">
        <v>702</v>
      </c>
    </row>
    <row r="276" spans="2:65" s="1" customFormat="1" ht="16.5" customHeight="1" x14ac:dyDescent="0.2">
      <c r="B276" s="118"/>
      <c r="C276" s="444" t="s">
        <v>465</v>
      </c>
      <c r="D276" s="444" t="s">
        <v>277</v>
      </c>
      <c r="E276" s="453" t="s">
        <v>1684</v>
      </c>
      <c r="F276" s="454" t="s">
        <v>1685</v>
      </c>
      <c r="G276" s="455" t="s">
        <v>1194</v>
      </c>
      <c r="H276" s="443">
        <v>1</v>
      </c>
      <c r="I276" s="136">
        <v>2803.82</v>
      </c>
      <c r="J276" s="136">
        <f t="shared" si="33"/>
        <v>2803.82</v>
      </c>
      <c r="K276" s="133" t="s">
        <v>1</v>
      </c>
      <c r="L276" s="137"/>
      <c r="M276" s="138" t="s">
        <v>1</v>
      </c>
      <c r="N276" s="139" t="s">
        <v>32</v>
      </c>
      <c r="O276" s="127">
        <v>0</v>
      </c>
      <c r="P276" s="127">
        <f t="shared" si="34"/>
        <v>0</v>
      </c>
      <c r="Q276" s="127">
        <v>0</v>
      </c>
      <c r="R276" s="127">
        <f t="shared" si="35"/>
        <v>0</v>
      </c>
      <c r="S276" s="127">
        <v>0</v>
      </c>
      <c r="T276" s="128">
        <f t="shared" si="36"/>
        <v>0</v>
      </c>
      <c r="W276" s="199"/>
      <c r="X276" s="444" t="s">
        <v>465</v>
      </c>
      <c r="Y276" s="131" t="s">
        <v>277</v>
      </c>
      <c r="Z276" s="132" t="s">
        <v>1684</v>
      </c>
      <c r="AA276" s="133" t="s">
        <v>1685</v>
      </c>
      <c r="AB276" s="134" t="s">
        <v>1194</v>
      </c>
      <c r="AC276" s="443">
        <v>1</v>
      </c>
      <c r="AD276" s="136">
        <v>2803.82</v>
      </c>
      <c r="AE276" s="229">
        <f t="shared" si="25"/>
        <v>2803.82</v>
      </c>
      <c r="AF276" s="227"/>
      <c r="AG276" s="396"/>
      <c r="AI276" s="397"/>
      <c r="AR276" s="129" t="s">
        <v>705</v>
      </c>
      <c r="AT276" s="129" t="s">
        <v>277</v>
      </c>
      <c r="AU276" s="129" t="s">
        <v>63</v>
      </c>
      <c r="AY276" s="13" t="s">
        <v>228</v>
      </c>
      <c r="BE276" s="130">
        <f t="shared" si="37"/>
        <v>0</v>
      </c>
      <c r="BF276" s="130">
        <f t="shared" si="38"/>
        <v>2803.82</v>
      </c>
      <c r="BG276" s="130">
        <f t="shared" si="39"/>
        <v>0</v>
      </c>
      <c r="BH276" s="130">
        <f t="shared" si="40"/>
        <v>0</v>
      </c>
      <c r="BI276" s="130">
        <f t="shared" si="41"/>
        <v>0</v>
      </c>
      <c r="BJ276" s="13" t="s">
        <v>76</v>
      </c>
      <c r="BK276" s="130">
        <f t="shared" si="42"/>
        <v>2803.82</v>
      </c>
      <c r="BL276" s="13" t="s">
        <v>347</v>
      </c>
      <c r="BM276" s="129" t="s">
        <v>705</v>
      </c>
    </row>
    <row r="277" spans="2:65" s="1" customFormat="1" ht="16.5" customHeight="1" x14ac:dyDescent="0.2">
      <c r="B277" s="118"/>
      <c r="C277" s="285" t="s">
        <v>706</v>
      </c>
      <c r="D277" s="285" t="s">
        <v>231</v>
      </c>
      <c r="E277" s="286" t="s">
        <v>1689</v>
      </c>
      <c r="F277" s="240" t="s">
        <v>3952</v>
      </c>
      <c r="G277" s="287" t="s">
        <v>1194</v>
      </c>
      <c r="H277" s="288">
        <v>4</v>
      </c>
      <c r="I277" s="124">
        <v>46.73</v>
      </c>
      <c r="J277" s="124">
        <f t="shared" ref="J277:J312" si="43">ROUND(I277*H277,2)</f>
        <v>186.92</v>
      </c>
      <c r="K277" s="121" t="s">
        <v>1</v>
      </c>
      <c r="L277" s="24"/>
      <c r="M277" s="125" t="s">
        <v>1</v>
      </c>
      <c r="N277" s="126" t="s">
        <v>32</v>
      </c>
      <c r="O277" s="127">
        <v>0</v>
      </c>
      <c r="P277" s="127">
        <f t="shared" ref="P277:P312" si="44">O277*H277</f>
        <v>0</v>
      </c>
      <c r="Q277" s="127">
        <v>0</v>
      </c>
      <c r="R277" s="127">
        <f t="shared" ref="R277:R312" si="45">Q277*H277</f>
        <v>0</v>
      </c>
      <c r="S277" s="127">
        <v>0</v>
      </c>
      <c r="T277" s="128">
        <f t="shared" ref="T277:T312" si="46">S277*H277</f>
        <v>0</v>
      </c>
      <c r="W277" s="199"/>
      <c r="X277" s="285" t="s">
        <v>706</v>
      </c>
      <c r="Y277" s="119" t="s">
        <v>231</v>
      </c>
      <c r="Z277" s="120" t="s">
        <v>1689</v>
      </c>
      <c r="AA277" s="121" t="s">
        <v>3952</v>
      </c>
      <c r="AB277" s="122" t="s">
        <v>1194</v>
      </c>
      <c r="AC277" s="288">
        <v>4</v>
      </c>
      <c r="AD277" s="124">
        <v>46.73</v>
      </c>
      <c r="AE277" s="200">
        <f t="shared" ref="AE277:AE315" si="47">ROUND(AD277*AC277,2)</f>
        <v>186.92</v>
      </c>
      <c r="AF277" s="227"/>
      <c r="AG277" s="396"/>
      <c r="AI277" s="397"/>
      <c r="AR277" s="129" t="s">
        <v>347</v>
      </c>
      <c r="AT277" s="129" t="s">
        <v>231</v>
      </c>
      <c r="AU277" s="129" t="s">
        <v>63</v>
      </c>
      <c r="AY277" s="13" t="s">
        <v>228</v>
      </c>
      <c r="BE277" s="130">
        <f t="shared" ref="BE277:BE315" si="48">IF(N277="základná",J277,0)</f>
        <v>0</v>
      </c>
      <c r="BF277" s="130">
        <f t="shared" ref="BF277:BF315" si="49">IF(N277="znížená",J277,0)</f>
        <v>186.92</v>
      </c>
      <c r="BG277" s="130">
        <f t="shared" ref="BG277:BG315" si="50">IF(N277="zákl. prenesená",J277,0)</f>
        <v>0</v>
      </c>
      <c r="BH277" s="130">
        <f t="shared" ref="BH277:BH315" si="51">IF(N277="zníž. prenesená",J277,0)</f>
        <v>0</v>
      </c>
      <c r="BI277" s="130">
        <f t="shared" ref="BI277:BI315" si="52">IF(N277="nulová",J277,0)</f>
        <v>0</v>
      </c>
      <c r="BJ277" s="13" t="s">
        <v>76</v>
      </c>
      <c r="BK277" s="130">
        <f t="shared" ref="BK277:BK315" si="53">ROUND(I277*H277,2)</f>
        <v>186.92</v>
      </c>
      <c r="BL277" s="13" t="s">
        <v>347</v>
      </c>
      <c r="BM277" s="129" t="s">
        <v>709</v>
      </c>
    </row>
    <row r="278" spans="2:65" s="1" customFormat="1" ht="16.5" customHeight="1" x14ac:dyDescent="0.2">
      <c r="B278" s="118"/>
      <c r="C278" s="444" t="s">
        <v>469</v>
      </c>
      <c r="D278" s="444" t="s">
        <v>277</v>
      </c>
      <c r="E278" s="453" t="s">
        <v>1689</v>
      </c>
      <c r="F278" s="454" t="s">
        <v>3952</v>
      </c>
      <c r="G278" s="455" t="s">
        <v>1194</v>
      </c>
      <c r="H278" s="443">
        <v>4</v>
      </c>
      <c r="I278" s="136">
        <v>747.68</v>
      </c>
      <c r="J278" s="136">
        <f t="shared" si="43"/>
        <v>2990.72</v>
      </c>
      <c r="K278" s="133" t="s">
        <v>1</v>
      </c>
      <c r="L278" s="137"/>
      <c r="M278" s="138" t="s">
        <v>1</v>
      </c>
      <c r="N278" s="139" t="s">
        <v>32</v>
      </c>
      <c r="O278" s="127">
        <v>0</v>
      </c>
      <c r="P278" s="127">
        <f t="shared" si="44"/>
        <v>0</v>
      </c>
      <c r="Q278" s="127">
        <v>0</v>
      </c>
      <c r="R278" s="127">
        <f t="shared" si="45"/>
        <v>0</v>
      </c>
      <c r="S278" s="127">
        <v>0</v>
      </c>
      <c r="T278" s="128">
        <f t="shared" si="46"/>
        <v>0</v>
      </c>
      <c r="W278" s="199"/>
      <c r="X278" s="444" t="s">
        <v>469</v>
      </c>
      <c r="Y278" s="131" t="s">
        <v>277</v>
      </c>
      <c r="Z278" s="132" t="s">
        <v>1689</v>
      </c>
      <c r="AA278" s="133" t="s">
        <v>3952</v>
      </c>
      <c r="AB278" s="134" t="s">
        <v>1194</v>
      </c>
      <c r="AC278" s="443">
        <v>4</v>
      </c>
      <c r="AD278" s="136">
        <v>747.68</v>
      </c>
      <c r="AE278" s="229">
        <f t="shared" si="47"/>
        <v>2990.72</v>
      </c>
      <c r="AF278" s="227"/>
      <c r="AG278" s="396"/>
      <c r="AI278" s="397"/>
      <c r="AR278" s="129" t="s">
        <v>705</v>
      </c>
      <c r="AT278" s="129" t="s">
        <v>277</v>
      </c>
      <c r="AU278" s="129" t="s">
        <v>63</v>
      </c>
      <c r="AY278" s="13" t="s">
        <v>228</v>
      </c>
      <c r="BE278" s="130">
        <f t="shared" si="48"/>
        <v>0</v>
      </c>
      <c r="BF278" s="130">
        <f t="shared" si="49"/>
        <v>2990.72</v>
      </c>
      <c r="BG278" s="130">
        <f t="shared" si="50"/>
        <v>0</v>
      </c>
      <c r="BH278" s="130">
        <f t="shared" si="51"/>
        <v>0</v>
      </c>
      <c r="BI278" s="130">
        <f t="shared" si="52"/>
        <v>0</v>
      </c>
      <c r="BJ278" s="13" t="s">
        <v>76</v>
      </c>
      <c r="BK278" s="130">
        <f t="shared" si="53"/>
        <v>2990.72</v>
      </c>
      <c r="BL278" s="13" t="s">
        <v>347</v>
      </c>
      <c r="BM278" s="129" t="s">
        <v>712</v>
      </c>
    </row>
    <row r="279" spans="2:65" s="1" customFormat="1" ht="16.5" customHeight="1" x14ac:dyDescent="0.2">
      <c r="B279" s="118"/>
      <c r="C279" s="205" t="s">
        <v>713</v>
      </c>
      <c r="D279" s="119" t="s">
        <v>231</v>
      </c>
      <c r="E279" s="120" t="s">
        <v>1693</v>
      </c>
      <c r="F279" s="121" t="s">
        <v>1694</v>
      </c>
      <c r="G279" s="122" t="s">
        <v>1194</v>
      </c>
      <c r="H279" s="206">
        <v>1</v>
      </c>
      <c r="I279" s="124">
        <v>53.41</v>
      </c>
      <c r="J279" s="124">
        <f t="shared" si="43"/>
        <v>53.41</v>
      </c>
      <c r="K279" s="121" t="s">
        <v>1</v>
      </c>
      <c r="L279" s="24"/>
      <c r="M279" s="125" t="s">
        <v>1</v>
      </c>
      <c r="N279" s="126" t="s">
        <v>32</v>
      </c>
      <c r="O279" s="127">
        <v>0</v>
      </c>
      <c r="P279" s="127">
        <f t="shared" si="44"/>
        <v>0</v>
      </c>
      <c r="Q279" s="127">
        <v>0</v>
      </c>
      <c r="R279" s="127">
        <f t="shared" si="45"/>
        <v>0</v>
      </c>
      <c r="S279" s="127">
        <v>0</v>
      </c>
      <c r="T279" s="128">
        <f t="shared" si="46"/>
        <v>0</v>
      </c>
      <c r="W279" s="199"/>
      <c r="X279" s="205" t="s">
        <v>713</v>
      </c>
      <c r="Y279" s="119" t="s">
        <v>231</v>
      </c>
      <c r="Z279" s="120" t="s">
        <v>1693</v>
      </c>
      <c r="AA279" s="121" t="s">
        <v>1694</v>
      </c>
      <c r="AB279" s="122" t="s">
        <v>1194</v>
      </c>
      <c r="AC279" s="206">
        <f>1+2</f>
        <v>3</v>
      </c>
      <c r="AD279" s="124">
        <v>53.41</v>
      </c>
      <c r="AE279" s="200">
        <f t="shared" si="47"/>
        <v>160.22999999999999</v>
      </c>
      <c r="AF279" s="227">
        <v>2</v>
      </c>
      <c r="AG279" s="396"/>
      <c r="AI279" s="397"/>
      <c r="AR279" s="129" t="s">
        <v>347</v>
      </c>
      <c r="AT279" s="129" t="s">
        <v>231</v>
      </c>
      <c r="AU279" s="129" t="s">
        <v>63</v>
      </c>
      <c r="AY279" s="13" t="s">
        <v>228</v>
      </c>
      <c r="BE279" s="130">
        <f t="shared" si="48"/>
        <v>0</v>
      </c>
      <c r="BF279" s="130">
        <f t="shared" si="49"/>
        <v>53.41</v>
      </c>
      <c r="BG279" s="130">
        <f t="shared" si="50"/>
        <v>0</v>
      </c>
      <c r="BH279" s="130">
        <f t="shared" si="51"/>
        <v>0</v>
      </c>
      <c r="BI279" s="130">
        <f t="shared" si="52"/>
        <v>0</v>
      </c>
      <c r="BJ279" s="13" t="s">
        <v>76</v>
      </c>
      <c r="BK279" s="130">
        <f t="shared" si="53"/>
        <v>53.41</v>
      </c>
      <c r="BL279" s="13" t="s">
        <v>347</v>
      </c>
      <c r="BM279" s="129" t="s">
        <v>716</v>
      </c>
    </row>
    <row r="280" spans="2:65" s="1" customFormat="1" ht="16.5" customHeight="1" x14ac:dyDescent="0.2">
      <c r="B280" s="118"/>
      <c r="C280" s="242" t="s">
        <v>472</v>
      </c>
      <c r="D280" s="131" t="s">
        <v>277</v>
      </c>
      <c r="E280" s="132" t="s">
        <v>1693</v>
      </c>
      <c r="F280" s="133" t="s">
        <v>1694</v>
      </c>
      <c r="G280" s="134" t="s">
        <v>1194</v>
      </c>
      <c r="H280" s="241">
        <v>1</v>
      </c>
      <c r="I280" s="136">
        <v>961.31</v>
      </c>
      <c r="J280" s="136">
        <f t="shared" si="43"/>
        <v>961.31</v>
      </c>
      <c r="K280" s="133" t="s">
        <v>1</v>
      </c>
      <c r="L280" s="137"/>
      <c r="M280" s="138" t="s">
        <v>1</v>
      </c>
      <c r="N280" s="139" t="s">
        <v>32</v>
      </c>
      <c r="O280" s="127">
        <v>0</v>
      </c>
      <c r="P280" s="127">
        <f t="shared" si="44"/>
        <v>0</v>
      </c>
      <c r="Q280" s="127">
        <v>0</v>
      </c>
      <c r="R280" s="127">
        <f t="shared" si="45"/>
        <v>0</v>
      </c>
      <c r="S280" s="127">
        <v>0</v>
      </c>
      <c r="T280" s="128">
        <f t="shared" si="46"/>
        <v>0</v>
      </c>
      <c r="W280" s="199"/>
      <c r="X280" s="242" t="s">
        <v>472</v>
      </c>
      <c r="Y280" s="131" t="s">
        <v>277</v>
      </c>
      <c r="Z280" s="132" t="s">
        <v>1693</v>
      </c>
      <c r="AA280" s="133" t="s">
        <v>1694</v>
      </c>
      <c r="AB280" s="134" t="s">
        <v>1194</v>
      </c>
      <c r="AC280" s="241">
        <f>1+2</f>
        <v>3</v>
      </c>
      <c r="AD280" s="136">
        <v>961.31</v>
      </c>
      <c r="AE280" s="229">
        <f t="shared" si="47"/>
        <v>2883.93</v>
      </c>
      <c r="AF280" s="227">
        <v>2</v>
      </c>
      <c r="AG280" s="396"/>
      <c r="AI280" s="397"/>
      <c r="AR280" s="129" t="s">
        <v>705</v>
      </c>
      <c r="AT280" s="129" t="s">
        <v>277</v>
      </c>
      <c r="AU280" s="129" t="s">
        <v>63</v>
      </c>
      <c r="AY280" s="13" t="s">
        <v>228</v>
      </c>
      <c r="BE280" s="130">
        <f t="shared" si="48"/>
        <v>0</v>
      </c>
      <c r="BF280" s="130">
        <f t="shared" si="49"/>
        <v>961.31</v>
      </c>
      <c r="BG280" s="130">
        <f t="shared" si="50"/>
        <v>0</v>
      </c>
      <c r="BH280" s="130">
        <f t="shared" si="51"/>
        <v>0</v>
      </c>
      <c r="BI280" s="130">
        <f t="shared" si="52"/>
        <v>0</v>
      </c>
      <c r="BJ280" s="13" t="s">
        <v>76</v>
      </c>
      <c r="BK280" s="130">
        <f t="shared" si="53"/>
        <v>961.31</v>
      </c>
      <c r="BL280" s="13" t="s">
        <v>347</v>
      </c>
      <c r="BM280" s="129" t="s">
        <v>721</v>
      </c>
    </row>
    <row r="281" spans="2:65" s="1" customFormat="1" ht="16.5" customHeight="1" x14ac:dyDescent="0.2">
      <c r="B281" s="118"/>
      <c r="C281" s="119" t="s">
        <v>722</v>
      </c>
      <c r="D281" s="119" t="s">
        <v>231</v>
      </c>
      <c r="E281" s="120" t="s">
        <v>1697</v>
      </c>
      <c r="F281" s="121" t="s">
        <v>1698</v>
      </c>
      <c r="G281" s="122" t="s">
        <v>1194</v>
      </c>
      <c r="H281" s="123">
        <v>1</v>
      </c>
      <c r="I281" s="124">
        <v>53.41</v>
      </c>
      <c r="J281" s="124">
        <f t="shared" si="43"/>
        <v>53.41</v>
      </c>
      <c r="K281" s="121" t="s">
        <v>1</v>
      </c>
      <c r="L281" s="24"/>
      <c r="M281" s="125" t="s">
        <v>1</v>
      </c>
      <c r="N281" s="126" t="s">
        <v>32</v>
      </c>
      <c r="O281" s="127">
        <v>0</v>
      </c>
      <c r="P281" s="127">
        <f t="shared" si="44"/>
        <v>0</v>
      </c>
      <c r="Q281" s="127">
        <v>0</v>
      </c>
      <c r="R281" s="127">
        <f t="shared" si="45"/>
        <v>0</v>
      </c>
      <c r="S281" s="127">
        <v>0</v>
      </c>
      <c r="T281" s="128">
        <f t="shared" si="46"/>
        <v>0</v>
      </c>
      <c r="W281" s="199"/>
      <c r="X281" s="119" t="s">
        <v>722</v>
      </c>
      <c r="Y281" s="119" t="s">
        <v>231</v>
      </c>
      <c r="Z281" s="120" t="s">
        <v>1697</v>
      </c>
      <c r="AA281" s="121" t="s">
        <v>1698</v>
      </c>
      <c r="AB281" s="122" t="s">
        <v>1194</v>
      </c>
      <c r="AC281" s="123">
        <v>1</v>
      </c>
      <c r="AD281" s="124">
        <v>53.41</v>
      </c>
      <c r="AE281" s="200">
        <f t="shared" si="47"/>
        <v>53.41</v>
      </c>
      <c r="AF281" s="227"/>
      <c r="AG281" s="396"/>
      <c r="AI281" s="397"/>
      <c r="AR281" s="129" t="s">
        <v>347</v>
      </c>
      <c r="AT281" s="129" t="s">
        <v>231</v>
      </c>
      <c r="AU281" s="129" t="s">
        <v>63</v>
      </c>
      <c r="AY281" s="13" t="s">
        <v>228</v>
      </c>
      <c r="BE281" s="130">
        <f t="shared" si="48"/>
        <v>0</v>
      </c>
      <c r="BF281" s="130">
        <f t="shared" si="49"/>
        <v>53.41</v>
      </c>
      <c r="BG281" s="130">
        <f t="shared" si="50"/>
        <v>0</v>
      </c>
      <c r="BH281" s="130">
        <f t="shared" si="51"/>
        <v>0</v>
      </c>
      <c r="BI281" s="130">
        <f t="shared" si="52"/>
        <v>0</v>
      </c>
      <c r="BJ281" s="13" t="s">
        <v>76</v>
      </c>
      <c r="BK281" s="130">
        <f t="shared" si="53"/>
        <v>53.41</v>
      </c>
      <c r="BL281" s="13" t="s">
        <v>347</v>
      </c>
      <c r="BM281" s="129" t="s">
        <v>725</v>
      </c>
    </row>
    <row r="282" spans="2:65" s="1" customFormat="1" ht="16.5" customHeight="1" x14ac:dyDescent="0.2">
      <c r="B282" s="118"/>
      <c r="C282" s="131" t="s">
        <v>476</v>
      </c>
      <c r="D282" s="131" t="s">
        <v>277</v>
      </c>
      <c r="E282" s="132" t="s">
        <v>1697</v>
      </c>
      <c r="F282" s="133" t="s">
        <v>1698</v>
      </c>
      <c r="G282" s="134" t="s">
        <v>1194</v>
      </c>
      <c r="H282" s="135">
        <v>1</v>
      </c>
      <c r="I282" s="136">
        <v>867.85</v>
      </c>
      <c r="J282" s="136">
        <f t="shared" si="43"/>
        <v>867.85</v>
      </c>
      <c r="K282" s="133" t="s">
        <v>1</v>
      </c>
      <c r="L282" s="137"/>
      <c r="M282" s="138" t="s">
        <v>1</v>
      </c>
      <c r="N282" s="139" t="s">
        <v>32</v>
      </c>
      <c r="O282" s="127">
        <v>0</v>
      </c>
      <c r="P282" s="127">
        <f t="shared" si="44"/>
        <v>0</v>
      </c>
      <c r="Q282" s="127">
        <v>0</v>
      </c>
      <c r="R282" s="127">
        <f t="shared" si="45"/>
        <v>0</v>
      </c>
      <c r="S282" s="127">
        <v>0</v>
      </c>
      <c r="T282" s="128">
        <f t="shared" si="46"/>
        <v>0</v>
      </c>
      <c r="W282" s="199"/>
      <c r="X282" s="131" t="s">
        <v>476</v>
      </c>
      <c r="Y282" s="131" t="s">
        <v>277</v>
      </c>
      <c r="Z282" s="132" t="s">
        <v>1697</v>
      </c>
      <c r="AA282" s="133" t="s">
        <v>1698</v>
      </c>
      <c r="AB282" s="134" t="s">
        <v>1194</v>
      </c>
      <c r="AC282" s="135">
        <v>1</v>
      </c>
      <c r="AD282" s="136">
        <v>867.85</v>
      </c>
      <c r="AE282" s="229">
        <f t="shared" si="47"/>
        <v>867.85</v>
      </c>
      <c r="AF282" s="227"/>
      <c r="AG282" s="396"/>
      <c r="AI282" s="397"/>
      <c r="AR282" s="129" t="s">
        <v>705</v>
      </c>
      <c r="AT282" s="129" t="s">
        <v>277</v>
      </c>
      <c r="AU282" s="129" t="s">
        <v>63</v>
      </c>
      <c r="AY282" s="13" t="s">
        <v>228</v>
      </c>
      <c r="BE282" s="130">
        <f t="shared" si="48"/>
        <v>0</v>
      </c>
      <c r="BF282" s="130">
        <f t="shared" si="49"/>
        <v>867.85</v>
      </c>
      <c r="BG282" s="130">
        <f t="shared" si="50"/>
        <v>0</v>
      </c>
      <c r="BH282" s="130">
        <f t="shared" si="51"/>
        <v>0</v>
      </c>
      <c r="BI282" s="130">
        <f t="shared" si="52"/>
        <v>0</v>
      </c>
      <c r="BJ282" s="13" t="s">
        <v>76</v>
      </c>
      <c r="BK282" s="130">
        <f t="shared" si="53"/>
        <v>867.85</v>
      </c>
      <c r="BL282" s="13" t="s">
        <v>347</v>
      </c>
      <c r="BM282" s="129" t="s">
        <v>728</v>
      </c>
    </row>
    <row r="283" spans="2:65" s="372" customFormat="1" ht="16.5" customHeight="1" x14ac:dyDescent="0.2">
      <c r="B283" s="118"/>
      <c r="C283" s="1234" t="s">
        <v>5205</v>
      </c>
      <c r="D283" s="1235"/>
      <c r="E283" s="1235"/>
      <c r="F283" s="1235"/>
      <c r="G283" s="1235"/>
      <c r="H283" s="1235"/>
      <c r="I283" s="1235"/>
      <c r="J283" s="1236"/>
      <c r="K283" s="133"/>
      <c r="L283" s="137"/>
      <c r="M283" s="138"/>
      <c r="N283" s="139"/>
      <c r="O283" s="127"/>
      <c r="P283" s="127"/>
      <c r="Q283" s="127"/>
      <c r="R283" s="127"/>
      <c r="S283" s="127"/>
      <c r="T283" s="128"/>
      <c r="W283" s="199"/>
      <c r="X283" s="207" t="s">
        <v>5953</v>
      </c>
      <c r="Y283" s="207" t="s">
        <v>231</v>
      </c>
      <c r="Z283" s="208" t="s">
        <v>5933</v>
      </c>
      <c r="AA283" s="209" t="s">
        <v>5934</v>
      </c>
      <c r="AB283" s="210" t="s">
        <v>1194</v>
      </c>
      <c r="AC283" s="211">
        <v>1</v>
      </c>
      <c r="AD283" s="212">
        <v>53.41</v>
      </c>
      <c r="AE283" s="214">
        <f>ROUND(AD283*AC283,2)</f>
        <v>53.41</v>
      </c>
      <c r="AF283" s="227">
        <v>2</v>
      </c>
      <c r="AG283" s="396"/>
      <c r="AI283" s="397"/>
      <c r="AR283" s="129"/>
      <c r="AT283" s="129"/>
      <c r="AU283" s="129"/>
      <c r="AY283" s="13"/>
      <c r="BE283" s="130"/>
      <c r="BF283" s="130"/>
      <c r="BG283" s="130"/>
      <c r="BH283" s="130"/>
      <c r="BI283" s="130"/>
      <c r="BJ283" s="13"/>
      <c r="BK283" s="130"/>
      <c r="BL283" s="13"/>
      <c r="BM283" s="129"/>
    </row>
    <row r="284" spans="2:65" s="372" customFormat="1" ht="16.5" customHeight="1" x14ac:dyDescent="0.2">
      <c r="B284" s="118"/>
      <c r="C284" s="1234" t="s">
        <v>5205</v>
      </c>
      <c r="D284" s="1235"/>
      <c r="E284" s="1235"/>
      <c r="F284" s="1235"/>
      <c r="G284" s="1235"/>
      <c r="H284" s="1235"/>
      <c r="I284" s="1235"/>
      <c r="J284" s="1236"/>
      <c r="K284" s="133"/>
      <c r="L284" s="137"/>
      <c r="M284" s="138"/>
      <c r="N284" s="139"/>
      <c r="O284" s="127"/>
      <c r="P284" s="127"/>
      <c r="Q284" s="127"/>
      <c r="R284" s="127"/>
      <c r="S284" s="127"/>
      <c r="T284" s="128"/>
      <c r="W284" s="199"/>
      <c r="X284" s="386" t="s">
        <v>5954</v>
      </c>
      <c r="Y284" s="386" t="s">
        <v>277</v>
      </c>
      <c r="Z284" s="387" t="s">
        <v>5933</v>
      </c>
      <c r="AA284" s="388" t="s">
        <v>5934</v>
      </c>
      <c r="AB284" s="389" t="s">
        <v>1194</v>
      </c>
      <c r="AC284" s="390">
        <v>1</v>
      </c>
      <c r="AD284" s="391">
        <v>1254.99</v>
      </c>
      <c r="AE284" s="401">
        <f>ROUND(AD284*AC284,2)</f>
        <v>1254.99</v>
      </c>
      <c r="AF284" s="227">
        <v>2</v>
      </c>
      <c r="AG284" s="396"/>
      <c r="AI284" s="397"/>
      <c r="AR284" s="129"/>
      <c r="AT284" s="129"/>
      <c r="AU284" s="129"/>
      <c r="AY284" s="13"/>
      <c r="BE284" s="130"/>
      <c r="BF284" s="130"/>
      <c r="BG284" s="130"/>
      <c r="BH284" s="130"/>
      <c r="BI284" s="130"/>
      <c r="BJ284" s="13"/>
      <c r="BK284" s="130"/>
      <c r="BL284" s="13"/>
      <c r="BM284" s="129"/>
    </row>
    <row r="285" spans="2:65" s="1" customFormat="1" ht="16.5" customHeight="1" x14ac:dyDescent="0.2">
      <c r="B285" s="118"/>
      <c r="C285" s="205" t="s">
        <v>729</v>
      </c>
      <c r="D285" s="119" t="s">
        <v>231</v>
      </c>
      <c r="E285" s="120" t="s">
        <v>1701</v>
      </c>
      <c r="F285" s="121" t="s">
        <v>3953</v>
      </c>
      <c r="G285" s="122" t="s">
        <v>1194</v>
      </c>
      <c r="H285" s="206">
        <v>2</v>
      </c>
      <c r="I285" s="124">
        <v>440.6</v>
      </c>
      <c r="J285" s="124">
        <f t="shared" si="43"/>
        <v>881.2</v>
      </c>
      <c r="K285" s="121" t="s">
        <v>1</v>
      </c>
      <c r="L285" s="24"/>
      <c r="M285" s="125" t="s">
        <v>1</v>
      </c>
      <c r="N285" s="126" t="s">
        <v>32</v>
      </c>
      <c r="O285" s="127">
        <v>0</v>
      </c>
      <c r="P285" s="127">
        <f t="shared" si="44"/>
        <v>0</v>
      </c>
      <c r="Q285" s="127">
        <v>0</v>
      </c>
      <c r="R285" s="127">
        <f t="shared" si="45"/>
        <v>0</v>
      </c>
      <c r="S285" s="127">
        <v>0</v>
      </c>
      <c r="T285" s="128">
        <f t="shared" si="46"/>
        <v>0</v>
      </c>
      <c r="W285" s="199"/>
      <c r="X285" s="205" t="s">
        <v>729</v>
      </c>
      <c r="Y285" s="119" t="s">
        <v>231</v>
      </c>
      <c r="Z285" s="120" t="s">
        <v>1701</v>
      </c>
      <c r="AA285" s="121" t="s">
        <v>3953</v>
      </c>
      <c r="AB285" s="122" t="s">
        <v>1194</v>
      </c>
      <c r="AC285" s="206">
        <f>2+3</f>
        <v>5</v>
      </c>
      <c r="AD285" s="124">
        <v>440.6</v>
      </c>
      <c r="AE285" s="200">
        <f t="shared" si="47"/>
        <v>2203</v>
      </c>
      <c r="AF285" s="227">
        <v>2</v>
      </c>
      <c r="AG285" s="396"/>
      <c r="AI285" s="397"/>
      <c r="AR285" s="129" t="s">
        <v>347</v>
      </c>
      <c r="AT285" s="129" t="s">
        <v>231</v>
      </c>
      <c r="AU285" s="129" t="s">
        <v>63</v>
      </c>
      <c r="AY285" s="13" t="s">
        <v>228</v>
      </c>
      <c r="BE285" s="130">
        <f t="shared" si="48"/>
        <v>0</v>
      </c>
      <c r="BF285" s="130">
        <f t="shared" si="49"/>
        <v>881.2</v>
      </c>
      <c r="BG285" s="130">
        <f t="shared" si="50"/>
        <v>0</v>
      </c>
      <c r="BH285" s="130">
        <f t="shared" si="51"/>
        <v>0</v>
      </c>
      <c r="BI285" s="130">
        <f t="shared" si="52"/>
        <v>0</v>
      </c>
      <c r="BJ285" s="13" t="s">
        <v>76</v>
      </c>
      <c r="BK285" s="130">
        <f t="shared" si="53"/>
        <v>881.2</v>
      </c>
      <c r="BL285" s="13" t="s">
        <v>347</v>
      </c>
      <c r="BM285" s="129" t="s">
        <v>732</v>
      </c>
    </row>
    <row r="286" spans="2:65" s="1" customFormat="1" ht="16.5" customHeight="1" x14ac:dyDescent="0.2">
      <c r="B286" s="118"/>
      <c r="C286" s="119" t="s">
        <v>479</v>
      </c>
      <c r="D286" s="119" t="s">
        <v>231</v>
      </c>
      <c r="E286" s="120" t="s">
        <v>3954</v>
      </c>
      <c r="F286" s="121" t="s">
        <v>3955</v>
      </c>
      <c r="G286" s="122" t="s">
        <v>1194</v>
      </c>
      <c r="H286" s="123">
        <v>2</v>
      </c>
      <c r="I286" s="124">
        <v>20.03</v>
      </c>
      <c r="J286" s="124">
        <f t="shared" si="43"/>
        <v>40.06</v>
      </c>
      <c r="K286" s="121" t="s">
        <v>1</v>
      </c>
      <c r="L286" s="24"/>
      <c r="M286" s="125" t="s">
        <v>1</v>
      </c>
      <c r="N286" s="126" t="s">
        <v>32</v>
      </c>
      <c r="O286" s="127">
        <v>0</v>
      </c>
      <c r="P286" s="127">
        <f t="shared" si="44"/>
        <v>0</v>
      </c>
      <c r="Q286" s="127">
        <v>0</v>
      </c>
      <c r="R286" s="127">
        <f t="shared" si="45"/>
        <v>0</v>
      </c>
      <c r="S286" s="127">
        <v>0</v>
      </c>
      <c r="T286" s="128">
        <f t="shared" si="46"/>
        <v>0</v>
      </c>
      <c r="W286" s="199"/>
      <c r="X286" s="119" t="s">
        <v>479</v>
      </c>
      <c r="Y286" s="119" t="s">
        <v>231</v>
      </c>
      <c r="Z286" s="120" t="s">
        <v>3954</v>
      </c>
      <c r="AA286" s="121" t="s">
        <v>3955</v>
      </c>
      <c r="AB286" s="122" t="s">
        <v>1194</v>
      </c>
      <c r="AC286" s="123">
        <v>2</v>
      </c>
      <c r="AD286" s="124">
        <v>20.03</v>
      </c>
      <c r="AE286" s="200">
        <f t="shared" si="47"/>
        <v>40.06</v>
      </c>
      <c r="AF286" s="227"/>
      <c r="AG286" s="396"/>
      <c r="AI286" s="397"/>
      <c r="AR286" s="129" t="s">
        <v>347</v>
      </c>
      <c r="AT286" s="129" t="s">
        <v>231</v>
      </c>
      <c r="AU286" s="129" t="s">
        <v>63</v>
      </c>
      <c r="AY286" s="13" t="s">
        <v>228</v>
      </c>
      <c r="BE286" s="130">
        <f t="shared" si="48"/>
        <v>0</v>
      </c>
      <c r="BF286" s="130">
        <f t="shared" si="49"/>
        <v>40.06</v>
      </c>
      <c r="BG286" s="130">
        <f t="shared" si="50"/>
        <v>0</v>
      </c>
      <c r="BH286" s="130">
        <f t="shared" si="51"/>
        <v>0</v>
      </c>
      <c r="BI286" s="130">
        <f t="shared" si="52"/>
        <v>0</v>
      </c>
      <c r="BJ286" s="13" t="s">
        <v>76</v>
      </c>
      <c r="BK286" s="130">
        <f t="shared" si="53"/>
        <v>40.06</v>
      </c>
      <c r="BL286" s="13" t="s">
        <v>347</v>
      </c>
      <c r="BM286" s="129" t="s">
        <v>735</v>
      </c>
    </row>
    <row r="287" spans="2:65" s="1" customFormat="1" ht="24" customHeight="1" x14ac:dyDescent="0.2">
      <c r="B287" s="118"/>
      <c r="C287" s="131" t="s">
        <v>736</v>
      </c>
      <c r="D287" s="131" t="s">
        <v>277</v>
      </c>
      <c r="E287" s="132" t="s">
        <v>1732</v>
      </c>
      <c r="F287" s="133" t="s">
        <v>3956</v>
      </c>
      <c r="G287" s="134" t="s">
        <v>292</v>
      </c>
      <c r="H287" s="135">
        <v>42</v>
      </c>
      <c r="I287" s="136">
        <v>24.71</v>
      </c>
      <c r="J287" s="136">
        <f t="shared" si="43"/>
        <v>1037.82</v>
      </c>
      <c r="K287" s="133" t="s">
        <v>1</v>
      </c>
      <c r="L287" s="137"/>
      <c r="M287" s="138" t="s">
        <v>1</v>
      </c>
      <c r="N287" s="139" t="s">
        <v>32</v>
      </c>
      <c r="O287" s="127">
        <v>0</v>
      </c>
      <c r="P287" s="127">
        <f t="shared" si="44"/>
        <v>0</v>
      </c>
      <c r="Q287" s="127">
        <v>0</v>
      </c>
      <c r="R287" s="127">
        <f t="shared" si="45"/>
        <v>0</v>
      </c>
      <c r="S287" s="127">
        <v>0</v>
      </c>
      <c r="T287" s="128">
        <f t="shared" si="46"/>
        <v>0</v>
      </c>
      <c r="W287" s="199"/>
      <c r="X287" s="131" t="s">
        <v>736</v>
      </c>
      <c r="Y287" s="131" t="s">
        <v>277</v>
      </c>
      <c r="Z287" s="132" t="s">
        <v>1732</v>
      </c>
      <c r="AA287" s="133" t="s">
        <v>3956</v>
      </c>
      <c r="AB287" s="134" t="s">
        <v>292</v>
      </c>
      <c r="AC287" s="135">
        <v>42</v>
      </c>
      <c r="AD287" s="136">
        <v>24.71</v>
      </c>
      <c r="AE287" s="229">
        <f t="shared" si="47"/>
        <v>1037.82</v>
      </c>
      <c r="AF287" s="227"/>
      <c r="AG287" s="396"/>
      <c r="AI287" s="397"/>
      <c r="AR287" s="129" t="s">
        <v>705</v>
      </c>
      <c r="AT287" s="129" t="s">
        <v>277</v>
      </c>
      <c r="AU287" s="129" t="s">
        <v>63</v>
      </c>
      <c r="AY287" s="13" t="s">
        <v>228</v>
      </c>
      <c r="BE287" s="130">
        <f t="shared" si="48"/>
        <v>0</v>
      </c>
      <c r="BF287" s="130">
        <f t="shared" si="49"/>
        <v>1037.82</v>
      </c>
      <c r="BG287" s="130">
        <f t="shared" si="50"/>
        <v>0</v>
      </c>
      <c r="BH287" s="130">
        <f t="shared" si="51"/>
        <v>0</v>
      </c>
      <c r="BI287" s="130">
        <f t="shared" si="52"/>
        <v>0</v>
      </c>
      <c r="BJ287" s="13" t="s">
        <v>76</v>
      </c>
      <c r="BK287" s="130">
        <f t="shared" si="53"/>
        <v>1037.82</v>
      </c>
      <c r="BL287" s="13" t="s">
        <v>347</v>
      </c>
      <c r="BM287" s="129" t="s">
        <v>739</v>
      </c>
    </row>
    <row r="288" spans="2:65" s="1" customFormat="1" ht="24" customHeight="1" x14ac:dyDescent="0.2">
      <c r="B288" s="118"/>
      <c r="C288" s="119" t="s">
        <v>483</v>
      </c>
      <c r="D288" s="119" t="s">
        <v>231</v>
      </c>
      <c r="E288" s="120" t="s">
        <v>1669</v>
      </c>
      <c r="F288" s="121" t="s">
        <v>1726</v>
      </c>
      <c r="G288" s="122" t="s">
        <v>292</v>
      </c>
      <c r="H288" s="123">
        <v>42</v>
      </c>
      <c r="I288" s="124">
        <v>8.7899999999999991</v>
      </c>
      <c r="J288" s="124">
        <f t="shared" si="43"/>
        <v>369.18</v>
      </c>
      <c r="K288" s="121" t="s">
        <v>1</v>
      </c>
      <c r="L288" s="24"/>
      <c r="M288" s="125" t="s">
        <v>1</v>
      </c>
      <c r="N288" s="126" t="s">
        <v>32</v>
      </c>
      <c r="O288" s="127">
        <v>0</v>
      </c>
      <c r="P288" s="127">
        <f t="shared" si="44"/>
        <v>0</v>
      </c>
      <c r="Q288" s="127">
        <v>0</v>
      </c>
      <c r="R288" s="127">
        <f t="shared" si="45"/>
        <v>0</v>
      </c>
      <c r="S288" s="127">
        <v>0</v>
      </c>
      <c r="T288" s="128">
        <f t="shared" si="46"/>
        <v>0</v>
      </c>
      <c r="W288" s="199"/>
      <c r="X288" s="119" t="s">
        <v>483</v>
      </c>
      <c r="Y288" s="119" t="s">
        <v>231</v>
      </c>
      <c r="Z288" s="120" t="s">
        <v>1669</v>
      </c>
      <c r="AA288" s="121" t="s">
        <v>1726</v>
      </c>
      <c r="AB288" s="122" t="s">
        <v>292</v>
      </c>
      <c r="AC288" s="123">
        <v>42</v>
      </c>
      <c r="AD288" s="124">
        <v>8.7899999999999991</v>
      </c>
      <c r="AE288" s="200">
        <f t="shared" si="47"/>
        <v>369.18</v>
      </c>
      <c r="AF288" s="227"/>
      <c r="AG288" s="396"/>
      <c r="AI288" s="397"/>
      <c r="AR288" s="129" t="s">
        <v>347</v>
      </c>
      <c r="AT288" s="129" t="s">
        <v>231</v>
      </c>
      <c r="AU288" s="129" t="s">
        <v>63</v>
      </c>
      <c r="AY288" s="13" t="s">
        <v>228</v>
      </c>
      <c r="BE288" s="130">
        <f t="shared" si="48"/>
        <v>0</v>
      </c>
      <c r="BF288" s="130">
        <f t="shared" si="49"/>
        <v>369.18</v>
      </c>
      <c r="BG288" s="130">
        <f t="shared" si="50"/>
        <v>0</v>
      </c>
      <c r="BH288" s="130">
        <f t="shared" si="51"/>
        <v>0</v>
      </c>
      <c r="BI288" s="130">
        <f t="shared" si="52"/>
        <v>0</v>
      </c>
      <c r="BJ288" s="13" t="s">
        <v>76</v>
      </c>
      <c r="BK288" s="130">
        <f t="shared" si="53"/>
        <v>369.18</v>
      </c>
      <c r="BL288" s="13" t="s">
        <v>347</v>
      </c>
      <c r="BM288" s="129" t="s">
        <v>742</v>
      </c>
    </row>
    <row r="289" spans="2:65" s="1" customFormat="1" ht="24" customHeight="1" x14ac:dyDescent="0.2">
      <c r="B289" s="118"/>
      <c r="C289" s="119" t="s">
        <v>743</v>
      </c>
      <c r="D289" s="119" t="s">
        <v>231</v>
      </c>
      <c r="E289" s="120" t="s">
        <v>1704</v>
      </c>
      <c r="F289" s="121" t="s">
        <v>1705</v>
      </c>
      <c r="G289" s="122" t="s">
        <v>1194</v>
      </c>
      <c r="H289" s="123">
        <v>6</v>
      </c>
      <c r="I289" s="124">
        <v>33.380000000000003</v>
      </c>
      <c r="J289" s="124">
        <f t="shared" si="43"/>
        <v>200.28</v>
      </c>
      <c r="K289" s="121" t="s">
        <v>1</v>
      </c>
      <c r="L289" s="24"/>
      <c r="M289" s="125" t="s">
        <v>1</v>
      </c>
      <c r="N289" s="126" t="s">
        <v>32</v>
      </c>
      <c r="O289" s="127">
        <v>0</v>
      </c>
      <c r="P289" s="127">
        <f t="shared" si="44"/>
        <v>0</v>
      </c>
      <c r="Q289" s="127">
        <v>0</v>
      </c>
      <c r="R289" s="127">
        <f t="shared" si="45"/>
        <v>0</v>
      </c>
      <c r="S289" s="127">
        <v>0</v>
      </c>
      <c r="T289" s="128">
        <f t="shared" si="46"/>
        <v>0</v>
      </c>
      <c r="W289" s="199"/>
      <c r="X289" s="119" t="s">
        <v>743</v>
      </c>
      <c r="Y289" s="119" t="s">
        <v>231</v>
      </c>
      <c r="Z289" s="120" t="s">
        <v>1704</v>
      </c>
      <c r="AA289" s="121" t="s">
        <v>1705</v>
      </c>
      <c r="AB289" s="122" t="s">
        <v>1194</v>
      </c>
      <c r="AC289" s="123">
        <v>6</v>
      </c>
      <c r="AD289" s="124">
        <v>33.380000000000003</v>
      </c>
      <c r="AE289" s="200">
        <f t="shared" si="47"/>
        <v>200.28</v>
      </c>
      <c r="AF289" s="227"/>
      <c r="AG289" s="396"/>
      <c r="AI289" s="397"/>
      <c r="AR289" s="129" t="s">
        <v>347</v>
      </c>
      <c r="AT289" s="129" t="s">
        <v>231</v>
      </c>
      <c r="AU289" s="129" t="s">
        <v>63</v>
      </c>
      <c r="AY289" s="13" t="s">
        <v>228</v>
      </c>
      <c r="BE289" s="130">
        <f t="shared" si="48"/>
        <v>0</v>
      </c>
      <c r="BF289" s="130">
        <f t="shared" si="49"/>
        <v>200.28</v>
      </c>
      <c r="BG289" s="130">
        <f t="shared" si="50"/>
        <v>0</v>
      </c>
      <c r="BH289" s="130">
        <f t="shared" si="51"/>
        <v>0</v>
      </c>
      <c r="BI289" s="130">
        <f t="shared" si="52"/>
        <v>0</v>
      </c>
      <c r="BJ289" s="13" t="s">
        <v>76</v>
      </c>
      <c r="BK289" s="130">
        <f t="shared" si="53"/>
        <v>200.28</v>
      </c>
      <c r="BL289" s="13" t="s">
        <v>347</v>
      </c>
      <c r="BM289" s="129" t="s">
        <v>746</v>
      </c>
    </row>
    <row r="290" spans="2:65" s="1" customFormat="1" ht="24" customHeight="1" x14ac:dyDescent="0.2">
      <c r="B290" s="118"/>
      <c r="C290" s="131" t="s">
        <v>486</v>
      </c>
      <c r="D290" s="131" t="s">
        <v>277</v>
      </c>
      <c r="E290" s="132" t="s">
        <v>1701</v>
      </c>
      <c r="F290" s="133" t="s">
        <v>1705</v>
      </c>
      <c r="G290" s="134" t="s">
        <v>1194</v>
      </c>
      <c r="H290" s="135">
        <v>6</v>
      </c>
      <c r="I290" s="136">
        <v>373.84</v>
      </c>
      <c r="J290" s="136">
        <f t="shared" si="43"/>
        <v>2243.04</v>
      </c>
      <c r="K290" s="133" t="s">
        <v>1</v>
      </c>
      <c r="L290" s="137"/>
      <c r="M290" s="138" t="s">
        <v>1</v>
      </c>
      <c r="N290" s="139" t="s">
        <v>32</v>
      </c>
      <c r="O290" s="127">
        <v>0</v>
      </c>
      <c r="P290" s="127">
        <f t="shared" si="44"/>
        <v>0</v>
      </c>
      <c r="Q290" s="127">
        <v>0</v>
      </c>
      <c r="R290" s="127">
        <f t="shared" si="45"/>
        <v>0</v>
      </c>
      <c r="S290" s="127">
        <v>0</v>
      </c>
      <c r="T290" s="128">
        <f t="shared" si="46"/>
        <v>0</v>
      </c>
      <c r="W290" s="199"/>
      <c r="X290" s="131" t="s">
        <v>486</v>
      </c>
      <c r="Y290" s="131" t="s">
        <v>277</v>
      </c>
      <c r="Z290" s="132" t="s">
        <v>1701</v>
      </c>
      <c r="AA290" s="133" t="s">
        <v>1705</v>
      </c>
      <c r="AB290" s="134" t="s">
        <v>1194</v>
      </c>
      <c r="AC290" s="135">
        <v>6</v>
      </c>
      <c r="AD290" s="136">
        <v>373.84</v>
      </c>
      <c r="AE290" s="229">
        <f t="shared" si="47"/>
        <v>2243.04</v>
      </c>
      <c r="AF290" s="227"/>
      <c r="AG290" s="396"/>
      <c r="AI290" s="397"/>
      <c r="AR290" s="129" t="s">
        <v>705</v>
      </c>
      <c r="AT290" s="129" t="s">
        <v>277</v>
      </c>
      <c r="AU290" s="129" t="s">
        <v>63</v>
      </c>
      <c r="AY290" s="13" t="s">
        <v>228</v>
      </c>
      <c r="BE290" s="130">
        <f t="shared" si="48"/>
        <v>0</v>
      </c>
      <c r="BF290" s="130">
        <f t="shared" si="49"/>
        <v>2243.04</v>
      </c>
      <c r="BG290" s="130">
        <f t="shared" si="50"/>
        <v>0</v>
      </c>
      <c r="BH290" s="130">
        <f t="shared" si="51"/>
        <v>0</v>
      </c>
      <c r="BI290" s="130">
        <f t="shared" si="52"/>
        <v>0</v>
      </c>
      <c r="BJ290" s="13" t="s">
        <v>76</v>
      </c>
      <c r="BK290" s="130">
        <f t="shared" si="53"/>
        <v>2243.04</v>
      </c>
      <c r="BL290" s="13" t="s">
        <v>347</v>
      </c>
      <c r="BM290" s="129" t="s">
        <v>749</v>
      </c>
    </row>
    <row r="291" spans="2:65" s="1" customFormat="1" ht="16.5" customHeight="1" x14ac:dyDescent="0.2">
      <c r="B291" s="118"/>
      <c r="C291" s="119" t="s">
        <v>750</v>
      </c>
      <c r="D291" s="119" t="s">
        <v>231</v>
      </c>
      <c r="E291" s="120" t="s">
        <v>1708</v>
      </c>
      <c r="F291" s="121" t="s">
        <v>1709</v>
      </c>
      <c r="G291" s="122" t="s">
        <v>1194</v>
      </c>
      <c r="H291" s="123">
        <v>5</v>
      </c>
      <c r="I291" s="124">
        <v>200.27</v>
      </c>
      <c r="J291" s="124">
        <f t="shared" si="43"/>
        <v>1001.35</v>
      </c>
      <c r="K291" s="121" t="s">
        <v>1</v>
      </c>
      <c r="L291" s="24"/>
      <c r="M291" s="125" t="s">
        <v>1</v>
      </c>
      <c r="N291" s="126" t="s">
        <v>32</v>
      </c>
      <c r="O291" s="127">
        <v>0</v>
      </c>
      <c r="P291" s="127">
        <f t="shared" si="44"/>
        <v>0</v>
      </c>
      <c r="Q291" s="127">
        <v>0</v>
      </c>
      <c r="R291" s="127">
        <f t="shared" si="45"/>
        <v>0</v>
      </c>
      <c r="S291" s="127">
        <v>0</v>
      </c>
      <c r="T291" s="128">
        <f t="shared" si="46"/>
        <v>0</v>
      </c>
      <c r="W291" s="199"/>
      <c r="X291" s="119" t="s">
        <v>750</v>
      </c>
      <c r="Y291" s="119" t="s">
        <v>231</v>
      </c>
      <c r="Z291" s="120" t="s">
        <v>1708</v>
      </c>
      <c r="AA291" s="121" t="s">
        <v>1709</v>
      </c>
      <c r="AB291" s="122" t="s">
        <v>1194</v>
      </c>
      <c r="AC291" s="123">
        <v>5</v>
      </c>
      <c r="AD291" s="124">
        <v>200.27</v>
      </c>
      <c r="AE291" s="200">
        <f t="shared" si="47"/>
        <v>1001.35</v>
      </c>
      <c r="AF291" s="227"/>
      <c r="AG291" s="396"/>
      <c r="AI291" s="397"/>
      <c r="AR291" s="129" t="s">
        <v>347</v>
      </c>
      <c r="AT291" s="129" t="s">
        <v>231</v>
      </c>
      <c r="AU291" s="129" t="s">
        <v>63</v>
      </c>
      <c r="AY291" s="13" t="s">
        <v>228</v>
      </c>
      <c r="BE291" s="130">
        <f t="shared" si="48"/>
        <v>0</v>
      </c>
      <c r="BF291" s="130">
        <f t="shared" si="49"/>
        <v>1001.35</v>
      </c>
      <c r="BG291" s="130">
        <f t="shared" si="50"/>
        <v>0</v>
      </c>
      <c r="BH291" s="130">
        <f t="shared" si="51"/>
        <v>0</v>
      </c>
      <c r="BI291" s="130">
        <f t="shared" si="52"/>
        <v>0</v>
      </c>
      <c r="BJ291" s="13" t="s">
        <v>76</v>
      </c>
      <c r="BK291" s="130">
        <f t="shared" si="53"/>
        <v>1001.35</v>
      </c>
      <c r="BL291" s="13" t="s">
        <v>347</v>
      </c>
      <c r="BM291" s="129" t="s">
        <v>753</v>
      </c>
    </row>
    <row r="292" spans="2:65" s="1" customFormat="1" ht="16.5" customHeight="1" x14ac:dyDescent="0.2">
      <c r="B292" s="118"/>
      <c r="C292" s="131" t="s">
        <v>490</v>
      </c>
      <c r="D292" s="131" t="s">
        <v>277</v>
      </c>
      <c r="E292" s="132" t="s">
        <v>1704</v>
      </c>
      <c r="F292" s="133" t="s">
        <v>1709</v>
      </c>
      <c r="G292" s="134" t="s">
        <v>1194</v>
      </c>
      <c r="H292" s="135">
        <v>5</v>
      </c>
      <c r="I292" s="136">
        <v>1001.36</v>
      </c>
      <c r="J292" s="136">
        <f t="shared" si="43"/>
        <v>5006.8</v>
      </c>
      <c r="K292" s="133" t="s">
        <v>1</v>
      </c>
      <c r="L292" s="137"/>
      <c r="M292" s="138" t="s">
        <v>1</v>
      </c>
      <c r="N292" s="139" t="s">
        <v>32</v>
      </c>
      <c r="O292" s="127">
        <v>0</v>
      </c>
      <c r="P292" s="127">
        <f t="shared" si="44"/>
        <v>0</v>
      </c>
      <c r="Q292" s="127">
        <v>0</v>
      </c>
      <c r="R292" s="127">
        <f t="shared" si="45"/>
        <v>0</v>
      </c>
      <c r="S292" s="127">
        <v>0</v>
      </c>
      <c r="T292" s="128">
        <f t="shared" si="46"/>
        <v>0</v>
      </c>
      <c r="W292" s="199"/>
      <c r="X292" s="131" t="s">
        <v>490</v>
      </c>
      <c r="Y292" s="131" t="s">
        <v>277</v>
      </c>
      <c r="Z292" s="132" t="s">
        <v>1704</v>
      </c>
      <c r="AA292" s="133" t="s">
        <v>1709</v>
      </c>
      <c r="AB292" s="134" t="s">
        <v>1194</v>
      </c>
      <c r="AC292" s="135">
        <v>5</v>
      </c>
      <c r="AD292" s="136">
        <v>1001.36</v>
      </c>
      <c r="AE292" s="229">
        <f t="shared" si="47"/>
        <v>5006.8</v>
      </c>
      <c r="AF292" s="227"/>
      <c r="AG292" s="396"/>
      <c r="AI292" s="397"/>
      <c r="AR292" s="129" t="s">
        <v>705</v>
      </c>
      <c r="AT292" s="129" t="s">
        <v>277</v>
      </c>
      <c r="AU292" s="129" t="s">
        <v>63</v>
      </c>
      <c r="AY292" s="13" t="s">
        <v>228</v>
      </c>
      <c r="BE292" s="130">
        <f t="shared" si="48"/>
        <v>0</v>
      </c>
      <c r="BF292" s="130">
        <f t="shared" si="49"/>
        <v>5006.8</v>
      </c>
      <c r="BG292" s="130">
        <f t="shared" si="50"/>
        <v>0</v>
      </c>
      <c r="BH292" s="130">
        <f t="shared" si="51"/>
        <v>0</v>
      </c>
      <c r="BI292" s="130">
        <f t="shared" si="52"/>
        <v>0</v>
      </c>
      <c r="BJ292" s="13" t="s">
        <v>76</v>
      </c>
      <c r="BK292" s="130">
        <f t="shared" si="53"/>
        <v>5006.8</v>
      </c>
      <c r="BL292" s="13" t="s">
        <v>347</v>
      </c>
      <c r="BM292" s="129" t="s">
        <v>756</v>
      </c>
    </row>
    <row r="293" spans="2:65" s="372" customFormat="1" ht="16.5" customHeight="1" x14ac:dyDescent="0.2">
      <c r="B293" s="118"/>
      <c r="C293" s="1234" t="s">
        <v>5205</v>
      </c>
      <c r="D293" s="1235"/>
      <c r="E293" s="1235"/>
      <c r="F293" s="1235"/>
      <c r="G293" s="1235"/>
      <c r="H293" s="1235"/>
      <c r="I293" s="1235"/>
      <c r="J293" s="1236"/>
      <c r="K293" s="133"/>
      <c r="L293" s="137"/>
      <c r="M293" s="138"/>
      <c r="N293" s="139"/>
      <c r="O293" s="127"/>
      <c r="P293" s="127"/>
      <c r="Q293" s="127"/>
      <c r="R293" s="127"/>
      <c r="S293" s="127"/>
      <c r="T293" s="128"/>
      <c r="W293" s="199"/>
      <c r="X293" s="207" t="s">
        <v>5955</v>
      </c>
      <c r="Y293" s="207" t="s">
        <v>231</v>
      </c>
      <c r="Z293" s="208" t="s">
        <v>1735</v>
      </c>
      <c r="AA293" s="209" t="s">
        <v>1736</v>
      </c>
      <c r="AB293" s="210" t="s">
        <v>284</v>
      </c>
      <c r="AC293" s="211">
        <v>90</v>
      </c>
      <c r="AD293" s="212">
        <v>1.34</v>
      </c>
      <c r="AE293" s="214">
        <f>ROUND(AD293*AC293,2)</f>
        <v>120.6</v>
      </c>
      <c r="AF293" s="227">
        <v>2</v>
      </c>
      <c r="AG293" s="396"/>
      <c r="AI293" s="397"/>
      <c r="AR293" s="129"/>
      <c r="AT293" s="129"/>
      <c r="AU293" s="129"/>
      <c r="AY293" s="13"/>
      <c r="BE293" s="130"/>
      <c r="BF293" s="130"/>
      <c r="BG293" s="130"/>
      <c r="BH293" s="130"/>
      <c r="BI293" s="130"/>
      <c r="BJ293" s="13"/>
      <c r="BK293" s="130"/>
      <c r="BL293" s="13"/>
      <c r="BM293" s="129"/>
    </row>
    <row r="294" spans="2:65" s="372" customFormat="1" ht="16.5" customHeight="1" x14ac:dyDescent="0.2">
      <c r="B294" s="118"/>
      <c r="C294" s="1234" t="s">
        <v>5205</v>
      </c>
      <c r="D294" s="1235"/>
      <c r="E294" s="1235"/>
      <c r="F294" s="1235"/>
      <c r="G294" s="1235"/>
      <c r="H294" s="1235"/>
      <c r="I294" s="1235"/>
      <c r="J294" s="1236"/>
      <c r="K294" s="133"/>
      <c r="L294" s="137"/>
      <c r="M294" s="138"/>
      <c r="N294" s="139"/>
      <c r="O294" s="127"/>
      <c r="P294" s="127"/>
      <c r="Q294" s="127"/>
      <c r="R294" s="127"/>
      <c r="S294" s="127"/>
      <c r="T294" s="128"/>
      <c r="W294" s="199"/>
      <c r="X294" s="386" t="s">
        <v>5956</v>
      </c>
      <c r="Y294" s="386" t="s">
        <v>277</v>
      </c>
      <c r="Z294" s="387" t="s">
        <v>1735</v>
      </c>
      <c r="AA294" s="388" t="s">
        <v>1738</v>
      </c>
      <c r="AB294" s="389" t="s">
        <v>284</v>
      </c>
      <c r="AC294" s="390">
        <v>90</v>
      </c>
      <c r="AD294" s="391">
        <v>3.34</v>
      </c>
      <c r="AE294" s="401">
        <f>ROUND(AD294*AC294,2)</f>
        <v>300.60000000000002</v>
      </c>
      <c r="AF294" s="227">
        <v>2</v>
      </c>
      <c r="AG294" s="396"/>
      <c r="AI294" s="397"/>
      <c r="AR294" s="129"/>
      <c r="AT294" s="129"/>
      <c r="AU294" s="129"/>
      <c r="AY294" s="13"/>
      <c r="BE294" s="130"/>
      <c r="BF294" s="130"/>
      <c r="BG294" s="130"/>
      <c r="BH294" s="130"/>
      <c r="BI294" s="130"/>
      <c r="BJ294" s="13"/>
      <c r="BK294" s="130"/>
      <c r="BL294" s="13"/>
      <c r="BM294" s="129"/>
    </row>
    <row r="295" spans="2:65" s="1" customFormat="1" ht="16.5" customHeight="1" x14ac:dyDescent="0.2">
      <c r="B295" s="118"/>
      <c r="C295" s="444" t="s">
        <v>757</v>
      </c>
      <c r="D295" s="444" t="s">
        <v>277</v>
      </c>
      <c r="E295" s="453" t="s">
        <v>1708</v>
      </c>
      <c r="F295" s="454" t="s">
        <v>1741</v>
      </c>
      <c r="G295" s="455" t="s">
        <v>1194</v>
      </c>
      <c r="H295" s="443">
        <v>1</v>
      </c>
      <c r="I295" s="136">
        <v>5902.7</v>
      </c>
      <c r="J295" s="136">
        <f t="shared" si="43"/>
        <v>5902.7</v>
      </c>
      <c r="K295" s="133" t="s">
        <v>1</v>
      </c>
      <c r="L295" s="137"/>
      <c r="M295" s="138" t="s">
        <v>1</v>
      </c>
      <c r="N295" s="139" t="s">
        <v>32</v>
      </c>
      <c r="O295" s="127">
        <v>0</v>
      </c>
      <c r="P295" s="127">
        <f t="shared" si="44"/>
        <v>0</v>
      </c>
      <c r="Q295" s="127">
        <v>0</v>
      </c>
      <c r="R295" s="127">
        <f t="shared" si="45"/>
        <v>0</v>
      </c>
      <c r="S295" s="127">
        <v>0</v>
      </c>
      <c r="T295" s="128">
        <f t="shared" si="46"/>
        <v>0</v>
      </c>
      <c r="W295" s="199"/>
      <c r="X295" s="444" t="s">
        <v>757</v>
      </c>
      <c r="Y295" s="444" t="s">
        <v>277</v>
      </c>
      <c r="Z295" s="453" t="s">
        <v>1708</v>
      </c>
      <c r="AA295" s="454" t="s">
        <v>1741</v>
      </c>
      <c r="AB295" s="455" t="s">
        <v>1194</v>
      </c>
      <c r="AC295" s="443">
        <v>1</v>
      </c>
      <c r="AD295" s="456">
        <v>5902.7</v>
      </c>
      <c r="AE295" s="460">
        <f t="shared" si="47"/>
        <v>5902.7</v>
      </c>
      <c r="AF295" s="227"/>
      <c r="AG295" s="396"/>
      <c r="AI295" s="397"/>
      <c r="AR295" s="129" t="s">
        <v>705</v>
      </c>
      <c r="AT295" s="129" t="s">
        <v>277</v>
      </c>
      <c r="AU295" s="129" t="s">
        <v>63</v>
      </c>
      <c r="AY295" s="13" t="s">
        <v>228</v>
      </c>
      <c r="BE295" s="130">
        <f t="shared" si="48"/>
        <v>0</v>
      </c>
      <c r="BF295" s="130">
        <f t="shared" si="49"/>
        <v>5902.7</v>
      </c>
      <c r="BG295" s="130">
        <f t="shared" si="50"/>
        <v>0</v>
      </c>
      <c r="BH295" s="130">
        <f t="shared" si="51"/>
        <v>0</v>
      </c>
      <c r="BI295" s="130">
        <f t="shared" si="52"/>
        <v>0</v>
      </c>
      <c r="BJ295" s="13" t="s">
        <v>76</v>
      </c>
      <c r="BK295" s="130">
        <f t="shared" si="53"/>
        <v>5902.7</v>
      </c>
      <c r="BL295" s="13" t="s">
        <v>347</v>
      </c>
      <c r="BM295" s="129" t="s">
        <v>760</v>
      </c>
    </row>
    <row r="296" spans="2:65" s="1" customFormat="1" ht="16.5" customHeight="1" x14ac:dyDescent="0.2">
      <c r="B296" s="118"/>
      <c r="C296" s="131" t="s">
        <v>493</v>
      </c>
      <c r="D296" s="131" t="s">
        <v>277</v>
      </c>
      <c r="E296" s="132" t="s">
        <v>1720</v>
      </c>
      <c r="F296" s="133" t="s">
        <v>3957</v>
      </c>
      <c r="G296" s="134" t="s">
        <v>1194</v>
      </c>
      <c r="H296" s="135">
        <v>1</v>
      </c>
      <c r="I296" s="136">
        <v>3472.73</v>
      </c>
      <c r="J296" s="136">
        <f t="shared" si="43"/>
        <v>3472.73</v>
      </c>
      <c r="K296" s="133" t="s">
        <v>1</v>
      </c>
      <c r="L296" s="137"/>
      <c r="M296" s="138" t="s">
        <v>1</v>
      </c>
      <c r="N296" s="139" t="s">
        <v>32</v>
      </c>
      <c r="O296" s="127">
        <v>0</v>
      </c>
      <c r="P296" s="127">
        <f t="shared" si="44"/>
        <v>0</v>
      </c>
      <c r="Q296" s="127">
        <v>0</v>
      </c>
      <c r="R296" s="127">
        <f t="shared" si="45"/>
        <v>0</v>
      </c>
      <c r="S296" s="127">
        <v>0</v>
      </c>
      <c r="T296" s="128">
        <f t="shared" si="46"/>
        <v>0</v>
      </c>
      <c r="W296" s="199"/>
      <c r="X296" s="131" t="s">
        <v>493</v>
      </c>
      <c r="Y296" s="131" t="s">
        <v>277</v>
      </c>
      <c r="Z296" s="132" t="s">
        <v>1720</v>
      </c>
      <c r="AA296" s="133" t="s">
        <v>3957</v>
      </c>
      <c r="AB296" s="134" t="s">
        <v>1194</v>
      </c>
      <c r="AC296" s="135">
        <v>1</v>
      </c>
      <c r="AD296" s="136">
        <v>3472.73</v>
      </c>
      <c r="AE296" s="229">
        <f t="shared" si="47"/>
        <v>3472.73</v>
      </c>
      <c r="AF296" s="227"/>
      <c r="AG296" s="396"/>
      <c r="AI296" s="397"/>
      <c r="AR296" s="129" t="s">
        <v>705</v>
      </c>
      <c r="AT296" s="129" t="s">
        <v>277</v>
      </c>
      <c r="AU296" s="129" t="s">
        <v>63</v>
      </c>
      <c r="AY296" s="13" t="s">
        <v>228</v>
      </c>
      <c r="BE296" s="130">
        <f t="shared" si="48"/>
        <v>0</v>
      </c>
      <c r="BF296" s="130">
        <f t="shared" si="49"/>
        <v>3472.73</v>
      </c>
      <c r="BG296" s="130">
        <f t="shared" si="50"/>
        <v>0</v>
      </c>
      <c r="BH296" s="130">
        <f t="shared" si="51"/>
        <v>0</v>
      </c>
      <c r="BI296" s="130">
        <f t="shared" si="52"/>
        <v>0</v>
      </c>
      <c r="BJ296" s="13" t="s">
        <v>76</v>
      </c>
      <c r="BK296" s="130">
        <f t="shared" si="53"/>
        <v>3472.73</v>
      </c>
      <c r="BL296" s="13" t="s">
        <v>347</v>
      </c>
      <c r="BM296" s="129" t="s">
        <v>763</v>
      </c>
    </row>
    <row r="297" spans="2:65" s="1" customFormat="1" ht="16.5" customHeight="1" x14ac:dyDescent="0.2">
      <c r="B297" s="118"/>
      <c r="C297" s="119" t="s">
        <v>764</v>
      </c>
      <c r="D297" s="119" t="s">
        <v>231</v>
      </c>
      <c r="E297" s="120" t="s">
        <v>3958</v>
      </c>
      <c r="F297" s="121" t="s">
        <v>2987</v>
      </c>
      <c r="G297" s="122" t="s">
        <v>1194</v>
      </c>
      <c r="H297" s="123">
        <v>3</v>
      </c>
      <c r="I297" s="124">
        <v>103.7</v>
      </c>
      <c r="J297" s="124">
        <f t="shared" si="43"/>
        <v>311.10000000000002</v>
      </c>
      <c r="K297" s="121" t="s">
        <v>1</v>
      </c>
      <c r="L297" s="24"/>
      <c r="M297" s="125" t="s">
        <v>1</v>
      </c>
      <c r="N297" s="126" t="s">
        <v>32</v>
      </c>
      <c r="O297" s="127">
        <v>0</v>
      </c>
      <c r="P297" s="127">
        <f t="shared" si="44"/>
        <v>0</v>
      </c>
      <c r="Q297" s="127">
        <v>0</v>
      </c>
      <c r="R297" s="127">
        <f t="shared" si="45"/>
        <v>0</v>
      </c>
      <c r="S297" s="127">
        <v>0</v>
      </c>
      <c r="T297" s="128">
        <f t="shared" si="46"/>
        <v>0</v>
      </c>
      <c r="W297" s="199"/>
      <c r="X297" s="119" t="s">
        <v>764</v>
      </c>
      <c r="Y297" s="119" t="s">
        <v>231</v>
      </c>
      <c r="Z297" s="120" t="s">
        <v>3958</v>
      </c>
      <c r="AA297" s="121" t="s">
        <v>2987</v>
      </c>
      <c r="AB297" s="122" t="s">
        <v>1194</v>
      </c>
      <c r="AC297" s="123">
        <v>3</v>
      </c>
      <c r="AD297" s="124">
        <v>103.7</v>
      </c>
      <c r="AE297" s="200">
        <f t="shared" si="47"/>
        <v>311.10000000000002</v>
      </c>
      <c r="AF297" s="227"/>
      <c r="AG297" s="396"/>
      <c r="AI297" s="397"/>
      <c r="AR297" s="129" t="s">
        <v>347</v>
      </c>
      <c r="AT297" s="129" t="s">
        <v>231</v>
      </c>
      <c r="AU297" s="129" t="s">
        <v>63</v>
      </c>
      <c r="AY297" s="13" t="s">
        <v>228</v>
      </c>
      <c r="BE297" s="130">
        <f t="shared" si="48"/>
        <v>0</v>
      </c>
      <c r="BF297" s="130">
        <f t="shared" si="49"/>
        <v>311.10000000000002</v>
      </c>
      <c r="BG297" s="130">
        <f t="shared" si="50"/>
        <v>0</v>
      </c>
      <c r="BH297" s="130">
        <f t="shared" si="51"/>
        <v>0</v>
      </c>
      <c r="BI297" s="130">
        <f t="shared" si="52"/>
        <v>0</v>
      </c>
      <c r="BJ297" s="13" t="s">
        <v>76</v>
      </c>
      <c r="BK297" s="130">
        <f t="shared" si="53"/>
        <v>311.10000000000002</v>
      </c>
      <c r="BL297" s="13" t="s">
        <v>347</v>
      </c>
      <c r="BM297" s="129" t="s">
        <v>767</v>
      </c>
    </row>
    <row r="298" spans="2:65" s="1" customFormat="1" ht="24" customHeight="1" x14ac:dyDescent="0.2">
      <c r="B298" s="118"/>
      <c r="C298" s="119" t="s">
        <v>497</v>
      </c>
      <c r="D298" s="119" t="s">
        <v>231</v>
      </c>
      <c r="E298" s="120" t="s">
        <v>1371</v>
      </c>
      <c r="F298" s="121" t="s">
        <v>1372</v>
      </c>
      <c r="G298" s="122" t="s">
        <v>1194</v>
      </c>
      <c r="H298" s="123">
        <v>8</v>
      </c>
      <c r="I298" s="124">
        <v>20.47</v>
      </c>
      <c r="J298" s="124">
        <f t="shared" si="43"/>
        <v>163.76</v>
      </c>
      <c r="K298" s="121" t="s">
        <v>1</v>
      </c>
      <c r="L298" s="24"/>
      <c r="M298" s="125" t="s">
        <v>1</v>
      </c>
      <c r="N298" s="126" t="s">
        <v>32</v>
      </c>
      <c r="O298" s="127">
        <v>0</v>
      </c>
      <c r="P298" s="127">
        <f t="shared" si="44"/>
        <v>0</v>
      </c>
      <c r="Q298" s="127">
        <v>0</v>
      </c>
      <c r="R298" s="127">
        <f t="shared" si="45"/>
        <v>0</v>
      </c>
      <c r="S298" s="127">
        <v>0</v>
      </c>
      <c r="T298" s="128">
        <f t="shared" si="46"/>
        <v>0</v>
      </c>
      <c r="W298" s="199"/>
      <c r="X298" s="119" t="s">
        <v>497</v>
      </c>
      <c r="Y298" s="119" t="s">
        <v>231</v>
      </c>
      <c r="Z298" s="120" t="s">
        <v>1371</v>
      </c>
      <c r="AA298" s="121" t="s">
        <v>1372</v>
      </c>
      <c r="AB298" s="122" t="s">
        <v>1194</v>
      </c>
      <c r="AC298" s="123">
        <v>8</v>
      </c>
      <c r="AD298" s="124">
        <v>20.47</v>
      </c>
      <c r="AE298" s="200">
        <f t="shared" si="47"/>
        <v>163.76</v>
      </c>
      <c r="AF298" s="227"/>
      <c r="AG298" s="396"/>
      <c r="AI298" s="397"/>
      <c r="AR298" s="129" t="s">
        <v>347</v>
      </c>
      <c r="AT298" s="129" t="s">
        <v>231</v>
      </c>
      <c r="AU298" s="129" t="s">
        <v>63</v>
      </c>
      <c r="AY298" s="13" t="s">
        <v>228</v>
      </c>
      <c r="BE298" s="130">
        <f t="shared" si="48"/>
        <v>0</v>
      </c>
      <c r="BF298" s="130">
        <f t="shared" si="49"/>
        <v>163.76</v>
      </c>
      <c r="BG298" s="130">
        <f t="shared" si="50"/>
        <v>0</v>
      </c>
      <c r="BH298" s="130">
        <f t="shared" si="51"/>
        <v>0</v>
      </c>
      <c r="BI298" s="130">
        <f t="shared" si="52"/>
        <v>0</v>
      </c>
      <c r="BJ298" s="13" t="s">
        <v>76</v>
      </c>
      <c r="BK298" s="130">
        <f t="shared" si="53"/>
        <v>163.76</v>
      </c>
      <c r="BL298" s="13" t="s">
        <v>347</v>
      </c>
      <c r="BM298" s="129" t="s">
        <v>770</v>
      </c>
    </row>
    <row r="299" spans="2:65" s="1" customFormat="1" ht="24" customHeight="1" x14ac:dyDescent="0.2">
      <c r="B299" s="118"/>
      <c r="C299" s="119" t="s">
        <v>771</v>
      </c>
      <c r="D299" s="119" t="s">
        <v>231</v>
      </c>
      <c r="E299" s="120" t="s">
        <v>1337</v>
      </c>
      <c r="F299" s="121" t="s">
        <v>1338</v>
      </c>
      <c r="G299" s="122" t="s">
        <v>1194</v>
      </c>
      <c r="H299" s="123">
        <v>18</v>
      </c>
      <c r="I299" s="124">
        <v>3.52</v>
      </c>
      <c r="J299" s="124">
        <f t="shared" si="43"/>
        <v>63.36</v>
      </c>
      <c r="K299" s="121" t="s">
        <v>1</v>
      </c>
      <c r="L299" s="24"/>
      <c r="M299" s="125" t="s">
        <v>1</v>
      </c>
      <c r="N299" s="126" t="s">
        <v>32</v>
      </c>
      <c r="O299" s="127">
        <v>0</v>
      </c>
      <c r="P299" s="127">
        <f t="shared" si="44"/>
        <v>0</v>
      </c>
      <c r="Q299" s="127">
        <v>0</v>
      </c>
      <c r="R299" s="127">
        <f t="shared" si="45"/>
        <v>0</v>
      </c>
      <c r="S299" s="127">
        <v>0</v>
      </c>
      <c r="T299" s="128">
        <f t="shared" si="46"/>
        <v>0</v>
      </c>
      <c r="W299" s="199"/>
      <c r="X299" s="119" t="s">
        <v>771</v>
      </c>
      <c r="Y299" s="119" t="s">
        <v>231</v>
      </c>
      <c r="Z299" s="120" t="s">
        <v>1337</v>
      </c>
      <c r="AA299" s="121" t="s">
        <v>1338</v>
      </c>
      <c r="AB299" s="122" t="s">
        <v>1194</v>
      </c>
      <c r="AC299" s="123">
        <v>18</v>
      </c>
      <c r="AD299" s="124">
        <v>3.52</v>
      </c>
      <c r="AE299" s="200">
        <f t="shared" si="47"/>
        <v>63.36</v>
      </c>
      <c r="AF299" s="227"/>
      <c r="AG299" s="396"/>
      <c r="AI299" s="397"/>
      <c r="AR299" s="129" t="s">
        <v>347</v>
      </c>
      <c r="AT299" s="129" t="s">
        <v>231</v>
      </c>
      <c r="AU299" s="129" t="s">
        <v>63</v>
      </c>
      <c r="AY299" s="13" t="s">
        <v>228</v>
      </c>
      <c r="BE299" s="130">
        <f t="shared" si="48"/>
        <v>0</v>
      </c>
      <c r="BF299" s="130">
        <f t="shared" si="49"/>
        <v>63.36</v>
      </c>
      <c r="BG299" s="130">
        <f t="shared" si="50"/>
        <v>0</v>
      </c>
      <c r="BH299" s="130">
        <f t="shared" si="51"/>
        <v>0</v>
      </c>
      <c r="BI299" s="130">
        <f t="shared" si="52"/>
        <v>0</v>
      </c>
      <c r="BJ299" s="13" t="s">
        <v>76</v>
      </c>
      <c r="BK299" s="130">
        <f t="shared" si="53"/>
        <v>63.36</v>
      </c>
      <c r="BL299" s="13" t="s">
        <v>347</v>
      </c>
      <c r="BM299" s="129" t="s">
        <v>774</v>
      </c>
    </row>
    <row r="300" spans="2:65" s="1" customFormat="1" ht="24" customHeight="1" x14ac:dyDescent="0.2">
      <c r="B300" s="118"/>
      <c r="C300" s="119" t="s">
        <v>500</v>
      </c>
      <c r="D300" s="119" t="s">
        <v>231</v>
      </c>
      <c r="E300" s="120" t="s">
        <v>1328</v>
      </c>
      <c r="F300" s="121" t="s">
        <v>1329</v>
      </c>
      <c r="G300" s="122" t="s">
        <v>1194</v>
      </c>
      <c r="H300" s="123">
        <v>210</v>
      </c>
      <c r="I300" s="124">
        <v>0.87</v>
      </c>
      <c r="J300" s="124">
        <f t="shared" si="43"/>
        <v>182.7</v>
      </c>
      <c r="K300" s="121" t="s">
        <v>1</v>
      </c>
      <c r="L300" s="24"/>
      <c r="M300" s="125" t="s">
        <v>1</v>
      </c>
      <c r="N300" s="126" t="s">
        <v>32</v>
      </c>
      <c r="O300" s="127">
        <v>0</v>
      </c>
      <c r="P300" s="127">
        <f t="shared" si="44"/>
        <v>0</v>
      </c>
      <c r="Q300" s="127">
        <v>0</v>
      </c>
      <c r="R300" s="127">
        <f t="shared" si="45"/>
        <v>0</v>
      </c>
      <c r="S300" s="127">
        <v>0</v>
      </c>
      <c r="T300" s="128">
        <f t="shared" si="46"/>
        <v>0</v>
      </c>
      <c r="W300" s="199"/>
      <c r="X300" s="119" t="s">
        <v>500</v>
      </c>
      <c r="Y300" s="119" t="s">
        <v>231</v>
      </c>
      <c r="Z300" s="120" t="s">
        <v>1328</v>
      </c>
      <c r="AA300" s="121" t="s">
        <v>1329</v>
      </c>
      <c r="AB300" s="122" t="s">
        <v>1194</v>
      </c>
      <c r="AC300" s="123">
        <v>210</v>
      </c>
      <c r="AD300" s="124">
        <v>0.87</v>
      </c>
      <c r="AE300" s="200">
        <f t="shared" si="47"/>
        <v>182.7</v>
      </c>
      <c r="AF300" s="227"/>
      <c r="AG300" s="396"/>
      <c r="AI300" s="397"/>
      <c r="AR300" s="129" t="s">
        <v>347</v>
      </c>
      <c r="AT300" s="129" t="s">
        <v>231</v>
      </c>
      <c r="AU300" s="129" t="s">
        <v>63</v>
      </c>
      <c r="AY300" s="13" t="s">
        <v>228</v>
      </c>
      <c r="BE300" s="130">
        <f t="shared" si="48"/>
        <v>0</v>
      </c>
      <c r="BF300" s="130">
        <f t="shared" si="49"/>
        <v>182.7</v>
      </c>
      <c r="BG300" s="130">
        <f t="shared" si="50"/>
        <v>0</v>
      </c>
      <c r="BH300" s="130">
        <f t="shared" si="51"/>
        <v>0</v>
      </c>
      <c r="BI300" s="130">
        <f t="shared" si="52"/>
        <v>0</v>
      </c>
      <c r="BJ300" s="13" t="s">
        <v>76</v>
      </c>
      <c r="BK300" s="130">
        <f t="shared" si="53"/>
        <v>182.7</v>
      </c>
      <c r="BL300" s="13" t="s">
        <v>347</v>
      </c>
      <c r="BM300" s="129" t="s">
        <v>777</v>
      </c>
    </row>
    <row r="301" spans="2:65" s="1" customFormat="1" ht="24" customHeight="1" x14ac:dyDescent="0.2">
      <c r="B301" s="118"/>
      <c r="C301" s="119" t="s">
        <v>778</v>
      </c>
      <c r="D301" s="119" t="s">
        <v>231</v>
      </c>
      <c r="E301" s="120" t="s">
        <v>1365</v>
      </c>
      <c r="F301" s="121" t="s">
        <v>1366</v>
      </c>
      <c r="G301" s="122" t="s">
        <v>1194</v>
      </c>
      <c r="H301" s="123">
        <v>47</v>
      </c>
      <c r="I301" s="124">
        <v>4.74</v>
      </c>
      <c r="J301" s="124">
        <f t="shared" si="43"/>
        <v>222.78</v>
      </c>
      <c r="K301" s="121" t="s">
        <v>1</v>
      </c>
      <c r="L301" s="24"/>
      <c r="M301" s="125" t="s">
        <v>1</v>
      </c>
      <c r="N301" s="126" t="s">
        <v>32</v>
      </c>
      <c r="O301" s="127">
        <v>0</v>
      </c>
      <c r="P301" s="127">
        <f t="shared" si="44"/>
        <v>0</v>
      </c>
      <c r="Q301" s="127">
        <v>0</v>
      </c>
      <c r="R301" s="127">
        <f t="shared" si="45"/>
        <v>0</v>
      </c>
      <c r="S301" s="127">
        <v>0</v>
      </c>
      <c r="T301" s="128">
        <f t="shared" si="46"/>
        <v>0</v>
      </c>
      <c r="W301" s="199"/>
      <c r="X301" s="119" t="s">
        <v>778</v>
      </c>
      <c r="Y301" s="119" t="s">
        <v>231</v>
      </c>
      <c r="Z301" s="120" t="s">
        <v>1365</v>
      </c>
      <c r="AA301" s="121" t="s">
        <v>1366</v>
      </c>
      <c r="AB301" s="122" t="s">
        <v>1194</v>
      </c>
      <c r="AC301" s="123">
        <v>47</v>
      </c>
      <c r="AD301" s="124">
        <v>4.74</v>
      </c>
      <c r="AE301" s="200">
        <f t="shared" si="47"/>
        <v>222.78</v>
      </c>
      <c r="AF301" s="227"/>
      <c r="AG301" s="396"/>
      <c r="AI301" s="397"/>
      <c r="AR301" s="129" t="s">
        <v>347</v>
      </c>
      <c r="AT301" s="129" t="s">
        <v>231</v>
      </c>
      <c r="AU301" s="129" t="s">
        <v>63</v>
      </c>
      <c r="AY301" s="13" t="s">
        <v>228</v>
      </c>
      <c r="BE301" s="130">
        <f t="shared" si="48"/>
        <v>0</v>
      </c>
      <c r="BF301" s="130">
        <f t="shared" si="49"/>
        <v>222.78</v>
      </c>
      <c r="BG301" s="130">
        <f t="shared" si="50"/>
        <v>0</v>
      </c>
      <c r="BH301" s="130">
        <f t="shared" si="51"/>
        <v>0</v>
      </c>
      <c r="BI301" s="130">
        <f t="shared" si="52"/>
        <v>0</v>
      </c>
      <c r="BJ301" s="13" t="s">
        <v>76</v>
      </c>
      <c r="BK301" s="130">
        <f t="shared" si="53"/>
        <v>222.78</v>
      </c>
      <c r="BL301" s="13" t="s">
        <v>347</v>
      </c>
      <c r="BM301" s="129" t="s">
        <v>781</v>
      </c>
    </row>
    <row r="302" spans="2:65" s="1" customFormat="1" ht="16.5" customHeight="1" x14ac:dyDescent="0.2">
      <c r="B302" s="118"/>
      <c r="C302" s="285" t="s">
        <v>504</v>
      </c>
      <c r="D302" s="285" t="s">
        <v>231</v>
      </c>
      <c r="E302" s="286" t="s">
        <v>3893</v>
      </c>
      <c r="F302" s="240" t="s">
        <v>3894</v>
      </c>
      <c r="G302" s="287" t="s">
        <v>1194</v>
      </c>
      <c r="H302" s="288">
        <v>1</v>
      </c>
      <c r="I302" s="124">
        <v>9.2899999999999991</v>
      </c>
      <c r="J302" s="124">
        <f t="shared" si="43"/>
        <v>9.2899999999999991</v>
      </c>
      <c r="K302" s="121" t="s">
        <v>1</v>
      </c>
      <c r="L302" s="24"/>
      <c r="M302" s="125" t="s">
        <v>1</v>
      </c>
      <c r="N302" s="126" t="s">
        <v>32</v>
      </c>
      <c r="O302" s="127">
        <v>0</v>
      </c>
      <c r="P302" s="127">
        <f t="shared" si="44"/>
        <v>0</v>
      </c>
      <c r="Q302" s="127">
        <v>0</v>
      </c>
      <c r="R302" s="127">
        <f t="shared" si="45"/>
        <v>0</v>
      </c>
      <c r="S302" s="127">
        <v>0</v>
      </c>
      <c r="T302" s="128">
        <f t="shared" si="46"/>
        <v>0</v>
      </c>
      <c r="W302" s="199"/>
      <c r="X302" s="285" t="s">
        <v>504</v>
      </c>
      <c r="Y302" s="119" t="s">
        <v>231</v>
      </c>
      <c r="Z302" s="120" t="s">
        <v>3893</v>
      </c>
      <c r="AA302" s="121" t="s">
        <v>3894</v>
      </c>
      <c r="AB302" s="122" t="s">
        <v>1194</v>
      </c>
      <c r="AC302" s="288">
        <v>1</v>
      </c>
      <c r="AD302" s="124">
        <v>9.2899999999999991</v>
      </c>
      <c r="AE302" s="200">
        <f t="shared" si="47"/>
        <v>9.2899999999999991</v>
      </c>
      <c r="AF302" s="227"/>
      <c r="AG302" s="396"/>
      <c r="AI302" s="397"/>
      <c r="AR302" s="129" t="s">
        <v>347</v>
      </c>
      <c r="AT302" s="129" t="s">
        <v>231</v>
      </c>
      <c r="AU302" s="129" t="s">
        <v>63</v>
      </c>
      <c r="AY302" s="13" t="s">
        <v>228</v>
      </c>
      <c r="BE302" s="130">
        <f t="shared" si="48"/>
        <v>0</v>
      </c>
      <c r="BF302" s="130">
        <f t="shared" si="49"/>
        <v>9.2899999999999991</v>
      </c>
      <c r="BG302" s="130">
        <f t="shared" si="50"/>
        <v>0</v>
      </c>
      <c r="BH302" s="130">
        <f t="shared" si="51"/>
        <v>0</v>
      </c>
      <c r="BI302" s="130">
        <f t="shared" si="52"/>
        <v>0</v>
      </c>
      <c r="BJ302" s="13" t="s">
        <v>76</v>
      </c>
      <c r="BK302" s="130">
        <f t="shared" si="53"/>
        <v>9.2899999999999991</v>
      </c>
      <c r="BL302" s="13" t="s">
        <v>347</v>
      </c>
      <c r="BM302" s="129" t="s">
        <v>784</v>
      </c>
    </row>
    <row r="303" spans="2:65" s="1" customFormat="1" ht="24" customHeight="1" x14ac:dyDescent="0.2">
      <c r="B303" s="118"/>
      <c r="C303" s="444" t="s">
        <v>787</v>
      </c>
      <c r="D303" s="444" t="s">
        <v>277</v>
      </c>
      <c r="E303" s="453" t="s">
        <v>3959</v>
      </c>
      <c r="F303" s="454" t="s">
        <v>3960</v>
      </c>
      <c r="G303" s="455" t="s">
        <v>1194</v>
      </c>
      <c r="H303" s="443">
        <v>1</v>
      </c>
      <c r="I303" s="136">
        <v>46.73</v>
      </c>
      <c r="J303" s="136">
        <f t="shared" si="43"/>
        <v>46.73</v>
      </c>
      <c r="K303" s="133" t="s">
        <v>1</v>
      </c>
      <c r="L303" s="137"/>
      <c r="M303" s="138" t="s">
        <v>1</v>
      </c>
      <c r="N303" s="139" t="s">
        <v>32</v>
      </c>
      <c r="O303" s="127">
        <v>0</v>
      </c>
      <c r="P303" s="127">
        <f t="shared" si="44"/>
        <v>0</v>
      </c>
      <c r="Q303" s="127">
        <v>0</v>
      </c>
      <c r="R303" s="127">
        <f t="shared" si="45"/>
        <v>0</v>
      </c>
      <c r="S303" s="127">
        <v>0</v>
      </c>
      <c r="T303" s="128">
        <f t="shared" si="46"/>
        <v>0</v>
      </c>
      <c r="W303" s="199"/>
      <c r="X303" s="444" t="s">
        <v>787</v>
      </c>
      <c r="Y303" s="131" t="s">
        <v>277</v>
      </c>
      <c r="Z303" s="132" t="s">
        <v>3959</v>
      </c>
      <c r="AA303" s="133" t="s">
        <v>3960</v>
      </c>
      <c r="AB303" s="134" t="s">
        <v>1194</v>
      </c>
      <c r="AC303" s="443">
        <v>1</v>
      </c>
      <c r="AD303" s="136">
        <v>46.73</v>
      </c>
      <c r="AE303" s="229">
        <f t="shared" si="47"/>
        <v>46.73</v>
      </c>
      <c r="AF303" s="227"/>
      <c r="AG303" s="396"/>
      <c r="AI303" s="397"/>
      <c r="AR303" s="129" t="s">
        <v>705</v>
      </c>
      <c r="AT303" s="129" t="s">
        <v>277</v>
      </c>
      <c r="AU303" s="129" t="s">
        <v>63</v>
      </c>
      <c r="AY303" s="13" t="s">
        <v>228</v>
      </c>
      <c r="BE303" s="130">
        <f t="shared" si="48"/>
        <v>0</v>
      </c>
      <c r="BF303" s="130">
        <f t="shared" si="49"/>
        <v>46.73</v>
      </c>
      <c r="BG303" s="130">
        <f t="shared" si="50"/>
        <v>0</v>
      </c>
      <c r="BH303" s="130">
        <f t="shared" si="51"/>
        <v>0</v>
      </c>
      <c r="BI303" s="130">
        <f t="shared" si="52"/>
        <v>0</v>
      </c>
      <c r="BJ303" s="13" t="s">
        <v>76</v>
      </c>
      <c r="BK303" s="130">
        <f t="shared" si="53"/>
        <v>46.73</v>
      </c>
      <c r="BL303" s="13" t="s">
        <v>347</v>
      </c>
      <c r="BM303" s="129" t="s">
        <v>790</v>
      </c>
    </row>
    <row r="304" spans="2:65" s="1" customFormat="1" ht="24" customHeight="1" x14ac:dyDescent="0.2">
      <c r="B304" s="118"/>
      <c r="C304" s="285" t="s">
        <v>507</v>
      </c>
      <c r="D304" s="285" t="s">
        <v>231</v>
      </c>
      <c r="E304" s="286" t="s">
        <v>3837</v>
      </c>
      <c r="F304" s="240" t="s">
        <v>3838</v>
      </c>
      <c r="G304" s="287" t="s">
        <v>1194</v>
      </c>
      <c r="H304" s="288">
        <v>12</v>
      </c>
      <c r="I304" s="124">
        <v>1.68</v>
      </c>
      <c r="J304" s="124">
        <f t="shared" si="43"/>
        <v>20.16</v>
      </c>
      <c r="K304" s="121" t="s">
        <v>1</v>
      </c>
      <c r="L304" s="24"/>
      <c r="M304" s="125" t="s">
        <v>1</v>
      </c>
      <c r="N304" s="126" t="s">
        <v>32</v>
      </c>
      <c r="O304" s="127">
        <v>0</v>
      </c>
      <c r="P304" s="127">
        <f t="shared" si="44"/>
        <v>0</v>
      </c>
      <c r="Q304" s="127">
        <v>0</v>
      </c>
      <c r="R304" s="127">
        <f t="shared" si="45"/>
        <v>0</v>
      </c>
      <c r="S304" s="127">
        <v>0</v>
      </c>
      <c r="T304" s="128">
        <f t="shared" si="46"/>
        <v>0</v>
      </c>
      <c r="W304" s="199"/>
      <c r="X304" s="285" t="s">
        <v>507</v>
      </c>
      <c r="Y304" s="119" t="s">
        <v>231</v>
      </c>
      <c r="Z304" s="120" t="s">
        <v>3837</v>
      </c>
      <c r="AA304" s="121" t="s">
        <v>3838</v>
      </c>
      <c r="AB304" s="122" t="s">
        <v>1194</v>
      </c>
      <c r="AC304" s="288">
        <v>12</v>
      </c>
      <c r="AD304" s="124">
        <v>1.68</v>
      </c>
      <c r="AE304" s="200">
        <f t="shared" si="47"/>
        <v>20.16</v>
      </c>
      <c r="AF304" s="227"/>
      <c r="AG304" s="396"/>
      <c r="AI304" s="397"/>
      <c r="AR304" s="129" t="s">
        <v>347</v>
      </c>
      <c r="AT304" s="129" t="s">
        <v>231</v>
      </c>
      <c r="AU304" s="129" t="s">
        <v>63</v>
      </c>
      <c r="AY304" s="13" t="s">
        <v>228</v>
      </c>
      <c r="BE304" s="130">
        <f t="shared" si="48"/>
        <v>0</v>
      </c>
      <c r="BF304" s="130">
        <f t="shared" si="49"/>
        <v>20.16</v>
      </c>
      <c r="BG304" s="130">
        <f t="shared" si="50"/>
        <v>0</v>
      </c>
      <c r="BH304" s="130">
        <f t="shared" si="51"/>
        <v>0</v>
      </c>
      <c r="BI304" s="130">
        <f t="shared" si="52"/>
        <v>0</v>
      </c>
      <c r="BJ304" s="13" t="s">
        <v>76</v>
      </c>
      <c r="BK304" s="130">
        <f t="shared" si="53"/>
        <v>20.16</v>
      </c>
      <c r="BL304" s="13" t="s">
        <v>347</v>
      </c>
      <c r="BM304" s="129" t="s">
        <v>793</v>
      </c>
    </row>
    <row r="305" spans="2:65" s="1" customFormat="1" ht="24" customHeight="1" x14ac:dyDescent="0.2">
      <c r="B305" s="118"/>
      <c r="C305" s="444" t="s">
        <v>794</v>
      </c>
      <c r="D305" s="444" t="s">
        <v>277</v>
      </c>
      <c r="E305" s="453" t="s">
        <v>3961</v>
      </c>
      <c r="F305" s="454" t="s">
        <v>3962</v>
      </c>
      <c r="G305" s="455" t="s">
        <v>1035</v>
      </c>
      <c r="H305" s="443">
        <v>12</v>
      </c>
      <c r="I305" s="136">
        <v>1.47</v>
      </c>
      <c r="J305" s="136">
        <f t="shared" si="43"/>
        <v>17.64</v>
      </c>
      <c r="K305" s="133" t="s">
        <v>1</v>
      </c>
      <c r="L305" s="137"/>
      <c r="M305" s="138" t="s">
        <v>1</v>
      </c>
      <c r="N305" s="139" t="s">
        <v>32</v>
      </c>
      <c r="O305" s="127">
        <v>0</v>
      </c>
      <c r="P305" s="127">
        <f t="shared" si="44"/>
        <v>0</v>
      </c>
      <c r="Q305" s="127">
        <v>0</v>
      </c>
      <c r="R305" s="127">
        <f t="shared" si="45"/>
        <v>0</v>
      </c>
      <c r="S305" s="127">
        <v>0</v>
      </c>
      <c r="T305" s="128">
        <f t="shared" si="46"/>
        <v>0</v>
      </c>
      <c r="W305" s="199"/>
      <c r="X305" s="444" t="s">
        <v>794</v>
      </c>
      <c r="Y305" s="131" t="s">
        <v>277</v>
      </c>
      <c r="Z305" s="132" t="s">
        <v>3961</v>
      </c>
      <c r="AA305" s="133" t="s">
        <v>3962</v>
      </c>
      <c r="AB305" s="134" t="s">
        <v>1035</v>
      </c>
      <c r="AC305" s="443">
        <v>12</v>
      </c>
      <c r="AD305" s="136">
        <v>1.47</v>
      </c>
      <c r="AE305" s="229">
        <f t="shared" si="47"/>
        <v>17.64</v>
      </c>
      <c r="AF305" s="227"/>
      <c r="AG305" s="396"/>
      <c r="AI305" s="397"/>
      <c r="AR305" s="129" t="s">
        <v>705</v>
      </c>
      <c r="AT305" s="129" t="s">
        <v>277</v>
      </c>
      <c r="AU305" s="129" t="s">
        <v>63</v>
      </c>
      <c r="AY305" s="13" t="s">
        <v>228</v>
      </c>
      <c r="BE305" s="130">
        <f t="shared" si="48"/>
        <v>0</v>
      </c>
      <c r="BF305" s="130">
        <f t="shared" si="49"/>
        <v>17.64</v>
      </c>
      <c r="BG305" s="130">
        <f t="shared" si="50"/>
        <v>0</v>
      </c>
      <c r="BH305" s="130">
        <f t="shared" si="51"/>
        <v>0</v>
      </c>
      <c r="BI305" s="130">
        <f t="shared" si="52"/>
        <v>0</v>
      </c>
      <c r="BJ305" s="13" t="s">
        <v>76</v>
      </c>
      <c r="BK305" s="130">
        <f t="shared" si="53"/>
        <v>17.64</v>
      </c>
      <c r="BL305" s="13" t="s">
        <v>347</v>
      </c>
      <c r="BM305" s="129" t="s">
        <v>797</v>
      </c>
    </row>
    <row r="306" spans="2:65" s="1" customFormat="1" ht="16.5" customHeight="1" x14ac:dyDescent="0.2">
      <c r="B306" s="118"/>
      <c r="C306" s="205" t="s">
        <v>511</v>
      </c>
      <c r="D306" s="119" t="s">
        <v>231</v>
      </c>
      <c r="E306" s="120" t="s">
        <v>3881</v>
      </c>
      <c r="F306" s="121" t="s">
        <v>3882</v>
      </c>
      <c r="G306" s="122" t="s">
        <v>1194</v>
      </c>
      <c r="H306" s="206">
        <v>2</v>
      </c>
      <c r="I306" s="124">
        <v>4.8099999999999996</v>
      </c>
      <c r="J306" s="124">
        <f t="shared" si="43"/>
        <v>9.6199999999999992</v>
      </c>
      <c r="K306" s="121" t="s">
        <v>1</v>
      </c>
      <c r="L306" s="24"/>
      <c r="M306" s="125" t="s">
        <v>1</v>
      </c>
      <c r="N306" s="126" t="s">
        <v>32</v>
      </c>
      <c r="O306" s="127">
        <v>0</v>
      </c>
      <c r="P306" s="127">
        <f t="shared" si="44"/>
        <v>0</v>
      </c>
      <c r="Q306" s="127">
        <v>0</v>
      </c>
      <c r="R306" s="127">
        <f t="shared" si="45"/>
        <v>0</v>
      </c>
      <c r="S306" s="127">
        <v>0</v>
      </c>
      <c r="T306" s="128">
        <f t="shared" si="46"/>
        <v>0</v>
      </c>
      <c r="W306" s="199"/>
      <c r="X306" s="205" t="s">
        <v>511</v>
      </c>
      <c r="Y306" s="119" t="s">
        <v>231</v>
      </c>
      <c r="Z306" s="120" t="s">
        <v>3881</v>
      </c>
      <c r="AA306" s="121" t="s">
        <v>3882</v>
      </c>
      <c r="AB306" s="122" t="s">
        <v>1194</v>
      </c>
      <c r="AC306" s="206">
        <f>2+28</f>
        <v>30</v>
      </c>
      <c r="AD306" s="124">
        <v>4.8099999999999996</v>
      </c>
      <c r="AE306" s="200">
        <f t="shared" si="47"/>
        <v>144.30000000000001</v>
      </c>
      <c r="AF306" s="227">
        <v>2</v>
      </c>
      <c r="AG306" s="396"/>
      <c r="AI306" s="397"/>
      <c r="AR306" s="129" t="s">
        <v>347</v>
      </c>
      <c r="AT306" s="129" t="s">
        <v>231</v>
      </c>
      <c r="AU306" s="129" t="s">
        <v>63</v>
      </c>
      <c r="AY306" s="13" t="s">
        <v>228</v>
      </c>
      <c r="BE306" s="130">
        <f t="shared" si="48"/>
        <v>0</v>
      </c>
      <c r="BF306" s="130">
        <f t="shared" si="49"/>
        <v>9.6199999999999992</v>
      </c>
      <c r="BG306" s="130">
        <f t="shared" si="50"/>
        <v>0</v>
      </c>
      <c r="BH306" s="130">
        <f t="shared" si="51"/>
        <v>0</v>
      </c>
      <c r="BI306" s="130">
        <f t="shared" si="52"/>
        <v>0</v>
      </c>
      <c r="BJ306" s="13" t="s">
        <v>76</v>
      </c>
      <c r="BK306" s="130">
        <f t="shared" si="53"/>
        <v>9.6199999999999992</v>
      </c>
      <c r="BL306" s="13" t="s">
        <v>347</v>
      </c>
      <c r="BM306" s="129" t="s">
        <v>800</v>
      </c>
    </row>
    <row r="307" spans="2:65" s="1" customFormat="1" ht="24" customHeight="1" x14ac:dyDescent="0.2">
      <c r="B307" s="118"/>
      <c r="C307" s="242" t="s">
        <v>801</v>
      </c>
      <c r="D307" s="131" t="s">
        <v>277</v>
      </c>
      <c r="E307" s="132" t="s">
        <v>3963</v>
      </c>
      <c r="F307" s="133" t="s">
        <v>3964</v>
      </c>
      <c r="G307" s="134" t="s">
        <v>1194</v>
      </c>
      <c r="H307" s="241">
        <v>2</v>
      </c>
      <c r="I307" s="136">
        <v>0.87</v>
      </c>
      <c r="J307" s="136">
        <f t="shared" si="43"/>
        <v>1.74</v>
      </c>
      <c r="K307" s="133" t="s">
        <v>1</v>
      </c>
      <c r="L307" s="137"/>
      <c r="M307" s="138" t="s">
        <v>1</v>
      </c>
      <c r="N307" s="139" t="s">
        <v>32</v>
      </c>
      <c r="O307" s="127">
        <v>0</v>
      </c>
      <c r="P307" s="127">
        <f t="shared" si="44"/>
        <v>0</v>
      </c>
      <c r="Q307" s="127">
        <v>0</v>
      </c>
      <c r="R307" s="127">
        <f t="shared" si="45"/>
        <v>0</v>
      </c>
      <c r="S307" s="127">
        <v>0</v>
      </c>
      <c r="T307" s="128">
        <f t="shared" si="46"/>
        <v>0</v>
      </c>
      <c r="W307" s="199"/>
      <c r="X307" s="242" t="s">
        <v>801</v>
      </c>
      <c r="Y307" s="131" t="s">
        <v>277</v>
      </c>
      <c r="Z307" s="132" t="s">
        <v>3963</v>
      </c>
      <c r="AA307" s="133" t="s">
        <v>3964</v>
      </c>
      <c r="AB307" s="134" t="s">
        <v>1194</v>
      </c>
      <c r="AC307" s="241">
        <f>2+28</f>
        <v>30</v>
      </c>
      <c r="AD307" s="136">
        <v>0.87</v>
      </c>
      <c r="AE307" s="229">
        <f t="shared" si="47"/>
        <v>26.1</v>
      </c>
      <c r="AF307" s="227">
        <v>2</v>
      </c>
      <c r="AG307" s="396"/>
      <c r="AI307" s="397"/>
      <c r="AR307" s="129" t="s">
        <v>705</v>
      </c>
      <c r="AT307" s="129" t="s">
        <v>277</v>
      </c>
      <c r="AU307" s="129" t="s">
        <v>63</v>
      </c>
      <c r="AY307" s="13" t="s">
        <v>228</v>
      </c>
      <c r="BE307" s="130">
        <f t="shared" si="48"/>
        <v>0</v>
      </c>
      <c r="BF307" s="130">
        <f t="shared" si="49"/>
        <v>1.74</v>
      </c>
      <c r="BG307" s="130">
        <f t="shared" si="50"/>
        <v>0</v>
      </c>
      <c r="BH307" s="130">
        <f t="shared" si="51"/>
        <v>0</v>
      </c>
      <c r="BI307" s="130">
        <f t="shared" si="52"/>
        <v>0</v>
      </c>
      <c r="BJ307" s="13" t="s">
        <v>76</v>
      </c>
      <c r="BK307" s="130">
        <f t="shared" si="53"/>
        <v>1.74</v>
      </c>
      <c r="BL307" s="13" t="s">
        <v>347</v>
      </c>
      <c r="BM307" s="129" t="s">
        <v>804</v>
      </c>
    </row>
    <row r="308" spans="2:65" s="1" customFormat="1" ht="24" customHeight="1" x14ac:dyDescent="0.2">
      <c r="B308" s="118"/>
      <c r="C308" s="205" t="s">
        <v>514</v>
      </c>
      <c r="D308" s="119" t="s">
        <v>231</v>
      </c>
      <c r="E308" s="120" t="s">
        <v>3965</v>
      </c>
      <c r="F308" s="121" t="s">
        <v>3966</v>
      </c>
      <c r="G308" s="122" t="s">
        <v>292</v>
      </c>
      <c r="H308" s="206">
        <v>28</v>
      </c>
      <c r="I308" s="124">
        <v>5.83</v>
      </c>
      <c r="J308" s="124">
        <f t="shared" si="43"/>
        <v>163.24</v>
      </c>
      <c r="K308" s="121" t="s">
        <v>1</v>
      </c>
      <c r="L308" s="24"/>
      <c r="M308" s="125" t="s">
        <v>1</v>
      </c>
      <c r="N308" s="126" t="s">
        <v>32</v>
      </c>
      <c r="O308" s="127">
        <v>0</v>
      </c>
      <c r="P308" s="127">
        <f t="shared" si="44"/>
        <v>0</v>
      </c>
      <c r="Q308" s="127">
        <v>0</v>
      </c>
      <c r="R308" s="127">
        <f t="shared" si="45"/>
        <v>0</v>
      </c>
      <c r="S308" s="127">
        <v>0</v>
      </c>
      <c r="T308" s="128">
        <f t="shared" si="46"/>
        <v>0</v>
      </c>
      <c r="W308" s="199"/>
      <c r="X308" s="205" t="s">
        <v>514</v>
      </c>
      <c r="Y308" s="119" t="s">
        <v>231</v>
      </c>
      <c r="Z308" s="120" t="s">
        <v>3965</v>
      </c>
      <c r="AA308" s="121" t="s">
        <v>3966</v>
      </c>
      <c r="AB308" s="122" t="s">
        <v>292</v>
      </c>
      <c r="AC308" s="206">
        <f>28+16</f>
        <v>44</v>
      </c>
      <c r="AD308" s="124">
        <v>5.83</v>
      </c>
      <c r="AE308" s="200">
        <f t="shared" si="47"/>
        <v>256.52</v>
      </c>
      <c r="AF308" s="227">
        <v>2</v>
      </c>
      <c r="AG308" s="396"/>
      <c r="AI308" s="397"/>
      <c r="AR308" s="129" t="s">
        <v>347</v>
      </c>
      <c r="AT308" s="129" t="s">
        <v>231</v>
      </c>
      <c r="AU308" s="129" t="s">
        <v>63</v>
      </c>
      <c r="AY308" s="13" t="s">
        <v>228</v>
      </c>
      <c r="BE308" s="130">
        <f t="shared" si="48"/>
        <v>0</v>
      </c>
      <c r="BF308" s="130">
        <f t="shared" si="49"/>
        <v>163.24</v>
      </c>
      <c r="BG308" s="130">
        <f t="shared" si="50"/>
        <v>0</v>
      </c>
      <c r="BH308" s="130">
        <f t="shared" si="51"/>
        <v>0</v>
      </c>
      <c r="BI308" s="130">
        <f t="shared" si="52"/>
        <v>0</v>
      </c>
      <c r="BJ308" s="13" t="s">
        <v>76</v>
      </c>
      <c r="BK308" s="130">
        <f t="shared" si="53"/>
        <v>163.24</v>
      </c>
      <c r="BL308" s="13" t="s">
        <v>347</v>
      </c>
      <c r="BM308" s="129" t="s">
        <v>807</v>
      </c>
    </row>
    <row r="309" spans="2:65" s="1" customFormat="1" ht="24" customHeight="1" x14ac:dyDescent="0.2">
      <c r="B309" s="118"/>
      <c r="C309" s="285" t="s">
        <v>808</v>
      </c>
      <c r="D309" s="285" t="s">
        <v>231</v>
      </c>
      <c r="E309" s="286" t="s">
        <v>3965</v>
      </c>
      <c r="F309" s="240" t="s">
        <v>3966</v>
      </c>
      <c r="G309" s="287" t="s">
        <v>292</v>
      </c>
      <c r="H309" s="288">
        <v>28</v>
      </c>
      <c r="I309" s="124">
        <v>5.83</v>
      </c>
      <c r="J309" s="124">
        <f t="shared" si="43"/>
        <v>163.24</v>
      </c>
      <c r="K309" s="121" t="s">
        <v>1</v>
      </c>
      <c r="L309" s="24"/>
      <c r="M309" s="125" t="s">
        <v>1</v>
      </c>
      <c r="N309" s="126" t="s">
        <v>32</v>
      </c>
      <c r="O309" s="127">
        <v>0</v>
      </c>
      <c r="P309" s="127">
        <f t="shared" si="44"/>
        <v>0</v>
      </c>
      <c r="Q309" s="127">
        <v>0</v>
      </c>
      <c r="R309" s="127">
        <f t="shared" si="45"/>
        <v>0</v>
      </c>
      <c r="S309" s="127">
        <v>0</v>
      </c>
      <c r="T309" s="128">
        <f t="shared" si="46"/>
        <v>0</v>
      </c>
      <c r="W309" s="199"/>
      <c r="X309" s="285" t="s">
        <v>808</v>
      </c>
      <c r="Y309" s="285" t="s">
        <v>231</v>
      </c>
      <c r="Z309" s="286" t="s">
        <v>3965</v>
      </c>
      <c r="AA309" s="240" t="s">
        <v>3966</v>
      </c>
      <c r="AB309" s="287" t="s">
        <v>292</v>
      </c>
      <c r="AC309" s="288">
        <v>28</v>
      </c>
      <c r="AD309" s="124">
        <v>5.83</v>
      </c>
      <c r="AE309" s="200">
        <f t="shared" si="47"/>
        <v>163.24</v>
      </c>
      <c r="AF309" s="227"/>
      <c r="AG309" s="396"/>
      <c r="AI309" s="397"/>
      <c r="AR309" s="129" t="s">
        <v>347</v>
      </c>
      <c r="AT309" s="129" t="s">
        <v>231</v>
      </c>
      <c r="AU309" s="129" t="s">
        <v>63</v>
      </c>
      <c r="AY309" s="13" t="s">
        <v>228</v>
      </c>
      <c r="BE309" s="130">
        <f t="shared" si="48"/>
        <v>0</v>
      </c>
      <c r="BF309" s="130">
        <f t="shared" si="49"/>
        <v>163.24</v>
      </c>
      <c r="BG309" s="130">
        <f t="shared" si="50"/>
        <v>0</v>
      </c>
      <c r="BH309" s="130">
        <f t="shared" si="51"/>
        <v>0</v>
      </c>
      <c r="BI309" s="130">
        <f t="shared" si="52"/>
        <v>0</v>
      </c>
      <c r="BJ309" s="13" t="s">
        <v>76</v>
      </c>
      <c r="BK309" s="130">
        <f t="shared" si="53"/>
        <v>163.24</v>
      </c>
      <c r="BL309" s="13" t="s">
        <v>347</v>
      </c>
      <c r="BM309" s="129" t="s">
        <v>811</v>
      </c>
    </row>
    <row r="310" spans="2:65" s="1" customFormat="1" ht="24" customHeight="1" x14ac:dyDescent="0.2">
      <c r="B310" s="118"/>
      <c r="C310" s="205" t="s">
        <v>518</v>
      </c>
      <c r="D310" s="119" t="s">
        <v>231</v>
      </c>
      <c r="E310" s="120" t="s">
        <v>3967</v>
      </c>
      <c r="F310" s="121" t="s">
        <v>3968</v>
      </c>
      <c r="G310" s="122" t="s">
        <v>292</v>
      </c>
      <c r="H310" s="206">
        <v>28</v>
      </c>
      <c r="I310" s="124">
        <v>2.19</v>
      </c>
      <c r="J310" s="124">
        <f t="shared" si="43"/>
        <v>61.32</v>
      </c>
      <c r="K310" s="121" t="s">
        <v>1</v>
      </c>
      <c r="L310" s="24"/>
      <c r="M310" s="125" t="s">
        <v>1</v>
      </c>
      <c r="N310" s="126" t="s">
        <v>32</v>
      </c>
      <c r="O310" s="127">
        <v>0</v>
      </c>
      <c r="P310" s="127">
        <f t="shared" si="44"/>
        <v>0</v>
      </c>
      <c r="Q310" s="127">
        <v>0</v>
      </c>
      <c r="R310" s="127">
        <f t="shared" si="45"/>
        <v>0</v>
      </c>
      <c r="S310" s="127">
        <v>0</v>
      </c>
      <c r="T310" s="128">
        <f t="shared" si="46"/>
        <v>0</v>
      </c>
      <c r="W310" s="199"/>
      <c r="X310" s="205" t="s">
        <v>518</v>
      </c>
      <c r="Y310" s="119" t="s">
        <v>231</v>
      </c>
      <c r="Z310" s="120" t="s">
        <v>3967</v>
      </c>
      <c r="AA310" s="121" t="s">
        <v>3968</v>
      </c>
      <c r="AB310" s="122" t="s">
        <v>292</v>
      </c>
      <c r="AC310" s="206">
        <f>28+16</f>
        <v>44</v>
      </c>
      <c r="AD310" s="124">
        <v>2.19</v>
      </c>
      <c r="AE310" s="200">
        <f t="shared" si="47"/>
        <v>96.36</v>
      </c>
      <c r="AF310" s="227">
        <v>2</v>
      </c>
      <c r="AG310" s="396"/>
      <c r="AI310" s="397"/>
      <c r="AR310" s="129" t="s">
        <v>347</v>
      </c>
      <c r="AT310" s="129" t="s">
        <v>231</v>
      </c>
      <c r="AU310" s="129" t="s">
        <v>63</v>
      </c>
      <c r="AY310" s="13" t="s">
        <v>228</v>
      </c>
      <c r="BE310" s="130">
        <f t="shared" si="48"/>
        <v>0</v>
      </c>
      <c r="BF310" s="130">
        <f t="shared" si="49"/>
        <v>61.32</v>
      </c>
      <c r="BG310" s="130">
        <f t="shared" si="50"/>
        <v>0</v>
      </c>
      <c r="BH310" s="130">
        <f t="shared" si="51"/>
        <v>0</v>
      </c>
      <c r="BI310" s="130">
        <f t="shared" si="52"/>
        <v>0</v>
      </c>
      <c r="BJ310" s="13" t="s">
        <v>76</v>
      </c>
      <c r="BK310" s="130">
        <f t="shared" si="53"/>
        <v>61.32</v>
      </c>
      <c r="BL310" s="13" t="s">
        <v>347</v>
      </c>
      <c r="BM310" s="129" t="s">
        <v>814</v>
      </c>
    </row>
    <row r="311" spans="2:65" s="1" customFormat="1" ht="24" customHeight="1" x14ac:dyDescent="0.2">
      <c r="B311" s="118"/>
      <c r="C311" s="205" t="s">
        <v>815</v>
      </c>
      <c r="D311" s="119" t="s">
        <v>231</v>
      </c>
      <c r="E311" s="120" t="s">
        <v>3969</v>
      </c>
      <c r="F311" s="121" t="s">
        <v>3970</v>
      </c>
      <c r="G311" s="122" t="s">
        <v>284</v>
      </c>
      <c r="H311" s="206">
        <v>9.8000000000000007</v>
      </c>
      <c r="I311" s="124">
        <v>2.66</v>
      </c>
      <c r="J311" s="124">
        <f t="shared" si="43"/>
        <v>26.07</v>
      </c>
      <c r="K311" s="121" t="s">
        <v>1</v>
      </c>
      <c r="L311" s="24"/>
      <c r="M311" s="125" t="s">
        <v>1</v>
      </c>
      <c r="N311" s="126" t="s">
        <v>32</v>
      </c>
      <c r="O311" s="127">
        <v>0</v>
      </c>
      <c r="P311" s="127">
        <f t="shared" si="44"/>
        <v>0</v>
      </c>
      <c r="Q311" s="127">
        <v>0</v>
      </c>
      <c r="R311" s="127">
        <f t="shared" si="45"/>
        <v>0</v>
      </c>
      <c r="S311" s="127">
        <v>0</v>
      </c>
      <c r="T311" s="128">
        <f t="shared" si="46"/>
        <v>0</v>
      </c>
      <c r="W311" s="199"/>
      <c r="X311" s="205" t="s">
        <v>815</v>
      </c>
      <c r="Y311" s="119" t="s">
        <v>231</v>
      </c>
      <c r="Z311" s="120" t="s">
        <v>3969</v>
      </c>
      <c r="AA311" s="121" t="s">
        <v>3970</v>
      </c>
      <c r="AB311" s="122" t="s">
        <v>284</v>
      </c>
      <c r="AC311" s="206">
        <f>9.8+6.2</f>
        <v>16</v>
      </c>
      <c r="AD311" s="124">
        <v>2.66</v>
      </c>
      <c r="AE311" s="200">
        <f t="shared" si="47"/>
        <v>42.56</v>
      </c>
      <c r="AF311" s="227">
        <v>2</v>
      </c>
      <c r="AG311" s="396"/>
      <c r="AI311" s="397"/>
      <c r="AR311" s="129" t="s">
        <v>347</v>
      </c>
      <c r="AT311" s="129" t="s">
        <v>231</v>
      </c>
      <c r="AU311" s="129" t="s">
        <v>63</v>
      </c>
      <c r="AY311" s="13" t="s">
        <v>228</v>
      </c>
      <c r="BE311" s="130">
        <f t="shared" si="48"/>
        <v>0</v>
      </c>
      <c r="BF311" s="130">
        <f t="shared" si="49"/>
        <v>26.07</v>
      </c>
      <c r="BG311" s="130">
        <f t="shared" si="50"/>
        <v>0</v>
      </c>
      <c r="BH311" s="130">
        <f t="shared" si="51"/>
        <v>0</v>
      </c>
      <c r="BI311" s="130">
        <f t="shared" si="52"/>
        <v>0</v>
      </c>
      <c r="BJ311" s="13" t="s">
        <v>76</v>
      </c>
      <c r="BK311" s="130">
        <f t="shared" si="53"/>
        <v>26.07</v>
      </c>
      <c r="BL311" s="13" t="s">
        <v>347</v>
      </c>
      <c r="BM311" s="129" t="s">
        <v>818</v>
      </c>
    </row>
    <row r="312" spans="2:65" s="1" customFormat="1" ht="24" customHeight="1" x14ac:dyDescent="0.2">
      <c r="B312" s="118"/>
      <c r="C312" s="205" t="s">
        <v>521</v>
      </c>
      <c r="D312" s="119" t="s">
        <v>231</v>
      </c>
      <c r="E312" s="120" t="s">
        <v>3971</v>
      </c>
      <c r="F312" s="121" t="s">
        <v>3972</v>
      </c>
      <c r="G312" s="122" t="s">
        <v>292</v>
      </c>
      <c r="H312" s="206">
        <v>28</v>
      </c>
      <c r="I312" s="124">
        <v>1.46</v>
      </c>
      <c r="J312" s="124">
        <f t="shared" si="43"/>
        <v>40.880000000000003</v>
      </c>
      <c r="K312" s="121" t="s">
        <v>1</v>
      </c>
      <c r="L312" s="24"/>
      <c r="M312" s="125" t="s">
        <v>1</v>
      </c>
      <c r="N312" s="126" t="s">
        <v>32</v>
      </c>
      <c r="O312" s="127">
        <v>0</v>
      </c>
      <c r="P312" s="127">
        <f t="shared" si="44"/>
        <v>0</v>
      </c>
      <c r="Q312" s="127">
        <v>0</v>
      </c>
      <c r="R312" s="127">
        <f t="shared" si="45"/>
        <v>0</v>
      </c>
      <c r="S312" s="127">
        <v>0</v>
      </c>
      <c r="T312" s="128">
        <f t="shared" si="46"/>
        <v>0</v>
      </c>
      <c r="W312" s="199"/>
      <c r="X312" s="205" t="s">
        <v>521</v>
      </c>
      <c r="Y312" s="119" t="s">
        <v>231</v>
      </c>
      <c r="Z312" s="120" t="s">
        <v>3971</v>
      </c>
      <c r="AA312" s="121" t="s">
        <v>3972</v>
      </c>
      <c r="AB312" s="122" t="s">
        <v>292</v>
      </c>
      <c r="AC312" s="206">
        <f>28+16</f>
        <v>44</v>
      </c>
      <c r="AD312" s="124">
        <v>1.46</v>
      </c>
      <c r="AE312" s="200">
        <f t="shared" si="47"/>
        <v>64.239999999999995</v>
      </c>
      <c r="AF312" s="227">
        <v>2</v>
      </c>
      <c r="AG312" s="396"/>
      <c r="AI312" s="397"/>
      <c r="AR312" s="129" t="s">
        <v>347</v>
      </c>
      <c r="AT312" s="129" t="s">
        <v>231</v>
      </c>
      <c r="AU312" s="129" t="s">
        <v>63</v>
      </c>
      <c r="AY312" s="13" t="s">
        <v>228</v>
      </c>
      <c r="BE312" s="130">
        <f t="shared" si="48"/>
        <v>0</v>
      </c>
      <c r="BF312" s="130">
        <f t="shared" si="49"/>
        <v>40.880000000000003</v>
      </c>
      <c r="BG312" s="130">
        <f t="shared" si="50"/>
        <v>0</v>
      </c>
      <c r="BH312" s="130">
        <f t="shared" si="51"/>
        <v>0</v>
      </c>
      <c r="BI312" s="130">
        <f t="shared" si="52"/>
        <v>0</v>
      </c>
      <c r="BJ312" s="13" t="s">
        <v>76</v>
      </c>
      <c r="BK312" s="130">
        <f t="shared" si="53"/>
        <v>40.880000000000003</v>
      </c>
      <c r="BL312" s="13" t="s">
        <v>347</v>
      </c>
      <c r="BM312" s="129" t="s">
        <v>821</v>
      </c>
    </row>
    <row r="313" spans="2:65" s="1" customFormat="1" ht="16.5" customHeight="1" x14ac:dyDescent="0.2">
      <c r="B313" s="118"/>
      <c r="C313" s="285" t="s">
        <v>824</v>
      </c>
      <c r="D313" s="119" t="s">
        <v>231</v>
      </c>
      <c r="E313" s="120" t="s">
        <v>3973</v>
      </c>
      <c r="F313" s="121" t="s">
        <v>3974</v>
      </c>
      <c r="G313" s="122" t="s">
        <v>271</v>
      </c>
      <c r="H313" s="288">
        <v>1.1000000000000001</v>
      </c>
      <c r="I313" s="124">
        <v>26.7</v>
      </c>
      <c r="J313" s="124">
        <f t="shared" ref="J313:J315" si="54">ROUND(I313*H313,2)</f>
        <v>29.37</v>
      </c>
      <c r="K313" s="121" t="s">
        <v>1</v>
      </c>
      <c r="L313" s="24"/>
      <c r="M313" s="125" t="s">
        <v>1</v>
      </c>
      <c r="N313" s="126" t="s">
        <v>32</v>
      </c>
      <c r="O313" s="127">
        <v>0</v>
      </c>
      <c r="P313" s="127">
        <f t="shared" ref="P313:P315" si="55">O313*H313</f>
        <v>0</v>
      </c>
      <c r="Q313" s="127">
        <v>0</v>
      </c>
      <c r="R313" s="127">
        <f t="shared" ref="R313:R315" si="56">Q313*H313</f>
        <v>0</v>
      </c>
      <c r="S313" s="127">
        <v>0</v>
      </c>
      <c r="T313" s="128">
        <f t="shared" ref="T313:T315" si="57">S313*H313</f>
        <v>0</v>
      </c>
      <c r="W313" s="199"/>
      <c r="X313" s="285" t="s">
        <v>824</v>
      </c>
      <c r="Y313" s="119" t="s">
        <v>231</v>
      </c>
      <c r="Z313" s="120" t="s">
        <v>3973</v>
      </c>
      <c r="AA313" s="121" t="s">
        <v>3974</v>
      </c>
      <c r="AB313" s="122" t="s">
        <v>271</v>
      </c>
      <c r="AC313" s="123">
        <v>1.1000000000000001</v>
      </c>
      <c r="AD313" s="124">
        <v>26.7</v>
      </c>
      <c r="AE313" s="200">
        <f t="shared" si="47"/>
        <v>29.37</v>
      </c>
      <c r="AF313" s="227"/>
      <c r="AG313" s="396"/>
      <c r="AI313" s="397"/>
      <c r="AR313" s="129" t="s">
        <v>347</v>
      </c>
      <c r="AT313" s="129" t="s">
        <v>231</v>
      </c>
      <c r="AU313" s="129" t="s">
        <v>63</v>
      </c>
      <c r="AY313" s="13" t="s">
        <v>228</v>
      </c>
      <c r="BE313" s="130">
        <f t="shared" si="48"/>
        <v>0</v>
      </c>
      <c r="BF313" s="130">
        <f t="shared" si="49"/>
        <v>29.37</v>
      </c>
      <c r="BG313" s="130">
        <f t="shared" si="50"/>
        <v>0</v>
      </c>
      <c r="BH313" s="130">
        <f t="shared" si="51"/>
        <v>0</v>
      </c>
      <c r="BI313" s="130">
        <f t="shared" si="52"/>
        <v>0</v>
      </c>
      <c r="BJ313" s="13" t="s">
        <v>76</v>
      </c>
      <c r="BK313" s="130">
        <f t="shared" si="53"/>
        <v>29.37</v>
      </c>
      <c r="BL313" s="13" t="s">
        <v>347</v>
      </c>
      <c r="BM313" s="129" t="s">
        <v>827</v>
      </c>
    </row>
    <row r="314" spans="2:65" s="1" customFormat="1" ht="24" customHeight="1" x14ac:dyDescent="0.2">
      <c r="B314" s="118"/>
      <c r="C314" s="205" t="s">
        <v>525</v>
      </c>
      <c r="D314" s="119" t="s">
        <v>231</v>
      </c>
      <c r="E314" s="120" t="s">
        <v>3975</v>
      </c>
      <c r="F314" s="121" t="s">
        <v>3976</v>
      </c>
      <c r="G314" s="122" t="s">
        <v>292</v>
      </c>
      <c r="H314" s="206">
        <v>28</v>
      </c>
      <c r="I314" s="124">
        <v>0.41</v>
      </c>
      <c r="J314" s="124">
        <f t="shared" si="54"/>
        <v>11.48</v>
      </c>
      <c r="K314" s="121" t="s">
        <v>1</v>
      </c>
      <c r="L314" s="24"/>
      <c r="M314" s="125" t="s">
        <v>1</v>
      </c>
      <c r="N314" s="126" t="s">
        <v>32</v>
      </c>
      <c r="O314" s="127">
        <v>0</v>
      </c>
      <c r="P314" s="127">
        <f t="shared" si="55"/>
        <v>0</v>
      </c>
      <c r="Q314" s="127">
        <v>0</v>
      </c>
      <c r="R314" s="127">
        <f t="shared" si="56"/>
        <v>0</v>
      </c>
      <c r="S314" s="127">
        <v>0</v>
      </c>
      <c r="T314" s="128">
        <f t="shared" si="57"/>
        <v>0</v>
      </c>
      <c r="W314" s="199"/>
      <c r="X314" s="205" t="s">
        <v>525</v>
      </c>
      <c r="Y314" s="119" t="s">
        <v>231</v>
      </c>
      <c r="Z314" s="120" t="s">
        <v>3975</v>
      </c>
      <c r="AA314" s="121" t="s">
        <v>3976</v>
      </c>
      <c r="AB314" s="122" t="s">
        <v>292</v>
      </c>
      <c r="AC314" s="206">
        <f>28+16</f>
        <v>44</v>
      </c>
      <c r="AD314" s="124">
        <v>0.41</v>
      </c>
      <c r="AE314" s="200">
        <f t="shared" si="47"/>
        <v>18.04</v>
      </c>
      <c r="AF314" s="227">
        <v>2</v>
      </c>
      <c r="AG314" s="396"/>
      <c r="AI314" s="397"/>
      <c r="AR314" s="129" t="s">
        <v>347</v>
      </c>
      <c r="AT314" s="129" t="s">
        <v>231</v>
      </c>
      <c r="AU314" s="129" t="s">
        <v>63</v>
      </c>
      <c r="AY314" s="13" t="s">
        <v>228</v>
      </c>
      <c r="BE314" s="130">
        <f t="shared" si="48"/>
        <v>0</v>
      </c>
      <c r="BF314" s="130">
        <f t="shared" si="49"/>
        <v>11.48</v>
      </c>
      <c r="BG314" s="130">
        <f t="shared" si="50"/>
        <v>0</v>
      </c>
      <c r="BH314" s="130">
        <f t="shared" si="51"/>
        <v>0</v>
      </c>
      <c r="BI314" s="130">
        <f t="shared" si="52"/>
        <v>0</v>
      </c>
      <c r="BJ314" s="13" t="s">
        <v>76</v>
      </c>
      <c r="BK314" s="130">
        <f t="shared" si="53"/>
        <v>11.48</v>
      </c>
      <c r="BL314" s="13" t="s">
        <v>347</v>
      </c>
      <c r="BM314" s="129" t="s">
        <v>830</v>
      </c>
    </row>
    <row r="315" spans="2:65" s="1" customFormat="1" ht="24" customHeight="1" x14ac:dyDescent="0.2">
      <c r="B315" s="118"/>
      <c r="C315" s="242" t="s">
        <v>831</v>
      </c>
      <c r="D315" s="131" t="s">
        <v>277</v>
      </c>
      <c r="E315" s="132" t="s">
        <v>3975</v>
      </c>
      <c r="F315" s="133" t="s">
        <v>3977</v>
      </c>
      <c r="G315" s="134" t="s">
        <v>292</v>
      </c>
      <c r="H315" s="241">
        <v>28</v>
      </c>
      <c r="I315" s="136">
        <v>0.27</v>
      </c>
      <c r="J315" s="136">
        <f t="shared" si="54"/>
        <v>7.56</v>
      </c>
      <c r="K315" s="133" t="s">
        <v>1</v>
      </c>
      <c r="L315" s="137"/>
      <c r="M315" s="138" t="s">
        <v>1</v>
      </c>
      <c r="N315" s="139" t="s">
        <v>32</v>
      </c>
      <c r="O315" s="127">
        <v>0</v>
      </c>
      <c r="P315" s="127">
        <f t="shared" si="55"/>
        <v>0</v>
      </c>
      <c r="Q315" s="127">
        <v>0</v>
      </c>
      <c r="R315" s="127">
        <f t="shared" si="56"/>
        <v>0</v>
      </c>
      <c r="S315" s="127">
        <v>0</v>
      </c>
      <c r="T315" s="128">
        <f t="shared" si="57"/>
        <v>0</v>
      </c>
      <c r="W315" s="199"/>
      <c r="X315" s="242" t="s">
        <v>831</v>
      </c>
      <c r="Y315" s="131" t="s">
        <v>277</v>
      </c>
      <c r="Z315" s="132" t="s">
        <v>3975</v>
      </c>
      <c r="AA315" s="133" t="s">
        <v>3977</v>
      </c>
      <c r="AB315" s="134" t="s">
        <v>292</v>
      </c>
      <c r="AC315" s="241">
        <f>28+16</f>
        <v>44</v>
      </c>
      <c r="AD315" s="136">
        <v>0.27</v>
      </c>
      <c r="AE315" s="229">
        <f t="shared" si="47"/>
        <v>11.88</v>
      </c>
      <c r="AF315" s="227">
        <v>2</v>
      </c>
      <c r="AG315" s="396"/>
      <c r="AI315" s="397"/>
      <c r="AR315" s="129" t="s">
        <v>705</v>
      </c>
      <c r="AT315" s="129" t="s">
        <v>277</v>
      </c>
      <c r="AU315" s="129" t="s">
        <v>63</v>
      </c>
      <c r="AY315" s="13" t="s">
        <v>228</v>
      </c>
      <c r="BE315" s="130">
        <f t="shared" si="48"/>
        <v>0</v>
      </c>
      <c r="BF315" s="130">
        <f t="shared" si="49"/>
        <v>7.56</v>
      </c>
      <c r="BG315" s="130">
        <f t="shared" si="50"/>
        <v>0</v>
      </c>
      <c r="BH315" s="130">
        <f t="shared" si="51"/>
        <v>0</v>
      </c>
      <c r="BI315" s="130">
        <f t="shared" si="52"/>
        <v>0</v>
      </c>
      <c r="BJ315" s="13" t="s">
        <v>76</v>
      </c>
      <c r="BK315" s="130">
        <f t="shared" si="53"/>
        <v>7.56</v>
      </c>
      <c r="BL315" s="13" t="s">
        <v>347</v>
      </c>
      <c r="BM315" s="129" t="s">
        <v>834</v>
      </c>
    </row>
    <row r="316" spans="2:65" s="11" customFormat="1" ht="25.95" customHeight="1" x14ac:dyDescent="0.25">
      <c r="B316" s="106"/>
      <c r="D316" s="107" t="s">
        <v>57</v>
      </c>
      <c r="E316" s="108" t="s">
        <v>3978</v>
      </c>
      <c r="F316" s="108" t="s">
        <v>3979</v>
      </c>
      <c r="J316" s="109">
        <f>BK316</f>
        <v>10360.32</v>
      </c>
      <c r="L316" s="106"/>
      <c r="M316" s="110"/>
      <c r="N316" s="111"/>
      <c r="O316" s="111"/>
      <c r="P316" s="112">
        <f>SUM(P317:P324)</f>
        <v>0</v>
      </c>
      <c r="Q316" s="111"/>
      <c r="R316" s="112">
        <f>SUM(R317:R324)</f>
        <v>0</v>
      </c>
      <c r="S316" s="111"/>
      <c r="T316" s="113">
        <f>SUM(T317:T324)</f>
        <v>0</v>
      </c>
      <c r="W316" s="195"/>
      <c r="X316" s="111"/>
      <c r="Y316" s="196" t="s">
        <v>57</v>
      </c>
      <c r="Z316" s="197" t="s">
        <v>3978</v>
      </c>
      <c r="AA316" s="197" t="s">
        <v>3979</v>
      </c>
      <c r="AB316" s="111"/>
      <c r="AC316" s="111"/>
      <c r="AD316" s="111"/>
      <c r="AE316" s="198">
        <f>SUM(AE317:AE324)</f>
        <v>7959.82</v>
      </c>
      <c r="AF316" s="227"/>
      <c r="AG316" s="396"/>
      <c r="AI316" s="397"/>
      <c r="AR316" s="107" t="s">
        <v>229</v>
      </c>
      <c r="AT316" s="114" t="s">
        <v>57</v>
      </c>
      <c r="AU316" s="114" t="s">
        <v>58</v>
      </c>
      <c r="AY316" s="107" t="s">
        <v>228</v>
      </c>
      <c r="BK316" s="115">
        <f>SUM(BK317:BK324)</f>
        <v>10360.32</v>
      </c>
    </row>
    <row r="317" spans="2:65" s="1" customFormat="1" ht="24" customHeight="1" x14ac:dyDescent="0.2">
      <c r="B317" s="118"/>
      <c r="C317" s="205" t="s">
        <v>528</v>
      </c>
      <c r="D317" s="119" t="s">
        <v>231</v>
      </c>
      <c r="E317" s="120" t="s">
        <v>3980</v>
      </c>
      <c r="F317" s="121" t="s">
        <v>3981</v>
      </c>
      <c r="G317" s="122" t="s">
        <v>1194</v>
      </c>
      <c r="H317" s="206">
        <v>8</v>
      </c>
      <c r="I317" s="124">
        <v>230.98</v>
      </c>
      <c r="J317" s="124">
        <f t="shared" ref="J317:J324" si="58">ROUND(I317*H317,2)</f>
        <v>1847.84</v>
      </c>
      <c r="K317" s="121" t="s">
        <v>1</v>
      </c>
      <c r="L317" s="24"/>
      <c r="M317" s="125" t="s">
        <v>1</v>
      </c>
      <c r="N317" s="126" t="s">
        <v>32</v>
      </c>
      <c r="O317" s="127">
        <v>0</v>
      </c>
      <c r="P317" s="127">
        <f t="shared" ref="P317:P324" si="59">O317*H317</f>
        <v>0</v>
      </c>
      <c r="Q317" s="127">
        <v>0</v>
      </c>
      <c r="R317" s="127">
        <f t="shared" ref="R317:R324" si="60">Q317*H317</f>
        <v>0</v>
      </c>
      <c r="S317" s="127">
        <v>0</v>
      </c>
      <c r="T317" s="128">
        <f t="shared" ref="T317:T324" si="61">S317*H317</f>
        <v>0</v>
      </c>
      <c r="W317" s="199"/>
      <c r="X317" s="205" t="s">
        <v>528</v>
      </c>
      <c r="Y317" s="119" t="s">
        <v>231</v>
      </c>
      <c r="Z317" s="120" t="s">
        <v>3980</v>
      </c>
      <c r="AA317" s="121" t="s">
        <v>3981</v>
      </c>
      <c r="AB317" s="122" t="s">
        <v>1194</v>
      </c>
      <c r="AC317" s="206">
        <f>8-8</f>
        <v>0</v>
      </c>
      <c r="AD317" s="124">
        <v>230.98</v>
      </c>
      <c r="AE317" s="200">
        <f t="shared" ref="AE317:AE324" si="62">ROUND(AD317*AC317,2)</f>
        <v>0</v>
      </c>
      <c r="AF317" s="227">
        <v>2</v>
      </c>
      <c r="AG317" s="396"/>
      <c r="AI317" s="397"/>
      <c r="AR317" s="129" t="s">
        <v>347</v>
      </c>
      <c r="AT317" s="129" t="s">
        <v>231</v>
      </c>
      <c r="AU317" s="129" t="s">
        <v>63</v>
      </c>
      <c r="AY317" s="13" t="s">
        <v>228</v>
      </c>
      <c r="BE317" s="130">
        <f t="shared" ref="BE317:BE324" si="63">IF(N317="základná",J317,0)</f>
        <v>0</v>
      </c>
      <c r="BF317" s="130">
        <f t="shared" ref="BF317:BF324" si="64">IF(N317="znížená",J317,0)</f>
        <v>1847.84</v>
      </c>
      <c r="BG317" s="130">
        <f t="shared" ref="BG317:BG324" si="65">IF(N317="zákl. prenesená",J317,0)</f>
        <v>0</v>
      </c>
      <c r="BH317" s="130">
        <f t="shared" ref="BH317:BH324" si="66">IF(N317="zníž. prenesená",J317,0)</f>
        <v>0</v>
      </c>
      <c r="BI317" s="130">
        <f t="shared" ref="BI317:BI324" si="67">IF(N317="nulová",J317,0)</f>
        <v>0</v>
      </c>
      <c r="BJ317" s="13" t="s">
        <v>76</v>
      </c>
      <c r="BK317" s="130">
        <f t="shared" ref="BK317:BK324" si="68">ROUND(I317*H317,2)</f>
        <v>1847.84</v>
      </c>
      <c r="BL317" s="13" t="s">
        <v>347</v>
      </c>
      <c r="BM317" s="129" t="s">
        <v>837</v>
      </c>
    </row>
    <row r="318" spans="2:65" s="1" customFormat="1" ht="24" customHeight="1" x14ac:dyDescent="0.2">
      <c r="B318" s="118"/>
      <c r="C318" s="205" t="s">
        <v>838</v>
      </c>
      <c r="D318" s="119" t="s">
        <v>231</v>
      </c>
      <c r="E318" s="120" t="s">
        <v>3982</v>
      </c>
      <c r="F318" s="121" t="s">
        <v>3983</v>
      </c>
      <c r="G318" s="122" t="s">
        <v>234</v>
      </c>
      <c r="H318" s="206">
        <v>3</v>
      </c>
      <c r="I318" s="124">
        <v>10.74</v>
      </c>
      <c r="J318" s="124">
        <f t="shared" si="58"/>
        <v>32.22</v>
      </c>
      <c r="K318" s="121" t="s">
        <v>1</v>
      </c>
      <c r="L318" s="24"/>
      <c r="M318" s="125" t="s">
        <v>1</v>
      </c>
      <c r="N318" s="126" t="s">
        <v>32</v>
      </c>
      <c r="O318" s="127">
        <v>0</v>
      </c>
      <c r="P318" s="127">
        <f t="shared" si="59"/>
        <v>0</v>
      </c>
      <c r="Q318" s="127">
        <v>0</v>
      </c>
      <c r="R318" s="127">
        <f t="shared" si="60"/>
        <v>0</v>
      </c>
      <c r="S318" s="127">
        <v>0</v>
      </c>
      <c r="T318" s="128">
        <f t="shared" si="61"/>
        <v>0</v>
      </c>
      <c r="W318" s="199"/>
      <c r="X318" s="205" t="s">
        <v>838</v>
      </c>
      <c r="Y318" s="119" t="s">
        <v>231</v>
      </c>
      <c r="Z318" s="120" t="s">
        <v>3982</v>
      </c>
      <c r="AA318" s="121" t="s">
        <v>3983</v>
      </c>
      <c r="AB318" s="122" t="s">
        <v>234</v>
      </c>
      <c r="AC318" s="206">
        <f>3-3</f>
        <v>0</v>
      </c>
      <c r="AD318" s="124">
        <v>10.74</v>
      </c>
      <c r="AE318" s="200">
        <f t="shared" si="62"/>
        <v>0</v>
      </c>
      <c r="AF318" s="227">
        <v>2</v>
      </c>
      <c r="AG318" s="396"/>
      <c r="AI318" s="397"/>
      <c r="AR318" s="129" t="s">
        <v>347</v>
      </c>
      <c r="AT318" s="129" t="s">
        <v>231</v>
      </c>
      <c r="AU318" s="129" t="s">
        <v>63</v>
      </c>
      <c r="AY318" s="13" t="s">
        <v>228</v>
      </c>
      <c r="BE318" s="130">
        <f t="shared" si="63"/>
        <v>0</v>
      </c>
      <c r="BF318" s="130">
        <f t="shared" si="64"/>
        <v>32.22</v>
      </c>
      <c r="BG318" s="130">
        <f t="shared" si="65"/>
        <v>0</v>
      </c>
      <c r="BH318" s="130">
        <f t="shared" si="66"/>
        <v>0</v>
      </c>
      <c r="BI318" s="130">
        <f t="shared" si="67"/>
        <v>0</v>
      </c>
      <c r="BJ318" s="13" t="s">
        <v>76</v>
      </c>
      <c r="BK318" s="130">
        <f t="shared" si="68"/>
        <v>32.22</v>
      </c>
      <c r="BL318" s="13" t="s">
        <v>347</v>
      </c>
      <c r="BM318" s="129" t="s">
        <v>841</v>
      </c>
    </row>
    <row r="319" spans="2:65" s="1" customFormat="1" ht="24" customHeight="1" x14ac:dyDescent="0.2">
      <c r="B319" s="118"/>
      <c r="C319" s="205" t="s">
        <v>532</v>
      </c>
      <c r="D319" s="119" t="s">
        <v>231</v>
      </c>
      <c r="E319" s="120" t="s">
        <v>3984</v>
      </c>
      <c r="F319" s="121" t="s">
        <v>3985</v>
      </c>
      <c r="G319" s="122" t="s">
        <v>292</v>
      </c>
      <c r="H319" s="206">
        <v>80</v>
      </c>
      <c r="I319" s="124">
        <v>5.83</v>
      </c>
      <c r="J319" s="124">
        <f t="shared" si="58"/>
        <v>466.4</v>
      </c>
      <c r="K319" s="121" t="s">
        <v>1</v>
      </c>
      <c r="L319" s="24"/>
      <c r="M319" s="125" t="s">
        <v>1</v>
      </c>
      <c r="N319" s="126" t="s">
        <v>32</v>
      </c>
      <c r="O319" s="127">
        <v>0</v>
      </c>
      <c r="P319" s="127">
        <f t="shared" si="59"/>
        <v>0</v>
      </c>
      <c r="Q319" s="127">
        <v>0</v>
      </c>
      <c r="R319" s="127">
        <f t="shared" si="60"/>
        <v>0</v>
      </c>
      <c r="S319" s="127">
        <v>0</v>
      </c>
      <c r="T319" s="128">
        <f t="shared" si="61"/>
        <v>0</v>
      </c>
      <c r="W319" s="199"/>
      <c r="X319" s="205" t="s">
        <v>532</v>
      </c>
      <c r="Y319" s="119" t="s">
        <v>231</v>
      </c>
      <c r="Z319" s="120" t="s">
        <v>3984</v>
      </c>
      <c r="AA319" s="121" t="s">
        <v>3985</v>
      </c>
      <c r="AB319" s="122" t="s">
        <v>292</v>
      </c>
      <c r="AC319" s="206">
        <f>80-80</f>
        <v>0</v>
      </c>
      <c r="AD319" s="124">
        <v>5.83</v>
      </c>
      <c r="AE319" s="200">
        <f t="shared" si="62"/>
        <v>0</v>
      </c>
      <c r="AF319" s="227">
        <v>2</v>
      </c>
      <c r="AG319" s="396"/>
      <c r="AI319" s="397"/>
      <c r="AR319" s="129" t="s">
        <v>347</v>
      </c>
      <c r="AT319" s="129" t="s">
        <v>231</v>
      </c>
      <c r="AU319" s="129" t="s">
        <v>63</v>
      </c>
      <c r="AY319" s="13" t="s">
        <v>228</v>
      </c>
      <c r="BE319" s="130">
        <f t="shared" si="63"/>
        <v>0</v>
      </c>
      <c r="BF319" s="130">
        <f t="shared" si="64"/>
        <v>466.4</v>
      </c>
      <c r="BG319" s="130">
        <f t="shared" si="65"/>
        <v>0</v>
      </c>
      <c r="BH319" s="130">
        <f t="shared" si="66"/>
        <v>0</v>
      </c>
      <c r="BI319" s="130">
        <f t="shared" si="67"/>
        <v>0</v>
      </c>
      <c r="BJ319" s="13" t="s">
        <v>76</v>
      </c>
      <c r="BK319" s="130">
        <f t="shared" si="68"/>
        <v>466.4</v>
      </c>
      <c r="BL319" s="13" t="s">
        <v>347</v>
      </c>
      <c r="BM319" s="129" t="s">
        <v>844</v>
      </c>
    </row>
    <row r="320" spans="2:65" s="1" customFormat="1" ht="24" customHeight="1" x14ac:dyDescent="0.2">
      <c r="B320" s="118"/>
      <c r="C320" s="205" t="s">
        <v>845</v>
      </c>
      <c r="D320" s="119" t="s">
        <v>231</v>
      </c>
      <c r="E320" s="120" t="s">
        <v>3986</v>
      </c>
      <c r="F320" s="121" t="s">
        <v>3970</v>
      </c>
      <c r="G320" s="122" t="s">
        <v>284</v>
      </c>
      <c r="H320" s="206">
        <v>28</v>
      </c>
      <c r="I320" s="124">
        <v>1.93</v>
      </c>
      <c r="J320" s="124">
        <f t="shared" si="58"/>
        <v>54.04</v>
      </c>
      <c r="K320" s="121" t="s">
        <v>1</v>
      </c>
      <c r="L320" s="24"/>
      <c r="M320" s="125" t="s">
        <v>1</v>
      </c>
      <c r="N320" s="126" t="s">
        <v>32</v>
      </c>
      <c r="O320" s="127">
        <v>0</v>
      </c>
      <c r="P320" s="127">
        <f t="shared" si="59"/>
        <v>0</v>
      </c>
      <c r="Q320" s="127">
        <v>0</v>
      </c>
      <c r="R320" s="127">
        <f t="shared" si="60"/>
        <v>0</v>
      </c>
      <c r="S320" s="127">
        <v>0</v>
      </c>
      <c r="T320" s="128">
        <f t="shared" si="61"/>
        <v>0</v>
      </c>
      <c r="W320" s="199"/>
      <c r="X320" s="205" t="s">
        <v>845</v>
      </c>
      <c r="Y320" s="119" t="s">
        <v>231</v>
      </c>
      <c r="Z320" s="120" t="s">
        <v>3986</v>
      </c>
      <c r="AA320" s="121" t="s">
        <v>3970</v>
      </c>
      <c r="AB320" s="122" t="s">
        <v>284</v>
      </c>
      <c r="AC320" s="206">
        <f>28-28</f>
        <v>0</v>
      </c>
      <c r="AD320" s="124">
        <v>1.93</v>
      </c>
      <c r="AE320" s="200">
        <f t="shared" si="62"/>
        <v>0</v>
      </c>
      <c r="AF320" s="227">
        <v>2</v>
      </c>
      <c r="AG320" s="396"/>
      <c r="AI320" s="397"/>
      <c r="AR320" s="129" t="s">
        <v>347</v>
      </c>
      <c r="AT320" s="129" t="s">
        <v>231</v>
      </c>
      <c r="AU320" s="129" t="s">
        <v>63</v>
      </c>
      <c r="AY320" s="13" t="s">
        <v>228</v>
      </c>
      <c r="BE320" s="130">
        <f t="shared" si="63"/>
        <v>0</v>
      </c>
      <c r="BF320" s="130">
        <f t="shared" si="64"/>
        <v>54.04</v>
      </c>
      <c r="BG320" s="130">
        <f t="shared" si="65"/>
        <v>0</v>
      </c>
      <c r="BH320" s="130">
        <f t="shared" si="66"/>
        <v>0</v>
      </c>
      <c r="BI320" s="130">
        <f t="shared" si="67"/>
        <v>0</v>
      </c>
      <c r="BJ320" s="13" t="s">
        <v>76</v>
      </c>
      <c r="BK320" s="130">
        <f t="shared" si="68"/>
        <v>54.04</v>
      </c>
      <c r="BL320" s="13" t="s">
        <v>347</v>
      </c>
      <c r="BM320" s="129" t="s">
        <v>848</v>
      </c>
    </row>
    <row r="321" spans="2:65" s="1" customFormat="1" ht="16.5" customHeight="1" x14ac:dyDescent="0.2">
      <c r="B321" s="118"/>
      <c r="C321" s="119" t="s">
        <v>535</v>
      </c>
      <c r="D321" s="119" t="s">
        <v>231</v>
      </c>
      <c r="E321" s="120" t="s">
        <v>1720</v>
      </c>
      <c r="F321" s="121" t="s">
        <v>1759</v>
      </c>
      <c r="G321" s="122" t="s">
        <v>1194</v>
      </c>
      <c r="H321" s="123">
        <v>1</v>
      </c>
      <c r="I321" s="124">
        <v>1562.71</v>
      </c>
      <c r="J321" s="124">
        <f t="shared" si="58"/>
        <v>1562.71</v>
      </c>
      <c r="K321" s="121" t="s">
        <v>1</v>
      </c>
      <c r="L321" s="24"/>
      <c r="M321" s="125" t="s">
        <v>1</v>
      </c>
      <c r="N321" s="126" t="s">
        <v>32</v>
      </c>
      <c r="O321" s="127">
        <v>0</v>
      </c>
      <c r="P321" s="127">
        <f t="shared" si="59"/>
        <v>0</v>
      </c>
      <c r="Q321" s="127">
        <v>0</v>
      </c>
      <c r="R321" s="127">
        <f t="shared" si="60"/>
        <v>0</v>
      </c>
      <c r="S321" s="127">
        <v>0</v>
      </c>
      <c r="T321" s="128">
        <f t="shared" si="61"/>
        <v>0</v>
      </c>
      <c r="W321" s="199"/>
      <c r="X321" s="119" t="s">
        <v>535</v>
      </c>
      <c r="Y321" s="119" t="s">
        <v>231</v>
      </c>
      <c r="Z321" s="120" t="s">
        <v>1720</v>
      </c>
      <c r="AA321" s="121" t="s">
        <v>1759</v>
      </c>
      <c r="AB321" s="122" t="s">
        <v>1194</v>
      </c>
      <c r="AC321" s="123">
        <v>1</v>
      </c>
      <c r="AD321" s="124">
        <v>1562.71</v>
      </c>
      <c r="AE321" s="200">
        <f t="shared" si="62"/>
        <v>1562.71</v>
      </c>
      <c r="AF321" s="227"/>
      <c r="AG321" s="396"/>
      <c r="AI321" s="397"/>
      <c r="AR321" s="129" t="s">
        <v>347</v>
      </c>
      <c r="AT321" s="129" t="s">
        <v>231</v>
      </c>
      <c r="AU321" s="129" t="s">
        <v>63</v>
      </c>
      <c r="AY321" s="13" t="s">
        <v>228</v>
      </c>
      <c r="BE321" s="130">
        <f t="shared" si="63"/>
        <v>0</v>
      </c>
      <c r="BF321" s="130">
        <f t="shared" si="64"/>
        <v>1562.71</v>
      </c>
      <c r="BG321" s="130">
        <f t="shared" si="65"/>
        <v>0</v>
      </c>
      <c r="BH321" s="130">
        <f t="shared" si="66"/>
        <v>0</v>
      </c>
      <c r="BI321" s="130">
        <f t="shared" si="67"/>
        <v>0</v>
      </c>
      <c r="BJ321" s="13" t="s">
        <v>76</v>
      </c>
      <c r="BK321" s="130">
        <f t="shared" si="68"/>
        <v>1562.71</v>
      </c>
      <c r="BL321" s="13" t="s">
        <v>347</v>
      </c>
      <c r="BM321" s="129" t="s">
        <v>851</v>
      </c>
    </row>
    <row r="322" spans="2:65" s="1" customFormat="1" ht="24" customHeight="1" x14ac:dyDescent="0.2">
      <c r="B322" s="118"/>
      <c r="C322" s="119" t="s">
        <v>852</v>
      </c>
      <c r="D322" s="119" t="s">
        <v>231</v>
      </c>
      <c r="E322" s="120" t="s">
        <v>1729</v>
      </c>
      <c r="F322" s="121" t="s">
        <v>3987</v>
      </c>
      <c r="G322" s="122" t="s">
        <v>1194</v>
      </c>
      <c r="H322" s="123">
        <v>1</v>
      </c>
      <c r="I322" s="124">
        <v>3474.87</v>
      </c>
      <c r="J322" s="124">
        <f t="shared" si="58"/>
        <v>3474.87</v>
      </c>
      <c r="K322" s="121" t="s">
        <v>1</v>
      </c>
      <c r="L322" s="24"/>
      <c r="M322" s="125" t="s">
        <v>1</v>
      </c>
      <c r="N322" s="126" t="s">
        <v>32</v>
      </c>
      <c r="O322" s="127">
        <v>0</v>
      </c>
      <c r="P322" s="127">
        <f t="shared" si="59"/>
        <v>0</v>
      </c>
      <c r="Q322" s="127">
        <v>0</v>
      </c>
      <c r="R322" s="127">
        <f t="shared" si="60"/>
        <v>0</v>
      </c>
      <c r="S322" s="127">
        <v>0</v>
      </c>
      <c r="T322" s="128">
        <f t="shared" si="61"/>
        <v>0</v>
      </c>
      <c r="W322" s="199"/>
      <c r="X322" s="119" t="s">
        <v>852</v>
      </c>
      <c r="Y322" s="119" t="s">
        <v>231</v>
      </c>
      <c r="Z322" s="120" t="s">
        <v>1729</v>
      </c>
      <c r="AA322" s="121" t="s">
        <v>3987</v>
      </c>
      <c r="AB322" s="122" t="s">
        <v>1194</v>
      </c>
      <c r="AC322" s="123">
        <v>1</v>
      </c>
      <c r="AD322" s="124">
        <v>3474.87</v>
      </c>
      <c r="AE322" s="200">
        <f t="shared" si="62"/>
        <v>3474.87</v>
      </c>
      <c r="AF322" s="227"/>
      <c r="AG322" s="396"/>
      <c r="AI322" s="397"/>
      <c r="AR322" s="129" t="s">
        <v>347</v>
      </c>
      <c r="AT322" s="129" t="s">
        <v>231</v>
      </c>
      <c r="AU322" s="129" t="s">
        <v>63</v>
      </c>
      <c r="AY322" s="13" t="s">
        <v>228</v>
      </c>
      <c r="BE322" s="130">
        <f t="shared" si="63"/>
        <v>0</v>
      </c>
      <c r="BF322" s="130">
        <f t="shared" si="64"/>
        <v>3474.87</v>
      </c>
      <c r="BG322" s="130">
        <f t="shared" si="65"/>
        <v>0</v>
      </c>
      <c r="BH322" s="130">
        <f t="shared" si="66"/>
        <v>0</v>
      </c>
      <c r="BI322" s="130">
        <f t="shared" si="67"/>
        <v>0</v>
      </c>
      <c r="BJ322" s="13" t="s">
        <v>76</v>
      </c>
      <c r="BK322" s="130">
        <f t="shared" si="68"/>
        <v>3474.87</v>
      </c>
      <c r="BL322" s="13" t="s">
        <v>347</v>
      </c>
      <c r="BM322" s="129" t="s">
        <v>855</v>
      </c>
    </row>
    <row r="323" spans="2:65" s="1" customFormat="1" ht="16.5" customHeight="1" x14ac:dyDescent="0.2">
      <c r="B323" s="118"/>
      <c r="C323" s="119" t="s">
        <v>539</v>
      </c>
      <c r="D323" s="119" t="s">
        <v>231</v>
      </c>
      <c r="E323" s="120" t="s">
        <v>1758</v>
      </c>
      <c r="F323" s="121" t="s">
        <v>3988</v>
      </c>
      <c r="G323" s="122" t="s">
        <v>1194</v>
      </c>
      <c r="H323" s="123">
        <v>1</v>
      </c>
      <c r="I323" s="124">
        <v>947.38</v>
      </c>
      <c r="J323" s="124">
        <f t="shared" si="58"/>
        <v>947.38</v>
      </c>
      <c r="K323" s="121" t="s">
        <v>1</v>
      </c>
      <c r="L323" s="24"/>
      <c r="M323" s="125" t="s">
        <v>1</v>
      </c>
      <c r="N323" s="126" t="s">
        <v>32</v>
      </c>
      <c r="O323" s="127">
        <v>0</v>
      </c>
      <c r="P323" s="127">
        <f t="shared" si="59"/>
        <v>0</v>
      </c>
      <c r="Q323" s="127">
        <v>0</v>
      </c>
      <c r="R323" s="127">
        <f t="shared" si="60"/>
        <v>0</v>
      </c>
      <c r="S323" s="127">
        <v>0</v>
      </c>
      <c r="T323" s="128">
        <f t="shared" si="61"/>
        <v>0</v>
      </c>
      <c r="W323" s="199"/>
      <c r="X323" s="119" t="s">
        <v>539</v>
      </c>
      <c r="Y323" s="119" t="s">
        <v>231</v>
      </c>
      <c r="Z323" s="120" t="s">
        <v>1758</v>
      </c>
      <c r="AA323" s="121" t="s">
        <v>3988</v>
      </c>
      <c r="AB323" s="122" t="s">
        <v>1194</v>
      </c>
      <c r="AC323" s="123">
        <v>1</v>
      </c>
      <c r="AD323" s="124">
        <v>947.38</v>
      </c>
      <c r="AE323" s="200">
        <f t="shared" si="62"/>
        <v>947.38</v>
      </c>
      <c r="AF323" s="227"/>
      <c r="AG323" s="396"/>
      <c r="AI323" s="397"/>
      <c r="AR323" s="129" t="s">
        <v>347</v>
      </c>
      <c r="AT323" s="129" t="s">
        <v>231</v>
      </c>
      <c r="AU323" s="129" t="s">
        <v>63</v>
      </c>
      <c r="AY323" s="13" t="s">
        <v>228</v>
      </c>
      <c r="BE323" s="130">
        <f t="shared" si="63"/>
        <v>0</v>
      </c>
      <c r="BF323" s="130">
        <f t="shared" si="64"/>
        <v>947.38</v>
      </c>
      <c r="BG323" s="130">
        <f t="shared" si="65"/>
        <v>0</v>
      </c>
      <c r="BH323" s="130">
        <f t="shared" si="66"/>
        <v>0</v>
      </c>
      <c r="BI323" s="130">
        <f t="shared" si="67"/>
        <v>0</v>
      </c>
      <c r="BJ323" s="13" t="s">
        <v>76</v>
      </c>
      <c r="BK323" s="130">
        <f t="shared" si="68"/>
        <v>947.38</v>
      </c>
      <c r="BL323" s="13" t="s">
        <v>347</v>
      </c>
      <c r="BM323" s="129" t="s">
        <v>858</v>
      </c>
    </row>
    <row r="324" spans="2:65" s="1" customFormat="1" ht="16.5" customHeight="1" x14ac:dyDescent="0.2">
      <c r="B324" s="118"/>
      <c r="C324" s="119" t="s">
        <v>859</v>
      </c>
      <c r="D324" s="119" t="s">
        <v>231</v>
      </c>
      <c r="E324" s="120" t="s">
        <v>1761</v>
      </c>
      <c r="F324" s="121" t="s">
        <v>1768</v>
      </c>
      <c r="G324" s="122" t="s">
        <v>1194</v>
      </c>
      <c r="H324" s="123">
        <v>1</v>
      </c>
      <c r="I324" s="124">
        <v>1974.86</v>
      </c>
      <c r="J324" s="124">
        <f t="shared" si="58"/>
        <v>1974.86</v>
      </c>
      <c r="K324" s="121" t="s">
        <v>1</v>
      </c>
      <c r="L324" s="24"/>
      <c r="M324" s="140" t="s">
        <v>1</v>
      </c>
      <c r="N324" s="141" t="s">
        <v>32</v>
      </c>
      <c r="O324" s="142">
        <v>0</v>
      </c>
      <c r="P324" s="142">
        <f t="shared" si="59"/>
        <v>0</v>
      </c>
      <c r="Q324" s="142">
        <v>0</v>
      </c>
      <c r="R324" s="142">
        <f t="shared" si="60"/>
        <v>0</v>
      </c>
      <c r="S324" s="142">
        <v>0</v>
      </c>
      <c r="T324" s="143">
        <f t="shared" si="61"/>
        <v>0</v>
      </c>
      <c r="W324" s="376"/>
      <c r="X324" s="377" t="s">
        <v>859</v>
      </c>
      <c r="Y324" s="377" t="s">
        <v>231</v>
      </c>
      <c r="Z324" s="378" t="s">
        <v>1761</v>
      </c>
      <c r="AA324" s="379" t="s">
        <v>1768</v>
      </c>
      <c r="AB324" s="380" t="s">
        <v>1194</v>
      </c>
      <c r="AC324" s="381">
        <v>1</v>
      </c>
      <c r="AD324" s="382">
        <v>1974.86</v>
      </c>
      <c r="AE324" s="383">
        <f t="shared" si="62"/>
        <v>1974.86</v>
      </c>
      <c r="AF324" s="227"/>
      <c r="AG324" s="396"/>
      <c r="AI324" s="397"/>
      <c r="AR324" s="129" t="s">
        <v>347</v>
      </c>
      <c r="AT324" s="129" t="s">
        <v>231</v>
      </c>
      <c r="AU324" s="129" t="s">
        <v>63</v>
      </c>
      <c r="AY324" s="13" t="s">
        <v>228</v>
      </c>
      <c r="BE324" s="130">
        <f t="shared" si="63"/>
        <v>0</v>
      </c>
      <c r="BF324" s="130">
        <f t="shared" si="64"/>
        <v>1974.86</v>
      </c>
      <c r="BG324" s="130">
        <f t="shared" si="65"/>
        <v>0</v>
      </c>
      <c r="BH324" s="130">
        <f t="shared" si="66"/>
        <v>0</v>
      </c>
      <c r="BI324" s="130">
        <f t="shared" si="67"/>
        <v>0</v>
      </c>
      <c r="BJ324" s="13" t="s">
        <v>76</v>
      </c>
      <c r="BK324" s="130">
        <f t="shared" si="68"/>
        <v>1974.86</v>
      </c>
      <c r="BL324" s="13" t="s">
        <v>347</v>
      </c>
      <c r="BM324" s="129" t="s">
        <v>862</v>
      </c>
    </row>
    <row r="325" spans="2:65" s="1" customFormat="1" ht="7.05" customHeight="1" x14ac:dyDescent="0.2">
      <c r="B325" s="33"/>
      <c r="C325" s="34"/>
      <c r="D325" s="34"/>
      <c r="E325" s="34"/>
      <c r="F325" s="34"/>
      <c r="G325" s="34"/>
      <c r="H325" s="34"/>
      <c r="I325" s="34"/>
      <c r="J325" s="34"/>
      <c r="K325" s="34"/>
      <c r="L325" s="24"/>
      <c r="W325" s="175"/>
      <c r="X325" s="176"/>
      <c r="Y325" s="176"/>
      <c r="Z325" s="176"/>
      <c r="AA325" s="176"/>
      <c r="AB325" s="176"/>
      <c r="AC325" s="176"/>
      <c r="AD325" s="176"/>
      <c r="AE325" s="177"/>
      <c r="AF325" s="227"/>
      <c r="AG325" s="396"/>
      <c r="AI325" s="397"/>
    </row>
  </sheetData>
  <autoFilter ref="C117:K324" xr:uid="{00000000-0009-0000-0000-000013000000}"/>
  <mergeCells count="59">
    <mergeCell ref="C283:J283"/>
    <mergeCell ref="C284:J284"/>
    <mergeCell ref="C293:J293"/>
    <mergeCell ref="C294:J294"/>
    <mergeCell ref="C245:J245"/>
    <mergeCell ref="C246:J246"/>
    <mergeCell ref="C247:J247"/>
    <mergeCell ref="C248:J248"/>
    <mergeCell ref="C254:J254"/>
    <mergeCell ref="C258:J258"/>
    <mergeCell ref="C261:J261"/>
    <mergeCell ref="C266:J266"/>
    <mergeCell ref="C270:J270"/>
    <mergeCell ref="C228:J228"/>
    <mergeCell ref="C229:J229"/>
    <mergeCell ref="C230:J230"/>
    <mergeCell ref="C231:J231"/>
    <mergeCell ref="C232:J232"/>
    <mergeCell ref="C185:J185"/>
    <mergeCell ref="C186:J186"/>
    <mergeCell ref="C201:J201"/>
    <mergeCell ref="C202:J202"/>
    <mergeCell ref="C227:J227"/>
    <mergeCell ref="C134:J134"/>
    <mergeCell ref="C147:J147"/>
    <mergeCell ref="C148:J148"/>
    <mergeCell ref="C183:J183"/>
    <mergeCell ref="C184:J184"/>
    <mergeCell ref="C120:J120"/>
    <mergeCell ref="C121:J121"/>
    <mergeCell ref="C130:J130"/>
    <mergeCell ref="C131:J131"/>
    <mergeCell ref="C132:J132"/>
    <mergeCell ref="E87:H87"/>
    <mergeCell ref="E108:H108"/>
    <mergeCell ref="E110:H110"/>
    <mergeCell ref="L2:V2"/>
    <mergeCell ref="E9:H9"/>
    <mergeCell ref="E18:H18"/>
    <mergeCell ref="E27:H27"/>
    <mergeCell ref="C4:J4"/>
    <mergeCell ref="F6:J7"/>
    <mergeCell ref="C105:J105"/>
    <mergeCell ref="E107:J107"/>
    <mergeCell ref="Z87:AC87"/>
    <mergeCell ref="Z108:AC108"/>
    <mergeCell ref="Z110:AC110"/>
    <mergeCell ref="Z9:AC9"/>
    <mergeCell ref="Z18:AC18"/>
    <mergeCell ref="Z27:AC27"/>
    <mergeCell ref="Z85:AC85"/>
    <mergeCell ref="X105:AE105"/>
    <mergeCell ref="Z107:AE107"/>
    <mergeCell ref="X4:AE4"/>
    <mergeCell ref="AA6:AE7"/>
    <mergeCell ref="X82:AE82"/>
    <mergeCell ref="Z84:AE84"/>
    <mergeCell ref="C82:J82"/>
    <mergeCell ref="E84:J84"/>
  </mergeCells>
  <pageMargins left="0.39374999999999999" right="0.39374999999999999" top="0.39374999999999999" bottom="0.39374999999999999" header="0" footer="0"/>
  <pageSetup paperSize="9" scale="89" fitToHeight="100" orientation="portrait" blackAndWhite="1" r:id="rId1"/>
  <headerFooter>
    <oddFooter>&amp;CStrana &amp;P z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249977111117893"/>
    <pageSetUpPr fitToPage="1"/>
  </sheetPr>
  <dimension ref="A1:BM165"/>
  <sheetViews>
    <sheetView showGridLines="0" topLeftCell="J34" zoomScale="80" zoomScaleNormal="80" workbookViewId="0">
      <selection activeCell="AE119" sqref="AE119:AE162"/>
    </sheetView>
  </sheetViews>
  <sheetFormatPr defaultColWidth="8.7109375" defaultRowHeight="10.199999999999999" x14ac:dyDescent="0.2"/>
  <cols>
    <col min="1" max="1" width="8.28515625" customWidth="1"/>
    <col min="2" max="2" width="1.7109375" customWidth="1"/>
    <col min="3" max="4" width="4.28515625" customWidth="1"/>
    <col min="5" max="5" width="17.28515625" customWidth="1"/>
    <col min="6" max="6" width="50.7109375" customWidth="1"/>
    <col min="7" max="7" width="7" customWidth="1"/>
    <col min="8" max="8" width="11.42578125" customWidth="1"/>
    <col min="9" max="10" width="20.28515625" customWidth="1"/>
    <col min="11" max="11" width="20.28515625" hidden="1" customWidth="1"/>
    <col min="12" max="12" width="9.28515625" customWidth="1"/>
    <col min="13" max="13" width="10.7109375" hidden="1" customWidth="1"/>
    <col min="14" max="14" width="9.28515625" hidden="1"/>
    <col min="15" max="20" width="14.28515625" hidden="1" customWidth="1"/>
    <col min="21" max="21" width="16.28515625" hidden="1" customWidth="1"/>
    <col min="22" max="22" width="12.28515625" customWidth="1"/>
    <col min="23" max="23" width="1.7109375" style="678" customWidth="1"/>
    <col min="24" max="25" width="4.28515625" style="678" customWidth="1"/>
    <col min="26" max="26" width="17.28515625" style="678" customWidth="1"/>
    <col min="27" max="27" width="50.7109375" style="678" customWidth="1"/>
    <col min="28" max="28" width="7" style="678" customWidth="1"/>
    <col min="29" max="29" width="11.42578125" style="678" customWidth="1"/>
    <col min="30" max="31" width="20.28515625" style="678" customWidth="1"/>
    <col min="34" max="34" width="10.42578125" bestFit="1" customWidth="1"/>
    <col min="44" max="65" width="9.28515625" hidden="1"/>
  </cols>
  <sheetData>
    <row r="1" spans="1:46" x14ac:dyDescent="0.2">
      <c r="A1" s="73"/>
    </row>
    <row r="2" spans="1:46" ht="37.049999999999997" customHeight="1" x14ac:dyDescent="0.2">
      <c r="L2" s="1227" t="s">
        <v>5</v>
      </c>
      <c r="M2" s="1225"/>
      <c r="N2" s="1225"/>
      <c r="O2" s="1225"/>
      <c r="P2" s="1225"/>
      <c r="Q2" s="1225"/>
      <c r="R2" s="1225"/>
      <c r="S2" s="1225"/>
      <c r="T2" s="1225"/>
      <c r="U2" s="1225"/>
      <c r="V2" s="1225"/>
      <c r="AT2" s="13" t="s">
        <v>120</v>
      </c>
    </row>
    <row r="3" spans="1:46" ht="7.05" customHeight="1" x14ac:dyDescent="0.2">
      <c r="B3" s="14"/>
      <c r="C3" s="15"/>
      <c r="D3" s="15"/>
      <c r="E3" s="15"/>
      <c r="F3" s="15"/>
      <c r="G3" s="15"/>
      <c r="H3" s="15"/>
      <c r="I3" s="15"/>
      <c r="J3" s="15"/>
      <c r="K3" s="15"/>
      <c r="L3" s="16"/>
      <c r="W3" s="152"/>
      <c r="X3" s="153"/>
      <c r="Y3" s="153"/>
      <c r="Z3" s="153"/>
      <c r="AA3" s="153"/>
      <c r="AB3" s="153"/>
      <c r="AC3" s="153"/>
      <c r="AD3" s="153"/>
      <c r="AE3" s="154"/>
      <c r="AT3" s="13" t="s">
        <v>58</v>
      </c>
    </row>
    <row r="4" spans="1:46" ht="25.05" customHeight="1" x14ac:dyDescent="0.2">
      <c r="B4" s="16"/>
      <c r="C4" s="1165" t="s">
        <v>185</v>
      </c>
      <c r="D4" s="1165"/>
      <c r="E4" s="1165"/>
      <c r="F4" s="1165"/>
      <c r="G4" s="1165"/>
      <c r="H4" s="1165"/>
      <c r="I4" s="1165"/>
      <c r="J4" s="1165"/>
      <c r="L4" s="16"/>
      <c r="M4" s="74" t="s">
        <v>9</v>
      </c>
      <c r="W4" s="155"/>
      <c r="X4" s="1237" t="s">
        <v>185</v>
      </c>
      <c r="Y4" s="1237"/>
      <c r="Z4" s="1237"/>
      <c r="AA4" s="1237"/>
      <c r="AB4" s="1237"/>
      <c r="AC4" s="1237"/>
      <c r="AD4" s="1237"/>
      <c r="AE4" s="1238"/>
      <c r="AT4" s="13" t="s">
        <v>3</v>
      </c>
    </row>
    <row r="5" spans="1:46" ht="7.05" customHeight="1" x14ac:dyDescent="0.2">
      <c r="B5" s="16"/>
      <c r="L5" s="16"/>
      <c r="W5" s="155"/>
      <c r="X5" s="156"/>
      <c r="Y5" s="156"/>
      <c r="Z5" s="156"/>
      <c r="AA5" s="156"/>
      <c r="AB5" s="156"/>
      <c r="AC5" s="156"/>
      <c r="AD5" s="156"/>
      <c r="AE5" s="157"/>
    </row>
    <row r="6" spans="1:46" ht="12" customHeight="1" x14ac:dyDescent="0.2">
      <c r="B6" s="16"/>
      <c r="D6" s="548" t="s">
        <v>12</v>
      </c>
      <c r="F6" s="1254" t="s">
        <v>6176</v>
      </c>
      <c r="G6" s="1254"/>
      <c r="H6" s="1254"/>
      <c r="I6" s="1254"/>
      <c r="J6" s="1254"/>
      <c r="L6" s="16"/>
      <c r="W6" s="155"/>
      <c r="X6" s="156"/>
      <c r="Y6" s="541" t="s">
        <v>12</v>
      </c>
      <c r="Z6" s="156"/>
      <c r="AA6" s="1239" t="s">
        <v>6176</v>
      </c>
      <c r="AB6" s="1239"/>
      <c r="AC6" s="1239"/>
      <c r="AD6" s="1239"/>
      <c r="AE6" s="1240"/>
    </row>
    <row r="7" spans="1:46" ht="24" customHeight="1" x14ac:dyDescent="0.2">
      <c r="B7" s="16"/>
      <c r="D7" s="527"/>
      <c r="E7" s="531"/>
      <c r="F7" s="1254"/>
      <c r="G7" s="1254"/>
      <c r="H7" s="1254"/>
      <c r="I7" s="1254"/>
      <c r="J7" s="1254"/>
      <c r="L7" s="16"/>
      <c r="W7" s="155"/>
      <c r="X7" s="156"/>
      <c r="Y7" s="539"/>
      <c r="Z7" s="245"/>
      <c r="AA7" s="1239"/>
      <c r="AB7" s="1239"/>
      <c r="AC7" s="1239"/>
      <c r="AD7" s="1239"/>
      <c r="AE7" s="1240"/>
    </row>
    <row r="8" spans="1:46" s="1" customFormat="1" ht="12" customHeight="1" x14ac:dyDescent="0.2">
      <c r="B8" s="24"/>
      <c r="D8" s="549" t="s">
        <v>186</v>
      </c>
      <c r="F8" s="532" t="s">
        <v>3989</v>
      </c>
      <c r="L8" s="24"/>
      <c r="W8" s="158"/>
      <c r="X8" s="680"/>
      <c r="Y8" s="550" t="s">
        <v>186</v>
      </c>
      <c r="Z8" s="680"/>
      <c r="AA8" s="555" t="s">
        <v>3989</v>
      </c>
      <c r="AB8" s="680"/>
      <c r="AC8" s="680"/>
      <c r="AD8" s="680"/>
      <c r="AE8" s="159"/>
    </row>
    <row r="9" spans="1:46" s="1" customFormat="1" ht="37.049999999999997" customHeight="1" x14ac:dyDescent="0.2">
      <c r="B9" s="24"/>
      <c r="D9" s="521"/>
      <c r="E9" s="1251"/>
      <c r="F9" s="1252"/>
      <c r="G9" s="1252"/>
      <c r="H9" s="1252"/>
      <c r="L9" s="24"/>
      <c r="W9" s="158"/>
      <c r="X9" s="680"/>
      <c r="Y9" s="680"/>
      <c r="Z9" s="1245"/>
      <c r="AA9" s="1246"/>
      <c r="AB9" s="1246"/>
      <c r="AC9" s="1246"/>
      <c r="AD9" s="680"/>
      <c r="AE9" s="159"/>
    </row>
    <row r="10" spans="1:46" s="1" customFormat="1" x14ac:dyDescent="0.2">
      <c r="B10" s="24"/>
      <c r="D10" s="521"/>
      <c r="L10" s="24"/>
      <c r="W10" s="158"/>
      <c r="X10" s="680"/>
      <c r="Y10" s="680"/>
      <c r="Z10" s="680"/>
      <c r="AA10" s="680"/>
      <c r="AB10" s="680"/>
      <c r="AC10" s="680"/>
      <c r="AD10" s="680"/>
      <c r="AE10" s="159"/>
    </row>
    <row r="11" spans="1:46" s="1" customFormat="1" ht="12" customHeight="1" x14ac:dyDescent="0.2">
      <c r="B11" s="24"/>
      <c r="D11" s="528" t="s">
        <v>13</v>
      </c>
      <c r="F11" s="19" t="s">
        <v>1</v>
      </c>
      <c r="I11" s="528" t="s">
        <v>14</v>
      </c>
      <c r="J11" s="19" t="s">
        <v>1</v>
      </c>
      <c r="L11" s="24"/>
      <c r="W11" s="158"/>
      <c r="X11" s="680"/>
      <c r="Y11" s="679" t="s">
        <v>13</v>
      </c>
      <c r="Z11" s="680"/>
      <c r="AA11" s="677" t="s">
        <v>1</v>
      </c>
      <c r="AB11" s="680"/>
      <c r="AC11" s="680"/>
      <c r="AD11" s="679" t="s">
        <v>14</v>
      </c>
      <c r="AE11" s="161" t="s">
        <v>1</v>
      </c>
    </row>
    <row r="12" spans="1:46" s="1" customFormat="1" ht="12" customHeight="1" x14ac:dyDescent="0.2">
      <c r="B12" s="24"/>
      <c r="D12" s="528" t="s">
        <v>15</v>
      </c>
      <c r="F12" s="520" t="s">
        <v>6173</v>
      </c>
      <c r="I12" s="528" t="s">
        <v>17</v>
      </c>
      <c r="J12" s="39"/>
      <c r="L12" s="24"/>
      <c r="W12" s="158"/>
      <c r="X12" s="680"/>
      <c r="Y12" s="679" t="s">
        <v>15</v>
      </c>
      <c r="Z12" s="680"/>
      <c r="AA12" s="677" t="s">
        <v>6173</v>
      </c>
      <c r="AB12" s="680"/>
      <c r="AC12" s="680"/>
      <c r="AD12" s="679" t="s">
        <v>17</v>
      </c>
      <c r="AE12" s="162"/>
    </row>
    <row r="13" spans="1:46" s="1" customFormat="1" ht="10.95" customHeight="1" x14ac:dyDescent="0.2">
      <c r="B13" s="24"/>
      <c r="D13" s="521"/>
      <c r="F13" s="521"/>
      <c r="I13" s="521"/>
      <c r="L13" s="24"/>
      <c r="W13" s="158"/>
      <c r="X13" s="680"/>
      <c r="Y13" s="680"/>
      <c r="Z13" s="680"/>
      <c r="AA13" s="680"/>
      <c r="AB13" s="680"/>
      <c r="AC13" s="680"/>
      <c r="AD13" s="680"/>
      <c r="AE13" s="159"/>
    </row>
    <row r="14" spans="1:46" s="1" customFormat="1" ht="12" customHeight="1" x14ac:dyDescent="0.2">
      <c r="B14" s="24"/>
      <c r="D14" s="528" t="s">
        <v>18</v>
      </c>
      <c r="F14" s="529" t="s">
        <v>6175</v>
      </c>
      <c r="I14" s="528" t="s">
        <v>19</v>
      </c>
      <c r="J14" s="19" t="str">
        <f>IF('Rekapitulácia stavby'!AN10="","",'Rekapitulácia stavby'!AN10)</f>
        <v/>
      </c>
      <c r="L14" s="24"/>
      <c r="W14" s="158"/>
      <c r="X14" s="680"/>
      <c r="Y14" s="679" t="s">
        <v>18</v>
      </c>
      <c r="Z14" s="680"/>
      <c r="AA14" s="576" t="s">
        <v>6175</v>
      </c>
      <c r="AB14" s="680"/>
      <c r="AC14" s="680"/>
      <c r="AD14" s="679" t="s">
        <v>19</v>
      </c>
      <c r="AE14" s="161" t="str">
        <f>IF('Rekapitulácia stavby'!BI10="","",'Rekapitulácia stavby'!BI10)</f>
        <v/>
      </c>
    </row>
    <row r="15" spans="1:46" s="1" customFormat="1" ht="18" customHeight="1" x14ac:dyDescent="0.2">
      <c r="B15" s="24"/>
      <c r="D15" s="521"/>
      <c r="E15" s="19" t="str">
        <f>IF('Rekapitulácia stavby'!E11="","",'Rekapitulácia stavby'!E11)</f>
        <v/>
      </c>
      <c r="F15" s="521"/>
      <c r="I15" s="528" t="s">
        <v>20</v>
      </c>
      <c r="J15" s="19" t="str">
        <f>IF('Rekapitulácia stavby'!AN11="","",'Rekapitulácia stavby'!AN11)</f>
        <v/>
      </c>
      <c r="L15" s="24"/>
      <c r="W15" s="158"/>
      <c r="X15" s="680"/>
      <c r="Y15" s="680"/>
      <c r="Z15" s="677" t="str">
        <f>IF('Rekapitulácia stavby'!Z11="","",'Rekapitulácia stavby'!Z11)</f>
        <v/>
      </c>
      <c r="AA15" s="680"/>
      <c r="AB15" s="680"/>
      <c r="AC15" s="680"/>
      <c r="AD15" s="679" t="s">
        <v>20</v>
      </c>
      <c r="AE15" s="161" t="str">
        <f>IF('Rekapitulácia stavby'!BI11="","",'Rekapitulácia stavby'!BI11)</f>
        <v/>
      </c>
    </row>
    <row r="16" spans="1:46" s="1" customFormat="1" ht="7.05" customHeight="1" x14ac:dyDescent="0.2">
      <c r="B16" s="24"/>
      <c r="D16" s="521"/>
      <c r="F16" s="521"/>
      <c r="I16" s="521"/>
      <c r="L16" s="24"/>
      <c r="W16" s="158"/>
      <c r="X16" s="680"/>
      <c r="Y16" s="680"/>
      <c r="Z16" s="680"/>
      <c r="AA16" s="680"/>
      <c r="AB16" s="680"/>
      <c r="AC16" s="680"/>
      <c r="AD16" s="680"/>
      <c r="AE16" s="159"/>
    </row>
    <row r="17" spans="2:31" s="1" customFormat="1" ht="12" customHeight="1" x14ac:dyDescent="0.2">
      <c r="B17" s="24"/>
      <c r="D17" s="528" t="s">
        <v>21</v>
      </c>
      <c r="F17" s="529" t="s">
        <v>5202</v>
      </c>
      <c r="I17" s="528" t="s">
        <v>19</v>
      </c>
      <c r="J17" s="19"/>
      <c r="L17" s="24"/>
      <c r="W17" s="158"/>
      <c r="X17" s="680"/>
      <c r="Y17" s="679" t="s">
        <v>21</v>
      </c>
      <c r="Z17" s="680"/>
      <c r="AA17" s="576" t="s">
        <v>5202</v>
      </c>
      <c r="AB17" s="680"/>
      <c r="AC17" s="680"/>
      <c r="AD17" s="679" t="s">
        <v>19</v>
      </c>
      <c r="AE17" s="161"/>
    </row>
    <row r="18" spans="2:31" s="1" customFormat="1" ht="18" customHeight="1" x14ac:dyDescent="0.2">
      <c r="B18" s="24"/>
      <c r="D18" s="521"/>
      <c r="E18" s="1161"/>
      <c r="F18" s="1161"/>
      <c r="G18" s="1161"/>
      <c r="H18" s="1161"/>
      <c r="I18" s="528" t="s">
        <v>20</v>
      </c>
      <c r="J18" s="19" t="str">
        <f>'Rekapitulácia stavby'!AN14</f>
        <v/>
      </c>
      <c r="L18" s="24"/>
      <c r="W18" s="158"/>
      <c r="X18" s="680"/>
      <c r="Y18" s="680"/>
      <c r="Z18" s="1247"/>
      <c r="AA18" s="1247"/>
      <c r="AB18" s="1247"/>
      <c r="AC18" s="1247"/>
      <c r="AD18" s="679" t="s">
        <v>20</v>
      </c>
      <c r="AE18" s="161"/>
    </row>
    <row r="19" spans="2:31" s="1" customFormat="1" ht="7.05" customHeight="1" x14ac:dyDescent="0.2">
      <c r="B19" s="24"/>
      <c r="D19" s="521"/>
      <c r="I19" s="521"/>
      <c r="L19" s="24"/>
      <c r="W19" s="158"/>
      <c r="X19" s="680"/>
      <c r="Y19" s="680"/>
      <c r="Z19" s="680"/>
      <c r="AA19" s="680"/>
      <c r="AB19" s="680"/>
      <c r="AC19" s="680"/>
      <c r="AD19" s="680"/>
      <c r="AE19" s="159"/>
    </row>
    <row r="20" spans="2:31" s="1" customFormat="1" ht="12" customHeight="1" x14ac:dyDescent="0.2">
      <c r="B20" s="24"/>
      <c r="D20" s="528" t="s">
        <v>22</v>
      </c>
      <c r="I20" s="528" t="s">
        <v>19</v>
      </c>
      <c r="J20" s="19" t="str">
        <f>IF('Rekapitulácia stavby'!AN16="","",'Rekapitulácia stavby'!AN16)</f>
        <v/>
      </c>
      <c r="L20" s="24"/>
      <c r="W20" s="158"/>
      <c r="X20" s="680"/>
      <c r="Y20" s="679" t="s">
        <v>22</v>
      </c>
      <c r="Z20" s="680"/>
      <c r="AA20" s="680"/>
      <c r="AB20" s="680"/>
      <c r="AC20" s="680"/>
      <c r="AD20" s="679" t="s">
        <v>19</v>
      </c>
      <c r="AE20" s="161" t="str">
        <f>IF('Rekapitulácia stavby'!BI16="","",'Rekapitulácia stavby'!BI16)</f>
        <v/>
      </c>
    </row>
    <row r="21" spans="2:31" s="1" customFormat="1" ht="18" customHeight="1" x14ac:dyDescent="0.2">
      <c r="B21" s="24"/>
      <c r="D21" s="521"/>
      <c r="E21" s="19" t="str">
        <f>IF('Rekapitulácia stavby'!E17="","",'Rekapitulácia stavby'!E17)</f>
        <v xml:space="preserve"> </v>
      </c>
      <c r="I21" s="528" t="s">
        <v>20</v>
      </c>
      <c r="J21" s="19" t="str">
        <f>IF('Rekapitulácia stavby'!AN17="","",'Rekapitulácia stavby'!AN17)</f>
        <v/>
      </c>
      <c r="L21" s="24"/>
      <c r="W21" s="158"/>
      <c r="X21" s="680"/>
      <c r="Y21" s="680"/>
      <c r="Z21" s="677" t="str">
        <f>IF('Rekapitulácia stavby'!Z17="","",'Rekapitulácia stavby'!Z17)</f>
        <v/>
      </c>
      <c r="AA21" s="680"/>
      <c r="AB21" s="680"/>
      <c r="AC21" s="680"/>
      <c r="AD21" s="679" t="s">
        <v>20</v>
      </c>
      <c r="AE21" s="161" t="str">
        <f>IF('Rekapitulácia stavby'!BI17="","",'Rekapitulácia stavby'!BI17)</f>
        <v/>
      </c>
    </row>
    <row r="22" spans="2:31" s="1" customFormat="1" ht="7.05" customHeight="1" x14ac:dyDescent="0.2">
      <c r="B22" s="24"/>
      <c r="D22" s="521"/>
      <c r="I22" s="521"/>
      <c r="L22" s="24"/>
      <c r="W22" s="158"/>
      <c r="X22" s="680"/>
      <c r="Y22" s="680"/>
      <c r="Z22" s="680"/>
      <c r="AA22" s="680"/>
      <c r="AB22" s="680"/>
      <c r="AC22" s="680"/>
      <c r="AD22" s="680"/>
      <c r="AE22" s="159"/>
    </row>
    <row r="23" spans="2:31" s="1" customFormat="1" ht="12" customHeight="1" x14ac:dyDescent="0.2">
      <c r="B23" s="24"/>
      <c r="D23" s="528" t="s">
        <v>24</v>
      </c>
      <c r="I23" s="528" t="s">
        <v>19</v>
      </c>
      <c r="J23" s="19" t="str">
        <f>IF('Rekapitulácia stavby'!AN19="","",'Rekapitulácia stavby'!AN19)</f>
        <v/>
      </c>
      <c r="L23" s="24"/>
      <c r="W23" s="158"/>
      <c r="X23" s="680"/>
      <c r="Y23" s="679" t="s">
        <v>24</v>
      </c>
      <c r="Z23" s="680"/>
      <c r="AA23" s="680"/>
      <c r="AB23" s="680"/>
      <c r="AC23" s="680"/>
      <c r="AD23" s="679" t="s">
        <v>19</v>
      </c>
      <c r="AE23" s="161" t="str">
        <f>IF('Rekapitulácia stavby'!BI19="","",'Rekapitulácia stavby'!BI19)</f>
        <v/>
      </c>
    </row>
    <row r="24" spans="2:31" s="1" customFormat="1" ht="18" customHeight="1" x14ac:dyDescent="0.2">
      <c r="B24" s="24"/>
      <c r="D24" s="521"/>
      <c r="E24" s="19" t="str">
        <f>IF('Rekapitulácia stavby'!E20="","",'Rekapitulácia stavby'!E20)</f>
        <v xml:space="preserve"> </v>
      </c>
      <c r="I24" s="528" t="s">
        <v>20</v>
      </c>
      <c r="J24" s="19" t="str">
        <f>IF('Rekapitulácia stavby'!AN20="","",'Rekapitulácia stavby'!AN20)</f>
        <v/>
      </c>
      <c r="L24" s="24"/>
      <c r="W24" s="158"/>
      <c r="X24" s="680"/>
      <c r="Y24" s="680"/>
      <c r="Z24" s="677" t="str">
        <f>IF('Rekapitulácia stavby'!Z20="","",'Rekapitulácia stavby'!Z20)</f>
        <v/>
      </c>
      <c r="AA24" s="680"/>
      <c r="AB24" s="680"/>
      <c r="AC24" s="680"/>
      <c r="AD24" s="679" t="s">
        <v>20</v>
      </c>
      <c r="AE24" s="161" t="str">
        <f>IF('Rekapitulácia stavby'!BI20="","",'Rekapitulácia stavby'!BI20)</f>
        <v/>
      </c>
    </row>
    <row r="25" spans="2:31" s="1" customFormat="1" ht="7.05" customHeight="1" x14ac:dyDescent="0.2">
      <c r="B25" s="24"/>
      <c r="D25" s="521"/>
      <c r="L25" s="24"/>
      <c r="W25" s="158"/>
      <c r="X25" s="680"/>
      <c r="Y25" s="680"/>
      <c r="Z25" s="680"/>
      <c r="AA25" s="680"/>
      <c r="AB25" s="680"/>
      <c r="AC25" s="680"/>
      <c r="AD25" s="680"/>
      <c r="AE25" s="159"/>
    </row>
    <row r="26" spans="2:31" s="1" customFormat="1" ht="12" customHeight="1" x14ac:dyDescent="0.2">
      <c r="B26" s="24"/>
      <c r="D26" s="528" t="s">
        <v>25</v>
      </c>
      <c r="L26" s="24"/>
      <c r="W26" s="158"/>
      <c r="X26" s="680"/>
      <c r="Y26" s="679" t="s">
        <v>25</v>
      </c>
      <c r="Z26" s="680"/>
      <c r="AA26" s="680"/>
      <c r="AB26" s="680"/>
      <c r="AC26" s="680"/>
      <c r="AD26" s="680"/>
      <c r="AE26" s="159"/>
    </row>
    <row r="27" spans="2:31" s="7" customFormat="1" ht="16.5" customHeight="1" x14ac:dyDescent="0.2">
      <c r="B27" s="75"/>
      <c r="E27" s="1228" t="s">
        <v>1</v>
      </c>
      <c r="F27" s="1228"/>
      <c r="G27" s="1228"/>
      <c r="H27" s="1228"/>
      <c r="L27" s="75"/>
      <c r="W27" s="163"/>
      <c r="X27" s="164"/>
      <c r="Y27" s="164"/>
      <c r="Z27" s="1248" t="s">
        <v>1</v>
      </c>
      <c r="AA27" s="1248"/>
      <c r="AB27" s="1248"/>
      <c r="AC27" s="1248"/>
      <c r="AD27" s="164"/>
      <c r="AE27" s="165"/>
    </row>
    <row r="28" spans="2:31" s="1" customFormat="1" ht="7.05" customHeight="1" x14ac:dyDescent="0.2">
      <c r="B28" s="24"/>
      <c r="L28" s="24"/>
      <c r="W28" s="158"/>
      <c r="X28" s="680"/>
      <c r="Y28" s="680"/>
      <c r="Z28" s="680"/>
      <c r="AA28" s="680"/>
      <c r="AB28" s="680"/>
      <c r="AC28" s="680"/>
      <c r="AD28" s="680"/>
      <c r="AE28" s="159"/>
    </row>
    <row r="29" spans="2:31" s="1" customFormat="1" ht="7.05" customHeight="1" x14ac:dyDescent="0.2">
      <c r="B29" s="24"/>
      <c r="D29" s="40"/>
      <c r="E29" s="40"/>
      <c r="F29" s="40"/>
      <c r="G29" s="40"/>
      <c r="H29" s="40"/>
      <c r="I29" s="40"/>
      <c r="J29" s="40"/>
      <c r="K29" s="40"/>
      <c r="L29" s="24"/>
      <c r="W29" s="158"/>
      <c r="X29" s="680"/>
      <c r="Y29" s="40"/>
      <c r="Z29" s="40"/>
      <c r="AA29" s="40"/>
      <c r="AB29" s="40"/>
      <c r="AC29" s="40"/>
      <c r="AD29" s="40"/>
      <c r="AE29" s="166"/>
    </row>
    <row r="30" spans="2:31" s="1" customFormat="1" ht="25.2" customHeight="1" x14ac:dyDescent="0.2">
      <c r="B30" s="24"/>
      <c r="D30" s="76" t="s">
        <v>26</v>
      </c>
      <c r="J30" s="53">
        <f>ROUND(J117, 2)</f>
        <v>17909.61</v>
      </c>
      <c r="L30" s="24"/>
      <c r="W30" s="158"/>
      <c r="X30" s="680"/>
      <c r="Y30" s="167" t="s">
        <v>26</v>
      </c>
      <c r="Z30" s="680"/>
      <c r="AA30" s="680"/>
      <c r="AB30" s="680"/>
      <c r="AC30" s="680"/>
      <c r="AD30" s="680"/>
      <c r="AE30" s="168">
        <f>ROUND(AE117, 2)</f>
        <v>6774.12</v>
      </c>
    </row>
    <row r="31" spans="2:31" s="1" customFormat="1" ht="7.05" customHeight="1" x14ac:dyDescent="0.2">
      <c r="B31" s="24"/>
      <c r="D31" s="40"/>
      <c r="E31" s="40"/>
      <c r="F31" s="40"/>
      <c r="G31" s="40"/>
      <c r="H31" s="40"/>
      <c r="I31" s="40"/>
      <c r="J31" s="40"/>
      <c r="K31" s="40"/>
      <c r="L31" s="24"/>
      <c r="W31" s="158"/>
      <c r="X31" s="680"/>
      <c r="Y31" s="40"/>
      <c r="Z31" s="40"/>
      <c r="AA31" s="40"/>
      <c r="AB31" s="40"/>
      <c r="AC31" s="40"/>
      <c r="AD31" s="40"/>
      <c r="AE31" s="166"/>
    </row>
    <row r="32" spans="2:31" s="1" customFormat="1" ht="14.55" customHeight="1" x14ac:dyDescent="0.2">
      <c r="B32" s="24"/>
      <c r="D32" s="521"/>
      <c r="E32" s="521"/>
      <c r="F32" s="534" t="s">
        <v>28</v>
      </c>
      <c r="G32" s="521"/>
      <c r="H32" s="521"/>
      <c r="I32" s="534" t="s">
        <v>27</v>
      </c>
      <c r="J32" s="534" t="s">
        <v>29</v>
      </c>
      <c r="L32" s="24"/>
      <c r="W32" s="158"/>
      <c r="X32" s="680"/>
      <c r="Y32" s="680"/>
      <c r="Z32" s="680"/>
      <c r="AA32" s="542" t="s">
        <v>28</v>
      </c>
      <c r="AB32" s="680"/>
      <c r="AC32" s="680"/>
      <c r="AD32" s="542" t="s">
        <v>27</v>
      </c>
      <c r="AE32" s="543" t="s">
        <v>29</v>
      </c>
    </row>
    <row r="33" spans="2:31" s="1" customFormat="1" ht="14.55" customHeight="1" x14ac:dyDescent="0.2">
      <c r="B33" s="24"/>
      <c r="D33" s="13" t="s">
        <v>30</v>
      </c>
      <c r="E33" s="528" t="s">
        <v>31</v>
      </c>
      <c r="F33" s="398">
        <f>ROUND((SUM(BE117:BE162)),  2)</f>
        <v>0</v>
      </c>
      <c r="G33" s="521"/>
      <c r="H33" s="521"/>
      <c r="I33" s="535">
        <v>0.2</v>
      </c>
      <c r="J33" s="398">
        <f>ROUND(((SUM(BE117:BE162))*I33),  2)</f>
        <v>0</v>
      </c>
      <c r="L33" s="24"/>
      <c r="W33" s="158"/>
      <c r="X33" s="680"/>
      <c r="Y33" s="544" t="s">
        <v>30</v>
      </c>
      <c r="Z33" s="679" t="s">
        <v>31</v>
      </c>
      <c r="AA33" s="545">
        <f>ROUND((SUM(BZ117:BZ162)),  2)</f>
        <v>0</v>
      </c>
      <c r="AB33" s="680"/>
      <c r="AC33" s="680"/>
      <c r="AD33" s="546">
        <v>0.2</v>
      </c>
      <c r="AE33" s="547">
        <f>ROUND(((SUM(BZ117:BZ162))*AD33),  2)</f>
        <v>0</v>
      </c>
    </row>
    <row r="34" spans="2:31" s="1" customFormat="1" ht="14.55" customHeight="1" x14ac:dyDescent="0.2">
      <c r="B34" s="24"/>
      <c r="D34" s="521"/>
      <c r="E34" s="528" t="s">
        <v>32</v>
      </c>
      <c r="F34" s="398">
        <f>ROUND((SUM(BF117:BF162)),  2)</f>
        <v>17909.61</v>
      </c>
      <c r="G34" s="521"/>
      <c r="H34" s="521"/>
      <c r="I34" s="535">
        <v>0.2</v>
      </c>
      <c r="J34" s="398">
        <f>ROUND(((SUM(BF117:BF162))*I34),  2)</f>
        <v>3581.92</v>
      </c>
      <c r="L34" s="24"/>
      <c r="W34" s="158"/>
      <c r="X34" s="680"/>
      <c r="Y34" s="680"/>
      <c r="Z34" s="679" t="s">
        <v>32</v>
      </c>
      <c r="AA34" s="545">
        <f>AE30</f>
        <v>6774.12</v>
      </c>
      <c r="AB34" s="680"/>
      <c r="AC34" s="680"/>
      <c r="AD34" s="546">
        <v>0.2</v>
      </c>
      <c r="AE34" s="547">
        <f>AA34*0.2</f>
        <v>1354.8240000000001</v>
      </c>
    </row>
    <row r="35" spans="2:31" s="1" customFormat="1" ht="14.55" hidden="1" customHeight="1" x14ac:dyDescent="0.2">
      <c r="B35" s="24"/>
      <c r="E35" s="21" t="s">
        <v>33</v>
      </c>
      <c r="F35" s="78">
        <f>ROUND((SUM(BG117:BG162)),  2)</f>
        <v>0</v>
      </c>
      <c r="I35" s="79">
        <v>0.2</v>
      </c>
      <c r="J35" s="78">
        <f>0</f>
        <v>0</v>
      </c>
      <c r="L35" s="24"/>
      <c r="W35" s="158"/>
      <c r="X35" s="680"/>
      <c r="Y35" s="680"/>
      <c r="Z35" s="681" t="s">
        <v>33</v>
      </c>
      <c r="AA35" s="170">
        <f>ROUND((SUM(CB117:CB162)),  2)</f>
        <v>0</v>
      </c>
      <c r="AB35" s="680"/>
      <c r="AC35" s="680"/>
      <c r="AD35" s="171">
        <v>0.2</v>
      </c>
      <c r="AE35" s="172">
        <f>0</f>
        <v>0</v>
      </c>
    </row>
    <row r="36" spans="2:31" s="1" customFormat="1" ht="14.55" hidden="1" customHeight="1" x14ac:dyDescent="0.2">
      <c r="B36" s="24"/>
      <c r="E36" s="21" t="s">
        <v>34</v>
      </c>
      <c r="F36" s="78">
        <f>ROUND((SUM(BH117:BH162)),  2)</f>
        <v>0</v>
      </c>
      <c r="I36" s="79">
        <v>0.2</v>
      </c>
      <c r="J36" s="78">
        <f>0</f>
        <v>0</v>
      </c>
      <c r="L36" s="24"/>
      <c r="W36" s="158"/>
      <c r="X36" s="680"/>
      <c r="Y36" s="680"/>
      <c r="Z36" s="681" t="s">
        <v>34</v>
      </c>
      <c r="AA36" s="170">
        <f>ROUND((SUM(CC117:CC162)),  2)</f>
        <v>0</v>
      </c>
      <c r="AB36" s="680"/>
      <c r="AC36" s="680"/>
      <c r="AD36" s="171">
        <v>0.2</v>
      </c>
      <c r="AE36" s="172">
        <f>0</f>
        <v>0</v>
      </c>
    </row>
    <row r="37" spans="2:31" s="1" customFormat="1" ht="14.55" hidden="1" customHeight="1" x14ac:dyDescent="0.2">
      <c r="B37" s="24"/>
      <c r="E37" s="21" t="s">
        <v>35</v>
      </c>
      <c r="F37" s="78">
        <f>ROUND((SUM(BI117:BI162)),  2)</f>
        <v>0</v>
      </c>
      <c r="I37" s="79">
        <v>0</v>
      </c>
      <c r="J37" s="78">
        <f>0</f>
        <v>0</v>
      </c>
      <c r="L37" s="24"/>
      <c r="W37" s="158"/>
      <c r="X37" s="680"/>
      <c r="Y37" s="680"/>
      <c r="Z37" s="681" t="s">
        <v>35</v>
      </c>
      <c r="AA37" s="170">
        <f>ROUND((SUM(CD117:CD162)),  2)</f>
        <v>0</v>
      </c>
      <c r="AB37" s="680"/>
      <c r="AC37" s="680"/>
      <c r="AD37" s="171">
        <v>0</v>
      </c>
      <c r="AE37" s="172">
        <f>0</f>
        <v>0</v>
      </c>
    </row>
    <row r="38" spans="2:31" s="1" customFormat="1" ht="7.05" customHeight="1" x14ac:dyDescent="0.2">
      <c r="B38" s="24"/>
      <c r="L38" s="24"/>
      <c r="W38" s="158"/>
      <c r="X38" s="680"/>
      <c r="Y38" s="680"/>
      <c r="Z38" s="680"/>
      <c r="AA38" s="680"/>
      <c r="AB38" s="680"/>
      <c r="AC38" s="680"/>
      <c r="AD38" s="680"/>
      <c r="AE38" s="159"/>
    </row>
    <row r="39" spans="2:31" s="1" customFormat="1" ht="25.2" customHeight="1" x14ac:dyDescent="0.2">
      <c r="B39" s="24"/>
      <c r="C39" s="80"/>
      <c r="D39" s="81" t="s">
        <v>36</v>
      </c>
      <c r="E39" s="44"/>
      <c r="F39" s="44"/>
      <c r="G39" s="82" t="s">
        <v>37</v>
      </c>
      <c r="H39" s="83" t="s">
        <v>38</v>
      </c>
      <c r="I39" s="44"/>
      <c r="J39" s="84">
        <f>SUM(J30:J37)</f>
        <v>21491.53</v>
      </c>
      <c r="K39" s="85"/>
      <c r="L39" s="24"/>
      <c r="W39" s="158"/>
      <c r="X39" s="173"/>
      <c r="Y39" s="81" t="s">
        <v>36</v>
      </c>
      <c r="Z39" s="44"/>
      <c r="AA39" s="44"/>
      <c r="AB39" s="82" t="s">
        <v>37</v>
      </c>
      <c r="AC39" s="83" t="s">
        <v>38</v>
      </c>
      <c r="AD39" s="44"/>
      <c r="AE39" s="174">
        <f>SUM(AE30:AE37)</f>
        <v>8128.9439999999995</v>
      </c>
    </row>
    <row r="40" spans="2:31" s="1" customFormat="1" ht="14.55" customHeight="1" x14ac:dyDescent="0.2">
      <c r="B40" s="24"/>
      <c r="L40" s="24"/>
      <c r="W40" s="158"/>
      <c r="X40" s="680"/>
      <c r="Y40" s="680"/>
      <c r="Z40" s="680"/>
      <c r="AA40" s="680"/>
      <c r="AB40" s="680"/>
      <c r="AC40" s="680"/>
      <c r="AD40" s="680"/>
      <c r="AE40" s="159"/>
    </row>
    <row r="41" spans="2:31" ht="14.55" customHeight="1" x14ac:dyDescent="0.2">
      <c r="B41" s="16"/>
      <c r="L41" s="16"/>
      <c r="W41" s="155"/>
      <c r="X41" s="156"/>
      <c r="Y41" s="156"/>
      <c r="Z41" s="156"/>
      <c r="AA41" s="156"/>
      <c r="AB41" s="156"/>
      <c r="AC41" s="156"/>
      <c r="AD41" s="156"/>
      <c r="AE41" s="157"/>
    </row>
    <row r="42" spans="2:31" ht="14.55" customHeight="1" x14ac:dyDescent="0.2">
      <c r="B42" s="16"/>
      <c r="L42" s="16"/>
      <c r="W42" s="155"/>
      <c r="X42" s="156"/>
      <c r="Y42" s="156"/>
      <c r="Z42" s="156"/>
      <c r="AA42" s="156"/>
      <c r="AB42" s="156"/>
      <c r="AC42" s="156"/>
      <c r="AD42" s="156"/>
      <c r="AE42" s="157"/>
    </row>
    <row r="43" spans="2:31" ht="14.55" customHeight="1" x14ac:dyDescent="0.2">
      <c r="B43" s="16"/>
      <c r="L43" s="16"/>
      <c r="W43" s="155"/>
      <c r="X43" s="156"/>
      <c r="Y43" s="156"/>
      <c r="Z43" s="156"/>
      <c r="AA43" s="156"/>
      <c r="AB43" s="156"/>
      <c r="AC43" s="156"/>
      <c r="AD43" s="156"/>
      <c r="AE43" s="157"/>
    </row>
    <row r="44" spans="2:31" ht="14.55" customHeight="1" x14ac:dyDescent="0.2">
      <c r="B44" s="16"/>
      <c r="L44" s="16"/>
      <c r="W44" s="155"/>
      <c r="X44" s="156"/>
      <c r="Y44" s="156"/>
      <c r="Z44" s="156"/>
      <c r="AA44" s="156"/>
      <c r="AB44" s="156"/>
      <c r="AC44" s="156"/>
      <c r="AD44" s="156"/>
      <c r="AE44" s="157"/>
    </row>
    <row r="45" spans="2:31" ht="14.55" customHeight="1" x14ac:dyDescent="0.2">
      <c r="B45" s="16"/>
      <c r="L45" s="16"/>
      <c r="W45" s="155"/>
      <c r="X45" s="156"/>
      <c r="Y45" s="156"/>
      <c r="Z45" s="156"/>
      <c r="AA45" s="156"/>
      <c r="AB45" s="156"/>
      <c r="AC45" s="156"/>
      <c r="AD45" s="156"/>
      <c r="AE45" s="157"/>
    </row>
    <row r="46" spans="2:31" ht="14.55" customHeight="1" x14ac:dyDescent="0.2">
      <c r="B46" s="16"/>
      <c r="L46" s="16"/>
      <c r="W46" s="155"/>
      <c r="X46" s="156"/>
      <c r="Y46" s="156"/>
      <c r="Z46" s="156"/>
      <c r="AA46" s="156"/>
      <c r="AB46" s="156"/>
      <c r="AC46" s="156"/>
      <c r="AD46" s="156"/>
      <c r="AE46" s="157"/>
    </row>
    <row r="47" spans="2:31" ht="14.55" customHeight="1" x14ac:dyDescent="0.2">
      <c r="B47" s="16"/>
      <c r="L47" s="16"/>
      <c r="W47" s="155"/>
      <c r="X47" s="156"/>
      <c r="Y47" s="156"/>
      <c r="Z47" s="156"/>
      <c r="AA47" s="156"/>
      <c r="AB47" s="156"/>
      <c r="AC47" s="156"/>
      <c r="AD47" s="156"/>
      <c r="AE47" s="157"/>
    </row>
    <row r="48" spans="2:31" ht="14.55" customHeight="1" x14ac:dyDescent="0.2">
      <c r="B48" s="16"/>
      <c r="L48" s="16"/>
      <c r="W48" s="155"/>
      <c r="X48" s="156"/>
      <c r="Y48" s="156"/>
      <c r="Z48" s="156"/>
      <c r="AA48" s="156"/>
      <c r="AB48" s="156"/>
      <c r="AC48" s="156"/>
      <c r="AD48" s="156"/>
      <c r="AE48" s="157"/>
    </row>
    <row r="49" spans="2:31" ht="14.55" customHeight="1" x14ac:dyDescent="0.2">
      <c r="B49" s="16"/>
      <c r="D49" s="156"/>
      <c r="E49" s="156"/>
      <c r="F49" s="156"/>
      <c r="G49" s="156"/>
      <c r="H49" s="156"/>
      <c r="I49" s="156"/>
      <c r="J49" s="156"/>
      <c r="L49" s="16"/>
      <c r="W49" s="155"/>
      <c r="X49" s="156"/>
      <c r="Y49" s="156"/>
      <c r="Z49" s="156"/>
      <c r="AA49" s="156"/>
      <c r="AB49" s="156"/>
      <c r="AC49" s="156"/>
      <c r="AD49" s="156"/>
      <c r="AE49" s="157"/>
    </row>
    <row r="50" spans="2:31" s="1" customFormat="1" ht="14.55" customHeight="1" x14ac:dyDescent="0.2">
      <c r="B50" s="24"/>
      <c r="D50" s="530"/>
      <c r="E50" s="523"/>
      <c r="F50" s="523"/>
      <c r="G50" s="530"/>
      <c r="H50" s="523"/>
      <c r="I50" s="523"/>
      <c r="J50" s="523"/>
      <c r="K50" s="32"/>
      <c r="L50" s="24"/>
      <c r="W50" s="158"/>
      <c r="X50" s="680"/>
      <c r="Y50" s="530"/>
      <c r="Z50" s="680"/>
      <c r="AA50" s="680"/>
      <c r="AB50" s="530"/>
      <c r="AC50" s="680"/>
      <c r="AD50" s="680"/>
      <c r="AE50" s="159"/>
    </row>
    <row r="51" spans="2:31" x14ac:dyDescent="0.2">
      <c r="B51" s="16"/>
      <c r="D51" s="156"/>
      <c r="E51" s="156"/>
      <c r="F51" s="156"/>
      <c r="G51" s="156"/>
      <c r="H51" s="156"/>
      <c r="I51" s="156"/>
      <c r="J51" s="156"/>
      <c r="L51" s="16"/>
      <c r="W51" s="155"/>
      <c r="X51" s="156"/>
      <c r="Y51" s="156"/>
      <c r="Z51" s="156"/>
      <c r="AA51" s="156"/>
      <c r="AB51" s="156"/>
      <c r="AC51" s="156"/>
      <c r="AD51" s="156"/>
      <c r="AE51" s="157"/>
    </row>
    <row r="52" spans="2:31" x14ac:dyDescent="0.2">
      <c r="B52" s="16"/>
      <c r="D52" s="156"/>
      <c r="E52" s="156"/>
      <c r="F52" s="156"/>
      <c r="G52" s="156"/>
      <c r="H52" s="156"/>
      <c r="I52" s="156"/>
      <c r="J52" s="156"/>
      <c r="L52" s="16"/>
      <c r="W52" s="155"/>
      <c r="X52" s="156"/>
      <c r="Y52" s="156"/>
      <c r="Z52" s="156"/>
      <c r="AA52" s="156"/>
      <c r="AB52" s="156"/>
      <c r="AC52" s="156"/>
      <c r="AD52" s="156"/>
      <c r="AE52" s="157"/>
    </row>
    <row r="53" spans="2:31" x14ac:dyDescent="0.2">
      <c r="B53" s="16"/>
      <c r="D53" s="156"/>
      <c r="E53" s="156"/>
      <c r="F53" s="156"/>
      <c r="G53" s="156"/>
      <c r="H53" s="156"/>
      <c r="I53" s="156"/>
      <c r="J53" s="156"/>
      <c r="L53" s="16"/>
      <c r="W53" s="155"/>
      <c r="X53" s="156"/>
      <c r="Y53" s="156"/>
      <c r="Z53" s="156"/>
      <c r="AA53" s="156"/>
      <c r="AB53" s="156"/>
      <c r="AC53" s="156"/>
      <c r="AD53" s="156"/>
      <c r="AE53" s="157"/>
    </row>
    <row r="54" spans="2:31" x14ac:dyDescent="0.2">
      <c r="B54" s="16"/>
      <c r="D54" s="156"/>
      <c r="E54" s="156"/>
      <c r="F54" s="156"/>
      <c r="G54" s="156"/>
      <c r="H54" s="156"/>
      <c r="I54" s="156"/>
      <c r="J54" s="156"/>
      <c r="L54" s="16"/>
      <c r="W54" s="155"/>
      <c r="X54" s="156"/>
      <c r="Y54" s="156"/>
      <c r="Z54" s="156"/>
      <c r="AA54" s="156"/>
      <c r="AB54" s="156"/>
      <c r="AC54" s="156"/>
      <c r="AD54" s="156"/>
      <c r="AE54" s="157"/>
    </row>
    <row r="55" spans="2:31" x14ac:dyDescent="0.2">
      <c r="B55" s="16"/>
      <c r="D55" s="156"/>
      <c r="E55" s="156"/>
      <c r="F55" s="156"/>
      <c r="G55" s="156"/>
      <c r="H55" s="156"/>
      <c r="I55" s="156"/>
      <c r="J55" s="156"/>
      <c r="L55" s="16"/>
      <c r="W55" s="155"/>
      <c r="X55" s="156"/>
      <c r="Y55" s="156"/>
      <c r="Z55" s="156"/>
      <c r="AA55" s="156"/>
      <c r="AB55" s="156"/>
      <c r="AC55" s="156"/>
      <c r="AD55" s="156"/>
      <c r="AE55" s="157"/>
    </row>
    <row r="56" spans="2:31" x14ac:dyDescent="0.2">
      <c r="B56" s="16"/>
      <c r="D56" s="156"/>
      <c r="E56" s="156"/>
      <c r="F56" s="156"/>
      <c r="G56" s="156"/>
      <c r="H56" s="156"/>
      <c r="I56" s="156"/>
      <c r="J56" s="156"/>
      <c r="L56" s="16"/>
      <c r="W56" s="155"/>
      <c r="X56" s="156"/>
      <c r="Y56" s="156"/>
      <c r="Z56" s="156"/>
      <c r="AA56" s="156"/>
      <c r="AB56" s="156"/>
      <c r="AC56" s="156"/>
      <c r="AD56" s="156"/>
      <c r="AE56" s="157"/>
    </row>
    <row r="57" spans="2:31" x14ac:dyDescent="0.2">
      <c r="B57" s="16"/>
      <c r="D57" s="156"/>
      <c r="E57" s="156"/>
      <c r="F57" s="156"/>
      <c r="G57" s="156"/>
      <c r="H57" s="156"/>
      <c r="I57" s="156"/>
      <c r="J57" s="156"/>
      <c r="L57" s="16"/>
      <c r="W57" s="155"/>
      <c r="X57" s="156"/>
      <c r="Y57" s="156"/>
      <c r="Z57" s="156"/>
      <c r="AA57" s="156"/>
      <c r="AB57" s="156"/>
      <c r="AC57" s="156"/>
      <c r="AD57" s="156"/>
      <c r="AE57" s="157"/>
    </row>
    <row r="58" spans="2:31" x14ac:dyDescent="0.2">
      <c r="B58" s="16"/>
      <c r="D58" s="156"/>
      <c r="E58" s="156"/>
      <c r="F58" s="156"/>
      <c r="G58" s="156"/>
      <c r="H58" s="156"/>
      <c r="I58" s="156"/>
      <c r="J58" s="156"/>
      <c r="L58" s="16"/>
      <c r="W58" s="155"/>
      <c r="X58" s="156"/>
      <c r="Y58" s="156"/>
      <c r="Z58" s="156"/>
      <c r="AA58" s="156"/>
      <c r="AB58" s="156"/>
      <c r="AC58" s="156"/>
      <c r="AD58" s="156"/>
      <c r="AE58" s="157"/>
    </row>
    <row r="59" spans="2:31" x14ac:dyDescent="0.2">
      <c r="B59" s="16"/>
      <c r="D59" s="156"/>
      <c r="E59" s="156"/>
      <c r="F59" s="156"/>
      <c r="G59" s="156"/>
      <c r="H59" s="156"/>
      <c r="I59" s="156"/>
      <c r="J59" s="156"/>
      <c r="L59" s="16"/>
      <c r="W59" s="155"/>
      <c r="X59" s="156"/>
      <c r="Y59" s="156"/>
      <c r="Z59" s="156"/>
      <c r="AA59" s="156"/>
      <c r="AB59" s="156"/>
      <c r="AC59" s="156"/>
      <c r="AD59" s="156"/>
      <c r="AE59" s="157"/>
    </row>
    <row r="60" spans="2:31" x14ac:dyDescent="0.2">
      <c r="B60" s="16"/>
      <c r="D60" s="156"/>
      <c r="E60" s="156"/>
      <c r="F60" s="156"/>
      <c r="G60" s="156"/>
      <c r="H60" s="156"/>
      <c r="I60" s="156"/>
      <c r="J60" s="156"/>
      <c r="L60" s="16"/>
      <c r="W60" s="155"/>
      <c r="X60" s="156"/>
      <c r="Y60" s="156"/>
      <c r="Z60" s="156"/>
      <c r="AA60" s="156"/>
      <c r="AB60" s="156"/>
      <c r="AC60" s="156"/>
      <c r="AD60" s="156"/>
      <c r="AE60" s="157"/>
    </row>
    <row r="61" spans="2:31" s="1" customFormat="1" ht="13.2" x14ac:dyDescent="0.2">
      <c r="B61" s="24"/>
      <c r="D61" s="522"/>
      <c r="E61" s="523"/>
      <c r="F61" s="536"/>
      <c r="G61" s="522"/>
      <c r="H61" s="523"/>
      <c r="I61" s="523"/>
      <c r="J61" s="169"/>
      <c r="K61" s="26"/>
      <c r="L61" s="24"/>
      <c r="W61" s="158"/>
      <c r="X61" s="680"/>
      <c r="Y61" s="681"/>
      <c r="Z61" s="680"/>
      <c r="AA61" s="536"/>
      <c r="AB61" s="681"/>
      <c r="AC61" s="680"/>
      <c r="AD61" s="680"/>
      <c r="AE61" s="577"/>
    </row>
    <row r="62" spans="2:31" x14ac:dyDescent="0.2">
      <c r="B62" s="16"/>
      <c r="D62" s="156"/>
      <c r="E62" s="156"/>
      <c r="F62" s="156"/>
      <c r="G62" s="156"/>
      <c r="H62" s="156"/>
      <c r="I62" s="156"/>
      <c r="J62" s="156"/>
      <c r="L62" s="16"/>
      <c r="W62" s="155"/>
      <c r="X62" s="156"/>
      <c r="Y62" s="156"/>
      <c r="Z62" s="156"/>
      <c r="AA62" s="156"/>
      <c r="AB62" s="156"/>
      <c r="AC62" s="156"/>
      <c r="AD62" s="156"/>
      <c r="AE62" s="157"/>
    </row>
    <row r="63" spans="2:31" x14ac:dyDescent="0.2">
      <c r="B63" s="16"/>
      <c r="D63" s="156"/>
      <c r="E63" s="156"/>
      <c r="F63" s="156"/>
      <c r="G63" s="156"/>
      <c r="H63" s="156"/>
      <c r="I63" s="156"/>
      <c r="J63" s="156"/>
      <c r="L63" s="16"/>
      <c r="W63" s="155"/>
      <c r="X63" s="156"/>
      <c r="Y63" s="156"/>
      <c r="Z63" s="156"/>
      <c r="AA63" s="156"/>
      <c r="AB63" s="156"/>
      <c r="AC63" s="156"/>
      <c r="AD63" s="156"/>
      <c r="AE63" s="157"/>
    </row>
    <row r="64" spans="2:31" x14ac:dyDescent="0.2">
      <c r="B64" s="16"/>
      <c r="D64" s="156"/>
      <c r="E64" s="156"/>
      <c r="F64" s="156"/>
      <c r="G64" s="156"/>
      <c r="H64" s="156"/>
      <c r="I64" s="156"/>
      <c r="J64" s="156"/>
      <c r="L64" s="16"/>
      <c r="W64" s="155"/>
      <c r="X64" s="156"/>
      <c r="Y64" s="156"/>
      <c r="Z64" s="156"/>
      <c r="AA64" s="156"/>
      <c r="AB64" s="156"/>
      <c r="AC64" s="156"/>
      <c r="AD64" s="156"/>
      <c r="AE64" s="157"/>
    </row>
    <row r="65" spans="2:31" s="1" customFormat="1" ht="13.2" x14ac:dyDescent="0.2">
      <c r="B65" s="24"/>
      <c r="D65" s="530"/>
      <c r="E65" s="523"/>
      <c r="F65" s="523"/>
      <c r="G65" s="530"/>
      <c r="H65" s="523"/>
      <c r="I65" s="523"/>
      <c r="J65" s="523"/>
      <c r="K65" s="32"/>
      <c r="L65" s="24"/>
      <c r="W65" s="158"/>
      <c r="X65" s="680"/>
      <c r="Y65" s="530"/>
      <c r="Z65" s="680"/>
      <c r="AA65" s="680"/>
      <c r="AB65" s="530"/>
      <c r="AC65" s="680"/>
      <c r="AD65" s="680"/>
      <c r="AE65" s="159"/>
    </row>
    <row r="66" spans="2:31" x14ac:dyDescent="0.2">
      <c r="B66" s="16"/>
      <c r="D66" s="156"/>
      <c r="E66" s="156"/>
      <c r="F66" s="156"/>
      <c r="G66" s="156"/>
      <c r="H66" s="156"/>
      <c r="I66" s="156"/>
      <c r="J66" s="156"/>
      <c r="L66" s="16"/>
      <c r="W66" s="155"/>
      <c r="X66" s="156"/>
      <c r="Y66" s="156"/>
      <c r="Z66" s="156"/>
      <c r="AA66" s="156"/>
      <c r="AB66" s="156"/>
      <c r="AC66" s="156"/>
      <c r="AD66" s="156"/>
      <c r="AE66" s="157"/>
    </row>
    <row r="67" spans="2:31" x14ac:dyDescent="0.2">
      <c r="B67" s="16"/>
      <c r="D67" s="156"/>
      <c r="E67" s="156"/>
      <c r="F67" s="156"/>
      <c r="G67" s="156"/>
      <c r="H67" s="156"/>
      <c r="I67" s="156"/>
      <c r="J67" s="156"/>
      <c r="L67" s="16"/>
      <c r="W67" s="155"/>
      <c r="X67" s="156"/>
      <c r="Y67" s="156"/>
      <c r="Z67" s="156"/>
      <c r="AA67" s="156"/>
      <c r="AB67" s="156"/>
      <c r="AC67" s="156"/>
      <c r="AD67" s="156"/>
      <c r="AE67" s="157"/>
    </row>
    <row r="68" spans="2:31" x14ac:dyDescent="0.2">
      <c r="B68" s="16"/>
      <c r="D68" s="156"/>
      <c r="E68" s="156"/>
      <c r="F68" s="156"/>
      <c r="G68" s="156"/>
      <c r="H68" s="156"/>
      <c r="I68" s="156"/>
      <c r="J68" s="156"/>
      <c r="L68" s="16"/>
      <c r="W68" s="155"/>
      <c r="X68" s="156"/>
      <c r="Y68" s="156"/>
      <c r="Z68" s="156"/>
      <c r="AA68" s="156"/>
      <c r="AB68" s="156"/>
      <c r="AC68" s="156"/>
      <c r="AD68" s="156"/>
      <c r="AE68" s="157"/>
    </row>
    <row r="69" spans="2:31" x14ac:dyDescent="0.2">
      <c r="B69" s="16"/>
      <c r="D69" s="156"/>
      <c r="E69" s="156"/>
      <c r="F69" s="156"/>
      <c r="G69" s="156"/>
      <c r="H69" s="156"/>
      <c r="I69" s="156"/>
      <c r="J69" s="156"/>
      <c r="L69" s="16"/>
      <c r="W69" s="155"/>
      <c r="X69" s="156"/>
      <c r="Y69" s="156"/>
      <c r="Z69" s="156"/>
      <c r="AA69" s="156"/>
      <c r="AB69" s="156"/>
      <c r="AC69" s="156"/>
      <c r="AD69" s="156"/>
      <c r="AE69" s="157"/>
    </row>
    <row r="70" spans="2:31" x14ac:dyDescent="0.2">
      <c r="B70" s="16"/>
      <c r="D70" s="156"/>
      <c r="E70" s="156"/>
      <c r="F70" s="156"/>
      <c r="G70" s="156"/>
      <c r="H70" s="156"/>
      <c r="I70" s="156"/>
      <c r="J70" s="156"/>
      <c r="L70" s="16"/>
      <c r="W70" s="155"/>
      <c r="X70" s="156"/>
      <c r="Y70" s="156"/>
      <c r="Z70" s="156"/>
      <c r="AA70" s="156"/>
      <c r="AB70" s="156"/>
      <c r="AC70" s="156"/>
      <c r="AD70" s="156"/>
      <c r="AE70" s="157"/>
    </row>
    <row r="71" spans="2:31" x14ac:dyDescent="0.2">
      <c r="B71" s="16"/>
      <c r="D71" s="156"/>
      <c r="E71" s="156"/>
      <c r="F71" s="156"/>
      <c r="G71" s="156"/>
      <c r="H71" s="156"/>
      <c r="I71" s="156"/>
      <c r="J71" s="156"/>
      <c r="L71" s="16"/>
      <c r="W71" s="155"/>
      <c r="X71" s="156"/>
      <c r="Y71" s="156"/>
      <c r="Z71" s="156"/>
      <c r="AA71" s="156"/>
      <c r="AB71" s="156"/>
      <c r="AC71" s="156"/>
      <c r="AD71" s="156"/>
      <c r="AE71" s="157"/>
    </row>
    <row r="72" spans="2:31" x14ac:dyDescent="0.2">
      <c r="B72" s="16"/>
      <c r="D72" s="156"/>
      <c r="E72" s="156"/>
      <c r="F72" s="156"/>
      <c r="G72" s="156"/>
      <c r="H72" s="156"/>
      <c r="I72" s="156"/>
      <c r="J72" s="156"/>
      <c r="L72" s="16"/>
      <c r="W72" s="155"/>
      <c r="X72" s="156"/>
      <c r="Y72" s="156"/>
      <c r="Z72" s="156"/>
      <c r="AA72" s="156"/>
      <c r="AB72" s="156"/>
      <c r="AC72" s="156"/>
      <c r="AD72" s="156"/>
      <c r="AE72" s="157"/>
    </row>
    <row r="73" spans="2:31" x14ac:dyDescent="0.2">
      <c r="B73" s="16"/>
      <c r="D73" s="156"/>
      <c r="E73" s="156"/>
      <c r="F73" s="156"/>
      <c r="G73" s="156"/>
      <c r="H73" s="156"/>
      <c r="I73" s="156"/>
      <c r="J73" s="156"/>
      <c r="L73" s="16"/>
      <c r="W73" s="155"/>
      <c r="X73" s="156"/>
      <c r="Y73" s="156"/>
      <c r="Z73" s="156"/>
      <c r="AA73" s="156"/>
      <c r="AB73" s="156"/>
      <c r="AC73" s="156"/>
      <c r="AD73" s="156"/>
      <c r="AE73" s="157"/>
    </row>
    <row r="74" spans="2:31" x14ac:dyDescent="0.2">
      <c r="B74" s="16"/>
      <c r="D74" s="156"/>
      <c r="E74" s="156"/>
      <c r="F74" s="156"/>
      <c r="G74" s="156"/>
      <c r="H74" s="156"/>
      <c r="I74" s="156"/>
      <c r="J74" s="156"/>
      <c r="L74" s="16"/>
      <c r="W74" s="155"/>
      <c r="X74" s="156"/>
      <c r="Y74" s="156"/>
      <c r="Z74" s="156"/>
      <c r="AA74" s="156"/>
      <c r="AB74" s="156"/>
      <c r="AC74" s="156"/>
      <c r="AD74" s="156"/>
      <c r="AE74" s="157"/>
    </row>
    <row r="75" spans="2:31" x14ac:dyDescent="0.2">
      <c r="B75" s="16"/>
      <c r="D75" s="156"/>
      <c r="E75" s="156"/>
      <c r="F75" s="156"/>
      <c r="G75" s="156"/>
      <c r="H75" s="156"/>
      <c r="I75" s="156"/>
      <c r="J75" s="156"/>
      <c r="L75" s="16"/>
      <c r="W75" s="155"/>
      <c r="X75" s="156"/>
      <c r="Y75" s="156"/>
      <c r="Z75" s="156"/>
      <c r="AA75" s="156"/>
      <c r="AB75" s="156"/>
      <c r="AC75" s="156"/>
      <c r="AD75" s="156"/>
      <c r="AE75" s="157"/>
    </row>
    <row r="76" spans="2:31" s="1" customFormat="1" ht="13.2" x14ac:dyDescent="0.2">
      <c r="B76" s="24"/>
      <c r="D76" s="522"/>
      <c r="E76" s="523"/>
      <c r="F76" s="536"/>
      <c r="G76" s="522"/>
      <c r="H76" s="523"/>
      <c r="I76" s="523"/>
      <c r="J76" s="169"/>
      <c r="K76" s="26"/>
      <c r="L76" s="24"/>
      <c r="W76" s="158"/>
      <c r="X76" s="680"/>
      <c r="Y76" s="681"/>
      <c r="Z76" s="680"/>
      <c r="AA76" s="536"/>
      <c r="AB76" s="681"/>
      <c r="AC76" s="680"/>
      <c r="AD76" s="680"/>
      <c r="AE76" s="577"/>
    </row>
    <row r="77" spans="2:31" s="1" customFormat="1" ht="14.55" customHeight="1" x14ac:dyDescent="0.2">
      <c r="B77" s="33"/>
      <c r="C77" s="34"/>
      <c r="D77" s="34"/>
      <c r="E77" s="34"/>
      <c r="F77" s="34"/>
      <c r="G77" s="34"/>
      <c r="H77" s="34"/>
      <c r="I77" s="34"/>
      <c r="J77" s="34"/>
      <c r="K77" s="34"/>
      <c r="L77" s="24"/>
      <c r="W77" s="175"/>
      <c r="X77" s="176"/>
      <c r="Y77" s="176"/>
      <c r="Z77" s="176"/>
      <c r="AA77" s="176"/>
      <c r="AB77" s="176"/>
      <c r="AC77" s="176"/>
      <c r="AD77" s="176"/>
      <c r="AE77" s="177"/>
    </row>
    <row r="81" spans="2:47" s="1" customFormat="1" ht="7.05" customHeight="1" x14ac:dyDescent="0.2">
      <c r="B81" s="35"/>
      <c r="C81" s="36"/>
      <c r="D81" s="36"/>
      <c r="E81" s="36"/>
      <c r="F81" s="36"/>
      <c r="G81" s="36"/>
      <c r="H81" s="36"/>
      <c r="I81" s="36"/>
      <c r="J81" s="36"/>
      <c r="K81" s="36"/>
      <c r="L81" s="24"/>
      <c r="W81" s="178"/>
      <c r="X81" s="179"/>
      <c r="Y81" s="179"/>
      <c r="Z81" s="179"/>
      <c r="AA81" s="179"/>
      <c r="AB81" s="179"/>
      <c r="AC81" s="179"/>
      <c r="AD81" s="179"/>
      <c r="AE81" s="180"/>
    </row>
    <row r="82" spans="2:47" s="1" customFormat="1" ht="25.05" customHeight="1" x14ac:dyDescent="0.2">
      <c r="B82" s="24"/>
      <c r="C82" s="1165" t="s">
        <v>188</v>
      </c>
      <c r="D82" s="1165"/>
      <c r="E82" s="1165"/>
      <c r="F82" s="1165"/>
      <c r="G82" s="1165"/>
      <c r="H82" s="1165"/>
      <c r="I82" s="1165"/>
      <c r="J82" s="1165"/>
      <c r="L82" s="24"/>
      <c r="W82" s="158"/>
      <c r="X82" s="1237" t="s">
        <v>188</v>
      </c>
      <c r="Y82" s="1237"/>
      <c r="Z82" s="1237"/>
      <c r="AA82" s="1237"/>
      <c r="AB82" s="1237"/>
      <c r="AC82" s="1237"/>
      <c r="AD82" s="1237"/>
      <c r="AE82" s="1238"/>
    </row>
    <row r="83" spans="2:47" s="1" customFormat="1" ht="7.05" customHeight="1" x14ac:dyDescent="0.2">
      <c r="B83" s="24"/>
      <c r="L83" s="24"/>
      <c r="W83" s="158"/>
      <c r="X83" s="680"/>
      <c r="Y83" s="680"/>
      <c r="Z83" s="680"/>
      <c r="AA83" s="680"/>
      <c r="AB83" s="680"/>
      <c r="AC83" s="680"/>
      <c r="AD83" s="680"/>
      <c r="AE83" s="159"/>
    </row>
    <row r="84" spans="2:47" s="1" customFormat="1" ht="12" customHeight="1" x14ac:dyDescent="0.2">
      <c r="B84" s="24"/>
      <c r="C84" s="528" t="s">
        <v>12</v>
      </c>
      <c r="E84" s="1242" t="s">
        <v>6177</v>
      </c>
      <c r="F84" s="1242"/>
      <c r="G84" s="1242"/>
      <c r="H84" s="1242"/>
      <c r="I84" s="1242"/>
      <c r="J84" s="1242"/>
      <c r="L84" s="24"/>
      <c r="W84" s="158"/>
      <c r="X84" s="679" t="s">
        <v>12</v>
      </c>
      <c r="Y84" s="680"/>
      <c r="Z84" s="1163" t="s">
        <v>6177</v>
      </c>
      <c r="AA84" s="1163"/>
      <c r="AB84" s="1163"/>
      <c r="AC84" s="1163"/>
      <c r="AD84" s="1163"/>
      <c r="AE84" s="1241"/>
    </row>
    <row r="85" spans="2:47" s="1" customFormat="1" ht="23.55" customHeight="1" x14ac:dyDescent="0.2">
      <c r="B85" s="24"/>
      <c r="C85" s="521"/>
      <c r="E85" s="1243"/>
      <c r="F85" s="1244"/>
      <c r="G85" s="1244"/>
      <c r="H85" s="1244"/>
      <c r="L85" s="24"/>
      <c r="W85" s="158"/>
      <c r="X85" s="680"/>
      <c r="Y85" s="680"/>
      <c r="Z85" s="1249"/>
      <c r="AA85" s="1250"/>
      <c r="AB85" s="1250"/>
      <c r="AC85" s="1250"/>
      <c r="AD85" s="680"/>
      <c r="AE85" s="159"/>
    </row>
    <row r="86" spans="2:47" s="1" customFormat="1" ht="12" customHeight="1" x14ac:dyDescent="0.2">
      <c r="B86" s="24"/>
      <c r="C86" s="528" t="s">
        <v>186</v>
      </c>
      <c r="F86" s="532" t="s">
        <v>3989</v>
      </c>
      <c r="L86" s="24"/>
      <c r="W86" s="158"/>
      <c r="X86" s="679" t="s">
        <v>186</v>
      </c>
      <c r="Y86" s="680"/>
      <c r="Z86" s="680"/>
      <c r="AA86" s="555" t="s">
        <v>3989</v>
      </c>
      <c r="AB86" s="680"/>
      <c r="AC86" s="680"/>
      <c r="AD86" s="680"/>
      <c r="AE86" s="159"/>
    </row>
    <row r="87" spans="2:47" s="1" customFormat="1" ht="16.5" customHeight="1" x14ac:dyDescent="0.2">
      <c r="B87" s="24"/>
      <c r="C87" s="521"/>
      <c r="E87" s="1251"/>
      <c r="F87" s="1252"/>
      <c r="G87" s="1252"/>
      <c r="H87" s="1252"/>
      <c r="L87" s="24"/>
      <c r="W87" s="158"/>
      <c r="X87" s="680"/>
      <c r="Y87" s="680"/>
      <c r="Z87" s="1245"/>
      <c r="AA87" s="1246"/>
      <c r="AB87" s="1246"/>
      <c r="AC87" s="1246"/>
      <c r="AD87" s="680"/>
      <c r="AE87" s="159"/>
    </row>
    <row r="88" spans="2:47" s="1" customFormat="1" ht="7.05" customHeight="1" x14ac:dyDescent="0.2">
      <c r="B88" s="24"/>
      <c r="C88" s="521"/>
      <c r="L88" s="24"/>
      <c r="W88" s="158"/>
      <c r="X88" s="680"/>
      <c r="Y88" s="680"/>
      <c r="Z88" s="680"/>
      <c r="AA88" s="680"/>
      <c r="AB88" s="680"/>
      <c r="AC88" s="680"/>
      <c r="AD88" s="680"/>
      <c r="AE88" s="159"/>
    </row>
    <row r="89" spans="2:47" s="1" customFormat="1" ht="12" customHeight="1" x14ac:dyDescent="0.2">
      <c r="B89" s="24"/>
      <c r="C89" s="528" t="s">
        <v>15</v>
      </c>
      <c r="F89" s="19" t="str">
        <f>F12</f>
        <v>Kuzmányho nábrežie 28, 960 01 Zvolen</v>
      </c>
      <c r="I89" s="528" t="s">
        <v>17</v>
      </c>
      <c r="J89" s="39" t="str">
        <f>IF(J12="","",J12)</f>
        <v/>
      </c>
      <c r="L89" s="24"/>
      <c r="W89" s="158"/>
      <c r="X89" s="679" t="s">
        <v>15</v>
      </c>
      <c r="Y89" s="680"/>
      <c r="Z89" s="680"/>
      <c r="AA89" s="677" t="str">
        <f>AA12</f>
        <v>Kuzmányho nábrežie 28, 960 01 Zvolen</v>
      </c>
      <c r="AB89" s="680"/>
      <c r="AC89" s="680"/>
      <c r="AD89" s="679" t="s">
        <v>17</v>
      </c>
      <c r="AE89" s="162" t="str">
        <f>IF(AE12="","",AE12)</f>
        <v/>
      </c>
    </row>
    <row r="90" spans="2:47" s="1" customFormat="1" ht="7.05" customHeight="1" x14ac:dyDescent="0.2">
      <c r="B90" s="24"/>
      <c r="C90" s="521"/>
      <c r="I90" s="521"/>
      <c r="L90" s="24"/>
      <c r="W90" s="158"/>
      <c r="X90" s="680"/>
      <c r="Y90" s="680"/>
      <c r="Z90" s="680"/>
      <c r="AA90" s="680"/>
      <c r="AB90" s="680"/>
      <c r="AC90" s="680"/>
      <c r="AD90" s="680"/>
      <c r="AE90" s="159"/>
    </row>
    <row r="91" spans="2:47" s="1" customFormat="1" ht="15.3" customHeight="1" x14ac:dyDescent="0.2">
      <c r="B91" s="24"/>
      <c r="C91" s="528" t="s">
        <v>18</v>
      </c>
      <c r="F91" s="529" t="s">
        <v>6175</v>
      </c>
      <c r="I91" s="528" t="s">
        <v>22</v>
      </c>
      <c r="J91" s="22" t="str">
        <f>E21</f>
        <v xml:space="preserve"> </v>
      </c>
      <c r="L91" s="24"/>
      <c r="W91" s="158"/>
      <c r="X91" s="679" t="s">
        <v>18</v>
      </c>
      <c r="Y91" s="680"/>
      <c r="Z91" s="680"/>
      <c r="AA91" s="576" t="s">
        <v>6175</v>
      </c>
      <c r="AB91" s="680"/>
      <c r="AC91" s="680"/>
      <c r="AD91" s="679" t="s">
        <v>22</v>
      </c>
      <c r="AE91" s="181" t="str">
        <f>Z21</f>
        <v/>
      </c>
    </row>
    <row r="92" spans="2:47" s="1" customFormat="1" ht="15.3" customHeight="1" x14ac:dyDescent="0.2">
      <c r="B92" s="24"/>
      <c r="C92" s="528" t="s">
        <v>21</v>
      </c>
      <c r="F92" s="529" t="s">
        <v>5202</v>
      </c>
      <c r="I92" s="528" t="s">
        <v>24</v>
      </c>
      <c r="J92" s="22" t="str">
        <f>E24</f>
        <v xml:space="preserve"> </v>
      </c>
      <c r="L92" s="24"/>
      <c r="W92" s="158"/>
      <c r="X92" s="679" t="s">
        <v>21</v>
      </c>
      <c r="Y92" s="680"/>
      <c r="Z92" s="680"/>
      <c r="AA92" s="576" t="s">
        <v>5202</v>
      </c>
      <c r="AB92" s="680"/>
      <c r="AC92" s="680"/>
      <c r="AD92" s="679" t="s">
        <v>24</v>
      </c>
      <c r="AE92" s="181" t="str">
        <f>Z24</f>
        <v/>
      </c>
    </row>
    <row r="93" spans="2:47" s="1" customFormat="1" ht="10.199999999999999" customHeight="1" x14ac:dyDescent="0.2">
      <c r="B93" s="24"/>
      <c r="L93" s="24"/>
      <c r="W93" s="158"/>
      <c r="X93" s="680"/>
      <c r="Y93" s="680"/>
      <c r="Z93" s="680"/>
      <c r="AA93" s="680"/>
      <c r="AB93" s="680"/>
      <c r="AC93" s="680"/>
      <c r="AD93" s="680"/>
      <c r="AE93" s="159"/>
    </row>
    <row r="94" spans="2:47" s="1" customFormat="1" ht="29.25" customHeight="1" x14ac:dyDescent="0.2">
      <c r="B94" s="24"/>
      <c r="C94" s="86" t="s">
        <v>189</v>
      </c>
      <c r="D94" s="80"/>
      <c r="E94" s="80"/>
      <c r="F94" s="80"/>
      <c r="G94" s="80"/>
      <c r="H94" s="80"/>
      <c r="I94" s="80"/>
      <c r="J94" s="87" t="s">
        <v>190</v>
      </c>
      <c r="K94" s="80"/>
      <c r="L94" s="24"/>
      <c r="W94" s="158"/>
      <c r="X94" s="182" t="s">
        <v>189</v>
      </c>
      <c r="Y94" s="173"/>
      <c r="Z94" s="173"/>
      <c r="AA94" s="173"/>
      <c r="AB94" s="173"/>
      <c r="AC94" s="173"/>
      <c r="AD94" s="173"/>
      <c r="AE94" s="183" t="s">
        <v>190</v>
      </c>
    </row>
    <row r="95" spans="2:47" s="1" customFormat="1" ht="10.199999999999999" customHeight="1" x14ac:dyDescent="0.2">
      <c r="B95" s="24"/>
      <c r="L95" s="24"/>
      <c r="W95" s="158"/>
      <c r="X95" s="680"/>
      <c r="Y95" s="680"/>
      <c r="Z95" s="680"/>
      <c r="AA95" s="680"/>
      <c r="AB95" s="680"/>
      <c r="AC95" s="680"/>
      <c r="AD95" s="680"/>
      <c r="AE95" s="159"/>
    </row>
    <row r="96" spans="2:47" s="1" customFormat="1" ht="22.95" customHeight="1" x14ac:dyDescent="0.2">
      <c r="B96" s="24"/>
      <c r="C96" s="88" t="s">
        <v>191</v>
      </c>
      <c r="J96" s="53">
        <f>J117</f>
        <v>17909.61</v>
      </c>
      <c r="L96" s="24"/>
      <c r="W96" s="158"/>
      <c r="X96" s="184" t="s">
        <v>191</v>
      </c>
      <c r="Y96" s="680"/>
      <c r="Z96" s="680"/>
      <c r="AA96" s="680"/>
      <c r="AB96" s="680"/>
      <c r="AC96" s="680"/>
      <c r="AD96" s="680"/>
      <c r="AE96" s="168">
        <f>AE117</f>
        <v>6774.1199999999981</v>
      </c>
      <c r="AU96" s="13" t="s">
        <v>192</v>
      </c>
    </row>
    <row r="97" spans="2:31" s="8" customFormat="1" ht="25.05" customHeight="1" x14ac:dyDescent="0.2">
      <c r="B97" s="89"/>
      <c r="D97" s="90" t="s">
        <v>3799</v>
      </c>
      <c r="E97" s="91"/>
      <c r="F97" s="91"/>
      <c r="G97" s="91"/>
      <c r="H97" s="91"/>
      <c r="I97" s="91"/>
      <c r="J97" s="92">
        <f>J118</f>
        <v>17909.61</v>
      </c>
      <c r="L97" s="89"/>
      <c r="W97" s="185"/>
      <c r="X97" s="186"/>
      <c r="Y97" s="90" t="s">
        <v>3799</v>
      </c>
      <c r="Z97" s="91"/>
      <c r="AA97" s="91"/>
      <c r="AB97" s="91"/>
      <c r="AC97" s="91"/>
      <c r="AD97" s="91"/>
      <c r="AE97" s="187">
        <f>AE118</f>
        <v>6774.1199999999981</v>
      </c>
    </row>
    <row r="98" spans="2:31" s="1" customFormat="1" ht="21.75" customHeight="1" x14ac:dyDescent="0.2">
      <c r="B98" s="24"/>
      <c r="L98" s="24"/>
      <c r="W98" s="158"/>
      <c r="X98" s="680"/>
      <c r="Y98" s="680"/>
      <c r="Z98" s="680"/>
      <c r="AA98" s="680"/>
      <c r="AB98" s="680"/>
      <c r="AC98" s="680"/>
      <c r="AD98" s="680"/>
      <c r="AE98" s="159"/>
    </row>
    <row r="99" spans="2:31" s="1" customFormat="1" ht="7.05" customHeight="1" x14ac:dyDescent="0.2">
      <c r="B99" s="33"/>
      <c r="C99" s="34"/>
      <c r="D99" s="34"/>
      <c r="E99" s="34"/>
      <c r="F99" s="34"/>
      <c r="G99" s="34"/>
      <c r="H99" s="34"/>
      <c r="I99" s="34"/>
      <c r="J99" s="34"/>
      <c r="K99" s="34"/>
      <c r="L99" s="24"/>
      <c r="W99" s="175"/>
      <c r="X99" s="176"/>
      <c r="Y99" s="176"/>
      <c r="Z99" s="176"/>
      <c r="AA99" s="176"/>
      <c r="AB99" s="176"/>
      <c r="AC99" s="176"/>
      <c r="AD99" s="176"/>
      <c r="AE99" s="177"/>
    </row>
    <row r="103" spans="2:31" s="1" customFormat="1" ht="7.05" customHeight="1" x14ac:dyDescent="0.2">
      <c r="B103" s="35"/>
      <c r="C103" s="36"/>
      <c r="D103" s="36"/>
      <c r="E103" s="36"/>
      <c r="F103" s="36"/>
      <c r="G103" s="36"/>
      <c r="H103" s="36"/>
      <c r="I103" s="36"/>
      <c r="J103" s="36"/>
      <c r="K103" s="36"/>
      <c r="L103" s="24"/>
      <c r="W103" s="178"/>
      <c r="X103" s="179"/>
      <c r="Y103" s="179"/>
      <c r="Z103" s="179"/>
      <c r="AA103" s="179"/>
      <c r="AB103" s="179"/>
      <c r="AC103" s="179"/>
      <c r="AD103" s="179"/>
      <c r="AE103" s="180"/>
    </row>
    <row r="104" spans="2:31" s="1" customFormat="1" ht="25.05" customHeight="1" x14ac:dyDescent="0.2">
      <c r="B104" s="24"/>
      <c r="C104" s="1165" t="s">
        <v>214</v>
      </c>
      <c r="D104" s="1165"/>
      <c r="E104" s="1165"/>
      <c r="F104" s="1165"/>
      <c r="G104" s="1165"/>
      <c r="H104" s="1165"/>
      <c r="I104" s="1165"/>
      <c r="J104" s="1165"/>
      <c r="L104" s="24"/>
      <c r="W104" s="158"/>
      <c r="X104" s="1237" t="s">
        <v>214</v>
      </c>
      <c r="Y104" s="1237"/>
      <c r="Z104" s="1237"/>
      <c r="AA104" s="1237"/>
      <c r="AB104" s="1237"/>
      <c r="AC104" s="1237"/>
      <c r="AD104" s="1237"/>
      <c r="AE104" s="1238"/>
    </row>
    <row r="105" spans="2:31" s="1" customFormat="1" ht="7.05" customHeight="1" x14ac:dyDescent="0.2">
      <c r="B105" s="24"/>
      <c r="L105" s="24"/>
      <c r="W105" s="158"/>
      <c r="X105" s="680"/>
      <c r="Y105" s="680"/>
      <c r="Z105" s="680"/>
      <c r="AA105" s="680"/>
      <c r="AB105" s="680"/>
      <c r="AC105" s="680"/>
      <c r="AD105" s="680"/>
      <c r="AE105" s="159"/>
    </row>
    <row r="106" spans="2:31" s="1" customFormat="1" ht="12" customHeight="1" x14ac:dyDescent="0.2">
      <c r="B106" s="24"/>
      <c r="C106" s="528" t="s">
        <v>12</v>
      </c>
      <c r="E106" s="1242" t="s">
        <v>6177</v>
      </c>
      <c r="F106" s="1242"/>
      <c r="G106" s="1242"/>
      <c r="H106" s="1242"/>
      <c r="I106" s="1242"/>
      <c r="J106" s="1242"/>
      <c r="L106" s="24"/>
      <c r="W106" s="158"/>
      <c r="X106" s="679" t="s">
        <v>12</v>
      </c>
      <c r="Y106" s="680"/>
      <c r="Z106" s="1163" t="s">
        <v>6177</v>
      </c>
      <c r="AA106" s="1163"/>
      <c r="AB106" s="1163"/>
      <c r="AC106" s="1163"/>
      <c r="AD106" s="1163"/>
      <c r="AE106" s="1241"/>
    </row>
    <row r="107" spans="2:31" s="1" customFormat="1" ht="24" customHeight="1" x14ac:dyDescent="0.2">
      <c r="B107" s="24"/>
      <c r="C107" s="521"/>
      <c r="E107" s="1243"/>
      <c r="F107" s="1244"/>
      <c r="G107" s="1244"/>
      <c r="H107" s="1244"/>
      <c r="L107" s="24"/>
      <c r="W107" s="158"/>
      <c r="X107" s="680"/>
      <c r="Y107" s="680"/>
      <c r="Z107" s="1249"/>
      <c r="AA107" s="1250"/>
      <c r="AB107" s="1250"/>
      <c r="AC107" s="1250"/>
      <c r="AD107" s="680"/>
      <c r="AE107" s="159"/>
    </row>
    <row r="108" spans="2:31" s="1" customFormat="1" ht="12" customHeight="1" x14ac:dyDescent="0.2">
      <c r="B108" s="24"/>
      <c r="C108" s="528" t="s">
        <v>186</v>
      </c>
      <c r="F108" s="532" t="s">
        <v>3989</v>
      </c>
      <c r="L108" s="24"/>
      <c r="W108" s="158"/>
      <c r="X108" s="679" t="s">
        <v>186</v>
      </c>
      <c r="Y108" s="680"/>
      <c r="Z108" s="680"/>
      <c r="AA108" s="555" t="s">
        <v>3989</v>
      </c>
      <c r="AB108" s="680"/>
      <c r="AC108" s="680"/>
      <c r="AD108" s="680"/>
      <c r="AE108" s="159"/>
    </row>
    <row r="109" spans="2:31" s="1" customFormat="1" ht="16.5" customHeight="1" x14ac:dyDescent="0.2">
      <c r="B109" s="24"/>
      <c r="C109" s="521"/>
      <c r="E109" s="1251"/>
      <c r="F109" s="1252"/>
      <c r="G109" s="1252"/>
      <c r="H109" s="1252"/>
      <c r="L109" s="24"/>
      <c r="W109" s="158"/>
      <c r="X109" s="680"/>
      <c r="Y109" s="680"/>
      <c r="Z109" s="1245"/>
      <c r="AA109" s="1246"/>
      <c r="AB109" s="1246"/>
      <c r="AC109" s="1246"/>
      <c r="AD109" s="680"/>
      <c r="AE109" s="159"/>
    </row>
    <row r="110" spans="2:31" s="1" customFormat="1" ht="7.05" customHeight="1" x14ac:dyDescent="0.2">
      <c r="B110" s="24"/>
      <c r="C110" s="521"/>
      <c r="L110" s="24"/>
      <c r="W110" s="158"/>
      <c r="X110" s="680"/>
      <c r="Y110" s="680"/>
      <c r="Z110" s="680"/>
      <c r="AA110" s="680"/>
      <c r="AB110" s="680"/>
      <c r="AC110" s="680"/>
      <c r="AD110" s="680"/>
      <c r="AE110" s="159"/>
    </row>
    <row r="111" spans="2:31" s="1" customFormat="1" ht="12" customHeight="1" x14ac:dyDescent="0.2">
      <c r="B111" s="24"/>
      <c r="C111" s="528" t="s">
        <v>15</v>
      </c>
      <c r="F111" s="19" t="str">
        <f>F12</f>
        <v>Kuzmányho nábrežie 28, 960 01 Zvolen</v>
      </c>
      <c r="I111" s="528" t="s">
        <v>17</v>
      </c>
      <c r="J111" s="39" t="str">
        <f>IF(J12="","",J12)</f>
        <v/>
      </c>
      <c r="L111" s="24"/>
      <c r="W111" s="158"/>
      <c r="X111" s="679" t="s">
        <v>15</v>
      </c>
      <c r="Y111" s="680"/>
      <c r="Z111" s="680"/>
      <c r="AA111" s="677" t="str">
        <f>AA12</f>
        <v>Kuzmányho nábrežie 28, 960 01 Zvolen</v>
      </c>
      <c r="AB111" s="680"/>
      <c r="AC111" s="680"/>
      <c r="AD111" s="679" t="s">
        <v>17</v>
      </c>
      <c r="AE111" s="162" t="str">
        <f>IF(AE12="","",AE12)</f>
        <v/>
      </c>
    </row>
    <row r="112" spans="2:31" s="1" customFormat="1" ht="7.05" customHeight="1" x14ac:dyDescent="0.2">
      <c r="B112" s="24"/>
      <c r="C112" s="521"/>
      <c r="I112" s="521"/>
      <c r="L112" s="24"/>
      <c r="W112" s="158"/>
      <c r="X112" s="680"/>
      <c r="Y112" s="680"/>
      <c r="Z112" s="680"/>
      <c r="AA112" s="680"/>
      <c r="AB112" s="680"/>
      <c r="AC112" s="680"/>
      <c r="AD112" s="680"/>
      <c r="AE112" s="159"/>
    </row>
    <row r="113" spans="2:65" s="1" customFormat="1" ht="15.3" customHeight="1" x14ac:dyDescent="0.2">
      <c r="B113" s="24"/>
      <c r="C113" s="528" t="s">
        <v>18</v>
      </c>
      <c r="F113" s="529" t="s">
        <v>6175</v>
      </c>
      <c r="I113" s="528" t="s">
        <v>22</v>
      </c>
      <c r="J113" s="22" t="str">
        <f>E21</f>
        <v xml:space="preserve"> </v>
      </c>
      <c r="L113" s="24"/>
      <c r="W113" s="158"/>
      <c r="X113" s="679" t="s">
        <v>18</v>
      </c>
      <c r="Y113" s="680"/>
      <c r="Z113" s="680"/>
      <c r="AA113" s="576" t="s">
        <v>6175</v>
      </c>
      <c r="AB113" s="680"/>
      <c r="AC113" s="680"/>
      <c r="AD113" s="679" t="s">
        <v>22</v>
      </c>
      <c r="AE113" s="181" t="str">
        <f>Z21</f>
        <v/>
      </c>
    </row>
    <row r="114" spans="2:65" s="1" customFormat="1" ht="15.3" customHeight="1" x14ac:dyDescent="0.2">
      <c r="B114" s="24"/>
      <c r="C114" s="528" t="s">
        <v>21</v>
      </c>
      <c r="F114" s="529" t="s">
        <v>5202</v>
      </c>
      <c r="I114" s="528" t="s">
        <v>24</v>
      </c>
      <c r="J114" s="22" t="str">
        <f>E24</f>
        <v xml:space="preserve"> </v>
      </c>
      <c r="L114" s="24"/>
      <c r="W114" s="158"/>
      <c r="X114" s="679" t="s">
        <v>21</v>
      </c>
      <c r="Y114" s="680"/>
      <c r="Z114" s="680"/>
      <c r="AA114" s="576" t="s">
        <v>5202</v>
      </c>
      <c r="AB114" s="680"/>
      <c r="AC114" s="680"/>
      <c r="AD114" s="679" t="s">
        <v>24</v>
      </c>
      <c r="AE114" s="181" t="str">
        <f>Z24</f>
        <v/>
      </c>
    </row>
    <row r="115" spans="2:65" s="1" customFormat="1" ht="10.199999999999999" customHeight="1" x14ac:dyDescent="0.2">
      <c r="B115" s="24"/>
      <c r="L115" s="24"/>
      <c r="W115" s="158"/>
      <c r="X115" s="680"/>
      <c r="Y115" s="680"/>
      <c r="Z115" s="680"/>
      <c r="AA115" s="680"/>
      <c r="AB115" s="680"/>
      <c r="AC115" s="680"/>
      <c r="AD115" s="680"/>
      <c r="AE115" s="159"/>
    </row>
    <row r="116" spans="2:65" s="10" customFormat="1" ht="29.25" customHeight="1" x14ac:dyDescent="0.2">
      <c r="B116" s="97"/>
      <c r="C116" s="98" t="s">
        <v>215</v>
      </c>
      <c r="D116" s="99" t="s">
        <v>43</v>
      </c>
      <c r="E116" s="99" t="s">
        <v>41</v>
      </c>
      <c r="F116" s="99" t="s">
        <v>42</v>
      </c>
      <c r="G116" s="99" t="s">
        <v>216</v>
      </c>
      <c r="H116" s="99" t="s">
        <v>217</v>
      </c>
      <c r="I116" s="99" t="s">
        <v>218</v>
      </c>
      <c r="J116" s="100" t="s">
        <v>190</v>
      </c>
      <c r="K116" s="101" t="s">
        <v>219</v>
      </c>
      <c r="L116" s="97"/>
      <c r="M116" s="46" t="s">
        <v>1</v>
      </c>
      <c r="N116" s="47" t="s">
        <v>30</v>
      </c>
      <c r="O116" s="47" t="s">
        <v>220</v>
      </c>
      <c r="P116" s="47" t="s">
        <v>221</v>
      </c>
      <c r="Q116" s="47" t="s">
        <v>222</v>
      </c>
      <c r="R116" s="47" t="s">
        <v>223</v>
      </c>
      <c r="S116" s="47" t="s">
        <v>224</v>
      </c>
      <c r="T116" s="48" t="s">
        <v>225</v>
      </c>
      <c r="W116" s="191"/>
      <c r="X116" s="98" t="s">
        <v>215</v>
      </c>
      <c r="Y116" s="99" t="s">
        <v>43</v>
      </c>
      <c r="Z116" s="99" t="s">
        <v>41</v>
      </c>
      <c r="AA116" s="99" t="s">
        <v>42</v>
      </c>
      <c r="AB116" s="99" t="s">
        <v>216</v>
      </c>
      <c r="AC116" s="99" t="s">
        <v>217</v>
      </c>
      <c r="AD116" s="99" t="s">
        <v>218</v>
      </c>
      <c r="AE116" s="192" t="s">
        <v>190</v>
      </c>
      <c r="AF116" s="228" t="s">
        <v>5220</v>
      </c>
    </row>
    <row r="117" spans="2:65" s="1" customFormat="1" ht="22.95" customHeight="1" x14ac:dyDescent="0.3">
      <c r="B117" s="24"/>
      <c r="C117" s="51" t="s">
        <v>191</v>
      </c>
      <c r="J117" s="102">
        <f>BK117</f>
        <v>17909.61</v>
      </c>
      <c r="L117" s="24"/>
      <c r="M117" s="49"/>
      <c r="N117" s="40"/>
      <c r="O117" s="40"/>
      <c r="P117" s="103">
        <f>P118</f>
        <v>0</v>
      </c>
      <c r="Q117" s="40"/>
      <c r="R117" s="103">
        <f>R118</f>
        <v>1.2999999999999999E-2</v>
      </c>
      <c r="S117" s="40"/>
      <c r="T117" s="104">
        <f>T118</f>
        <v>0</v>
      </c>
      <c r="W117" s="158"/>
      <c r="X117" s="193" t="s">
        <v>191</v>
      </c>
      <c r="Y117" s="680"/>
      <c r="Z117" s="680"/>
      <c r="AA117" s="680"/>
      <c r="AB117" s="680"/>
      <c r="AC117" s="680"/>
      <c r="AD117" s="680"/>
      <c r="AE117" s="194">
        <f>AE118</f>
        <v>6774.1199999999981</v>
      </c>
      <c r="AF117" s="227"/>
      <c r="AT117" s="13" t="s">
        <v>57</v>
      </c>
      <c r="AU117" s="13" t="s">
        <v>192</v>
      </c>
      <c r="BK117" s="105">
        <f>BK118</f>
        <v>17909.61</v>
      </c>
    </row>
    <row r="118" spans="2:65" s="11" customFormat="1" ht="25.95" customHeight="1" x14ac:dyDescent="0.25">
      <c r="B118" s="106"/>
      <c r="D118" s="107" t="s">
        <v>57</v>
      </c>
      <c r="E118" s="108" t="s">
        <v>1302</v>
      </c>
      <c r="F118" s="108" t="s">
        <v>3801</v>
      </c>
      <c r="J118" s="109">
        <f>BK118</f>
        <v>17909.61</v>
      </c>
      <c r="L118" s="106"/>
      <c r="M118" s="110"/>
      <c r="N118" s="111"/>
      <c r="O118" s="111"/>
      <c r="P118" s="112">
        <f>SUM(P119:P162)</f>
        <v>0</v>
      </c>
      <c r="Q118" s="111"/>
      <c r="R118" s="112">
        <f>SUM(R119:R162)</f>
        <v>1.2999999999999999E-2</v>
      </c>
      <c r="S118" s="111"/>
      <c r="T118" s="113">
        <f>SUM(T119:T162)</f>
        <v>0</v>
      </c>
      <c r="W118" s="195"/>
      <c r="X118" s="111"/>
      <c r="Y118" s="196" t="s">
        <v>57</v>
      </c>
      <c r="Z118" s="197" t="s">
        <v>1302</v>
      </c>
      <c r="AA118" s="197" t="s">
        <v>3801</v>
      </c>
      <c r="AB118" s="111"/>
      <c r="AC118" s="111"/>
      <c r="AD118" s="111"/>
      <c r="AE118" s="198">
        <f>SUM(AE119:AE162)</f>
        <v>6774.1199999999981</v>
      </c>
      <c r="AF118" s="248"/>
      <c r="AH118" s="364"/>
      <c r="AR118" s="107" t="s">
        <v>63</v>
      </c>
      <c r="AT118" s="114" t="s">
        <v>57</v>
      </c>
      <c r="AU118" s="114" t="s">
        <v>58</v>
      </c>
      <c r="AY118" s="107" t="s">
        <v>228</v>
      </c>
      <c r="BK118" s="115">
        <f>SUM(BK119:BK162)</f>
        <v>17909.61</v>
      </c>
    </row>
    <row r="119" spans="2:65" s="1" customFormat="1" ht="24" customHeight="1" x14ac:dyDescent="0.2">
      <c r="B119" s="118"/>
      <c r="C119" s="119" t="s">
        <v>63</v>
      </c>
      <c r="D119" s="119" t="s">
        <v>231</v>
      </c>
      <c r="E119" s="120" t="s">
        <v>3806</v>
      </c>
      <c r="F119" s="121" t="s">
        <v>3807</v>
      </c>
      <c r="G119" s="122" t="s">
        <v>292</v>
      </c>
      <c r="H119" s="123">
        <v>92</v>
      </c>
      <c r="I119" s="124">
        <v>2</v>
      </c>
      <c r="J119" s="124">
        <f t="shared" ref="J119:J162" si="0">ROUND(I119*H119,2)</f>
        <v>184</v>
      </c>
      <c r="K119" s="121" t="s">
        <v>1</v>
      </c>
      <c r="L119" s="24"/>
      <c r="M119" s="125" t="s">
        <v>1</v>
      </c>
      <c r="N119" s="126" t="s">
        <v>32</v>
      </c>
      <c r="O119" s="127">
        <v>0</v>
      </c>
      <c r="P119" s="127">
        <f t="shared" ref="P119:P162" si="1">O119*H119</f>
        <v>0</v>
      </c>
      <c r="Q119" s="127">
        <v>0</v>
      </c>
      <c r="R119" s="127">
        <f t="shared" ref="R119:R162" si="2">Q119*H119</f>
        <v>0</v>
      </c>
      <c r="S119" s="127">
        <v>0</v>
      </c>
      <c r="T119" s="128">
        <f t="shared" ref="T119:T162" si="3">S119*H119</f>
        <v>0</v>
      </c>
      <c r="W119" s="199"/>
      <c r="X119" s="119" t="s">
        <v>63</v>
      </c>
      <c r="Y119" s="119" t="s">
        <v>231</v>
      </c>
      <c r="Z119" s="120" t="s">
        <v>3806</v>
      </c>
      <c r="AA119" s="121" t="s">
        <v>3807</v>
      </c>
      <c r="AB119" s="122" t="s">
        <v>292</v>
      </c>
      <c r="AC119" s="123">
        <v>92</v>
      </c>
      <c r="AD119" s="124">
        <v>2</v>
      </c>
      <c r="AE119" s="200">
        <f t="shared" ref="AE119:AE162" si="4">ROUND(AD119*AC119,2)</f>
        <v>184</v>
      </c>
      <c r="AF119" s="248"/>
      <c r="AR119" s="129" t="s">
        <v>235</v>
      </c>
      <c r="AT119" s="129" t="s">
        <v>231</v>
      </c>
      <c r="AU119" s="129" t="s">
        <v>63</v>
      </c>
      <c r="AY119" s="13" t="s">
        <v>228</v>
      </c>
      <c r="BE119" s="130">
        <f t="shared" ref="BE119:BE162" si="5">IF(N119="základná",J119,0)</f>
        <v>0</v>
      </c>
      <c r="BF119" s="130">
        <f t="shared" ref="BF119:BF162" si="6">IF(N119="znížená",J119,0)</f>
        <v>184</v>
      </c>
      <c r="BG119" s="130">
        <f t="shared" ref="BG119:BG162" si="7">IF(N119="zákl. prenesená",J119,0)</f>
        <v>0</v>
      </c>
      <c r="BH119" s="130">
        <f t="shared" ref="BH119:BH162" si="8">IF(N119="zníž. prenesená",J119,0)</f>
        <v>0</v>
      </c>
      <c r="BI119" s="130">
        <f t="shared" ref="BI119:BI162" si="9">IF(N119="nulová",J119,0)</f>
        <v>0</v>
      </c>
      <c r="BJ119" s="13" t="s">
        <v>76</v>
      </c>
      <c r="BK119" s="130">
        <f t="shared" ref="BK119:BK162" si="10">ROUND(I119*H119,2)</f>
        <v>184</v>
      </c>
      <c r="BL119" s="13" t="s">
        <v>235</v>
      </c>
      <c r="BM119" s="129" t="s">
        <v>76</v>
      </c>
    </row>
    <row r="120" spans="2:65" s="1" customFormat="1" ht="16.5" customHeight="1" x14ac:dyDescent="0.2">
      <c r="B120" s="118"/>
      <c r="C120" s="131" t="s">
        <v>76</v>
      </c>
      <c r="D120" s="131" t="s">
        <v>277</v>
      </c>
      <c r="E120" s="132" t="s">
        <v>3808</v>
      </c>
      <c r="F120" s="133" t="s">
        <v>3809</v>
      </c>
      <c r="G120" s="134" t="s">
        <v>292</v>
      </c>
      <c r="H120" s="135">
        <v>92</v>
      </c>
      <c r="I120" s="136">
        <v>7.35</v>
      </c>
      <c r="J120" s="136">
        <f t="shared" si="0"/>
        <v>676.2</v>
      </c>
      <c r="K120" s="133" t="s">
        <v>1</v>
      </c>
      <c r="L120" s="137"/>
      <c r="M120" s="138" t="s">
        <v>1</v>
      </c>
      <c r="N120" s="139" t="s">
        <v>32</v>
      </c>
      <c r="O120" s="127">
        <v>0</v>
      </c>
      <c r="P120" s="127">
        <f t="shared" si="1"/>
        <v>0</v>
      </c>
      <c r="Q120" s="127">
        <v>0</v>
      </c>
      <c r="R120" s="127">
        <f t="shared" si="2"/>
        <v>0</v>
      </c>
      <c r="S120" s="127">
        <v>0</v>
      </c>
      <c r="T120" s="128">
        <f t="shared" si="3"/>
        <v>0</v>
      </c>
      <c r="W120" s="199"/>
      <c r="X120" s="131" t="s">
        <v>76</v>
      </c>
      <c r="Y120" s="131" t="s">
        <v>277</v>
      </c>
      <c r="Z120" s="132" t="s">
        <v>3808</v>
      </c>
      <c r="AA120" s="133" t="s">
        <v>3809</v>
      </c>
      <c r="AB120" s="134" t="s">
        <v>292</v>
      </c>
      <c r="AC120" s="135">
        <v>92</v>
      </c>
      <c r="AD120" s="136">
        <v>7.35</v>
      </c>
      <c r="AE120" s="229">
        <f t="shared" si="4"/>
        <v>676.2</v>
      </c>
      <c r="AF120" s="248"/>
      <c r="AR120" s="129" t="s">
        <v>244</v>
      </c>
      <c r="AT120" s="129" t="s">
        <v>277</v>
      </c>
      <c r="AU120" s="129" t="s">
        <v>63</v>
      </c>
      <c r="AY120" s="13" t="s">
        <v>228</v>
      </c>
      <c r="BE120" s="130">
        <f t="shared" si="5"/>
        <v>0</v>
      </c>
      <c r="BF120" s="130">
        <f t="shared" si="6"/>
        <v>676.2</v>
      </c>
      <c r="BG120" s="130">
        <f t="shared" si="7"/>
        <v>0</v>
      </c>
      <c r="BH120" s="130">
        <f t="shared" si="8"/>
        <v>0</v>
      </c>
      <c r="BI120" s="130">
        <f t="shared" si="9"/>
        <v>0</v>
      </c>
      <c r="BJ120" s="13" t="s">
        <v>76</v>
      </c>
      <c r="BK120" s="130">
        <f t="shared" si="10"/>
        <v>676.2</v>
      </c>
      <c r="BL120" s="13" t="s">
        <v>235</v>
      </c>
      <c r="BM120" s="129" t="s">
        <v>235</v>
      </c>
    </row>
    <row r="121" spans="2:65" s="1" customFormat="1" ht="24" customHeight="1" x14ac:dyDescent="0.2">
      <c r="B121" s="118"/>
      <c r="C121" s="119" t="s">
        <v>229</v>
      </c>
      <c r="D121" s="119" t="s">
        <v>231</v>
      </c>
      <c r="E121" s="120" t="s">
        <v>1771</v>
      </c>
      <c r="F121" s="121" t="s">
        <v>1772</v>
      </c>
      <c r="G121" s="122" t="s">
        <v>292</v>
      </c>
      <c r="H121" s="123">
        <v>20</v>
      </c>
      <c r="I121" s="124">
        <v>0.67</v>
      </c>
      <c r="J121" s="124">
        <f t="shared" si="0"/>
        <v>13.4</v>
      </c>
      <c r="K121" s="121" t="s">
        <v>1</v>
      </c>
      <c r="L121" s="24"/>
      <c r="M121" s="125" t="s">
        <v>1</v>
      </c>
      <c r="N121" s="126" t="s">
        <v>32</v>
      </c>
      <c r="O121" s="127">
        <v>0</v>
      </c>
      <c r="P121" s="127">
        <f t="shared" si="1"/>
        <v>0</v>
      </c>
      <c r="Q121" s="127">
        <v>0</v>
      </c>
      <c r="R121" s="127">
        <f t="shared" si="2"/>
        <v>0</v>
      </c>
      <c r="S121" s="127">
        <v>0</v>
      </c>
      <c r="T121" s="128">
        <f t="shared" si="3"/>
        <v>0</v>
      </c>
      <c r="W121" s="199"/>
      <c r="X121" s="119" t="s">
        <v>229</v>
      </c>
      <c r="Y121" s="119" t="s">
        <v>231</v>
      </c>
      <c r="Z121" s="120" t="s">
        <v>1771</v>
      </c>
      <c r="AA121" s="121" t="s">
        <v>1772</v>
      </c>
      <c r="AB121" s="122" t="s">
        <v>292</v>
      </c>
      <c r="AC121" s="123">
        <v>20</v>
      </c>
      <c r="AD121" s="124">
        <v>0.67</v>
      </c>
      <c r="AE121" s="200">
        <f t="shared" si="4"/>
        <v>13.4</v>
      </c>
      <c r="AF121" s="248"/>
      <c r="AR121" s="129" t="s">
        <v>235</v>
      </c>
      <c r="AT121" s="129" t="s">
        <v>231</v>
      </c>
      <c r="AU121" s="129" t="s">
        <v>63</v>
      </c>
      <c r="AY121" s="13" t="s">
        <v>228</v>
      </c>
      <c r="BE121" s="130">
        <f t="shared" si="5"/>
        <v>0</v>
      </c>
      <c r="BF121" s="130">
        <f t="shared" si="6"/>
        <v>13.4</v>
      </c>
      <c r="BG121" s="130">
        <f t="shared" si="7"/>
        <v>0</v>
      </c>
      <c r="BH121" s="130">
        <f t="shared" si="8"/>
        <v>0</v>
      </c>
      <c r="BI121" s="130">
        <f t="shared" si="9"/>
        <v>0</v>
      </c>
      <c r="BJ121" s="13" t="s">
        <v>76</v>
      </c>
      <c r="BK121" s="130">
        <f t="shared" si="10"/>
        <v>13.4</v>
      </c>
      <c r="BL121" s="13" t="s">
        <v>235</v>
      </c>
      <c r="BM121" s="129" t="s">
        <v>240</v>
      </c>
    </row>
    <row r="122" spans="2:65" s="1" customFormat="1" ht="16.5" customHeight="1" x14ac:dyDescent="0.2">
      <c r="B122" s="118"/>
      <c r="C122" s="131" t="s">
        <v>235</v>
      </c>
      <c r="D122" s="131" t="s">
        <v>277</v>
      </c>
      <c r="E122" s="132" t="s">
        <v>1774</v>
      </c>
      <c r="F122" s="133" t="s">
        <v>1775</v>
      </c>
      <c r="G122" s="134" t="s">
        <v>292</v>
      </c>
      <c r="H122" s="135">
        <v>20</v>
      </c>
      <c r="I122" s="136">
        <v>0.85</v>
      </c>
      <c r="J122" s="136">
        <f t="shared" si="0"/>
        <v>17</v>
      </c>
      <c r="K122" s="133" t="s">
        <v>1</v>
      </c>
      <c r="L122" s="137"/>
      <c r="M122" s="138" t="s">
        <v>1</v>
      </c>
      <c r="N122" s="139" t="s">
        <v>32</v>
      </c>
      <c r="O122" s="127">
        <v>0</v>
      </c>
      <c r="P122" s="127">
        <f t="shared" si="1"/>
        <v>0</v>
      </c>
      <c r="Q122" s="127">
        <v>0</v>
      </c>
      <c r="R122" s="127">
        <f t="shared" si="2"/>
        <v>0</v>
      </c>
      <c r="S122" s="127">
        <v>0</v>
      </c>
      <c r="T122" s="128">
        <f t="shared" si="3"/>
        <v>0</v>
      </c>
      <c r="W122" s="199"/>
      <c r="X122" s="131" t="s">
        <v>235</v>
      </c>
      <c r="Y122" s="131" t="s">
        <v>277</v>
      </c>
      <c r="Z122" s="132" t="s">
        <v>1774</v>
      </c>
      <c r="AA122" s="133" t="s">
        <v>1775</v>
      </c>
      <c r="AB122" s="134" t="s">
        <v>292</v>
      </c>
      <c r="AC122" s="135">
        <v>20</v>
      </c>
      <c r="AD122" s="136">
        <v>0.85</v>
      </c>
      <c r="AE122" s="229">
        <f t="shared" si="4"/>
        <v>17</v>
      </c>
      <c r="AF122" s="248"/>
      <c r="AR122" s="129" t="s">
        <v>244</v>
      </c>
      <c r="AT122" s="129" t="s">
        <v>277</v>
      </c>
      <c r="AU122" s="129" t="s">
        <v>63</v>
      </c>
      <c r="AY122" s="13" t="s">
        <v>228</v>
      </c>
      <c r="BE122" s="130">
        <f t="shared" si="5"/>
        <v>0</v>
      </c>
      <c r="BF122" s="130">
        <f t="shared" si="6"/>
        <v>17</v>
      </c>
      <c r="BG122" s="130">
        <f t="shared" si="7"/>
        <v>0</v>
      </c>
      <c r="BH122" s="130">
        <f t="shared" si="8"/>
        <v>0</v>
      </c>
      <c r="BI122" s="130">
        <f t="shared" si="9"/>
        <v>0</v>
      </c>
      <c r="BJ122" s="13" t="s">
        <v>76</v>
      </c>
      <c r="BK122" s="130">
        <f t="shared" si="10"/>
        <v>17</v>
      </c>
      <c r="BL122" s="13" t="s">
        <v>235</v>
      </c>
      <c r="BM122" s="129" t="s">
        <v>244</v>
      </c>
    </row>
    <row r="123" spans="2:65" s="1" customFormat="1" ht="24" customHeight="1" x14ac:dyDescent="0.2">
      <c r="B123" s="118"/>
      <c r="C123" s="119" t="s">
        <v>245</v>
      </c>
      <c r="D123" s="119" t="s">
        <v>231</v>
      </c>
      <c r="E123" s="120" t="s">
        <v>1615</v>
      </c>
      <c r="F123" s="121" t="s">
        <v>1777</v>
      </c>
      <c r="G123" s="122" t="s">
        <v>292</v>
      </c>
      <c r="H123" s="123">
        <v>20</v>
      </c>
      <c r="I123" s="124">
        <v>1.24</v>
      </c>
      <c r="J123" s="124">
        <f t="shared" si="0"/>
        <v>24.8</v>
      </c>
      <c r="K123" s="121" t="s">
        <v>1</v>
      </c>
      <c r="L123" s="24"/>
      <c r="M123" s="125" t="s">
        <v>1</v>
      </c>
      <c r="N123" s="126" t="s">
        <v>32</v>
      </c>
      <c r="O123" s="127">
        <v>0</v>
      </c>
      <c r="P123" s="127">
        <f t="shared" si="1"/>
        <v>0</v>
      </c>
      <c r="Q123" s="127">
        <v>0</v>
      </c>
      <c r="R123" s="127">
        <f t="shared" si="2"/>
        <v>0</v>
      </c>
      <c r="S123" s="127">
        <v>0</v>
      </c>
      <c r="T123" s="128">
        <f t="shared" si="3"/>
        <v>0</v>
      </c>
      <c r="W123" s="199"/>
      <c r="X123" s="119" t="s">
        <v>245</v>
      </c>
      <c r="Y123" s="119" t="s">
        <v>231</v>
      </c>
      <c r="Z123" s="120" t="s">
        <v>1615</v>
      </c>
      <c r="AA123" s="121" t="s">
        <v>1777</v>
      </c>
      <c r="AB123" s="122" t="s">
        <v>292</v>
      </c>
      <c r="AC123" s="123">
        <v>20</v>
      </c>
      <c r="AD123" s="124">
        <v>1.24</v>
      </c>
      <c r="AE123" s="200">
        <f t="shared" si="4"/>
        <v>24.8</v>
      </c>
      <c r="AF123" s="248"/>
      <c r="AR123" s="129" t="s">
        <v>235</v>
      </c>
      <c r="AT123" s="129" t="s">
        <v>231</v>
      </c>
      <c r="AU123" s="129" t="s">
        <v>63</v>
      </c>
      <c r="AY123" s="13" t="s">
        <v>228</v>
      </c>
      <c r="BE123" s="130">
        <f t="shared" si="5"/>
        <v>0</v>
      </c>
      <c r="BF123" s="130">
        <f t="shared" si="6"/>
        <v>24.8</v>
      </c>
      <c r="BG123" s="130">
        <f t="shared" si="7"/>
        <v>0</v>
      </c>
      <c r="BH123" s="130">
        <f t="shared" si="8"/>
        <v>0</v>
      </c>
      <c r="BI123" s="130">
        <f t="shared" si="9"/>
        <v>0</v>
      </c>
      <c r="BJ123" s="13" t="s">
        <v>76</v>
      </c>
      <c r="BK123" s="130">
        <f t="shared" si="10"/>
        <v>24.8</v>
      </c>
      <c r="BL123" s="13" t="s">
        <v>235</v>
      </c>
      <c r="BM123" s="129" t="s">
        <v>248</v>
      </c>
    </row>
    <row r="124" spans="2:65" s="1" customFormat="1" ht="16.5" customHeight="1" x14ac:dyDescent="0.2">
      <c r="B124" s="118"/>
      <c r="C124" s="131" t="s">
        <v>240</v>
      </c>
      <c r="D124" s="131" t="s">
        <v>277</v>
      </c>
      <c r="E124" s="132" t="s">
        <v>1618</v>
      </c>
      <c r="F124" s="133" t="s">
        <v>1779</v>
      </c>
      <c r="G124" s="134" t="s">
        <v>292</v>
      </c>
      <c r="H124" s="135">
        <v>20</v>
      </c>
      <c r="I124" s="136">
        <v>1.49</v>
      </c>
      <c r="J124" s="136">
        <f t="shared" si="0"/>
        <v>29.8</v>
      </c>
      <c r="K124" s="133" t="s">
        <v>1</v>
      </c>
      <c r="L124" s="137"/>
      <c r="M124" s="138" t="s">
        <v>1</v>
      </c>
      <c r="N124" s="139" t="s">
        <v>32</v>
      </c>
      <c r="O124" s="127">
        <v>0</v>
      </c>
      <c r="P124" s="127">
        <f t="shared" si="1"/>
        <v>0</v>
      </c>
      <c r="Q124" s="127">
        <v>2.9999999999999997E-4</v>
      </c>
      <c r="R124" s="127">
        <f t="shared" si="2"/>
        <v>5.9999999999999993E-3</v>
      </c>
      <c r="S124" s="127">
        <v>0</v>
      </c>
      <c r="T124" s="128">
        <f t="shared" si="3"/>
        <v>0</v>
      </c>
      <c r="W124" s="199"/>
      <c r="X124" s="131" t="s">
        <v>240</v>
      </c>
      <c r="Y124" s="131" t="s">
        <v>277</v>
      </c>
      <c r="Z124" s="132" t="s">
        <v>1618</v>
      </c>
      <c r="AA124" s="133" t="s">
        <v>1779</v>
      </c>
      <c r="AB124" s="134" t="s">
        <v>292</v>
      </c>
      <c r="AC124" s="135">
        <v>20</v>
      </c>
      <c r="AD124" s="136">
        <v>1.49</v>
      </c>
      <c r="AE124" s="229">
        <f t="shared" si="4"/>
        <v>29.8</v>
      </c>
      <c r="AF124" s="248"/>
      <c r="AR124" s="129" t="s">
        <v>244</v>
      </c>
      <c r="AT124" s="129" t="s">
        <v>277</v>
      </c>
      <c r="AU124" s="129" t="s">
        <v>63</v>
      </c>
      <c r="AY124" s="13" t="s">
        <v>228</v>
      </c>
      <c r="BE124" s="130">
        <f t="shared" si="5"/>
        <v>0</v>
      </c>
      <c r="BF124" s="130">
        <f t="shared" si="6"/>
        <v>29.8</v>
      </c>
      <c r="BG124" s="130">
        <f t="shared" si="7"/>
        <v>0</v>
      </c>
      <c r="BH124" s="130">
        <f t="shared" si="8"/>
        <v>0</v>
      </c>
      <c r="BI124" s="130">
        <f t="shared" si="9"/>
        <v>0</v>
      </c>
      <c r="BJ124" s="13" t="s">
        <v>76</v>
      </c>
      <c r="BK124" s="130">
        <f t="shared" si="10"/>
        <v>29.8</v>
      </c>
      <c r="BL124" s="13" t="s">
        <v>235</v>
      </c>
      <c r="BM124" s="129" t="s">
        <v>251</v>
      </c>
    </row>
    <row r="125" spans="2:65" s="1" customFormat="1" ht="24" customHeight="1" x14ac:dyDescent="0.2">
      <c r="B125" s="118"/>
      <c r="C125" s="119" t="s">
        <v>252</v>
      </c>
      <c r="D125" s="119" t="s">
        <v>231</v>
      </c>
      <c r="E125" s="120" t="s">
        <v>1627</v>
      </c>
      <c r="F125" s="121" t="s">
        <v>1781</v>
      </c>
      <c r="G125" s="122" t="s">
        <v>292</v>
      </c>
      <c r="H125" s="123">
        <v>20</v>
      </c>
      <c r="I125" s="124">
        <v>1.24</v>
      </c>
      <c r="J125" s="124">
        <f t="shared" si="0"/>
        <v>24.8</v>
      </c>
      <c r="K125" s="121" t="s">
        <v>1</v>
      </c>
      <c r="L125" s="24"/>
      <c r="M125" s="125" t="s">
        <v>1</v>
      </c>
      <c r="N125" s="126" t="s">
        <v>32</v>
      </c>
      <c r="O125" s="127">
        <v>0</v>
      </c>
      <c r="P125" s="127">
        <f t="shared" si="1"/>
        <v>0</v>
      </c>
      <c r="Q125" s="127">
        <v>0</v>
      </c>
      <c r="R125" s="127">
        <f t="shared" si="2"/>
        <v>0</v>
      </c>
      <c r="S125" s="127">
        <v>0</v>
      </c>
      <c r="T125" s="128">
        <f t="shared" si="3"/>
        <v>0</v>
      </c>
      <c r="W125" s="199"/>
      <c r="X125" s="119" t="s">
        <v>252</v>
      </c>
      <c r="Y125" s="119" t="s">
        <v>231</v>
      </c>
      <c r="Z125" s="120" t="s">
        <v>1627</v>
      </c>
      <c r="AA125" s="121" t="s">
        <v>1781</v>
      </c>
      <c r="AB125" s="122" t="s">
        <v>292</v>
      </c>
      <c r="AC125" s="123">
        <v>20</v>
      </c>
      <c r="AD125" s="124">
        <v>1.24</v>
      </c>
      <c r="AE125" s="200">
        <f t="shared" si="4"/>
        <v>24.8</v>
      </c>
      <c r="AF125" s="248"/>
      <c r="AR125" s="129" t="s">
        <v>235</v>
      </c>
      <c r="AT125" s="129" t="s">
        <v>231</v>
      </c>
      <c r="AU125" s="129" t="s">
        <v>63</v>
      </c>
      <c r="AY125" s="13" t="s">
        <v>228</v>
      </c>
      <c r="BE125" s="130">
        <f t="shared" si="5"/>
        <v>0</v>
      </c>
      <c r="BF125" s="130">
        <f t="shared" si="6"/>
        <v>24.8</v>
      </c>
      <c r="BG125" s="130">
        <f t="shared" si="7"/>
        <v>0</v>
      </c>
      <c r="BH125" s="130">
        <f t="shared" si="8"/>
        <v>0</v>
      </c>
      <c r="BI125" s="130">
        <f t="shared" si="9"/>
        <v>0</v>
      </c>
      <c r="BJ125" s="13" t="s">
        <v>76</v>
      </c>
      <c r="BK125" s="130">
        <f t="shared" si="10"/>
        <v>24.8</v>
      </c>
      <c r="BL125" s="13" t="s">
        <v>235</v>
      </c>
      <c r="BM125" s="129" t="s">
        <v>255</v>
      </c>
    </row>
    <row r="126" spans="2:65" s="1" customFormat="1" ht="16.5" customHeight="1" x14ac:dyDescent="0.2">
      <c r="B126" s="118"/>
      <c r="C126" s="131" t="s">
        <v>244</v>
      </c>
      <c r="D126" s="131" t="s">
        <v>277</v>
      </c>
      <c r="E126" s="132" t="s">
        <v>1630</v>
      </c>
      <c r="F126" s="133" t="s">
        <v>1783</v>
      </c>
      <c r="G126" s="134" t="s">
        <v>292</v>
      </c>
      <c r="H126" s="135">
        <v>20</v>
      </c>
      <c r="I126" s="136">
        <v>1.83</v>
      </c>
      <c r="J126" s="136">
        <f t="shared" si="0"/>
        <v>36.6</v>
      </c>
      <c r="K126" s="133" t="s">
        <v>1</v>
      </c>
      <c r="L126" s="137"/>
      <c r="M126" s="138" t="s">
        <v>1</v>
      </c>
      <c r="N126" s="139" t="s">
        <v>32</v>
      </c>
      <c r="O126" s="127">
        <v>0</v>
      </c>
      <c r="P126" s="127">
        <f t="shared" si="1"/>
        <v>0</v>
      </c>
      <c r="Q126" s="127">
        <v>3.5E-4</v>
      </c>
      <c r="R126" s="127">
        <f t="shared" si="2"/>
        <v>7.0000000000000001E-3</v>
      </c>
      <c r="S126" s="127">
        <v>0</v>
      </c>
      <c r="T126" s="128">
        <f t="shared" si="3"/>
        <v>0</v>
      </c>
      <c r="W126" s="199"/>
      <c r="X126" s="131" t="s">
        <v>244</v>
      </c>
      <c r="Y126" s="131" t="s">
        <v>277</v>
      </c>
      <c r="Z126" s="132" t="s">
        <v>1630</v>
      </c>
      <c r="AA126" s="133" t="s">
        <v>1783</v>
      </c>
      <c r="AB126" s="134" t="s">
        <v>292</v>
      </c>
      <c r="AC126" s="135">
        <v>20</v>
      </c>
      <c r="AD126" s="136">
        <v>1.83</v>
      </c>
      <c r="AE126" s="229">
        <f t="shared" si="4"/>
        <v>36.6</v>
      </c>
      <c r="AF126" s="248"/>
      <c r="AR126" s="129" t="s">
        <v>244</v>
      </c>
      <c r="AT126" s="129" t="s">
        <v>277</v>
      </c>
      <c r="AU126" s="129" t="s">
        <v>63</v>
      </c>
      <c r="AY126" s="13" t="s">
        <v>228</v>
      </c>
      <c r="BE126" s="130">
        <f t="shared" si="5"/>
        <v>0</v>
      </c>
      <c r="BF126" s="130">
        <f t="shared" si="6"/>
        <v>36.6</v>
      </c>
      <c r="BG126" s="130">
        <f t="shared" si="7"/>
        <v>0</v>
      </c>
      <c r="BH126" s="130">
        <f t="shared" si="8"/>
        <v>0</v>
      </c>
      <c r="BI126" s="130">
        <f t="shared" si="9"/>
        <v>0</v>
      </c>
      <c r="BJ126" s="13" t="s">
        <v>76</v>
      </c>
      <c r="BK126" s="130">
        <f t="shared" si="10"/>
        <v>36.6</v>
      </c>
      <c r="BL126" s="13" t="s">
        <v>235</v>
      </c>
      <c r="BM126" s="129" t="s">
        <v>258</v>
      </c>
    </row>
    <row r="127" spans="2:65" s="1" customFormat="1" ht="16.5" customHeight="1" x14ac:dyDescent="0.2">
      <c r="B127" s="118"/>
      <c r="C127" s="119" t="s">
        <v>259</v>
      </c>
      <c r="D127" s="119" t="s">
        <v>231</v>
      </c>
      <c r="E127" s="120" t="s">
        <v>1651</v>
      </c>
      <c r="F127" s="121" t="s">
        <v>1652</v>
      </c>
      <c r="G127" s="122" t="s">
        <v>292</v>
      </c>
      <c r="H127" s="123">
        <v>400</v>
      </c>
      <c r="I127" s="124">
        <v>0.67</v>
      </c>
      <c r="J127" s="124">
        <f t="shared" si="0"/>
        <v>268</v>
      </c>
      <c r="K127" s="121" t="s">
        <v>1</v>
      </c>
      <c r="L127" s="24"/>
      <c r="M127" s="125" t="s">
        <v>1</v>
      </c>
      <c r="N127" s="126" t="s">
        <v>32</v>
      </c>
      <c r="O127" s="127">
        <v>0</v>
      </c>
      <c r="P127" s="127">
        <f t="shared" si="1"/>
        <v>0</v>
      </c>
      <c r="Q127" s="127">
        <v>0</v>
      </c>
      <c r="R127" s="127">
        <f t="shared" si="2"/>
        <v>0</v>
      </c>
      <c r="S127" s="127">
        <v>0</v>
      </c>
      <c r="T127" s="128">
        <f t="shared" si="3"/>
        <v>0</v>
      </c>
      <c r="W127" s="199"/>
      <c r="X127" s="119" t="s">
        <v>259</v>
      </c>
      <c r="Y127" s="119" t="s">
        <v>231</v>
      </c>
      <c r="Z127" s="120" t="s">
        <v>1651</v>
      </c>
      <c r="AA127" s="121" t="s">
        <v>1652</v>
      </c>
      <c r="AB127" s="122" t="s">
        <v>292</v>
      </c>
      <c r="AC127" s="123">
        <v>400</v>
      </c>
      <c r="AD127" s="124">
        <v>0.67</v>
      </c>
      <c r="AE127" s="200">
        <f t="shared" si="4"/>
        <v>268</v>
      </c>
      <c r="AF127" s="248"/>
      <c r="AR127" s="129" t="s">
        <v>235</v>
      </c>
      <c r="AT127" s="129" t="s">
        <v>231</v>
      </c>
      <c r="AU127" s="129" t="s">
        <v>63</v>
      </c>
      <c r="AY127" s="13" t="s">
        <v>228</v>
      </c>
      <c r="BE127" s="130">
        <f t="shared" si="5"/>
        <v>0</v>
      </c>
      <c r="BF127" s="130">
        <f t="shared" si="6"/>
        <v>268</v>
      </c>
      <c r="BG127" s="130">
        <f t="shared" si="7"/>
        <v>0</v>
      </c>
      <c r="BH127" s="130">
        <f t="shared" si="8"/>
        <v>0</v>
      </c>
      <c r="BI127" s="130">
        <f t="shared" si="9"/>
        <v>0</v>
      </c>
      <c r="BJ127" s="13" t="s">
        <v>76</v>
      </c>
      <c r="BK127" s="130">
        <f t="shared" si="10"/>
        <v>268</v>
      </c>
      <c r="BL127" s="13" t="s">
        <v>235</v>
      </c>
      <c r="BM127" s="129" t="s">
        <v>262</v>
      </c>
    </row>
    <row r="128" spans="2:65" s="1" customFormat="1" ht="16.5" customHeight="1" x14ac:dyDescent="0.2">
      <c r="B128" s="118"/>
      <c r="C128" s="131" t="s">
        <v>248</v>
      </c>
      <c r="D128" s="131" t="s">
        <v>277</v>
      </c>
      <c r="E128" s="132" t="s">
        <v>1651</v>
      </c>
      <c r="F128" s="133" t="s">
        <v>1652</v>
      </c>
      <c r="G128" s="134" t="s">
        <v>292</v>
      </c>
      <c r="H128" s="135">
        <v>400</v>
      </c>
      <c r="I128" s="136">
        <v>1.21</v>
      </c>
      <c r="J128" s="136">
        <f t="shared" si="0"/>
        <v>484</v>
      </c>
      <c r="K128" s="133" t="s">
        <v>1</v>
      </c>
      <c r="L128" s="137"/>
      <c r="M128" s="138" t="s">
        <v>1</v>
      </c>
      <c r="N128" s="139" t="s">
        <v>32</v>
      </c>
      <c r="O128" s="127">
        <v>0</v>
      </c>
      <c r="P128" s="127">
        <f t="shared" si="1"/>
        <v>0</v>
      </c>
      <c r="Q128" s="127">
        <v>0</v>
      </c>
      <c r="R128" s="127">
        <f t="shared" si="2"/>
        <v>0</v>
      </c>
      <c r="S128" s="127">
        <v>0</v>
      </c>
      <c r="T128" s="128">
        <f t="shared" si="3"/>
        <v>0</v>
      </c>
      <c r="W128" s="199"/>
      <c r="X128" s="131" t="s">
        <v>248</v>
      </c>
      <c r="Y128" s="131" t="s">
        <v>277</v>
      </c>
      <c r="Z128" s="132" t="s">
        <v>1651</v>
      </c>
      <c r="AA128" s="133" t="s">
        <v>1652</v>
      </c>
      <c r="AB128" s="134" t="s">
        <v>292</v>
      </c>
      <c r="AC128" s="135">
        <v>400</v>
      </c>
      <c r="AD128" s="136">
        <v>1.21</v>
      </c>
      <c r="AE128" s="229">
        <f t="shared" si="4"/>
        <v>484</v>
      </c>
      <c r="AF128" s="248"/>
      <c r="AR128" s="129" t="s">
        <v>244</v>
      </c>
      <c r="AT128" s="129" t="s">
        <v>277</v>
      </c>
      <c r="AU128" s="129" t="s">
        <v>63</v>
      </c>
      <c r="AY128" s="13" t="s">
        <v>228</v>
      </c>
      <c r="BE128" s="130">
        <f t="shared" si="5"/>
        <v>0</v>
      </c>
      <c r="BF128" s="130">
        <f t="shared" si="6"/>
        <v>484</v>
      </c>
      <c r="BG128" s="130">
        <f t="shared" si="7"/>
        <v>0</v>
      </c>
      <c r="BH128" s="130">
        <f t="shared" si="8"/>
        <v>0</v>
      </c>
      <c r="BI128" s="130">
        <f t="shared" si="9"/>
        <v>0</v>
      </c>
      <c r="BJ128" s="13" t="s">
        <v>76</v>
      </c>
      <c r="BK128" s="130">
        <f t="shared" si="10"/>
        <v>484</v>
      </c>
      <c r="BL128" s="13" t="s">
        <v>235</v>
      </c>
      <c r="BM128" s="129" t="s">
        <v>7</v>
      </c>
    </row>
    <row r="129" spans="2:65" s="1" customFormat="1" ht="24" customHeight="1" x14ac:dyDescent="0.2">
      <c r="B129" s="118"/>
      <c r="C129" s="119" t="s">
        <v>265</v>
      </c>
      <c r="D129" s="119" t="s">
        <v>231</v>
      </c>
      <c r="E129" s="120" t="s">
        <v>1304</v>
      </c>
      <c r="F129" s="121" t="s">
        <v>1787</v>
      </c>
      <c r="G129" s="122" t="s">
        <v>292</v>
      </c>
      <c r="H129" s="123">
        <v>310</v>
      </c>
      <c r="I129" s="124">
        <v>1.21</v>
      </c>
      <c r="J129" s="124">
        <f t="shared" si="0"/>
        <v>375.1</v>
      </c>
      <c r="K129" s="121" t="s">
        <v>1</v>
      </c>
      <c r="L129" s="24"/>
      <c r="M129" s="125" t="s">
        <v>1</v>
      </c>
      <c r="N129" s="126" t="s">
        <v>32</v>
      </c>
      <c r="O129" s="127">
        <v>0</v>
      </c>
      <c r="P129" s="127">
        <f t="shared" si="1"/>
        <v>0</v>
      </c>
      <c r="Q129" s="127">
        <v>0</v>
      </c>
      <c r="R129" s="127">
        <f t="shared" si="2"/>
        <v>0</v>
      </c>
      <c r="S129" s="127">
        <v>0</v>
      </c>
      <c r="T129" s="128">
        <f t="shared" si="3"/>
        <v>0</v>
      </c>
      <c r="W129" s="199"/>
      <c r="X129" s="119" t="s">
        <v>265</v>
      </c>
      <c r="Y129" s="119" t="s">
        <v>231</v>
      </c>
      <c r="Z129" s="120" t="s">
        <v>1304</v>
      </c>
      <c r="AA129" s="121" t="s">
        <v>1787</v>
      </c>
      <c r="AB129" s="122" t="s">
        <v>292</v>
      </c>
      <c r="AC129" s="123">
        <v>310</v>
      </c>
      <c r="AD129" s="124">
        <v>1.21</v>
      </c>
      <c r="AE129" s="200">
        <f t="shared" si="4"/>
        <v>375.1</v>
      </c>
      <c r="AF129" s="248"/>
      <c r="AR129" s="129" t="s">
        <v>235</v>
      </c>
      <c r="AT129" s="129" t="s">
        <v>231</v>
      </c>
      <c r="AU129" s="129" t="s">
        <v>63</v>
      </c>
      <c r="AY129" s="13" t="s">
        <v>228</v>
      </c>
      <c r="BE129" s="130">
        <f t="shared" si="5"/>
        <v>0</v>
      </c>
      <c r="BF129" s="130">
        <f t="shared" si="6"/>
        <v>375.1</v>
      </c>
      <c r="BG129" s="130">
        <f t="shared" si="7"/>
        <v>0</v>
      </c>
      <c r="BH129" s="130">
        <f t="shared" si="8"/>
        <v>0</v>
      </c>
      <c r="BI129" s="130">
        <f t="shared" si="9"/>
        <v>0</v>
      </c>
      <c r="BJ129" s="13" t="s">
        <v>76</v>
      </c>
      <c r="BK129" s="130">
        <f t="shared" si="10"/>
        <v>375.1</v>
      </c>
      <c r="BL129" s="13" t="s">
        <v>235</v>
      </c>
      <c r="BM129" s="129" t="s">
        <v>268</v>
      </c>
    </row>
    <row r="130" spans="2:65" s="1" customFormat="1" ht="16.5" customHeight="1" x14ac:dyDescent="0.2">
      <c r="B130" s="118"/>
      <c r="C130" s="131" t="s">
        <v>251</v>
      </c>
      <c r="D130" s="131" t="s">
        <v>277</v>
      </c>
      <c r="E130" s="132" t="s">
        <v>1307</v>
      </c>
      <c r="F130" s="133" t="s">
        <v>1789</v>
      </c>
      <c r="G130" s="134" t="s">
        <v>292</v>
      </c>
      <c r="H130" s="135">
        <v>310</v>
      </c>
      <c r="I130" s="136">
        <v>2.14</v>
      </c>
      <c r="J130" s="136">
        <f t="shared" si="0"/>
        <v>663.4</v>
      </c>
      <c r="K130" s="133" t="s">
        <v>1</v>
      </c>
      <c r="L130" s="137"/>
      <c r="M130" s="138" t="s">
        <v>1</v>
      </c>
      <c r="N130" s="139" t="s">
        <v>32</v>
      </c>
      <c r="O130" s="127">
        <v>0</v>
      </c>
      <c r="P130" s="127">
        <f t="shared" si="1"/>
        <v>0</v>
      </c>
      <c r="Q130" s="127">
        <v>0</v>
      </c>
      <c r="R130" s="127">
        <f t="shared" si="2"/>
        <v>0</v>
      </c>
      <c r="S130" s="127">
        <v>0</v>
      </c>
      <c r="T130" s="128">
        <f t="shared" si="3"/>
        <v>0</v>
      </c>
      <c r="W130" s="199"/>
      <c r="X130" s="131" t="s">
        <v>251</v>
      </c>
      <c r="Y130" s="131" t="s">
        <v>277</v>
      </c>
      <c r="Z130" s="132" t="s">
        <v>1307</v>
      </c>
      <c r="AA130" s="133" t="s">
        <v>1789</v>
      </c>
      <c r="AB130" s="134" t="s">
        <v>292</v>
      </c>
      <c r="AC130" s="135">
        <v>310</v>
      </c>
      <c r="AD130" s="136">
        <v>2.14</v>
      </c>
      <c r="AE130" s="229">
        <f t="shared" si="4"/>
        <v>663.4</v>
      </c>
      <c r="AF130" s="248"/>
      <c r="AR130" s="129" t="s">
        <v>244</v>
      </c>
      <c r="AT130" s="129" t="s">
        <v>277</v>
      </c>
      <c r="AU130" s="129" t="s">
        <v>63</v>
      </c>
      <c r="AY130" s="13" t="s">
        <v>228</v>
      </c>
      <c r="BE130" s="130">
        <f t="shared" si="5"/>
        <v>0</v>
      </c>
      <c r="BF130" s="130">
        <f t="shared" si="6"/>
        <v>663.4</v>
      </c>
      <c r="BG130" s="130">
        <f t="shared" si="7"/>
        <v>0</v>
      </c>
      <c r="BH130" s="130">
        <f t="shared" si="8"/>
        <v>0</v>
      </c>
      <c r="BI130" s="130">
        <f t="shared" si="9"/>
        <v>0</v>
      </c>
      <c r="BJ130" s="13" t="s">
        <v>76</v>
      </c>
      <c r="BK130" s="130">
        <f t="shared" si="10"/>
        <v>663.4</v>
      </c>
      <c r="BL130" s="13" t="s">
        <v>235</v>
      </c>
      <c r="BM130" s="129" t="s">
        <v>272</v>
      </c>
    </row>
    <row r="131" spans="2:65" s="682" customFormat="1" ht="24" customHeight="1" x14ac:dyDescent="0.2">
      <c r="B131" s="118"/>
      <c r="C131" s="1234" t="s">
        <v>5205</v>
      </c>
      <c r="D131" s="1235"/>
      <c r="E131" s="1235"/>
      <c r="F131" s="1235"/>
      <c r="G131" s="1235"/>
      <c r="H131" s="1235"/>
      <c r="I131" s="1235"/>
      <c r="J131" s="1236"/>
      <c r="K131" s="133"/>
      <c r="L131" s="137"/>
      <c r="M131" s="138"/>
      <c r="N131" s="139"/>
      <c r="O131" s="127"/>
      <c r="P131" s="127"/>
      <c r="Q131" s="127"/>
      <c r="R131" s="127"/>
      <c r="S131" s="127"/>
      <c r="T131" s="128"/>
      <c r="W131" s="199"/>
      <c r="X131" s="207" t="s">
        <v>5343</v>
      </c>
      <c r="Y131" s="207" t="s">
        <v>231</v>
      </c>
      <c r="Z131" s="342" t="s">
        <v>6520</v>
      </c>
      <c r="AA131" s="343" t="s">
        <v>6521</v>
      </c>
      <c r="AB131" s="344" t="s">
        <v>1194</v>
      </c>
      <c r="AC131" s="345">
        <v>182</v>
      </c>
      <c r="AD131" s="346">
        <v>0.24</v>
      </c>
      <c r="AE131" s="355">
        <f t="shared" si="4"/>
        <v>43.68</v>
      </c>
      <c r="AF131" s="1153">
        <v>21</v>
      </c>
      <c r="AR131" s="129"/>
      <c r="AT131" s="129"/>
      <c r="AU131" s="129"/>
      <c r="AY131" s="13"/>
      <c r="BE131" s="130"/>
      <c r="BF131" s="130"/>
      <c r="BG131" s="130"/>
      <c r="BH131" s="130"/>
      <c r="BI131" s="130"/>
      <c r="BJ131" s="13"/>
      <c r="BK131" s="130"/>
      <c r="BL131" s="13"/>
      <c r="BM131" s="129"/>
    </row>
    <row r="132" spans="2:65" s="682" customFormat="1" ht="24" customHeight="1" x14ac:dyDescent="0.2">
      <c r="B132" s="118"/>
      <c r="C132" s="1234" t="s">
        <v>5205</v>
      </c>
      <c r="D132" s="1235"/>
      <c r="E132" s="1235"/>
      <c r="F132" s="1235"/>
      <c r="G132" s="1235"/>
      <c r="H132" s="1235"/>
      <c r="I132" s="1235"/>
      <c r="J132" s="1236"/>
      <c r="K132" s="133"/>
      <c r="L132" s="137"/>
      <c r="M132" s="138"/>
      <c r="N132" s="139"/>
      <c r="O132" s="127"/>
      <c r="P132" s="127"/>
      <c r="Q132" s="127"/>
      <c r="R132" s="127"/>
      <c r="S132" s="127"/>
      <c r="T132" s="128"/>
      <c r="W132" s="199"/>
      <c r="X132" s="386" t="s">
        <v>6229</v>
      </c>
      <c r="Y132" s="386" t="s">
        <v>277</v>
      </c>
      <c r="Z132" s="349" t="s">
        <v>6522</v>
      </c>
      <c r="AA132" s="350" t="s">
        <v>6521</v>
      </c>
      <c r="AB132" s="351" t="s">
        <v>1194</v>
      </c>
      <c r="AC132" s="352">
        <v>182</v>
      </c>
      <c r="AD132" s="353">
        <v>0.3</v>
      </c>
      <c r="AE132" s="356">
        <f t="shared" ref="AE132:AE138" si="11">ROUND(AD132*AC132,2)</f>
        <v>54.6</v>
      </c>
      <c r="AF132" s="1153">
        <v>21</v>
      </c>
      <c r="AR132" s="129"/>
      <c r="AT132" s="129"/>
      <c r="AU132" s="129"/>
      <c r="AY132" s="13"/>
      <c r="BE132" s="130"/>
      <c r="BF132" s="130"/>
      <c r="BG132" s="130"/>
      <c r="BH132" s="130"/>
      <c r="BI132" s="130"/>
      <c r="BJ132" s="13"/>
      <c r="BK132" s="130"/>
      <c r="BL132" s="13"/>
      <c r="BM132" s="129"/>
    </row>
    <row r="133" spans="2:65" s="682" customFormat="1" ht="24" customHeight="1" x14ac:dyDescent="0.2">
      <c r="B133" s="118"/>
      <c r="C133" s="1234" t="s">
        <v>5205</v>
      </c>
      <c r="D133" s="1235"/>
      <c r="E133" s="1235"/>
      <c r="F133" s="1235"/>
      <c r="G133" s="1235"/>
      <c r="H133" s="1235"/>
      <c r="I133" s="1235"/>
      <c r="J133" s="1236"/>
      <c r="K133" s="133"/>
      <c r="L133" s="137"/>
      <c r="M133" s="138"/>
      <c r="N133" s="139"/>
      <c r="O133" s="127"/>
      <c r="P133" s="127"/>
      <c r="Q133" s="127"/>
      <c r="R133" s="127"/>
      <c r="S133" s="127"/>
      <c r="T133" s="128"/>
      <c r="W133" s="199"/>
      <c r="X133" s="207" t="s">
        <v>6258</v>
      </c>
      <c r="Y133" s="207" t="s">
        <v>231</v>
      </c>
      <c r="Z133" s="342" t="s">
        <v>6549</v>
      </c>
      <c r="AA133" s="343" t="s">
        <v>6550</v>
      </c>
      <c r="AB133" s="344" t="s">
        <v>292</v>
      </c>
      <c r="AC133" s="345">
        <v>94</v>
      </c>
      <c r="AD133" s="346">
        <v>0.67</v>
      </c>
      <c r="AE133" s="355">
        <f t="shared" si="11"/>
        <v>62.98</v>
      </c>
      <c r="AF133" s="1153">
        <v>21</v>
      </c>
      <c r="AR133" s="129"/>
      <c r="AT133" s="129"/>
      <c r="AU133" s="129"/>
      <c r="AY133" s="13"/>
      <c r="BE133" s="130"/>
      <c r="BF133" s="130"/>
      <c r="BG133" s="130"/>
      <c r="BH133" s="130"/>
      <c r="BI133" s="130"/>
      <c r="BJ133" s="13"/>
      <c r="BK133" s="130"/>
      <c r="BL133" s="13"/>
      <c r="BM133" s="129"/>
    </row>
    <row r="134" spans="2:65" s="682" customFormat="1" ht="24" customHeight="1" x14ac:dyDescent="0.2">
      <c r="B134" s="118"/>
      <c r="C134" s="1234" t="s">
        <v>5205</v>
      </c>
      <c r="D134" s="1235"/>
      <c r="E134" s="1235"/>
      <c r="F134" s="1235"/>
      <c r="G134" s="1235"/>
      <c r="H134" s="1235"/>
      <c r="I134" s="1235"/>
      <c r="J134" s="1236"/>
      <c r="K134" s="133"/>
      <c r="L134" s="137"/>
      <c r="M134" s="138"/>
      <c r="N134" s="139"/>
      <c r="O134" s="127"/>
      <c r="P134" s="127"/>
      <c r="Q134" s="127"/>
      <c r="R134" s="127"/>
      <c r="S134" s="127"/>
      <c r="T134" s="128"/>
      <c r="W134" s="199"/>
      <c r="X134" s="386" t="s">
        <v>6260</v>
      </c>
      <c r="Y134" s="386" t="s">
        <v>277</v>
      </c>
      <c r="Z134" s="349" t="s">
        <v>6549</v>
      </c>
      <c r="AA134" s="350" t="s">
        <v>6550</v>
      </c>
      <c r="AB134" s="351" t="s">
        <v>292</v>
      </c>
      <c r="AC134" s="352">
        <v>94</v>
      </c>
      <c r="AD134" s="353">
        <v>1.21</v>
      </c>
      <c r="AE134" s="356">
        <f t="shared" si="11"/>
        <v>113.74</v>
      </c>
      <c r="AF134" s="1153">
        <v>21</v>
      </c>
      <c r="AR134" s="129"/>
      <c r="AT134" s="129"/>
      <c r="AU134" s="129"/>
      <c r="AY134" s="13"/>
      <c r="BE134" s="130"/>
      <c r="BF134" s="130"/>
      <c r="BG134" s="130"/>
      <c r="BH134" s="130"/>
      <c r="BI134" s="130"/>
      <c r="BJ134" s="13"/>
      <c r="BK134" s="130"/>
      <c r="BL134" s="13"/>
      <c r="BM134" s="129"/>
    </row>
    <row r="135" spans="2:65" s="682" customFormat="1" ht="24" customHeight="1" x14ac:dyDescent="0.2">
      <c r="B135" s="118"/>
      <c r="C135" s="1234" t="s">
        <v>5205</v>
      </c>
      <c r="D135" s="1235"/>
      <c r="E135" s="1235"/>
      <c r="F135" s="1235"/>
      <c r="G135" s="1235"/>
      <c r="H135" s="1235"/>
      <c r="I135" s="1235"/>
      <c r="J135" s="1236"/>
      <c r="K135" s="133"/>
      <c r="L135" s="137"/>
      <c r="M135" s="138"/>
      <c r="N135" s="139"/>
      <c r="O135" s="127"/>
      <c r="P135" s="127"/>
      <c r="Q135" s="127"/>
      <c r="R135" s="127"/>
      <c r="S135" s="127"/>
      <c r="T135" s="128"/>
      <c r="W135" s="199"/>
      <c r="X135" s="207" t="s">
        <v>6286</v>
      </c>
      <c r="Y135" s="207" t="s">
        <v>231</v>
      </c>
      <c r="Z135" s="342" t="s">
        <v>6526</v>
      </c>
      <c r="AA135" s="343" t="s">
        <v>6527</v>
      </c>
      <c r="AB135" s="344" t="s">
        <v>1194</v>
      </c>
      <c r="AC135" s="345">
        <v>1</v>
      </c>
      <c r="AD135" s="346">
        <v>15.94</v>
      </c>
      <c r="AE135" s="355">
        <f t="shared" si="11"/>
        <v>15.94</v>
      </c>
      <c r="AF135" s="248">
        <v>21</v>
      </c>
      <c r="AR135" s="129"/>
      <c r="AT135" s="129"/>
      <c r="AU135" s="129"/>
      <c r="AY135" s="13"/>
      <c r="BE135" s="130"/>
      <c r="BF135" s="130"/>
      <c r="BG135" s="130"/>
      <c r="BH135" s="130"/>
      <c r="BI135" s="130"/>
      <c r="BJ135" s="13"/>
      <c r="BK135" s="130"/>
      <c r="BL135" s="13"/>
      <c r="BM135" s="129"/>
    </row>
    <row r="136" spans="2:65" s="682" customFormat="1" ht="24" customHeight="1" x14ac:dyDescent="0.2">
      <c r="B136" s="118"/>
      <c r="C136" s="1234" t="s">
        <v>5205</v>
      </c>
      <c r="D136" s="1235"/>
      <c r="E136" s="1235"/>
      <c r="F136" s="1235"/>
      <c r="G136" s="1235"/>
      <c r="H136" s="1235"/>
      <c r="I136" s="1235"/>
      <c r="J136" s="1236"/>
      <c r="K136" s="133"/>
      <c r="L136" s="137"/>
      <c r="M136" s="138"/>
      <c r="N136" s="139"/>
      <c r="O136" s="127"/>
      <c r="P136" s="127"/>
      <c r="Q136" s="127"/>
      <c r="R136" s="127"/>
      <c r="S136" s="127"/>
      <c r="T136" s="128"/>
      <c r="W136" s="199"/>
      <c r="X136" s="386" t="s">
        <v>6551</v>
      </c>
      <c r="Y136" s="386" t="s">
        <v>277</v>
      </c>
      <c r="Z136" s="349" t="s">
        <v>6528</v>
      </c>
      <c r="AA136" s="350" t="s">
        <v>6527</v>
      </c>
      <c r="AB136" s="351" t="s">
        <v>1194</v>
      </c>
      <c r="AC136" s="352">
        <v>1</v>
      </c>
      <c r="AD136" s="353">
        <v>102</v>
      </c>
      <c r="AE136" s="356">
        <f t="shared" si="11"/>
        <v>102</v>
      </c>
      <c r="AF136" s="248">
        <v>21</v>
      </c>
      <c r="AR136" s="129"/>
      <c r="AT136" s="129"/>
      <c r="AU136" s="129"/>
      <c r="AY136" s="13"/>
      <c r="BE136" s="130"/>
      <c r="BF136" s="130"/>
      <c r="BG136" s="130"/>
      <c r="BH136" s="130"/>
      <c r="BI136" s="130"/>
      <c r="BJ136" s="13"/>
      <c r="BK136" s="130"/>
      <c r="BL136" s="13"/>
      <c r="BM136" s="129"/>
    </row>
    <row r="137" spans="2:65" s="682" customFormat="1" ht="24" customHeight="1" x14ac:dyDescent="0.2">
      <c r="B137" s="118"/>
      <c r="C137" s="1234" t="s">
        <v>5205</v>
      </c>
      <c r="D137" s="1235"/>
      <c r="E137" s="1235"/>
      <c r="F137" s="1235"/>
      <c r="G137" s="1235"/>
      <c r="H137" s="1235"/>
      <c r="I137" s="1235"/>
      <c r="J137" s="1236"/>
      <c r="K137" s="133"/>
      <c r="L137" s="137"/>
      <c r="M137" s="138"/>
      <c r="N137" s="139"/>
      <c r="O137" s="127"/>
      <c r="P137" s="127"/>
      <c r="Q137" s="127"/>
      <c r="R137" s="127"/>
      <c r="S137" s="127"/>
      <c r="T137" s="128"/>
      <c r="W137" s="199"/>
      <c r="X137" s="207" t="s">
        <v>6552</v>
      </c>
      <c r="Y137" s="207" t="s">
        <v>231</v>
      </c>
      <c r="Z137" s="342" t="s">
        <v>6529</v>
      </c>
      <c r="AA137" s="343" t="s">
        <v>6530</v>
      </c>
      <c r="AB137" s="344" t="s">
        <v>1194</v>
      </c>
      <c r="AC137" s="345">
        <v>1</v>
      </c>
      <c r="AD137" s="346">
        <v>3.24</v>
      </c>
      <c r="AE137" s="355">
        <f t="shared" si="11"/>
        <v>3.24</v>
      </c>
      <c r="AF137" s="248">
        <v>21</v>
      </c>
      <c r="AR137" s="129"/>
      <c r="AT137" s="129"/>
      <c r="AU137" s="129"/>
      <c r="AY137" s="13"/>
      <c r="BE137" s="130"/>
      <c r="BF137" s="130"/>
      <c r="BG137" s="130"/>
      <c r="BH137" s="130"/>
      <c r="BI137" s="130"/>
      <c r="BJ137" s="13"/>
      <c r="BK137" s="130"/>
      <c r="BL137" s="13"/>
      <c r="BM137" s="129"/>
    </row>
    <row r="138" spans="2:65" s="682" customFormat="1" ht="24" customHeight="1" x14ac:dyDescent="0.2">
      <c r="B138" s="118"/>
      <c r="C138" s="1234" t="s">
        <v>5205</v>
      </c>
      <c r="D138" s="1235"/>
      <c r="E138" s="1235"/>
      <c r="F138" s="1235"/>
      <c r="G138" s="1235"/>
      <c r="H138" s="1235"/>
      <c r="I138" s="1235"/>
      <c r="J138" s="1236"/>
      <c r="K138" s="133"/>
      <c r="L138" s="137"/>
      <c r="M138" s="138"/>
      <c r="N138" s="139"/>
      <c r="O138" s="127"/>
      <c r="P138" s="127"/>
      <c r="Q138" s="127"/>
      <c r="R138" s="127"/>
      <c r="S138" s="127"/>
      <c r="T138" s="128"/>
      <c r="W138" s="199"/>
      <c r="X138" s="386" t="s">
        <v>6553</v>
      </c>
      <c r="Y138" s="386" t="s">
        <v>277</v>
      </c>
      <c r="Z138" s="349" t="s">
        <v>6531</v>
      </c>
      <c r="AA138" s="350" t="s">
        <v>6530</v>
      </c>
      <c r="AB138" s="351" t="s">
        <v>1194</v>
      </c>
      <c r="AC138" s="352">
        <v>1</v>
      </c>
      <c r="AD138" s="353">
        <v>12.74</v>
      </c>
      <c r="AE138" s="356">
        <f t="shared" si="11"/>
        <v>12.74</v>
      </c>
      <c r="AF138" s="248">
        <v>21</v>
      </c>
      <c r="AR138" s="129"/>
      <c r="AT138" s="129"/>
      <c r="AU138" s="129"/>
      <c r="AY138" s="13"/>
      <c r="BE138" s="130"/>
      <c r="BF138" s="130"/>
      <c r="BG138" s="130"/>
      <c r="BH138" s="130"/>
      <c r="BI138" s="130"/>
      <c r="BJ138" s="13"/>
      <c r="BK138" s="130"/>
      <c r="BL138" s="13"/>
      <c r="BM138" s="129"/>
    </row>
    <row r="139" spans="2:65" s="1" customFormat="1" ht="16.5" customHeight="1" x14ac:dyDescent="0.2">
      <c r="B139" s="118"/>
      <c r="C139" s="205" t="s">
        <v>273</v>
      </c>
      <c r="D139" s="119" t="s">
        <v>231</v>
      </c>
      <c r="E139" s="120" t="s">
        <v>1587</v>
      </c>
      <c r="F139" s="121" t="s">
        <v>3990</v>
      </c>
      <c r="G139" s="122" t="s">
        <v>1194</v>
      </c>
      <c r="H139" s="206">
        <v>1</v>
      </c>
      <c r="I139" s="124">
        <v>1981.83</v>
      </c>
      <c r="J139" s="124">
        <f t="shared" si="0"/>
        <v>1981.83</v>
      </c>
      <c r="K139" s="121" t="s">
        <v>1</v>
      </c>
      <c r="L139" s="24"/>
      <c r="M139" s="125" t="s">
        <v>1</v>
      </c>
      <c r="N139" s="126" t="s">
        <v>32</v>
      </c>
      <c r="O139" s="127">
        <v>0</v>
      </c>
      <c r="P139" s="127">
        <f t="shared" si="1"/>
        <v>0</v>
      </c>
      <c r="Q139" s="127">
        <v>0</v>
      </c>
      <c r="R139" s="127">
        <f t="shared" si="2"/>
        <v>0</v>
      </c>
      <c r="S139" s="127">
        <v>0</v>
      </c>
      <c r="T139" s="128">
        <f t="shared" si="3"/>
        <v>0</v>
      </c>
      <c r="W139" s="199"/>
      <c r="X139" s="205" t="s">
        <v>273</v>
      </c>
      <c r="Y139" s="119" t="s">
        <v>231</v>
      </c>
      <c r="Z139" s="120" t="s">
        <v>1587</v>
      </c>
      <c r="AA139" s="121" t="s">
        <v>3990</v>
      </c>
      <c r="AB139" s="122" t="s">
        <v>1194</v>
      </c>
      <c r="AC139" s="206">
        <f t="shared" ref="AC139:AC144" si="12">1-1</f>
        <v>0</v>
      </c>
      <c r="AD139" s="124">
        <v>1981.83</v>
      </c>
      <c r="AE139" s="200">
        <f t="shared" si="4"/>
        <v>0</v>
      </c>
      <c r="AF139" s="248">
        <v>21</v>
      </c>
      <c r="AR139" s="129" t="s">
        <v>235</v>
      </c>
      <c r="AT139" s="129" t="s">
        <v>231</v>
      </c>
      <c r="AU139" s="129" t="s">
        <v>63</v>
      </c>
      <c r="AY139" s="13" t="s">
        <v>228</v>
      </c>
      <c r="BE139" s="130">
        <f t="shared" si="5"/>
        <v>0</v>
      </c>
      <c r="BF139" s="130">
        <f t="shared" si="6"/>
        <v>1981.83</v>
      </c>
      <c r="BG139" s="130">
        <f t="shared" si="7"/>
        <v>0</v>
      </c>
      <c r="BH139" s="130">
        <f t="shared" si="8"/>
        <v>0</v>
      </c>
      <c r="BI139" s="130">
        <f t="shared" si="9"/>
        <v>0</v>
      </c>
      <c r="BJ139" s="13" t="s">
        <v>76</v>
      </c>
      <c r="BK139" s="130">
        <f t="shared" si="10"/>
        <v>1981.83</v>
      </c>
      <c r="BL139" s="13" t="s">
        <v>235</v>
      </c>
      <c r="BM139" s="129" t="s">
        <v>276</v>
      </c>
    </row>
    <row r="140" spans="2:65" s="1" customFormat="1" ht="16.5" customHeight="1" x14ac:dyDescent="0.2">
      <c r="B140" s="118"/>
      <c r="C140" s="242" t="s">
        <v>255</v>
      </c>
      <c r="D140" s="131" t="s">
        <v>277</v>
      </c>
      <c r="E140" s="132" t="s">
        <v>1587</v>
      </c>
      <c r="F140" s="133" t="s">
        <v>3990</v>
      </c>
      <c r="G140" s="134" t="s">
        <v>1194</v>
      </c>
      <c r="H140" s="241">
        <v>1</v>
      </c>
      <c r="I140" s="136">
        <v>2492.67</v>
      </c>
      <c r="J140" s="136">
        <f t="shared" si="0"/>
        <v>2492.67</v>
      </c>
      <c r="K140" s="133" t="s">
        <v>1</v>
      </c>
      <c r="L140" s="137"/>
      <c r="M140" s="138" t="s">
        <v>1</v>
      </c>
      <c r="N140" s="139" t="s">
        <v>32</v>
      </c>
      <c r="O140" s="127">
        <v>0</v>
      </c>
      <c r="P140" s="127">
        <f t="shared" si="1"/>
        <v>0</v>
      </c>
      <c r="Q140" s="127">
        <v>0</v>
      </c>
      <c r="R140" s="127">
        <f t="shared" si="2"/>
        <v>0</v>
      </c>
      <c r="S140" s="127">
        <v>0</v>
      </c>
      <c r="T140" s="128">
        <f t="shared" si="3"/>
        <v>0</v>
      </c>
      <c r="W140" s="199"/>
      <c r="X140" s="242" t="s">
        <v>255</v>
      </c>
      <c r="Y140" s="131" t="s">
        <v>277</v>
      </c>
      <c r="Z140" s="132" t="s">
        <v>1587</v>
      </c>
      <c r="AA140" s="133" t="s">
        <v>3990</v>
      </c>
      <c r="AB140" s="134" t="s">
        <v>1194</v>
      </c>
      <c r="AC140" s="241">
        <f t="shared" si="12"/>
        <v>0</v>
      </c>
      <c r="AD140" s="136">
        <v>2492.67</v>
      </c>
      <c r="AE140" s="229">
        <f t="shared" si="4"/>
        <v>0</v>
      </c>
      <c r="AF140" s="248">
        <v>21</v>
      </c>
      <c r="AR140" s="129" t="s">
        <v>244</v>
      </c>
      <c r="AT140" s="129" t="s">
        <v>277</v>
      </c>
      <c r="AU140" s="129" t="s">
        <v>63</v>
      </c>
      <c r="AY140" s="13" t="s">
        <v>228</v>
      </c>
      <c r="BE140" s="130">
        <f t="shared" si="5"/>
        <v>0</v>
      </c>
      <c r="BF140" s="130">
        <f t="shared" si="6"/>
        <v>2492.67</v>
      </c>
      <c r="BG140" s="130">
        <f t="shared" si="7"/>
        <v>0</v>
      </c>
      <c r="BH140" s="130">
        <f t="shared" si="8"/>
        <v>0</v>
      </c>
      <c r="BI140" s="130">
        <f t="shared" si="9"/>
        <v>0</v>
      </c>
      <c r="BJ140" s="13" t="s">
        <v>76</v>
      </c>
      <c r="BK140" s="130">
        <f t="shared" si="10"/>
        <v>2492.67</v>
      </c>
      <c r="BL140" s="13" t="s">
        <v>235</v>
      </c>
      <c r="BM140" s="129" t="s">
        <v>280</v>
      </c>
    </row>
    <row r="141" spans="2:65" s="1" customFormat="1" ht="16.5" customHeight="1" x14ac:dyDescent="0.2">
      <c r="B141" s="118"/>
      <c r="C141" s="205" t="s">
        <v>281</v>
      </c>
      <c r="D141" s="119" t="s">
        <v>231</v>
      </c>
      <c r="E141" s="120" t="s">
        <v>1597</v>
      </c>
      <c r="F141" s="121" t="s">
        <v>1796</v>
      </c>
      <c r="G141" s="122" t="s">
        <v>1194</v>
      </c>
      <c r="H141" s="206">
        <v>1</v>
      </c>
      <c r="I141" s="124">
        <v>2216.35</v>
      </c>
      <c r="J141" s="124">
        <f t="shared" si="0"/>
        <v>2216.35</v>
      </c>
      <c r="K141" s="121" t="s">
        <v>1</v>
      </c>
      <c r="L141" s="24"/>
      <c r="M141" s="125" t="s">
        <v>1</v>
      </c>
      <c r="N141" s="126" t="s">
        <v>32</v>
      </c>
      <c r="O141" s="127">
        <v>0</v>
      </c>
      <c r="P141" s="127">
        <f t="shared" si="1"/>
        <v>0</v>
      </c>
      <c r="Q141" s="127">
        <v>0</v>
      </c>
      <c r="R141" s="127">
        <f t="shared" si="2"/>
        <v>0</v>
      </c>
      <c r="S141" s="127">
        <v>0</v>
      </c>
      <c r="T141" s="128">
        <f t="shared" si="3"/>
        <v>0</v>
      </c>
      <c r="W141" s="199"/>
      <c r="X141" s="205" t="s">
        <v>281</v>
      </c>
      <c r="Y141" s="119" t="s">
        <v>231</v>
      </c>
      <c r="Z141" s="120" t="s">
        <v>1597</v>
      </c>
      <c r="AA141" s="121" t="s">
        <v>1796</v>
      </c>
      <c r="AB141" s="122" t="s">
        <v>1194</v>
      </c>
      <c r="AC141" s="206">
        <f t="shared" si="12"/>
        <v>0</v>
      </c>
      <c r="AD141" s="124">
        <v>2216.35</v>
      </c>
      <c r="AE141" s="200">
        <f t="shared" si="4"/>
        <v>0</v>
      </c>
      <c r="AF141" s="248">
        <v>21</v>
      </c>
      <c r="AR141" s="129" t="s">
        <v>235</v>
      </c>
      <c r="AT141" s="129" t="s">
        <v>231</v>
      </c>
      <c r="AU141" s="129" t="s">
        <v>63</v>
      </c>
      <c r="AY141" s="13" t="s">
        <v>228</v>
      </c>
      <c r="BE141" s="130">
        <f t="shared" si="5"/>
        <v>0</v>
      </c>
      <c r="BF141" s="130">
        <f t="shared" si="6"/>
        <v>2216.35</v>
      </c>
      <c r="BG141" s="130">
        <f t="shared" si="7"/>
        <v>0</v>
      </c>
      <c r="BH141" s="130">
        <f t="shared" si="8"/>
        <v>0</v>
      </c>
      <c r="BI141" s="130">
        <f t="shared" si="9"/>
        <v>0</v>
      </c>
      <c r="BJ141" s="13" t="s">
        <v>76</v>
      </c>
      <c r="BK141" s="130">
        <f t="shared" si="10"/>
        <v>2216.35</v>
      </c>
      <c r="BL141" s="13" t="s">
        <v>235</v>
      </c>
      <c r="BM141" s="129" t="s">
        <v>285</v>
      </c>
    </row>
    <row r="142" spans="2:65" s="1" customFormat="1" ht="16.5" customHeight="1" x14ac:dyDescent="0.2">
      <c r="B142" s="118"/>
      <c r="C142" s="242" t="s">
        <v>258</v>
      </c>
      <c r="D142" s="131" t="s">
        <v>277</v>
      </c>
      <c r="E142" s="132" t="s">
        <v>1597</v>
      </c>
      <c r="F142" s="133" t="s">
        <v>1796</v>
      </c>
      <c r="G142" s="134" t="s">
        <v>1194</v>
      </c>
      <c r="H142" s="241">
        <v>1</v>
      </c>
      <c r="I142" s="136">
        <v>4354.91</v>
      </c>
      <c r="J142" s="136">
        <f t="shared" si="0"/>
        <v>4354.91</v>
      </c>
      <c r="K142" s="133" t="s">
        <v>1</v>
      </c>
      <c r="L142" s="137"/>
      <c r="M142" s="138" t="s">
        <v>1</v>
      </c>
      <c r="N142" s="139" t="s">
        <v>32</v>
      </c>
      <c r="O142" s="127">
        <v>0</v>
      </c>
      <c r="P142" s="127">
        <f t="shared" si="1"/>
        <v>0</v>
      </c>
      <c r="Q142" s="127">
        <v>0</v>
      </c>
      <c r="R142" s="127">
        <f t="shared" si="2"/>
        <v>0</v>
      </c>
      <c r="S142" s="127">
        <v>0</v>
      </c>
      <c r="T142" s="128">
        <f t="shared" si="3"/>
        <v>0</v>
      </c>
      <c r="W142" s="199"/>
      <c r="X142" s="242" t="s">
        <v>258</v>
      </c>
      <c r="Y142" s="131" t="s">
        <v>277</v>
      </c>
      <c r="Z142" s="132" t="s">
        <v>1597</v>
      </c>
      <c r="AA142" s="133" t="s">
        <v>1796</v>
      </c>
      <c r="AB142" s="134" t="s">
        <v>1194</v>
      </c>
      <c r="AC142" s="241">
        <f t="shared" si="12"/>
        <v>0</v>
      </c>
      <c r="AD142" s="136">
        <v>4354.91</v>
      </c>
      <c r="AE142" s="229">
        <f t="shared" si="4"/>
        <v>0</v>
      </c>
      <c r="AF142" s="248">
        <v>21</v>
      </c>
      <c r="AR142" s="129" t="s">
        <v>244</v>
      </c>
      <c r="AT142" s="129" t="s">
        <v>277</v>
      </c>
      <c r="AU142" s="129" t="s">
        <v>63</v>
      </c>
      <c r="AY142" s="13" t="s">
        <v>228</v>
      </c>
      <c r="BE142" s="130">
        <f t="shared" si="5"/>
        <v>0</v>
      </c>
      <c r="BF142" s="130">
        <f t="shared" si="6"/>
        <v>4354.91</v>
      </c>
      <c r="BG142" s="130">
        <f t="shared" si="7"/>
        <v>0</v>
      </c>
      <c r="BH142" s="130">
        <f t="shared" si="8"/>
        <v>0</v>
      </c>
      <c r="BI142" s="130">
        <f t="shared" si="9"/>
        <v>0</v>
      </c>
      <c r="BJ142" s="13" t="s">
        <v>76</v>
      </c>
      <c r="BK142" s="130">
        <f t="shared" si="10"/>
        <v>4354.91</v>
      </c>
      <c r="BL142" s="13" t="s">
        <v>235</v>
      </c>
      <c r="BM142" s="129" t="s">
        <v>288</v>
      </c>
    </row>
    <row r="143" spans="2:65" s="1" customFormat="1" ht="16.5" customHeight="1" x14ac:dyDescent="0.2">
      <c r="B143" s="118"/>
      <c r="C143" s="205" t="s">
        <v>289</v>
      </c>
      <c r="D143" s="119" t="s">
        <v>231</v>
      </c>
      <c r="E143" s="120" t="s">
        <v>1735</v>
      </c>
      <c r="F143" s="121" t="s">
        <v>3991</v>
      </c>
      <c r="G143" s="122" t="s">
        <v>1194</v>
      </c>
      <c r="H143" s="206">
        <v>1</v>
      </c>
      <c r="I143" s="124">
        <v>40.049999999999997</v>
      </c>
      <c r="J143" s="124">
        <f t="shared" si="0"/>
        <v>40.049999999999997</v>
      </c>
      <c r="K143" s="121" t="s">
        <v>1</v>
      </c>
      <c r="L143" s="24"/>
      <c r="M143" s="125" t="s">
        <v>1</v>
      </c>
      <c r="N143" s="126" t="s">
        <v>32</v>
      </c>
      <c r="O143" s="127">
        <v>0</v>
      </c>
      <c r="P143" s="127">
        <f t="shared" si="1"/>
        <v>0</v>
      </c>
      <c r="Q143" s="127">
        <v>0</v>
      </c>
      <c r="R143" s="127">
        <f t="shared" si="2"/>
        <v>0</v>
      </c>
      <c r="S143" s="127">
        <v>0</v>
      </c>
      <c r="T143" s="128">
        <f t="shared" si="3"/>
        <v>0</v>
      </c>
      <c r="W143" s="199"/>
      <c r="X143" s="205" t="s">
        <v>289</v>
      </c>
      <c r="Y143" s="119" t="s">
        <v>231</v>
      </c>
      <c r="Z143" s="120" t="s">
        <v>1735</v>
      </c>
      <c r="AA143" s="121" t="s">
        <v>3991</v>
      </c>
      <c r="AB143" s="122" t="s">
        <v>1194</v>
      </c>
      <c r="AC143" s="206">
        <f t="shared" si="12"/>
        <v>0</v>
      </c>
      <c r="AD143" s="124">
        <v>40.049999999999997</v>
      </c>
      <c r="AE143" s="200">
        <f t="shared" si="4"/>
        <v>0</v>
      </c>
      <c r="AF143" s="248">
        <v>21</v>
      </c>
      <c r="AR143" s="129" t="s">
        <v>235</v>
      </c>
      <c r="AT143" s="129" t="s">
        <v>231</v>
      </c>
      <c r="AU143" s="129" t="s">
        <v>63</v>
      </c>
      <c r="AY143" s="13" t="s">
        <v>228</v>
      </c>
      <c r="BE143" s="130">
        <f t="shared" si="5"/>
        <v>0</v>
      </c>
      <c r="BF143" s="130">
        <f t="shared" si="6"/>
        <v>40.049999999999997</v>
      </c>
      <c r="BG143" s="130">
        <f t="shared" si="7"/>
        <v>0</v>
      </c>
      <c r="BH143" s="130">
        <f t="shared" si="8"/>
        <v>0</v>
      </c>
      <c r="BI143" s="130">
        <f t="shared" si="9"/>
        <v>0</v>
      </c>
      <c r="BJ143" s="13" t="s">
        <v>76</v>
      </c>
      <c r="BK143" s="130">
        <f t="shared" si="10"/>
        <v>40.049999999999997</v>
      </c>
      <c r="BL143" s="13" t="s">
        <v>235</v>
      </c>
      <c r="BM143" s="129" t="s">
        <v>293</v>
      </c>
    </row>
    <row r="144" spans="2:65" s="1" customFormat="1" ht="16.5" customHeight="1" x14ac:dyDescent="0.2">
      <c r="B144" s="118"/>
      <c r="C144" s="242" t="s">
        <v>262</v>
      </c>
      <c r="D144" s="131" t="s">
        <v>277</v>
      </c>
      <c r="E144" s="132" t="s">
        <v>1735</v>
      </c>
      <c r="F144" s="133" t="s">
        <v>3991</v>
      </c>
      <c r="G144" s="134" t="s">
        <v>1194</v>
      </c>
      <c r="H144" s="241">
        <v>1</v>
      </c>
      <c r="I144" s="136">
        <v>458.6</v>
      </c>
      <c r="J144" s="136">
        <f t="shared" si="0"/>
        <v>458.6</v>
      </c>
      <c r="K144" s="133" t="s">
        <v>1</v>
      </c>
      <c r="L144" s="137"/>
      <c r="M144" s="138" t="s">
        <v>1</v>
      </c>
      <c r="N144" s="139" t="s">
        <v>32</v>
      </c>
      <c r="O144" s="127">
        <v>0</v>
      </c>
      <c r="P144" s="127">
        <f t="shared" si="1"/>
        <v>0</v>
      </c>
      <c r="Q144" s="127">
        <v>0</v>
      </c>
      <c r="R144" s="127">
        <f t="shared" si="2"/>
        <v>0</v>
      </c>
      <c r="S144" s="127">
        <v>0</v>
      </c>
      <c r="T144" s="128">
        <f t="shared" si="3"/>
        <v>0</v>
      </c>
      <c r="W144" s="199"/>
      <c r="X144" s="242" t="s">
        <v>262</v>
      </c>
      <c r="Y144" s="131" t="s">
        <v>277</v>
      </c>
      <c r="Z144" s="132" t="s">
        <v>1735</v>
      </c>
      <c r="AA144" s="133" t="s">
        <v>3991</v>
      </c>
      <c r="AB144" s="134" t="s">
        <v>1194</v>
      </c>
      <c r="AC144" s="241">
        <f t="shared" si="12"/>
        <v>0</v>
      </c>
      <c r="AD144" s="136">
        <v>458.6</v>
      </c>
      <c r="AE144" s="229">
        <f t="shared" si="4"/>
        <v>0</v>
      </c>
      <c r="AF144" s="248">
        <v>21</v>
      </c>
      <c r="AR144" s="129" t="s">
        <v>244</v>
      </c>
      <c r="AT144" s="129" t="s">
        <v>277</v>
      </c>
      <c r="AU144" s="129" t="s">
        <v>63</v>
      </c>
      <c r="AY144" s="13" t="s">
        <v>228</v>
      </c>
      <c r="BE144" s="130">
        <f t="shared" si="5"/>
        <v>0</v>
      </c>
      <c r="BF144" s="130">
        <f t="shared" si="6"/>
        <v>458.6</v>
      </c>
      <c r="BG144" s="130">
        <f t="shared" si="7"/>
        <v>0</v>
      </c>
      <c r="BH144" s="130">
        <f t="shared" si="8"/>
        <v>0</v>
      </c>
      <c r="BI144" s="130">
        <f t="shared" si="9"/>
        <v>0</v>
      </c>
      <c r="BJ144" s="13" t="s">
        <v>76</v>
      </c>
      <c r="BK144" s="130">
        <f t="shared" si="10"/>
        <v>458.6</v>
      </c>
      <c r="BL144" s="13" t="s">
        <v>235</v>
      </c>
      <c r="BM144" s="129" t="s">
        <v>296</v>
      </c>
    </row>
    <row r="145" spans="2:65" s="1" customFormat="1" ht="16.5" customHeight="1" x14ac:dyDescent="0.2">
      <c r="B145" s="118"/>
      <c r="C145" s="119" t="s">
        <v>297</v>
      </c>
      <c r="D145" s="119" t="s">
        <v>231</v>
      </c>
      <c r="E145" s="120" t="s">
        <v>1740</v>
      </c>
      <c r="F145" s="121" t="s">
        <v>1801</v>
      </c>
      <c r="G145" s="122" t="s">
        <v>1194</v>
      </c>
      <c r="H145" s="123">
        <v>4</v>
      </c>
      <c r="I145" s="124">
        <v>14.76</v>
      </c>
      <c r="J145" s="124">
        <f t="shared" si="0"/>
        <v>59.04</v>
      </c>
      <c r="K145" s="121" t="s">
        <v>1</v>
      </c>
      <c r="L145" s="24"/>
      <c r="M145" s="125" t="s">
        <v>1</v>
      </c>
      <c r="N145" s="126" t="s">
        <v>32</v>
      </c>
      <c r="O145" s="127">
        <v>0</v>
      </c>
      <c r="P145" s="127">
        <f t="shared" si="1"/>
        <v>0</v>
      </c>
      <c r="Q145" s="127">
        <v>0</v>
      </c>
      <c r="R145" s="127">
        <f t="shared" si="2"/>
        <v>0</v>
      </c>
      <c r="S145" s="127">
        <v>0</v>
      </c>
      <c r="T145" s="128">
        <f t="shared" si="3"/>
        <v>0</v>
      </c>
      <c r="W145" s="199"/>
      <c r="X145" s="119" t="s">
        <v>297</v>
      </c>
      <c r="Y145" s="119" t="s">
        <v>231</v>
      </c>
      <c r="Z145" s="120" t="s">
        <v>1740</v>
      </c>
      <c r="AA145" s="121" t="s">
        <v>1801</v>
      </c>
      <c r="AB145" s="122" t="s">
        <v>1194</v>
      </c>
      <c r="AC145" s="123">
        <v>4</v>
      </c>
      <c r="AD145" s="124">
        <v>14.76</v>
      </c>
      <c r="AE145" s="200">
        <f t="shared" si="4"/>
        <v>59.04</v>
      </c>
      <c r="AF145" s="248"/>
      <c r="AR145" s="129" t="s">
        <v>235</v>
      </c>
      <c r="AT145" s="129" t="s">
        <v>231</v>
      </c>
      <c r="AU145" s="129" t="s">
        <v>63</v>
      </c>
      <c r="AY145" s="13" t="s">
        <v>228</v>
      </c>
      <c r="BE145" s="130">
        <f t="shared" si="5"/>
        <v>0</v>
      </c>
      <c r="BF145" s="130">
        <f t="shared" si="6"/>
        <v>59.04</v>
      </c>
      <c r="BG145" s="130">
        <f t="shared" si="7"/>
        <v>0</v>
      </c>
      <c r="BH145" s="130">
        <f t="shared" si="8"/>
        <v>0</v>
      </c>
      <c r="BI145" s="130">
        <f t="shared" si="9"/>
        <v>0</v>
      </c>
      <c r="BJ145" s="13" t="s">
        <v>76</v>
      </c>
      <c r="BK145" s="130">
        <f t="shared" si="10"/>
        <v>59.04</v>
      </c>
      <c r="BL145" s="13" t="s">
        <v>235</v>
      </c>
      <c r="BM145" s="129" t="s">
        <v>300</v>
      </c>
    </row>
    <row r="146" spans="2:65" s="1" customFormat="1" ht="16.5" customHeight="1" x14ac:dyDescent="0.2">
      <c r="B146" s="118"/>
      <c r="C146" s="131" t="s">
        <v>7</v>
      </c>
      <c r="D146" s="131" t="s">
        <v>277</v>
      </c>
      <c r="E146" s="132" t="s">
        <v>1740</v>
      </c>
      <c r="F146" s="133" t="s">
        <v>1801</v>
      </c>
      <c r="G146" s="134" t="s">
        <v>1194</v>
      </c>
      <c r="H146" s="135">
        <v>4</v>
      </c>
      <c r="I146" s="136">
        <v>60.76</v>
      </c>
      <c r="J146" s="136">
        <f t="shared" si="0"/>
        <v>243.04</v>
      </c>
      <c r="K146" s="133" t="s">
        <v>1</v>
      </c>
      <c r="L146" s="137"/>
      <c r="M146" s="138" t="s">
        <v>1</v>
      </c>
      <c r="N146" s="139" t="s">
        <v>32</v>
      </c>
      <c r="O146" s="127">
        <v>0</v>
      </c>
      <c r="P146" s="127">
        <f t="shared" si="1"/>
        <v>0</v>
      </c>
      <c r="Q146" s="127">
        <v>0</v>
      </c>
      <c r="R146" s="127">
        <f t="shared" si="2"/>
        <v>0</v>
      </c>
      <c r="S146" s="127">
        <v>0</v>
      </c>
      <c r="T146" s="128">
        <f t="shared" si="3"/>
        <v>0</v>
      </c>
      <c r="W146" s="199"/>
      <c r="X146" s="131" t="s">
        <v>7</v>
      </c>
      <c r="Y146" s="131" t="s">
        <v>277</v>
      </c>
      <c r="Z146" s="132" t="s">
        <v>1740</v>
      </c>
      <c r="AA146" s="133" t="s">
        <v>1801</v>
      </c>
      <c r="AB146" s="134" t="s">
        <v>1194</v>
      </c>
      <c r="AC146" s="135">
        <v>4</v>
      </c>
      <c r="AD146" s="136">
        <v>60.76</v>
      </c>
      <c r="AE146" s="229">
        <f t="shared" si="4"/>
        <v>243.04</v>
      </c>
      <c r="AF146" s="248"/>
      <c r="AR146" s="129" t="s">
        <v>244</v>
      </c>
      <c r="AT146" s="129" t="s">
        <v>277</v>
      </c>
      <c r="AU146" s="129" t="s">
        <v>63</v>
      </c>
      <c r="AY146" s="13" t="s">
        <v>228</v>
      </c>
      <c r="BE146" s="130">
        <f t="shared" si="5"/>
        <v>0</v>
      </c>
      <c r="BF146" s="130">
        <f t="shared" si="6"/>
        <v>243.04</v>
      </c>
      <c r="BG146" s="130">
        <f t="shared" si="7"/>
        <v>0</v>
      </c>
      <c r="BH146" s="130">
        <f t="shared" si="8"/>
        <v>0</v>
      </c>
      <c r="BI146" s="130">
        <f t="shared" si="9"/>
        <v>0</v>
      </c>
      <c r="BJ146" s="13" t="s">
        <v>76</v>
      </c>
      <c r="BK146" s="130">
        <f t="shared" si="10"/>
        <v>243.04</v>
      </c>
      <c r="BL146" s="13" t="s">
        <v>235</v>
      </c>
      <c r="BM146" s="129" t="s">
        <v>303</v>
      </c>
    </row>
    <row r="147" spans="2:65" s="1" customFormat="1" ht="16.5" customHeight="1" x14ac:dyDescent="0.2">
      <c r="B147" s="118"/>
      <c r="C147" s="119" t="s">
        <v>305</v>
      </c>
      <c r="D147" s="119" t="s">
        <v>231</v>
      </c>
      <c r="E147" s="120" t="s">
        <v>1743</v>
      </c>
      <c r="F147" s="121" t="s">
        <v>3992</v>
      </c>
      <c r="G147" s="122" t="s">
        <v>1194</v>
      </c>
      <c r="H147" s="123">
        <v>2</v>
      </c>
      <c r="I147" s="124">
        <v>14.76</v>
      </c>
      <c r="J147" s="124">
        <f t="shared" si="0"/>
        <v>29.52</v>
      </c>
      <c r="K147" s="121" t="s">
        <v>1</v>
      </c>
      <c r="L147" s="24"/>
      <c r="M147" s="125" t="s">
        <v>1</v>
      </c>
      <c r="N147" s="126" t="s">
        <v>32</v>
      </c>
      <c r="O147" s="127">
        <v>0</v>
      </c>
      <c r="P147" s="127">
        <f t="shared" si="1"/>
        <v>0</v>
      </c>
      <c r="Q147" s="127">
        <v>0</v>
      </c>
      <c r="R147" s="127">
        <f t="shared" si="2"/>
        <v>0</v>
      </c>
      <c r="S147" s="127">
        <v>0</v>
      </c>
      <c r="T147" s="128">
        <f t="shared" si="3"/>
        <v>0</v>
      </c>
      <c r="W147" s="199"/>
      <c r="X147" s="119" t="s">
        <v>305</v>
      </c>
      <c r="Y147" s="119" t="s">
        <v>231</v>
      </c>
      <c r="Z147" s="120" t="s">
        <v>1743</v>
      </c>
      <c r="AA147" s="121" t="s">
        <v>3992</v>
      </c>
      <c r="AB147" s="122" t="s">
        <v>1194</v>
      </c>
      <c r="AC147" s="123">
        <v>2</v>
      </c>
      <c r="AD147" s="124">
        <v>14.76</v>
      </c>
      <c r="AE147" s="200">
        <f t="shared" si="4"/>
        <v>29.52</v>
      </c>
      <c r="AF147" s="248"/>
      <c r="AR147" s="129" t="s">
        <v>235</v>
      </c>
      <c r="AT147" s="129" t="s">
        <v>231</v>
      </c>
      <c r="AU147" s="129" t="s">
        <v>63</v>
      </c>
      <c r="AY147" s="13" t="s">
        <v>228</v>
      </c>
      <c r="BE147" s="130">
        <f t="shared" si="5"/>
        <v>0</v>
      </c>
      <c r="BF147" s="130">
        <f t="shared" si="6"/>
        <v>29.52</v>
      </c>
      <c r="BG147" s="130">
        <f t="shared" si="7"/>
        <v>0</v>
      </c>
      <c r="BH147" s="130">
        <f t="shared" si="8"/>
        <v>0</v>
      </c>
      <c r="BI147" s="130">
        <f t="shared" si="9"/>
        <v>0</v>
      </c>
      <c r="BJ147" s="13" t="s">
        <v>76</v>
      </c>
      <c r="BK147" s="130">
        <f t="shared" si="10"/>
        <v>29.52</v>
      </c>
      <c r="BL147" s="13" t="s">
        <v>235</v>
      </c>
      <c r="BM147" s="129" t="s">
        <v>308</v>
      </c>
    </row>
    <row r="148" spans="2:65" s="1" customFormat="1" ht="16.5" customHeight="1" x14ac:dyDescent="0.2">
      <c r="B148" s="118"/>
      <c r="C148" s="131" t="s">
        <v>268</v>
      </c>
      <c r="D148" s="131" t="s">
        <v>277</v>
      </c>
      <c r="E148" s="132" t="s">
        <v>1743</v>
      </c>
      <c r="F148" s="133" t="s">
        <v>3992</v>
      </c>
      <c r="G148" s="134" t="s">
        <v>1194</v>
      </c>
      <c r="H148" s="135">
        <v>2</v>
      </c>
      <c r="I148" s="136">
        <v>139.53</v>
      </c>
      <c r="J148" s="136">
        <f t="shared" si="0"/>
        <v>279.06</v>
      </c>
      <c r="K148" s="133" t="s">
        <v>1</v>
      </c>
      <c r="L148" s="137"/>
      <c r="M148" s="138" t="s">
        <v>1</v>
      </c>
      <c r="N148" s="139" t="s">
        <v>32</v>
      </c>
      <c r="O148" s="127">
        <v>0</v>
      </c>
      <c r="P148" s="127">
        <f t="shared" si="1"/>
        <v>0</v>
      </c>
      <c r="Q148" s="127">
        <v>0</v>
      </c>
      <c r="R148" s="127">
        <f t="shared" si="2"/>
        <v>0</v>
      </c>
      <c r="S148" s="127">
        <v>0</v>
      </c>
      <c r="T148" s="128">
        <f t="shared" si="3"/>
        <v>0</v>
      </c>
      <c r="W148" s="199"/>
      <c r="X148" s="131" t="s">
        <v>268</v>
      </c>
      <c r="Y148" s="131" t="s">
        <v>277</v>
      </c>
      <c r="Z148" s="132" t="s">
        <v>1743</v>
      </c>
      <c r="AA148" s="133" t="s">
        <v>3992</v>
      </c>
      <c r="AB148" s="134" t="s">
        <v>1194</v>
      </c>
      <c r="AC148" s="135">
        <v>2</v>
      </c>
      <c r="AD148" s="136">
        <v>139.53</v>
      </c>
      <c r="AE148" s="229">
        <f t="shared" si="4"/>
        <v>279.06</v>
      </c>
      <c r="AF148" s="248"/>
      <c r="AR148" s="129" t="s">
        <v>244</v>
      </c>
      <c r="AT148" s="129" t="s">
        <v>277</v>
      </c>
      <c r="AU148" s="129" t="s">
        <v>63</v>
      </c>
      <c r="AY148" s="13" t="s">
        <v>228</v>
      </c>
      <c r="BE148" s="130">
        <f t="shared" si="5"/>
        <v>0</v>
      </c>
      <c r="BF148" s="130">
        <f t="shared" si="6"/>
        <v>279.06</v>
      </c>
      <c r="BG148" s="130">
        <f t="shared" si="7"/>
        <v>0</v>
      </c>
      <c r="BH148" s="130">
        <f t="shared" si="8"/>
        <v>0</v>
      </c>
      <c r="BI148" s="130">
        <f t="shared" si="9"/>
        <v>0</v>
      </c>
      <c r="BJ148" s="13" t="s">
        <v>76</v>
      </c>
      <c r="BK148" s="130">
        <f t="shared" si="10"/>
        <v>279.06</v>
      </c>
      <c r="BL148" s="13" t="s">
        <v>235</v>
      </c>
      <c r="BM148" s="129" t="s">
        <v>312</v>
      </c>
    </row>
    <row r="149" spans="2:65" s="1" customFormat="1" ht="16.5" customHeight="1" x14ac:dyDescent="0.2">
      <c r="B149" s="118"/>
      <c r="C149" s="119" t="s">
        <v>313</v>
      </c>
      <c r="D149" s="119" t="s">
        <v>231</v>
      </c>
      <c r="E149" s="120" t="s">
        <v>1746</v>
      </c>
      <c r="F149" s="121" t="s">
        <v>1804</v>
      </c>
      <c r="G149" s="122" t="s">
        <v>1194</v>
      </c>
      <c r="H149" s="123">
        <v>22</v>
      </c>
      <c r="I149" s="124">
        <v>13.08</v>
      </c>
      <c r="J149" s="124">
        <f t="shared" si="0"/>
        <v>287.76</v>
      </c>
      <c r="K149" s="121" t="s">
        <v>1</v>
      </c>
      <c r="L149" s="24"/>
      <c r="M149" s="125" t="s">
        <v>1</v>
      </c>
      <c r="N149" s="126" t="s">
        <v>32</v>
      </c>
      <c r="O149" s="127">
        <v>0</v>
      </c>
      <c r="P149" s="127">
        <f t="shared" si="1"/>
        <v>0</v>
      </c>
      <c r="Q149" s="127">
        <v>0</v>
      </c>
      <c r="R149" s="127">
        <f t="shared" si="2"/>
        <v>0</v>
      </c>
      <c r="S149" s="127">
        <v>0</v>
      </c>
      <c r="T149" s="128">
        <f t="shared" si="3"/>
        <v>0</v>
      </c>
      <c r="W149" s="199"/>
      <c r="X149" s="119" t="s">
        <v>313</v>
      </c>
      <c r="Y149" s="119" t="s">
        <v>231</v>
      </c>
      <c r="Z149" s="120" t="s">
        <v>1746</v>
      </c>
      <c r="AA149" s="121" t="s">
        <v>1804</v>
      </c>
      <c r="AB149" s="122" t="s">
        <v>1194</v>
      </c>
      <c r="AC149" s="123">
        <v>22</v>
      </c>
      <c r="AD149" s="124">
        <v>13.08</v>
      </c>
      <c r="AE149" s="200">
        <f t="shared" si="4"/>
        <v>287.76</v>
      </c>
      <c r="AF149" s="248"/>
      <c r="AR149" s="129" t="s">
        <v>235</v>
      </c>
      <c r="AT149" s="129" t="s">
        <v>231</v>
      </c>
      <c r="AU149" s="129" t="s">
        <v>63</v>
      </c>
      <c r="AY149" s="13" t="s">
        <v>228</v>
      </c>
      <c r="BE149" s="130">
        <f t="shared" si="5"/>
        <v>0</v>
      </c>
      <c r="BF149" s="130">
        <f t="shared" si="6"/>
        <v>287.76</v>
      </c>
      <c r="BG149" s="130">
        <f t="shared" si="7"/>
        <v>0</v>
      </c>
      <c r="BH149" s="130">
        <f t="shared" si="8"/>
        <v>0</v>
      </c>
      <c r="BI149" s="130">
        <f t="shared" si="9"/>
        <v>0</v>
      </c>
      <c r="BJ149" s="13" t="s">
        <v>76</v>
      </c>
      <c r="BK149" s="130">
        <f t="shared" si="10"/>
        <v>287.76</v>
      </c>
      <c r="BL149" s="13" t="s">
        <v>235</v>
      </c>
      <c r="BM149" s="129" t="s">
        <v>316</v>
      </c>
    </row>
    <row r="150" spans="2:65" s="1" customFormat="1" ht="16.5" customHeight="1" x14ac:dyDescent="0.2">
      <c r="B150" s="118"/>
      <c r="C150" s="131" t="s">
        <v>272</v>
      </c>
      <c r="D150" s="131" t="s">
        <v>277</v>
      </c>
      <c r="E150" s="132" t="s">
        <v>1746</v>
      </c>
      <c r="F150" s="133" t="s">
        <v>1804</v>
      </c>
      <c r="G150" s="134" t="s">
        <v>1194</v>
      </c>
      <c r="H150" s="135">
        <v>22</v>
      </c>
      <c r="I150" s="136">
        <v>40.29</v>
      </c>
      <c r="J150" s="136">
        <f t="shared" si="0"/>
        <v>886.38</v>
      </c>
      <c r="K150" s="133" t="s">
        <v>1</v>
      </c>
      <c r="L150" s="137"/>
      <c r="M150" s="138" t="s">
        <v>1</v>
      </c>
      <c r="N150" s="139" t="s">
        <v>32</v>
      </c>
      <c r="O150" s="127">
        <v>0</v>
      </c>
      <c r="P150" s="127">
        <f t="shared" si="1"/>
        <v>0</v>
      </c>
      <c r="Q150" s="127">
        <v>0</v>
      </c>
      <c r="R150" s="127">
        <f t="shared" si="2"/>
        <v>0</v>
      </c>
      <c r="S150" s="127">
        <v>0</v>
      </c>
      <c r="T150" s="128">
        <f t="shared" si="3"/>
        <v>0</v>
      </c>
      <c r="W150" s="199"/>
      <c r="X150" s="131" t="s">
        <v>272</v>
      </c>
      <c r="Y150" s="131" t="s">
        <v>277</v>
      </c>
      <c r="Z150" s="132" t="s">
        <v>1746</v>
      </c>
      <c r="AA150" s="133" t="s">
        <v>1804</v>
      </c>
      <c r="AB150" s="134" t="s">
        <v>1194</v>
      </c>
      <c r="AC150" s="135">
        <v>22</v>
      </c>
      <c r="AD150" s="136">
        <v>40.29</v>
      </c>
      <c r="AE150" s="229">
        <f t="shared" si="4"/>
        <v>886.38</v>
      </c>
      <c r="AF150" s="248"/>
      <c r="AR150" s="129" t="s">
        <v>244</v>
      </c>
      <c r="AT150" s="129" t="s">
        <v>277</v>
      </c>
      <c r="AU150" s="129" t="s">
        <v>63</v>
      </c>
      <c r="AY150" s="13" t="s">
        <v>228</v>
      </c>
      <c r="BE150" s="130">
        <f t="shared" si="5"/>
        <v>0</v>
      </c>
      <c r="BF150" s="130">
        <f t="shared" si="6"/>
        <v>886.38</v>
      </c>
      <c r="BG150" s="130">
        <f t="shared" si="7"/>
        <v>0</v>
      </c>
      <c r="BH150" s="130">
        <f t="shared" si="8"/>
        <v>0</v>
      </c>
      <c r="BI150" s="130">
        <f t="shared" si="9"/>
        <v>0</v>
      </c>
      <c r="BJ150" s="13" t="s">
        <v>76</v>
      </c>
      <c r="BK150" s="130">
        <f t="shared" si="10"/>
        <v>886.38</v>
      </c>
      <c r="BL150" s="13" t="s">
        <v>235</v>
      </c>
      <c r="BM150" s="129" t="s">
        <v>319</v>
      </c>
    </row>
    <row r="151" spans="2:65" s="1" customFormat="1" ht="16.5" customHeight="1" x14ac:dyDescent="0.2">
      <c r="B151" s="118"/>
      <c r="C151" s="119" t="s">
        <v>320</v>
      </c>
      <c r="D151" s="119" t="s">
        <v>231</v>
      </c>
      <c r="E151" s="120" t="s">
        <v>1749</v>
      </c>
      <c r="F151" s="121" t="s">
        <v>1807</v>
      </c>
      <c r="G151" s="122" t="s">
        <v>1194</v>
      </c>
      <c r="H151" s="123">
        <v>1</v>
      </c>
      <c r="I151" s="124">
        <v>20.83</v>
      </c>
      <c r="J151" s="124">
        <f t="shared" si="0"/>
        <v>20.83</v>
      </c>
      <c r="K151" s="121" t="s">
        <v>1</v>
      </c>
      <c r="L151" s="24"/>
      <c r="M151" s="125" t="s">
        <v>1</v>
      </c>
      <c r="N151" s="126" t="s">
        <v>32</v>
      </c>
      <c r="O151" s="127">
        <v>0</v>
      </c>
      <c r="P151" s="127">
        <f t="shared" si="1"/>
        <v>0</v>
      </c>
      <c r="Q151" s="127">
        <v>0</v>
      </c>
      <c r="R151" s="127">
        <f t="shared" si="2"/>
        <v>0</v>
      </c>
      <c r="S151" s="127">
        <v>0</v>
      </c>
      <c r="T151" s="128">
        <f t="shared" si="3"/>
        <v>0</v>
      </c>
      <c r="W151" s="199"/>
      <c r="X151" s="119" t="s">
        <v>320</v>
      </c>
      <c r="Y151" s="119" t="s">
        <v>231</v>
      </c>
      <c r="Z151" s="120" t="s">
        <v>1749</v>
      </c>
      <c r="AA151" s="121" t="s">
        <v>1807</v>
      </c>
      <c r="AB151" s="122" t="s">
        <v>1194</v>
      </c>
      <c r="AC151" s="123">
        <v>1</v>
      </c>
      <c r="AD151" s="124">
        <v>20.83</v>
      </c>
      <c r="AE151" s="200">
        <f t="shared" si="4"/>
        <v>20.83</v>
      </c>
      <c r="AF151" s="248"/>
      <c r="AR151" s="129" t="s">
        <v>235</v>
      </c>
      <c r="AT151" s="129" t="s">
        <v>231</v>
      </c>
      <c r="AU151" s="129" t="s">
        <v>63</v>
      </c>
      <c r="AY151" s="13" t="s">
        <v>228</v>
      </c>
      <c r="BE151" s="130">
        <f t="shared" si="5"/>
        <v>0</v>
      </c>
      <c r="BF151" s="130">
        <f t="shared" si="6"/>
        <v>20.83</v>
      </c>
      <c r="BG151" s="130">
        <f t="shared" si="7"/>
        <v>0</v>
      </c>
      <c r="BH151" s="130">
        <f t="shared" si="8"/>
        <v>0</v>
      </c>
      <c r="BI151" s="130">
        <f t="shared" si="9"/>
        <v>0</v>
      </c>
      <c r="BJ151" s="13" t="s">
        <v>76</v>
      </c>
      <c r="BK151" s="130">
        <f t="shared" si="10"/>
        <v>20.83</v>
      </c>
      <c r="BL151" s="13" t="s">
        <v>235</v>
      </c>
      <c r="BM151" s="129" t="s">
        <v>323</v>
      </c>
    </row>
    <row r="152" spans="2:65" s="1" customFormat="1" ht="16.5" customHeight="1" x14ac:dyDescent="0.2">
      <c r="B152" s="118"/>
      <c r="C152" s="131" t="s">
        <v>276</v>
      </c>
      <c r="D152" s="131" t="s">
        <v>277</v>
      </c>
      <c r="E152" s="132" t="s">
        <v>1749</v>
      </c>
      <c r="F152" s="133" t="s">
        <v>1807</v>
      </c>
      <c r="G152" s="134" t="s">
        <v>1194</v>
      </c>
      <c r="H152" s="135">
        <v>1</v>
      </c>
      <c r="I152" s="136">
        <v>113.49</v>
      </c>
      <c r="J152" s="136">
        <f t="shared" si="0"/>
        <v>113.49</v>
      </c>
      <c r="K152" s="133" t="s">
        <v>1</v>
      </c>
      <c r="L152" s="137"/>
      <c r="M152" s="138" t="s">
        <v>1</v>
      </c>
      <c r="N152" s="139" t="s">
        <v>32</v>
      </c>
      <c r="O152" s="127">
        <v>0</v>
      </c>
      <c r="P152" s="127">
        <f t="shared" si="1"/>
        <v>0</v>
      </c>
      <c r="Q152" s="127">
        <v>0</v>
      </c>
      <c r="R152" s="127">
        <f t="shared" si="2"/>
        <v>0</v>
      </c>
      <c r="S152" s="127">
        <v>0</v>
      </c>
      <c r="T152" s="128">
        <f t="shared" si="3"/>
        <v>0</v>
      </c>
      <c r="W152" s="199"/>
      <c r="X152" s="131" t="s">
        <v>276</v>
      </c>
      <c r="Y152" s="131" t="s">
        <v>277</v>
      </c>
      <c r="Z152" s="132" t="s">
        <v>1749</v>
      </c>
      <c r="AA152" s="133" t="s">
        <v>1807</v>
      </c>
      <c r="AB152" s="134" t="s">
        <v>1194</v>
      </c>
      <c r="AC152" s="135">
        <v>1</v>
      </c>
      <c r="AD152" s="136">
        <v>113.49</v>
      </c>
      <c r="AE152" s="229">
        <f t="shared" si="4"/>
        <v>113.49</v>
      </c>
      <c r="AF152" s="248"/>
      <c r="AR152" s="129" t="s">
        <v>244</v>
      </c>
      <c r="AT152" s="129" t="s">
        <v>277</v>
      </c>
      <c r="AU152" s="129" t="s">
        <v>63</v>
      </c>
      <c r="AY152" s="13" t="s">
        <v>228</v>
      </c>
      <c r="BE152" s="130">
        <f t="shared" si="5"/>
        <v>0</v>
      </c>
      <c r="BF152" s="130">
        <f t="shared" si="6"/>
        <v>113.49</v>
      </c>
      <c r="BG152" s="130">
        <f t="shared" si="7"/>
        <v>0</v>
      </c>
      <c r="BH152" s="130">
        <f t="shared" si="8"/>
        <v>0</v>
      </c>
      <c r="BI152" s="130">
        <f t="shared" si="9"/>
        <v>0</v>
      </c>
      <c r="BJ152" s="13" t="s">
        <v>76</v>
      </c>
      <c r="BK152" s="130">
        <f t="shared" si="10"/>
        <v>113.49</v>
      </c>
      <c r="BL152" s="13" t="s">
        <v>235</v>
      </c>
      <c r="BM152" s="129" t="s">
        <v>326</v>
      </c>
    </row>
    <row r="153" spans="2:65" s="1" customFormat="1" ht="16.5" customHeight="1" x14ac:dyDescent="0.2">
      <c r="B153" s="118"/>
      <c r="C153" s="119" t="s">
        <v>327</v>
      </c>
      <c r="D153" s="119" t="s">
        <v>231</v>
      </c>
      <c r="E153" s="120" t="s">
        <v>1752</v>
      </c>
      <c r="F153" s="121" t="s">
        <v>1810</v>
      </c>
      <c r="G153" s="122" t="s">
        <v>1194</v>
      </c>
      <c r="H153" s="123">
        <v>3</v>
      </c>
      <c r="I153" s="124">
        <v>20.83</v>
      </c>
      <c r="J153" s="124">
        <f t="shared" si="0"/>
        <v>62.49</v>
      </c>
      <c r="K153" s="121" t="s">
        <v>1</v>
      </c>
      <c r="L153" s="24"/>
      <c r="M153" s="125" t="s">
        <v>1</v>
      </c>
      <c r="N153" s="126" t="s">
        <v>32</v>
      </c>
      <c r="O153" s="127">
        <v>0</v>
      </c>
      <c r="P153" s="127">
        <f t="shared" si="1"/>
        <v>0</v>
      </c>
      <c r="Q153" s="127">
        <v>0</v>
      </c>
      <c r="R153" s="127">
        <f t="shared" si="2"/>
        <v>0</v>
      </c>
      <c r="S153" s="127">
        <v>0</v>
      </c>
      <c r="T153" s="128">
        <f t="shared" si="3"/>
        <v>0</v>
      </c>
      <c r="W153" s="199"/>
      <c r="X153" s="119" t="s">
        <v>327</v>
      </c>
      <c r="Y153" s="119" t="s">
        <v>231</v>
      </c>
      <c r="Z153" s="120" t="s">
        <v>1752</v>
      </c>
      <c r="AA153" s="121" t="s">
        <v>1810</v>
      </c>
      <c r="AB153" s="122" t="s">
        <v>1194</v>
      </c>
      <c r="AC153" s="123">
        <v>3</v>
      </c>
      <c r="AD153" s="124">
        <v>20.83</v>
      </c>
      <c r="AE153" s="200">
        <f t="shared" si="4"/>
        <v>62.49</v>
      </c>
      <c r="AF153" s="248"/>
      <c r="AR153" s="129" t="s">
        <v>235</v>
      </c>
      <c r="AT153" s="129" t="s">
        <v>231</v>
      </c>
      <c r="AU153" s="129" t="s">
        <v>63</v>
      </c>
      <c r="AY153" s="13" t="s">
        <v>228</v>
      </c>
      <c r="BE153" s="130">
        <f t="shared" si="5"/>
        <v>0</v>
      </c>
      <c r="BF153" s="130">
        <f t="shared" si="6"/>
        <v>62.49</v>
      </c>
      <c r="BG153" s="130">
        <f t="shared" si="7"/>
        <v>0</v>
      </c>
      <c r="BH153" s="130">
        <f t="shared" si="8"/>
        <v>0</v>
      </c>
      <c r="BI153" s="130">
        <f t="shared" si="9"/>
        <v>0</v>
      </c>
      <c r="BJ153" s="13" t="s">
        <v>76</v>
      </c>
      <c r="BK153" s="130">
        <f t="shared" si="10"/>
        <v>62.49</v>
      </c>
      <c r="BL153" s="13" t="s">
        <v>235</v>
      </c>
      <c r="BM153" s="129" t="s">
        <v>330</v>
      </c>
    </row>
    <row r="154" spans="2:65" s="1" customFormat="1" ht="16.5" customHeight="1" x14ac:dyDescent="0.2">
      <c r="B154" s="118"/>
      <c r="C154" s="131" t="s">
        <v>280</v>
      </c>
      <c r="D154" s="131" t="s">
        <v>277</v>
      </c>
      <c r="E154" s="132" t="s">
        <v>1752</v>
      </c>
      <c r="F154" s="133" t="s">
        <v>1810</v>
      </c>
      <c r="G154" s="134" t="s">
        <v>1194</v>
      </c>
      <c r="H154" s="135">
        <v>3</v>
      </c>
      <c r="I154" s="136">
        <v>107.08</v>
      </c>
      <c r="J154" s="136">
        <f t="shared" si="0"/>
        <v>321.24</v>
      </c>
      <c r="K154" s="133" t="s">
        <v>1</v>
      </c>
      <c r="L154" s="137"/>
      <c r="M154" s="138" t="s">
        <v>1</v>
      </c>
      <c r="N154" s="139" t="s">
        <v>32</v>
      </c>
      <c r="O154" s="127">
        <v>0</v>
      </c>
      <c r="P154" s="127">
        <f t="shared" si="1"/>
        <v>0</v>
      </c>
      <c r="Q154" s="127">
        <v>0</v>
      </c>
      <c r="R154" s="127">
        <f t="shared" si="2"/>
        <v>0</v>
      </c>
      <c r="S154" s="127">
        <v>0</v>
      </c>
      <c r="T154" s="128">
        <f t="shared" si="3"/>
        <v>0</v>
      </c>
      <c r="W154" s="199"/>
      <c r="X154" s="131" t="s">
        <v>280</v>
      </c>
      <c r="Y154" s="131" t="s">
        <v>277</v>
      </c>
      <c r="Z154" s="132" t="s">
        <v>1752</v>
      </c>
      <c r="AA154" s="133" t="s">
        <v>1810</v>
      </c>
      <c r="AB154" s="134" t="s">
        <v>1194</v>
      </c>
      <c r="AC154" s="135">
        <v>3</v>
      </c>
      <c r="AD154" s="136">
        <v>107.08</v>
      </c>
      <c r="AE154" s="229">
        <f t="shared" si="4"/>
        <v>321.24</v>
      </c>
      <c r="AF154" s="248"/>
      <c r="AR154" s="129" t="s">
        <v>244</v>
      </c>
      <c r="AT154" s="129" t="s">
        <v>277</v>
      </c>
      <c r="AU154" s="129" t="s">
        <v>63</v>
      </c>
      <c r="AY154" s="13" t="s">
        <v>228</v>
      </c>
      <c r="BE154" s="130">
        <f t="shared" si="5"/>
        <v>0</v>
      </c>
      <c r="BF154" s="130">
        <f t="shared" si="6"/>
        <v>321.24</v>
      </c>
      <c r="BG154" s="130">
        <f t="shared" si="7"/>
        <v>0</v>
      </c>
      <c r="BH154" s="130">
        <f t="shared" si="8"/>
        <v>0</v>
      </c>
      <c r="BI154" s="130">
        <f t="shared" si="9"/>
        <v>0</v>
      </c>
      <c r="BJ154" s="13" t="s">
        <v>76</v>
      </c>
      <c r="BK154" s="130">
        <f t="shared" si="10"/>
        <v>321.24</v>
      </c>
      <c r="BL154" s="13" t="s">
        <v>235</v>
      </c>
      <c r="BM154" s="129" t="s">
        <v>333</v>
      </c>
    </row>
    <row r="155" spans="2:65" s="1" customFormat="1" ht="16.5" customHeight="1" x14ac:dyDescent="0.2">
      <c r="B155" s="118"/>
      <c r="C155" s="119" t="s">
        <v>334</v>
      </c>
      <c r="D155" s="119" t="s">
        <v>231</v>
      </c>
      <c r="E155" s="120" t="s">
        <v>1755</v>
      </c>
      <c r="F155" s="121" t="s">
        <v>1813</v>
      </c>
      <c r="G155" s="122" t="s">
        <v>1194</v>
      </c>
      <c r="H155" s="123">
        <v>2</v>
      </c>
      <c r="I155" s="124">
        <v>20.83</v>
      </c>
      <c r="J155" s="124">
        <f t="shared" si="0"/>
        <v>41.66</v>
      </c>
      <c r="K155" s="121" t="s">
        <v>1</v>
      </c>
      <c r="L155" s="24"/>
      <c r="M155" s="125" t="s">
        <v>1</v>
      </c>
      <c r="N155" s="126" t="s">
        <v>32</v>
      </c>
      <c r="O155" s="127">
        <v>0</v>
      </c>
      <c r="P155" s="127">
        <f t="shared" si="1"/>
        <v>0</v>
      </c>
      <c r="Q155" s="127">
        <v>0</v>
      </c>
      <c r="R155" s="127">
        <f t="shared" si="2"/>
        <v>0</v>
      </c>
      <c r="S155" s="127">
        <v>0</v>
      </c>
      <c r="T155" s="128">
        <f t="shared" si="3"/>
        <v>0</v>
      </c>
      <c r="W155" s="199"/>
      <c r="X155" s="119" t="s">
        <v>334</v>
      </c>
      <c r="Y155" s="119" t="s">
        <v>231</v>
      </c>
      <c r="Z155" s="120" t="s">
        <v>1755</v>
      </c>
      <c r="AA155" s="121" t="s">
        <v>1813</v>
      </c>
      <c r="AB155" s="122" t="s">
        <v>1194</v>
      </c>
      <c r="AC155" s="123">
        <v>2</v>
      </c>
      <c r="AD155" s="124">
        <v>20.83</v>
      </c>
      <c r="AE155" s="200">
        <f t="shared" si="4"/>
        <v>41.66</v>
      </c>
      <c r="AF155" s="248"/>
      <c r="AR155" s="129" t="s">
        <v>235</v>
      </c>
      <c r="AT155" s="129" t="s">
        <v>231</v>
      </c>
      <c r="AU155" s="129" t="s">
        <v>63</v>
      </c>
      <c r="AY155" s="13" t="s">
        <v>228</v>
      </c>
      <c r="BE155" s="130">
        <f t="shared" si="5"/>
        <v>0</v>
      </c>
      <c r="BF155" s="130">
        <f t="shared" si="6"/>
        <v>41.66</v>
      </c>
      <c r="BG155" s="130">
        <f t="shared" si="7"/>
        <v>0</v>
      </c>
      <c r="BH155" s="130">
        <f t="shared" si="8"/>
        <v>0</v>
      </c>
      <c r="BI155" s="130">
        <f t="shared" si="9"/>
        <v>0</v>
      </c>
      <c r="BJ155" s="13" t="s">
        <v>76</v>
      </c>
      <c r="BK155" s="130">
        <f t="shared" si="10"/>
        <v>41.66</v>
      </c>
      <c r="BL155" s="13" t="s">
        <v>235</v>
      </c>
      <c r="BM155" s="129" t="s">
        <v>337</v>
      </c>
    </row>
    <row r="156" spans="2:65" s="1" customFormat="1" ht="16.5" customHeight="1" x14ac:dyDescent="0.2">
      <c r="B156" s="118"/>
      <c r="C156" s="131" t="s">
        <v>285</v>
      </c>
      <c r="D156" s="131" t="s">
        <v>277</v>
      </c>
      <c r="E156" s="132" t="s">
        <v>1755</v>
      </c>
      <c r="F156" s="133" t="s">
        <v>1813</v>
      </c>
      <c r="G156" s="134" t="s">
        <v>1194</v>
      </c>
      <c r="H156" s="135">
        <v>2</v>
      </c>
      <c r="I156" s="136">
        <v>25.1</v>
      </c>
      <c r="J156" s="136">
        <f t="shared" si="0"/>
        <v>50.2</v>
      </c>
      <c r="K156" s="133" t="s">
        <v>1</v>
      </c>
      <c r="L156" s="137"/>
      <c r="M156" s="138" t="s">
        <v>1</v>
      </c>
      <c r="N156" s="139" t="s">
        <v>32</v>
      </c>
      <c r="O156" s="127">
        <v>0</v>
      </c>
      <c r="P156" s="127">
        <f t="shared" si="1"/>
        <v>0</v>
      </c>
      <c r="Q156" s="127">
        <v>0</v>
      </c>
      <c r="R156" s="127">
        <f t="shared" si="2"/>
        <v>0</v>
      </c>
      <c r="S156" s="127">
        <v>0</v>
      </c>
      <c r="T156" s="128">
        <f t="shared" si="3"/>
        <v>0</v>
      </c>
      <c r="W156" s="199"/>
      <c r="X156" s="131" t="s">
        <v>285</v>
      </c>
      <c r="Y156" s="131" t="s">
        <v>277</v>
      </c>
      <c r="Z156" s="132" t="s">
        <v>1755</v>
      </c>
      <c r="AA156" s="133" t="s">
        <v>1813</v>
      </c>
      <c r="AB156" s="134" t="s">
        <v>1194</v>
      </c>
      <c r="AC156" s="135">
        <v>2</v>
      </c>
      <c r="AD156" s="136">
        <v>25.1</v>
      </c>
      <c r="AE156" s="229">
        <f t="shared" si="4"/>
        <v>50.2</v>
      </c>
      <c r="AF156" s="248"/>
      <c r="AR156" s="129" t="s">
        <v>244</v>
      </c>
      <c r="AT156" s="129" t="s">
        <v>277</v>
      </c>
      <c r="AU156" s="129" t="s">
        <v>63</v>
      </c>
      <c r="AY156" s="13" t="s">
        <v>228</v>
      </c>
      <c r="BE156" s="130">
        <f t="shared" si="5"/>
        <v>0</v>
      </c>
      <c r="BF156" s="130">
        <f t="shared" si="6"/>
        <v>50.2</v>
      </c>
      <c r="BG156" s="130">
        <f t="shared" si="7"/>
        <v>0</v>
      </c>
      <c r="BH156" s="130">
        <f t="shared" si="8"/>
        <v>0</v>
      </c>
      <c r="BI156" s="130">
        <f t="shared" si="9"/>
        <v>0</v>
      </c>
      <c r="BJ156" s="13" t="s">
        <v>76</v>
      </c>
      <c r="BK156" s="130">
        <f t="shared" si="10"/>
        <v>50.2</v>
      </c>
      <c r="BL156" s="13" t="s">
        <v>235</v>
      </c>
      <c r="BM156" s="129" t="s">
        <v>340</v>
      </c>
    </row>
    <row r="157" spans="2:65" s="1" customFormat="1" ht="24" customHeight="1" x14ac:dyDescent="0.2">
      <c r="B157" s="118"/>
      <c r="C157" s="119" t="s">
        <v>341</v>
      </c>
      <c r="D157" s="119" t="s">
        <v>231</v>
      </c>
      <c r="E157" s="120" t="s">
        <v>1365</v>
      </c>
      <c r="F157" s="121" t="s">
        <v>1366</v>
      </c>
      <c r="G157" s="122" t="s">
        <v>1194</v>
      </c>
      <c r="H157" s="123">
        <v>2</v>
      </c>
      <c r="I157" s="124">
        <v>4.74</v>
      </c>
      <c r="J157" s="124">
        <f t="shared" si="0"/>
        <v>9.48</v>
      </c>
      <c r="K157" s="121" t="s">
        <v>1</v>
      </c>
      <c r="L157" s="24"/>
      <c r="M157" s="125" t="s">
        <v>1</v>
      </c>
      <c r="N157" s="126" t="s">
        <v>32</v>
      </c>
      <c r="O157" s="127">
        <v>0</v>
      </c>
      <c r="P157" s="127">
        <f t="shared" si="1"/>
        <v>0</v>
      </c>
      <c r="Q157" s="127">
        <v>0</v>
      </c>
      <c r="R157" s="127">
        <f t="shared" si="2"/>
        <v>0</v>
      </c>
      <c r="S157" s="127">
        <v>0</v>
      </c>
      <c r="T157" s="128">
        <f t="shared" si="3"/>
        <v>0</v>
      </c>
      <c r="W157" s="199"/>
      <c r="X157" s="119" t="s">
        <v>341</v>
      </c>
      <c r="Y157" s="119" t="s">
        <v>231</v>
      </c>
      <c r="Z157" s="120" t="s">
        <v>1365</v>
      </c>
      <c r="AA157" s="121" t="s">
        <v>1366</v>
      </c>
      <c r="AB157" s="122" t="s">
        <v>1194</v>
      </c>
      <c r="AC157" s="123">
        <v>2</v>
      </c>
      <c r="AD157" s="124">
        <v>4.74</v>
      </c>
      <c r="AE157" s="200">
        <f t="shared" si="4"/>
        <v>9.48</v>
      </c>
      <c r="AF157" s="248"/>
      <c r="AR157" s="129" t="s">
        <v>235</v>
      </c>
      <c r="AT157" s="129" t="s">
        <v>231</v>
      </c>
      <c r="AU157" s="129" t="s">
        <v>63</v>
      </c>
      <c r="AY157" s="13" t="s">
        <v>228</v>
      </c>
      <c r="BE157" s="130">
        <f t="shared" si="5"/>
        <v>0</v>
      </c>
      <c r="BF157" s="130">
        <f t="shared" si="6"/>
        <v>9.48</v>
      </c>
      <c r="BG157" s="130">
        <f t="shared" si="7"/>
        <v>0</v>
      </c>
      <c r="BH157" s="130">
        <f t="shared" si="8"/>
        <v>0</v>
      </c>
      <c r="BI157" s="130">
        <f t="shared" si="9"/>
        <v>0</v>
      </c>
      <c r="BJ157" s="13" t="s">
        <v>76</v>
      </c>
      <c r="BK157" s="130">
        <f t="shared" si="10"/>
        <v>9.48</v>
      </c>
      <c r="BL157" s="13" t="s">
        <v>235</v>
      </c>
      <c r="BM157" s="129" t="s">
        <v>344</v>
      </c>
    </row>
    <row r="158" spans="2:65" s="1" customFormat="1" ht="24" customHeight="1" x14ac:dyDescent="0.2">
      <c r="B158" s="118"/>
      <c r="C158" s="119" t="s">
        <v>288</v>
      </c>
      <c r="D158" s="119" t="s">
        <v>231</v>
      </c>
      <c r="E158" s="120" t="s">
        <v>1328</v>
      </c>
      <c r="F158" s="121" t="s">
        <v>1329</v>
      </c>
      <c r="G158" s="122" t="s">
        <v>1194</v>
      </c>
      <c r="H158" s="123">
        <v>6</v>
      </c>
      <c r="I158" s="124">
        <v>0.87</v>
      </c>
      <c r="J158" s="124">
        <f t="shared" si="0"/>
        <v>5.22</v>
      </c>
      <c r="K158" s="121" t="s">
        <v>1</v>
      </c>
      <c r="L158" s="24"/>
      <c r="M158" s="125" t="s">
        <v>1</v>
      </c>
      <c r="N158" s="126" t="s">
        <v>32</v>
      </c>
      <c r="O158" s="127">
        <v>0</v>
      </c>
      <c r="P158" s="127">
        <f t="shared" si="1"/>
        <v>0</v>
      </c>
      <c r="Q158" s="127">
        <v>0</v>
      </c>
      <c r="R158" s="127">
        <f t="shared" si="2"/>
        <v>0</v>
      </c>
      <c r="S158" s="127">
        <v>0</v>
      </c>
      <c r="T158" s="128">
        <f t="shared" si="3"/>
        <v>0</v>
      </c>
      <c r="W158" s="199"/>
      <c r="X158" s="119" t="s">
        <v>288</v>
      </c>
      <c r="Y158" s="119" t="s">
        <v>231</v>
      </c>
      <c r="Z158" s="120" t="s">
        <v>1328</v>
      </c>
      <c r="AA158" s="121" t="s">
        <v>1329</v>
      </c>
      <c r="AB158" s="122" t="s">
        <v>1194</v>
      </c>
      <c r="AC158" s="123">
        <v>6</v>
      </c>
      <c r="AD158" s="124">
        <v>0.87</v>
      </c>
      <c r="AE158" s="200">
        <f t="shared" si="4"/>
        <v>5.22</v>
      </c>
      <c r="AF158" s="248"/>
      <c r="AR158" s="129" t="s">
        <v>235</v>
      </c>
      <c r="AT158" s="129" t="s">
        <v>231</v>
      </c>
      <c r="AU158" s="129" t="s">
        <v>63</v>
      </c>
      <c r="AY158" s="13" t="s">
        <v>228</v>
      </c>
      <c r="BE158" s="130">
        <f t="shared" si="5"/>
        <v>0</v>
      </c>
      <c r="BF158" s="130">
        <f t="shared" si="6"/>
        <v>5.22</v>
      </c>
      <c r="BG158" s="130">
        <f t="shared" si="7"/>
        <v>0</v>
      </c>
      <c r="BH158" s="130">
        <f t="shared" si="8"/>
        <v>0</v>
      </c>
      <c r="BI158" s="130">
        <f t="shared" si="9"/>
        <v>0</v>
      </c>
      <c r="BJ158" s="13" t="s">
        <v>76</v>
      </c>
      <c r="BK158" s="130">
        <f t="shared" si="10"/>
        <v>5.22</v>
      </c>
      <c r="BL158" s="13" t="s">
        <v>235</v>
      </c>
      <c r="BM158" s="129" t="s">
        <v>347</v>
      </c>
    </row>
    <row r="159" spans="2:65" s="1" customFormat="1" ht="16.5" customHeight="1" x14ac:dyDescent="0.2">
      <c r="B159" s="118"/>
      <c r="C159" s="119" t="s">
        <v>348</v>
      </c>
      <c r="D159" s="119" t="s">
        <v>231</v>
      </c>
      <c r="E159" s="120" t="s">
        <v>1674</v>
      </c>
      <c r="F159" s="121" t="s">
        <v>1759</v>
      </c>
      <c r="G159" s="122" t="s">
        <v>1194</v>
      </c>
      <c r="H159" s="123">
        <v>1</v>
      </c>
      <c r="I159" s="124">
        <v>334.37</v>
      </c>
      <c r="J159" s="124">
        <f t="shared" si="0"/>
        <v>334.37</v>
      </c>
      <c r="K159" s="121" t="s">
        <v>1</v>
      </c>
      <c r="L159" s="24"/>
      <c r="M159" s="125" t="s">
        <v>1</v>
      </c>
      <c r="N159" s="126" t="s">
        <v>32</v>
      </c>
      <c r="O159" s="127">
        <v>0</v>
      </c>
      <c r="P159" s="127">
        <f t="shared" si="1"/>
        <v>0</v>
      </c>
      <c r="Q159" s="127">
        <v>0</v>
      </c>
      <c r="R159" s="127">
        <f t="shared" si="2"/>
        <v>0</v>
      </c>
      <c r="S159" s="127">
        <v>0</v>
      </c>
      <c r="T159" s="128">
        <f t="shared" si="3"/>
        <v>0</v>
      </c>
      <c r="W159" s="199"/>
      <c r="X159" s="119" t="s">
        <v>348</v>
      </c>
      <c r="Y159" s="119" t="s">
        <v>231</v>
      </c>
      <c r="Z159" s="120" t="s">
        <v>1674</v>
      </c>
      <c r="AA159" s="121" t="s">
        <v>1759</v>
      </c>
      <c r="AB159" s="122" t="s">
        <v>1194</v>
      </c>
      <c r="AC159" s="123">
        <v>1</v>
      </c>
      <c r="AD159" s="124">
        <v>334.37</v>
      </c>
      <c r="AE159" s="200">
        <f t="shared" si="4"/>
        <v>334.37</v>
      </c>
      <c r="AF159" s="248"/>
      <c r="AR159" s="129" t="s">
        <v>235</v>
      </c>
      <c r="AT159" s="129" t="s">
        <v>231</v>
      </c>
      <c r="AU159" s="129" t="s">
        <v>63</v>
      </c>
      <c r="AY159" s="13" t="s">
        <v>228</v>
      </c>
      <c r="BE159" s="130">
        <f t="shared" si="5"/>
        <v>0</v>
      </c>
      <c r="BF159" s="130">
        <f t="shared" si="6"/>
        <v>334.37</v>
      </c>
      <c r="BG159" s="130">
        <f t="shared" si="7"/>
        <v>0</v>
      </c>
      <c r="BH159" s="130">
        <f t="shared" si="8"/>
        <v>0</v>
      </c>
      <c r="BI159" s="130">
        <f t="shared" si="9"/>
        <v>0</v>
      </c>
      <c r="BJ159" s="13" t="s">
        <v>76</v>
      </c>
      <c r="BK159" s="130">
        <f t="shared" si="10"/>
        <v>334.37</v>
      </c>
      <c r="BL159" s="13" t="s">
        <v>235</v>
      </c>
      <c r="BM159" s="129" t="s">
        <v>351</v>
      </c>
    </row>
    <row r="160" spans="2:65" s="1" customFormat="1" ht="16.5" customHeight="1" x14ac:dyDescent="0.2">
      <c r="B160" s="118"/>
      <c r="C160" s="119" t="s">
        <v>293</v>
      </c>
      <c r="D160" s="119" t="s">
        <v>231</v>
      </c>
      <c r="E160" s="120" t="s">
        <v>1679</v>
      </c>
      <c r="F160" s="121" t="s">
        <v>1762</v>
      </c>
      <c r="G160" s="122" t="s">
        <v>1194</v>
      </c>
      <c r="H160" s="123">
        <v>1</v>
      </c>
      <c r="I160" s="289">
        <v>440.02</v>
      </c>
      <c r="J160" s="124">
        <f t="shared" si="0"/>
        <v>440.02</v>
      </c>
      <c r="K160" s="121" t="s">
        <v>1</v>
      </c>
      <c r="L160" s="24"/>
      <c r="M160" s="125" t="s">
        <v>1</v>
      </c>
      <c r="N160" s="126" t="s">
        <v>32</v>
      </c>
      <c r="O160" s="127">
        <v>0</v>
      </c>
      <c r="P160" s="127">
        <f t="shared" si="1"/>
        <v>0</v>
      </c>
      <c r="Q160" s="127">
        <v>0</v>
      </c>
      <c r="R160" s="127">
        <f t="shared" si="2"/>
        <v>0</v>
      </c>
      <c r="S160" s="127">
        <v>0</v>
      </c>
      <c r="T160" s="128">
        <f t="shared" si="3"/>
        <v>0</v>
      </c>
      <c r="W160" s="199"/>
      <c r="X160" s="119" t="s">
        <v>293</v>
      </c>
      <c r="Y160" s="119" t="s">
        <v>231</v>
      </c>
      <c r="Z160" s="120" t="s">
        <v>1679</v>
      </c>
      <c r="AA160" s="121" t="s">
        <v>1762</v>
      </c>
      <c r="AB160" s="122" t="s">
        <v>1194</v>
      </c>
      <c r="AC160" s="123">
        <v>1</v>
      </c>
      <c r="AD160" s="124">
        <v>440.02</v>
      </c>
      <c r="AE160" s="200">
        <f t="shared" si="4"/>
        <v>440.02</v>
      </c>
      <c r="AF160" s="248"/>
      <c r="AR160" s="129" t="s">
        <v>235</v>
      </c>
      <c r="AT160" s="129" t="s">
        <v>231</v>
      </c>
      <c r="AU160" s="129" t="s">
        <v>63</v>
      </c>
      <c r="AY160" s="13" t="s">
        <v>228</v>
      </c>
      <c r="BE160" s="130">
        <f t="shared" si="5"/>
        <v>0</v>
      </c>
      <c r="BF160" s="130">
        <f t="shared" si="6"/>
        <v>440.02</v>
      </c>
      <c r="BG160" s="130">
        <f t="shared" si="7"/>
        <v>0</v>
      </c>
      <c r="BH160" s="130">
        <f t="shared" si="8"/>
        <v>0</v>
      </c>
      <c r="BI160" s="130">
        <f t="shared" si="9"/>
        <v>0</v>
      </c>
      <c r="BJ160" s="13" t="s">
        <v>76</v>
      </c>
      <c r="BK160" s="130">
        <f t="shared" si="10"/>
        <v>440.02</v>
      </c>
      <c r="BL160" s="13" t="s">
        <v>235</v>
      </c>
      <c r="BM160" s="129" t="s">
        <v>354</v>
      </c>
    </row>
    <row r="161" spans="2:65" s="1" customFormat="1" ht="16.5" customHeight="1" x14ac:dyDescent="0.2">
      <c r="B161" s="118"/>
      <c r="C161" s="119" t="s">
        <v>355</v>
      </c>
      <c r="D161" s="119" t="s">
        <v>231</v>
      </c>
      <c r="E161" s="120" t="s">
        <v>1684</v>
      </c>
      <c r="F161" s="121" t="s">
        <v>1765</v>
      </c>
      <c r="G161" s="122" t="s">
        <v>1194</v>
      </c>
      <c r="H161" s="123">
        <v>1</v>
      </c>
      <c r="I161" s="289">
        <v>121.91</v>
      </c>
      <c r="J161" s="124">
        <f t="shared" si="0"/>
        <v>121.91</v>
      </c>
      <c r="K161" s="121" t="s">
        <v>1</v>
      </c>
      <c r="L161" s="24"/>
      <c r="M161" s="125" t="s">
        <v>1</v>
      </c>
      <c r="N161" s="126" t="s">
        <v>32</v>
      </c>
      <c r="O161" s="127">
        <v>0</v>
      </c>
      <c r="P161" s="127">
        <f t="shared" si="1"/>
        <v>0</v>
      </c>
      <c r="Q161" s="127">
        <v>0</v>
      </c>
      <c r="R161" s="127">
        <f t="shared" si="2"/>
        <v>0</v>
      </c>
      <c r="S161" s="127">
        <v>0</v>
      </c>
      <c r="T161" s="128">
        <f t="shared" si="3"/>
        <v>0</v>
      </c>
      <c r="W161" s="199"/>
      <c r="X161" s="119" t="s">
        <v>355</v>
      </c>
      <c r="Y161" s="119" t="s">
        <v>231</v>
      </c>
      <c r="Z161" s="120" t="s">
        <v>1684</v>
      </c>
      <c r="AA161" s="121" t="s">
        <v>1765</v>
      </c>
      <c r="AB161" s="122" t="s">
        <v>1194</v>
      </c>
      <c r="AC161" s="123">
        <v>1</v>
      </c>
      <c r="AD161" s="289">
        <f>121.91</f>
        <v>121.91</v>
      </c>
      <c r="AE161" s="290">
        <f t="shared" si="4"/>
        <v>121.91</v>
      </c>
      <c r="AF161" s="1131"/>
      <c r="AG161" s="407"/>
      <c r="AR161" s="129" t="s">
        <v>235</v>
      </c>
      <c r="AT161" s="129" t="s">
        <v>231</v>
      </c>
      <c r="AU161" s="129" t="s">
        <v>63</v>
      </c>
      <c r="AY161" s="13" t="s">
        <v>228</v>
      </c>
      <c r="BE161" s="130">
        <f t="shared" si="5"/>
        <v>0</v>
      </c>
      <c r="BF161" s="130">
        <f t="shared" si="6"/>
        <v>121.91</v>
      </c>
      <c r="BG161" s="130">
        <f t="shared" si="7"/>
        <v>0</v>
      </c>
      <c r="BH161" s="130">
        <f t="shared" si="8"/>
        <v>0</v>
      </c>
      <c r="BI161" s="130">
        <f t="shared" si="9"/>
        <v>0</v>
      </c>
      <c r="BJ161" s="13" t="s">
        <v>76</v>
      </c>
      <c r="BK161" s="130">
        <f t="shared" si="10"/>
        <v>121.91</v>
      </c>
      <c r="BL161" s="13" t="s">
        <v>235</v>
      </c>
      <c r="BM161" s="129" t="s">
        <v>358</v>
      </c>
    </row>
    <row r="162" spans="2:65" s="1" customFormat="1" ht="16.5" customHeight="1" x14ac:dyDescent="0.2">
      <c r="B162" s="118"/>
      <c r="C162" s="119" t="s">
        <v>296</v>
      </c>
      <c r="D162" s="119" t="s">
        <v>231</v>
      </c>
      <c r="E162" s="120" t="s">
        <v>1689</v>
      </c>
      <c r="F162" s="121" t="s">
        <v>1768</v>
      </c>
      <c r="G162" s="122" t="s">
        <v>1194</v>
      </c>
      <c r="H162" s="123">
        <v>1</v>
      </c>
      <c r="I162" s="289">
        <v>262.39</v>
      </c>
      <c r="J162" s="124">
        <f t="shared" si="0"/>
        <v>262.39</v>
      </c>
      <c r="K162" s="121" t="s">
        <v>1</v>
      </c>
      <c r="L162" s="24"/>
      <c r="M162" s="140" t="s">
        <v>1</v>
      </c>
      <c r="N162" s="141" t="s">
        <v>32</v>
      </c>
      <c r="O162" s="142">
        <v>0</v>
      </c>
      <c r="P162" s="142">
        <f t="shared" si="1"/>
        <v>0</v>
      </c>
      <c r="Q162" s="142">
        <v>0</v>
      </c>
      <c r="R162" s="142">
        <f t="shared" si="2"/>
        <v>0</v>
      </c>
      <c r="S162" s="142">
        <v>0</v>
      </c>
      <c r="T162" s="143">
        <f t="shared" si="3"/>
        <v>0</v>
      </c>
      <c r="W162" s="199"/>
      <c r="X162" s="119" t="s">
        <v>296</v>
      </c>
      <c r="Y162" s="119" t="s">
        <v>231</v>
      </c>
      <c r="Z162" s="120" t="s">
        <v>1689</v>
      </c>
      <c r="AA162" s="121" t="s">
        <v>1768</v>
      </c>
      <c r="AB162" s="122" t="s">
        <v>1194</v>
      </c>
      <c r="AC162" s="123">
        <v>1</v>
      </c>
      <c r="AD162" s="289">
        <f>262.39</f>
        <v>262.39</v>
      </c>
      <c r="AE162" s="290">
        <f t="shared" si="4"/>
        <v>262.39</v>
      </c>
      <c r="AF162" s="1131"/>
      <c r="AG162" s="407"/>
      <c r="AR162" s="129" t="s">
        <v>235</v>
      </c>
      <c r="AT162" s="129" t="s">
        <v>231</v>
      </c>
      <c r="AU162" s="129" t="s">
        <v>63</v>
      </c>
      <c r="AY162" s="13" t="s">
        <v>228</v>
      </c>
      <c r="BE162" s="130">
        <f t="shared" si="5"/>
        <v>0</v>
      </c>
      <c r="BF162" s="130">
        <f t="shared" si="6"/>
        <v>262.39</v>
      </c>
      <c r="BG162" s="130">
        <f t="shared" si="7"/>
        <v>0</v>
      </c>
      <c r="BH162" s="130">
        <f t="shared" si="8"/>
        <v>0</v>
      </c>
      <c r="BI162" s="130">
        <f t="shared" si="9"/>
        <v>0</v>
      </c>
      <c r="BJ162" s="13" t="s">
        <v>76</v>
      </c>
      <c r="BK162" s="130">
        <f t="shared" si="10"/>
        <v>262.39</v>
      </c>
      <c r="BL162" s="13" t="s">
        <v>235</v>
      </c>
      <c r="BM162" s="129" t="s">
        <v>361</v>
      </c>
    </row>
    <row r="163" spans="2:65" s="1" customFormat="1" ht="7.05" customHeight="1" x14ac:dyDescent="0.2">
      <c r="B163" s="33"/>
      <c r="C163" s="34"/>
      <c r="D163" s="34"/>
      <c r="E163" s="34"/>
      <c r="F163" s="34"/>
      <c r="G163" s="34"/>
      <c r="H163" s="34"/>
      <c r="I163" s="485"/>
      <c r="J163" s="34"/>
      <c r="K163" s="34"/>
      <c r="L163" s="24"/>
      <c r="W163" s="175"/>
      <c r="X163" s="176"/>
      <c r="Y163" s="176"/>
      <c r="Z163" s="176"/>
      <c r="AA163" s="176"/>
      <c r="AB163" s="176"/>
      <c r="AC163" s="176"/>
      <c r="AD163" s="176"/>
      <c r="AE163" s="177"/>
    </row>
    <row r="164" spans="2:65" x14ac:dyDescent="0.2">
      <c r="I164" s="410"/>
    </row>
    <row r="165" spans="2:65" x14ac:dyDescent="0.2">
      <c r="I165" s="410"/>
    </row>
  </sheetData>
  <autoFilter ref="C116:K162" xr:uid="{00000000-0009-0000-0000-000014000000}"/>
  <mergeCells count="35">
    <mergeCell ref="E87:H87"/>
    <mergeCell ref="E107:H107"/>
    <mergeCell ref="E109:H109"/>
    <mergeCell ref="L2:V2"/>
    <mergeCell ref="E9:H9"/>
    <mergeCell ref="E18:H18"/>
    <mergeCell ref="E27:H27"/>
    <mergeCell ref="E85:H85"/>
    <mergeCell ref="C4:J4"/>
    <mergeCell ref="F6:J7"/>
    <mergeCell ref="C82:J82"/>
    <mergeCell ref="E84:J84"/>
    <mergeCell ref="C104:J104"/>
    <mergeCell ref="E106:J106"/>
    <mergeCell ref="X4:AE4"/>
    <mergeCell ref="AA6:AE7"/>
    <mergeCell ref="Z9:AC9"/>
    <mergeCell ref="Z18:AC18"/>
    <mergeCell ref="Z27:AC27"/>
    <mergeCell ref="X82:AE82"/>
    <mergeCell ref="Z84:AE84"/>
    <mergeCell ref="Z85:AC85"/>
    <mergeCell ref="Z87:AC87"/>
    <mergeCell ref="X104:AE104"/>
    <mergeCell ref="Z106:AE106"/>
    <mergeCell ref="Z107:AC107"/>
    <mergeCell ref="Z109:AC109"/>
    <mergeCell ref="C131:J131"/>
    <mergeCell ref="C132:J132"/>
    <mergeCell ref="C138:J138"/>
    <mergeCell ref="C133:J133"/>
    <mergeCell ref="C134:J134"/>
    <mergeCell ref="C135:J135"/>
    <mergeCell ref="C136:J136"/>
    <mergeCell ref="C137:J137"/>
  </mergeCells>
  <pageMargins left="0.39374999999999999" right="0.39374999999999999" top="0.39374999999999999" bottom="0.39374999999999999" header="0" footer="0"/>
  <pageSetup paperSize="9" scale="89" fitToHeight="100" orientation="portrait" blackAndWhite="1" r:id="rId1"/>
  <headerFooter>
    <oddFooter>&amp;CStrana &amp;P z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BM124"/>
  <sheetViews>
    <sheetView showGridLines="0" topLeftCell="A107" zoomScale="80" zoomScaleNormal="80" workbookViewId="0">
      <selection activeCell="X120" sqref="X120"/>
    </sheetView>
  </sheetViews>
  <sheetFormatPr defaultColWidth="8.7109375" defaultRowHeight="10.199999999999999" x14ac:dyDescent="0.2"/>
  <cols>
    <col min="1" max="1" width="8.28515625" customWidth="1"/>
    <col min="2" max="2" width="1.7109375" customWidth="1"/>
    <col min="3" max="4" width="4.28515625" customWidth="1"/>
    <col min="5" max="5" width="17.28515625" customWidth="1"/>
    <col min="6" max="6" width="50.7109375" customWidth="1"/>
    <col min="7" max="7" width="7" customWidth="1"/>
    <col min="8" max="8" width="11.42578125" customWidth="1"/>
    <col min="9" max="10" width="20.28515625" customWidth="1"/>
    <col min="11" max="11" width="20.28515625" hidden="1" customWidth="1"/>
    <col min="12" max="12" width="9.28515625" customWidth="1"/>
    <col min="13" max="13" width="10.7109375" hidden="1" customWidth="1"/>
    <col min="14" max="14" width="9.28515625" hidden="1"/>
    <col min="15" max="20" width="14.28515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1" spans="1:46" x14ac:dyDescent="0.2">
      <c r="A1" s="73"/>
    </row>
    <row r="2" spans="1:46" ht="37.049999999999997" customHeight="1" x14ac:dyDescent="0.2">
      <c r="L2" s="1227" t="s">
        <v>5</v>
      </c>
      <c r="M2" s="1225"/>
      <c r="N2" s="1225"/>
      <c r="O2" s="1225"/>
      <c r="P2" s="1225"/>
      <c r="Q2" s="1225"/>
      <c r="R2" s="1225"/>
      <c r="S2" s="1225"/>
      <c r="T2" s="1225"/>
      <c r="U2" s="1225"/>
      <c r="V2" s="1225"/>
      <c r="AT2" s="13" t="s">
        <v>123</v>
      </c>
    </row>
    <row r="3" spans="1:46" ht="7.05" customHeight="1" x14ac:dyDescent="0.2">
      <c r="B3" s="14"/>
      <c r="C3" s="15"/>
      <c r="D3" s="15"/>
      <c r="E3" s="15"/>
      <c r="F3" s="15"/>
      <c r="G3" s="15"/>
      <c r="H3" s="15"/>
      <c r="I3" s="15"/>
      <c r="J3" s="15"/>
      <c r="K3" s="15"/>
      <c r="L3" s="16"/>
      <c r="AT3" s="13" t="s">
        <v>58</v>
      </c>
    </row>
    <row r="4" spans="1:46" ht="25.05" customHeight="1" x14ac:dyDescent="0.2">
      <c r="B4" s="16"/>
      <c r="C4" s="1165" t="s">
        <v>185</v>
      </c>
      <c r="D4" s="1165"/>
      <c r="E4" s="1165"/>
      <c r="F4" s="1165"/>
      <c r="G4" s="1165"/>
      <c r="H4" s="1165"/>
      <c r="I4" s="1165"/>
      <c r="J4" s="1165"/>
      <c r="L4" s="16"/>
      <c r="M4" s="74" t="s">
        <v>9</v>
      </c>
      <c r="AT4" s="13" t="s">
        <v>3</v>
      </c>
    </row>
    <row r="5" spans="1:46" ht="7.05" customHeight="1" x14ac:dyDescent="0.2">
      <c r="B5" s="16"/>
      <c r="L5" s="16"/>
    </row>
    <row r="6" spans="1:46" ht="12" customHeight="1" x14ac:dyDescent="0.2">
      <c r="B6" s="16"/>
      <c r="D6" s="548" t="s">
        <v>12</v>
      </c>
      <c r="F6" s="1254" t="s">
        <v>6176</v>
      </c>
      <c r="G6" s="1254"/>
      <c r="H6" s="1254"/>
      <c r="I6" s="1254"/>
      <c r="J6" s="1254"/>
      <c r="L6" s="16"/>
    </row>
    <row r="7" spans="1:46" ht="22.95" customHeight="1" x14ac:dyDescent="0.2">
      <c r="B7" s="16"/>
      <c r="D7" s="527"/>
      <c r="E7" s="531"/>
      <c r="F7" s="1254"/>
      <c r="G7" s="1254"/>
      <c r="H7" s="1254"/>
      <c r="I7" s="1254"/>
      <c r="J7" s="1254"/>
      <c r="L7" s="16"/>
    </row>
    <row r="8" spans="1:46" s="1" customFormat="1" ht="12" customHeight="1" x14ac:dyDescent="0.2">
      <c r="B8" s="24"/>
      <c r="D8" s="549" t="s">
        <v>186</v>
      </c>
      <c r="F8" s="532" t="s">
        <v>3993</v>
      </c>
      <c r="L8" s="24"/>
    </row>
    <row r="9" spans="1:46" s="1" customFormat="1" ht="37.049999999999997" customHeight="1" x14ac:dyDescent="0.2">
      <c r="B9" s="24"/>
      <c r="D9" s="521"/>
      <c r="E9" s="1251"/>
      <c r="F9" s="1252"/>
      <c r="G9" s="1252"/>
      <c r="H9" s="1252"/>
      <c r="L9" s="24"/>
    </row>
    <row r="10" spans="1:46" s="1" customFormat="1" x14ac:dyDescent="0.2">
      <c r="B10" s="24"/>
      <c r="D10" s="521"/>
      <c r="L10" s="24"/>
    </row>
    <row r="11" spans="1:46" s="1" customFormat="1" ht="12" customHeight="1" x14ac:dyDescent="0.2">
      <c r="B11" s="24"/>
      <c r="D11" s="528" t="s">
        <v>13</v>
      </c>
      <c r="F11" s="19" t="s">
        <v>1</v>
      </c>
      <c r="I11" s="528" t="s">
        <v>14</v>
      </c>
      <c r="J11" s="19" t="s">
        <v>1</v>
      </c>
      <c r="L11" s="24"/>
    </row>
    <row r="12" spans="1:46" s="1" customFormat="1" ht="12" customHeight="1" x14ac:dyDescent="0.2">
      <c r="B12" s="24"/>
      <c r="D12" s="528" t="s">
        <v>15</v>
      </c>
      <c r="F12" s="520" t="s">
        <v>6173</v>
      </c>
      <c r="I12" s="528" t="s">
        <v>17</v>
      </c>
      <c r="J12" s="39"/>
      <c r="L12" s="24"/>
    </row>
    <row r="13" spans="1:46" s="1" customFormat="1" ht="10.95" customHeight="1" x14ac:dyDescent="0.2">
      <c r="B13" s="24"/>
      <c r="D13" s="521"/>
      <c r="F13" s="521"/>
      <c r="I13" s="521"/>
      <c r="L13" s="24"/>
    </row>
    <row r="14" spans="1:46" s="1" customFormat="1" ht="12" customHeight="1" x14ac:dyDescent="0.2">
      <c r="B14" s="24"/>
      <c r="D14" s="528" t="s">
        <v>18</v>
      </c>
      <c r="F14" s="529" t="s">
        <v>6175</v>
      </c>
      <c r="I14" s="528" t="s">
        <v>19</v>
      </c>
      <c r="J14" s="19" t="str">
        <f>IF('Rekapitulácia stavby'!AN10="","",'Rekapitulácia stavby'!AN10)</f>
        <v/>
      </c>
      <c r="L14" s="24"/>
    </row>
    <row r="15" spans="1:46" s="1" customFormat="1" ht="18" customHeight="1" x14ac:dyDescent="0.2">
      <c r="B15" s="24"/>
      <c r="D15" s="521"/>
      <c r="E15" s="19" t="str">
        <f>IF('Rekapitulácia stavby'!E11="","",'Rekapitulácia stavby'!E11)</f>
        <v/>
      </c>
      <c r="F15" s="521"/>
      <c r="I15" s="528" t="s">
        <v>20</v>
      </c>
      <c r="J15" s="19" t="str">
        <f>IF('Rekapitulácia stavby'!AN11="","",'Rekapitulácia stavby'!AN11)</f>
        <v/>
      </c>
      <c r="L15" s="24"/>
    </row>
    <row r="16" spans="1:46" s="1" customFormat="1" ht="7.05" customHeight="1" x14ac:dyDescent="0.2">
      <c r="B16" s="24"/>
      <c r="D16" s="521"/>
      <c r="F16" s="521"/>
      <c r="I16" s="521"/>
      <c r="L16" s="24"/>
    </row>
    <row r="17" spans="2:12" s="1" customFormat="1" ht="12" customHeight="1" x14ac:dyDescent="0.2">
      <c r="B17" s="24"/>
      <c r="D17" s="528" t="s">
        <v>21</v>
      </c>
      <c r="F17" s="529" t="s">
        <v>5202</v>
      </c>
      <c r="I17" s="528" t="s">
        <v>19</v>
      </c>
      <c r="J17" s="19"/>
      <c r="L17" s="24"/>
    </row>
    <row r="18" spans="2:12" s="1" customFormat="1" ht="18" customHeight="1" x14ac:dyDescent="0.2">
      <c r="B18" s="24"/>
      <c r="D18" s="521"/>
      <c r="E18" s="1161"/>
      <c r="F18" s="1161"/>
      <c r="G18" s="1161"/>
      <c r="H18" s="1161"/>
      <c r="I18" s="528" t="s">
        <v>20</v>
      </c>
      <c r="J18" s="19" t="str">
        <f>'Rekapitulácia stavby'!AN14</f>
        <v/>
      </c>
      <c r="L18" s="24"/>
    </row>
    <row r="19" spans="2:12" s="1" customFormat="1" ht="7.05" customHeight="1" x14ac:dyDescent="0.2">
      <c r="B19" s="24"/>
      <c r="D19" s="521"/>
      <c r="I19" s="521"/>
      <c r="L19" s="24"/>
    </row>
    <row r="20" spans="2:12" s="1" customFormat="1" ht="12" customHeight="1" x14ac:dyDescent="0.2">
      <c r="B20" s="24"/>
      <c r="D20" s="528" t="s">
        <v>22</v>
      </c>
      <c r="I20" s="528" t="s">
        <v>19</v>
      </c>
      <c r="J20" s="19" t="str">
        <f>IF('Rekapitulácia stavby'!AN16="","",'Rekapitulácia stavby'!AN16)</f>
        <v/>
      </c>
      <c r="L20" s="24"/>
    </row>
    <row r="21" spans="2:12" s="1" customFormat="1" ht="18" customHeight="1" x14ac:dyDescent="0.2">
      <c r="B21" s="24"/>
      <c r="D21" s="521"/>
      <c r="E21" s="19" t="str">
        <f>IF('Rekapitulácia stavby'!E17="","",'Rekapitulácia stavby'!E17)</f>
        <v xml:space="preserve"> </v>
      </c>
      <c r="I21" s="528" t="s">
        <v>20</v>
      </c>
      <c r="J21" s="19" t="str">
        <f>IF('Rekapitulácia stavby'!AN17="","",'Rekapitulácia stavby'!AN17)</f>
        <v/>
      </c>
      <c r="L21" s="24"/>
    </row>
    <row r="22" spans="2:12" s="1" customFormat="1" ht="7.05" customHeight="1" x14ac:dyDescent="0.2">
      <c r="B22" s="24"/>
      <c r="D22" s="521"/>
      <c r="I22" s="521"/>
      <c r="L22" s="24"/>
    </row>
    <row r="23" spans="2:12" s="1" customFormat="1" ht="12" customHeight="1" x14ac:dyDescent="0.2">
      <c r="B23" s="24"/>
      <c r="D23" s="528" t="s">
        <v>24</v>
      </c>
      <c r="I23" s="528" t="s">
        <v>19</v>
      </c>
      <c r="J23" s="19" t="str">
        <f>IF('Rekapitulácia stavby'!AN19="","",'Rekapitulácia stavby'!AN19)</f>
        <v/>
      </c>
      <c r="L23" s="24"/>
    </row>
    <row r="24" spans="2:12" s="1" customFormat="1" ht="18" customHeight="1" x14ac:dyDescent="0.2">
      <c r="B24" s="24"/>
      <c r="D24" s="521"/>
      <c r="E24" s="19" t="str">
        <f>IF('Rekapitulácia stavby'!E20="","",'Rekapitulácia stavby'!E20)</f>
        <v xml:space="preserve"> </v>
      </c>
      <c r="I24" s="528" t="s">
        <v>20</v>
      </c>
      <c r="J24" s="19" t="str">
        <f>IF('Rekapitulácia stavby'!AN20="","",'Rekapitulácia stavby'!AN20)</f>
        <v/>
      </c>
      <c r="L24" s="24"/>
    </row>
    <row r="25" spans="2:12" s="1" customFormat="1" ht="7.05" customHeight="1" x14ac:dyDescent="0.2">
      <c r="B25" s="24"/>
      <c r="D25" s="521"/>
      <c r="L25" s="24"/>
    </row>
    <row r="26" spans="2:12" s="1" customFormat="1" ht="12" customHeight="1" x14ac:dyDescent="0.2">
      <c r="B26" s="24"/>
      <c r="D26" s="528" t="s">
        <v>25</v>
      </c>
      <c r="L26" s="24"/>
    </row>
    <row r="27" spans="2:12" s="7" customFormat="1" ht="16.5" customHeight="1" x14ac:dyDescent="0.2">
      <c r="B27" s="75"/>
      <c r="E27" s="1228" t="s">
        <v>1</v>
      </c>
      <c r="F27" s="1228"/>
      <c r="G27" s="1228"/>
      <c r="H27" s="1228"/>
      <c r="L27" s="75"/>
    </row>
    <row r="28" spans="2:12" s="1" customFormat="1" ht="7.05" customHeight="1" x14ac:dyDescent="0.2">
      <c r="B28" s="24"/>
      <c r="L28" s="24"/>
    </row>
    <row r="29" spans="2:12" s="1" customFormat="1" ht="7.05" customHeight="1" x14ac:dyDescent="0.2">
      <c r="B29" s="24"/>
      <c r="D29" s="40"/>
      <c r="E29" s="40"/>
      <c r="F29" s="40"/>
      <c r="G29" s="40"/>
      <c r="H29" s="40"/>
      <c r="I29" s="40"/>
      <c r="J29" s="40"/>
      <c r="K29" s="40"/>
      <c r="L29" s="24"/>
    </row>
    <row r="30" spans="2:12" s="1" customFormat="1" ht="25.2" customHeight="1" x14ac:dyDescent="0.2">
      <c r="B30" s="24"/>
      <c r="D30" s="76" t="s">
        <v>26</v>
      </c>
      <c r="J30" s="53">
        <f>ROUND(J117, 2)</f>
        <v>2500</v>
      </c>
      <c r="L30" s="24"/>
    </row>
    <row r="31" spans="2:12" s="1" customFormat="1" ht="7.05" customHeight="1" x14ac:dyDescent="0.2">
      <c r="B31" s="24"/>
      <c r="D31" s="40"/>
      <c r="E31" s="40"/>
      <c r="F31" s="40"/>
      <c r="G31" s="40"/>
      <c r="H31" s="40"/>
      <c r="I31" s="40"/>
      <c r="J31" s="40"/>
      <c r="K31" s="40"/>
      <c r="L31" s="24"/>
    </row>
    <row r="32" spans="2:12" s="1" customFormat="1" ht="14.55" customHeight="1" x14ac:dyDescent="0.2">
      <c r="B32" s="24"/>
      <c r="D32" s="521"/>
      <c r="E32" s="521"/>
      <c r="F32" s="534" t="s">
        <v>28</v>
      </c>
      <c r="G32" s="521"/>
      <c r="H32" s="521"/>
      <c r="I32" s="534" t="s">
        <v>27</v>
      </c>
      <c r="J32" s="534" t="s">
        <v>29</v>
      </c>
      <c r="L32" s="24"/>
    </row>
    <row r="33" spans="2:12" s="1" customFormat="1" ht="14.55" customHeight="1" x14ac:dyDescent="0.2">
      <c r="B33" s="24"/>
      <c r="D33" s="13" t="s">
        <v>30</v>
      </c>
      <c r="E33" s="528" t="s">
        <v>31</v>
      </c>
      <c r="F33" s="398">
        <f>ROUND((SUM(BE117:BE123)),  2)</f>
        <v>0</v>
      </c>
      <c r="G33" s="521"/>
      <c r="H33" s="521"/>
      <c r="I33" s="535">
        <v>0.2</v>
      </c>
      <c r="J33" s="398">
        <f>ROUND(((SUM(BE117:BE123))*I33),  2)</f>
        <v>0</v>
      </c>
      <c r="L33" s="24"/>
    </row>
    <row r="34" spans="2:12" s="1" customFormat="1" ht="14.55" customHeight="1" x14ac:dyDescent="0.2">
      <c r="B34" s="24"/>
      <c r="D34" s="521"/>
      <c r="E34" s="528" t="s">
        <v>32</v>
      </c>
      <c r="F34" s="398">
        <f>ROUND((SUM(BF117:BF123)),  2)</f>
        <v>2500</v>
      </c>
      <c r="G34" s="521"/>
      <c r="H34" s="521"/>
      <c r="I34" s="535">
        <v>0.2</v>
      </c>
      <c r="J34" s="398">
        <f>ROUND(((SUM(BF117:BF123))*I34),  2)</f>
        <v>500</v>
      </c>
      <c r="L34" s="24"/>
    </row>
    <row r="35" spans="2:12" s="1" customFormat="1" ht="14.55" hidden="1" customHeight="1" x14ac:dyDescent="0.2">
      <c r="B35" s="24"/>
      <c r="E35" s="21" t="s">
        <v>33</v>
      </c>
      <c r="F35" s="78">
        <f>ROUND((SUM(BG117:BG123)),  2)</f>
        <v>0</v>
      </c>
      <c r="I35" s="79">
        <v>0.2</v>
      </c>
      <c r="J35" s="78">
        <f>0</f>
        <v>0</v>
      </c>
      <c r="L35" s="24"/>
    </row>
    <row r="36" spans="2:12" s="1" customFormat="1" ht="14.55" hidden="1" customHeight="1" x14ac:dyDescent="0.2">
      <c r="B36" s="24"/>
      <c r="E36" s="21" t="s">
        <v>34</v>
      </c>
      <c r="F36" s="78">
        <f>ROUND((SUM(BH117:BH123)),  2)</f>
        <v>0</v>
      </c>
      <c r="I36" s="79">
        <v>0.2</v>
      </c>
      <c r="J36" s="78">
        <f>0</f>
        <v>0</v>
      </c>
      <c r="L36" s="24"/>
    </row>
    <row r="37" spans="2:12" s="1" customFormat="1" ht="14.55" hidden="1" customHeight="1" x14ac:dyDescent="0.2">
      <c r="B37" s="24"/>
      <c r="E37" s="21" t="s">
        <v>35</v>
      </c>
      <c r="F37" s="78">
        <f>ROUND((SUM(BI117:BI123)),  2)</f>
        <v>0</v>
      </c>
      <c r="I37" s="79">
        <v>0</v>
      </c>
      <c r="J37" s="78">
        <f>0</f>
        <v>0</v>
      </c>
      <c r="L37" s="24"/>
    </row>
    <row r="38" spans="2:12" s="1" customFormat="1" ht="7.05" customHeight="1" x14ac:dyDescent="0.2">
      <c r="B38" s="24"/>
      <c r="L38" s="24"/>
    </row>
    <row r="39" spans="2:12" s="1" customFormat="1" ht="25.2" customHeight="1" x14ac:dyDescent="0.2">
      <c r="B39" s="24"/>
      <c r="C39" s="80"/>
      <c r="D39" s="81" t="s">
        <v>36</v>
      </c>
      <c r="E39" s="44"/>
      <c r="F39" s="44"/>
      <c r="G39" s="82" t="s">
        <v>37</v>
      </c>
      <c r="H39" s="83" t="s">
        <v>38</v>
      </c>
      <c r="I39" s="44"/>
      <c r="J39" s="84">
        <f>SUM(J30:J37)</f>
        <v>3000</v>
      </c>
      <c r="K39" s="85"/>
      <c r="L39" s="24"/>
    </row>
    <row r="40" spans="2:12" s="1" customFormat="1" ht="14.55" customHeight="1" x14ac:dyDescent="0.2">
      <c r="B40" s="24"/>
      <c r="L40" s="24"/>
    </row>
    <row r="41" spans="2:12" ht="14.55" customHeight="1" x14ac:dyDescent="0.2">
      <c r="B41" s="16"/>
      <c r="L41" s="16"/>
    </row>
    <row r="42" spans="2:12" ht="14.55" customHeight="1" x14ac:dyDescent="0.2">
      <c r="B42" s="16"/>
      <c r="L42" s="16"/>
    </row>
    <row r="43" spans="2:12" ht="14.55" customHeight="1" x14ac:dyDescent="0.2">
      <c r="B43" s="16"/>
      <c r="L43" s="16"/>
    </row>
    <row r="44" spans="2:12" ht="14.55" customHeight="1" x14ac:dyDescent="0.2">
      <c r="B44" s="16"/>
      <c r="L44" s="16"/>
    </row>
    <row r="45" spans="2:12" ht="14.55" customHeight="1" x14ac:dyDescent="0.2">
      <c r="B45" s="16"/>
      <c r="L45" s="16"/>
    </row>
    <row r="46" spans="2:12" ht="14.55" customHeight="1" x14ac:dyDescent="0.2">
      <c r="B46" s="16"/>
      <c r="L46" s="16"/>
    </row>
    <row r="47" spans="2:12" ht="14.55" customHeight="1" x14ac:dyDescent="0.2">
      <c r="B47" s="16"/>
      <c r="L47" s="16"/>
    </row>
    <row r="48" spans="2:12" ht="14.55" customHeight="1" x14ac:dyDescent="0.2">
      <c r="B48" s="16"/>
      <c r="L48" s="16"/>
    </row>
    <row r="49" spans="2:12" ht="14.55" customHeight="1" x14ac:dyDescent="0.2">
      <c r="B49" s="16"/>
      <c r="D49" s="156"/>
      <c r="E49" s="156"/>
      <c r="F49" s="156"/>
      <c r="G49" s="156"/>
      <c r="H49" s="156"/>
      <c r="I49" s="156"/>
      <c r="J49" s="156"/>
      <c r="L49" s="16"/>
    </row>
    <row r="50" spans="2:12" s="1" customFormat="1" ht="14.55" customHeight="1" x14ac:dyDescent="0.2">
      <c r="B50" s="24"/>
      <c r="D50" s="530"/>
      <c r="E50" s="523"/>
      <c r="F50" s="523"/>
      <c r="G50" s="530"/>
      <c r="H50" s="523"/>
      <c r="I50" s="523"/>
      <c r="J50" s="523"/>
      <c r="K50" s="32"/>
      <c r="L50" s="24"/>
    </row>
    <row r="51" spans="2:12" x14ac:dyDescent="0.2">
      <c r="B51" s="16"/>
      <c r="D51" s="156"/>
      <c r="E51" s="156"/>
      <c r="F51" s="156"/>
      <c r="G51" s="156"/>
      <c r="H51" s="156"/>
      <c r="I51" s="156"/>
      <c r="J51" s="156"/>
      <c r="L51" s="16"/>
    </row>
    <row r="52" spans="2:12" x14ac:dyDescent="0.2">
      <c r="B52" s="16"/>
      <c r="D52" s="156"/>
      <c r="E52" s="156"/>
      <c r="F52" s="156"/>
      <c r="G52" s="156"/>
      <c r="H52" s="156"/>
      <c r="I52" s="156"/>
      <c r="J52" s="156"/>
      <c r="L52" s="16"/>
    </row>
    <row r="53" spans="2:12" x14ac:dyDescent="0.2">
      <c r="B53" s="16"/>
      <c r="D53" s="156"/>
      <c r="E53" s="156"/>
      <c r="F53" s="156"/>
      <c r="G53" s="156"/>
      <c r="H53" s="156"/>
      <c r="I53" s="156"/>
      <c r="J53" s="156"/>
      <c r="L53" s="16"/>
    </row>
    <row r="54" spans="2:12" x14ac:dyDescent="0.2">
      <c r="B54" s="16"/>
      <c r="D54" s="156"/>
      <c r="E54" s="156"/>
      <c r="F54" s="156"/>
      <c r="G54" s="156"/>
      <c r="H54" s="156"/>
      <c r="I54" s="156"/>
      <c r="J54" s="156"/>
      <c r="L54" s="16"/>
    </row>
    <row r="55" spans="2:12" x14ac:dyDescent="0.2">
      <c r="B55" s="16"/>
      <c r="D55" s="156"/>
      <c r="E55" s="156"/>
      <c r="F55" s="156"/>
      <c r="G55" s="156"/>
      <c r="H55" s="156"/>
      <c r="I55" s="156"/>
      <c r="J55" s="156"/>
      <c r="L55" s="16"/>
    </row>
    <row r="56" spans="2:12" x14ac:dyDescent="0.2">
      <c r="B56" s="16"/>
      <c r="D56" s="156"/>
      <c r="E56" s="156"/>
      <c r="F56" s="156"/>
      <c r="G56" s="156"/>
      <c r="H56" s="156"/>
      <c r="I56" s="156"/>
      <c r="J56" s="156"/>
      <c r="L56" s="16"/>
    </row>
    <row r="57" spans="2:12" x14ac:dyDescent="0.2">
      <c r="B57" s="16"/>
      <c r="D57" s="156"/>
      <c r="E57" s="156"/>
      <c r="F57" s="156"/>
      <c r="G57" s="156"/>
      <c r="H57" s="156"/>
      <c r="I57" s="156"/>
      <c r="J57" s="156"/>
      <c r="L57" s="16"/>
    </row>
    <row r="58" spans="2:12" x14ac:dyDescent="0.2">
      <c r="B58" s="16"/>
      <c r="D58" s="156"/>
      <c r="E58" s="156"/>
      <c r="F58" s="156"/>
      <c r="G58" s="156"/>
      <c r="H58" s="156"/>
      <c r="I58" s="156"/>
      <c r="J58" s="156"/>
      <c r="L58" s="16"/>
    </row>
    <row r="59" spans="2:12" x14ac:dyDescent="0.2">
      <c r="B59" s="16"/>
      <c r="D59" s="156"/>
      <c r="E59" s="156"/>
      <c r="F59" s="156"/>
      <c r="G59" s="156"/>
      <c r="H59" s="156"/>
      <c r="I59" s="156"/>
      <c r="J59" s="156"/>
      <c r="L59" s="16"/>
    </row>
    <row r="60" spans="2:12" x14ac:dyDescent="0.2">
      <c r="B60" s="16"/>
      <c r="D60" s="156"/>
      <c r="E60" s="156"/>
      <c r="F60" s="156"/>
      <c r="G60" s="156"/>
      <c r="H60" s="156"/>
      <c r="I60" s="156"/>
      <c r="J60" s="156"/>
      <c r="L60" s="16"/>
    </row>
    <row r="61" spans="2:12" s="1" customFormat="1" ht="13.2" x14ac:dyDescent="0.2">
      <c r="B61" s="24"/>
      <c r="D61" s="522"/>
      <c r="E61" s="523"/>
      <c r="F61" s="536"/>
      <c r="G61" s="522"/>
      <c r="H61" s="523"/>
      <c r="I61" s="523"/>
      <c r="J61" s="169"/>
      <c r="K61" s="26"/>
      <c r="L61" s="24"/>
    </row>
    <row r="62" spans="2:12" x14ac:dyDescent="0.2">
      <c r="B62" s="16"/>
      <c r="D62" s="156"/>
      <c r="E62" s="156"/>
      <c r="F62" s="156"/>
      <c r="G62" s="156"/>
      <c r="H62" s="156"/>
      <c r="I62" s="156"/>
      <c r="J62" s="156"/>
      <c r="L62" s="16"/>
    </row>
    <row r="63" spans="2:12" x14ac:dyDescent="0.2">
      <c r="B63" s="16"/>
      <c r="D63" s="156"/>
      <c r="E63" s="156"/>
      <c r="F63" s="156"/>
      <c r="G63" s="156"/>
      <c r="H63" s="156"/>
      <c r="I63" s="156"/>
      <c r="J63" s="156"/>
      <c r="L63" s="16"/>
    </row>
    <row r="64" spans="2:12" x14ac:dyDescent="0.2">
      <c r="B64" s="16"/>
      <c r="D64" s="156"/>
      <c r="E64" s="156"/>
      <c r="F64" s="156"/>
      <c r="G64" s="156"/>
      <c r="H64" s="156"/>
      <c r="I64" s="156"/>
      <c r="J64" s="156"/>
      <c r="L64" s="16"/>
    </row>
    <row r="65" spans="2:12" s="1" customFormat="1" ht="13.2" x14ac:dyDescent="0.2">
      <c r="B65" s="24"/>
      <c r="D65" s="530"/>
      <c r="E65" s="523"/>
      <c r="F65" s="523"/>
      <c r="G65" s="530"/>
      <c r="H65" s="523"/>
      <c r="I65" s="523"/>
      <c r="J65" s="523"/>
      <c r="K65" s="32"/>
      <c r="L65" s="24"/>
    </row>
    <row r="66" spans="2:12" x14ac:dyDescent="0.2">
      <c r="B66" s="16"/>
      <c r="D66" s="156"/>
      <c r="E66" s="156"/>
      <c r="F66" s="156"/>
      <c r="G66" s="156"/>
      <c r="H66" s="156"/>
      <c r="I66" s="156"/>
      <c r="J66" s="156"/>
      <c r="L66" s="16"/>
    </row>
    <row r="67" spans="2:12" x14ac:dyDescent="0.2">
      <c r="B67" s="16"/>
      <c r="D67" s="156"/>
      <c r="E67" s="156"/>
      <c r="F67" s="156"/>
      <c r="G67" s="156"/>
      <c r="H67" s="156"/>
      <c r="I67" s="156"/>
      <c r="J67" s="156"/>
      <c r="L67" s="16"/>
    </row>
    <row r="68" spans="2:12" x14ac:dyDescent="0.2">
      <c r="B68" s="16"/>
      <c r="D68" s="156"/>
      <c r="E68" s="156"/>
      <c r="F68" s="156"/>
      <c r="G68" s="156"/>
      <c r="H68" s="156"/>
      <c r="I68" s="156"/>
      <c r="J68" s="156"/>
      <c r="L68" s="16"/>
    </row>
    <row r="69" spans="2:12" x14ac:dyDescent="0.2">
      <c r="B69" s="16"/>
      <c r="D69" s="156"/>
      <c r="E69" s="156"/>
      <c r="F69" s="156"/>
      <c r="G69" s="156"/>
      <c r="H69" s="156"/>
      <c r="I69" s="156"/>
      <c r="J69" s="156"/>
      <c r="L69" s="16"/>
    </row>
    <row r="70" spans="2:12" x14ac:dyDescent="0.2">
      <c r="B70" s="16"/>
      <c r="D70" s="156"/>
      <c r="E70" s="156"/>
      <c r="F70" s="156"/>
      <c r="G70" s="156"/>
      <c r="H70" s="156"/>
      <c r="I70" s="156"/>
      <c r="J70" s="156"/>
      <c r="L70" s="16"/>
    </row>
    <row r="71" spans="2:12" x14ac:dyDescent="0.2">
      <c r="B71" s="16"/>
      <c r="D71" s="156"/>
      <c r="E71" s="156"/>
      <c r="F71" s="156"/>
      <c r="G71" s="156"/>
      <c r="H71" s="156"/>
      <c r="I71" s="156"/>
      <c r="J71" s="156"/>
      <c r="L71" s="16"/>
    </row>
    <row r="72" spans="2:12" x14ac:dyDescent="0.2">
      <c r="B72" s="16"/>
      <c r="D72" s="156"/>
      <c r="E72" s="156"/>
      <c r="F72" s="156"/>
      <c r="G72" s="156"/>
      <c r="H72" s="156"/>
      <c r="I72" s="156"/>
      <c r="J72" s="156"/>
      <c r="L72" s="16"/>
    </row>
    <row r="73" spans="2:12" x14ac:dyDescent="0.2">
      <c r="B73" s="16"/>
      <c r="D73" s="156"/>
      <c r="E73" s="156"/>
      <c r="F73" s="156"/>
      <c r="G73" s="156"/>
      <c r="H73" s="156"/>
      <c r="I73" s="156"/>
      <c r="J73" s="156"/>
      <c r="L73" s="16"/>
    </row>
    <row r="74" spans="2:12" x14ac:dyDescent="0.2">
      <c r="B74" s="16"/>
      <c r="D74" s="156"/>
      <c r="E74" s="156"/>
      <c r="F74" s="156"/>
      <c r="G74" s="156"/>
      <c r="H74" s="156"/>
      <c r="I74" s="156"/>
      <c r="J74" s="156"/>
      <c r="L74" s="16"/>
    </row>
    <row r="75" spans="2:12" x14ac:dyDescent="0.2">
      <c r="B75" s="16"/>
      <c r="D75" s="156"/>
      <c r="E75" s="156"/>
      <c r="F75" s="156"/>
      <c r="G75" s="156"/>
      <c r="H75" s="156"/>
      <c r="I75" s="156"/>
      <c r="J75" s="156"/>
      <c r="L75" s="16"/>
    </row>
    <row r="76" spans="2:12" s="1" customFormat="1" ht="13.2" x14ac:dyDescent="0.2">
      <c r="B76" s="24"/>
      <c r="D76" s="522"/>
      <c r="E76" s="523"/>
      <c r="F76" s="536"/>
      <c r="G76" s="522"/>
      <c r="H76" s="523"/>
      <c r="I76" s="523"/>
      <c r="J76" s="169"/>
      <c r="K76" s="26"/>
      <c r="L76" s="24"/>
    </row>
    <row r="77" spans="2:12" s="1" customFormat="1" ht="14.55" customHeight="1" x14ac:dyDescent="0.2">
      <c r="B77" s="33"/>
      <c r="C77" s="34"/>
      <c r="D77" s="34"/>
      <c r="E77" s="34"/>
      <c r="F77" s="34"/>
      <c r="G77" s="34"/>
      <c r="H77" s="34"/>
      <c r="I77" s="34"/>
      <c r="J77" s="34"/>
      <c r="K77" s="34"/>
      <c r="L77" s="24"/>
    </row>
    <row r="81" spans="2:47" s="1" customFormat="1" ht="7.05" customHeight="1" x14ac:dyDescent="0.2">
      <c r="B81" s="35"/>
      <c r="C81" s="36"/>
      <c r="D81" s="36"/>
      <c r="E81" s="36"/>
      <c r="F81" s="36"/>
      <c r="G81" s="36"/>
      <c r="H81" s="36"/>
      <c r="I81" s="36"/>
      <c r="J81" s="36"/>
      <c r="K81" s="36"/>
      <c r="L81" s="24"/>
    </row>
    <row r="82" spans="2:47" s="1" customFormat="1" ht="25.05" customHeight="1" x14ac:dyDescent="0.2">
      <c r="B82" s="24"/>
      <c r="C82" s="1165" t="s">
        <v>188</v>
      </c>
      <c r="D82" s="1165"/>
      <c r="E82" s="1165"/>
      <c r="F82" s="1165"/>
      <c r="G82" s="1165"/>
      <c r="H82" s="1165"/>
      <c r="I82" s="1165"/>
      <c r="J82" s="1165"/>
      <c r="L82" s="24"/>
    </row>
    <row r="83" spans="2:47" s="1" customFormat="1" ht="7.05" customHeight="1" x14ac:dyDescent="0.2">
      <c r="B83" s="24"/>
      <c r="L83" s="24"/>
    </row>
    <row r="84" spans="2:47" s="1" customFormat="1" ht="12" customHeight="1" x14ac:dyDescent="0.2">
      <c r="B84" s="24"/>
      <c r="C84" s="528" t="s">
        <v>12</v>
      </c>
      <c r="E84" s="1242" t="s">
        <v>6177</v>
      </c>
      <c r="F84" s="1242"/>
      <c r="G84" s="1242"/>
      <c r="H84" s="1242"/>
      <c r="I84" s="1242"/>
      <c r="J84" s="1242"/>
      <c r="L84" s="24"/>
    </row>
    <row r="85" spans="2:47" s="1" customFormat="1" ht="22.2" customHeight="1" x14ac:dyDescent="0.2">
      <c r="B85" s="24"/>
      <c r="C85" s="521"/>
      <c r="E85" s="1243"/>
      <c r="F85" s="1244"/>
      <c r="G85" s="1244"/>
      <c r="H85" s="1244"/>
      <c r="L85" s="24"/>
    </row>
    <row r="86" spans="2:47" s="1" customFormat="1" ht="12" customHeight="1" x14ac:dyDescent="0.2">
      <c r="B86" s="24"/>
      <c r="C86" s="528" t="s">
        <v>186</v>
      </c>
      <c r="F86" s="532" t="s">
        <v>3993</v>
      </c>
      <c r="L86" s="24"/>
    </row>
    <row r="87" spans="2:47" s="1" customFormat="1" ht="16.5" customHeight="1" x14ac:dyDescent="0.2">
      <c r="B87" s="24"/>
      <c r="C87" s="521"/>
      <c r="E87" s="1251"/>
      <c r="F87" s="1252"/>
      <c r="G87" s="1252"/>
      <c r="H87" s="1252"/>
      <c r="L87" s="24"/>
    </row>
    <row r="88" spans="2:47" s="1" customFormat="1" ht="7.05" customHeight="1" x14ac:dyDescent="0.2">
      <c r="B88" s="24"/>
      <c r="C88" s="521"/>
      <c r="L88" s="24"/>
    </row>
    <row r="89" spans="2:47" s="1" customFormat="1" ht="12" customHeight="1" x14ac:dyDescent="0.2">
      <c r="B89" s="24"/>
      <c r="C89" s="528" t="s">
        <v>15</v>
      </c>
      <c r="F89" s="19" t="str">
        <f>F12</f>
        <v>Kuzmányho nábrežie 28, 960 01 Zvolen</v>
      </c>
      <c r="I89" s="528" t="s">
        <v>17</v>
      </c>
      <c r="J89" s="39" t="str">
        <f>IF(J12="","",J12)</f>
        <v/>
      </c>
      <c r="L89" s="24"/>
    </row>
    <row r="90" spans="2:47" s="1" customFormat="1" ht="7.05" customHeight="1" x14ac:dyDescent="0.2">
      <c r="B90" s="24"/>
      <c r="C90" s="521"/>
      <c r="I90" s="521"/>
      <c r="L90" s="24"/>
    </row>
    <row r="91" spans="2:47" s="1" customFormat="1" ht="15.3" customHeight="1" x14ac:dyDescent="0.2">
      <c r="B91" s="24"/>
      <c r="C91" s="528" t="s">
        <v>18</v>
      </c>
      <c r="F91" s="529" t="s">
        <v>6175</v>
      </c>
      <c r="I91" s="528" t="s">
        <v>22</v>
      </c>
      <c r="J91" s="22" t="str">
        <f>E21</f>
        <v xml:space="preserve"> </v>
      </c>
      <c r="L91" s="24"/>
    </row>
    <row r="92" spans="2:47" s="1" customFormat="1" ht="15.3" customHeight="1" x14ac:dyDescent="0.2">
      <c r="B92" s="24"/>
      <c r="C92" s="528" t="s">
        <v>21</v>
      </c>
      <c r="F92" s="529" t="s">
        <v>5202</v>
      </c>
      <c r="I92" s="528" t="s">
        <v>24</v>
      </c>
      <c r="J92" s="22" t="str">
        <f>E24</f>
        <v xml:space="preserve"> </v>
      </c>
      <c r="L92" s="24"/>
    </row>
    <row r="93" spans="2:47" s="1" customFormat="1" ht="10.199999999999999" customHeight="1" x14ac:dyDescent="0.2">
      <c r="B93" s="24"/>
      <c r="L93" s="24"/>
    </row>
    <row r="94" spans="2:47" s="1" customFormat="1" ht="29.25" customHeight="1" x14ac:dyDescent="0.2">
      <c r="B94" s="24"/>
      <c r="C94" s="86" t="s">
        <v>189</v>
      </c>
      <c r="D94" s="80"/>
      <c r="E94" s="80"/>
      <c r="F94" s="80"/>
      <c r="G94" s="80"/>
      <c r="H94" s="80"/>
      <c r="I94" s="80"/>
      <c r="J94" s="87" t="s">
        <v>190</v>
      </c>
      <c r="K94" s="80"/>
      <c r="L94" s="24"/>
    </row>
    <row r="95" spans="2:47" s="1" customFormat="1" ht="10.199999999999999" customHeight="1" x14ac:dyDescent="0.2">
      <c r="B95" s="24"/>
      <c r="L95" s="24"/>
    </row>
    <row r="96" spans="2:47" s="1" customFormat="1" ht="22.95" customHeight="1" x14ac:dyDescent="0.2">
      <c r="B96" s="24"/>
      <c r="C96" s="88" t="s">
        <v>191</v>
      </c>
      <c r="J96" s="53">
        <f>J117</f>
        <v>2500</v>
      </c>
      <c r="L96" s="24"/>
      <c r="AU96" s="13" t="s">
        <v>192</v>
      </c>
    </row>
    <row r="97" spans="2:12" s="8" customFormat="1" ht="25.05" customHeight="1" x14ac:dyDescent="0.2">
      <c r="B97" s="89"/>
      <c r="D97" s="90" t="s">
        <v>1189</v>
      </c>
      <c r="E97" s="91"/>
      <c r="F97" s="91"/>
      <c r="G97" s="91"/>
      <c r="H97" s="91"/>
      <c r="I97" s="91"/>
      <c r="J97" s="92">
        <f>J118</f>
        <v>2500</v>
      </c>
      <c r="L97" s="89"/>
    </row>
    <row r="98" spans="2:12" s="1" customFormat="1" ht="21.75" customHeight="1" x14ac:dyDescent="0.2">
      <c r="B98" s="24"/>
      <c r="L98" s="24"/>
    </row>
    <row r="99" spans="2:12" s="1" customFormat="1" ht="7.05" customHeight="1" x14ac:dyDescent="0.2">
      <c r="B99" s="33"/>
      <c r="C99" s="34"/>
      <c r="D99" s="34"/>
      <c r="E99" s="34"/>
      <c r="F99" s="34"/>
      <c r="G99" s="34"/>
      <c r="H99" s="34"/>
      <c r="I99" s="34"/>
      <c r="J99" s="34"/>
      <c r="K99" s="34"/>
      <c r="L99" s="24"/>
    </row>
    <row r="103" spans="2:12" s="1" customFormat="1" ht="7.05" customHeight="1" x14ac:dyDescent="0.2">
      <c r="B103" s="35"/>
      <c r="C103" s="36"/>
      <c r="D103" s="36"/>
      <c r="E103" s="36"/>
      <c r="F103" s="36"/>
      <c r="G103" s="36"/>
      <c r="H103" s="36"/>
      <c r="I103" s="36"/>
      <c r="J103" s="36"/>
      <c r="K103" s="36"/>
      <c r="L103" s="24"/>
    </row>
    <row r="104" spans="2:12" s="1" customFormat="1" ht="25.05" customHeight="1" x14ac:dyDescent="0.2">
      <c r="B104" s="1256" t="s">
        <v>214</v>
      </c>
      <c r="C104" s="1165"/>
      <c r="D104" s="1165"/>
      <c r="E104" s="1165"/>
      <c r="F104" s="1165"/>
      <c r="G104" s="1165"/>
      <c r="H104" s="1165"/>
      <c r="I104" s="1165"/>
      <c r="J104" s="1165"/>
      <c r="L104" s="24"/>
    </row>
    <row r="105" spans="2:12" s="1" customFormat="1" ht="7.05" customHeight="1" x14ac:dyDescent="0.2">
      <c r="B105" s="24"/>
      <c r="L105" s="24"/>
    </row>
    <row r="106" spans="2:12" s="1" customFormat="1" ht="12" customHeight="1" x14ac:dyDescent="0.2">
      <c r="B106" s="24"/>
      <c r="C106" s="528" t="s">
        <v>12</v>
      </c>
      <c r="E106" s="1242" t="s">
        <v>6177</v>
      </c>
      <c r="F106" s="1242"/>
      <c r="G106" s="1242"/>
      <c r="H106" s="1242"/>
      <c r="I106" s="1242"/>
      <c r="J106" s="1242"/>
      <c r="L106" s="24"/>
    </row>
    <row r="107" spans="2:12" s="1" customFormat="1" ht="23.55" customHeight="1" x14ac:dyDescent="0.2">
      <c r="B107" s="24"/>
      <c r="C107" s="521"/>
      <c r="E107" s="1243"/>
      <c r="F107" s="1244"/>
      <c r="G107" s="1244"/>
      <c r="H107" s="1244"/>
      <c r="L107" s="24"/>
    </row>
    <row r="108" spans="2:12" s="1" customFormat="1" ht="12" customHeight="1" x14ac:dyDescent="0.2">
      <c r="B108" s="24"/>
      <c r="C108" s="528" t="s">
        <v>186</v>
      </c>
      <c r="F108" s="532" t="s">
        <v>3993</v>
      </c>
      <c r="L108" s="24"/>
    </row>
    <row r="109" spans="2:12" s="1" customFormat="1" ht="16.5" customHeight="1" x14ac:dyDescent="0.2">
      <c r="B109" s="24"/>
      <c r="C109" s="521"/>
      <c r="E109" s="1251"/>
      <c r="F109" s="1252"/>
      <c r="G109" s="1252"/>
      <c r="H109" s="1252"/>
      <c r="L109" s="24"/>
    </row>
    <row r="110" spans="2:12" s="1" customFormat="1" ht="7.05" customHeight="1" x14ac:dyDescent="0.2">
      <c r="B110" s="24"/>
      <c r="C110" s="521"/>
      <c r="L110" s="24"/>
    </row>
    <row r="111" spans="2:12" s="1" customFormat="1" ht="12" customHeight="1" x14ac:dyDescent="0.2">
      <c r="B111" s="24"/>
      <c r="C111" s="528" t="s">
        <v>15</v>
      </c>
      <c r="F111" s="19" t="str">
        <f>F12</f>
        <v>Kuzmányho nábrežie 28, 960 01 Zvolen</v>
      </c>
      <c r="I111" s="528" t="s">
        <v>17</v>
      </c>
      <c r="J111" s="39" t="str">
        <f>IF(J12="","",J12)</f>
        <v/>
      </c>
      <c r="L111" s="24"/>
    </row>
    <row r="112" spans="2:12" s="1" customFormat="1" ht="7.05" customHeight="1" x14ac:dyDescent="0.2">
      <c r="B112" s="24"/>
      <c r="C112" s="521"/>
      <c r="I112" s="521"/>
      <c r="L112" s="24"/>
    </row>
    <row r="113" spans="2:65" s="1" customFormat="1" ht="15.3" customHeight="1" x14ac:dyDescent="0.2">
      <c r="B113" s="24"/>
      <c r="C113" s="528" t="s">
        <v>18</v>
      </c>
      <c r="F113" s="529" t="s">
        <v>6175</v>
      </c>
      <c r="I113" s="528" t="s">
        <v>22</v>
      </c>
      <c r="J113" s="22" t="str">
        <f>E21</f>
        <v xml:space="preserve"> </v>
      </c>
      <c r="L113" s="24"/>
    </row>
    <row r="114" spans="2:65" s="1" customFormat="1" ht="15.3" customHeight="1" x14ac:dyDescent="0.2">
      <c r="B114" s="24"/>
      <c r="C114" s="528" t="s">
        <v>21</v>
      </c>
      <c r="F114" s="529" t="s">
        <v>5202</v>
      </c>
      <c r="I114" s="528" t="s">
        <v>24</v>
      </c>
      <c r="J114" s="22" t="str">
        <f>E24</f>
        <v xml:space="preserve"> </v>
      </c>
      <c r="L114" s="24"/>
    </row>
    <row r="115" spans="2:65" s="1" customFormat="1" ht="10.199999999999999" customHeight="1" x14ac:dyDescent="0.2">
      <c r="B115" s="24"/>
      <c r="L115" s="24"/>
    </row>
    <row r="116" spans="2:65" s="10" customFormat="1" ht="29.25" customHeight="1" x14ac:dyDescent="0.2">
      <c r="B116" s="97"/>
      <c r="C116" s="98" t="s">
        <v>215</v>
      </c>
      <c r="D116" s="99" t="s">
        <v>43</v>
      </c>
      <c r="E116" s="99" t="s">
        <v>41</v>
      </c>
      <c r="F116" s="99" t="s">
        <v>42</v>
      </c>
      <c r="G116" s="99" t="s">
        <v>216</v>
      </c>
      <c r="H116" s="99" t="s">
        <v>217</v>
      </c>
      <c r="I116" s="99" t="s">
        <v>218</v>
      </c>
      <c r="J116" s="100" t="s">
        <v>190</v>
      </c>
      <c r="K116" s="101" t="s">
        <v>219</v>
      </c>
      <c r="L116" s="97"/>
      <c r="M116" s="46" t="s">
        <v>1</v>
      </c>
      <c r="N116" s="47" t="s">
        <v>30</v>
      </c>
      <c r="O116" s="47" t="s">
        <v>220</v>
      </c>
      <c r="P116" s="47" t="s">
        <v>221</v>
      </c>
      <c r="Q116" s="47" t="s">
        <v>222</v>
      </c>
      <c r="R116" s="47" t="s">
        <v>223</v>
      </c>
      <c r="S116" s="47" t="s">
        <v>224</v>
      </c>
      <c r="T116" s="48" t="s">
        <v>225</v>
      </c>
    </row>
    <row r="117" spans="2:65" s="1" customFormat="1" ht="22.95" customHeight="1" x14ac:dyDescent="0.3">
      <c r="B117" s="24"/>
      <c r="C117" s="51" t="s">
        <v>191</v>
      </c>
      <c r="J117" s="102">
        <f>BK117</f>
        <v>2500</v>
      </c>
      <c r="L117" s="24"/>
      <c r="M117" s="49"/>
      <c r="N117" s="40"/>
      <c r="O117" s="40"/>
      <c r="P117" s="103">
        <f>P118</f>
        <v>0</v>
      </c>
      <c r="Q117" s="40"/>
      <c r="R117" s="103">
        <f>R118</f>
        <v>0</v>
      </c>
      <c r="S117" s="40"/>
      <c r="T117" s="104">
        <f>T118</f>
        <v>0</v>
      </c>
      <c r="AT117" s="13" t="s">
        <v>57</v>
      </c>
      <c r="AU117" s="13" t="s">
        <v>192</v>
      </c>
      <c r="BK117" s="105">
        <f>BK118</f>
        <v>2500</v>
      </c>
    </row>
    <row r="118" spans="2:65" s="11" customFormat="1" ht="25.95" customHeight="1" x14ac:dyDescent="0.25">
      <c r="B118" s="106"/>
      <c r="D118" s="107" t="s">
        <v>57</v>
      </c>
      <c r="E118" s="108" t="s">
        <v>1292</v>
      </c>
      <c r="F118" s="108" t="s">
        <v>1293</v>
      </c>
      <c r="J118" s="109">
        <f>BK118</f>
        <v>2500</v>
      </c>
      <c r="L118" s="106"/>
      <c r="M118" s="110"/>
      <c r="N118" s="111"/>
      <c r="O118" s="111"/>
      <c r="P118" s="112">
        <f>SUM(P119:P123)</f>
        <v>0</v>
      </c>
      <c r="Q118" s="111"/>
      <c r="R118" s="112">
        <f>SUM(R119:R123)</f>
        <v>0</v>
      </c>
      <c r="S118" s="111"/>
      <c r="T118" s="113">
        <f>SUM(T119:T123)</f>
        <v>0</v>
      </c>
      <c r="AR118" s="107" t="s">
        <v>235</v>
      </c>
      <c r="AT118" s="114" t="s">
        <v>57</v>
      </c>
      <c r="AU118" s="114" t="s">
        <v>58</v>
      </c>
      <c r="AY118" s="107" t="s">
        <v>228</v>
      </c>
      <c r="BK118" s="115">
        <f>SUM(BK119:BK123)</f>
        <v>2500</v>
      </c>
    </row>
    <row r="119" spans="2:65" s="1" customFormat="1" ht="60" customHeight="1" x14ac:dyDescent="0.2">
      <c r="B119" s="118"/>
      <c r="C119" s="119" t="s">
        <v>63</v>
      </c>
      <c r="D119" s="119" t="s">
        <v>231</v>
      </c>
      <c r="E119" s="120" t="s">
        <v>63</v>
      </c>
      <c r="F119" s="121" t="s">
        <v>2548</v>
      </c>
      <c r="G119" s="122" t="s">
        <v>1172</v>
      </c>
      <c r="H119" s="123">
        <v>1</v>
      </c>
      <c r="I119" s="124">
        <v>500</v>
      </c>
      <c r="J119" s="124">
        <f>ROUND(I119*H119,2)</f>
        <v>500</v>
      </c>
      <c r="K119" s="121" t="s">
        <v>1</v>
      </c>
      <c r="L119" s="24"/>
      <c r="M119" s="125" t="s">
        <v>1</v>
      </c>
      <c r="N119" s="126" t="s">
        <v>32</v>
      </c>
      <c r="O119" s="127">
        <v>0</v>
      </c>
      <c r="P119" s="127">
        <f>O119*H119</f>
        <v>0</v>
      </c>
      <c r="Q119" s="127">
        <v>0</v>
      </c>
      <c r="R119" s="127">
        <f>Q119*H119</f>
        <v>0</v>
      </c>
      <c r="S119" s="127">
        <v>0</v>
      </c>
      <c r="T119" s="128">
        <f>S119*H119</f>
        <v>0</v>
      </c>
      <c r="AR119" s="129" t="s">
        <v>1173</v>
      </c>
      <c r="AT119" s="129" t="s">
        <v>231</v>
      </c>
      <c r="AU119" s="129" t="s">
        <v>63</v>
      </c>
      <c r="AY119" s="13" t="s">
        <v>228</v>
      </c>
      <c r="BE119" s="130">
        <f>IF(N119="základná",J119,0)</f>
        <v>0</v>
      </c>
      <c r="BF119" s="130">
        <f>IF(N119="znížená",J119,0)</f>
        <v>500</v>
      </c>
      <c r="BG119" s="130">
        <f>IF(N119="zákl. prenesená",J119,0)</f>
        <v>0</v>
      </c>
      <c r="BH119" s="130">
        <f>IF(N119="zníž. prenesená",J119,0)</f>
        <v>0</v>
      </c>
      <c r="BI119" s="130">
        <f>IF(N119="nulová",J119,0)</f>
        <v>0</v>
      </c>
      <c r="BJ119" s="13" t="s">
        <v>76</v>
      </c>
      <c r="BK119" s="130">
        <f>ROUND(I119*H119,2)</f>
        <v>500</v>
      </c>
      <c r="BL119" s="13" t="s">
        <v>1173</v>
      </c>
      <c r="BM119" s="129" t="s">
        <v>2549</v>
      </c>
    </row>
    <row r="120" spans="2:65" s="1" customFormat="1" ht="36" customHeight="1" x14ac:dyDescent="0.2">
      <c r="B120" s="118"/>
      <c r="C120" s="119" t="s">
        <v>76</v>
      </c>
      <c r="D120" s="119" t="s">
        <v>231</v>
      </c>
      <c r="E120" s="120" t="s">
        <v>76</v>
      </c>
      <c r="F120" s="121" t="s">
        <v>2550</v>
      </c>
      <c r="G120" s="122" t="s">
        <v>1172</v>
      </c>
      <c r="H120" s="123">
        <v>1</v>
      </c>
      <c r="I120" s="124">
        <v>500</v>
      </c>
      <c r="J120" s="124">
        <f>ROUND(I120*H120,2)</f>
        <v>500</v>
      </c>
      <c r="K120" s="121" t="s">
        <v>1</v>
      </c>
      <c r="L120" s="24"/>
      <c r="M120" s="125" t="s">
        <v>1</v>
      </c>
      <c r="N120" s="126" t="s">
        <v>32</v>
      </c>
      <c r="O120" s="127">
        <v>0</v>
      </c>
      <c r="P120" s="127">
        <f>O120*H120</f>
        <v>0</v>
      </c>
      <c r="Q120" s="127">
        <v>0</v>
      </c>
      <c r="R120" s="127">
        <f>Q120*H120</f>
        <v>0</v>
      </c>
      <c r="S120" s="127">
        <v>0</v>
      </c>
      <c r="T120" s="128">
        <f>S120*H120</f>
        <v>0</v>
      </c>
      <c r="AR120" s="129" t="s">
        <v>1173</v>
      </c>
      <c r="AT120" s="129" t="s">
        <v>231</v>
      </c>
      <c r="AU120" s="129" t="s">
        <v>63</v>
      </c>
      <c r="AY120" s="13" t="s">
        <v>228</v>
      </c>
      <c r="BE120" s="130">
        <f>IF(N120="základná",J120,0)</f>
        <v>0</v>
      </c>
      <c r="BF120" s="130">
        <f>IF(N120="znížená",J120,0)</f>
        <v>500</v>
      </c>
      <c r="BG120" s="130">
        <f>IF(N120="zákl. prenesená",J120,0)</f>
        <v>0</v>
      </c>
      <c r="BH120" s="130">
        <f>IF(N120="zníž. prenesená",J120,0)</f>
        <v>0</v>
      </c>
      <c r="BI120" s="130">
        <f>IF(N120="nulová",J120,0)</f>
        <v>0</v>
      </c>
      <c r="BJ120" s="13" t="s">
        <v>76</v>
      </c>
      <c r="BK120" s="130">
        <f>ROUND(I120*H120,2)</f>
        <v>500</v>
      </c>
      <c r="BL120" s="13" t="s">
        <v>1173</v>
      </c>
      <c r="BM120" s="129" t="s">
        <v>2551</v>
      </c>
    </row>
    <row r="121" spans="2:65" s="1" customFormat="1" ht="48" customHeight="1" x14ac:dyDescent="0.2">
      <c r="B121" s="118"/>
      <c r="C121" s="119" t="s">
        <v>229</v>
      </c>
      <c r="D121" s="119" t="s">
        <v>231</v>
      </c>
      <c r="E121" s="120" t="s">
        <v>229</v>
      </c>
      <c r="F121" s="121" t="s">
        <v>2552</v>
      </c>
      <c r="G121" s="122" t="s">
        <v>1172</v>
      </c>
      <c r="H121" s="123">
        <v>1</v>
      </c>
      <c r="I121" s="124">
        <v>900</v>
      </c>
      <c r="J121" s="124">
        <f>ROUND(I121*H121,2)</f>
        <v>900</v>
      </c>
      <c r="K121" s="121" t="s">
        <v>1</v>
      </c>
      <c r="L121" s="24"/>
      <c r="M121" s="125" t="s">
        <v>1</v>
      </c>
      <c r="N121" s="126" t="s">
        <v>32</v>
      </c>
      <c r="O121" s="127">
        <v>0</v>
      </c>
      <c r="P121" s="127">
        <f>O121*H121</f>
        <v>0</v>
      </c>
      <c r="Q121" s="127">
        <v>0</v>
      </c>
      <c r="R121" s="127">
        <f>Q121*H121</f>
        <v>0</v>
      </c>
      <c r="S121" s="127">
        <v>0</v>
      </c>
      <c r="T121" s="128">
        <f>S121*H121</f>
        <v>0</v>
      </c>
      <c r="AR121" s="129" t="s">
        <v>1173</v>
      </c>
      <c r="AT121" s="129" t="s">
        <v>231</v>
      </c>
      <c r="AU121" s="129" t="s">
        <v>63</v>
      </c>
      <c r="AY121" s="13" t="s">
        <v>228</v>
      </c>
      <c r="BE121" s="130">
        <f>IF(N121="základná",J121,0)</f>
        <v>0</v>
      </c>
      <c r="BF121" s="130">
        <f>IF(N121="znížená",J121,0)</f>
        <v>900</v>
      </c>
      <c r="BG121" s="130">
        <f>IF(N121="zákl. prenesená",J121,0)</f>
        <v>0</v>
      </c>
      <c r="BH121" s="130">
        <f>IF(N121="zníž. prenesená",J121,0)</f>
        <v>0</v>
      </c>
      <c r="BI121" s="130">
        <f>IF(N121="nulová",J121,0)</f>
        <v>0</v>
      </c>
      <c r="BJ121" s="13" t="s">
        <v>76</v>
      </c>
      <c r="BK121" s="130">
        <f>ROUND(I121*H121,2)</f>
        <v>900</v>
      </c>
      <c r="BL121" s="13" t="s">
        <v>1173</v>
      </c>
      <c r="BM121" s="129" t="s">
        <v>2553</v>
      </c>
    </row>
    <row r="122" spans="2:65" s="1" customFormat="1" ht="36" customHeight="1" x14ac:dyDescent="0.2">
      <c r="B122" s="118"/>
      <c r="C122" s="119" t="s">
        <v>235</v>
      </c>
      <c r="D122" s="119" t="s">
        <v>231</v>
      </c>
      <c r="E122" s="120" t="s">
        <v>235</v>
      </c>
      <c r="F122" s="121" t="s">
        <v>2554</v>
      </c>
      <c r="G122" s="122" t="s">
        <v>1172</v>
      </c>
      <c r="H122" s="123">
        <v>1</v>
      </c>
      <c r="I122" s="124">
        <v>300</v>
      </c>
      <c r="J122" s="124">
        <f>ROUND(I122*H122,2)</f>
        <v>300</v>
      </c>
      <c r="K122" s="121" t="s">
        <v>1</v>
      </c>
      <c r="L122" s="24"/>
      <c r="M122" s="125" t="s">
        <v>1</v>
      </c>
      <c r="N122" s="126" t="s">
        <v>32</v>
      </c>
      <c r="O122" s="127">
        <v>0</v>
      </c>
      <c r="P122" s="127">
        <f>O122*H122</f>
        <v>0</v>
      </c>
      <c r="Q122" s="127">
        <v>0</v>
      </c>
      <c r="R122" s="127">
        <f>Q122*H122</f>
        <v>0</v>
      </c>
      <c r="S122" s="127">
        <v>0</v>
      </c>
      <c r="T122" s="128">
        <f>S122*H122</f>
        <v>0</v>
      </c>
      <c r="AR122" s="129" t="s">
        <v>1173</v>
      </c>
      <c r="AT122" s="129" t="s">
        <v>231</v>
      </c>
      <c r="AU122" s="129" t="s">
        <v>63</v>
      </c>
      <c r="AY122" s="13" t="s">
        <v>228</v>
      </c>
      <c r="BE122" s="130">
        <f>IF(N122="základná",J122,0)</f>
        <v>0</v>
      </c>
      <c r="BF122" s="130">
        <f>IF(N122="znížená",J122,0)</f>
        <v>300</v>
      </c>
      <c r="BG122" s="130">
        <f>IF(N122="zákl. prenesená",J122,0)</f>
        <v>0</v>
      </c>
      <c r="BH122" s="130">
        <f>IF(N122="zníž. prenesená",J122,0)</f>
        <v>0</v>
      </c>
      <c r="BI122" s="130">
        <f>IF(N122="nulová",J122,0)</f>
        <v>0</v>
      </c>
      <c r="BJ122" s="13" t="s">
        <v>76</v>
      </c>
      <c r="BK122" s="130">
        <f>ROUND(I122*H122,2)</f>
        <v>300</v>
      </c>
      <c r="BL122" s="13" t="s">
        <v>1173</v>
      </c>
      <c r="BM122" s="129" t="s">
        <v>2555</v>
      </c>
    </row>
    <row r="123" spans="2:65" s="1" customFormat="1" ht="24" customHeight="1" x14ac:dyDescent="0.2">
      <c r="B123" s="118"/>
      <c r="C123" s="119" t="s">
        <v>245</v>
      </c>
      <c r="D123" s="119" t="s">
        <v>231</v>
      </c>
      <c r="E123" s="120" t="s">
        <v>245</v>
      </c>
      <c r="F123" s="121" t="s">
        <v>2556</v>
      </c>
      <c r="G123" s="122" t="s">
        <v>1172</v>
      </c>
      <c r="H123" s="123">
        <v>1</v>
      </c>
      <c r="I123" s="124">
        <v>300</v>
      </c>
      <c r="J123" s="124">
        <f>ROUND(I123*H123,2)</f>
        <v>300</v>
      </c>
      <c r="K123" s="121" t="s">
        <v>1</v>
      </c>
      <c r="L123" s="24"/>
      <c r="M123" s="140" t="s">
        <v>1</v>
      </c>
      <c r="N123" s="141" t="s">
        <v>32</v>
      </c>
      <c r="O123" s="142">
        <v>0</v>
      </c>
      <c r="P123" s="142">
        <f>O123*H123</f>
        <v>0</v>
      </c>
      <c r="Q123" s="142">
        <v>0</v>
      </c>
      <c r="R123" s="142">
        <f>Q123*H123</f>
        <v>0</v>
      </c>
      <c r="S123" s="142">
        <v>0</v>
      </c>
      <c r="T123" s="143">
        <f>S123*H123</f>
        <v>0</v>
      </c>
      <c r="AR123" s="129" t="s">
        <v>1173</v>
      </c>
      <c r="AT123" s="129" t="s">
        <v>231</v>
      </c>
      <c r="AU123" s="129" t="s">
        <v>63</v>
      </c>
      <c r="AY123" s="13" t="s">
        <v>228</v>
      </c>
      <c r="BE123" s="130">
        <f>IF(N123="základná",J123,0)</f>
        <v>0</v>
      </c>
      <c r="BF123" s="130">
        <f>IF(N123="znížená",J123,0)</f>
        <v>300</v>
      </c>
      <c r="BG123" s="130">
        <f>IF(N123="zákl. prenesená",J123,0)</f>
        <v>0</v>
      </c>
      <c r="BH123" s="130">
        <f>IF(N123="zníž. prenesená",J123,0)</f>
        <v>0</v>
      </c>
      <c r="BI123" s="130">
        <f>IF(N123="nulová",J123,0)</f>
        <v>0</v>
      </c>
      <c r="BJ123" s="13" t="s">
        <v>76</v>
      </c>
      <c r="BK123" s="130">
        <f>ROUND(I123*H123,2)</f>
        <v>300</v>
      </c>
      <c r="BL123" s="13" t="s">
        <v>1173</v>
      </c>
      <c r="BM123" s="129" t="s">
        <v>2557</v>
      </c>
    </row>
    <row r="124" spans="2:65" s="1" customFormat="1" ht="7.05" customHeight="1" x14ac:dyDescent="0.2">
      <c r="B124" s="33"/>
      <c r="C124" s="34"/>
      <c r="D124" s="34"/>
      <c r="E124" s="34"/>
      <c r="F124" s="34"/>
      <c r="G124" s="34"/>
      <c r="H124" s="34"/>
      <c r="I124" s="34"/>
      <c r="J124" s="34"/>
      <c r="K124" s="34"/>
      <c r="L124" s="24"/>
    </row>
  </sheetData>
  <autoFilter ref="C116:K123" xr:uid="{00000000-0009-0000-0000-000015000000}"/>
  <mergeCells count="14">
    <mergeCell ref="E87:H87"/>
    <mergeCell ref="E107:H107"/>
    <mergeCell ref="E109:H109"/>
    <mergeCell ref="L2:V2"/>
    <mergeCell ref="E9:H9"/>
    <mergeCell ref="E18:H18"/>
    <mergeCell ref="E27:H27"/>
    <mergeCell ref="E85:H85"/>
    <mergeCell ref="C4:J4"/>
    <mergeCell ref="F6:J7"/>
    <mergeCell ref="C82:J82"/>
    <mergeCell ref="E84:J84"/>
    <mergeCell ref="B104:J104"/>
    <mergeCell ref="E106:J106"/>
  </mergeCells>
  <pageMargins left="0.39374999999999999" right="0.39374999999999999" top="0.39374999999999999" bottom="0.39374999999999999" header="0" footer="0"/>
  <pageSetup paperSize="9" scale="89" fitToHeight="100" orientation="portrait" blackAndWhite="1" r:id="rId1"/>
  <headerFooter>
    <oddFooter>&amp;CStrana &amp;P z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C00000"/>
    <pageSetUpPr fitToPage="1"/>
  </sheetPr>
  <dimension ref="A1:BM159"/>
  <sheetViews>
    <sheetView showGridLines="0" topLeftCell="I68" zoomScale="80" zoomScaleNormal="80" workbookViewId="0">
      <selection activeCell="AL31" sqref="AL31"/>
    </sheetView>
  </sheetViews>
  <sheetFormatPr defaultColWidth="8.7109375" defaultRowHeight="10.199999999999999" x14ac:dyDescent="0.2"/>
  <cols>
    <col min="1" max="1" width="8.28515625" customWidth="1"/>
    <col min="2" max="2" width="1.7109375" customWidth="1"/>
    <col min="3" max="4" width="4.28515625" customWidth="1"/>
    <col min="5" max="5" width="17.28515625" customWidth="1"/>
    <col min="6" max="6" width="50.7109375" customWidth="1"/>
    <col min="7" max="7" width="7" customWidth="1"/>
    <col min="8" max="8" width="11.42578125" customWidth="1"/>
    <col min="9" max="10" width="20.28515625" customWidth="1"/>
    <col min="11" max="11" width="20.28515625" hidden="1" customWidth="1"/>
    <col min="12" max="12" width="9.28515625" customWidth="1"/>
    <col min="13" max="13" width="10.7109375" hidden="1" customWidth="1"/>
    <col min="14" max="14" width="9.28515625" hidden="1"/>
    <col min="15" max="20" width="14.28515625" hidden="1" customWidth="1"/>
    <col min="21" max="21" width="16.28515625" hidden="1" customWidth="1"/>
    <col min="22" max="22" width="12.28515625" customWidth="1"/>
    <col min="23" max="23" width="1.7109375" style="656" customWidth="1"/>
    <col min="24" max="25" width="4.28515625" style="656" customWidth="1"/>
    <col min="26" max="26" width="17.28515625" style="656" customWidth="1"/>
    <col min="27" max="27" width="50.7109375" style="656" customWidth="1"/>
    <col min="28" max="28" width="7" style="656" customWidth="1"/>
    <col min="29" max="29" width="11.42578125" style="656" customWidth="1"/>
    <col min="30" max="31" width="20.28515625" style="656" customWidth="1"/>
    <col min="44" max="65" width="9.28515625" hidden="1"/>
  </cols>
  <sheetData>
    <row r="1" spans="1:46" x14ac:dyDescent="0.2">
      <c r="A1" s="73"/>
    </row>
    <row r="2" spans="1:46" ht="37.049999999999997" customHeight="1" x14ac:dyDescent="0.2">
      <c r="L2" s="1227" t="s">
        <v>5</v>
      </c>
      <c r="M2" s="1225"/>
      <c r="N2" s="1225"/>
      <c r="O2" s="1225"/>
      <c r="P2" s="1225"/>
      <c r="Q2" s="1225"/>
      <c r="R2" s="1225"/>
      <c r="S2" s="1225"/>
      <c r="T2" s="1225"/>
      <c r="U2" s="1225"/>
      <c r="V2" s="1225"/>
      <c r="AT2" s="13" t="s">
        <v>126</v>
      </c>
    </row>
    <row r="3" spans="1:46" ht="7.05" customHeight="1" x14ac:dyDescent="0.2">
      <c r="B3" s="14"/>
      <c r="C3" s="15"/>
      <c r="D3" s="15"/>
      <c r="E3" s="15"/>
      <c r="F3" s="15"/>
      <c r="G3" s="15"/>
      <c r="H3" s="15"/>
      <c r="I3" s="15"/>
      <c r="J3" s="15"/>
      <c r="K3" s="15"/>
      <c r="L3" s="16"/>
      <c r="W3" s="152"/>
      <c r="X3" s="153"/>
      <c r="Y3" s="153"/>
      <c r="Z3" s="153"/>
      <c r="AA3" s="153"/>
      <c r="AB3" s="153"/>
      <c r="AC3" s="153"/>
      <c r="AD3" s="153"/>
      <c r="AE3" s="154"/>
      <c r="AT3" s="13" t="s">
        <v>58</v>
      </c>
    </row>
    <row r="4" spans="1:46" ht="25.05" customHeight="1" x14ac:dyDescent="0.2">
      <c r="B4" s="16"/>
      <c r="C4" s="1165" t="s">
        <v>185</v>
      </c>
      <c r="D4" s="1165"/>
      <c r="E4" s="1165"/>
      <c r="F4" s="1165"/>
      <c r="G4" s="1165"/>
      <c r="H4" s="1165"/>
      <c r="I4" s="1165"/>
      <c r="J4" s="1165"/>
      <c r="L4" s="16"/>
      <c r="M4" s="74" t="s">
        <v>9</v>
      </c>
      <c r="W4" s="155"/>
      <c r="X4" s="1237" t="s">
        <v>185</v>
      </c>
      <c r="Y4" s="1237"/>
      <c r="Z4" s="1237"/>
      <c r="AA4" s="1237"/>
      <c r="AB4" s="1237"/>
      <c r="AC4" s="1237"/>
      <c r="AD4" s="1237"/>
      <c r="AE4" s="1238"/>
      <c r="AT4" s="13" t="s">
        <v>3</v>
      </c>
    </row>
    <row r="5" spans="1:46" ht="7.05" customHeight="1" x14ac:dyDescent="0.2">
      <c r="B5" s="16"/>
      <c r="L5" s="16"/>
      <c r="W5" s="155"/>
      <c r="X5" s="156"/>
      <c r="Y5" s="156"/>
      <c r="Z5" s="156"/>
      <c r="AA5" s="156"/>
      <c r="AB5" s="156"/>
      <c r="AC5" s="156"/>
      <c r="AD5" s="156"/>
      <c r="AE5" s="157"/>
    </row>
    <row r="6" spans="1:46" ht="12" customHeight="1" x14ac:dyDescent="0.2">
      <c r="B6" s="16"/>
      <c r="D6" s="548" t="s">
        <v>12</v>
      </c>
      <c r="F6" s="1254" t="s">
        <v>6176</v>
      </c>
      <c r="G6" s="1254"/>
      <c r="H6" s="1254"/>
      <c r="I6" s="1254"/>
      <c r="J6" s="1254"/>
      <c r="L6" s="16"/>
      <c r="W6" s="155"/>
      <c r="X6" s="156"/>
      <c r="Y6" s="541" t="s">
        <v>12</v>
      </c>
      <c r="Z6" s="156"/>
      <c r="AA6" s="1239" t="s">
        <v>6176</v>
      </c>
      <c r="AB6" s="1239"/>
      <c r="AC6" s="1239"/>
      <c r="AD6" s="1239"/>
      <c r="AE6" s="1240"/>
    </row>
    <row r="7" spans="1:46" ht="23.55" customHeight="1" x14ac:dyDescent="0.2">
      <c r="B7" s="16"/>
      <c r="D7" s="527"/>
      <c r="E7" s="531"/>
      <c r="F7" s="1254"/>
      <c r="G7" s="1254"/>
      <c r="H7" s="1254"/>
      <c r="I7" s="1254"/>
      <c r="J7" s="1254"/>
      <c r="L7" s="16"/>
      <c r="W7" s="155"/>
      <c r="X7" s="156"/>
      <c r="Y7" s="539"/>
      <c r="Z7" s="245"/>
      <c r="AA7" s="1239"/>
      <c r="AB7" s="1239"/>
      <c r="AC7" s="1239"/>
      <c r="AD7" s="1239"/>
      <c r="AE7" s="1240"/>
    </row>
    <row r="8" spans="1:46" s="1" customFormat="1" ht="12" customHeight="1" x14ac:dyDescent="0.2">
      <c r="B8" s="24"/>
      <c r="D8" s="549" t="s">
        <v>186</v>
      </c>
      <c r="F8" s="532" t="s">
        <v>3994</v>
      </c>
      <c r="L8" s="24"/>
      <c r="W8" s="158"/>
      <c r="X8" s="658"/>
      <c r="Y8" s="550" t="s">
        <v>186</v>
      </c>
      <c r="Z8" s="658"/>
      <c r="AA8" s="555" t="s">
        <v>3994</v>
      </c>
      <c r="AB8" s="658"/>
      <c r="AC8" s="658"/>
      <c r="AD8" s="658"/>
      <c r="AE8" s="159"/>
    </row>
    <row r="9" spans="1:46" s="1" customFormat="1" ht="37.049999999999997" customHeight="1" x14ac:dyDescent="0.2">
      <c r="B9" s="24"/>
      <c r="D9" s="521"/>
      <c r="E9" s="1251"/>
      <c r="F9" s="1252"/>
      <c r="G9" s="1252"/>
      <c r="H9" s="1252"/>
      <c r="L9" s="24"/>
      <c r="W9" s="158"/>
      <c r="X9" s="658"/>
      <c r="Y9" s="658"/>
      <c r="Z9" s="1245"/>
      <c r="AA9" s="1246"/>
      <c r="AB9" s="1246"/>
      <c r="AC9" s="1246"/>
      <c r="AD9" s="658"/>
      <c r="AE9" s="159"/>
    </row>
    <row r="10" spans="1:46" s="1" customFormat="1" x14ac:dyDescent="0.2">
      <c r="B10" s="24"/>
      <c r="D10" s="521"/>
      <c r="L10" s="24"/>
      <c r="W10" s="158"/>
      <c r="X10" s="658"/>
      <c r="Y10" s="658"/>
      <c r="Z10" s="658"/>
      <c r="AA10" s="658"/>
      <c r="AB10" s="658"/>
      <c r="AC10" s="658"/>
      <c r="AD10" s="658"/>
      <c r="AE10" s="159"/>
    </row>
    <row r="11" spans="1:46" s="1" customFormat="1" ht="12" customHeight="1" x14ac:dyDescent="0.2">
      <c r="B11" s="24"/>
      <c r="D11" s="528" t="s">
        <v>13</v>
      </c>
      <c r="F11" s="19" t="s">
        <v>1</v>
      </c>
      <c r="I11" s="528" t="s">
        <v>14</v>
      </c>
      <c r="J11" s="19" t="s">
        <v>1</v>
      </c>
      <c r="L11" s="24"/>
      <c r="W11" s="158"/>
      <c r="X11" s="658"/>
      <c r="Y11" s="657" t="s">
        <v>13</v>
      </c>
      <c r="Z11" s="658"/>
      <c r="AA11" s="655" t="s">
        <v>1</v>
      </c>
      <c r="AB11" s="658"/>
      <c r="AC11" s="658"/>
      <c r="AD11" s="657" t="s">
        <v>14</v>
      </c>
      <c r="AE11" s="161" t="s">
        <v>1</v>
      </c>
    </row>
    <row r="12" spans="1:46" s="1" customFormat="1" ht="12" customHeight="1" x14ac:dyDescent="0.2">
      <c r="B12" s="24"/>
      <c r="D12" s="528" t="s">
        <v>15</v>
      </c>
      <c r="F12" s="520" t="s">
        <v>6173</v>
      </c>
      <c r="I12" s="528" t="s">
        <v>17</v>
      </c>
      <c r="J12" s="39"/>
      <c r="L12" s="24"/>
      <c r="W12" s="158"/>
      <c r="X12" s="658"/>
      <c r="Y12" s="657" t="s">
        <v>15</v>
      </c>
      <c r="Z12" s="658"/>
      <c r="AA12" s="655" t="s">
        <v>6173</v>
      </c>
      <c r="AB12" s="658"/>
      <c r="AC12" s="658"/>
      <c r="AD12" s="657" t="s">
        <v>17</v>
      </c>
      <c r="AE12" s="162"/>
    </row>
    <row r="13" spans="1:46" s="1" customFormat="1" ht="10.95" customHeight="1" x14ac:dyDescent="0.2">
      <c r="B13" s="24"/>
      <c r="D13" s="521"/>
      <c r="F13" s="521"/>
      <c r="I13" s="521"/>
      <c r="L13" s="24"/>
      <c r="W13" s="158"/>
      <c r="X13" s="658"/>
      <c r="Y13" s="658"/>
      <c r="Z13" s="658"/>
      <c r="AA13" s="658"/>
      <c r="AB13" s="658"/>
      <c r="AC13" s="658"/>
      <c r="AD13" s="658"/>
      <c r="AE13" s="159"/>
    </row>
    <row r="14" spans="1:46" s="1" customFormat="1" ht="12" customHeight="1" x14ac:dyDescent="0.2">
      <c r="B14" s="24"/>
      <c r="D14" s="528" t="s">
        <v>18</v>
      </c>
      <c r="F14" s="529" t="s">
        <v>6175</v>
      </c>
      <c r="I14" s="528" t="s">
        <v>19</v>
      </c>
      <c r="J14" s="19" t="str">
        <f>IF('Rekapitulácia stavby'!AN10="","",'Rekapitulácia stavby'!AN10)</f>
        <v/>
      </c>
      <c r="L14" s="24"/>
      <c r="W14" s="158"/>
      <c r="X14" s="658"/>
      <c r="Y14" s="657" t="s">
        <v>18</v>
      </c>
      <c r="Z14" s="658"/>
      <c r="AA14" s="576" t="s">
        <v>6175</v>
      </c>
      <c r="AB14" s="658"/>
      <c r="AC14" s="658"/>
      <c r="AD14" s="657" t="s">
        <v>19</v>
      </c>
      <c r="AE14" s="161" t="str">
        <f>IF('Rekapitulácia stavby'!BI10="","",'Rekapitulácia stavby'!BI10)</f>
        <v/>
      </c>
    </row>
    <row r="15" spans="1:46" s="1" customFormat="1" ht="18" customHeight="1" x14ac:dyDescent="0.2">
      <c r="B15" s="24"/>
      <c r="D15" s="521"/>
      <c r="E15" s="19" t="str">
        <f>IF('Rekapitulácia stavby'!E11="","",'Rekapitulácia stavby'!E11)</f>
        <v/>
      </c>
      <c r="F15" s="521"/>
      <c r="I15" s="528" t="s">
        <v>20</v>
      </c>
      <c r="J15" s="19" t="str">
        <f>IF('Rekapitulácia stavby'!AN11="","",'Rekapitulácia stavby'!AN11)</f>
        <v/>
      </c>
      <c r="L15" s="24"/>
      <c r="W15" s="158"/>
      <c r="X15" s="658"/>
      <c r="Y15" s="658"/>
      <c r="Z15" s="655" t="str">
        <f>IF('Rekapitulácia stavby'!Z11="","",'Rekapitulácia stavby'!Z11)</f>
        <v/>
      </c>
      <c r="AA15" s="658"/>
      <c r="AB15" s="658"/>
      <c r="AC15" s="658"/>
      <c r="AD15" s="657" t="s">
        <v>20</v>
      </c>
      <c r="AE15" s="161" t="str">
        <f>IF('Rekapitulácia stavby'!BI11="","",'Rekapitulácia stavby'!BI11)</f>
        <v/>
      </c>
    </row>
    <row r="16" spans="1:46" s="1" customFormat="1" ht="7.05" customHeight="1" x14ac:dyDescent="0.2">
      <c r="B16" s="24"/>
      <c r="D16" s="521"/>
      <c r="F16" s="521"/>
      <c r="I16" s="521"/>
      <c r="L16" s="24"/>
      <c r="W16" s="158"/>
      <c r="X16" s="658"/>
      <c r="Y16" s="658"/>
      <c r="Z16" s="658"/>
      <c r="AA16" s="658"/>
      <c r="AB16" s="658"/>
      <c r="AC16" s="658"/>
      <c r="AD16" s="658"/>
      <c r="AE16" s="159"/>
    </row>
    <row r="17" spans="2:31" s="1" customFormat="1" ht="12" customHeight="1" x14ac:dyDescent="0.2">
      <c r="B17" s="24"/>
      <c r="D17" s="528" t="s">
        <v>21</v>
      </c>
      <c r="F17" s="529" t="s">
        <v>5202</v>
      </c>
      <c r="I17" s="528" t="s">
        <v>19</v>
      </c>
      <c r="J17" s="19"/>
      <c r="L17" s="24"/>
      <c r="W17" s="158"/>
      <c r="X17" s="658"/>
      <c r="Y17" s="657" t="s">
        <v>21</v>
      </c>
      <c r="Z17" s="658"/>
      <c r="AA17" s="576" t="s">
        <v>5202</v>
      </c>
      <c r="AB17" s="658"/>
      <c r="AC17" s="658"/>
      <c r="AD17" s="657" t="s">
        <v>19</v>
      </c>
      <c r="AE17" s="161"/>
    </row>
    <row r="18" spans="2:31" s="1" customFormat="1" ht="18" customHeight="1" x14ac:dyDescent="0.2">
      <c r="B18" s="24"/>
      <c r="D18" s="521"/>
      <c r="E18" s="1161"/>
      <c r="F18" s="1161"/>
      <c r="G18" s="1161"/>
      <c r="H18" s="1161"/>
      <c r="I18" s="528" t="s">
        <v>20</v>
      </c>
      <c r="J18" s="19" t="str">
        <f>'Rekapitulácia stavby'!AN14</f>
        <v/>
      </c>
      <c r="L18" s="24"/>
      <c r="W18" s="158"/>
      <c r="X18" s="658"/>
      <c r="Y18" s="658"/>
      <c r="Z18" s="1247"/>
      <c r="AA18" s="1247"/>
      <c r="AB18" s="1247"/>
      <c r="AC18" s="1247"/>
      <c r="AD18" s="657" t="s">
        <v>20</v>
      </c>
      <c r="AE18" s="161">
        <f>'Rekapitulácia stavby'!BI14</f>
        <v>0</v>
      </c>
    </row>
    <row r="19" spans="2:31" s="1" customFormat="1" ht="7.05" customHeight="1" x14ac:dyDescent="0.2">
      <c r="B19" s="24"/>
      <c r="D19" s="521"/>
      <c r="I19" s="521"/>
      <c r="L19" s="24"/>
      <c r="W19" s="158"/>
      <c r="X19" s="658"/>
      <c r="Y19" s="658"/>
      <c r="Z19" s="658"/>
      <c r="AA19" s="658"/>
      <c r="AB19" s="658"/>
      <c r="AC19" s="658"/>
      <c r="AD19" s="658"/>
      <c r="AE19" s="159"/>
    </row>
    <row r="20" spans="2:31" s="1" customFormat="1" ht="12" customHeight="1" x14ac:dyDescent="0.2">
      <c r="B20" s="24"/>
      <c r="D20" s="528" t="s">
        <v>22</v>
      </c>
      <c r="I20" s="528" t="s">
        <v>19</v>
      </c>
      <c r="J20" s="19" t="str">
        <f>IF('Rekapitulácia stavby'!AN16="","",'Rekapitulácia stavby'!AN16)</f>
        <v/>
      </c>
      <c r="L20" s="24"/>
      <c r="W20" s="158"/>
      <c r="X20" s="658"/>
      <c r="Y20" s="657" t="s">
        <v>22</v>
      </c>
      <c r="Z20" s="658"/>
      <c r="AA20" s="658"/>
      <c r="AB20" s="658"/>
      <c r="AC20" s="658"/>
      <c r="AD20" s="657" t="s">
        <v>19</v>
      </c>
      <c r="AE20" s="161" t="str">
        <f>IF('Rekapitulácia stavby'!BI16="","",'Rekapitulácia stavby'!BI16)</f>
        <v/>
      </c>
    </row>
    <row r="21" spans="2:31" s="1" customFormat="1" ht="18" customHeight="1" x14ac:dyDescent="0.2">
      <c r="B21" s="24"/>
      <c r="D21" s="521"/>
      <c r="E21" s="19" t="str">
        <f>IF('Rekapitulácia stavby'!E17="","",'Rekapitulácia stavby'!E17)</f>
        <v xml:space="preserve"> </v>
      </c>
      <c r="I21" s="528" t="s">
        <v>20</v>
      </c>
      <c r="J21" s="19" t="str">
        <f>IF('Rekapitulácia stavby'!AN17="","",'Rekapitulácia stavby'!AN17)</f>
        <v/>
      </c>
      <c r="L21" s="24"/>
      <c r="W21" s="158"/>
      <c r="X21" s="658"/>
      <c r="Y21" s="658"/>
      <c r="Z21" s="655" t="str">
        <f>IF('Rekapitulácia stavby'!Z17="","",'Rekapitulácia stavby'!Z17)</f>
        <v/>
      </c>
      <c r="AA21" s="658"/>
      <c r="AB21" s="658"/>
      <c r="AC21" s="658"/>
      <c r="AD21" s="657" t="s">
        <v>20</v>
      </c>
      <c r="AE21" s="161" t="str">
        <f>IF('Rekapitulácia stavby'!BI17="","",'Rekapitulácia stavby'!BI17)</f>
        <v/>
      </c>
    </row>
    <row r="22" spans="2:31" s="1" customFormat="1" ht="7.05" customHeight="1" x14ac:dyDescent="0.2">
      <c r="B22" s="24"/>
      <c r="D22" s="521"/>
      <c r="I22" s="521"/>
      <c r="L22" s="24"/>
      <c r="W22" s="158"/>
      <c r="X22" s="658"/>
      <c r="Y22" s="658"/>
      <c r="Z22" s="658"/>
      <c r="AA22" s="658"/>
      <c r="AB22" s="658"/>
      <c r="AC22" s="658"/>
      <c r="AD22" s="658"/>
      <c r="AE22" s="159"/>
    </row>
    <row r="23" spans="2:31" s="1" customFormat="1" ht="12" customHeight="1" x14ac:dyDescent="0.2">
      <c r="B23" s="24"/>
      <c r="D23" s="528" t="s">
        <v>24</v>
      </c>
      <c r="I23" s="528" t="s">
        <v>19</v>
      </c>
      <c r="J23" s="19" t="str">
        <f>IF('Rekapitulácia stavby'!AN19="","",'Rekapitulácia stavby'!AN19)</f>
        <v/>
      </c>
      <c r="L23" s="24"/>
      <c r="W23" s="158"/>
      <c r="X23" s="658"/>
      <c r="Y23" s="657" t="s">
        <v>24</v>
      </c>
      <c r="Z23" s="658"/>
      <c r="AA23" s="658"/>
      <c r="AB23" s="658"/>
      <c r="AC23" s="658"/>
      <c r="AD23" s="657" t="s">
        <v>19</v>
      </c>
      <c r="AE23" s="161" t="str">
        <f>IF('Rekapitulácia stavby'!BI19="","",'Rekapitulácia stavby'!BI19)</f>
        <v/>
      </c>
    </row>
    <row r="24" spans="2:31" s="1" customFormat="1" ht="18" customHeight="1" x14ac:dyDescent="0.2">
      <c r="B24" s="24"/>
      <c r="D24" s="521"/>
      <c r="E24" s="19" t="str">
        <f>IF('Rekapitulácia stavby'!E20="","",'Rekapitulácia stavby'!E20)</f>
        <v xml:space="preserve"> </v>
      </c>
      <c r="I24" s="528" t="s">
        <v>20</v>
      </c>
      <c r="J24" s="19" t="str">
        <f>IF('Rekapitulácia stavby'!AN20="","",'Rekapitulácia stavby'!AN20)</f>
        <v/>
      </c>
      <c r="L24" s="24"/>
      <c r="W24" s="158"/>
      <c r="X24" s="658"/>
      <c r="Y24" s="658"/>
      <c r="Z24" s="655" t="str">
        <f>IF('Rekapitulácia stavby'!Z20="","",'Rekapitulácia stavby'!Z20)</f>
        <v/>
      </c>
      <c r="AA24" s="658"/>
      <c r="AB24" s="658"/>
      <c r="AC24" s="658"/>
      <c r="AD24" s="657" t="s">
        <v>20</v>
      </c>
      <c r="AE24" s="161" t="str">
        <f>IF('Rekapitulácia stavby'!BI20="","",'Rekapitulácia stavby'!BI20)</f>
        <v/>
      </c>
    </row>
    <row r="25" spans="2:31" s="1" customFormat="1" ht="7.05" customHeight="1" x14ac:dyDescent="0.2">
      <c r="B25" s="24"/>
      <c r="D25" s="521"/>
      <c r="L25" s="24"/>
      <c r="W25" s="158"/>
      <c r="X25" s="658"/>
      <c r="Y25" s="658"/>
      <c r="Z25" s="658"/>
      <c r="AA25" s="658"/>
      <c r="AB25" s="658"/>
      <c r="AC25" s="658"/>
      <c r="AD25" s="658"/>
      <c r="AE25" s="159"/>
    </row>
    <row r="26" spans="2:31" s="1" customFormat="1" ht="12" customHeight="1" x14ac:dyDescent="0.2">
      <c r="B26" s="24"/>
      <c r="D26" s="528" t="s">
        <v>25</v>
      </c>
      <c r="L26" s="24"/>
      <c r="W26" s="158"/>
      <c r="X26" s="658"/>
      <c r="Y26" s="657" t="s">
        <v>25</v>
      </c>
      <c r="Z26" s="658"/>
      <c r="AA26" s="658"/>
      <c r="AB26" s="658"/>
      <c r="AC26" s="658"/>
      <c r="AD26" s="658"/>
      <c r="AE26" s="159"/>
    </row>
    <row r="27" spans="2:31" s="7" customFormat="1" ht="16.5" customHeight="1" x14ac:dyDescent="0.2">
      <c r="B27" s="75"/>
      <c r="E27" s="1228" t="s">
        <v>1</v>
      </c>
      <c r="F27" s="1228"/>
      <c r="G27" s="1228"/>
      <c r="H27" s="1228"/>
      <c r="L27" s="75"/>
      <c r="W27" s="163"/>
      <c r="X27" s="164"/>
      <c r="Y27" s="164"/>
      <c r="Z27" s="1248" t="s">
        <v>1</v>
      </c>
      <c r="AA27" s="1248"/>
      <c r="AB27" s="1248"/>
      <c r="AC27" s="1248"/>
      <c r="AD27" s="164"/>
      <c r="AE27" s="165"/>
    </row>
    <row r="28" spans="2:31" s="1" customFormat="1" ht="7.05" customHeight="1" x14ac:dyDescent="0.2">
      <c r="B28" s="24"/>
      <c r="L28" s="24"/>
      <c r="W28" s="158"/>
      <c r="X28" s="658"/>
      <c r="Y28" s="658"/>
      <c r="Z28" s="658"/>
      <c r="AA28" s="658"/>
      <c r="AB28" s="658"/>
      <c r="AC28" s="658"/>
      <c r="AD28" s="658"/>
      <c r="AE28" s="159"/>
    </row>
    <row r="29" spans="2:31" s="1" customFormat="1" ht="7.05" customHeight="1" x14ac:dyDescent="0.2">
      <c r="B29" s="24"/>
      <c r="D29" s="40"/>
      <c r="E29" s="40"/>
      <c r="F29" s="40"/>
      <c r="G29" s="40"/>
      <c r="H29" s="40"/>
      <c r="I29" s="40"/>
      <c r="J29" s="40"/>
      <c r="K29" s="40"/>
      <c r="L29" s="24"/>
      <c r="W29" s="158"/>
      <c r="X29" s="658"/>
      <c r="Y29" s="40"/>
      <c r="Z29" s="40"/>
      <c r="AA29" s="40"/>
      <c r="AB29" s="40"/>
      <c r="AC29" s="40"/>
      <c r="AD29" s="40"/>
      <c r="AE29" s="166"/>
    </row>
    <row r="30" spans="2:31" s="1" customFormat="1" ht="25.2" customHeight="1" x14ac:dyDescent="0.2">
      <c r="B30" s="24"/>
      <c r="D30" s="76" t="s">
        <v>26</v>
      </c>
      <c r="J30" s="53">
        <f>ROUND(J120, 2)</f>
        <v>100043.81</v>
      </c>
      <c r="L30" s="24"/>
      <c r="W30" s="158"/>
      <c r="X30" s="658"/>
      <c r="Y30" s="167" t="s">
        <v>26</v>
      </c>
      <c r="Z30" s="658"/>
      <c r="AA30" s="658"/>
      <c r="AB30" s="658"/>
      <c r="AC30" s="658"/>
      <c r="AD30" s="658"/>
      <c r="AE30" s="168">
        <f>ROUND(AE120, 2)</f>
        <v>98601.47</v>
      </c>
    </row>
    <row r="31" spans="2:31" s="1" customFormat="1" ht="7.05" customHeight="1" x14ac:dyDescent="0.2">
      <c r="B31" s="24"/>
      <c r="D31" s="40"/>
      <c r="E31" s="40"/>
      <c r="F31" s="40"/>
      <c r="G31" s="40"/>
      <c r="H31" s="40"/>
      <c r="I31" s="40"/>
      <c r="J31" s="40"/>
      <c r="K31" s="40"/>
      <c r="L31" s="24"/>
      <c r="W31" s="158"/>
      <c r="X31" s="658"/>
      <c r="Y31" s="40"/>
      <c r="Z31" s="40"/>
      <c r="AA31" s="40"/>
      <c r="AB31" s="40"/>
      <c r="AC31" s="40"/>
      <c r="AD31" s="40"/>
      <c r="AE31" s="166"/>
    </row>
    <row r="32" spans="2:31" s="1" customFormat="1" ht="14.55" customHeight="1" x14ac:dyDescent="0.2">
      <c r="B32" s="24"/>
      <c r="D32" s="521"/>
      <c r="E32" s="521"/>
      <c r="F32" s="534" t="s">
        <v>28</v>
      </c>
      <c r="G32" s="521"/>
      <c r="H32" s="521"/>
      <c r="I32" s="534" t="s">
        <v>27</v>
      </c>
      <c r="J32" s="534" t="s">
        <v>29</v>
      </c>
      <c r="L32" s="24"/>
      <c r="W32" s="158"/>
      <c r="X32" s="658"/>
      <c r="Y32" s="658"/>
      <c r="Z32" s="658"/>
      <c r="AA32" s="542" t="s">
        <v>28</v>
      </c>
      <c r="AB32" s="658"/>
      <c r="AC32" s="658"/>
      <c r="AD32" s="542" t="s">
        <v>27</v>
      </c>
      <c r="AE32" s="543" t="s">
        <v>29</v>
      </c>
    </row>
    <row r="33" spans="2:31" s="1" customFormat="1" ht="14.55" customHeight="1" x14ac:dyDescent="0.2">
      <c r="B33" s="24"/>
      <c r="D33" s="13" t="s">
        <v>30</v>
      </c>
      <c r="E33" s="528" t="s">
        <v>31</v>
      </c>
      <c r="F33" s="398">
        <f>ROUND((SUM(BE120:BE151)),  2)</f>
        <v>0</v>
      </c>
      <c r="G33" s="521"/>
      <c r="H33" s="521"/>
      <c r="I33" s="535">
        <v>0.2</v>
      </c>
      <c r="J33" s="398">
        <f>ROUND(((SUM(BE120:BE151))*I33),  2)</f>
        <v>0</v>
      </c>
      <c r="L33" s="24"/>
      <c r="W33" s="158"/>
      <c r="X33" s="658"/>
      <c r="Y33" s="544" t="s">
        <v>30</v>
      </c>
      <c r="Z33" s="657" t="s">
        <v>31</v>
      </c>
      <c r="AA33" s="545">
        <f>ROUND((SUM(BZ120:BZ151)),  2)</f>
        <v>0</v>
      </c>
      <c r="AB33" s="658"/>
      <c r="AC33" s="658"/>
      <c r="AD33" s="546">
        <v>0.2</v>
      </c>
      <c r="AE33" s="547">
        <f>ROUND(((SUM(BZ120:BZ151))*AD33),  2)</f>
        <v>0</v>
      </c>
    </row>
    <row r="34" spans="2:31" s="1" customFormat="1" ht="14.55" customHeight="1" x14ac:dyDescent="0.2">
      <c r="B34" s="24"/>
      <c r="D34" s="521"/>
      <c r="E34" s="528" t="s">
        <v>32</v>
      </c>
      <c r="F34" s="398">
        <f>ROUND((SUM(BF120:BF151)),  2)</f>
        <v>100043.81</v>
      </c>
      <c r="G34" s="521"/>
      <c r="H34" s="521"/>
      <c r="I34" s="535">
        <v>0.2</v>
      </c>
      <c r="J34" s="398">
        <f>ROUND(((SUM(BF120:BF151))*I34),  2)</f>
        <v>20008.759999999998</v>
      </c>
      <c r="L34" s="24"/>
      <c r="W34" s="158"/>
      <c r="X34" s="658"/>
      <c r="Y34" s="658"/>
      <c r="Z34" s="657" t="s">
        <v>32</v>
      </c>
      <c r="AA34" s="545">
        <f>AE30</f>
        <v>98601.47</v>
      </c>
      <c r="AB34" s="658"/>
      <c r="AC34" s="658"/>
      <c r="AD34" s="546">
        <v>0.2</v>
      </c>
      <c r="AE34" s="547">
        <f>AA34*0.2</f>
        <v>19720.294000000002</v>
      </c>
    </row>
    <row r="35" spans="2:31" s="1" customFormat="1" ht="14.55" hidden="1" customHeight="1" x14ac:dyDescent="0.2">
      <c r="B35" s="24"/>
      <c r="E35" s="21" t="s">
        <v>33</v>
      </c>
      <c r="F35" s="78">
        <f>ROUND((SUM(BG120:BG151)),  2)</f>
        <v>0</v>
      </c>
      <c r="I35" s="79">
        <v>0.2</v>
      </c>
      <c r="J35" s="78">
        <f>0</f>
        <v>0</v>
      </c>
      <c r="L35" s="24"/>
      <c r="W35" s="158"/>
      <c r="X35" s="658"/>
      <c r="Y35" s="658"/>
      <c r="Z35" s="659" t="s">
        <v>33</v>
      </c>
      <c r="AA35" s="170">
        <f>ROUND((SUM(CB120:CB151)),  2)</f>
        <v>0</v>
      </c>
      <c r="AB35" s="658"/>
      <c r="AC35" s="658"/>
      <c r="AD35" s="171">
        <v>0.2</v>
      </c>
      <c r="AE35" s="172">
        <f>0</f>
        <v>0</v>
      </c>
    </row>
    <row r="36" spans="2:31" s="1" customFormat="1" ht="14.55" hidden="1" customHeight="1" x14ac:dyDescent="0.2">
      <c r="B36" s="24"/>
      <c r="E36" s="21" t="s">
        <v>34</v>
      </c>
      <c r="F36" s="78">
        <f>ROUND((SUM(BH120:BH151)),  2)</f>
        <v>0</v>
      </c>
      <c r="I36" s="79">
        <v>0.2</v>
      </c>
      <c r="J36" s="78">
        <f>0</f>
        <v>0</v>
      </c>
      <c r="L36" s="24"/>
      <c r="W36" s="158"/>
      <c r="X36" s="658"/>
      <c r="Y36" s="658"/>
      <c r="Z36" s="659" t="s">
        <v>34</v>
      </c>
      <c r="AA36" s="170">
        <f>ROUND((SUM(CC120:CC151)),  2)</f>
        <v>0</v>
      </c>
      <c r="AB36" s="658"/>
      <c r="AC36" s="658"/>
      <c r="AD36" s="171">
        <v>0.2</v>
      </c>
      <c r="AE36" s="172">
        <f>0</f>
        <v>0</v>
      </c>
    </row>
    <row r="37" spans="2:31" s="1" customFormat="1" ht="14.55" hidden="1" customHeight="1" x14ac:dyDescent="0.2">
      <c r="B37" s="24"/>
      <c r="E37" s="21" t="s">
        <v>35</v>
      </c>
      <c r="F37" s="78">
        <f>ROUND((SUM(BI120:BI151)),  2)</f>
        <v>0</v>
      </c>
      <c r="I37" s="79">
        <v>0</v>
      </c>
      <c r="J37" s="78">
        <f>0</f>
        <v>0</v>
      </c>
      <c r="L37" s="24"/>
      <c r="W37" s="158"/>
      <c r="X37" s="658"/>
      <c r="Y37" s="658"/>
      <c r="Z37" s="659" t="s">
        <v>35</v>
      </c>
      <c r="AA37" s="170">
        <f>ROUND((SUM(CD120:CD151)),  2)</f>
        <v>0</v>
      </c>
      <c r="AB37" s="658"/>
      <c r="AC37" s="658"/>
      <c r="AD37" s="171">
        <v>0</v>
      </c>
      <c r="AE37" s="172">
        <f>0</f>
        <v>0</v>
      </c>
    </row>
    <row r="38" spans="2:31" s="1" customFormat="1" ht="7.05" customHeight="1" x14ac:dyDescent="0.2">
      <c r="B38" s="24"/>
      <c r="L38" s="24"/>
      <c r="W38" s="158"/>
      <c r="X38" s="658"/>
      <c r="Y38" s="658"/>
      <c r="Z38" s="658"/>
      <c r="AA38" s="658"/>
      <c r="AB38" s="658"/>
      <c r="AC38" s="658"/>
      <c r="AD38" s="658"/>
      <c r="AE38" s="159"/>
    </row>
    <row r="39" spans="2:31" s="1" customFormat="1" ht="25.2" customHeight="1" x14ac:dyDescent="0.2">
      <c r="B39" s="24"/>
      <c r="C39" s="80"/>
      <c r="D39" s="81" t="s">
        <v>36</v>
      </c>
      <c r="E39" s="44"/>
      <c r="F39" s="44"/>
      <c r="G39" s="82" t="s">
        <v>37</v>
      </c>
      <c r="H39" s="83" t="s">
        <v>38</v>
      </c>
      <c r="I39" s="44"/>
      <c r="J39" s="84">
        <f>SUM(J30:J37)</f>
        <v>120052.56999999999</v>
      </c>
      <c r="K39" s="85"/>
      <c r="L39" s="24"/>
      <c r="W39" s="158"/>
      <c r="X39" s="173"/>
      <c r="Y39" s="81" t="s">
        <v>36</v>
      </c>
      <c r="Z39" s="44"/>
      <c r="AA39" s="44"/>
      <c r="AB39" s="82" t="s">
        <v>37</v>
      </c>
      <c r="AC39" s="83" t="s">
        <v>38</v>
      </c>
      <c r="AD39" s="44"/>
      <c r="AE39" s="174">
        <f>SUM(AE30:AE37)</f>
        <v>118321.764</v>
      </c>
    </row>
    <row r="40" spans="2:31" s="1" customFormat="1" ht="14.55" customHeight="1" x14ac:dyDescent="0.2">
      <c r="B40" s="24"/>
      <c r="L40" s="24"/>
      <c r="W40" s="158"/>
      <c r="X40" s="658"/>
      <c r="Y40" s="658"/>
      <c r="Z40" s="658"/>
      <c r="AA40" s="658"/>
      <c r="AB40" s="658"/>
      <c r="AC40" s="658"/>
      <c r="AD40" s="658"/>
      <c r="AE40" s="159"/>
    </row>
    <row r="41" spans="2:31" ht="14.55" customHeight="1" x14ac:dyDescent="0.2">
      <c r="B41" s="16"/>
      <c r="L41" s="16"/>
      <c r="W41" s="155"/>
      <c r="X41" s="156"/>
      <c r="Y41" s="156"/>
      <c r="Z41" s="156"/>
      <c r="AA41" s="156"/>
      <c r="AB41" s="156"/>
      <c r="AC41" s="156"/>
      <c r="AD41" s="156"/>
      <c r="AE41" s="157"/>
    </row>
    <row r="42" spans="2:31" ht="14.55" customHeight="1" x14ac:dyDescent="0.2">
      <c r="B42" s="16"/>
      <c r="L42" s="16"/>
      <c r="W42" s="155"/>
      <c r="X42" s="156"/>
      <c r="Y42" s="156"/>
      <c r="Z42" s="156"/>
      <c r="AA42" s="156"/>
      <c r="AB42" s="156"/>
      <c r="AC42" s="156"/>
      <c r="AD42" s="156"/>
      <c r="AE42" s="157"/>
    </row>
    <row r="43" spans="2:31" ht="14.55" customHeight="1" x14ac:dyDescent="0.2">
      <c r="B43" s="16"/>
      <c r="L43" s="16"/>
      <c r="W43" s="155"/>
      <c r="X43" s="156"/>
      <c r="Y43" s="156"/>
      <c r="Z43" s="156"/>
      <c r="AA43" s="156"/>
      <c r="AB43" s="156"/>
      <c r="AC43" s="156"/>
      <c r="AD43" s="156"/>
      <c r="AE43" s="157"/>
    </row>
    <row r="44" spans="2:31" ht="14.55" customHeight="1" x14ac:dyDescent="0.2">
      <c r="B44" s="16"/>
      <c r="L44" s="16"/>
      <c r="W44" s="155"/>
      <c r="X44" s="156"/>
      <c r="Y44" s="156"/>
      <c r="Z44" s="156"/>
      <c r="AA44" s="156"/>
      <c r="AB44" s="156"/>
      <c r="AC44" s="156"/>
      <c r="AD44" s="156"/>
      <c r="AE44" s="157"/>
    </row>
    <row r="45" spans="2:31" ht="14.55" customHeight="1" x14ac:dyDescent="0.2">
      <c r="B45" s="16"/>
      <c r="L45" s="16"/>
      <c r="W45" s="155"/>
      <c r="X45" s="156"/>
      <c r="Y45" s="156"/>
      <c r="Z45" s="156"/>
      <c r="AA45" s="156"/>
      <c r="AB45" s="156"/>
      <c r="AC45" s="156"/>
      <c r="AD45" s="156"/>
      <c r="AE45" s="157"/>
    </row>
    <row r="46" spans="2:31" ht="14.55" customHeight="1" x14ac:dyDescent="0.2">
      <c r="B46" s="16"/>
      <c r="L46" s="16"/>
      <c r="W46" s="155"/>
      <c r="X46" s="156"/>
      <c r="Y46" s="156"/>
      <c r="Z46" s="156"/>
      <c r="AA46" s="156"/>
      <c r="AB46" s="156"/>
      <c r="AC46" s="156"/>
      <c r="AD46" s="156"/>
      <c r="AE46" s="157"/>
    </row>
    <row r="47" spans="2:31" ht="14.55" customHeight="1" x14ac:dyDescent="0.2">
      <c r="B47" s="16"/>
      <c r="L47" s="16"/>
      <c r="W47" s="155"/>
      <c r="X47" s="156"/>
      <c r="Y47" s="156"/>
      <c r="Z47" s="156"/>
      <c r="AA47" s="156"/>
      <c r="AB47" s="156"/>
      <c r="AC47" s="156"/>
      <c r="AD47" s="156"/>
      <c r="AE47" s="157"/>
    </row>
    <row r="48" spans="2:31" ht="14.55" customHeight="1" x14ac:dyDescent="0.2">
      <c r="B48" s="16"/>
      <c r="L48" s="16"/>
      <c r="W48" s="155"/>
      <c r="X48" s="156"/>
      <c r="Y48" s="156"/>
      <c r="Z48" s="156"/>
      <c r="AA48" s="156"/>
      <c r="AB48" s="156"/>
      <c r="AC48" s="156"/>
      <c r="AD48" s="156"/>
      <c r="AE48" s="157"/>
    </row>
    <row r="49" spans="2:31" ht="14.55" customHeight="1" x14ac:dyDescent="0.2">
      <c r="B49" s="16"/>
      <c r="D49" s="156"/>
      <c r="E49" s="156"/>
      <c r="F49" s="156"/>
      <c r="G49" s="156"/>
      <c r="H49" s="156"/>
      <c r="I49" s="156"/>
      <c r="J49" s="156"/>
      <c r="L49" s="16"/>
      <c r="W49" s="155"/>
      <c r="X49" s="156"/>
      <c r="Y49" s="156"/>
      <c r="Z49" s="156"/>
      <c r="AA49" s="156"/>
      <c r="AB49" s="156"/>
      <c r="AC49" s="156"/>
      <c r="AD49" s="156"/>
      <c r="AE49" s="157"/>
    </row>
    <row r="50" spans="2:31" s="1" customFormat="1" ht="14.55" customHeight="1" x14ac:dyDescent="0.2">
      <c r="B50" s="24"/>
      <c r="D50" s="530"/>
      <c r="E50" s="523"/>
      <c r="F50" s="523"/>
      <c r="G50" s="530"/>
      <c r="H50" s="523"/>
      <c r="I50" s="523"/>
      <c r="J50" s="523"/>
      <c r="K50" s="32"/>
      <c r="L50" s="24"/>
      <c r="W50" s="158"/>
      <c r="X50" s="658"/>
      <c r="Y50" s="530"/>
      <c r="Z50" s="658"/>
      <c r="AA50" s="658"/>
      <c r="AB50" s="530"/>
      <c r="AC50" s="658"/>
      <c r="AD50" s="658"/>
      <c r="AE50" s="159"/>
    </row>
    <row r="51" spans="2:31" x14ac:dyDescent="0.2">
      <c r="B51" s="16"/>
      <c r="D51" s="156"/>
      <c r="E51" s="156"/>
      <c r="F51" s="156"/>
      <c r="G51" s="156"/>
      <c r="H51" s="156"/>
      <c r="I51" s="156"/>
      <c r="J51" s="156"/>
      <c r="L51" s="16"/>
      <c r="W51" s="155"/>
      <c r="X51" s="156"/>
      <c r="Y51" s="156"/>
      <c r="Z51" s="156"/>
      <c r="AA51" s="156"/>
      <c r="AB51" s="156"/>
      <c r="AC51" s="156"/>
      <c r="AD51" s="156"/>
      <c r="AE51" s="157"/>
    </row>
    <row r="52" spans="2:31" x14ac:dyDescent="0.2">
      <c r="B52" s="16"/>
      <c r="D52" s="156"/>
      <c r="E52" s="156"/>
      <c r="F52" s="156"/>
      <c r="G52" s="156"/>
      <c r="H52" s="156"/>
      <c r="I52" s="156"/>
      <c r="J52" s="156"/>
      <c r="L52" s="16"/>
      <c r="W52" s="155"/>
      <c r="X52" s="156"/>
      <c r="Y52" s="156"/>
      <c r="Z52" s="156"/>
      <c r="AA52" s="156"/>
      <c r="AB52" s="156"/>
      <c r="AC52" s="156"/>
      <c r="AD52" s="156"/>
      <c r="AE52" s="157"/>
    </row>
    <row r="53" spans="2:31" x14ac:dyDescent="0.2">
      <c r="B53" s="16"/>
      <c r="D53" s="156"/>
      <c r="E53" s="156"/>
      <c r="F53" s="156"/>
      <c r="G53" s="156"/>
      <c r="H53" s="156"/>
      <c r="I53" s="156"/>
      <c r="J53" s="156"/>
      <c r="L53" s="16"/>
      <c r="W53" s="155"/>
      <c r="X53" s="156"/>
      <c r="Y53" s="156"/>
      <c r="Z53" s="156"/>
      <c r="AA53" s="156"/>
      <c r="AB53" s="156"/>
      <c r="AC53" s="156"/>
      <c r="AD53" s="156"/>
      <c r="AE53" s="157"/>
    </row>
    <row r="54" spans="2:31" x14ac:dyDescent="0.2">
      <c r="B54" s="16"/>
      <c r="D54" s="156"/>
      <c r="E54" s="156"/>
      <c r="F54" s="156"/>
      <c r="G54" s="156"/>
      <c r="H54" s="156"/>
      <c r="I54" s="156"/>
      <c r="J54" s="156"/>
      <c r="L54" s="16"/>
      <c r="W54" s="155"/>
      <c r="X54" s="156"/>
      <c r="Y54" s="156"/>
      <c r="Z54" s="156"/>
      <c r="AA54" s="156"/>
      <c r="AB54" s="156"/>
      <c r="AC54" s="156"/>
      <c r="AD54" s="156"/>
      <c r="AE54" s="157"/>
    </row>
    <row r="55" spans="2:31" x14ac:dyDescent="0.2">
      <c r="B55" s="16"/>
      <c r="D55" s="156"/>
      <c r="E55" s="156"/>
      <c r="F55" s="156"/>
      <c r="G55" s="156"/>
      <c r="H55" s="156"/>
      <c r="I55" s="156"/>
      <c r="J55" s="156"/>
      <c r="L55" s="16"/>
      <c r="W55" s="155"/>
      <c r="X55" s="156"/>
      <c r="Y55" s="156"/>
      <c r="Z55" s="156"/>
      <c r="AA55" s="156"/>
      <c r="AB55" s="156"/>
      <c r="AC55" s="156"/>
      <c r="AD55" s="156"/>
      <c r="AE55" s="157"/>
    </row>
    <row r="56" spans="2:31" x14ac:dyDescent="0.2">
      <c r="B56" s="16"/>
      <c r="D56" s="156"/>
      <c r="E56" s="156"/>
      <c r="F56" s="156"/>
      <c r="G56" s="156"/>
      <c r="H56" s="156"/>
      <c r="I56" s="156"/>
      <c r="J56" s="156"/>
      <c r="L56" s="16"/>
      <c r="W56" s="155"/>
      <c r="X56" s="156"/>
      <c r="Y56" s="156"/>
      <c r="Z56" s="156"/>
      <c r="AA56" s="156"/>
      <c r="AB56" s="156"/>
      <c r="AC56" s="156"/>
      <c r="AD56" s="156"/>
      <c r="AE56" s="157"/>
    </row>
    <row r="57" spans="2:31" x14ac:dyDescent="0.2">
      <c r="B57" s="16"/>
      <c r="D57" s="156"/>
      <c r="E57" s="156"/>
      <c r="F57" s="156"/>
      <c r="G57" s="156"/>
      <c r="H57" s="156"/>
      <c r="I57" s="156"/>
      <c r="J57" s="156"/>
      <c r="L57" s="16"/>
      <c r="W57" s="155"/>
      <c r="X57" s="156"/>
      <c r="Y57" s="156"/>
      <c r="Z57" s="156"/>
      <c r="AA57" s="156"/>
      <c r="AB57" s="156"/>
      <c r="AC57" s="156"/>
      <c r="AD57" s="156"/>
      <c r="AE57" s="157"/>
    </row>
    <row r="58" spans="2:31" x14ac:dyDescent="0.2">
      <c r="B58" s="16"/>
      <c r="D58" s="156"/>
      <c r="E58" s="156"/>
      <c r="F58" s="156"/>
      <c r="G58" s="156"/>
      <c r="H58" s="156"/>
      <c r="I58" s="156"/>
      <c r="J58" s="156"/>
      <c r="L58" s="16"/>
      <c r="W58" s="155"/>
      <c r="X58" s="156"/>
      <c r="Y58" s="156"/>
      <c r="Z58" s="156"/>
      <c r="AA58" s="156"/>
      <c r="AB58" s="156"/>
      <c r="AC58" s="156"/>
      <c r="AD58" s="156"/>
      <c r="AE58" s="157"/>
    </row>
    <row r="59" spans="2:31" x14ac:dyDescent="0.2">
      <c r="B59" s="16"/>
      <c r="D59" s="156"/>
      <c r="E59" s="156"/>
      <c r="F59" s="156"/>
      <c r="G59" s="156"/>
      <c r="H59" s="156"/>
      <c r="I59" s="156"/>
      <c r="J59" s="156"/>
      <c r="L59" s="16"/>
      <c r="W59" s="155"/>
      <c r="X59" s="156"/>
      <c r="Y59" s="156"/>
      <c r="Z59" s="156"/>
      <c r="AA59" s="156"/>
      <c r="AB59" s="156"/>
      <c r="AC59" s="156"/>
      <c r="AD59" s="156"/>
      <c r="AE59" s="157"/>
    </row>
    <row r="60" spans="2:31" x14ac:dyDescent="0.2">
      <c r="B60" s="16"/>
      <c r="D60" s="156"/>
      <c r="E60" s="156"/>
      <c r="F60" s="156"/>
      <c r="G60" s="156"/>
      <c r="H60" s="156"/>
      <c r="I60" s="156"/>
      <c r="J60" s="156"/>
      <c r="L60" s="16"/>
      <c r="W60" s="155"/>
      <c r="X60" s="156"/>
      <c r="Y60" s="156"/>
      <c r="Z60" s="156"/>
      <c r="AA60" s="156"/>
      <c r="AB60" s="156"/>
      <c r="AC60" s="156"/>
      <c r="AD60" s="156"/>
      <c r="AE60" s="157"/>
    </row>
    <row r="61" spans="2:31" s="1" customFormat="1" ht="13.2" x14ac:dyDescent="0.2">
      <c r="B61" s="24"/>
      <c r="D61" s="522"/>
      <c r="E61" s="523"/>
      <c r="F61" s="536"/>
      <c r="G61" s="522"/>
      <c r="H61" s="523"/>
      <c r="I61" s="523"/>
      <c r="J61" s="169"/>
      <c r="K61" s="26"/>
      <c r="L61" s="24"/>
      <c r="W61" s="158"/>
      <c r="X61" s="658"/>
      <c r="Y61" s="659"/>
      <c r="Z61" s="658"/>
      <c r="AA61" s="536"/>
      <c r="AB61" s="659"/>
      <c r="AC61" s="658"/>
      <c r="AD61" s="658"/>
      <c r="AE61" s="577"/>
    </row>
    <row r="62" spans="2:31" x14ac:dyDescent="0.2">
      <c r="B62" s="16"/>
      <c r="D62" s="156"/>
      <c r="E62" s="156"/>
      <c r="F62" s="156"/>
      <c r="G62" s="156"/>
      <c r="H62" s="156"/>
      <c r="I62" s="156"/>
      <c r="J62" s="156"/>
      <c r="L62" s="16"/>
      <c r="W62" s="155"/>
      <c r="X62" s="156"/>
      <c r="Y62" s="156"/>
      <c r="Z62" s="156"/>
      <c r="AA62" s="156"/>
      <c r="AB62" s="156"/>
      <c r="AC62" s="156"/>
      <c r="AD62" s="156"/>
      <c r="AE62" s="157"/>
    </row>
    <row r="63" spans="2:31" x14ac:dyDescent="0.2">
      <c r="B63" s="16"/>
      <c r="D63" s="156"/>
      <c r="E63" s="156"/>
      <c r="F63" s="156"/>
      <c r="G63" s="156"/>
      <c r="H63" s="156"/>
      <c r="I63" s="156"/>
      <c r="J63" s="156"/>
      <c r="L63" s="16"/>
      <c r="W63" s="155"/>
      <c r="X63" s="156"/>
      <c r="Y63" s="156"/>
      <c r="Z63" s="156"/>
      <c r="AA63" s="156"/>
      <c r="AB63" s="156"/>
      <c r="AC63" s="156"/>
      <c r="AD63" s="156"/>
      <c r="AE63" s="157"/>
    </row>
    <row r="64" spans="2:31" x14ac:dyDescent="0.2">
      <c r="B64" s="16"/>
      <c r="D64" s="156"/>
      <c r="E64" s="156"/>
      <c r="F64" s="156"/>
      <c r="G64" s="156"/>
      <c r="H64" s="156"/>
      <c r="I64" s="156"/>
      <c r="J64" s="156"/>
      <c r="L64" s="16"/>
      <c r="W64" s="155"/>
      <c r="X64" s="156"/>
      <c r="Y64" s="156"/>
      <c r="Z64" s="156"/>
      <c r="AA64" s="156"/>
      <c r="AB64" s="156"/>
      <c r="AC64" s="156"/>
      <c r="AD64" s="156"/>
      <c r="AE64" s="157"/>
    </row>
    <row r="65" spans="2:31" s="1" customFormat="1" ht="13.2" x14ac:dyDescent="0.2">
      <c r="B65" s="24"/>
      <c r="D65" s="530"/>
      <c r="E65" s="523"/>
      <c r="F65" s="523"/>
      <c r="G65" s="530"/>
      <c r="H65" s="523"/>
      <c r="I65" s="523"/>
      <c r="J65" s="523"/>
      <c r="K65" s="32"/>
      <c r="L65" s="24"/>
      <c r="W65" s="158"/>
      <c r="X65" s="658"/>
      <c r="Y65" s="530"/>
      <c r="Z65" s="658"/>
      <c r="AA65" s="658"/>
      <c r="AB65" s="530"/>
      <c r="AC65" s="658"/>
      <c r="AD65" s="658"/>
      <c r="AE65" s="159"/>
    </row>
    <row r="66" spans="2:31" x14ac:dyDescent="0.2">
      <c r="B66" s="16"/>
      <c r="D66" s="156"/>
      <c r="E66" s="156"/>
      <c r="F66" s="156"/>
      <c r="G66" s="156"/>
      <c r="H66" s="156"/>
      <c r="I66" s="156"/>
      <c r="J66" s="156"/>
      <c r="L66" s="16"/>
      <c r="W66" s="155"/>
      <c r="X66" s="156"/>
      <c r="Y66" s="156"/>
      <c r="Z66" s="156"/>
      <c r="AA66" s="156"/>
      <c r="AB66" s="156"/>
      <c r="AC66" s="156"/>
      <c r="AD66" s="156"/>
      <c r="AE66" s="157"/>
    </row>
    <row r="67" spans="2:31" x14ac:dyDescent="0.2">
      <c r="B67" s="16"/>
      <c r="D67" s="156"/>
      <c r="E67" s="156"/>
      <c r="F67" s="156"/>
      <c r="G67" s="156"/>
      <c r="H67" s="156"/>
      <c r="I67" s="156"/>
      <c r="J67" s="156"/>
      <c r="L67" s="16"/>
      <c r="W67" s="155"/>
      <c r="X67" s="156"/>
      <c r="Y67" s="156"/>
      <c r="Z67" s="156"/>
      <c r="AA67" s="156"/>
      <c r="AB67" s="156"/>
      <c r="AC67" s="156"/>
      <c r="AD67" s="156"/>
      <c r="AE67" s="157"/>
    </row>
    <row r="68" spans="2:31" x14ac:dyDescent="0.2">
      <c r="B68" s="16"/>
      <c r="D68" s="156"/>
      <c r="E68" s="156"/>
      <c r="F68" s="156"/>
      <c r="G68" s="156"/>
      <c r="H68" s="156"/>
      <c r="I68" s="156"/>
      <c r="J68" s="156"/>
      <c r="L68" s="16"/>
      <c r="W68" s="155"/>
      <c r="X68" s="156"/>
      <c r="Y68" s="156"/>
      <c r="Z68" s="156"/>
      <c r="AA68" s="156"/>
      <c r="AB68" s="156"/>
      <c r="AC68" s="156"/>
      <c r="AD68" s="156"/>
      <c r="AE68" s="157"/>
    </row>
    <row r="69" spans="2:31" x14ac:dyDescent="0.2">
      <c r="B69" s="16"/>
      <c r="D69" s="156"/>
      <c r="E69" s="156"/>
      <c r="F69" s="156"/>
      <c r="G69" s="156"/>
      <c r="H69" s="156"/>
      <c r="I69" s="156"/>
      <c r="J69" s="156"/>
      <c r="L69" s="16"/>
      <c r="W69" s="155"/>
      <c r="X69" s="156"/>
      <c r="Y69" s="156"/>
      <c r="Z69" s="156"/>
      <c r="AA69" s="156"/>
      <c r="AB69" s="156"/>
      <c r="AC69" s="156"/>
      <c r="AD69" s="156"/>
      <c r="AE69" s="157"/>
    </row>
    <row r="70" spans="2:31" x14ac:dyDescent="0.2">
      <c r="B70" s="16"/>
      <c r="D70" s="156"/>
      <c r="E70" s="156"/>
      <c r="F70" s="156"/>
      <c r="G70" s="156"/>
      <c r="H70" s="156"/>
      <c r="I70" s="156"/>
      <c r="J70" s="156"/>
      <c r="L70" s="16"/>
      <c r="W70" s="155"/>
      <c r="X70" s="156"/>
      <c r="Y70" s="156"/>
      <c r="Z70" s="156"/>
      <c r="AA70" s="156"/>
      <c r="AB70" s="156"/>
      <c r="AC70" s="156"/>
      <c r="AD70" s="156"/>
      <c r="AE70" s="157"/>
    </row>
    <row r="71" spans="2:31" x14ac:dyDescent="0.2">
      <c r="B71" s="16"/>
      <c r="D71" s="156"/>
      <c r="E71" s="156"/>
      <c r="F71" s="156"/>
      <c r="G71" s="156"/>
      <c r="H71" s="156"/>
      <c r="I71" s="156"/>
      <c r="J71" s="156"/>
      <c r="L71" s="16"/>
      <c r="W71" s="155"/>
      <c r="X71" s="156"/>
      <c r="Y71" s="156"/>
      <c r="Z71" s="156"/>
      <c r="AA71" s="156"/>
      <c r="AB71" s="156"/>
      <c r="AC71" s="156"/>
      <c r="AD71" s="156"/>
      <c r="AE71" s="157"/>
    </row>
    <row r="72" spans="2:31" x14ac:dyDescent="0.2">
      <c r="B72" s="16"/>
      <c r="D72" s="156"/>
      <c r="E72" s="156"/>
      <c r="F72" s="156"/>
      <c r="G72" s="156"/>
      <c r="H72" s="156"/>
      <c r="I72" s="156"/>
      <c r="J72" s="156"/>
      <c r="L72" s="16"/>
      <c r="W72" s="155"/>
      <c r="X72" s="156"/>
      <c r="Y72" s="156"/>
      <c r="Z72" s="156"/>
      <c r="AA72" s="156"/>
      <c r="AB72" s="156"/>
      <c r="AC72" s="156"/>
      <c r="AD72" s="156"/>
      <c r="AE72" s="157"/>
    </row>
    <row r="73" spans="2:31" x14ac:dyDescent="0.2">
      <c r="B73" s="16"/>
      <c r="D73" s="156"/>
      <c r="E73" s="156"/>
      <c r="F73" s="156"/>
      <c r="G73" s="156"/>
      <c r="H73" s="156"/>
      <c r="I73" s="156"/>
      <c r="J73" s="156"/>
      <c r="L73" s="16"/>
      <c r="W73" s="155"/>
      <c r="X73" s="156"/>
      <c r="Y73" s="156"/>
      <c r="Z73" s="156"/>
      <c r="AA73" s="156"/>
      <c r="AB73" s="156"/>
      <c r="AC73" s="156"/>
      <c r="AD73" s="156"/>
      <c r="AE73" s="157"/>
    </row>
    <row r="74" spans="2:31" x14ac:dyDescent="0.2">
      <c r="B74" s="16"/>
      <c r="D74" s="156"/>
      <c r="E74" s="156"/>
      <c r="F74" s="156"/>
      <c r="G74" s="156"/>
      <c r="H74" s="156"/>
      <c r="I74" s="156"/>
      <c r="J74" s="156"/>
      <c r="L74" s="16"/>
      <c r="W74" s="155"/>
      <c r="X74" s="156"/>
      <c r="Y74" s="156"/>
      <c r="Z74" s="156"/>
      <c r="AA74" s="156"/>
      <c r="AB74" s="156"/>
      <c r="AC74" s="156"/>
      <c r="AD74" s="156"/>
      <c r="AE74" s="157"/>
    </row>
    <row r="75" spans="2:31" x14ac:dyDescent="0.2">
      <c r="B75" s="16"/>
      <c r="D75" s="156"/>
      <c r="E75" s="156"/>
      <c r="F75" s="156"/>
      <c r="G75" s="156"/>
      <c r="H75" s="156"/>
      <c r="I75" s="156"/>
      <c r="J75" s="156"/>
      <c r="L75" s="16"/>
      <c r="W75" s="155"/>
      <c r="X75" s="156"/>
      <c r="Y75" s="156"/>
      <c r="Z75" s="156"/>
      <c r="AA75" s="156"/>
      <c r="AB75" s="156"/>
      <c r="AC75" s="156"/>
      <c r="AD75" s="156"/>
      <c r="AE75" s="157"/>
    </row>
    <row r="76" spans="2:31" s="1" customFormat="1" ht="13.2" x14ac:dyDescent="0.2">
      <c r="B76" s="24"/>
      <c r="D76" s="522"/>
      <c r="E76" s="523"/>
      <c r="F76" s="536"/>
      <c r="G76" s="522"/>
      <c r="H76" s="523"/>
      <c r="I76" s="523"/>
      <c r="J76" s="169"/>
      <c r="K76" s="26"/>
      <c r="L76" s="24"/>
      <c r="W76" s="158"/>
      <c r="X76" s="658"/>
      <c r="Y76" s="659"/>
      <c r="Z76" s="658"/>
      <c r="AA76" s="536"/>
      <c r="AB76" s="659"/>
      <c r="AC76" s="658"/>
      <c r="AD76" s="658"/>
      <c r="AE76" s="577"/>
    </row>
    <row r="77" spans="2:31" s="1" customFormat="1" ht="14.55" customHeight="1" x14ac:dyDescent="0.2">
      <c r="B77" s="33"/>
      <c r="C77" s="34"/>
      <c r="D77" s="34"/>
      <c r="E77" s="34"/>
      <c r="F77" s="34"/>
      <c r="G77" s="34"/>
      <c r="H77" s="34"/>
      <c r="I77" s="34"/>
      <c r="J77" s="34"/>
      <c r="K77" s="34"/>
      <c r="L77" s="24"/>
      <c r="W77" s="175"/>
      <c r="X77" s="176"/>
      <c r="Y77" s="176"/>
      <c r="Z77" s="176"/>
      <c r="AA77" s="176"/>
      <c r="AB77" s="176"/>
      <c r="AC77" s="176"/>
      <c r="AD77" s="176"/>
      <c r="AE77" s="177"/>
    </row>
    <row r="81" spans="2:47" s="1" customFormat="1" ht="7.05" customHeight="1" x14ac:dyDescent="0.2">
      <c r="B81" s="35"/>
      <c r="C81" s="36"/>
      <c r="D81" s="36"/>
      <c r="E81" s="36"/>
      <c r="F81" s="36"/>
      <c r="G81" s="36"/>
      <c r="H81" s="36"/>
      <c r="I81" s="36"/>
      <c r="J81" s="36"/>
      <c r="K81" s="36"/>
      <c r="L81" s="24"/>
      <c r="W81" s="178"/>
      <c r="X81" s="179"/>
      <c r="Y81" s="179"/>
      <c r="Z81" s="179"/>
      <c r="AA81" s="179"/>
      <c r="AB81" s="179"/>
      <c r="AC81" s="179"/>
      <c r="AD81" s="179"/>
      <c r="AE81" s="180"/>
    </row>
    <row r="82" spans="2:47" s="1" customFormat="1" ht="25.05" customHeight="1" x14ac:dyDescent="0.2">
      <c r="B82" s="24"/>
      <c r="C82" s="1165" t="s">
        <v>188</v>
      </c>
      <c r="D82" s="1165"/>
      <c r="E82" s="1165"/>
      <c r="F82" s="1165"/>
      <c r="G82" s="1165"/>
      <c r="H82" s="1165"/>
      <c r="I82" s="1165"/>
      <c r="J82" s="1165"/>
      <c r="L82" s="24"/>
      <c r="W82" s="158"/>
      <c r="X82" s="1237" t="s">
        <v>188</v>
      </c>
      <c r="Y82" s="1237"/>
      <c r="Z82" s="1237"/>
      <c r="AA82" s="1237"/>
      <c r="AB82" s="1237"/>
      <c r="AC82" s="1237"/>
      <c r="AD82" s="1237"/>
      <c r="AE82" s="1238"/>
    </row>
    <row r="83" spans="2:47" s="1" customFormat="1" ht="7.05" customHeight="1" x14ac:dyDescent="0.2">
      <c r="B83" s="24"/>
      <c r="L83" s="24"/>
      <c r="W83" s="158"/>
      <c r="X83" s="658"/>
      <c r="Y83" s="658"/>
      <c r="Z83" s="658"/>
      <c r="AA83" s="658"/>
      <c r="AB83" s="658"/>
      <c r="AC83" s="658"/>
      <c r="AD83" s="658"/>
      <c r="AE83" s="159"/>
    </row>
    <row r="84" spans="2:47" s="1" customFormat="1" ht="12" customHeight="1" x14ac:dyDescent="0.2">
      <c r="B84" s="24"/>
      <c r="C84" s="528" t="s">
        <v>12</v>
      </c>
      <c r="E84" s="1242" t="s">
        <v>6177</v>
      </c>
      <c r="F84" s="1242"/>
      <c r="G84" s="1242"/>
      <c r="H84" s="1242"/>
      <c r="I84" s="1242"/>
      <c r="J84" s="1242"/>
      <c r="L84" s="24"/>
      <c r="W84" s="158"/>
      <c r="X84" s="657" t="s">
        <v>12</v>
      </c>
      <c r="Y84" s="658"/>
      <c r="Z84" s="1163" t="s">
        <v>6177</v>
      </c>
      <c r="AA84" s="1163"/>
      <c r="AB84" s="1163"/>
      <c r="AC84" s="1163"/>
      <c r="AD84" s="1163"/>
      <c r="AE84" s="1241"/>
    </row>
    <row r="85" spans="2:47" s="1" customFormat="1" ht="23.55" customHeight="1" x14ac:dyDescent="0.2">
      <c r="B85" s="24"/>
      <c r="C85" s="521"/>
      <c r="E85" s="1243"/>
      <c r="F85" s="1244"/>
      <c r="G85" s="1244"/>
      <c r="H85" s="1244"/>
      <c r="L85" s="24"/>
      <c r="W85" s="158"/>
      <c r="X85" s="658"/>
      <c r="Y85" s="658"/>
      <c r="Z85" s="1249"/>
      <c r="AA85" s="1250"/>
      <c r="AB85" s="1250"/>
      <c r="AC85" s="1250"/>
      <c r="AD85" s="658"/>
      <c r="AE85" s="159"/>
    </row>
    <row r="86" spans="2:47" s="1" customFormat="1" ht="12" customHeight="1" x14ac:dyDescent="0.2">
      <c r="B86" s="24"/>
      <c r="C86" s="528" t="s">
        <v>186</v>
      </c>
      <c r="F86" s="532" t="s">
        <v>3994</v>
      </c>
      <c r="L86" s="24"/>
      <c r="W86" s="158"/>
      <c r="X86" s="657" t="s">
        <v>186</v>
      </c>
      <c r="Y86" s="658"/>
      <c r="Z86" s="658"/>
      <c r="AA86" s="555" t="s">
        <v>3994</v>
      </c>
      <c r="AB86" s="658"/>
      <c r="AC86" s="658"/>
      <c r="AD86" s="658"/>
      <c r="AE86" s="159"/>
    </row>
    <row r="87" spans="2:47" s="1" customFormat="1" ht="16.5" customHeight="1" x14ac:dyDescent="0.2">
      <c r="B87" s="24"/>
      <c r="C87" s="521"/>
      <c r="E87" s="1251"/>
      <c r="F87" s="1252"/>
      <c r="G87" s="1252"/>
      <c r="H87" s="1252"/>
      <c r="L87" s="24"/>
      <c r="W87" s="158"/>
      <c r="X87" s="658"/>
      <c r="Y87" s="658"/>
      <c r="Z87" s="1245"/>
      <c r="AA87" s="1246"/>
      <c r="AB87" s="1246"/>
      <c r="AC87" s="1246"/>
      <c r="AD87" s="658"/>
      <c r="AE87" s="159"/>
    </row>
    <row r="88" spans="2:47" s="1" customFormat="1" ht="7.05" customHeight="1" x14ac:dyDescent="0.2">
      <c r="B88" s="24"/>
      <c r="C88" s="521"/>
      <c r="L88" s="24"/>
      <c r="W88" s="158"/>
      <c r="X88" s="658"/>
      <c r="Y88" s="658"/>
      <c r="Z88" s="658"/>
      <c r="AA88" s="658"/>
      <c r="AB88" s="658"/>
      <c r="AC88" s="658"/>
      <c r="AD88" s="658"/>
      <c r="AE88" s="159"/>
    </row>
    <row r="89" spans="2:47" s="1" customFormat="1" ht="12" customHeight="1" x14ac:dyDescent="0.2">
      <c r="B89" s="24"/>
      <c r="C89" s="528" t="s">
        <v>15</v>
      </c>
      <c r="F89" s="19" t="str">
        <f>F12</f>
        <v>Kuzmányho nábrežie 28, 960 01 Zvolen</v>
      </c>
      <c r="I89" s="528" t="s">
        <v>17</v>
      </c>
      <c r="J89" s="39" t="str">
        <f>IF(J12="","",J12)</f>
        <v/>
      </c>
      <c r="L89" s="24"/>
      <c r="W89" s="158"/>
      <c r="X89" s="657" t="s">
        <v>15</v>
      </c>
      <c r="Y89" s="658"/>
      <c r="Z89" s="658"/>
      <c r="AA89" s="655" t="str">
        <f>AA12</f>
        <v>Kuzmányho nábrežie 28, 960 01 Zvolen</v>
      </c>
      <c r="AB89" s="658"/>
      <c r="AC89" s="658"/>
      <c r="AD89" s="657" t="s">
        <v>17</v>
      </c>
      <c r="AE89" s="162" t="str">
        <f>IF(AE12="","",AE12)</f>
        <v/>
      </c>
    </row>
    <row r="90" spans="2:47" s="1" customFormat="1" ht="7.05" customHeight="1" x14ac:dyDescent="0.2">
      <c r="B90" s="24"/>
      <c r="C90" s="521"/>
      <c r="I90" s="521"/>
      <c r="L90" s="24"/>
      <c r="W90" s="158"/>
      <c r="X90" s="658"/>
      <c r="Y90" s="658"/>
      <c r="Z90" s="658"/>
      <c r="AA90" s="658"/>
      <c r="AB90" s="658"/>
      <c r="AC90" s="658"/>
      <c r="AD90" s="658"/>
      <c r="AE90" s="159"/>
    </row>
    <row r="91" spans="2:47" s="1" customFormat="1" ht="15.3" customHeight="1" x14ac:dyDescent="0.2">
      <c r="B91" s="24"/>
      <c r="C91" s="528" t="s">
        <v>18</v>
      </c>
      <c r="F91" s="529" t="s">
        <v>6175</v>
      </c>
      <c r="I91" s="528" t="s">
        <v>22</v>
      </c>
      <c r="J91" s="22" t="str">
        <f>E21</f>
        <v xml:space="preserve"> </v>
      </c>
      <c r="L91" s="24"/>
      <c r="W91" s="158"/>
      <c r="X91" s="657" t="s">
        <v>18</v>
      </c>
      <c r="Y91" s="658"/>
      <c r="Z91" s="658"/>
      <c r="AA91" s="576" t="s">
        <v>6175</v>
      </c>
      <c r="AB91" s="658"/>
      <c r="AC91" s="658"/>
      <c r="AD91" s="657" t="s">
        <v>22</v>
      </c>
      <c r="AE91" s="181" t="str">
        <f>Z21</f>
        <v/>
      </c>
    </row>
    <row r="92" spans="2:47" s="1" customFormat="1" ht="15.3" customHeight="1" x14ac:dyDescent="0.2">
      <c r="B92" s="24"/>
      <c r="C92" s="528" t="s">
        <v>21</v>
      </c>
      <c r="F92" s="529" t="s">
        <v>5202</v>
      </c>
      <c r="I92" s="528" t="s">
        <v>24</v>
      </c>
      <c r="J92" s="22" t="str">
        <f>E24</f>
        <v xml:space="preserve"> </v>
      </c>
      <c r="L92" s="24"/>
      <c r="W92" s="158"/>
      <c r="X92" s="657" t="s">
        <v>21</v>
      </c>
      <c r="Y92" s="658"/>
      <c r="Z92" s="658"/>
      <c r="AA92" s="576" t="s">
        <v>5202</v>
      </c>
      <c r="AB92" s="658"/>
      <c r="AC92" s="658"/>
      <c r="AD92" s="657" t="s">
        <v>24</v>
      </c>
      <c r="AE92" s="181" t="str">
        <f>Z24</f>
        <v/>
      </c>
    </row>
    <row r="93" spans="2:47" s="1" customFormat="1" ht="10.199999999999999" customHeight="1" x14ac:dyDescent="0.2">
      <c r="B93" s="24"/>
      <c r="L93" s="24"/>
      <c r="W93" s="158"/>
      <c r="X93" s="658"/>
      <c r="Y93" s="658"/>
      <c r="Z93" s="658"/>
      <c r="AA93" s="658"/>
      <c r="AB93" s="658"/>
      <c r="AC93" s="658"/>
      <c r="AD93" s="658"/>
      <c r="AE93" s="159"/>
    </row>
    <row r="94" spans="2:47" s="1" customFormat="1" ht="29.25" customHeight="1" x14ac:dyDescent="0.2">
      <c r="B94" s="24"/>
      <c r="C94" s="86" t="s">
        <v>189</v>
      </c>
      <c r="D94" s="80"/>
      <c r="E94" s="80"/>
      <c r="F94" s="80"/>
      <c r="G94" s="80"/>
      <c r="H94" s="80"/>
      <c r="I94" s="80"/>
      <c r="J94" s="87" t="s">
        <v>190</v>
      </c>
      <c r="K94" s="80"/>
      <c r="L94" s="24"/>
      <c r="W94" s="158"/>
      <c r="X94" s="182" t="s">
        <v>189</v>
      </c>
      <c r="Y94" s="173"/>
      <c r="Z94" s="173"/>
      <c r="AA94" s="173"/>
      <c r="AB94" s="173"/>
      <c r="AC94" s="173"/>
      <c r="AD94" s="173"/>
      <c r="AE94" s="183" t="s">
        <v>190</v>
      </c>
    </row>
    <row r="95" spans="2:47" s="1" customFormat="1" ht="10.199999999999999" customHeight="1" x14ac:dyDescent="0.2">
      <c r="B95" s="24"/>
      <c r="L95" s="24"/>
      <c r="W95" s="158"/>
      <c r="X95" s="658"/>
      <c r="Y95" s="658"/>
      <c r="Z95" s="658"/>
      <c r="AA95" s="658"/>
      <c r="AB95" s="658"/>
      <c r="AC95" s="658"/>
      <c r="AD95" s="658"/>
      <c r="AE95" s="159"/>
    </row>
    <row r="96" spans="2:47" s="1" customFormat="1" ht="22.95" customHeight="1" x14ac:dyDescent="0.2">
      <c r="B96" s="24"/>
      <c r="C96" s="88" t="s">
        <v>191</v>
      </c>
      <c r="J96" s="53">
        <f>J120</f>
        <v>100043.81</v>
      </c>
      <c r="L96" s="24"/>
      <c r="W96" s="158"/>
      <c r="X96" s="184" t="s">
        <v>191</v>
      </c>
      <c r="Y96" s="658"/>
      <c r="Z96" s="658"/>
      <c r="AA96" s="658"/>
      <c r="AB96" s="658"/>
      <c r="AC96" s="658"/>
      <c r="AD96" s="658"/>
      <c r="AE96" s="168">
        <f>AE120</f>
        <v>98601.469999999987</v>
      </c>
      <c r="AU96" s="13" t="s">
        <v>192</v>
      </c>
    </row>
    <row r="97" spans="2:31" s="8" customFormat="1" ht="25.05" customHeight="1" x14ac:dyDescent="0.2">
      <c r="B97" s="89"/>
      <c r="D97" s="90" t="s">
        <v>3995</v>
      </c>
      <c r="E97" s="91"/>
      <c r="F97" s="91"/>
      <c r="G97" s="91"/>
      <c r="H97" s="91"/>
      <c r="I97" s="91"/>
      <c r="J97" s="92">
        <f>J121</f>
        <v>79746.049999999988</v>
      </c>
      <c r="L97" s="89"/>
      <c r="W97" s="185"/>
      <c r="X97" s="186"/>
      <c r="Y97" s="90" t="s">
        <v>3995</v>
      </c>
      <c r="Z97" s="91"/>
      <c r="AA97" s="91"/>
      <c r="AB97" s="91"/>
      <c r="AC97" s="91"/>
      <c r="AD97" s="91"/>
      <c r="AE97" s="187">
        <f>AE121</f>
        <v>76259.359999999986</v>
      </c>
    </row>
    <row r="98" spans="2:31" s="9" customFormat="1" ht="19.95" customHeight="1" x14ac:dyDescent="0.2">
      <c r="B98" s="93"/>
      <c r="D98" s="94" t="s">
        <v>3996</v>
      </c>
      <c r="E98" s="95"/>
      <c r="F98" s="95"/>
      <c r="G98" s="95"/>
      <c r="H98" s="95"/>
      <c r="I98" s="95"/>
      <c r="J98" s="96">
        <f>J140</f>
        <v>12825.94</v>
      </c>
      <c r="L98" s="93"/>
      <c r="W98" s="188"/>
      <c r="X98" s="189"/>
      <c r="Y98" s="94" t="s">
        <v>3996</v>
      </c>
      <c r="Z98" s="95"/>
      <c r="AA98" s="95"/>
      <c r="AB98" s="95"/>
      <c r="AC98" s="95"/>
      <c r="AD98" s="95"/>
      <c r="AE98" s="190">
        <f>AE140</f>
        <v>12825.94</v>
      </c>
    </row>
    <row r="99" spans="2:31" s="9" customFormat="1" ht="19.95" customHeight="1" x14ac:dyDescent="0.2">
      <c r="B99" s="93"/>
      <c r="D99" s="94" t="s">
        <v>3997</v>
      </c>
      <c r="E99" s="95"/>
      <c r="F99" s="95"/>
      <c r="G99" s="95"/>
      <c r="H99" s="95"/>
      <c r="I99" s="95"/>
      <c r="J99" s="96">
        <f>J147</f>
        <v>0</v>
      </c>
      <c r="L99" s="93"/>
      <c r="W99" s="188"/>
      <c r="X99" s="189"/>
      <c r="Y99" s="94" t="s">
        <v>3997</v>
      </c>
      <c r="Z99" s="95"/>
      <c r="AA99" s="95"/>
      <c r="AB99" s="95"/>
      <c r="AC99" s="95"/>
      <c r="AD99" s="95"/>
      <c r="AE99" s="190">
        <v>0</v>
      </c>
    </row>
    <row r="100" spans="2:31" s="9" customFormat="1" ht="19.95" customHeight="1" x14ac:dyDescent="0.2">
      <c r="B100" s="93"/>
      <c r="D100" s="94" t="s">
        <v>3998</v>
      </c>
      <c r="E100" s="95"/>
      <c r="F100" s="95"/>
      <c r="G100" s="95"/>
      <c r="H100" s="95"/>
      <c r="I100" s="95"/>
      <c r="J100" s="96">
        <f>J148</f>
        <v>7471.82</v>
      </c>
      <c r="L100" s="93"/>
      <c r="W100" s="188"/>
      <c r="X100" s="189"/>
      <c r="Y100" s="94" t="s">
        <v>3998</v>
      </c>
      <c r="Z100" s="95"/>
      <c r="AA100" s="95"/>
      <c r="AB100" s="95"/>
      <c r="AC100" s="95"/>
      <c r="AD100" s="95"/>
      <c r="AE100" s="190">
        <f>AE148</f>
        <v>9516.17</v>
      </c>
    </row>
    <row r="101" spans="2:31" s="1" customFormat="1" ht="21.75" customHeight="1" x14ac:dyDescent="0.2">
      <c r="B101" s="24"/>
      <c r="L101" s="24"/>
      <c r="W101" s="158"/>
      <c r="X101" s="658"/>
      <c r="Y101" s="658"/>
      <c r="Z101" s="658"/>
      <c r="AA101" s="658"/>
      <c r="AB101" s="658"/>
      <c r="AC101" s="658"/>
      <c r="AD101" s="658"/>
      <c r="AE101" s="159"/>
    </row>
    <row r="102" spans="2:31" s="1" customFormat="1" ht="7.05" customHeight="1" x14ac:dyDescent="0.2">
      <c r="B102" s="33"/>
      <c r="C102" s="34"/>
      <c r="D102" s="34"/>
      <c r="E102" s="34"/>
      <c r="F102" s="34"/>
      <c r="G102" s="34"/>
      <c r="H102" s="34"/>
      <c r="I102" s="34"/>
      <c r="J102" s="34"/>
      <c r="K102" s="34"/>
      <c r="L102" s="24"/>
      <c r="W102" s="175"/>
      <c r="X102" s="176"/>
      <c r="Y102" s="176"/>
      <c r="Z102" s="176"/>
      <c r="AA102" s="176"/>
      <c r="AB102" s="176"/>
      <c r="AC102" s="176"/>
      <c r="AD102" s="176"/>
      <c r="AE102" s="177"/>
    </row>
    <row r="106" spans="2:31" s="1" customFormat="1" ht="7.05" customHeight="1" x14ac:dyDescent="0.2">
      <c r="B106" s="35"/>
      <c r="C106" s="36"/>
      <c r="D106" s="36"/>
      <c r="E106" s="36"/>
      <c r="F106" s="36"/>
      <c r="G106" s="36"/>
      <c r="H106" s="36"/>
      <c r="I106" s="36"/>
      <c r="J106" s="36"/>
      <c r="K106" s="36"/>
      <c r="L106" s="24"/>
      <c r="W106" s="178"/>
      <c r="X106" s="179"/>
      <c r="Y106" s="179"/>
      <c r="Z106" s="179"/>
      <c r="AA106" s="179"/>
      <c r="AB106" s="179"/>
      <c r="AC106" s="179"/>
      <c r="AD106" s="179"/>
      <c r="AE106" s="180"/>
    </row>
    <row r="107" spans="2:31" s="1" customFormat="1" ht="25.05" customHeight="1" x14ac:dyDescent="0.2">
      <c r="B107" s="1256" t="s">
        <v>214</v>
      </c>
      <c r="C107" s="1165"/>
      <c r="D107" s="1165"/>
      <c r="E107" s="1165"/>
      <c r="F107" s="1165"/>
      <c r="G107" s="1165"/>
      <c r="H107" s="1165"/>
      <c r="I107" s="1165"/>
      <c r="J107" s="1165"/>
      <c r="L107" s="24"/>
      <c r="W107" s="1255" t="s">
        <v>214</v>
      </c>
      <c r="X107" s="1237"/>
      <c r="Y107" s="1237"/>
      <c r="Z107" s="1237"/>
      <c r="AA107" s="1237"/>
      <c r="AB107" s="1237"/>
      <c r="AC107" s="1237"/>
      <c r="AD107" s="1237"/>
      <c r="AE107" s="1238"/>
    </row>
    <row r="108" spans="2:31" s="1" customFormat="1" ht="7.05" customHeight="1" x14ac:dyDescent="0.2">
      <c r="B108" s="24"/>
      <c r="L108" s="24"/>
      <c r="W108" s="158"/>
      <c r="X108" s="658"/>
      <c r="Y108" s="658"/>
      <c r="Z108" s="658"/>
      <c r="AA108" s="658"/>
      <c r="AB108" s="658"/>
      <c r="AC108" s="658"/>
      <c r="AD108" s="658"/>
      <c r="AE108" s="159"/>
    </row>
    <row r="109" spans="2:31" s="1" customFormat="1" ht="12" customHeight="1" x14ac:dyDescent="0.2">
      <c r="B109" s="24"/>
      <c r="C109" s="528" t="s">
        <v>12</v>
      </c>
      <c r="E109" s="1242" t="s">
        <v>6177</v>
      </c>
      <c r="F109" s="1242"/>
      <c r="G109" s="1242"/>
      <c r="H109" s="1242"/>
      <c r="I109" s="1242"/>
      <c r="J109" s="1242"/>
      <c r="L109" s="24"/>
      <c r="W109" s="158"/>
      <c r="X109" s="657" t="s">
        <v>12</v>
      </c>
      <c r="Y109" s="658"/>
      <c r="Z109" s="1163" t="s">
        <v>6177</v>
      </c>
      <c r="AA109" s="1163"/>
      <c r="AB109" s="1163"/>
      <c r="AC109" s="1163"/>
      <c r="AD109" s="1163"/>
      <c r="AE109" s="1241"/>
    </row>
    <row r="110" spans="2:31" s="1" customFormat="1" ht="24" customHeight="1" x14ac:dyDescent="0.2">
      <c r="B110" s="24"/>
      <c r="C110" s="521"/>
      <c r="E110" s="1243"/>
      <c r="F110" s="1244"/>
      <c r="G110" s="1244"/>
      <c r="H110" s="1244"/>
      <c r="L110" s="24"/>
      <c r="W110" s="158"/>
      <c r="X110" s="658"/>
      <c r="Y110" s="658"/>
      <c r="Z110" s="1249"/>
      <c r="AA110" s="1250"/>
      <c r="AB110" s="1250"/>
      <c r="AC110" s="1250"/>
      <c r="AD110" s="658"/>
      <c r="AE110" s="159"/>
    </row>
    <row r="111" spans="2:31" s="1" customFormat="1" ht="12" customHeight="1" x14ac:dyDescent="0.2">
      <c r="B111" s="24"/>
      <c r="C111" s="528" t="s">
        <v>186</v>
      </c>
      <c r="F111" s="532" t="s">
        <v>3994</v>
      </c>
      <c r="L111" s="24"/>
      <c r="W111" s="158"/>
      <c r="X111" s="657" t="s">
        <v>186</v>
      </c>
      <c r="Y111" s="658"/>
      <c r="Z111" s="658"/>
      <c r="AA111" s="555" t="s">
        <v>3994</v>
      </c>
      <c r="AB111" s="658"/>
      <c r="AC111" s="658"/>
      <c r="AD111" s="658"/>
      <c r="AE111" s="159"/>
    </row>
    <row r="112" spans="2:31" s="1" customFormat="1" ht="16.5" customHeight="1" x14ac:dyDescent="0.2">
      <c r="B112" s="24"/>
      <c r="C112" s="521"/>
      <c r="E112" s="1251"/>
      <c r="F112" s="1252"/>
      <c r="G112" s="1252"/>
      <c r="H112" s="1252"/>
      <c r="L112" s="24"/>
      <c r="W112" s="158"/>
      <c r="X112" s="658"/>
      <c r="Y112" s="658"/>
      <c r="Z112" s="1245"/>
      <c r="AA112" s="1246"/>
      <c r="AB112" s="1246"/>
      <c r="AC112" s="1246"/>
      <c r="AD112" s="658"/>
      <c r="AE112" s="159"/>
    </row>
    <row r="113" spans="2:65" s="1" customFormat="1" ht="7.05" customHeight="1" x14ac:dyDescent="0.2">
      <c r="B113" s="24"/>
      <c r="C113" s="521"/>
      <c r="L113" s="24"/>
      <c r="W113" s="158"/>
      <c r="X113" s="658"/>
      <c r="Y113" s="658"/>
      <c r="Z113" s="658"/>
      <c r="AA113" s="658"/>
      <c r="AB113" s="658"/>
      <c r="AC113" s="658"/>
      <c r="AD113" s="658"/>
      <c r="AE113" s="159"/>
    </row>
    <row r="114" spans="2:65" s="1" customFormat="1" ht="12" customHeight="1" x14ac:dyDescent="0.2">
      <c r="B114" s="24"/>
      <c r="C114" s="528" t="s">
        <v>15</v>
      </c>
      <c r="F114" s="19" t="str">
        <f>F12</f>
        <v>Kuzmányho nábrežie 28, 960 01 Zvolen</v>
      </c>
      <c r="I114" s="528" t="s">
        <v>17</v>
      </c>
      <c r="J114" s="39" t="str">
        <f>IF(J12="","",J12)</f>
        <v/>
      </c>
      <c r="L114" s="24"/>
      <c r="W114" s="158"/>
      <c r="X114" s="657" t="s">
        <v>15</v>
      </c>
      <c r="Y114" s="658"/>
      <c r="Z114" s="658"/>
      <c r="AA114" s="655" t="str">
        <f>AA12</f>
        <v>Kuzmányho nábrežie 28, 960 01 Zvolen</v>
      </c>
      <c r="AB114" s="658"/>
      <c r="AC114" s="658"/>
      <c r="AD114" s="657" t="s">
        <v>17</v>
      </c>
      <c r="AE114" s="162" t="str">
        <f>IF(AE12="","",AE12)</f>
        <v/>
      </c>
    </row>
    <row r="115" spans="2:65" s="1" customFormat="1" ht="7.05" customHeight="1" x14ac:dyDescent="0.2">
      <c r="B115" s="24"/>
      <c r="C115" s="521"/>
      <c r="I115" s="521"/>
      <c r="L115" s="24"/>
      <c r="W115" s="158"/>
      <c r="X115" s="658"/>
      <c r="Y115" s="658"/>
      <c r="Z115" s="658"/>
      <c r="AA115" s="658"/>
      <c r="AB115" s="658"/>
      <c r="AC115" s="658"/>
      <c r="AD115" s="658"/>
      <c r="AE115" s="159"/>
    </row>
    <row r="116" spans="2:65" s="1" customFormat="1" ht="15.3" customHeight="1" x14ac:dyDescent="0.2">
      <c r="B116" s="24"/>
      <c r="C116" s="528" t="s">
        <v>18</v>
      </c>
      <c r="F116" s="529" t="s">
        <v>6175</v>
      </c>
      <c r="I116" s="528" t="s">
        <v>22</v>
      </c>
      <c r="J116" s="22" t="str">
        <f>E21</f>
        <v xml:space="preserve"> </v>
      </c>
      <c r="L116" s="24"/>
      <c r="W116" s="158"/>
      <c r="X116" s="657" t="s">
        <v>18</v>
      </c>
      <c r="Y116" s="658"/>
      <c r="Z116" s="658"/>
      <c r="AA116" s="576" t="s">
        <v>6175</v>
      </c>
      <c r="AB116" s="658"/>
      <c r="AC116" s="658"/>
      <c r="AD116" s="657" t="s">
        <v>22</v>
      </c>
      <c r="AE116" s="181" t="str">
        <f>Z21</f>
        <v/>
      </c>
    </row>
    <row r="117" spans="2:65" s="1" customFormat="1" ht="15.3" customHeight="1" x14ac:dyDescent="0.2">
      <c r="B117" s="24"/>
      <c r="C117" s="528" t="s">
        <v>21</v>
      </c>
      <c r="F117" s="529" t="s">
        <v>5202</v>
      </c>
      <c r="I117" s="21" t="s">
        <v>24</v>
      </c>
      <c r="J117" s="22" t="str">
        <f>E24</f>
        <v xml:space="preserve"> </v>
      </c>
      <c r="L117" s="24"/>
      <c r="W117" s="158"/>
      <c r="X117" s="657" t="s">
        <v>21</v>
      </c>
      <c r="Y117" s="658"/>
      <c r="Z117" s="658"/>
      <c r="AA117" s="576" t="s">
        <v>5202</v>
      </c>
      <c r="AB117" s="658"/>
      <c r="AC117" s="658"/>
      <c r="AD117" s="659" t="s">
        <v>24</v>
      </c>
      <c r="AE117" s="181" t="str">
        <f>Z24</f>
        <v/>
      </c>
    </row>
    <row r="118" spans="2:65" s="1" customFormat="1" ht="10.199999999999999" customHeight="1" x14ac:dyDescent="0.2">
      <c r="B118" s="24"/>
      <c r="L118" s="24"/>
      <c r="W118" s="158"/>
      <c r="X118" s="658"/>
      <c r="Y118" s="658"/>
      <c r="Z118" s="658"/>
      <c r="AA118" s="658"/>
      <c r="AB118" s="658"/>
      <c r="AC118" s="658"/>
      <c r="AD118" s="658"/>
      <c r="AE118" s="159"/>
    </row>
    <row r="119" spans="2:65" s="10" customFormat="1" ht="29.25" customHeight="1" x14ac:dyDescent="0.2">
      <c r="B119" s="97"/>
      <c r="C119" s="98" t="s">
        <v>215</v>
      </c>
      <c r="D119" s="99" t="s">
        <v>43</v>
      </c>
      <c r="E119" s="99" t="s">
        <v>41</v>
      </c>
      <c r="F119" s="99" t="s">
        <v>42</v>
      </c>
      <c r="G119" s="99" t="s">
        <v>216</v>
      </c>
      <c r="H119" s="99" t="s">
        <v>217</v>
      </c>
      <c r="I119" s="99" t="s">
        <v>218</v>
      </c>
      <c r="J119" s="100" t="s">
        <v>190</v>
      </c>
      <c r="K119" s="101" t="s">
        <v>219</v>
      </c>
      <c r="L119" s="97"/>
      <c r="M119" s="46" t="s">
        <v>1</v>
      </c>
      <c r="N119" s="47" t="s">
        <v>30</v>
      </c>
      <c r="O119" s="47" t="s">
        <v>220</v>
      </c>
      <c r="P119" s="47" t="s">
        <v>221</v>
      </c>
      <c r="Q119" s="47" t="s">
        <v>222</v>
      </c>
      <c r="R119" s="47" t="s">
        <v>223</v>
      </c>
      <c r="S119" s="47" t="s">
        <v>224</v>
      </c>
      <c r="T119" s="48" t="s">
        <v>225</v>
      </c>
      <c r="W119" s="191"/>
      <c r="X119" s="98" t="s">
        <v>215</v>
      </c>
      <c r="Y119" s="99" t="s">
        <v>43</v>
      </c>
      <c r="Z119" s="99" t="s">
        <v>41</v>
      </c>
      <c r="AA119" s="99" t="s">
        <v>42</v>
      </c>
      <c r="AB119" s="99" t="s">
        <v>216</v>
      </c>
      <c r="AC119" s="99" t="s">
        <v>217</v>
      </c>
      <c r="AD119" s="99" t="s">
        <v>218</v>
      </c>
      <c r="AE119" s="192" t="s">
        <v>190</v>
      </c>
      <c r="AF119" s="228" t="s">
        <v>5220</v>
      </c>
    </row>
    <row r="120" spans="2:65" s="1" customFormat="1" ht="22.95" customHeight="1" x14ac:dyDescent="0.3">
      <c r="B120" s="24"/>
      <c r="C120" s="51" t="s">
        <v>191</v>
      </c>
      <c r="J120" s="102">
        <f>BK120</f>
        <v>100043.81</v>
      </c>
      <c r="L120" s="24"/>
      <c r="M120" s="49"/>
      <c r="N120" s="40"/>
      <c r="O120" s="40"/>
      <c r="P120" s="103">
        <f>P121</f>
        <v>0</v>
      </c>
      <c r="Q120" s="40"/>
      <c r="R120" s="103">
        <f>R121</f>
        <v>0</v>
      </c>
      <c r="S120" s="40"/>
      <c r="T120" s="104">
        <f>T121</f>
        <v>0</v>
      </c>
      <c r="W120" s="158"/>
      <c r="X120" s="193" t="s">
        <v>191</v>
      </c>
      <c r="Y120" s="658"/>
      <c r="Z120" s="658"/>
      <c r="AA120" s="658"/>
      <c r="AB120" s="658"/>
      <c r="AC120" s="658"/>
      <c r="AD120" s="658"/>
      <c r="AE120" s="194">
        <f>AE121+AE140+AE148</f>
        <v>98601.469999999987</v>
      </c>
      <c r="AF120" s="227"/>
      <c r="AG120" s="130"/>
      <c r="AT120" s="13" t="s">
        <v>57</v>
      </c>
      <c r="AU120" s="13" t="s">
        <v>192</v>
      </c>
      <c r="BK120" s="105">
        <f>BK121</f>
        <v>100043.81</v>
      </c>
    </row>
    <row r="121" spans="2:65" s="11" customFormat="1" ht="25.95" customHeight="1" x14ac:dyDescent="0.25">
      <c r="B121" s="106"/>
      <c r="D121" s="107" t="s">
        <v>57</v>
      </c>
      <c r="E121" s="108" t="s">
        <v>3999</v>
      </c>
      <c r="F121" s="108" t="s">
        <v>2564</v>
      </c>
      <c r="J121" s="109">
        <f>SUM(J122:J138)</f>
        <v>79746.049999999988</v>
      </c>
      <c r="L121" s="106"/>
      <c r="M121" s="110"/>
      <c r="N121" s="111"/>
      <c r="O121" s="111"/>
      <c r="P121" s="112">
        <f>P122+SUM(P123:P140)+P147+P148</f>
        <v>0</v>
      </c>
      <c r="Q121" s="111"/>
      <c r="R121" s="112">
        <f>R122+SUM(R123:R140)+R147+R148</f>
        <v>0</v>
      </c>
      <c r="S121" s="111"/>
      <c r="T121" s="113">
        <f>T122+SUM(T123:T140)+T147+T148</f>
        <v>0</v>
      </c>
      <c r="W121" s="195"/>
      <c r="X121" s="111"/>
      <c r="Y121" s="196" t="s">
        <v>57</v>
      </c>
      <c r="Z121" s="197" t="s">
        <v>3999</v>
      </c>
      <c r="AA121" s="197" t="s">
        <v>2564</v>
      </c>
      <c r="AB121" s="111"/>
      <c r="AC121" s="111"/>
      <c r="AD121" s="111"/>
      <c r="AE121" s="198">
        <f>SUM(AE122:AE139)</f>
        <v>76259.359999999986</v>
      </c>
      <c r="AF121" s="248"/>
      <c r="AR121" s="107" t="s">
        <v>63</v>
      </c>
      <c r="AT121" s="114" t="s">
        <v>57</v>
      </c>
      <c r="AU121" s="114" t="s">
        <v>58</v>
      </c>
      <c r="AY121" s="107" t="s">
        <v>228</v>
      </c>
      <c r="BK121" s="115">
        <f>BK122+SUM(BK123:BK140)+BK147+BK148</f>
        <v>100043.81</v>
      </c>
    </row>
    <row r="122" spans="2:65" s="1" customFormat="1" ht="34.200000000000003" x14ac:dyDescent="0.2">
      <c r="B122" s="118"/>
      <c r="C122" s="119" t="s">
        <v>63</v>
      </c>
      <c r="D122" s="119" t="s">
        <v>231</v>
      </c>
      <c r="E122" s="120" t="s">
        <v>63</v>
      </c>
      <c r="F122" s="121" t="s">
        <v>2565</v>
      </c>
      <c r="G122" s="122" t="s">
        <v>284</v>
      </c>
      <c r="H122" s="123">
        <v>214</v>
      </c>
      <c r="I122" s="124">
        <v>2.74</v>
      </c>
      <c r="J122" s="124">
        <f t="shared" ref="J122:J138" si="0">ROUND(I122*H122,2)</f>
        <v>586.36</v>
      </c>
      <c r="K122" s="121" t="s">
        <v>1</v>
      </c>
      <c r="L122" s="24"/>
      <c r="M122" s="125" t="s">
        <v>1</v>
      </c>
      <c r="N122" s="126" t="s">
        <v>32</v>
      </c>
      <c r="O122" s="127">
        <v>0</v>
      </c>
      <c r="P122" s="127">
        <f t="shared" ref="P122:P138" si="1">O122*H122</f>
        <v>0</v>
      </c>
      <c r="Q122" s="127">
        <v>0</v>
      </c>
      <c r="R122" s="127">
        <f t="shared" ref="R122:R138" si="2">Q122*H122</f>
        <v>0</v>
      </c>
      <c r="S122" s="127">
        <v>0</v>
      </c>
      <c r="T122" s="128">
        <f t="shared" ref="T122:T138" si="3">S122*H122</f>
        <v>0</v>
      </c>
      <c r="W122" s="199"/>
      <c r="X122" s="119" t="s">
        <v>63</v>
      </c>
      <c r="Y122" s="119" t="s">
        <v>231</v>
      </c>
      <c r="Z122" s="120" t="s">
        <v>63</v>
      </c>
      <c r="AA122" s="121" t="s">
        <v>2565</v>
      </c>
      <c r="AB122" s="122" t="s">
        <v>284</v>
      </c>
      <c r="AC122" s="123">
        <v>214</v>
      </c>
      <c r="AD122" s="124">
        <v>2.74</v>
      </c>
      <c r="AE122" s="200">
        <f t="shared" ref="AE122:AE139" si="4">ROUND(AD122*AC122,2)</f>
        <v>586.36</v>
      </c>
      <c r="AF122" s="248"/>
      <c r="AR122" s="129" t="s">
        <v>235</v>
      </c>
      <c r="AT122" s="129" t="s">
        <v>231</v>
      </c>
      <c r="AU122" s="129" t="s">
        <v>63</v>
      </c>
      <c r="AY122" s="13" t="s">
        <v>228</v>
      </c>
      <c r="BE122" s="130">
        <f t="shared" ref="BE122:BE138" si="5">IF(N122="základná",J122,0)</f>
        <v>0</v>
      </c>
      <c r="BF122" s="130">
        <f t="shared" ref="BF122:BF138" si="6">IF(N122="znížená",J122,0)</f>
        <v>586.36</v>
      </c>
      <c r="BG122" s="130">
        <f t="shared" ref="BG122:BG138" si="7">IF(N122="zákl. prenesená",J122,0)</f>
        <v>0</v>
      </c>
      <c r="BH122" s="130">
        <f t="shared" ref="BH122:BH138" si="8">IF(N122="zníž. prenesená",J122,0)</f>
        <v>0</v>
      </c>
      <c r="BI122" s="130">
        <f t="shared" ref="BI122:BI138" si="9">IF(N122="nulová",J122,0)</f>
        <v>0</v>
      </c>
      <c r="BJ122" s="13" t="s">
        <v>76</v>
      </c>
      <c r="BK122" s="130">
        <f t="shared" ref="BK122:BK138" si="10">ROUND(I122*H122,2)</f>
        <v>586.36</v>
      </c>
      <c r="BL122" s="13" t="s">
        <v>235</v>
      </c>
      <c r="BM122" s="129" t="s">
        <v>76</v>
      </c>
    </row>
    <row r="123" spans="2:65" s="1" customFormat="1" ht="60" customHeight="1" x14ac:dyDescent="0.2">
      <c r="B123" s="118"/>
      <c r="C123" s="205" t="s">
        <v>76</v>
      </c>
      <c r="D123" s="119" t="s">
        <v>231</v>
      </c>
      <c r="E123" s="120" t="s">
        <v>76</v>
      </c>
      <c r="F123" s="121" t="s">
        <v>2566</v>
      </c>
      <c r="G123" s="122" t="s">
        <v>284</v>
      </c>
      <c r="H123" s="206">
        <v>76</v>
      </c>
      <c r="I123" s="124">
        <v>128.78</v>
      </c>
      <c r="J123" s="124">
        <f t="shared" si="0"/>
        <v>9787.2800000000007</v>
      </c>
      <c r="K123" s="121" t="s">
        <v>1</v>
      </c>
      <c r="L123" s="24"/>
      <c r="M123" s="125" t="s">
        <v>1</v>
      </c>
      <c r="N123" s="126" t="s">
        <v>32</v>
      </c>
      <c r="O123" s="127">
        <v>0</v>
      </c>
      <c r="P123" s="127">
        <f t="shared" si="1"/>
        <v>0</v>
      </c>
      <c r="Q123" s="127">
        <v>0</v>
      </c>
      <c r="R123" s="127">
        <f t="shared" si="2"/>
        <v>0</v>
      </c>
      <c r="S123" s="127">
        <v>0</v>
      </c>
      <c r="T123" s="128">
        <f t="shared" si="3"/>
        <v>0</v>
      </c>
      <c r="W123" s="199"/>
      <c r="X123" s="205" t="s">
        <v>76</v>
      </c>
      <c r="Y123" s="119" t="s">
        <v>231</v>
      </c>
      <c r="Z123" s="120" t="s">
        <v>76</v>
      </c>
      <c r="AA123" s="121" t="s">
        <v>2566</v>
      </c>
      <c r="AB123" s="122" t="s">
        <v>284</v>
      </c>
      <c r="AC123" s="206">
        <f>76+8</f>
        <v>84</v>
      </c>
      <c r="AD123" s="124">
        <v>128.78</v>
      </c>
      <c r="AE123" s="200">
        <f t="shared" si="4"/>
        <v>10817.52</v>
      </c>
      <c r="AF123" s="227" t="s">
        <v>6371</v>
      </c>
      <c r="AR123" s="129" t="s">
        <v>235</v>
      </c>
      <c r="AT123" s="129" t="s">
        <v>231</v>
      </c>
      <c r="AU123" s="129" t="s">
        <v>63</v>
      </c>
      <c r="AY123" s="13" t="s">
        <v>228</v>
      </c>
      <c r="BE123" s="130">
        <f t="shared" si="5"/>
        <v>0</v>
      </c>
      <c r="BF123" s="130">
        <f t="shared" si="6"/>
        <v>9787.2800000000007</v>
      </c>
      <c r="BG123" s="130">
        <f t="shared" si="7"/>
        <v>0</v>
      </c>
      <c r="BH123" s="130">
        <f t="shared" si="8"/>
        <v>0</v>
      </c>
      <c r="BI123" s="130">
        <f t="shared" si="9"/>
        <v>0</v>
      </c>
      <c r="BJ123" s="13" t="s">
        <v>76</v>
      </c>
      <c r="BK123" s="130">
        <f t="shared" si="10"/>
        <v>9787.2800000000007</v>
      </c>
      <c r="BL123" s="13" t="s">
        <v>235</v>
      </c>
      <c r="BM123" s="129" t="s">
        <v>235</v>
      </c>
    </row>
    <row r="124" spans="2:65" s="1" customFormat="1" ht="68.400000000000006" x14ac:dyDescent="0.2">
      <c r="B124" s="118"/>
      <c r="C124" s="205" t="s">
        <v>229</v>
      </c>
      <c r="D124" s="119" t="s">
        <v>231</v>
      </c>
      <c r="E124" s="120" t="s">
        <v>229</v>
      </c>
      <c r="F124" s="121" t="s">
        <v>2568</v>
      </c>
      <c r="G124" s="122" t="s">
        <v>284</v>
      </c>
      <c r="H124" s="206">
        <v>116</v>
      </c>
      <c r="I124" s="124">
        <v>130.15</v>
      </c>
      <c r="J124" s="124">
        <f t="shared" si="0"/>
        <v>15097.4</v>
      </c>
      <c r="K124" s="121" t="s">
        <v>1</v>
      </c>
      <c r="L124" s="24"/>
      <c r="M124" s="125" t="s">
        <v>1</v>
      </c>
      <c r="N124" s="126" t="s">
        <v>32</v>
      </c>
      <c r="O124" s="127">
        <v>0</v>
      </c>
      <c r="P124" s="127">
        <f t="shared" si="1"/>
        <v>0</v>
      </c>
      <c r="Q124" s="127">
        <v>0</v>
      </c>
      <c r="R124" s="127">
        <f t="shared" si="2"/>
        <v>0</v>
      </c>
      <c r="S124" s="127">
        <v>0</v>
      </c>
      <c r="T124" s="128">
        <f t="shared" si="3"/>
        <v>0</v>
      </c>
      <c r="W124" s="199"/>
      <c r="X124" s="205" t="s">
        <v>229</v>
      </c>
      <c r="Y124" s="119" t="s">
        <v>231</v>
      </c>
      <c r="Z124" s="120" t="s">
        <v>229</v>
      </c>
      <c r="AA124" s="121" t="s">
        <v>2568</v>
      </c>
      <c r="AB124" s="122" t="s">
        <v>284</v>
      </c>
      <c r="AC124" s="206">
        <f>116+2</f>
        <v>118</v>
      </c>
      <c r="AD124" s="124">
        <v>130.15</v>
      </c>
      <c r="AE124" s="200">
        <f t="shared" si="4"/>
        <v>15357.7</v>
      </c>
      <c r="AF124" s="227" t="s">
        <v>6371</v>
      </c>
      <c r="AR124" s="129" t="s">
        <v>235</v>
      </c>
      <c r="AT124" s="129" t="s">
        <v>231</v>
      </c>
      <c r="AU124" s="129" t="s">
        <v>63</v>
      </c>
      <c r="AY124" s="13" t="s">
        <v>228</v>
      </c>
      <c r="BE124" s="130">
        <f t="shared" si="5"/>
        <v>0</v>
      </c>
      <c r="BF124" s="130">
        <f t="shared" si="6"/>
        <v>15097.4</v>
      </c>
      <c r="BG124" s="130">
        <f t="shared" si="7"/>
        <v>0</v>
      </c>
      <c r="BH124" s="130">
        <f t="shared" si="8"/>
        <v>0</v>
      </c>
      <c r="BI124" s="130">
        <f t="shared" si="9"/>
        <v>0</v>
      </c>
      <c r="BJ124" s="13" t="s">
        <v>76</v>
      </c>
      <c r="BK124" s="130">
        <f t="shared" si="10"/>
        <v>15097.4</v>
      </c>
      <c r="BL124" s="13" t="s">
        <v>235</v>
      </c>
      <c r="BM124" s="129" t="s">
        <v>240</v>
      </c>
    </row>
    <row r="125" spans="2:65" s="1" customFormat="1" ht="55.95" customHeight="1" x14ac:dyDescent="0.2">
      <c r="B125" s="118"/>
      <c r="C125" s="119" t="s">
        <v>235</v>
      </c>
      <c r="D125" s="119" t="s">
        <v>231</v>
      </c>
      <c r="E125" s="120" t="s">
        <v>235</v>
      </c>
      <c r="F125" s="121" t="s">
        <v>2569</v>
      </c>
      <c r="G125" s="122" t="s">
        <v>284</v>
      </c>
      <c r="H125" s="123">
        <v>11</v>
      </c>
      <c r="I125" s="124">
        <v>116.45</v>
      </c>
      <c r="J125" s="124">
        <f t="shared" si="0"/>
        <v>1280.95</v>
      </c>
      <c r="K125" s="121" t="s">
        <v>1</v>
      </c>
      <c r="L125" s="24"/>
      <c r="M125" s="125" t="s">
        <v>1</v>
      </c>
      <c r="N125" s="126" t="s">
        <v>32</v>
      </c>
      <c r="O125" s="127">
        <v>0</v>
      </c>
      <c r="P125" s="127">
        <f t="shared" si="1"/>
        <v>0</v>
      </c>
      <c r="Q125" s="127">
        <v>0</v>
      </c>
      <c r="R125" s="127">
        <f t="shared" si="2"/>
        <v>0</v>
      </c>
      <c r="S125" s="127">
        <v>0</v>
      </c>
      <c r="T125" s="128">
        <f t="shared" si="3"/>
        <v>0</v>
      </c>
      <c r="W125" s="199"/>
      <c r="X125" s="119" t="s">
        <v>235</v>
      </c>
      <c r="Y125" s="119" t="s">
        <v>231</v>
      </c>
      <c r="Z125" s="120" t="s">
        <v>235</v>
      </c>
      <c r="AA125" s="121" t="s">
        <v>2569</v>
      </c>
      <c r="AB125" s="122" t="s">
        <v>284</v>
      </c>
      <c r="AC125" s="123">
        <v>11</v>
      </c>
      <c r="AD125" s="124">
        <v>116.45</v>
      </c>
      <c r="AE125" s="200">
        <f t="shared" si="4"/>
        <v>1280.95</v>
      </c>
      <c r="AR125" s="129" t="s">
        <v>235</v>
      </c>
      <c r="AT125" s="129" t="s">
        <v>231</v>
      </c>
      <c r="AU125" s="129" t="s">
        <v>63</v>
      </c>
      <c r="AY125" s="13" t="s">
        <v>228</v>
      </c>
      <c r="BE125" s="130">
        <f t="shared" si="5"/>
        <v>0</v>
      </c>
      <c r="BF125" s="130">
        <f t="shared" si="6"/>
        <v>1280.95</v>
      </c>
      <c r="BG125" s="130">
        <f t="shared" si="7"/>
        <v>0</v>
      </c>
      <c r="BH125" s="130">
        <f t="shared" si="8"/>
        <v>0</v>
      </c>
      <c r="BI125" s="130">
        <f t="shared" si="9"/>
        <v>0</v>
      </c>
      <c r="BJ125" s="13" t="s">
        <v>76</v>
      </c>
      <c r="BK125" s="130">
        <f t="shared" si="10"/>
        <v>1280.95</v>
      </c>
      <c r="BL125" s="13" t="s">
        <v>235</v>
      </c>
      <c r="BM125" s="129" t="s">
        <v>244</v>
      </c>
    </row>
    <row r="126" spans="2:65" s="1" customFormat="1" ht="51" customHeight="1" x14ac:dyDescent="0.2">
      <c r="B126" s="118"/>
      <c r="C126" s="205" t="s">
        <v>245</v>
      </c>
      <c r="D126" s="119" t="s">
        <v>231</v>
      </c>
      <c r="E126" s="120" t="s">
        <v>245</v>
      </c>
      <c r="F126" s="121" t="s">
        <v>4000</v>
      </c>
      <c r="G126" s="122" t="s">
        <v>1194</v>
      </c>
      <c r="H126" s="206">
        <v>5</v>
      </c>
      <c r="I126" s="124">
        <v>449.35</v>
      </c>
      <c r="J126" s="124">
        <f t="shared" si="0"/>
        <v>2246.75</v>
      </c>
      <c r="K126" s="121" t="s">
        <v>1</v>
      </c>
      <c r="L126" s="24"/>
      <c r="M126" s="125" t="s">
        <v>1</v>
      </c>
      <c r="N126" s="126" t="s">
        <v>32</v>
      </c>
      <c r="O126" s="127">
        <v>0</v>
      </c>
      <c r="P126" s="127">
        <f t="shared" si="1"/>
        <v>0</v>
      </c>
      <c r="Q126" s="127">
        <v>0</v>
      </c>
      <c r="R126" s="127">
        <f t="shared" si="2"/>
        <v>0</v>
      </c>
      <c r="S126" s="127">
        <v>0</v>
      </c>
      <c r="T126" s="128">
        <f t="shared" si="3"/>
        <v>0</v>
      </c>
      <c r="W126" s="199"/>
      <c r="X126" s="205" t="s">
        <v>245</v>
      </c>
      <c r="Y126" s="119" t="s">
        <v>231</v>
      </c>
      <c r="Z126" s="120" t="s">
        <v>245</v>
      </c>
      <c r="AA126" s="121" t="s">
        <v>4000</v>
      </c>
      <c r="AB126" s="122" t="s">
        <v>1194</v>
      </c>
      <c r="AC126" s="206">
        <f>5-1</f>
        <v>4</v>
      </c>
      <c r="AD126" s="124">
        <v>449.35</v>
      </c>
      <c r="AE126" s="200">
        <f t="shared" si="4"/>
        <v>1797.4</v>
      </c>
      <c r="AF126" s="227" t="s">
        <v>6371</v>
      </c>
      <c r="AR126" s="129" t="s">
        <v>235</v>
      </c>
      <c r="AT126" s="129" t="s">
        <v>231</v>
      </c>
      <c r="AU126" s="129" t="s">
        <v>63</v>
      </c>
      <c r="AY126" s="13" t="s">
        <v>228</v>
      </c>
      <c r="BE126" s="130">
        <f t="shared" si="5"/>
        <v>0</v>
      </c>
      <c r="BF126" s="130">
        <f t="shared" si="6"/>
        <v>2246.75</v>
      </c>
      <c r="BG126" s="130">
        <f t="shared" si="7"/>
        <v>0</v>
      </c>
      <c r="BH126" s="130">
        <f t="shared" si="8"/>
        <v>0</v>
      </c>
      <c r="BI126" s="130">
        <f t="shared" si="9"/>
        <v>0</v>
      </c>
      <c r="BJ126" s="13" t="s">
        <v>76</v>
      </c>
      <c r="BK126" s="130">
        <f t="shared" si="10"/>
        <v>2246.75</v>
      </c>
      <c r="BL126" s="13" t="s">
        <v>235</v>
      </c>
      <c r="BM126" s="129" t="s">
        <v>248</v>
      </c>
    </row>
    <row r="127" spans="2:65" s="1" customFormat="1" ht="47.55" customHeight="1" x14ac:dyDescent="0.2">
      <c r="B127" s="118"/>
      <c r="C127" s="119" t="s">
        <v>240</v>
      </c>
      <c r="D127" s="119" t="s">
        <v>231</v>
      </c>
      <c r="E127" s="120" t="s">
        <v>240</v>
      </c>
      <c r="F127" s="121" t="s">
        <v>4001</v>
      </c>
      <c r="G127" s="122" t="s">
        <v>1194</v>
      </c>
      <c r="H127" s="123">
        <v>1</v>
      </c>
      <c r="I127" s="124">
        <v>397.29</v>
      </c>
      <c r="J127" s="124">
        <f t="shared" si="0"/>
        <v>397.29</v>
      </c>
      <c r="K127" s="121" t="s">
        <v>1</v>
      </c>
      <c r="L127" s="24"/>
      <c r="M127" s="125" t="s">
        <v>1</v>
      </c>
      <c r="N127" s="126" t="s">
        <v>32</v>
      </c>
      <c r="O127" s="127">
        <v>0</v>
      </c>
      <c r="P127" s="127">
        <f t="shared" si="1"/>
        <v>0</v>
      </c>
      <c r="Q127" s="127">
        <v>0</v>
      </c>
      <c r="R127" s="127">
        <f t="shared" si="2"/>
        <v>0</v>
      </c>
      <c r="S127" s="127">
        <v>0</v>
      </c>
      <c r="T127" s="128">
        <f t="shared" si="3"/>
        <v>0</v>
      </c>
      <c r="W127" s="199"/>
      <c r="X127" s="119" t="s">
        <v>240</v>
      </c>
      <c r="Y127" s="119" t="s">
        <v>231</v>
      </c>
      <c r="Z127" s="120" t="s">
        <v>240</v>
      </c>
      <c r="AA127" s="121" t="s">
        <v>4001</v>
      </c>
      <c r="AB127" s="122" t="s">
        <v>1194</v>
      </c>
      <c r="AC127" s="123">
        <v>1</v>
      </c>
      <c r="AD127" s="124">
        <v>397.29</v>
      </c>
      <c r="AE127" s="200">
        <f t="shared" si="4"/>
        <v>397.29</v>
      </c>
      <c r="AR127" s="129" t="s">
        <v>235</v>
      </c>
      <c r="AT127" s="129" t="s">
        <v>231</v>
      </c>
      <c r="AU127" s="129" t="s">
        <v>63</v>
      </c>
      <c r="AY127" s="13" t="s">
        <v>228</v>
      </c>
      <c r="BE127" s="130">
        <f t="shared" si="5"/>
        <v>0</v>
      </c>
      <c r="BF127" s="130">
        <f t="shared" si="6"/>
        <v>397.29</v>
      </c>
      <c r="BG127" s="130">
        <f t="shared" si="7"/>
        <v>0</v>
      </c>
      <c r="BH127" s="130">
        <f t="shared" si="8"/>
        <v>0</v>
      </c>
      <c r="BI127" s="130">
        <f t="shared" si="9"/>
        <v>0</v>
      </c>
      <c r="BJ127" s="13" t="s">
        <v>76</v>
      </c>
      <c r="BK127" s="130">
        <f t="shared" si="10"/>
        <v>397.29</v>
      </c>
      <c r="BL127" s="13" t="s">
        <v>235</v>
      </c>
      <c r="BM127" s="129" t="s">
        <v>251</v>
      </c>
    </row>
    <row r="128" spans="2:65" s="1" customFormat="1" ht="42.45" customHeight="1" x14ac:dyDescent="0.2">
      <c r="B128" s="118"/>
      <c r="C128" s="119" t="s">
        <v>252</v>
      </c>
      <c r="D128" s="119" t="s">
        <v>231</v>
      </c>
      <c r="E128" s="120" t="s">
        <v>252</v>
      </c>
      <c r="F128" s="121" t="s">
        <v>2570</v>
      </c>
      <c r="G128" s="122" t="s">
        <v>284</v>
      </c>
      <c r="H128" s="123">
        <v>90</v>
      </c>
      <c r="I128" s="124">
        <v>8.82</v>
      </c>
      <c r="J128" s="124">
        <f t="shared" si="0"/>
        <v>793.8</v>
      </c>
      <c r="K128" s="121" t="s">
        <v>1</v>
      </c>
      <c r="L128" s="24"/>
      <c r="M128" s="125" t="s">
        <v>1</v>
      </c>
      <c r="N128" s="126" t="s">
        <v>32</v>
      </c>
      <c r="O128" s="127">
        <v>0</v>
      </c>
      <c r="P128" s="127">
        <f t="shared" si="1"/>
        <v>0</v>
      </c>
      <c r="Q128" s="127">
        <v>0</v>
      </c>
      <c r="R128" s="127">
        <f t="shared" si="2"/>
        <v>0</v>
      </c>
      <c r="S128" s="127">
        <v>0</v>
      </c>
      <c r="T128" s="128">
        <f t="shared" si="3"/>
        <v>0</v>
      </c>
      <c r="W128" s="199"/>
      <c r="X128" s="119" t="s">
        <v>252</v>
      </c>
      <c r="Y128" s="119" t="s">
        <v>231</v>
      </c>
      <c r="Z128" s="120" t="s">
        <v>252</v>
      </c>
      <c r="AA128" s="121" t="s">
        <v>2570</v>
      </c>
      <c r="AB128" s="122" t="s">
        <v>284</v>
      </c>
      <c r="AC128" s="123">
        <v>90</v>
      </c>
      <c r="AD128" s="124">
        <v>8.82</v>
      </c>
      <c r="AE128" s="200">
        <f t="shared" si="4"/>
        <v>793.8</v>
      </c>
      <c r="AR128" s="129" t="s">
        <v>235</v>
      </c>
      <c r="AT128" s="129" t="s">
        <v>231</v>
      </c>
      <c r="AU128" s="129" t="s">
        <v>63</v>
      </c>
      <c r="AY128" s="13" t="s">
        <v>228</v>
      </c>
      <c r="BE128" s="130">
        <f t="shared" si="5"/>
        <v>0</v>
      </c>
      <c r="BF128" s="130">
        <f t="shared" si="6"/>
        <v>793.8</v>
      </c>
      <c r="BG128" s="130">
        <f t="shared" si="7"/>
        <v>0</v>
      </c>
      <c r="BH128" s="130">
        <f t="shared" si="8"/>
        <v>0</v>
      </c>
      <c r="BI128" s="130">
        <f t="shared" si="9"/>
        <v>0</v>
      </c>
      <c r="BJ128" s="13" t="s">
        <v>76</v>
      </c>
      <c r="BK128" s="130">
        <f t="shared" si="10"/>
        <v>793.8</v>
      </c>
      <c r="BL128" s="13" t="s">
        <v>235</v>
      </c>
      <c r="BM128" s="129" t="s">
        <v>255</v>
      </c>
    </row>
    <row r="129" spans="2:65" s="1" customFormat="1" ht="46.95" customHeight="1" x14ac:dyDescent="0.2">
      <c r="B129" s="118"/>
      <c r="C129" s="119" t="s">
        <v>244</v>
      </c>
      <c r="D129" s="119" t="s">
        <v>231</v>
      </c>
      <c r="E129" s="120" t="s">
        <v>244</v>
      </c>
      <c r="F129" s="121" t="s">
        <v>2571</v>
      </c>
      <c r="G129" s="122" t="s">
        <v>284</v>
      </c>
      <c r="H129" s="123">
        <v>99</v>
      </c>
      <c r="I129" s="124">
        <v>46.44</v>
      </c>
      <c r="J129" s="124">
        <f t="shared" si="0"/>
        <v>4597.5600000000004</v>
      </c>
      <c r="K129" s="121" t="s">
        <v>1</v>
      </c>
      <c r="L129" s="24"/>
      <c r="M129" s="125" t="s">
        <v>1</v>
      </c>
      <c r="N129" s="126" t="s">
        <v>32</v>
      </c>
      <c r="O129" s="127">
        <v>0</v>
      </c>
      <c r="P129" s="127">
        <f t="shared" si="1"/>
        <v>0</v>
      </c>
      <c r="Q129" s="127">
        <v>0</v>
      </c>
      <c r="R129" s="127">
        <f t="shared" si="2"/>
        <v>0</v>
      </c>
      <c r="S129" s="127">
        <v>0</v>
      </c>
      <c r="T129" s="128">
        <f t="shared" si="3"/>
        <v>0</v>
      </c>
      <c r="W129" s="199"/>
      <c r="X129" s="119" t="s">
        <v>244</v>
      </c>
      <c r="Y129" s="119" t="s">
        <v>231</v>
      </c>
      <c r="Z129" s="120" t="s">
        <v>244</v>
      </c>
      <c r="AA129" s="121" t="s">
        <v>2571</v>
      </c>
      <c r="AB129" s="122" t="s">
        <v>284</v>
      </c>
      <c r="AC129" s="123">
        <v>99</v>
      </c>
      <c r="AD129" s="124">
        <v>46.44</v>
      </c>
      <c r="AE129" s="200">
        <f t="shared" si="4"/>
        <v>4597.5600000000004</v>
      </c>
      <c r="AR129" s="129" t="s">
        <v>235</v>
      </c>
      <c r="AT129" s="129" t="s">
        <v>231</v>
      </c>
      <c r="AU129" s="129" t="s">
        <v>63</v>
      </c>
      <c r="AY129" s="13" t="s">
        <v>228</v>
      </c>
      <c r="BE129" s="130">
        <f t="shared" si="5"/>
        <v>0</v>
      </c>
      <c r="BF129" s="130">
        <f t="shared" si="6"/>
        <v>4597.5600000000004</v>
      </c>
      <c r="BG129" s="130">
        <f t="shared" si="7"/>
        <v>0</v>
      </c>
      <c r="BH129" s="130">
        <f t="shared" si="8"/>
        <v>0</v>
      </c>
      <c r="BI129" s="130">
        <f t="shared" si="9"/>
        <v>0</v>
      </c>
      <c r="BJ129" s="13" t="s">
        <v>76</v>
      </c>
      <c r="BK129" s="130">
        <f t="shared" si="10"/>
        <v>4597.5600000000004</v>
      </c>
      <c r="BL129" s="13" t="s">
        <v>235</v>
      </c>
      <c r="BM129" s="129" t="s">
        <v>258</v>
      </c>
    </row>
    <row r="130" spans="2:65" s="1" customFormat="1" ht="16.5" customHeight="1" x14ac:dyDescent="0.2">
      <c r="B130" s="118"/>
      <c r="C130" s="119" t="s">
        <v>259</v>
      </c>
      <c r="D130" s="119" t="s">
        <v>231</v>
      </c>
      <c r="E130" s="120" t="s">
        <v>259</v>
      </c>
      <c r="F130" s="121" t="s">
        <v>2572</v>
      </c>
      <c r="G130" s="122" t="s">
        <v>292</v>
      </c>
      <c r="H130" s="123">
        <v>82</v>
      </c>
      <c r="I130" s="124">
        <v>6.62</v>
      </c>
      <c r="J130" s="124">
        <f t="shared" si="0"/>
        <v>542.84</v>
      </c>
      <c r="K130" s="121" t="s">
        <v>1</v>
      </c>
      <c r="L130" s="24"/>
      <c r="M130" s="125" t="s">
        <v>1</v>
      </c>
      <c r="N130" s="126" t="s">
        <v>32</v>
      </c>
      <c r="O130" s="127">
        <v>0</v>
      </c>
      <c r="P130" s="127">
        <f t="shared" si="1"/>
        <v>0</v>
      </c>
      <c r="Q130" s="127">
        <v>0</v>
      </c>
      <c r="R130" s="127">
        <f t="shared" si="2"/>
        <v>0</v>
      </c>
      <c r="S130" s="127">
        <v>0</v>
      </c>
      <c r="T130" s="128">
        <f t="shared" si="3"/>
        <v>0</v>
      </c>
      <c r="W130" s="199"/>
      <c r="X130" s="119" t="s">
        <v>259</v>
      </c>
      <c r="Y130" s="119" t="s">
        <v>231</v>
      </c>
      <c r="Z130" s="120" t="s">
        <v>259</v>
      </c>
      <c r="AA130" s="121" t="s">
        <v>2572</v>
      </c>
      <c r="AB130" s="122" t="s">
        <v>292</v>
      </c>
      <c r="AC130" s="123">
        <v>82</v>
      </c>
      <c r="AD130" s="124">
        <v>6.62</v>
      </c>
      <c r="AE130" s="200">
        <f t="shared" si="4"/>
        <v>542.84</v>
      </c>
      <c r="AR130" s="129" t="s">
        <v>235</v>
      </c>
      <c r="AT130" s="129" t="s">
        <v>231</v>
      </c>
      <c r="AU130" s="129" t="s">
        <v>63</v>
      </c>
      <c r="AY130" s="13" t="s">
        <v>228</v>
      </c>
      <c r="BE130" s="130">
        <f t="shared" si="5"/>
        <v>0</v>
      </c>
      <c r="BF130" s="130">
        <f t="shared" si="6"/>
        <v>542.84</v>
      </c>
      <c r="BG130" s="130">
        <f t="shared" si="7"/>
        <v>0</v>
      </c>
      <c r="BH130" s="130">
        <f t="shared" si="8"/>
        <v>0</v>
      </c>
      <c r="BI130" s="130">
        <f t="shared" si="9"/>
        <v>0</v>
      </c>
      <c r="BJ130" s="13" t="s">
        <v>76</v>
      </c>
      <c r="BK130" s="130">
        <f t="shared" si="10"/>
        <v>542.84</v>
      </c>
      <c r="BL130" s="13" t="s">
        <v>235</v>
      </c>
      <c r="BM130" s="129" t="s">
        <v>262</v>
      </c>
    </row>
    <row r="131" spans="2:65" s="1" customFormat="1" ht="24" customHeight="1" x14ac:dyDescent="0.2">
      <c r="B131" s="118"/>
      <c r="C131" s="119" t="s">
        <v>248</v>
      </c>
      <c r="D131" s="119" t="s">
        <v>231</v>
      </c>
      <c r="E131" s="120" t="s">
        <v>248</v>
      </c>
      <c r="F131" s="121" t="s">
        <v>4002</v>
      </c>
      <c r="G131" s="122" t="s">
        <v>1194</v>
      </c>
      <c r="H131" s="123">
        <v>20</v>
      </c>
      <c r="I131" s="124">
        <v>1.1599999999999999</v>
      </c>
      <c r="J131" s="124">
        <f t="shared" si="0"/>
        <v>23.2</v>
      </c>
      <c r="K131" s="121" t="s">
        <v>1</v>
      </c>
      <c r="L131" s="24"/>
      <c r="M131" s="125" t="s">
        <v>1</v>
      </c>
      <c r="N131" s="126" t="s">
        <v>32</v>
      </c>
      <c r="O131" s="127">
        <v>0</v>
      </c>
      <c r="P131" s="127">
        <f t="shared" si="1"/>
        <v>0</v>
      </c>
      <c r="Q131" s="127">
        <v>0</v>
      </c>
      <c r="R131" s="127">
        <f t="shared" si="2"/>
        <v>0</v>
      </c>
      <c r="S131" s="127">
        <v>0</v>
      </c>
      <c r="T131" s="128">
        <f t="shared" si="3"/>
        <v>0</v>
      </c>
      <c r="W131" s="199"/>
      <c r="X131" s="119" t="s">
        <v>248</v>
      </c>
      <c r="Y131" s="119" t="s">
        <v>231</v>
      </c>
      <c r="Z131" s="120" t="s">
        <v>248</v>
      </c>
      <c r="AA131" s="121" t="s">
        <v>4002</v>
      </c>
      <c r="AB131" s="122" t="s">
        <v>1194</v>
      </c>
      <c r="AC131" s="123">
        <v>20</v>
      </c>
      <c r="AD131" s="124">
        <v>1.1599999999999999</v>
      </c>
      <c r="AE131" s="200">
        <f t="shared" si="4"/>
        <v>23.2</v>
      </c>
      <c r="AR131" s="129" t="s">
        <v>235</v>
      </c>
      <c r="AT131" s="129" t="s">
        <v>231</v>
      </c>
      <c r="AU131" s="129" t="s">
        <v>63</v>
      </c>
      <c r="AY131" s="13" t="s">
        <v>228</v>
      </c>
      <c r="BE131" s="130">
        <f t="shared" si="5"/>
        <v>0</v>
      </c>
      <c r="BF131" s="130">
        <f t="shared" si="6"/>
        <v>23.2</v>
      </c>
      <c r="BG131" s="130">
        <f t="shared" si="7"/>
        <v>0</v>
      </c>
      <c r="BH131" s="130">
        <f t="shared" si="8"/>
        <v>0</v>
      </c>
      <c r="BI131" s="130">
        <f t="shared" si="9"/>
        <v>0</v>
      </c>
      <c r="BJ131" s="13" t="s">
        <v>76</v>
      </c>
      <c r="BK131" s="130">
        <f t="shared" si="10"/>
        <v>23.2</v>
      </c>
      <c r="BL131" s="13" t="s">
        <v>235</v>
      </c>
      <c r="BM131" s="129" t="s">
        <v>7</v>
      </c>
    </row>
    <row r="132" spans="2:65" s="1" customFormat="1" ht="24" customHeight="1" x14ac:dyDescent="0.2">
      <c r="B132" s="118"/>
      <c r="C132" s="119" t="s">
        <v>265</v>
      </c>
      <c r="D132" s="119" t="s">
        <v>231</v>
      </c>
      <c r="E132" s="120" t="s">
        <v>265</v>
      </c>
      <c r="F132" s="121" t="s">
        <v>2577</v>
      </c>
      <c r="G132" s="122" t="s">
        <v>292</v>
      </c>
      <c r="H132" s="123">
        <v>82</v>
      </c>
      <c r="I132" s="124">
        <v>0.57999999999999996</v>
      </c>
      <c r="J132" s="124">
        <f t="shared" si="0"/>
        <v>47.56</v>
      </c>
      <c r="K132" s="121" t="s">
        <v>1</v>
      </c>
      <c r="L132" s="24"/>
      <c r="M132" s="125" t="s">
        <v>1</v>
      </c>
      <c r="N132" s="126" t="s">
        <v>32</v>
      </c>
      <c r="O132" s="127">
        <v>0</v>
      </c>
      <c r="P132" s="127">
        <f t="shared" si="1"/>
        <v>0</v>
      </c>
      <c r="Q132" s="127">
        <v>0</v>
      </c>
      <c r="R132" s="127">
        <f t="shared" si="2"/>
        <v>0</v>
      </c>
      <c r="S132" s="127">
        <v>0</v>
      </c>
      <c r="T132" s="128">
        <f t="shared" si="3"/>
        <v>0</v>
      </c>
      <c r="W132" s="199"/>
      <c r="X132" s="119" t="s">
        <v>265</v>
      </c>
      <c r="Y132" s="119" t="s">
        <v>231</v>
      </c>
      <c r="Z132" s="120" t="s">
        <v>265</v>
      </c>
      <c r="AA132" s="121" t="s">
        <v>2577</v>
      </c>
      <c r="AB132" s="122" t="s">
        <v>292</v>
      </c>
      <c r="AC132" s="123">
        <v>82</v>
      </c>
      <c r="AD132" s="124">
        <v>0.57999999999999996</v>
      </c>
      <c r="AE132" s="200">
        <f t="shared" si="4"/>
        <v>47.56</v>
      </c>
      <c r="AR132" s="129" t="s">
        <v>235</v>
      </c>
      <c r="AT132" s="129" t="s">
        <v>231</v>
      </c>
      <c r="AU132" s="129" t="s">
        <v>63</v>
      </c>
      <c r="AY132" s="13" t="s">
        <v>228</v>
      </c>
      <c r="BE132" s="130">
        <f t="shared" si="5"/>
        <v>0</v>
      </c>
      <c r="BF132" s="130">
        <f t="shared" si="6"/>
        <v>47.56</v>
      </c>
      <c r="BG132" s="130">
        <f t="shared" si="7"/>
        <v>0</v>
      </c>
      <c r="BH132" s="130">
        <f t="shared" si="8"/>
        <v>0</v>
      </c>
      <c r="BI132" s="130">
        <f t="shared" si="9"/>
        <v>0</v>
      </c>
      <c r="BJ132" s="13" t="s">
        <v>76</v>
      </c>
      <c r="BK132" s="130">
        <f t="shared" si="10"/>
        <v>47.56</v>
      </c>
      <c r="BL132" s="13" t="s">
        <v>235</v>
      </c>
      <c r="BM132" s="129" t="s">
        <v>268</v>
      </c>
    </row>
    <row r="133" spans="2:65" s="1" customFormat="1" ht="69.45" customHeight="1" x14ac:dyDescent="0.2">
      <c r="B133" s="118"/>
      <c r="C133" s="119" t="s">
        <v>251</v>
      </c>
      <c r="D133" s="119" t="s">
        <v>231</v>
      </c>
      <c r="E133" s="120" t="s">
        <v>251</v>
      </c>
      <c r="F133" s="121" t="s">
        <v>2578</v>
      </c>
      <c r="G133" s="122" t="s">
        <v>284</v>
      </c>
      <c r="H133" s="123">
        <v>236</v>
      </c>
      <c r="I133" s="124">
        <v>43.84</v>
      </c>
      <c r="J133" s="124">
        <f t="shared" si="0"/>
        <v>10346.24</v>
      </c>
      <c r="K133" s="121" t="s">
        <v>1</v>
      </c>
      <c r="L133" s="24"/>
      <c r="M133" s="125" t="s">
        <v>1</v>
      </c>
      <c r="N133" s="126" t="s">
        <v>32</v>
      </c>
      <c r="O133" s="127">
        <v>0</v>
      </c>
      <c r="P133" s="127">
        <f t="shared" si="1"/>
        <v>0</v>
      </c>
      <c r="Q133" s="127">
        <v>0</v>
      </c>
      <c r="R133" s="127">
        <f t="shared" si="2"/>
        <v>0</v>
      </c>
      <c r="S133" s="127">
        <v>0</v>
      </c>
      <c r="T133" s="128">
        <f t="shared" si="3"/>
        <v>0</v>
      </c>
      <c r="W133" s="199"/>
      <c r="X133" s="119" t="s">
        <v>251</v>
      </c>
      <c r="Y133" s="119" t="s">
        <v>231</v>
      </c>
      <c r="Z133" s="120" t="s">
        <v>251</v>
      </c>
      <c r="AA133" s="121" t="s">
        <v>2578</v>
      </c>
      <c r="AB133" s="122" t="s">
        <v>284</v>
      </c>
      <c r="AC133" s="123">
        <v>236</v>
      </c>
      <c r="AD133" s="124">
        <v>43.84</v>
      </c>
      <c r="AE133" s="200">
        <f t="shared" si="4"/>
        <v>10346.24</v>
      </c>
      <c r="AR133" s="129" t="s">
        <v>235</v>
      </c>
      <c r="AT133" s="129" t="s">
        <v>231</v>
      </c>
      <c r="AU133" s="129" t="s">
        <v>63</v>
      </c>
      <c r="AY133" s="13" t="s">
        <v>228</v>
      </c>
      <c r="BE133" s="130">
        <f t="shared" si="5"/>
        <v>0</v>
      </c>
      <c r="BF133" s="130">
        <f t="shared" si="6"/>
        <v>10346.24</v>
      </c>
      <c r="BG133" s="130">
        <f t="shared" si="7"/>
        <v>0</v>
      </c>
      <c r="BH133" s="130">
        <f t="shared" si="8"/>
        <v>0</v>
      </c>
      <c r="BI133" s="130">
        <f t="shared" si="9"/>
        <v>0</v>
      </c>
      <c r="BJ133" s="13" t="s">
        <v>76</v>
      </c>
      <c r="BK133" s="130">
        <f t="shared" si="10"/>
        <v>10346.24</v>
      </c>
      <c r="BL133" s="13" t="s">
        <v>235</v>
      </c>
      <c r="BM133" s="129" t="s">
        <v>272</v>
      </c>
    </row>
    <row r="134" spans="2:65" s="1" customFormat="1" ht="36" customHeight="1" x14ac:dyDescent="0.2">
      <c r="B134" s="118"/>
      <c r="C134" s="119" t="s">
        <v>273</v>
      </c>
      <c r="D134" s="119" t="s">
        <v>231</v>
      </c>
      <c r="E134" s="120" t="s">
        <v>273</v>
      </c>
      <c r="F134" s="121" t="s">
        <v>2579</v>
      </c>
      <c r="G134" s="122" t="s">
        <v>292</v>
      </c>
      <c r="H134" s="123">
        <v>80</v>
      </c>
      <c r="I134" s="124">
        <v>9.59</v>
      </c>
      <c r="J134" s="124">
        <f t="shared" si="0"/>
        <v>767.2</v>
      </c>
      <c r="K134" s="121" t="s">
        <v>1</v>
      </c>
      <c r="L134" s="24"/>
      <c r="M134" s="125" t="s">
        <v>1</v>
      </c>
      <c r="N134" s="126" t="s">
        <v>32</v>
      </c>
      <c r="O134" s="127">
        <v>0</v>
      </c>
      <c r="P134" s="127">
        <f t="shared" si="1"/>
        <v>0</v>
      </c>
      <c r="Q134" s="127">
        <v>0</v>
      </c>
      <c r="R134" s="127">
        <f t="shared" si="2"/>
        <v>0</v>
      </c>
      <c r="S134" s="127">
        <v>0</v>
      </c>
      <c r="T134" s="128">
        <f t="shared" si="3"/>
        <v>0</v>
      </c>
      <c r="W134" s="199"/>
      <c r="X134" s="119" t="s">
        <v>273</v>
      </c>
      <c r="Y134" s="119" t="s">
        <v>231</v>
      </c>
      <c r="Z134" s="120" t="s">
        <v>273</v>
      </c>
      <c r="AA134" s="121" t="s">
        <v>2579</v>
      </c>
      <c r="AB134" s="122" t="s">
        <v>292</v>
      </c>
      <c r="AC134" s="123">
        <v>80</v>
      </c>
      <c r="AD134" s="124">
        <v>9.59</v>
      </c>
      <c r="AE134" s="200">
        <f t="shared" si="4"/>
        <v>767.2</v>
      </c>
      <c r="AR134" s="129" t="s">
        <v>235</v>
      </c>
      <c r="AT134" s="129" t="s">
        <v>231</v>
      </c>
      <c r="AU134" s="129" t="s">
        <v>63</v>
      </c>
      <c r="AY134" s="13" t="s">
        <v>228</v>
      </c>
      <c r="BE134" s="130">
        <f t="shared" si="5"/>
        <v>0</v>
      </c>
      <c r="BF134" s="130">
        <f t="shared" si="6"/>
        <v>767.2</v>
      </c>
      <c r="BG134" s="130">
        <f t="shared" si="7"/>
        <v>0</v>
      </c>
      <c r="BH134" s="130">
        <f t="shared" si="8"/>
        <v>0</v>
      </c>
      <c r="BI134" s="130">
        <f t="shared" si="9"/>
        <v>0</v>
      </c>
      <c r="BJ134" s="13" t="s">
        <v>76</v>
      </c>
      <c r="BK134" s="130">
        <f t="shared" si="10"/>
        <v>767.2</v>
      </c>
      <c r="BL134" s="13" t="s">
        <v>235</v>
      </c>
      <c r="BM134" s="129" t="s">
        <v>276</v>
      </c>
    </row>
    <row r="135" spans="2:65" s="1" customFormat="1" ht="36" customHeight="1" x14ac:dyDescent="0.2">
      <c r="B135" s="118"/>
      <c r="C135" s="119" t="s">
        <v>255</v>
      </c>
      <c r="D135" s="119" t="s">
        <v>231</v>
      </c>
      <c r="E135" s="120" t="s">
        <v>255</v>
      </c>
      <c r="F135" s="121" t="s">
        <v>4003</v>
      </c>
      <c r="G135" s="122" t="s">
        <v>292</v>
      </c>
      <c r="H135" s="123">
        <v>66</v>
      </c>
      <c r="I135" s="124">
        <v>9.59</v>
      </c>
      <c r="J135" s="124">
        <f t="shared" si="0"/>
        <v>632.94000000000005</v>
      </c>
      <c r="K135" s="121" t="s">
        <v>1</v>
      </c>
      <c r="L135" s="24"/>
      <c r="M135" s="125" t="s">
        <v>1</v>
      </c>
      <c r="N135" s="126" t="s">
        <v>32</v>
      </c>
      <c r="O135" s="127">
        <v>0</v>
      </c>
      <c r="P135" s="127">
        <f t="shared" si="1"/>
        <v>0</v>
      </c>
      <c r="Q135" s="127">
        <v>0</v>
      </c>
      <c r="R135" s="127">
        <f t="shared" si="2"/>
        <v>0</v>
      </c>
      <c r="S135" s="127">
        <v>0</v>
      </c>
      <c r="T135" s="128">
        <f t="shared" si="3"/>
        <v>0</v>
      </c>
      <c r="W135" s="199"/>
      <c r="X135" s="119" t="s">
        <v>255</v>
      </c>
      <c r="Y135" s="119" t="s">
        <v>231</v>
      </c>
      <c r="Z135" s="120" t="s">
        <v>255</v>
      </c>
      <c r="AA135" s="121" t="s">
        <v>4003</v>
      </c>
      <c r="AB135" s="122" t="s">
        <v>292</v>
      </c>
      <c r="AC135" s="123">
        <v>66</v>
      </c>
      <c r="AD135" s="124">
        <v>9.59</v>
      </c>
      <c r="AE135" s="200">
        <f t="shared" si="4"/>
        <v>632.94000000000005</v>
      </c>
      <c r="AR135" s="129" t="s">
        <v>235</v>
      </c>
      <c r="AT135" s="129" t="s">
        <v>231</v>
      </c>
      <c r="AU135" s="129" t="s">
        <v>63</v>
      </c>
      <c r="AY135" s="13" t="s">
        <v>228</v>
      </c>
      <c r="BE135" s="130">
        <f t="shared" si="5"/>
        <v>0</v>
      </c>
      <c r="BF135" s="130">
        <f t="shared" si="6"/>
        <v>632.94000000000005</v>
      </c>
      <c r="BG135" s="130">
        <f t="shared" si="7"/>
        <v>0</v>
      </c>
      <c r="BH135" s="130">
        <f t="shared" si="8"/>
        <v>0</v>
      </c>
      <c r="BI135" s="130">
        <f t="shared" si="9"/>
        <v>0</v>
      </c>
      <c r="BJ135" s="13" t="s">
        <v>76</v>
      </c>
      <c r="BK135" s="130">
        <f t="shared" si="10"/>
        <v>632.94000000000005</v>
      </c>
      <c r="BL135" s="13" t="s">
        <v>235</v>
      </c>
      <c r="BM135" s="129" t="s">
        <v>280</v>
      </c>
    </row>
    <row r="136" spans="2:65" s="1" customFormat="1" ht="72" customHeight="1" x14ac:dyDescent="0.2">
      <c r="B136" s="118"/>
      <c r="C136" s="119" t="s">
        <v>281</v>
      </c>
      <c r="D136" s="119" t="s">
        <v>231</v>
      </c>
      <c r="E136" s="120" t="s">
        <v>281</v>
      </c>
      <c r="F136" s="121" t="s">
        <v>4004</v>
      </c>
      <c r="G136" s="122" t="s">
        <v>1194</v>
      </c>
      <c r="H136" s="123">
        <v>2</v>
      </c>
      <c r="I136" s="124">
        <v>4945.63</v>
      </c>
      <c r="J136" s="124">
        <f t="shared" si="0"/>
        <v>9891.26</v>
      </c>
      <c r="K136" s="121" t="s">
        <v>1</v>
      </c>
      <c r="L136" s="24"/>
      <c r="M136" s="125" t="s">
        <v>1</v>
      </c>
      <c r="N136" s="126" t="s">
        <v>32</v>
      </c>
      <c r="O136" s="127">
        <v>0</v>
      </c>
      <c r="P136" s="127">
        <f t="shared" si="1"/>
        <v>0</v>
      </c>
      <c r="Q136" s="127">
        <v>0</v>
      </c>
      <c r="R136" s="127">
        <f t="shared" si="2"/>
        <v>0</v>
      </c>
      <c r="S136" s="127">
        <v>0</v>
      </c>
      <c r="T136" s="128">
        <f t="shared" si="3"/>
        <v>0</v>
      </c>
      <c r="W136" s="199"/>
      <c r="X136" s="119" t="s">
        <v>281</v>
      </c>
      <c r="Y136" s="119" t="s">
        <v>231</v>
      </c>
      <c r="Z136" s="120" t="s">
        <v>281</v>
      </c>
      <c r="AA136" s="121" t="s">
        <v>4004</v>
      </c>
      <c r="AB136" s="122" t="s">
        <v>1194</v>
      </c>
      <c r="AC136" s="123">
        <v>2</v>
      </c>
      <c r="AD136" s="124">
        <v>4945.63</v>
      </c>
      <c r="AE136" s="200">
        <f t="shared" si="4"/>
        <v>9891.26</v>
      </c>
      <c r="AR136" s="129" t="s">
        <v>235</v>
      </c>
      <c r="AT136" s="129" t="s">
        <v>231</v>
      </c>
      <c r="AU136" s="129" t="s">
        <v>63</v>
      </c>
      <c r="AY136" s="13" t="s">
        <v>228</v>
      </c>
      <c r="BE136" s="130">
        <f t="shared" si="5"/>
        <v>0</v>
      </c>
      <c r="BF136" s="130">
        <f t="shared" si="6"/>
        <v>9891.26</v>
      </c>
      <c r="BG136" s="130">
        <f t="shared" si="7"/>
        <v>0</v>
      </c>
      <c r="BH136" s="130">
        <f t="shared" si="8"/>
        <v>0</v>
      </c>
      <c r="BI136" s="130">
        <f t="shared" si="9"/>
        <v>0</v>
      </c>
      <c r="BJ136" s="13" t="s">
        <v>76</v>
      </c>
      <c r="BK136" s="130">
        <f t="shared" si="10"/>
        <v>9891.26</v>
      </c>
      <c r="BL136" s="13" t="s">
        <v>235</v>
      </c>
      <c r="BM136" s="129" t="s">
        <v>285</v>
      </c>
    </row>
    <row r="137" spans="2:65" s="1" customFormat="1" ht="72" customHeight="1" x14ac:dyDescent="0.2">
      <c r="B137" s="118"/>
      <c r="C137" s="205" t="s">
        <v>258</v>
      </c>
      <c r="D137" s="119" t="s">
        <v>231</v>
      </c>
      <c r="E137" s="120" t="s">
        <v>258</v>
      </c>
      <c r="F137" s="121" t="s">
        <v>2581</v>
      </c>
      <c r="G137" s="122" t="s">
        <v>1194</v>
      </c>
      <c r="H137" s="206">
        <v>3</v>
      </c>
      <c r="I137" s="124">
        <v>5627.88</v>
      </c>
      <c r="J137" s="124">
        <f t="shared" si="0"/>
        <v>16883.64</v>
      </c>
      <c r="K137" s="121" t="s">
        <v>1</v>
      </c>
      <c r="L137" s="24"/>
      <c r="M137" s="125" t="s">
        <v>1</v>
      </c>
      <c r="N137" s="126" t="s">
        <v>32</v>
      </c>
      <c r="O137" s="127">
        <v>0</v>
      </c>
      <c r="P137" s="127">
        <f t="shared" si="1"/>
        <v>0</v>
      </c>
      <c r="Q137" s="127">
        <v>0</v>
      </c>
      <c r="R137" s="127">
        <f t="shared" si="2"/>
        <v>0</v>
      </c>
      <c r="S137" s="127">
        <v>0</v>
      </c>
      <c r="T137" s="128">
        <f t="shared" si="3"/>
        <v>0</v>
      </c>
      <c r="W137" s="199"/>
      <c r="X137" s="205" t="s">
        <v>258</v>
      </c>
      <c r="Y137" s="119" t="s">
        <v>231</v>
      </c>
      <c r="Z137" s="120" t="s">
        <v>258</v>
      </c>
      <c r="AA137" s="121" t="s">
        <v>2581</v>
      </c>
      <c r="AB137" s="122" t="s">
        <v>1194</v>
      </c>
      <c r="AC137" s="206">
        <f>3-1</f>
        <v>2</v>
      </c>
      <c r="AD137" s="124">
        <v>5627.88</v>
      </c>
      <c r="AE137" s="200">
        <f t="shared" si="4"/>
        <v>11255.76</v>
      </c>
      <c r="AF137" s="227" t="s">
        <v>6371</v>
      </c>
      <c r="AR137" s="129" t="s">
        <v>235</v>
      </c>
      <c r="AT137" s="129" t="s">
        <v>231</v>
      </c>
      <c r="AU137" s="129" t="s">
        <v>63</v>
      </c>
      <c r="AY137" s="13" t="s">
        <v>228</v>
      </c>
      <c r="BE137" s="130">
        <f t="shared" si="5"/>
        <v>0</v>
      </c>
      <c r="BF137" s="130">
        <f t="shared" si="6"/>
        <v>16883.64</v>
      </c>
      <c r="BG137" s="130">
        <f t="shared" si="7"/>
        <v>0</v>
      </c>
      <c r="BH137" s="130">
        <f t="shared" si="8"/>
        <v>0</v>
      </c>
      <c r="BI137" s="130">
        <f t="shared" si="9"/>
        <v>0</v>
      </c>
      <c r="BJ137" s="13" t="s">
        <v>76</v>
      </c>
      <c r="BK137" s="130">
        <f t="shared" si="10"/>
        <v>16883.64</v>
      </c>
      <c r="BL137" s="13" t="s">
        <v>235</v>
      </c>
      <c r="BM137" s="129" t="s">
        <v>288</v>
      </c>
    </row>
    <row r="138" spans="2:65" s="1" customFormat="1" ht="72" customHeight="1" x14ac:dyDescent="0.2">
      <c r="B138" s="118"/>
      <c r="C138" s="119" t="s">
        <v>289</v>
      </c>
      <c r="D138" s="119" t="s">
        <v>231</v>
      </c>
      <c r="E138" s="120" t="s">
        <v>289</v>
      </c>
      <c r="F138" s="121" t="s">
        <v>4005</v>
      </c>
      <c r="G138" s="122" t="s">
        <v>1194</v>
      </c>
      <c r="H138" s="123">
        <v>1</v>
      </c>
      <c r="I138" s="124">
        <v>5823.78</v>
      </c>
      <c r="J138" s="124">
        <f t="shared" si="0"/>
        <v>5823.78</v>
      </c>
      <c r="K138" s="121" t="s">
        <v>1</v>
      </c>
      <c r="L138" s="24"/>
      <c r="M138" s="125" t="s">
        <v>1</v>
      </c>
      <c r="N138" s="126" t="s">
        <v>32</v>
      </c>
      <c r="O138" s="127">
        <v>0</v>
      </c>
      <c r="P138" s="127">
        <f t="shared" si="1"/>
        <v>0</v>
      </c>
      <c r="Q138" s="127">
        <v>0</v>
      </c>
      <c r="R138" s="127">
        <f t="shared" si="2"/>
        <v>0</v>
      </c>
      <c r="S138" s="127">
        <v>0</v>
      </c>
      <c r="T138" s="128">
        <f t="shared" si="3"/>
        <v>0</v>
      </c>
      <c r="W138" s="199"/>
      <c r="X138" s="119" t="s">
        <v>289</v>
      </c>
      <c r="Y138" s="119" t="s">
        <v>231</v>
      </c>
      <c r="Z138" s="120" t="s">
        <v>289</v>
      </c>
      <c r="AA138" s="121" t="s">
        <v>4005</v>
      </c>
      <c r="AB138" s="122" t="s">
        <v>1194</v>
      </c>
      <c r="AC138" s="123">
        <v>1</v>
      </c>
      <c r="AD138" s="124">
        <v>5823.78</v>
      </c>
      <c r="AE138" s="200">
        <f t="shared" si="4"/>
        <v>5823.78</v>
      </c>
      <c r="AR138" s="129" t="s">
        <v>235</v>
      </c>
      <c r="AT138" s="129" t="s">
        <v>231</v>
      </c>
      <c r="AU138" s="129" t="s">
        <v>63</v>
      </c>
      <c r="AY138" s="13" t="s">
        <v>228</v>
      </c>
      <c r="BE138" s="130">
        <f t="shared" si="5"/>
        <v>0</v>
      </c>
      <c r="BF138" s="130">
        <f t="shared" si="6"/>
        <v>5823.78</v>
      </c>
      <c r="BG138" s="130">
        <f t="shared" si="7"/>
        <v>0</v>
      </c>
      <c r="BH138" s="130">
        <f t="shared" si="8"/>
        <v>0</v>
      </c>
      <c r="BI138" s="130">
        <f t="shared" si="9"/>
        <v>0</v>
      </c>
      <c r="BJ138" s="13" t="s">
        <v>76</v>
      </c>
      <c r="BK138" s="130">
        <f t="shared" si="10"/>
        <v>5823.78</v>
      </c>
      <c r="BL138" s="13" t="s">
        <v>235</v>
      </c>
      <c r="BM138" s="129" t="s">
        <v>293</v>
      </c>
    </row>
    <row r="139" spans="2:65" s="661" customFormat="1" ht="36.450000000000003" customHeight="1" x14ac:dyDescent="0.2">
      <c r="B139" s="118"/>
      <c r="C139" s="1234" t="s">
        <v>5205</v>
      </c>
      <c r="D139" s="1235"/>
      <c r="E139" s="1235"/>
      <c r="F139" s="1235"/>
      <c r="G139" s="1235"/>
      <c r="H139" s="1235"/>
      <c r="I139" s="1235"/>
      <c r="J139" s="1236"/>
      <c r="K139" s="222"/>
      <c r="L139" s="24"/>
      <c r="M139" s="125"/>
      <c r="N139" s="126"/>
      <c r="O139" s="127"/>
      <c r="P139" s="127"/>
      <c r="Q139" s="127"/>
      <c r="R139" s="127"/>
      <c r="S139" s="127"/>
      <c r="T139" s="128"/>
      <c r="W139" s="199"/>
      <c r="X139" s="207" t="s">
        <v>5348</v>
      </c>
      <c r="Y139" s="207" t="s">
        <v>231</v>
      </c>
      <c r="Z139" s="208" t="s">
        <v>6418</v>
      </c>
      <c r="AA139" s="209" t="s">
        <v>6419</v>
      </c>
      <c r="AB139" s="210" t="s">
        <v>1194</v>
      </c>
      <c r="AC139" s="211">
        <v>13</v>
      </c>
      <c r="AD139" s="212">
        <v>100</v>
      </c>
      <c r="AE139" s="214">
        <f t="shared" si="4"/>
        <v>1300</v>
      </c>
      <c r="AF139" s="248" t="s">
        <v>6420</v>
      </c>
      <c r="AR139" s="129"/>
      <c r="AT139" s="129"/>
      <c r="AU139" s="129"/>
      <c r="AY139" s="13"/>
      <c r="BE139" s="130"/>
      <c r="BF139" s="130"/>
      <c r="BG139" s="130"/>
      <c r="BH139" s="130"/>
      <c r="BI139" s="130"/>
      <c r="BJ139" s="13"/>
      <c r="BK139" s="130"/>
      <c r="BL139" s="13"/>
      <c r="BM139" s="129"/>
    </row>
    <row r="140" spans="2:65" s="11" customFormat="1" ht="22.95" customHeight="1" x14ac:dyDescent="0.25">
      <c r="B140" s="106"/>
      <c r="D140" s="107" t="s">
        <v>57</v>
      </c>
      <c r="E140" s="116" t="s">
        <v>1201</v>
      </c>
      <c r="F140" s="116" t="s">
        <v>2583</v>
      </c>
      <c r="J140" s="117">
        <f>BK140</f>
        <v>12825.94</v>
      </c>
      <c r="L140" s="106"/>
      <c r="M140" s="110"/>
      <c r="N140" s="111"/>
      <c r="O140" s="111"/>
      <c r="P140" s="112">
        <f>SUM(P141:P146)</f>
        <v>0</v>
      </c>
      <c r="Q140" s="111"/>
      <c r="R140" s="112">
        <f>SUM(R141:R146)</f>
        <v>0</v>
      </c>
      <c r="S140" s="111"/>
      <c r="T140" s="113">
        <f>SUM(T141:T146)</f>
        <v>0</v>
      </c>
      <c r="W140" s="195"/>
      <c r="X140" s="111"/>
      <c r="Y140" s="196" t="s">
        <v>57</v>
      </c>
      <c r="Z140" s="201" t="s">
        <v>1201</v>
      </c>
      <c r="AA140" s="201" t="s">
        <v>2583</v>
      </c>
      <c r="AB140" s="111"/>
      <c r="AC140" s="111"/>
      <c r="AD140" s="111"/>
      <c r="AE140" s="202">
        <f>SUM(AE141:AE146)</f>
        <v>12825.94</v>
      </c>
      <c r="AR140" s="107" t="s">
        <v>63</v>
      </c>
      <c r="AT140" s="114" t="s">
        <v>57</v>
      </c>
      <c r="AU140" s="114" t="s">
        <v>63</v>
      </c>
      <c r="AY140" s="107" t="s">
        <v>228</v>
      </c>
      <c r="BK140" s="115">
        <f>SUM(BK141:BK146)</f>
        <v>12825.94</v>
      </c>
    </row>
    <row r="141" spans="2:65" s="1" customFormat="1" ht="28.2" customHeight="1" x14ac:dyDescent="0.2">
      <c r="B141" s="118"/>
      <c r="C141" s="119" t="s">
        <v>262</v>
      </c>
      <c r="D141" s="119" t="s">
        <v>231</v>
      </c>
      <c r="E141" s="120" t="s">
        <v>262</v>
      </c>
      <c r="F141" s="121" t="s">
        <v>2584</v>
      </c>
      <c r="G141" s="122" t="s">
        <v>1194</v>
      </c>
      <c r="H141" s="123">
        <v>13</v>
      </c>
      <c r="I141" s="124">
        <v>221.94</v>
      </c>
      <c r="J141" s="124">
        <f t="shared" ref="J141:J146" si="11">ROUND(I141*H141,2)</f>
        <v>2885.22</v>
      </c>
      <c r="K141" s="121" t="s">
        <v>1</v>
      </c>
      <c r="L141" s="24"/>
      <c r="M141" s="125" t="s">
        <v>1</v>
      </c>
      <c r="N141" s="126" t="s">
        <v>32</v>
      </c>
      <c r="O141" s="127">
        <v>0</v>
      </c>
      <c r="P141" s="127">
        <f t="shared" ref="P141:P146" si="12">O141*H141</f>
        <v>0</v>
      </c>
      <c r="Q141" s="127">
        <v>0</v>
      </c>
      <c r="R141" s="127">
        <f t="shared" ref="R141:R146" si="13">Q141*H141</f>
        <v>0</v>
      </c>
      <c r="S141" s="127">
        <v>0</v>
      </c>
      <c r="T141" s="128">
        <f t="shared" ref="T141:T146" si="14">S141*H141</f>
        <v>0</v>
      </c>
      <c r="W141" s="199"/>
      <c r="X141" s="119" t="s">
        <v>262</v>
      </c>
      <c r="Y141" s="119" t="s">
        <v>231</v>
      </c>
      <c r="Z141" s="120" t="s">
        <v>262</v>
      </c>
      <c r="AA141" s="121" t="s">
        <v>2584</v>
      </c>
      <c r="AB141" s="122" t="s">
        <v>1194</v>
      </c>
      <c r="AC141" s="123">
        <v>13</v>
      </c>
      <c r="AD141" s="124">
        <v>221.94</v>
      </c>
      <c r="AE141" s="200">
        <f t="shared" ref="AE141:AE146" si="15">ROUND(AD141*AC141,2)</f>
        <v>2885.22</v>
      </c>
      <c r="AR141" s="129" t="s">
        <v>235</v>
      </c>
      <c r="AT141" s="129" t="s">
        <v>231</v>
      </c>
      <c r="AU141" s="129" t="s">
        <v>76</v>
      </c>
      <c r="AY141" s="13" t="s">
        <v>228</v>
      </c>
      <c r="BE141" s="130">
        <f t="shared" ref="BE141:BE146" si="16">IF(N141="základná",J141,0)</f>
        <v>0</v>
      </c>
      <c r="BF141" s="130">
        <f t="shared" ref="BF141:BF146" si="17">IF(N141="znížená",J141,0)</f>
        <v>2885.22</v>
      </c>
      <c r="BG141" s="130">
        <f t="shared" ref="BG141:BG146" si="18">IF(N141="zákl. prenesená",J141,0)</f>
        <v>0</v>
      </c>
      <c r="BH141" s="130">
        <f t="shared" ref="BH141:BH146" si="19">IF(N141="zníž. prenesená",J141,0)</f>
        <v>0</v>
      </c>
      <c r="BI141" s="130">
        <f t="shared" ref="BI141:BI146" si="20">IF(N141="nulová",J141,0)</f>
        <v>0</v>
      </c>
      <c r="BJ141" s="13" t="s">
        <v>76</v>
      </c>
      <c r="BK141" s="130">
        <f t="shared" ref="BK141:BK146" si="21">ROUND(I141*H141,2)</f>
        <v>2885.22</v>
      </c>
      <c r="BL141" s="13" t="s">
        <v>235</v>
      </c>
      <c r="BM141" s="129" t="s">
        <v>296</v>
      </c>
    </row>
    <row r="142" spans="2:65" s="1" customFormat="1" ht="35.549999999999997" customHeight="1" x14ac:dyDescent="0.2">
      <c r="B142" s="118"/>
      <c r="C142" s="119" t="s">
        <v>297</v>
      </c>
      <c r="D142" s="119" t="s">
        <v>231</v>
      </c>
      <c r="E142" s="120" t="s">
        <v>297</v>
      </c>
      <c r="F142" s="121" t="s">
        <v>4006</v>
      </c>
      <c r="G142" s="122" t="s">
        <v>1194</v>
      </c>
      <c r="H142" s="123">
        <v>12</v>
      </c>
      <c r="I142" s="124">
        <v>301.39999999999998</v>
      </c>
      <c r="J142" s="124">
        <f t="shared" si="11"/>
        <v>3616.8</v>
      </c>
      <c r="K142" s="121" t="s">
        <v>1</v>
      </c>
      <c r="L142" s="24"/>
      <c r="M142" s="125" t="s">
        <v>1</v>
      </c>
      <c r="N142" s="126" t="s">
        <v>32</v>
      </c>
      <c r="O142" s="127">
        <v>0</v>
      </c>
      <c r="P142" s="127">
        <f t="shared" si="12"/>
        <v>0</v>
      </c>
      <c r="Q142" s="127">
        <v>0</v>
      </c>
      <c r="R142" s="127">
        <f t="shared" si="13"/>
        <v>0</v>
      </c>
      <c r="S142" s="127">
        <v>0</v>
      </c>
      <c r="T142" s="128">
        <f t="shared" si="14"/>
        <v>0</v>
      </c>
      <c r="W142" s="199"/>
      <c r="X142" s="119" t="s">
        <v>297</v>
      </c>
      <c r="Y142" s="119" t="s">
        <v>231</v>
      </c>
      <c r="Z142" s="120" t="s">
        <v>297</v>
      </c>
      <c r="AA142" s="121" t="s">
        <v>4006</v>
      </c>
      <c r="AB142" s="122" t="s">
        <v>1194</v>
      </c>
      <c r="AC142" s="123">
        <v>12</v>
      </c>
      <c r="AD142" s="124">
        <v>301.39999999999998</v>
      </c>
      <c r="AE142" s="200">
        <f t="shared" si="15"/>
        <v>3616.8</v>
      </c>
      <c r="AR142" s="129" t="s">
        <v>235</v>
      </c>
      <c r="AT142" s="129" t="s">
        <v>231</v>
      </c>
      <c r="AU142" s="129" t="s">
        <v>76</v>
      </c>
      <c r="AY142" s="13" t="s">
        <v>228</v>
      </c>
      <c r="BE142" s="130">
        <f t="shared" si="16"/>
        <v>0</v>
      </c>
      <c r="BF142" s="130">
        <f t="shared" si="17"/>
        <v>3616.8</v>
      </c>
      <c r="BG142" s="130">
        <f t="shared" si="18"/>
        <v>0</v>
      </c>
      <c r="BH142" s="130">
        <f t="shared" si="19"/>
        <v>0</v>
      </c>
      <c r="BI142" s="130">
        <f t="shared" si="20"/>
        <v>0</v>
      </c>
      <c r="BJ142" s="13" t="s">
        <v>76</v>
      </c>
      <c r="BK142" s="130">
        <f t="shared" si="21"/>
        <v>3616.8</v>
      </c>
      <c r="BL142" s="13" t="s">
        <v>235</v>
      </c>
      <c r="BM142" s="129" t="s">
        <v>300</v>
      </c>
    </row>
    <row r="143" spans="2:65" s="1" customFormat="1" ht="30" customHeight="1" x14ac:dyDescent="0.2">
      <c r="B143" s="118"/>
      <c r="C143" s="119" t="s">
        <v>7</v>
      </c>
      <c r="D143" s="119" t="s">
        <v>231</v>
      </c>
      <c r="E143" s="120" t="s">
        <v>7</v>
      </c>
      <c r="F143" s="121" t="s">
        <v>2586</v>
      </c>
      <c r="G143" s="122" t="s">
        <v>1194</v>
      </c>
      <c r="H143" s="123">
        <v>1</v>
      </c>
      <c r="I143" s="124">
        <v>201.39</v>
      </c>
      <c r="J143" s="124">
        <f t="shared" si="11"/>
        <v>201.39</v>
      </c>
      <c r="K143" s="121" t="s">
        <v>1</v>
      </c>
      <c r="L143" s="24"/>
      <c r="M143" s="125" t="s">
        <v>1</v>
      </c>
      <c r="N143" s="126" t="s">
        <v>32</v>
      </c>
      <c r="O143" s="127">
        <v>0</v>
      </c>
      <c r="P143" s="127">
        <f t="shared" si="12"/>
        <v>0</v>
      </c>
      <c r="Q143" s="127">
        <v>0</v>
      </c>
      <c r="R143" s="127">
        <f t="shared" si="13"/>
        <v>0</v>
      </c>
      <c r="S143" s="127">
        <v>0</v>
      </c>
      <c r="T143" s="128">
        <f t="shared" si="14"/>
        <v>0</v>
      </c>
      <c r="W143" s="199"/>
      <c r="X143" s="119" t="s">
        <v>7</v>
      </c>
      <c r="Y143" s="119" t="s">
        <v>231</v>
      </c>
      <c r="Z143" s="120" t="s">
        <v>7</v>
      </c>
      <c r="AA143" s="121" t="s">
        <v>2586</v>
      </c>
      <c r="AB143" s="122" t="s">
        <v>1194</v>
      </c>
      <c r="AC143" s="123">
        <v>1</v>
      </c>
      <c r="AD143" s="124">
        <v>201.39</v>
      </c>
      <c r="AE143" s="200">
        <f t="shared" si="15"/>
        <v>201.39</v>
      </c>
      <c r="AR143" s="129" t="s">
        <v>235</v>
      </c>
      <c r="AT143" s="129" t="s">
        <v>231</v>
      </c>
      <c r="AU143" s="129" t="s">
        <v>76</v>
      </c>
      <c r="AY143" s="13" t="s">
        <v>228</v>
      </c>
      <c r="BE143" s="130">
        <f t="shared" si="16"/>
        <v>0</v>
      </c>
      <c r="BF143" s="130">
        <f t="shared" si="17"/>
        <v>201.39</v>
      </c>
      <c r="BG143" s="130">
        <f t="shared" si="18"/>
        <v>0</v>
      </c>
      <c r="BH143" s="130">
        <f t="shared" si="19"/>
        <v>0</v>
      </c>
      <c r="BI143" s="130">
        <f t="shared" si="20"/>
        <v>0</v>
      </c>
      <c r="BJ143" s="13" t="s">
        <v>76</v>
      </c>
      <c r="BK143" s="130">
        <f t="shared" si="21"/>
        <v>201.39</v>
      </c>
      <c r="BL143" s="13" t="s">
        <v>235</v>
      </c>
      <c r="BM143" s="129" t="s">
        <v>303</v>
      </c>
    </row>
    <row r="144" spans="2:65" s="1" customFormat="1" ht="34.950000000000003" customHeight="1" x14ac:dyDescent="0.2">
      <c r="B144" s="118"/>
      <c r="C144" s="119" t="s">
        <v>305</v>
      </c>
      <c r="D144" s="119" t="s">
        <v>231</v>
      </c>
      <c r="E144" s="120" t="s">
        <v>305</v>
      </c>
      <c r="F144" s="121" t="s">
        <v>2587</v>
      </c>
      <c r="G144" s="122" t="s">
        <v>1194</v>
      </c>
      <c r="H144" s="123">
        <v>1</v>
      </c>
      <c r="I144" s="124">
        <v>280.85000000000002</v>
      </c>
      <c r="J144" s="124">
        <f t="shared" si="11"/>
        <v>280.85000000000002</v>
      </c>
      <c r="K144" s="121" t="s">
        <v>1</v>
      </c>
      <c r="L144" s="24"/>
      <c r="M144" s="125" t="s">
        <v>1</v>
      </c>
      <c r="N144" s="126" t="s">
        <v>32</v>
      </c>
      <c r="O144" s="127">
        <v>0</v>
      </c>
      <c r="P144" s="127">
        <f t="shared" si="12"/>
        <v>0</v>
      </c>
      <c r="Q144" s="127">
        <v>0</v>
      </c>
      <c r="R144" s="127">
        <f t="shared" si="13"/>
        <v>0</v>
      </c>
      <c r="S144" s="127">
        <v>0</v>
      </c>
      <c r="T144" s="128">
        <f t="shared" si="14"/>
        <v>0</v>
      </c>
      <c r="W144" s="199"/>
      <c r="X144" s="119" t="s">
        <v>305</v>
      </c>
      <c r="Y144" s="119" t="s">
        <v>231</v>
      </c>
      <c r="Z144" s="120" t="s">
        <v>305</v>
      </c>
      <c r="AA144" s="121" t="s">
        <v>2587</v>
      </c>
      <c r="AB144" s="122" t="s">
        <v>1194</v>
      </c>
      <c r="AC144" s="123">
        <v>1</v>
      </c>
      <c r="AD144" s="124">
        <v>280.85000000000002</v>
      </c>
      <c r="AE144" s="200">
        <f t="shared" si="15"/>
        <v>280.85000000000002</v>
      </c>
      <c r="AR144" s="129" t="s">
        <v>235</v>
      </c>
      <c r="AT144" s="129" t="s">
        <v>231</v>
      </c>
      <c r="AU144" s="129" t="s">
        <v>76</v>
      </c>
      <c r="AY144" s="13" t="s">
        <v>228</v>
      </c>
      <c r="BE144" s="130">
        <f t="shared" si="16"/>
        <v>0</v>
      </c>
      <c r="BF144" s="130">
        <f t="shared" si="17"/>
        <v>280.85000000000002</v>
      </c>
      <c r="BG144" s="130">
        <f t="shared" si="18"/>
        <v>0</v>
      </c>
      <c r="BH144" s="130">
        <f t="shared" si="19"/>
        <v>0</v>
      </c>
      <c r="BI144" s="130">
        <f t="shared" si="20"/>
        <v>0</v>
      </c>
      <c r="BJ144" s="13" t="s">
        <v>76</v>
      </c>
      <c r="BK144" s="130">
        <f t="shared" si="21"/>
        <v>280.85000000000002</v>
      </c>
      <c r="BL144" s="13" t="s">
        <v>235</v>
      </c>
      <c r="BM144" s="129" t="s">
        <v>308</v>
      </c>
    </row>
    <row r="145" spans="2:65" s="1" customFormat="1" ht="31.95" customHeight="1" x14ac:dyDescent="0.2">
      <c r="B145" s="118"/>
      <c r="C145" s="119" t="s">
        <v>268</v>
      </c>
      <c r="D145" s="119" t="s">
        <v>231</v>
      </c>
      <c r="E145" s="120" t="s">
        <v>268</v>
      </c>
      <c r="F145" s="121" t="s">
        <v>4007</v>
      </c>
      <c r="G145" s="122" t="s">
        <v>1194</v>
      </c>
      <c r="H145" s="123">
        <v>17</v>
      </c>
      <c r="I145" s="124">
        <v>208.24</v>
      </c>
      <c r="J145" s="124">
        <f t="shared" si="11"/>
        <v>3540.08</v>
      </c>
      <c r="K145" s="121" t="s">
        <v>1</v>
      </c>
      <c r="L145" s="24"/>
      <c r="M145" s="125" t="s">
        <v>1</v>
      </c>
      <c r="N145" s="126" t="s">
        <v>32</v>
      </c>
      <c r="O145" s="127">
        <v>0</v>
      </c>
      <c r="P145" s="127">
        <f t="shared" si="12"/>
        <v>0</v>
      </c>
      <c r="Q145" s="127">
        <v>0</v>
      </c>
      <c r="R145" s="127">
        <f t="shared" si="13"/>
        <v>0</v>
      </c>
      <c r="S145" s="127">
        <v>0</v>
      </c>
      <c r="T145" s="128">
        <f t="shared" si="14"/>
        <v>0</v>
      </c>
      <c r="W145" s="199"/>
      <c r="X145" s="119" t="s">
        <v>268</v>
      </c>
      <c r="Y145" s="119" t="s">
        <v>231</v>
      </c>
      <c r="Z145" s="120" t="s">
        <v>268</v>
      </c>
      <c r="AA145" s="121" t="s">
        <v>4007</v>
      </c>
      <c r="AB145" s="122" t="s">
        <v>1194</v>
      </c>
      <c r="AC145" s="123">
        <v>17</v>
      </c>
      <c r="AD145" s="124">
        <v>208.24</v>
      </c>
      <c r="AE145" s="200">
        <f t="shared" si="15"/>
        <v>3540.08</v>
      </c>
      <c r="AR145" s="129" t="s">
        <v>235</v>
      </c>
      <c r="AT145" s="129" t="s">
        <v>231</v>
      </c>
      <c r="AU145" s="129" t="s">
        <v>76</v>
      </c>
      <c r="AY145" s="13" t="s">
        <v>228</v>
      </c>
      <c r="BE145" s="130">
        <f t="shared" si="16"/>
        <v>0</v>
      </c>
      <c r="BF145" s="130">
        <f t="shared" si="17"/>
        <v>3540.08</v>
      </c>
      <c r="BG145" s="130">
        <f t="shared" si="18"/>
        <v>0</v>
      </c>
      <c r="BH145" s="130">
        <f t="shared" si="19"/>
        <v>0</v>
      </c>
      <c r="BI145" s="130">
        <f t="shared" si="20"/>
        <v>0</v>
      </c>
      <c r="BJ145" s="13" t="s">
        <v>76</v>
      </c>
      <c r="BK145" s="130">
        <f t="shared" si="21"/>
        <v>3540.08</v>
      </c>
      <c r="BL145" s="13" t="s">
        <v>235</v>
      </c>
      <c r="BM145" s="129" t="s">
        <v>312</v>
      </c>
    </row>
    <row r="146" spans="2:65" s="1" customFormat="1" ht="35.549999999999997" customHeight="1" x14ac:dyDescent="0.2">
      <c r="B146" s="118"/>
      <c r="C146" s="119" t="s">
        <v>313</v>
      </c>
      <c r="D146" s="119" t="s">
        <v>231</v>
      </c>
      <c r="E146" s="120" t="s">
        <v>313</v>
      </c>
      <c r="F146" s="121" t="s">
        <v>2588</v>
      </c>
      <c r="G146" s="122" t="s">
        <v>1194</v>
      </c>
      <c r="H146" s="123">
        <v>8</v>
      </c>
      <c r="I146" s="124">
        <v>287.7</v>
      </c>
      <c r="J146" s="124">
        <f t="shared" si="11"/>
        <v>2301.6</v>
      </c>
      <c r="K146" s="121" t="s">
        <v>1</v>
      </c>
      <c r="L146" s="24"/>
      <c r="M146" s="125" t="s">
        <v>1</v>
      </c>
      <c r="N146" s="126" t="s">
        <v>32</v>
      </c>
      <c r="O146" s="127">
        <v>0</v>
      </c>
      <c r="P146" s="127">
        <f t="shared" si="12"/>
        <v>0</v>
      </c>
      <c r="Q146" s="127">
        <v>0</v>
      </c>
      <c r="R146" s="127">
        <f t="shared" si="13"/>
        <v>0</v>
      </c>
      <c r="S146" s="127">
        <v>0</v>
      </c>
      <c r="T146" s="128">
        <f t="shared" si="14"/>
        <v>0</v>
      </c>
      <c r="W146" s="199"/>
      <c r="X146" s="119" t="s">
        <v>313</v>
      </c>
      <c r="Y146" s="119" t="s">
        <v>231</v>
      </c>
      <c r="Z146" s="120" t="s">
        <v>313</v>
      </c>
      <c r="AA146" s="121" t="s">
        <v>2588</v>
      </c>
      <c r="AB146" s="122" t="s">
        <v>1194</v>
      </c>
      <c r="AC146" s="123">
        <v>8</v>
      </c>
      <c r="AD146" s="124">
        <v>287.7</v>
      </c>
      <c r="AE146" s="200">
        <f t="shared" si="15"/>
        <v>2301.6</v>
      </c>
      <c r="AR146" s="129" t="s">
        <v>235</v>
      </c>
      <c r="AT146" s="129" t="s">
        <v>231</v>
      </c>
      <c r="AU146" s="129" t="s">
        <v>76</v>
      </c>
      <c r="AY146" s="13" t="s">
        <v>228</v>
      </c>
      <c r="BE146" s="130">
        <f t="shared" si="16"/>
        <v>0</v>
      </c>
      <c r="BF146" s="130">
        <f t="shared" si="17"/>
        <v>2301.6</v>
      </c>
      <c r="BG146" s="130">
        <f t="shared" si="18"/>
        <v>0</v>
      </c>
      <c r="BH146" s="130">
        <f t="shared" si="19"/>
        <v>0</v>
      </c>
      <c r="BI146" s="130">
        <f t="shared" si="20"/>
        <v>0</v>
      </c>
      <c r="BJ146" s="13" t="s">
        <v>76</v>
      </c>
      <c r="BK146" s="130">
        <f t="shared" si="21"/>
        <v>2301.6</v>
      </c>
      <c r="BL146" s="13" t="s">
        <v>235</v>
      </c>
      <c r="BM146" s="129" t="s">
        <v>316</v>
      </c>
    </row>
    <row r="147" spans="2:65" s="11" customFormat="1" ht="22.95" customHeight="1" x14ac:dyDescent="0.25">
      <c r="B147" s="106"/>
      <c r="D147" s="107" t="s">
        <v>57</v>
      </c>
      <c r="E147" s="116" t="s">
        <v>1211</v>
      </c>
      <c r="F147" s="116" t="s">
        <v>2589</v>
      </c>
      <c r="J147" s="117">
        <f>BK147</f>
        <v>0</v>
      </c>
      <c r="L147" s="106"/>
      <c r="M147" s="110"/>
      <c r="N147" s="111"/>
      <c r="O147" s="111"/>
      <c r="P147" s="112">
        <v>0</v>
      </c>
      <c r="Q147" s="111"/>
      <c r="R147" s="112">
        <v>0</v>
      </c>
      <c r="S147" s="111"/>
      <c r="T147" s="113">
        <v>0</v>
      </c>
      <c r="W147" s="195"/>
      <c r="X147" s="111"/>
      <c r="Y147" s="196" t="s">
        <v>57</v>
      </c>
      <c r="Z147" s="201" t="s">
        <v>1211</v>
      </c>
      <c r="AA147" s="201" t="s">
        <v>2589</v>
      </c>
      <c r="AB147" s="111"/>
      <c r="AC147" s="111"/>
      <c r="AD147" s="111"/>
      <c r="AE147" s="202">
        <f>AE148</f>
        <v>9516.17</v>
      </c>
      <c r="AR147" s="107" t="s">
        <v>63</v>
      </c>
      <c r="AT147" s="114" t="s">
        <v>57</v>
      </c>
      <c r="AU147" s="114" t="s">
        <v>63</v>
      </c>
      <c r="AY147" s="107" t="s">
        <v>228</v>
      </c>
      <c r="BK147" s="115">
        <v>0</v>
      </c>
    </row>
    <row r="148" spans="2:65" s="11" customFormat="1" ht="22.95" customHeight="1" x14ac:dyDescent="0.25">
      <c r="B148" s="106"/>
      <c r="D148" s="107" t="s">
        <v>57</v>
      </c>
      <c r="E148" s="116" t="s">
        <v>1215</v>
      </c>
      <c r="F148" s="116" t="s">
        <v>4008</v>
      </c>
      <c r="J148" s="117">
        <f>BK148</f>
        <v>7471.82</v>
      </c>
      <c r="L148" s="106"/>
      <c r="M148" s="110"/>
      <c r="N148" s="111"/>
      <c r="O148" s="111"/>
      <c r="P148" s="112">
        <f>SUM(P149:P151)</f>
        <v>0</v>
      </c>
      <c r="Q148" s="111"/>
      <c r="R148" s="112">
        <f>SUM(R149:R151)</f>
        <v>0</v>
      </c>
      <c r="S148" s="111"/>
      <c r="T148" s="113">
        <f>SUM(T149:T151)</f>
        <v>0</v>
      </c>
      <c r="W148" s="195"/>
      <c r="X148" s="111"/>
      <c r="Y148" s="196" t="s">
        <v>57</v>
      </c>
      <c r="Z148" s="201" t="s">
        <v>1215</v>
      </c>
      <c r="AA148" s="201" t="s">
        <v>4008</v>
      </c>
      <c r="AB148" s="111"/>
      <c r="AC148" s="111"/>
      <c r="AD148" s="111"/>
      <c r="AE148" s="202">
        <f>SUM(AE149:AE158)</f>
        <v>9516.17</v>
      </c>
      <c r="AR148" s="107" t="s">
        <v>63</v>
      </c>
      <c r="AT148" s="114" t="s">
        <v>57</v>
      </c>
      <c r="AU148" s="114" t="s">
        <v>63</v>
      </c>
      <c r="AY148" s="107" t="s">
        <v>228</v>
      </c>
      <c r="BK148" s="115">
        <f>SUM(BK149:BK151)</f>
        <v>7471.82</v>
      </c>
    </row>
    <row r="149" spans="2:65" s="1" customFormat="1" ht="16.5" customHeight="1" x14ac:dyDescent="0.2">
      <c r="B149" s="118"/>
      <c r="C149" s="205" t="s">
        <v>272</v>
      </c>
      <c r="D149" s="119" t="s">
        <v>231</v>
      </c>
      <c r="E149" s="120" t="s">
        <v>272</v>
      </c>
      <c r="F149" s="121" t="s">
        <v>4009</v>
      </c>
      <c r="G149" s="122" t="s">
        <v>1194</v>
      </c>
      <c r="H149" s="206">
        <v>2</v>
      </c>
      <c r="I149" s="124">
        <v>432.91</v>
      </c>
      <c r="J149" s="124">
        <f>ROUND(I149*H149,2)</f>
        <v>865.82</v>
      </c>
      <c r="K149" s="121" t="s">
        <v>1</v>
      </c>
      <c r="L149" s="24"/>
      <c r="M149" s="125" t="s">
        <v>1</v>
      </c>
      <c r="N149" s="126" t="s">
        <v>32</v>
      </c>
      <c r="O149" s="127">
        <v>0</v>
      </c>
      <c r="P149" s="127">
        <f>O149*H149</f>
        <v>0</v>
      </c>
      <c r="Q149" s="127">
        <v>0</v>
      </c>
      <c r="R149" s="127">
        <f>Q149*H149</f>
        <v>0</v>
      </c>
      <c r="S149" s="127">
        <v>0</v>
      </c>
      <c r="T149" s="128">
        <f>S149*H149</f>
        <v>0</v>
      </c>
      <c r="W149" s="199"/>
      <c r="X149" s="205" t="s">
        <v>272</v>
      </c>
      <c r="Y149" s="119" t="s">
        <v>231</v>
      </c>
      <c r="Z149" s="120" t="s">
        <v>272</v>
      </c>
      <c r="AA149" s="121" t="s">
        <v>4009</v>
      </c>
      <c r="AB149" s="122" t="s">
        <v>1194</v>
      </c>
      <c r="AC149" s="206">
        <f>2-1</f>
        <v>1</v>
      </c>
      <c r="AD149" s="124">
        <v>432.91</v>
      </c>
      <c r="AE149" s="200">
        <f>ROUND(AD149*AC149,2)</f>
        <v>432.91</v>
      </c>
      <c r="AF149" s="227" t="s">
        <v>6371</v>
      </c>
      <c r="AR149" s="129" t="s">
        <v>235</v>
      </c>
      <c r="AT149" s="129" t="s">
        <v>231</v>
      </c>
      <c r="AU149" s="129" t="s">
        <v>76</v>
      </c>
      <c r="AY149" s="13" t="s">
        <v>228</v>
      </c>
      <c r="BE149" s="130">
        <f>IF(N149="základná",J149,0)</f>
        <v>0</v>
      </c>
      <c r="BF149" s="130">
        <f>IF(N149="znížená",J149,0)</f>
        <v>865.82</v>
      </c>
      <c r="BG149" s="130">
        <f>IF(N149="zákl. prenesená",J149,0)</f>
        <v>0</v>
      </c>
      <c r="BH149" s="130">
        <f>IF(N149="zníž. prenesená",J149,0)</f>
        <v>0</v>
      </c>
      <c r="BI149" s="130">
        <f>IF(N149="nulová",J149,0)</f>
        <v>0</v>
      </c>
      <c r="BJ149" s="13" t="s">
        <v>76</v>
      </c>
      <c r="BK149" s="130">
        <f>ROUND(I149*H149,2)</f>
        <v>865.82</v>
      </c>
      <c r="BL149" s="13" t="s">
        <v>235</v>
      </c>
      <c r="BM149" s="129" t="s">
        <v>319</v>
      </c>
    </row>
    <row r="150" spans="2:65" s="1" customFormat="1" ht="16.5" customHeight="1" x14ac:dyDescent="0.2">
      <c r="B150" s="118"/>
      <c r="C150" s="205" t="s">
        <v>320</v>
      </c>
      <c r="D150" s="119" t="s">
        <v>231</v>
      </c>
      <c r="E150" s="120" t="s">
        <v>320</v>
      </c>
      <c r="F150" s="121" t="s">
        <v>2591</v>
      </c>
      <c r="G150" s="122" t="s">
        <v>1194</v>
      </c>
      <c r="H150" s="206">
        <v>14</v>
      </c>
      <c r="I150" s="124">
        <v>379.48</v>
      </c>
      <c r="J150" s="124">
        <f>ROUND(I150*H150,2)</f>
        <v>5312.72</v>
      </c>
      <c r="K150" s="121" t="s">
        <v>1</v>
      </c>
      <c r="L150" s="24"/>
      <c r="M150" s="125" t="s">
        <v>1</v>
      </c>
      <c r="N150" s="126" t="s">
        <v>32</v>
      </c>
      <c r="O150" s="127">
        <v>0</v>
      </c>
      <c r="P150" s="127">
        <f>O150*H150</f>
        <v>0</v>
      </c>
      <c r="Q150" s="127">
        <v>0</v>
      </c>
      <c r="R150" s="127">
        <f>Q150*H150</f>
        <v>0</v>
      </c>
      <c r="S150" s="127">
        <v>0</v>
      </c>
      <c r="T150" s="128">
        <f>S150*H150</f>
        <v>0</v>
      </c>
      <c r="W150" s="199"/>
      <c r="X150" s="205" t="s">
        <v>320</v>
      </c>
      <c r="Y150" s="119" t="s">
        <v>231</v>
      </c>
      <c r="Z150" s="120" t="s">
        <v>320</v>
      </c>
      <c r="AA150" s="121" t="s">
        <v>2591</v>
      </c>
      <c r="AB150" s="122" t="s">
        <v>1194</v>
      </c>
      <c r="AC150" s="206">
        <f>14+2</f>
        <v>16</v>
      </c>
      <c r="AD150" s="124">
        <v>379.48</v>
      </c>
      <c r="AE150" s="200">
        <f>ROUND(AD150*AC150,2)</f>
        <v>6071.68</v>
      </c>
      <c r="AF150" s="227" t="s">
        <v>6371</v>
      </c>
      <c r="AR150" s="129" t="s">
        <v>235</v>
      </c>
      <c r="AT150" s="129" t="s">
        <v>231</v>
      </c>
      <c r="AU150" s="129" t="s">
        <v>76</v>
      </c>
      <c r="AY150" s="13" t="s">
        <v>228</v>
      </c>
      <c r="BE150" s="130">
        <f>IF(N150="základná",J150,0)</f>
        <v>0</v>
      </c>
      <c r="BF150" s="130">
        <f>IF(N150="znížená",J150,0)</f>
        <v>5312.72</v>
      </c>
      <c r="BG150" s="130">
        <f>IF(N150="zákl. prenesená",J150,0)</f>
        <v>0</v>
      </c>
      <c r="BH150" s="130">
        <f>IF(N150="zníž. prenesená",J150,0)</f>
        <v>0</v>
      </c>
      <c r="BI150" s="130">
        <f>IF(N150="nulová",J150,0)</f>
        <v>0</v>
      </c>
      <c r="BJ150" s="13" t="s">
        <v>76</v>
      </c>
      <c r="BK150" s="130">
        <f>ROUND(I150*H150,2)</f>
        <v>5312.72</v>
      </c>
      <c r="BL150" s="13" t="s">
        <v>235</v>
      </c>
      <c r="BM150" s="129" t="s">
        <v>323</v>
      </c>
    </row>
    <row r="151" spans="2:65" s="1" customFormat="1" ht="16.5" customHeight="1" x14ac:dyDescent="0.2">
      <c r="B151" s="118"/>
      <c r="C151" s="205" t="s">
        <v>276</v>
      </c>
      <c r="D151" s="119" t="s">
        <v>231</v>
      </c>
      <c r="E151" s="120" t="s">
        <v>276</v>
      </c>
      <c r="F151" s="121" t="s">
        <v>2593</v>
      </c>
      <c r="G151" s="122" t="s">
        <v>1194</v>
      </c>
      <c r="H151" s="206">
        <v>8</v>
      </c>
      <c r="I151" s="124">
        <v>161.66</v>
      </c>
      <c r="J151" s="124">
        <f>ROUND(I151*H151,2)</f>
        <v>1293.28</v>
      </c>
      <c r="K151" s="121" t="s">
        <v>1</v>
      </c>
      <c r="L151" s="24"/>
      <c r="M151" s="140" t="s">
        <v>1</v>
      </c>
      <c r="N151" s="141" t="s">
        <v>32</v>
      </c>
      <c r="O151" s="142">
        <v>0</v>
      </c>
      <c r="P151" s="142">
        <f>O151*H151</f>
        <v>0</v>
      </c>
      <c r="Q151" s="142">
        <v>0</v>
      </c>
      <c r="R151" s="142">
        <f>Q151*H151</f>
        <v>0</v>
      </c>
      <c r="S151" s="142">
        <v>0</v>
      </c>
      <c r="T151" s="143">
        <f>S151*H151</f>
        <v>0</v>
      </c>
      <c r="W151" s="199"/>
      <c r="X151" s="205" t="s">
        <v>276</v>
      </c>
      <c r="Y151" s="119" t="s">
        <v>231</v>
      </c>
      <c r="Z151" s="120" t="s">
        <v>276</v>
      </c>
      <c r="AA151" s="121" t="s">
        <v>2593</v>
      </c>
      <c r="AB151" s="122" t="s">
        <v>1194</v>
      </c>
      <c r="AC151" s="206">
        <f>8-4</f>
        <v>4</v>
      </c>
      <c r="AD151" s="124">
        <v>161.66</v>
      </c>
      <c r="AE151" s="200">
        <f>ROUND(AD151*AC151,2)</f>
        <v>646.64</v>
      </c>
      <c r="AF151" s="227" t="s">
        <v>6371</v>
      </c>
      <c r="AR151" s="129" t="s">
        <v>235</v>
      </c>
      <c r="AT151" s="129" t="s">
        <v>231</v>
      </c>
      <c r="AU151" s="129" t="s">
        <v>76</v>
      </c>
      <c r="AY151" s="13" t="s">
        <v>228</v>
      </c>
      <c r="BE151" s="130">
        <f>IF(N151="základná",J151,0)</f>
        <v>0</v>
      </c>
      <c r="BF151" s="130">
        <f>IF(N151="znížená",J151,0)</f>
        <v>1293.28</v>
      </c>
      <c r="BG151" s="130">
        <f>IF(N151="zákl. prenesená",J151,0)</f>
        <v>0</v>
      </c>
      <c r="BH151" s="130">
        <f>IF(N151="zníž. prenesená",J151,0)</f>
        <v>0</v>
      </c>
      <c r="BI151" s="130">
        <f>IF(N151="nulová",J151,0)</f>
        <v>0</v>
      </c>
      <c r="BJ151" s="13" t="s">
        <v>76</v>
      </c>
      <c r="BK151" s="130">
        <f>ROUND(I151*H151,2)</f>
        <v>1293.28</v>
      </c>
      <c r="BL151" s="13" t="s">
        <v>235</v>
      </c>
      <c r="BM151" s="129" t="s">
        <v>326</v>
      </c>
    </row>
    <row r="152" spans="2:65" s="660" customFormat="1" ht="30.45" customHeight="1" x14ac:dyDescent="0.2">
      <c r="B152" s="118"/>
      <c r="C152" s="1234" t="s">
        <v>5205</v>
      </c>
      <c r="D152" s="1235"/>
      <c r="E152" s="1235"/>
      <c r="F152" s="1235"/>
      <c r="G152" s="1235"/>
      <c r="H152" s="1235"/>
      <c r="I152" s="1235"/>
      <c r="J152" s="1236"/>
      <c r="K152" s="222"/>
      <c r="L152" s="24"/>
      <c r="M152" s="662"/>
      <c r="N152" s="126"/>
      <c r="O152" s="127"/>
      <c r="P152" s="127"/>
      <c r="Q152" s="127"/>
      <c r="R152" s="127"/>
      <c r="S152" s="127"/>
      <c r="T152" s="127"/>
      <c r="W152" s="199"/>
      <c r="X152" s="207" t="s">
        <v>327</v>
      </c>
      <c r="Y152" s="207" t="s">
        <v>231</v>
      </c>
      <c r="Z152" s="208" t="s">
        <v>6378</v>
      </c>
      <c r="AA152" s="209" t="s">
        <v>6379</v>
      </c>
      <c r="AB152" s="210" t="s">
        <v>1194</v>
      </c>
      <c r="AC152" s="211">
        <v>1</v>
      </c>
      <c r="AD152" s="212">
        <v>305.51</v>
      </c>
      <c r="AE152" s="214">
        <f>ROUND(AD152*AC152,2)</f>
        <v>305.51</v>
      </c>
      <c r="AF152" s="227" t="s">
        <v>6371</v>
      </c>
      <c r="AR152" s="129"/>
      <c r="AT152" s="129"/>
      <c r="AU152" s="129"/>
      <c r="AY152" s="13"/>
      <c r="BE152" s="130"/>
      <c r="BF152" s="130"/>
      <c r="BG152" s="130"/>
      <c r="BH152" s="130"/>
      <c r="BI152" s="130"/>
      <c r="BJ152" s="13"/>
      <c r="BK152" s="130"/>
      <c r="BL152" s="13"/>
      <c r="BM152" s="129"/>
    </row>
    <row r="153" spans="2:65" s="660" customFormat="1" ht="147.44999999999999" customHeight="1" x14ac:dyDescent="0.2">
      <c r="B153" s="118"/>
      <c r="C153" s="254"/>
      <c r="D153" s="254"/>
      <c r="E153" s="255"/>
      <c r="F153" s="222"/>
      <c r="G153" s="256"/>
      <c r="H153" s="257"/>
      <c r="I153" s="258"/>
      <c r="J153" s="258"/>
      <c r="K153" s="222"/>
      <c r="L153" s="24"/>
      <c r="M153" s="662"/>
      <c r="N153" s="126"/>
      <c r="O153" s="127"/>
      <c r="P153" s="127"/>
      <c r="Q153" s="127"/>
      <c r="R153" s="127"/>
      <c r="S153" s="127"/>
      <c r="T153" s="127"/>
      <c r="W153" s="199"/>
      <c r="X153" s="254"/>
      <c r="Y153" s="254"/>
      <c r="Z153" s="255"/>
      <c r="AA153" s="665" t="s">
        <v>6380</v>
      </c>
      <c r="AB153" s="666"/>
      <c r="AC153" s="666"/>
      <c r="AD153" s="666"/>
      <c r="AE153" s="259"/>
      <c r="AF153" s="227"/>
      <c r="AR153" s="129"/>
      <c r="AT153" s="129"/>
      <c r="AU153" s="129"/>
      <c r="AY153" s="13"/>
      <c r="BE153" s="130"/>
      <c r="BF153" s="130"/>
      <c r="BG153" s="130"/>
      <c r="BH153" s="130"/>
      <c r="BI153" s="130"/>
      <c r="BJ153" s="13"/>
      <c r="BK153" s="130"/>
      <c r="BL153" s="13"/>
      <c r="BM153" s="129"/>
    </row>
    <row r="154" spans="2:65" s="660" customFormat="1" ht="30.45" customHeight="1" x14ac:dyDescent="0.2">
      <c r="B154" s="118"/>
      <c r="C154" s="1234" t="s">
        <v>5205</v>
      </c>
      <c r="D154" s="1235"/>
      <c r="E154" s="1235"/>
      <c r="F154" s="1235"/>
      <c r="G154" s="1235"/>
      <c r="H154" s="1235"/>
      <c r="I154" s="1235"/>
      <c r="J154" s="1236"/>
      <c r="K154" s="222"/>
      <c r="L154" s="24"/>
      <c r="M154" s="662"/>
      <c r="N154" s="126"/>
      <c r="O154" s="127"/>
      <c r="P154" s="127"/>
      <c r="Q154" s="127"/>
      <c r="R154" s="127"/>
      <c r="S154" s="127"/>
      <c r="T154" s="127"/>
      <c r="W154" s="199"/>
      <c r="X154" s="207">
        <v>28</v>
      </c>
      <c r="Y154" s="207" t="s">
        <v>231</v>
      </c>
      <c r="Z154" s="208" t="s">
        <v>6381</v>
      </c>
      <c r="AA154" s="209" t="s">
        <v>6373</v>
      </c>
      <c r="AB154" s="210" t="s">
        <v>1194</v>
      </c>
      <c r="AC154" s="211">
        <v>4</v>
      </c>
      <c r="AD154" s="212">
        <v>379.48</v>
      </c>
      <c r="AE154" s="214">
        <f>ROUND(AD154*AC154,2)</f>
        <v>1517.92</v>
      </c>
      <c r="AF154" s="227" t="s">
        <v>6371</v>
      </c>
      <c r="AR154" s="129"/>
      <c r="AT154" s="129"/>
      <c r="AU154" s="129"/>
      <c r="AY154" s="13"/>
      <c r="BE154" s="130"/>
      <c r="BF154" s="130"/>
      <c r="BG154" s="130"/>
      <c r="BH154" s="130"/>
      <c r="BI154" s="130"/>
      <c r="BJ154" s="13"/>
      <c r="BK154" s="130"/>
      <c r="BL154" s="13"/>
      <c r="BM154" s="129"/>
    </row>
    <row r="155" spans="2:65" s="660" customFormat="1" ht="115.95" customHeight="1" x14ac:dyDescent="0.2">
      <c r="B155" s="118"/>
      <c r="C155" s="254"/>
      <c r="D155" s="254"/>
      <c r="E155" s="255"/>
      <c r="F155" s="222"/>
      <c r="G155" s="256"/>
      <c r="H155" s="257"/>
      <c r="I155" s="258"/>
      <c r="J155" s="258"/>
      <c r="K155" s="222"/>
      <c r="L155" s="24"/>
      <c r="M155" s="662"/>
      <c r="N155" s="126"/>
      <c r="O155" s="127"/>
      <c r="P155" s="127"/>
      <c r="Q155" s="127"/>
      <c r="R155" s="127"/>
      <c r="S155" s="127"/>
      <c r="T155" s="127"/>
      <c r="W155" s="199"/>
      <c r="X155" s="254"/>
      <c r="Y155" s="254"/>
      <c r="Z155" s="255"/>
      <c r="AA155" s="665" t="s">
        <v>6382</v>
      </c>
      <c r="AB155" s="256"/>
      <c r="AC155" s="257"/>
      <c r="AD155" s="258"/>
      <c r="AE155" s="259"/>
      <c r="AF155" s="227"/>
      <c r="AR155" s="129"/>
      <c r="AT155" s="129"/>
      <c r="AU155" s="129"/>
      <c r="AY155" s="13"/>
      <c r="BE155" s="130"/>
      <c r="BF155" s="130"/>
      <c r="BG155" s="130"/>
      <c r="BH155" s="130"/>
      <c r="BI155" s="130"/>
      <c r="BJ155" s="13"/>
      <c r="BK155" s="130"/>
      <c r="BL155" s="13"/>
      <c r="BM155" s="129"/>
    </row>
    <row r="156" spans="2:65" s="660" customFormat="1" ht="24.45" customHeight="1" x14ac:dyDescent="0.2">
      <c r="B156" s="118"/>
      <c r="C156" s="1234" t="s">
        <v>5205</v>
      </c>
      <c r="D156" s="1235"/>
      <c r="E156" s="1235"/>
      <c r="F156" s="1235"/>
      <c r="G156" s="1235"/>
      <c r="H156" s="1235"/>
      <c r="I156" s="1235"/>
      <c r="J156" s="1236"/>
      <c r="K156" s="222"/>
      <c r="L156" s="24"/>
      <c r="M156" s="662"/>
      <c r="N156" s="126"/>
      <c r="O156" s="127"/>
      <c r="P156" s="127"/>
      <c r="Q156" s="127"/>
      <c r="R156" s="127"/>
      <c r="S156" s="127"/>
      <c r="T156" s="127"/>
      <c r="W156" s="199"/>
      <c r="X156" s="207">
        <v>29</v>
      </c>
      <c r="Y156" s="207" t="s">
        <v>231</v>
      </c>
      <c r="Z156" s="208" t="s">
        <v>6383</v>
      </c>
      <c r="AA156" s="209" t="s">
        <v>6376</v>
      </c>
      <c r="AB156" s="210" t="s">
        <v>1194</v>
      </c>
      <c r="AC156" s="211">
        <v>1</v>
      </c>
      <c r="AD156" s="212">
        <v>305.51</v>
      </c>
      <c r="AE156" s="214">
        <f>ROUND(AD156*AC156,2)</f>
        <v>305.51</v>
      </c>
      <c r="AF156" s="227" t="s">
        <v>6371</v>
      </c>
      <c r="AR156" s="129"/>
      <c r="AT156" s="129"/>
      <c r="AU156" s="129"/>
      <c r="AY156" s="13"/>
      <c r="BE156" s="130"/>
      <c r="BF156" s="130"/>
      <c r="BG156" s="130"/>
      <c r="BH156" s="130"/>
      <c r="BI156" s="130"/>
      <c r="BJ156" s="13"/>
      <c r="BK156" s="130"/>
      <c r="BL156" s="13"/>
      <c r="BM156" s="129"/>
    </row>
    <row r="157" spans="2:65" s="660" customFormat="1" ht="114.45" customHeight="1" x14ac:dyDescent="0.2">
      <c r="B157" s="118"/>
      <c r="C157" s="254"/>
      <c r="D157" s="254"/>
      <c r="E157" s="255"/>
      <c r="F157" s="222"/>
      <c r="G157" s="256"/>
      <c r="H157" s="257"/>
      <c r="I157" s="258"/>
      <c r="J157" s="258"/>
      <c r="K157" s="222"/>
      <c r="L157" s="24"/>
      <c r="M157" s="662"/>
      <c r="N157" s="126"/>
      <c r="O157" s="127"/>
      <c r="P157" s="127"/>
      <c r="Q157" s="127"/>
      <c r="R157" s="127"/>
      <c r="S157" s="127"/>
      <c r="T157" s="127"/>
      <c r="W157" s="199"/>
      <c r="X157" s="254"/>
      <c r="Y157" s="254"/>
      <c r="Z157" s="255"/>
      <c r="AA157" s="665" t="s">
        <v>6377</v>
      </c>
      <c r="AB157" s="256"/>
      <c r="AC157" s="257"/>
      <c r="AD157" s="258"/>
      <c r="AE157" s="259"/>
      <c r="AF157" s="227"/>
      <c r="AR157" s="129"/>
      <c r="AT157" s="129"/>
      <c r="AU157" s="129"/>
      <c r="AY157" s="13"/>
      <c r="BE157" s="130"/>
      <c r="BF157" s="130"/>
      <c r="BG157" s="130"/>
      <c r="BH157" s="130"/>
      <c r="BI157" s="130"/>
      <c r="BJ157" s="13"/>
      <c r="BK157" s="130"/>
      <c r="BL157" s="13"/>
      <c r="BM157" s="129"/>
    </row>
    <row r="158" spans="2:65" s="660" customFormat="1" ht="39.450000000000003" customHeight="1" x14ac:dyDescent="0.2">
      <c r="B158" s="118"/>
      <c r="C158" s="1234" t="s">
        <v>5205</v>
      </c>
      <c r="D158" s="1235"/>
      <c r="E158" s="1235"/>
      <c r="F158" s="1235"/>
      <c r="G158" s="1235"/>
      <c r="H158" s="1235"/>
      <c r="I158" s="1235"/>
      <c r="J158" s="1236"/>
      <c r="K158" s="222"/>
      <c r="L158" s="24"/>
      <c r="M158" s="662"/>
      <c r="N158" s="126"/>
      <c r="O158" s="127"/>
      <c r="P158" s="127"/>
      <c r="Q158" s="127"/>
      <c r="R158" s="127"/>
      <c r="S158" s="127"/>
      <c r="T158" s="127"/>
      <c r="W158" s="199"/>
      <c r="X158" s="207">
        <v>30</v>
      </c>
      <c r="Y158" s="207" t="s">
        <v>231</v>
      </c>
      <c r="Z158" s="208" t="s">
        <v>6384</v>
      </c>
      <c r="AA158" s="209" t="s">
        <v>6385</v>
      </c>
      <c r="AB158" s="210" t="s">
        <v>1194</v>
      </c>
      <c r="AC158" s="211">
        <v>4</v>
      </c>
      <c r="AD158" s="212">
        <v>59</v>
      </c>
      <c r="AE158" s="214">
        <f>ROUND(AD158*AC158,2)</f>
        <v>236</v>
      </c>
      <c r="AF158" s="227" t="s">
        <v>6371</v>
      </c>
      <c r="AR158" s="129"/>
      <c r="AT158" s="129"/>
      <c r="AU158" s="129"/>
      <c r="AY158" s="13"/>
      <c r="BE158" s="130"/>
      <c r="BF158" s="130"/>
      <c r="BG158" s="130"/>
      <c r="BH158" s="130"/>
      <c r="BI158" s="130"/>
      <c r="BJ158" s="13"/>
      <c r="BK158" s="130"/>
      <c r="BL158" s="13"/>
      <c r="BM158" s="129"/>
    </row>
    <row r="159" spans="2:65" s="1" customFormat="1" ht="7.05" customHeight="1" x14ac:dyDescent="0.2">
      <c r="B159" s="33"/>
      <c r="C159" s="34"/>
      <c r="D159" s="34"/>
      <c r="E159" s="34"/>
      <c r="F159" s="34"/>
      <c r="G159" s="34"/>
      <c r="H159" s="34"/>
      <c r="I159" s="34"/>
      <c r="J159" s="34"/>
      <c r="K159" s="34"/>
      <c r="L159" s="24"/>
      <c r="W159" s="175"/>
      <c r="X159" s="176"/>
      <c r="Y159" s="176"/>
      <c r="Z159" s="176"/>
      <c r="AA159" s="176"/>
      <c r="AB159" s="176"/>
      <c r="AC159" s="176"/>
      <c r="AD159" s="176"/>
      <c r="AE159" s="177"/>
    </row>
  </sheetData>
  <autoFilter ref="C119:K151" xr:uid="{00000000-0009-0000-0000-000016000000}"/>
  <mergeCells count="32">
    <mergeCell ref="E87:H87"/>
    <mergeCell ref="E110:H110"/>
    <mergeCell ref="E112:H112"/>
    <mergeCell ref="L2:V2"/>
    <mergeCell ref="E9:H9"/>
    <mergeCell ref="E18:H18"/>
    <mergeCell ref="E27:H27"/>
    <mergeCell ref="E85:H85"/>
    <mergeCell ref="C4:J4"/>
    <mergeCell ref="F6:J7"/>
    <mergeCell ref="C82:J82"/>
    <mergeCell ref="E84:J84"/>
    <mergeCell ref="B107:J107"/>
    <mergeCell ref="E109:J109"/>
    <mergeCell ref="X4:AE4"/>
    <mergeCell ref="AA6:AE7"/>
    <mergeCell ref="Z9:AC9"/>
    <mergeCell ref="Z18:AC18"/>
    <mergeCell ref="Z27:AC27"/>
    <mergeCell ref="X82:AE82"/>
    <mergeCell ref="Z84:AE84"/>
    <mergeCell ref="Z85:AC85"/>
    <mergeCell ref="Z87:AC87"/>
    <mergeCell ref="W107:AE107"/>
    <mergeCell ref="C154:J154"/>
    <mergeCell ref="C156:J156"/>
    <mergeCell ref="C158:J158"/>
    <mergeCell ref="Z109:AE109"/>
    <mergeCell ref="Z110:AC110"/>
    <mergeCell ref="Z112:AC112"/>
    <mergeCell ref="C152:J152"/>
    <mergeCell ref="C139:J139"/>
  </mergeCells>
  <phoneticPr fontId="0" type="noConversion"/>
  <pageMargins left="0.39374999999999999" right="0.39374999999999999" top="0.39374999999999999" bottom="0.39374999999999999" header="0" footer="0"/>
  <pageSetup paperSize="9" scale="89" fitToHeight="100" orientation="portrait" blackAndWhite="1" r:id="rId1"/>
  <headerFooter>
    <oddFooter>&amp;CStrana &amp;P z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BM121"/>
  <sheetViews>
    <sheetView showGridLines="0" topLeftCell="A99" zoomScale="70" zoomScaleNormal="70" workbookViewId="0">
      <selection activeCell="AG117" sqref="AG117"/>
    </sheetView>
  </sheetViews>
  <sheetFormatPr defaultColWidth="8.7109375" defaultRowHeight="10.199999999999999" x14ac:dyDescent="0.2"/>
  <cols>
    <col min="1" max="1" width="8.28515625" customWidth="1"/>
    <col min="2" max="2" width="1.7109375" customWidth="1"/>
    <col min="3" max="4" width="4.28515625" customWidth="1"/>
    <col min="5" max="5" width="17.28515625" customWidth="1"/>
    <col min="6" max="6" width="50.7109375" customWidth="1"/>
    <col min="7" max="7" width="7" customWidth="1"/>
    <col min="8" max="8" width="11.42578125" customWidth="1"/>
    <col min="9" max="10" width="20.28515625" customWidth="1"/>
    <col min="11" max="11" width="20.28515625" hidden="1" customWidth="1"/>
    <col min="12" max="12" width="9.28515625" customWidth="1"/>
    <col min="13" max="13" width="10.7109375" hidden="1" customWidth="1"/>
    <col min="14" max="14" width="9.28515625" hidden="1"/>
    <col min="15" max="20" width="14.28515625" hidden="1" customWidth="1"/>
    <col min="21" max="21" width="16.28515625" hidden="1" customWidth="1"/>
    <col min="22" max="22" width="12.28515625" customWidth="1"/>
    <col min="23" max="23" width="1.7109375" style="672" customWidth="1"/>
    <col min="24" max="25" width="4.28515625" style="672" customWidth="1"/>
    <col min="26" max="26" width="17.28515625" style="672" customWidth="1"/>
    <col min="27" max="27" width="50.7109375" style="672" customWidth="1"/>
    <col min="28" max="28" width="7" style="672" customWidth="1"/>
    <col min="29" max="29" width="11.42578125" style="672" customWidth="1"/>
    <col min="30" max="31" width="20.28515625" style="672" customWidth="1"/>
    <col min="44" max="65" width="9.28515625" hidden="1"/>
  </cols>
  <sheetData>
    <row r="1" spans="1:46" x14ac:dyDescent="0.2">
      <c r="A1" s="73"/>
    </row>
    <row r="2" spans="1:46" ht="37.049999999999997" customHeight="1" x14ac:dyDescent="0.2">
      <c r="L2" s="1227" t="s">
        <v>5</v>
      </c>
      <c r="M2" s="1225"/>
      <c r="N2" s="1225"/>
      <c r="O2" s="1225"/>
      <c r="P2" s="1225"/>
      <c r="Q2" s="1225"/>
      <c r="R2" s="1225"/>
      <c r="S2" s="1225"/>
      <c r="T2" s="1225"/>
      <c r="U2" s="1225"/>
      <c r="V2" s="1225"/>
      <c r="AT2" s="13" t="s">
        <v>129</v>
      </c>
    </row>
    <row r="3" spans="1:46" ht="7.05" customHeight="1" x14ac:dyDescent="0.2">
      <c r="B3" s="14"/>
      <c r="C3" s="15"/>
      <c r="D3" s="15"/>
      <c r="E3" s="15"/>
      <c r="F3" s="15"/>
      <c r="G3" s="15"/>
      <c r="H3" s="15"/>
      <c r="I3" s="15"/>
      <c r="J3" s="15"/>
      <c r="K3" s="15"/>
      <c r="L3" s="16"/>
      <c r="W3" s="152"/>
      <c r="X3" s="153"/>
      <c r="Y3" s="153"/>
      <c r="Z3" s="153"/>
      <c r="AA3" s="153"/>
      <c r="AB3" s="153"/>
      <c r="AC3" s="153"/>
      <c r="AD3" s="153"/>
      <c r="AE3" s="154"/>
      <c r="AT3" s="13" t="s">
        <v>58</v>
      </c>
    </row>
    <row r="4" spans="1:46" ht="25.05" customHeight="1" x14ac:dyDescent="0.2">
      <c r="B4" s="16"/>
      <c r="C4" s="1165" t="s">
        <v>185</v>
      </c>
      <c r="D4" s="1165"/>
      <c r="E4" s="1165"/>
      <c r="F4" s="1165"/>
      <c r="G4" s="1165"/>
      <c r="H4" s="1165"/>
      <c r="I4" s="1165"/>
      <c r="J4" s="1165"/>
      <c r="L4" s="16"/>
      <c r="M4" s="74" t="s">
        <v>9</v>
      </c>
      <c r="W4" s="155"/>
      <c r="X4" s="1237" t="s">
        <v>185</v>
      </c>
      <c r="Y4" s="1237"/>
      <c r="Z4" s="1237"/>
      <c r="AA4" s="1237"/>
      <c r="AB4" s="1237"/>
      <c r="AC4" s="1237"/>
      <c r="AD4" s="1237"/>
      <c r="AE4" s="1238"/>
      <c r="AT4" s="13" t="s">
        <v>3</v>
      </c>
    </row>
    <row r="5" spans="1:46" ht="7.05" customHeight="1" x14ac:dyDescent="0.2">
      <c r="B5" s="16"/>
      <c r="L5" s="16"/>
      <c r="W5" s="155"/>
      <c r="X5" s="156"/>
      <c r="Y5" s="156"/>
      <c r="Z5" s="156"/>
      <c r="AA5" s="156"/>
      <c r="AB5" s="156"/>
      <c r="AC5" s="156"/>
      <c r="AD5" s="156"/>
      <c r="AE5" s="157"/>
    </row>
    <row r="6" spans="1:46" ht="12" customHeight="1" x14ac:dyDescent="0.2">
      <c r="B6" s="16"/>
      <c r="D6" s="548" t="s">
        <v>12</v>
      </c>
      <c r="F6" s="1254" t="s">
        <v>6176</v>
      </c>
      <c r="G6" s="1254"/>
      <c r="H6" s="1254"/>
      <c r="I6" s="1254"/>
      <c r="J6" s="1254"/>
      <c r="L6" s="16"/>
      <c r="W6" s="155"/>
      <c r="X6" s="156"/>
      <c r="Y6" s="541" t="s">
        <v>12</v>
      </c>
      <c r="Z6" s="156"/>
      <c r="AA6" s="1239" t="s">
        <v>6176</v>
      </c>
      <c r="AB6" s="1239"/>
      <c r="AC6" s="1239"/>
      <c r="AD6" s="1239"/>
      <c r="AE6" s="1240"/>
    </row>
    <row r="7" spans="1:46" ht="23.55" customHeight="1" x14ac:dyDescent="0.2">
      <c r="B7" s="16"/>
      <c r="D7" s="527"/>
      <c r="E7" s="531"/>
      <c r="F7" s="1254"/>
      <c r="G7" s="1254"/>
      <c r="H7" s="1254"/>
      <c r="I7" s="1254"/>
      <c r="J7" s="1254"/>
      <c r="L7" s="16"/>
      <c r="W7" s="155"/>
      <c r="X7" s="156"/>
      <c r="Y7" s="539"/>
      <c r="Z7" s="245"/>
      <c r="AA7" s="1239"/>
      <c r="AB7" s="1239"/>
      <c r="AC7" s="1239"/>
      <c r="AD7" s="1239"/>
      <c r="AE7" s="1240"/>
    </row>
    <row r="8" spans="1:46" s="1" customFormat="1" ht="12" customHeight="1" x14ac:dyDescent="0.2">
      <c r="B8" s="24"/>
      <c r="D8" s="549" t="s">
        <v>186</v>
      </c>
      <c r="F8" s="532" t="s">
        <v>4010</v>
      </c>
      <c r="L8" s="24"/>
      <c r="W8" s="158"/>
      <c r="X8" s="674"/>
      <c r="Y8" s="550" t="s">
        <v>186</v>
      </c>
      <c r="Z8" s="674"/>
      <c r="AA8" s="555" t="s">
        <v>4010</v>
      </c>
      <c r="AB8" s="674"/>
      <c r="AC8" s="674"/>
      <c r="AD8" s="674"/>
      <c r="AE8" s="159"/>
    </row>
    <row r="9" spans="1:46" s="1" customFormat="1" ht="37.049999999999997" customHeight="1" x14ac:dyDescent="0.2">
      <c r="B9" s="24"/>
      <c r="D9" s="521"/>
      <c r="E9" s="1251"/>
      <c r="F9" s="1252"/>
      <c r="G9" s="1252"/>
      <c r="H9" s="1252"/>
      <c r="L9" s="24"/>
      <c r="W9" s="158"/>
      <c r="X9" s="674"/>
      <c r="Y9" s="674"/>
      <c r="Z9" s="1245"/>
      <c r="AA9" s="1246"/>
      <c r="AB9" s="1246"/>
      <c r="AC9" s="1246"/>
      <c r="AD9" s="674"/>
      <c r="AE9" s="159"/>
    </row>
    <row r="10" spans="1:46" s="1" customFormat="1" x14ac:dyDescent="0.2">
      <c r="B10" s="24"/>
      <c r="D10" s="521"/>
      <c r="L10" s="24"/>
      <c r="W10" s="158"/>
      <c r="X10" s="674"/>
      <c r="Y10" s="674"/>
      <c r="Z10" s="674"/>
      <c r="AA10" s="674"/>
      <c r="AB10" s="674"/>
      <c r="AC10" s="674"/>
      <c r="AD10" s="674"/>
      <c r="AE10" s="159"/>
    </row>
    <row r="11" spans="1:46" s="1" customFormat="1" ht="12" customHeight="1" x14ac:dyDescent="0.2">
      <c r="B11" s="24"/>
      <c r="D11" s="528" t="s">
        <v>13</v>
      </c>
      <c r="F11" s="19" t="s">
        <v>1</v>
      </c>
      <c r="I11" s="528" t="s">
        <v>14</v>
      </c>
      <c r="J11" s="19" t="s">
        <v>1</v>
      </c>
      <c r="L11" s="24"/>
      <c r="W11" s="158"/>
      <c r="X11" s="674"/>
      <c r="Y11" s="673" t="s">
        <v>13</v>
      </c>
      <c r="Z11" s="674"/>
      <c r="AA11" s="671" t="s">
        <v>1</v>
      </c>
      <c r="AB11" s="674"/>
      <c r="AC11" s="674"/>
      <c r="AD11" s="673" t="s">
        <v>14</v>
      </c>
      <c r="AE11" s="161" t="s">
        <v>1</v>
      </c>
    </row>
    <row r="12" spans="1:46" s="1" customFormat="1" ht="12" customHeight="1" x14ac:dyDescent="0.2">
      <c r="B12" s="24"/>
      <c r="D12" s="528" t="s">
        <v>15</v>
      </c>
      <c r="F12" s="520" t="s">
        <v>6173</v>
      </c>
      <c r="I12" s="528" t="s">
        <v>17</v>
      </c>
      <c r="J12" s="39"/>
      <c r="L12" s="24"/>
      <c r="W12" s="158"/>
      <c r="X12" s="674"/>
      <c r="Y12" s="673" t="s">
        <v>15</v>
      </c>
      <c r="Z12" s="674"/>
      <c r="AA12" s="671" t="s">
        <v>6173</v>
      </c>
      <c r="AB12" s="674"/>
      <c r="AC12" s="674"/>
      <c r="AD12" s="673" t="s">
        <v>17</v>
      </c>
      <c r="AE12" s="162"/>
    </row>
    <row r="13" spans="1:46" s="1" customFormat="1" ht="10.95" customHeight="1" x14ac:dyDescent="0.2">
      <c r="B13" s="24"/>
      <c r="D13" s="521"/>
      <c r="F13" s="521"/>
      <c r="I13" s="521"/>
      <c r="L13" s="24"/>
      <c r="W13" s="158"/>
      <c r="X13" s="674"/>
      <c r="Y13" s="674"/>
      <c r="Z13" s="674"/>
      <c r="AA13" s="674"/>
      <c r="AB13" s="674"/>
      <c r="AC13" s="674"/>
      <c r="AD13" s="674"/>
      <c r="AE13" s="159"/>
    </row>
    <row r="14" spans="1:46" s="1" customFormat="1" ht="12" customHeight="1" x14ac:dyDescent="0.2">
      <c r="B14" s="24"/>
      <c r="D14" s="528" t="s">
        <v>18</v>
      </c>
      <c r="F14" s="529" t="s">
        <v>6175</v>
      </c>
      <c r="I14" s="528" t="s">
        <v>19</v>
      </c>
      <c r="J14" s="19" t="str">
        <f>IF('Rekapitulácia stavby'!AN10="","",'Rekapitulácia stavby'!AN10)</f>
        <v/>
      </c>
      <c r="L14" s="24"/>
      <c r="W14" s="158"/>
      <c r="X14" s="674"/>
      <c r="Y14" s="673" t="s">
        <v>18</v>
      </c>
      <c r="Z14" s="674"/>
      <c r="AA14" s="576" t="s">
        <v>6175</v>
      </c>
      <c r="AB14" s="674"/>
      <c r="AC14" s="674"/>
      <c r="AD14" s="673" t="s">
        <v>19</v>
      </c>
      <c r="AE14" s="161" t="str">
        <f>IF('Rekapitulácia stavby'!BI10="","",'Rekapitulácia stavby'!BI10)</f>
        <v/>
      </c>
    </row>
    <row r="15" spans="1:46" s="1" customFormat="1" ht="18" customHeight="1" x14ac:dyDescent="0.2">
      <c r="B15" s="24"/>
      <c r="D15" s="521"/>
      <c r="E15" s="19" t="str">
        <f>IF('Rekapitulácia stavby'!E11="","",'Rekapitulácia stavby'!E11)</f>
        <v/>
      </c>
      <c r="F15" s="521"/>
      <c r="I15" s="528" t="s">
        <v>20</v>
      </c>
      <c r="J15" s="19" t="str">
        <f>IF('Rekapitulácia stavby'!AN11="","",'Rekapitulácia stavby'!AN11)</f>
        <v/>
      </c>
      <c r="L15" s="24"/>
      <c r="W15" s="158"/>
      <c r="X15" s="674"/>
      <c r="Y15" s="674"/>
      <c r="Z15" s="671" t="str">
        <f>IF('Rekapitulácia stavby'!Z11="","",'Rekapitulácia stavby'!Z11)</f>
        <v/>
      </c>
      <c r="AA15" s="674"/>
      <c r="AB15" s="674"/>
      <c r="AC15" s="674"/>
      <c r="AD15" s="673" t="s">
        <v>20</v>
      </c>
      <c r="AE15" s="161" t="str">
        <f>IF('Rekapitulácia stavby'!BI11="","",'Rekapitulácia stavby'!BI11)</f>
        <v/>
      </c>
    </row>
    <row r="16" spans="1:46" s="1" customFormat="1" ht="7.05" customHeight="1" x14ac:dyDescent="0.2">
      <c r="B16" s="24"/>
      <c r="D16" s="521"/>
      <c r="F16" s="521"/>
      <c r="I16" s="521"/>
      <c r="L16" s="24"/>
      <c r="W16" s="158"/>
      <c r="X16" s="674"/>
      <c r="Y16" s="674"/>
      <c r="Z16" s="674"/>
      <c r="AA16" s="674"/>
      <c r="AB16" s="674"/>
      <c r="AC16" s="674"/>
      <c r="AD16" s="674"/>
      <c r="AE16" s="159"/>
    </row>
    <row r="17" spans="2:31" s="1" customFormat="1" ht="12" customHeight="1" x14ac:dyDescent="0.2">
      <c r="B17" s="24"/>
      <c r="D17" s="528" t="s">
        <v>21</v>
      </c>
      <c r="F17" s="529" t="s">
        <v>5202</v>
      </c>
      <c r="I17" s="528" t="s">
        <v>19</v>
      </c>
      <c r="J17" s="19"/>
      <c r="L17" s="24"/>
      <c r="W17" s="158"/>
      <c r="X17" s="674"/>
      <c r="Y17" s="673" t="s">
        <v>21</v>
      </c>
      <c r="Z17" s="674"/>
      <c r="AA17" s="576" t="s">
        <v>5202</v>
      </c>
      <c r="AB17" s="674"/>
      <c r="AC17" s="674"/>
      <c r="AD17" s="673" t="s">
        <v>19</v>
      </c>
      <c r="AE17" s="161"/>
    </row>
    <row r="18" spans="2:31" s="1" customFormat="1" ht="18" customHeight="1" x14ac:dyDescent="0.2">
      <c r="B18" s="24"/>
      <c r="D18" s="521"/>
      <c r="E18" s="1161"/>
      <c r="F18" s="1161"/>
      <c r="G18" s="1161"/>
      <c r="H18" s="1161"/>
      <c r="I18" s="528" t="s">
        <v>20</v>
      </c>
      <c r="J18" s="19" t="str">
        <f>'Rekapitulácia stavby'!AN14</f>
        <v/>
      </c>
      <c r="L18" s="24"/>
      <c r="W18" s="158"/>
      <c r="X18" s="674"/>
      <c r="Y18" s="674"/>
      <c r="Z18" s="1247"/>
      <c r="AA18" s="1247"/>
      <c r="AB18" s="1247"/>
      <c r="AC18" s="1247"/>
      <c r="AD18" s="673" t="s">
        <v>20</v>
      </c>
      <c r="AE18" s="161">
        <f>'Rekapitulácia stavby'!BI14</f>
        <v>0</v>
      </c>
    </row>
    <row r="19" spans="2:31" s="1" customFormat="1" ht="7.05" customHeight="1" x14ac:dyDescent="0.2">
      <c r="B19" s="24"/>
      <c r="D19" s="521"/>
      <c r="I19" s="521"/>
      <c r="L19" s="24"/>
      <c r="W19" s="158"/>
      <c r="X19" s="674"/>
      <c r="Y19" s="674"/>
      <c r="Z19" s="674"/>
      <c r="AA19" s="674"/>
      <c r="AB19" s="674"/>
      <c r="AC19" s="674"/>
      <c r="AD19" s="674"/>
      <c r="AE19" s="159"/>
    </row>
    <row r="20" spans="2:31" s="1" customFormat="1" ht="12" customHeight="1" x14ac:dyDescent="0.2">
      <c r="B20" s="24"/>
      <c r="D20" s="528" t="s">
        <v>22</v>
      </c>
      <c r="I20" s="528" t="s">
        <v>19</v>
      </c>
      <c r="J20" s="19" t="str">
        <f>IF('Rekapitulácia stavby'!AN16="","",'Rekapitulácia stavby'!AN16)</f>
        <v/>
      </c>
      <c r="L20" s="24"/>
      <c r="W20" s="158"/>
      <c r="X20" s="674"/>
      <c r="Y20" s="673" t="s">
        <v>22</v>
      </c>
      <c r="Z20" s="674"/>
      <c r="AA20" s="674"/>
      <c r="AB20" s="674"/>
      <c r="AC20" s="674"/>
      <c r="AD20" s="673" t="s">
        <v>19</v>
      </c>
      <c r="AE20" s="161" t="str">
        <f>IF('Rekapitulácia stavby'!BI16="","",'Rekapitulácia stavby'!BI16)</f>
        <v/>
      </c>
    </row>
    <row r="21" spans="2:31" s="1" customFormat="1" ht="18" customHeight="1" x14ac:dyDescent="0.2">
      <c r="B21" s="24"/>
      <c r="D21" s="521"/>
      <c r="E21" s="19" t="str">
        <f>IF('Rekapitulácia stavby'!E17="","",'Rekapitulácia stavby'!E17)</f>
        <v xml:space="preserve"> </v>
      </c>
      <c r="I21" s="528" t="s">
        <v>20</v>
      </c>
      <c r="J21" s="19" t="str">
        <f>IF('Rekapitulácia stavby'!AN17="","",'Rekapitulácia stavby'!AN17)</f>
        <v/>
      </c>
      <c r="L21" s="24"/>
      <c r="W21" s="158"/>
      <c r="X21" s="674"/>
      <c r="Y21" s="674"/>
      <c r="Z21" s="671" t="str">
        <f>IF('Rekapitulácia stavby'!Z17="","",'Rekapitulácia stavby'!Z17)</f>
        <v/>
      </c>
      <c r="AA21" s="674"/>
      <c r="AB21" s="674"/>
      <c r="AC21" s="674"/>
      <c r="AD21" s="673" t="s">
        <v>20</v>
      </c>
      <c r="AE21" s="161" t="str">
        <f>IF('Rekapitulácia stavby'!BI17="","",'Rekapitulácia stavby'!BI17)</f>
        <v/>
      </c>
    </row>
    <row r="22" spans="2:31" s="1" customFormat="1" ht="7.05" customHeight="1" x14ac:dyDescent="0.2">
      <c r="B22" s="24"/>
      <c r="D22" s="521"/>
      <c r="I22" s="521"/>
      <c r="L22" s="24"/>
      <c r="W22" s="158"/>
      <c r="X22" s="674"/>
      <c r="Y22" s="674"/>
      <c r="Z22" s="674"/>
      <c r="AA22" s="674"/>
      <c r="AB22" s="674"/>
      <c r="AC22" s="674"/>
      <c r="AD22" s="674"/>
      <c r="AE22" s="159"/>
    </row>
    <row r="23" spans="2:31" s="1" customFormat="1" ht="12" customHeight="1" x14ac:dyDescent="0.2">
      <c r="B23" s="24"/>
      <c r="D23" s="528" t="s">
        <v>24</v>
      </c>
      <c r="I23" s="528" t="s">
        <v>19</v>
      </c>
      <c r="J23" s="19" t="str">
        <f>IF('Rekapitulácia stavby'!AN19="","",'Rekapitulácia stavby'!AN19)</f>
        <v/>
      </c>
      <c r="L23" s="24"/>
      <c r="W23" s="158"/>
      <c r="X23" s="674"/>
      <c r="Y23" s="673" t="s">
        <v>24</v>
      </c>
      <c r="Z23" s="674"/>
      <c r="AA23" s="674"/>
      <c r="AB23" s="674"/>
      <c r="AC23" s="674"/>
      <c r="AD23" s="673" t="s">
        <v>19</v>
      </c>
      <c r="AE23" s="161" t="str">
        <f>IF('Rekapitulácia stavby'!BI19="","",'Rekapitulácia stavby'!BI19)</f>
        <v/>
      </c>
    </row>
    <row r="24" spans="2:31" s="1" customFormat="1" ht="18" customHeight="1" x14ac:dyDescent="0.2">
      <c r="B24" s="24"/>
      <c r="D24" s="521"/>
      <c r="E24" s="19" t="str">
        <f>IF('Rekapitulácia stavby'!E20="","",'Rekapitulácia stavby'!E20)</f>
        <v xml:space="preserve"> </v>
      </c>
      <c r="I24" s="528" t="s">
        <v>20</v>
      </c>
      <c r="J24" s="19" t="str">
        <f>IF('Rekapitulácia stavby'!AN20="","",'Rekapitulácia stavby'!AN20)</f>
        <v/>
      </c>
      <c r="L24" s="24"/>
      <c r="W24" s="158"/>
      <c r="X24" s="674"/>
      <c r="Y24" s="674"/>
      <c r="Z24" s="671" t="str">
        <f>IF('Rekapitulácia stavby'!Z20="","",'Rekapitulácia stavby'!Z20)</f>
        <v/>
      </c>
      <c r="AA24" s="674"/>
      <c r="AB24" s="674"/>
      <c r="AC24" s="674"/>
      <c r="AD24" s="673" t="s">
        <v>20</v>
      </c>
      <c r="AE24" s="161" t="str">
        <f>IF('Rekapitulácia stavby'!BI20="","",'Rekapitulácia stavby'!BI20)</f>
        <v/>
      </c>
    </row>
    <row r="25" spans="2:31" s="1" customFormat="1" ht="7.05" customHeight="1" x14ac:dyDescent="0.2">
      <c r="B25" s="24"/>
      <c r="D25" s="521"/>
      <c r="L25" s="24"/>
      <c r="W25" s="158"/>
      <c r="X25" s="674"/>
      <c r="Y25" s="674"/>
      <c r="Z25" s="674"/>
      <c r="AA25" s="674"/>
      <c r="AB25" s="674"/>
      <c r="AC25" s="674"/>
      <c r="AD25" s="674"/>
      <c r="AE25" s="159"/>
    </row>
    <row r="26" spans="2:31" s="1" customFormat="1" ht="12" customHeight="1" x14ac:dyDescent="0.2">
      <c r="B26" s="24"/>
      <c r="D26" s="528" t="s">
        <v>25</v>
      </c>
      <c r="L26" s="24"/>
      <c r="W26" s="158"/>
      <c r="X26" s="674"/>
      <c r="Y26" s="673" t="s">
        <v>25</v>
      </c>
      <c r="Z26" s="674"/>
      <c r="AA26" s="674"/>
      <c r="AB26" s="674"/>
      <c r="AC26" s="674"/>
      <c r="AD26" s="674"/>
      <c r="AE26" s="159"/>
    </row>
    <row r="27" spans="2:31" s="7" customFormat="1" ht="16.5" customHeight="1" x14ac:dyDescent="0.2">
      <c r="B27" s="75"/>
      <c r="E27" s="1228" t="s">
        <v>1</v>
      </c>
      <c r="F27" s="1228"/>
      <c r="G27" s="1228"/>
      <c r="H27" s="1228"/>
      <c r="L27" s="75"/>
      <c r="W27" s="163"/>
      <c r="X27" s="164"/>
      <c r="Y27" s="164"/>
      <c r="Z27" s="1248" t="s">
        <v>1</v>
      </c>
      <c r="AA27" s="1248"/>
      <c r="AB27" s="1248"/>
      <c r="AC27" s="1248"/>
      <c r="AD27" s="164"/>
      <c r="AE27" s="165"/>
    </row>
    <row r="28" spans="2:31" s="1" customFormat="1" ht="7.05" customHeight="1" x14ac:dyDescent="0.2">
      <c r="B28" s="24"/>
      <c r="L28" s="24"/>
      <c r="W28" s="158"/>
      <c r="X28" s="674"/>
      <c r="Y28" s="674"/>
      <c r="Z28" s="674"/>
      <c r="AA28" s="674"/>
      <c r="AB28" s="674"/>
      <c r="AC28" s="674"/>
      <c r="AD28" s="674"/>
      <c r="AE28" s="159"/>
    </row>
    <row r="29" spans="2:31" s="1" customFormat="1" ht="7.05" customHeight="1" x14ac:dyDescent="0.2">
      <c r="B29" s="24"/>
      <c r="D29" s="40"/>
      <c r="E29" s="40"/>
      <c r="F29" s="40"/>
      <c r="G29" s="40"/>
      <c r="H29" s="40"/>
      <c r="I29" s="40"/>
      <c r="J29" s="40"/>
      <c r="K29" s="40"/>
      <c r="L29" s="24"/>
      <c r="W29" s="158"/>
      <c r="X29" s="674"/>
      <c r="Y29" s="40"/>
      <c r="Z29" s="40"/>
      <c r="AA29" s="40"/>
      <c r="AB29" s="40"/>
      <c r="AC29" s="40"/>
      <c r="AD29" s="40"/>
      <c r="AE29" s="166"/>
    </row>
    <row r="30" spans="2:31" s="1" customFormat="1" ht="25.2" customHeight="1" x14ac:dyDescent="0.2">
      <c r="B30" s="24"/>
      <c r="D30" s="76" t="s">
        <v>26</v>
      </c>
      <c r="J30" s="53">
        <f>ROUND(J117, 2)</f>
        <v>62136.78</v>
      </c>
      <c r="L30" s="24"/>
      <c r="W30" s="158"/>
      <c r="X30" s="674"/>
      <c r="Y30" s="167" t="s">
        <v>26</v>
      </c>
      <c r="Z30" s="674"/>
      <c r="AA30" s="674"/>
      <c r="AB30" s="674"/>
      <c r="AC30" s="674"/>
      <c r="AD30" s="674"/>
      <c r="AE30" s="168">
        <f>ROUND(AE117, 2)</f>
        <v>62136.78</v>
      </c>
    </row>
    <row r="31" spans="2:31" s="1" customFormat="1" ht="7.05" customHeight="1" x14ac:dyDescent="0.2">
      <c r="B31" s="24"/>
      <c r="D31" s="40"/>
      <c r="E31" s="40"/>
      <c r="F31" s="40"/>
      <c r="G31" s="40"/>
      <c r="H31" s="40"/>
      <c r="I31" s="40"/>
      <c r="J31" s="40"/>
      <c r="K31" s="40"/>
      <c r="L31" s="24"/>
      <c r="W31" s="158"/>
      <c r="X31" s="674"/>
      <c r="Y31" s="40"/>
      <c r="Z31" s="40"/>
      <c r="AA31" s="40"/>
      <c r="AB31" s="40"/>
      <c r="AC31" s="40"/>
      <c r="AD31" s="40"/>
      <c r="AE31" s="166"/>
    </row>
    <row r="32" spans="2:31" s="1" customFormat="1" ht="14.55" customHeight="1" x14ac:dyDescent="0.2">
      <c r="B32" s="24"/>
      <c r="D32" s="521"/>
      <c r="E32" s="521"/>
      <c r="F32" s="534" t="s">
        <v>28</v>
      </c>
      <c r="G32" s="521"/>
      <c r="H32" s="521"/>
      <c r="I32" s="534" t="s">
        <v>27</v>
      </c>
      <c r="J32" s="534" t="s">
        <v>29</v>
      </c>
      <c r="L32" s="24"/>
      <c r="W32" s="158"/>
      <c r="X32" s="674"/>
      <c r="Y32" s="674"/>
      <c r="Z32" s="674"/>
      <c r="AA32" s="542" t="s">
        <v>28</v>
      </c>
      <c r="AB32" s="674"/>
      <c r="AC32" s="674"/>
      <c r="AD32" s="542" t="s">
        <v>27</v>
      </c>
      <c r="AE32" s="543" t="s">
        <v>29</v>
      </c>
    </row>
    <row r="33" spans="2:31" s="1" customFormat="1" ht="14.55" customHeight="1" x14ac:dyDescent="0.2">
      <c r="B33" s="24"/>
      <c r="D33" s="13" t="s">
        <v>30</v>
      </c>
      <c r="E33" s="528" t="s">
        <v>31</v>
      </c>
      <c r="F33" s="398">
        <f>ROUND((SUM(BE117:BE120)),  2)</f>
        <v>0</v>
      </c>
      <c r="G33" s="521"/>
      <c r="H33" s="521"/>
      <c r="I33" s="535">
        <v>0.2</v>
      </c>
      <c r="J33" s="398">
        <f>ROUND(((SUM(BE117:BE120))*I33),  2)</f>
        <v>0</v>
      </c>
      <c r="L33" s="24"/>
      <c r="W33" s="158"/>
      <c r="X33" s="674"/>
      <c r="Y33" s="544" t="s">
        <v>30</v>
      </c>
      <c r="Z33" s="673" t="s">
        <v>31</v>
      </c>
      <c r="AA33" s="545">
        <f>ROUND((SUM(BZ117:BZ120)),  2)</f>
        <v>0</v>
      </c>
      <c r="AB33" s="674"/>
      <c r="AC33" s="674"/>
      <c r="AD33" s="546">
        <v>0.2</v>
      </c>
      <c r="AE33" s="547">
        <f>ROUND(((SUM(BZ117:BZ120))*AD33),  2)</f>
        <v>0</v>
      </c>
    </row>
    <row r="34" spans="2:31" s="1" customFormat="1" ht="14.55" customHeight="1" x14ac:dyDescent="0.2">
      <c r="B34" s="24"/>
      <c r="D34" s="521"/>
      <c r="E34" s="528" t="s">
        <v>32</v>
      </c>
      <c r="F34" s="398">
        <f>ROUND((SUM(BF117:BF120)),  2)</f>
        <v>62136.78</v>
      </c>
      <c r="G34" s="521"/>
      <c r="H34" s="521"/>
      <c r="I34" s="535">
        <v>0.2</v>
      </c>
      <c r="J34" s="398">
        <f>ROUND(((SUM(BF117:BF120))*I34),  2)</f>
        <v>12427.36</v>
      </c>
      <c r="L34" s="24"/>
      <c r="W34" s="158"/>
      <c r="X34" s="674"/>
      <c r="Y34" s="674"/>
      <c r="Z34" s="673" t="s">
        <v>32</v>
      </c>
      <c r="AA34" s="545">
        <f>AE30</f>
        <v>62136.78</v>
      </c>
      <c r="AB34" s="674"/>
      <c r="AC34" s="674"/>
      <c r="AD34" s="546">
        <v>0.2</v>
      </c>
      <c r="AE34" s="547">
        <f>AA34*0.2</f>
        <v>12427.356</v>
      </c>
    </row>
    <row r="35" spans="2:31" s="1" customFormat="1" ht="14.55" hidden="1" customHeight="1" x14ac:dyDescent="0.2">
      <c r="B35" s="24"/>
      <c r="E35" s="21" t="s">
        <v>33</v>
      </c>
      <c r="F35" s="78">
        <f>ROUND((SUM(BG117:BG120)),  2)</f>
        <v>0</v>
      </c>
      <c r="I35" s="79">
        <v>0.2</v>
      </c>
      <c r="J35" s="78">
        <f>0</f>
        <v>0</v>
      </c>
      <c r="L35" s="24"/>
      <c r="W35" s="158"/>
      <c r="X35" s="674"/>
      <c r="Y35" s="674"/>
      <c r="Z35" s="675" t="s">
        <v>33</v>
      </c>
      <c r="AA35" s="170">
        <f>ROUND((SUM(CB117:CB120)),  2)</f>
        <v>0</v>
      </c>
      <c r="AB35" s="674"/>
      <c r="AC35" s="674"/>
      <c r="AD35" s="171">
        <v>0.2</v>
      </c>
      <c r="AE35" s="172">
        <f>0</f>
        <v>0</v>
      </c>
    </row>
    <row r="36" spans="2:31" s="1" customFormat="1" ht="14.55" hidden="1" customHeight="1" x14ac:dyDescent="0.2">
      <c r="B36" s="24"/>
      <c r="E36" s="21" t="s">
        <v>34</v>
      </c>
      <c r="F36" s="78">
        <f>ROUND((SUM(BH117:BH120)),  2)</f>
        <v>0</v>
      </c>
      <c r="I36" s="79">
        <v>0.2</v>
      </c>
      <c r="J36" s="78">
        <f>0</f>
        <v>0</v>
      </c>
      <c r="L36" s="24"/>
      <c r="W36" s="158"/>
      <c r="X36" s="674"/>
      <c r="Y36" s="674"/>
      <c r="Z36" s="675" t="s">
        <v>34</v>
      </c>
      <c r="AA36" s="170">
        <f>ROUND((SUM(CC117:CC120)),  2)</f>
        <v>0</v>
      </c>
      <c r="AB36" s="674"/>
      <c r="AC36" s="674"/>
      <c r="AD36" s="171">
        <v>0.2</v>
      </c>
      <c r="AE36" s="172">
        <f>0</f>
        <v>0</v>
      </c>
    </row>
    <row r="37" spans="2:31" s="1" customFormat="1" ht="14.55" hidden="1" customHeight="1" x14ac:dyDescent="0.2">
      <c r="B37" s="24"/>
      <c r="E37" s="21" t="s">
        <v>35</v>
      </c>
      <c r="F37" s="78">
        <f>ROUND((SUM(BI117:BI120)),  2)</f>
        <v>0</v>
      </c>
      <c r="I37" s="79">
        <v>0</v>
      </c>
      <c r="J37" s="78">
        <f>0</f>
        <v>0</v>
      </c>
      <c r="L37" s="24"/>
      <c r="W37" s="158"/>
      <c r="X37" s="674"/>
      <c r="Y37" s="674"/>
      <c r="Z37" s="675" t="s">
        <v>35</v>
      </c>
      <c r="AA37" s="170">
        <f>ROUND((SUM(CD117:CD120)),  2)</f>
        <v>0</v>
      </c>
      <c r="AB37" s="674"/>
      <c r="AC37" s="674"/>
      <c r="AD37" s="171">
        <v>0</v>
      </c>
      <c r="AE37" s="172">
        <f>0</f>
        <v>0</v>
      </c>
    </row>
    <row r="38" spans="2:31" s="1" customFormat="1" ht="7.05" customHeight="1" x14ac:dyDescent="0.2">
      <c r="B38" s="24"/>
      <c r="L38" s="24"/>
      <c r="W38" s="158"/>
      <c r="X38" s="674"/>
      <c r="Y38" s="674"/>
      <c r="Z38" s="674"/>
      <c r="AA38" s="674"/>
      <c r="AB38" s="674"/>
      <c r="AC38" s="674"/>
      <c r="AD38" s="674"/>
      <c r="AE38" s="159"/>
    </row>
    <row r="39" spans="2:31" s="1" customFormat="1" ht="25.2" customHeight="1" x14ac:dyDescent="0.2">
      <c r="B39" s="24"/>
      <c r="C39" s="80"/>
      <c r="D39" s="81" t="s">
        <v>36</v>
      </c>
      <c r="E39" s="44"/>
      <c r="F39" s="44"/>
      <c r="G39" s="82" t="s">
        <v>37</v>
      </c>
      <c r="H39" s="83" t="s">
        <v>38</v>
      </c>
      <c r="I39" s="44"/>
      <c r="J39" s="84">
        <f>SUM(J30:J37)</f>
        <v>74564.14</v>
      </c>
      <c r="K39" s="85"/>
      <c r="L39" s="24"/>
      <c r="W39" s="158"/>
      <c r="X39" s="173"/>
      <c r="Y39" s="81" t="s">
        <v>36</v>
      </c>
      <c r="Z39" s="44"/>
      <c r="AA39" s="44"/>
      <c r="AB39" s="82" t="s">
        <v>37</v>
      </c>
      <c r="AC39" s="83" t="s">
        <v>38</v>
      </c>
      <c r="AD39" s="44"/>
      <c r="AE39" s="174">
        <f>SUM(AE30:AE37)</f>
        <v>74564.135999999999</v>
      </c>
    </row>
    <row r="40" spans="2:31" s="1" customFormat="1" ht="14.55" customHeight="1" x14ac:dyDescent="0.2">
      <c r="B40" s="24"/>
      <c r="L40" s="24"/>
      <c r="W40" s="158"/>
      <c r="X40" s="674"/>
      <c r="Y40" s="674"/>
      <c r="Z40" s="674"/>
      <c r="AA40" s="674"/>
      <c r="AB40" s="674"/>
      <c r="AC40" s="674"/>
      <c r="AD40" s="674"/>
      <c r="AE40" s="159"/>
    </row>
    <row r="41" spans="2:31" ht="14.55" customHeight="1" x14ac:dyDescent="0.2">
      <c r="B41" s="16"/>
      <c r="L41" s="16"/>
      <c r="W41" s="155"/>
      <c r="X41" s="156"/>
      <c r="Y41" s="156"/>
      <c r="Z41" s="156"/>
      <c r="AA41" s="156"/>
      <c r="AB41" s="156"/>
      <c r="AC41" s="156"/>
      <c r="AD41" s="156"/>
      <c r="AE41" s="157"/>
    </row>
    <row r="42" spans="2:31" ht="14.55" customHeight="1" x14ac:dyDescent="0.2">
      <c r="B42" s="16"/>
      <c r="L42" s="16"/>
      <c r="W42" s="155"/>
      <c r="X42" s="156"/>
      <c r="Y42" s="156"/>
      <c r="Z42" s="156"/>
      <c r="AA42" s="156"/>
      <c r="AB42" s="156"/>
      <c r="AC42" s="156"/>
      <c r="AD42" s="156"/>
      <c r="AE42" s="157"/>
    </row>
    <row r="43" spans="2:31" ht="14.55" customHeight="1" x14ac:dyDescent="0.2">
      <c r="B43" s="16"/>
      <c r="L43" s="16"/>
      <c r="W43" s="155"/>
      <c r="X43" s="156"/>
      <c r="Y43" s="156"/>
      <c r="Z43" s="156"/>
      <c r="AA43" s="156"/>
      <c r="AB43" s="156"/>
      <c r="AC43" s="156"/>
      <c r="AD43" s="156"/>
      <c r="AE43" s="157"/>
    </row>
    <row r="44" spans="2:31" ht="14.55" customHeight="1" x14ac:dyDescent="0.2">
      <c r="B44" s="16"/>
      <c r="L44" s="16"/>
      <c r="W44" s="155"/>
      <c r="X44" s="156"/>
      <c r="Y44" s="156"/>
      <c r="Z44" s="156"/>
      <c r="AA44" s="156"/>
      <c r="AB44" s="156"/>
      <c r="AC44" s="156"/>
      <c r="AD44" s="156"/>
      <c r="AE44" s="157"/>
    </row>
    <row r="45" spans="2:31" ht="14.55" customHeight="1" x14ac:dyDescent="0.2">
      <c r="B45" s="16"/>
      <c r="L45" s="16"/>
      <c r="W45" s="155"/>
      <c r="X45" s="156"/>
      <c r="Y45" s="156"/>
      <c r="Z45" s="156"/>
      <c r="AA45" s="156"/>
      <c r="AB45" s="156"/>
      <c r="AC45" s="156"/>
      <c r="AD45" s="156"/>
      <c r="AE45" s="157"/>
    </row>
    <row r="46" spans="2:31" ht="14.55" customHeight="1" x14ac:dyDescent="0.2">
      <c r="B46" s="16"/>
      <c r="L46" s="16"/>
      <c r="W46" s="155"/>
      <c r="X46" s="156"/>
      <c r="Y46" s="156"/>
      <c r="Z46" s="156"/>
      <c r="AA46" s="156"/>
      <c r="AB46" s="156"/>
      <c r="AC46" s="156"/>
      <c r="AD46" s="156"/>
      <c r="AE46" s="157"/>
    </row>
    <row r="47" spans="2:31" ht="14.55" customHeight="1" x14ac:dyDescent="0.2">
      <c r="B47" s="16"/>
      <c r="L47" s="16"/>
      <c r="W47" s="155"/>
      <c r="X47" s="156"/>
      <c r="Y47" s="156"/>
      <c r="Z47" s="156"/>
      <c r="AA47" s="156"/>
      <c r="AB47" s="156"/>
      <c r="AC47" s="156"/>
      <c r="AD47" s="156"/>
      <c r="AE47" s="157"/>
    </row>
    <row r="48" spans="2:31" ht="14.55" customHeight="1" x14ac:dyDescent="0.2">
      <c r="B48" s="16"/>
      <c r="L48" s="16"/>
      <c r="W48" s="155"/>
      <c r="X48" s="156"/>
      <c r="Y48" s="156"/>
      <c r="Z48" s="156"/>
      <c r="AA48" s="156"/>
      <c r="AB48" s="156"/>
      <c r="AC48" s="156"/>
      <c r="AD48" s="156"/>
      <c r="AE48" s="157"/>
    </row>
    <row r="49" spans="2:31" ht="14.55" customHeight="1" x14ac:dyDescent="0.2">
      <c r="B49" s="16"/>
      <c r="D49" s="156"/>
      <c r="E49" s="156"/>
      <c r="F49" s="156"/>
      <c r="G49" s="156"/>
      <c r="H49" s="156"/>
      <c r="I49" s="156"/>
      <c r="J49" s="156"/>
      <c r="L49" s="16"/>
      <c r="W49" s="155"/>
      <c r="X49" s="156"/>
      <c r="Y49" s="156"/>
      <c r="Z49" s="156"/>
      <c r="AA49" s="156"/>
      <c r="AB49" s="156"/>
      <c r="AC49" s="156"/>
      <c r="AD49" s="156"/>
      <c r="AE49" s="157"/>
    </row>
    <row r="50" spans="2:31" s="1" customFormat="1" ht="14.55" customHeight="1" x14ac:dyDescent="0.2">
      <c r="B50" s="24"/>
      <c r="D50" s="530"/>
      <c r="E50" s="523"/>
      <c r="F50" s="523"/>
      <c r="G50" s="530"/>
      <c r="H50" s="523"/>
      <c r="I50" s="523"/>
      <c r="J50" s="523"/>
      <c r="K50" s="32"/>
      <c r="L50" s="24"/>
      <c r="W50" s="158"/>
      <c r="X50" s="674"/>
      <c r="Y50" s="530"/>
      <c r="Z50" s="674"/>
      <c r="AA50" s="674"/>
      <c r="AB50" s="530"/>
      <c r="AC50" s="674"/>
      <c r="AD50" s="674"/>
      <c r="AE50" s="159"/>
    </row>
    <row r="51" spans="2:31" x14ac:dyDescent="0.2">
      <c r="B51" s="16"/>
      <c r="D51" s="156"/>
      <c r="E51" s="156"/>
      <c r="F51" s="156"/>
      <c r="G51" s="156"/>
      <c r="H51" s="156"/>
      <c r="I51" s="156"/>
      <c r="J51" s="156"/>
      <c r="L51" s="16"/>
      <c r="W51" s="155"/>
      <c r="X51" s="156"/>
      <c r="Y51" s="156"/>
      <c r="Z51" s="156"/>
      <c r="AA51" s="156"/>
      <c r="AB51" s="156"/>
      <c r="AC51" s="156"/>
      <c r="AD51" s="156"/>
      <c r="AE51" s="157"/>
    </row>
    <row r="52" spans="2:31" x14ac:dyDescent="0.2">
      <c r="B52" s="16"/>
      <c r="D52" s="156"/>
      <c r="E52" s="156"/>
      <c r="F52" s="156"/>
      <c r="G52" s="156"/>
      <c r="H52" s="156"/>
      <c r="I52" s="156"/>
      <c r="J52" s="156"/>
      <c r="L52" s="16"/>
      <c r="W52" s="155"/>
      <c r="X52" s="156"/>
      <c r="Y52" s="156"/>
      <c r="Z52" s="156"/>
      <c r="AA52" s="156"/>
      <c r="AB52" s="156"/>
      <c r="AC52" s="156"/>
      <c r="AD52" s="156"/>
      <c r="AE52" s="157"/>
    </row>
    <row r="53" spans="2:31" x14ac:dyDescent="0.2">
      <c r="B53" s="16"/>
      <c r="D53" s="156"/>
      <c r="E53" s="156"/>
      <c r="F53" s="156"/>
      <c r="G53" s="156"/>
      <c r="H53" s="156"/>
      <c r="I53" s="156"/>
      <c r="J53" s="156"/>
      <c r="L53" s="16"/>
      <c r="W53" s="155"/>
      <c r="X53" s="156"/>
      <c r="Y53" s="156"/>
      <c r="Z53" s="156"/>
      <c r="AA53" s="156"/>
      <c r="AB53" s="156"/>
      <c r="AC53" s="156"/>
      <c r="AD53" s="156"/>
      <c r="AE53" s="157"/>
    </row>
    <row r="54" spans="2:31" x14ac:dyDescent="0.2">
      <c r="B54" s="16"/>
      <c r="D54" s="156"/>
      <c r="E54" s="156"/>
      <c r="F54" s="156"/>
      <c r="G54" s="156"/>
      <c r="H54" s="156"/>
      <c r="I54" s="156"/>
      <c r="J54" s="156"/>
      <c r="L54" s="16"/>
      <c r="W54" s="155"/>
      <c r="X54" s="156"/>
      <c r="Y54" s="156"/>
      <c r="Z54" s="156"/>
      <c r="AA54" s="156"/>
      <c r="AB54" s="156"/>
      <c r="AC54" s="156"/>
      <c r="AD54" s="156"/>
      <c r="AE54" s="157"/>
    </row>
    <row r="55" spans="2:31" x14ac:dyDescent="0.2">
      <c r="B55" s="16"/>
      <c r="D55" s="156"/>
      <c r="E55" s="156"/>
      <c r="F55" s="156"/>
      <c r="G55" s="156"/>
      <c r="H55" s="156"/>
      <c r="I55" s="156"/>
      <c r="J55" s="156"/>
      <c r="L55" s="16"/>
      <c r="W55" s="155"/>
      <c r="X55" s="156"/>
      <c r="Y55" s="156"/>
      <c r="Z55" s="156"/>
      <c r="AA55" s="156"/>
      <c r="AB55" s="156"/>
      <c r="AC55" s="156"/>
      <c r="AD55" s="156"/>
      <c r="AE55" s="157"/>
    </row>
    <row r="56" spans="2:31" x14ac:dyDescent="0.2">
      <c r="B56" s="16"/>
      <c r="D56" s="156"/>
      <c r="E56" s="156"/>
      <c r="F56" s="156"/>
      <c r="G56" s="156"/>
      <c r="H56" s="156"/>
      <c r="I56" s="156"/>
      <c r="J56" s="156"/>
      <c r="L56" s="16"/>
      <c r="W56" s="155"/>
      <c r="X56" s="156"/>
      <c r="Y56" s="156"/>
      <c r="Z56" s="156"/>
      <c r="AA56" s="156"/>
      <c r="AB56" s="156"/>
      <c r="AC56" s="156"/>
      <c r="AD56" s="156"/>
      <c r="AE56" s="157"/>
    </row>
    <row r="57" spans="2:31" x14ac:dyDescent="0.2">
      <c r="B57" s="16"/>
      <c r="D57" s="156"/>
      <c r="E57" s="156"/>
      <c r="F57" s="156"/>
      <c r="G57" s="156"/>
      <c r="H57" s="156"/>
      <c r="I57" s="156"/>
      <c r="J57" s="156"/>
      <c r="L57" s="16"/>
      <c r="W57" s="155"/>
      <c r="X57" s="156"/>
      <c r="Y57" s="156"/>
      <c r="Z57" s="156"/>
      <c r="AA57" s="156"/>
      <c r="AB57" s="156"/>
      <c r="AC57" s="156"/>
      <c r="AD57" s="156"/>
      <c r="AE57" s="157"/>
    </row>
    <row r="58" spans="2:31" x14ac:dyDescent="0.2">
      <c r="B58" s="16"/>
      <c r="D58" s="156"/>
      <c r="E58" s="156"/>
      <c r="F58" s="156"/>
      <c r="G58" s="156"/>
      <c r="H58" s="156"/>
      <c r="I58" s="156"/>
      <c r="J58" s="156"/>
      <c r="L58" s="16"/>
      <c r="W58" s="155"/>
      <c r="X58" s="156"/>
      <c r="Y58" s="156"/>
      <c r="Z58" s="156"/>
      <c r="AA58" s="156"/>
      <c r="AB58" s="156"/>
      <c r="AC58" s="156"/>
      <c r="AD58" s="156"/>
      <c r="AE58" s="157"/>
    </row>
    <row r="59" spans="2:31" x14ac:dyDescent="0.2">
      <c r="B59" s="16"/>
      <c r="D59" s="156"/>
      <c r="E59" s="156"/>
      <c r="F59" s="156"/>
      <c r="G59" s="156"/>
      <c r="H59" s="156"/>
      <c r="I59" s="156"/>
      <c r="J59" s="156"/>
      <c r="L59" s="16"/>
      <c r="W59" s="155"/>
      <c r="X59" s="156"/>
      <c r="Y59" s="156"/>
      <c r="Z59" s="156"/>
      <c r="AA59" s="156"/>
      <c r="AB59" s="156"/>
      <c r="AC59" s="156"/>
      <c r="AD59" s="156"/>
      <c r="AE59" s="157"/>
    </row>
    <row r="60" spans="2:31" x14ac:dyDescent="0.2">
      <c r="B60" s="16"/>
      <c r="D60" s="156"/>
      <c r="E60" s="156"/>
      <c r="F60" s="156"/>
      <c r="G60" s="156"/>
      <c r="H60" s="156"/>
      <c r="I60" s="156"/>
      <c r="J60" s="156"/>
      <c r="L60" s="16"/>
      <c r="W60" s="155"/>
      <c r="X60" s="156"/>
      <c r="Y60" s="156"/>
      <c r="Z60" s="156"/>
      <c r="AA60" s="156"/>
      <c r="AB60" s="156"/>
      <c r="AC60" s="156"/>
      <c r="AD60" s="156"/>
      <c r="AE60" s="157"/>
    </row>
    <row r="61" spans="2:31" s="1" customFormat="1" ht="13.2" x14ac:dyDescent="0.2">
      <c r="B61" s="24"/>
      <c r="D61" s="522"/>
      <c r="E61" s="523"/>
      <c r="F61" s="536"/>
      <c r="G61" s="522"/>
      <c r="H61" s="523"/>
      <c r="I61" s="523"/>
      <c r="J61" s="169"/>
      <c r="K61" s="26"/>
      <c r="L61" s="24"/>
      <c r="W61" s="158"/>
      <c r="X61" s="674"/>
      <c r="Y61" s="675"/>
      <c r="Z61" s="674"/>
      <c r="AA61" s="536"/>
      <c r="AB61" s="675"/>
      <c r="AC61" s="674"/>
      <c r="AD61" s="674"/>
      <c r="AE61" s="577"/>
    </row>
    <row r="62" spans="2:31" x14ac:dyDescent="0.2">
      <c r="B62" s="16"/>
      <c r="D62" s="156"/>
      <c r="E62" s="156"/>
      <c r="F62" s="156"/>
      <c r="G62" s="156"/>
      <c r="H62" s="156"/>
      <c r="I62" s="156"/>
      <c r="J62" s="156"/>
      <c r="L62" s="16"/>
      <c r="W62" s="155"/>
      <c r="X62" s="156"/>
      <c r="Y62" s="156"/>
      <c r="Z62" s="156"/>
      <c r="AA62" s="156"/>
      <c r="AB62" s="156"/>
      <c r="AC62" s="156"/>
      <c r="AD62" s="156"/>
      <c r="AE62" s="157"/>
    </row>
    <row r="63" spans="2:31" x14ac:dyDescent="0.2">
      <c r="B63" s="16"/>
      <c r="D63" s="156"/>
      <c r="E63" s="156"/>
      <c r="F63" s="156"/>
      <c r="G63" s="156"/>
      <c r="H63" s="156"/>
      <c r="I63" s="156"/>
      <c r="J63" s="156"/>
      <c r="L63" s="16"/>
      <c r="W63" s="155"/>
      <c r="X63" s="156"/>
      <c r="Y63" s="156"/>
      <c r="Z63" s="156"/>
      <c r="AA63" s="156"/>
      <c r="AB63" s="156"/>
      <c r="AC63" s="156"/>
      <c r="AD63" s="156"/>
      <c r="AE63" s="157"/>
    </row>
    <row r="64" spans="2:31" x14ac:dyDescent="0.2">
      <c r="B64" s="16"/>
      <c r="D64" s="156"/>
      <c r="E64" s="156"/>
      <c r="F64" s="156"/>
      <c r="G64" s="156"/>
      <c r="H64" s="156"/>
      <c r="I64" s="156"/>
      <c r="J64" s="156"/>
      <c r="L64" s="16"/>
      <c r="W64" s="155"/>
      <c r="X64" s="156"/>
      <c r="Y64" s="156"/>
      <c r="Z64" s="156"/>
      <c r="AA64" s="156"/>
      <c r="AB64" s="156"/>
      <c r="AC64" s="156"/>
      <c r="AD64" s="156"/>
      <c r="AE64" s="157"/>
    </row>
    <row r="65" spans="2:31" s="1" customFormat="1" ht="13.2" x14ac:dyDescent="0.2">
      <c r="B65" s="24"/>
      <c r="D65" s="530"/>
      <c r="E65" s="523"/>
      <c r="F65" s="523"/>
      <c r="G65" s="530"/>
      <c r="H65" s="523"/>
      <c r="I65" s="523"/>
      <c r="J65" s="523"/>
      <c r="K65" s="32"/>
      <c r="L65" s="24"/>
      <c r="W65" s="158"/>
      <c r="X65" s="674"/>
      <c r="Y65" s="530"/>
      <c r="Z65" s="674"/>
      <c r="AA65" s="674"/>
      <c r="AB65" s="530"/>
      <c r="AC65" s="674"/>
      <c r="AD65" s="674"/>
      <c r="AE65" s="159"/>
    </row>
    <row r="66" spans="2:31" x14ac:dyDescent="0.2">
      <c r="B66" s="16"/>
      <c r="D66" s="156"/>
      <c r="E66" s="156"/>
      <c r="F66" s="156"/>
      <c r="G66" s="156"/>
      <c r="H66" s="156"/>
      <c r="I66" s="156"/>
      <c r="J66" s="156"/>
      <c r="L66" s="16"/>
      <c r="W66" s="155"/>
      <c r="X66" s="156"/>
      <c r="Y66" s="156"/>
      <c r="Z66" s="156"/>
      <c r="AA66" s="156"/>
      <c r="AB66" s="156"/>
      <c r="AC66" s="156"/>
      <c r="AD66" s="156"/>
      <c r="AE66" s="157"/>
    </row>
    <row r="67" spans="2:31" x14ac:dyDescent="0.2">
      <c r="B67" s="16"/>
      <c r="D67" s="156"/>
      <c r="E67" s="156"/>
      <c r="F67" s="156"/>
      <c r="G67" s="156"/>
      <c r="H67" s="156"/>
      <c r="I67" s="156"/>
      <c r="J67" s="156"/>
      <c r="L67" s="16"/>
      <c r="W67" s="155"/>
      <c r="X67" s="156"/>
      <c r="Y67" s="156"/>
      <c r="Z67" s="156"/>
      <c r="AA67" s="156"/>
      <c r="AB67" s="156"/>
      <c r="AC67" s="156"/>
      <c r="AD67" s="156"/>
      <c r="AE67" s="157"/>
    </row>
    <row r="68" spans="2:31" x14ac:dyDescent="0.2">
      <c r="B68" s="16"/>
      <c r="D68" s="156"/>
      <c r="E68" s="156"/>
      <c r="F68" s="156"/>
      <c r="G68" s="156"/>
      <c r="H68" s="156"/>
      <c r="I68" s="156"/>
      <c r="J68" s="156"/>
      <c r="L68" s="16"/>
      <c r="W68" s="155"/>
      <c r="X68" s="156"/>
      <c r="Y68" s="156"/>
      <c r="Z68" s="156"/>
      <c r="AA68" s="156"/>
      <c r="AB68" s="156"/>
      <c r="AC68" s="156"/>
      <c r="AD68" s="156"/>
      <c r="AE68" s="157"/>
    </row>
    <row r="69" spans="2:31" x14ac:dyDescent="0.2">
      <c r="B69" s="16"/>
      <c r="D69" s="156"/>
      <c r="E69" s="156"/>
      <c r="F69" s="156"/>
      <c r="G69" s="156"/>
      <c r="H69" s="156"/>
      <c r="I69" s="156"/>
      <c r="J69" s="156"/>
      <c r="L69" s="16"/>
      <c r="W69" s="155"/>
      <c r="X69" s="156"/>
      <c r="Y69" s="156"/>
      <c r="Z69" s="156"/>
      <c r="AA69" s="156"/>
      <c r="AB69" s="156"/>
      <c r="AC69" s="156"/>
      <c r="AD69" s="156"/>
      <c r="AE69" s="157"/>
    </row>
    <row r="70" spans="2:31" x14ac:dyDescent="0.2">
      <c r="B70" s="16"/>
      <c r="D70" s="156"/>
      <c r="E70" s="156"/>
      <c r="F70" s="156"/>
      <c r="G70" s="156"/>
      <c r="H70" s="156"/>
      <c r="I70" s="156"/>
      <c r="J70" s="156"/>
      <c r="L70" s="16"/>
      <c r="W70" s="155"/>
      <c r="X70" s="156"/>
      <c r="Y70" s="156"/>
      <c r="Z70" s="156"/>
      <c r="AA70" s="156"/>
      <c r="AB70" s="156"/>
      <c r="AC70" s="156"/>
      <c r="AD70" s="156"/>
      <c r="AE70" s="157"/>
    </row>
    <row r="71" spans="2:31" x14ac:dyDescent="0.2">
      <c r="B71" s="16"/>
      <c r="D71" s="156"/>
      <c r="E71" s="156"/>
      <c r="F71" s="156"/>
      <c r="G71" s="156"/>
      <c r="H71" s="156"/>
      <c r="I71" s="156"/>
      <c r="J71" s="156"/>
      <c r="L71" s="16"/>
      <c r="W71" s="155"/>
      <c r="X71" s="156"/>
      <c r="Y71" s="156"/>
      <c r="Z71" s="156"/>
      <c r="AA71" s="156"/>
      <c r="AB71" s="156"/>
      <c r="AC71" s="156"/>
      <c r="AD71" s="156"/>
      <c r="AE71" s="157"/>
    </row>
    <row r="72" spans="2:31" x14ac:dyDescent="0.2">
      <c r="B72" s="16"/>
      <c r="D72" s="156"/>
      <c r="E72" s="156"/>
      <c r="F72" s="156"/>
      <c r="G72" s="156"/>
      <c r="H72" s="156"/>
      <c r="I72" s="156"/>
      <c r="J72" s="156"/>
      <c r="L72" s="16"/>
      <c r="W72" s="155"/>
      <c r="X72" s="156"/>
      <c r="Y72" s="156"/>
      <c r="Z72" s="156"/>
      <c r="AA72" s="156"/>
      <c r="AB72" s="156"/>
      <c r="AC72" s="156"/>
      <c r="AD72" s="156"/>
      <c r="AE72" s="157"/>
    </row>
    <row r="73" spans="2:31" x14ac:dyDescent="0.2">
      <c r="B73" s="16"/>
      <c r="D73" s="156"/>
      <c r="E73" s="156"/>
      <c r="F73" s="156"/>
      <c r="G73" s="156"/>
      <c r="H73" s="156"/>
      <c r="I73" s="156"/>
      <c r="J73" s="156"/>
      <c r="L73" s="16"/>
      <c r="W73" s="155"/>
      <c r="X73" s="156"/>
      <c r="Y73" s="156"/>
      <c r="Z73" s="156"/>
      <c r="AA73" s="156"/>
      <c r="AB73" s="156"/>
      <c r="AC73" s="156"/>
      <c r="AD73" s="156"/>
      <c r="AE73" s="157"/>
    </row>
    <row r="74" spans="2:31" x14ac:dyDescent="0.2">
      <c r="B74" s="16"/>
      <c r="D74" s="156"/>
      <c r="E74" s="156"/>
      <c r="F74" s="156"/>
      <c r="G74" s="156"/>
      <c r="H74" s="156"/>
      <c r="I74" s="156"/>
      <c r="J74" s="156"/>
      <c r="L74" s="16"/>
      <c r="W74" s="155"/>
      <c r="X74" s="156"/>
      <c r="Y74" s="156"/>
      <c r="Z74" s="156"/>
      <c r="AA74" s="156"/>
      <c r="AB74" s="156"/>
      <c r="AC74" s="156"/>
      <c r="AD74" s="156"/>
      <c r="AE74" s="157"/>
    </row>
    <row r="75" spans="2:31" x14ac:dyDescent="0.2">
      <c r="B75" s="16"/>
      <c r="D75" s="156"/>
      <c r="E75" s="156"/>
      <c r="F75" s="156"/>
      <c r="G75" s="156"/>
      <c r="H75" s="156"/>
      <c r="I75" s="156"/>
      <c r="J75" s="156"/>
      <c r="L75" s="16"/>
      <c r="W75" s="155"/>
      <c r="X75" s="156"/>
      <c r="Y75" s="156"/>
      <c r="Z75" s="156"/>
      <c r="AA75" s="156"/>
      <c r="AB75" s="156"/>
      <c r="AC75" s="156"/>
      <c r="AD75" s="156"/>
      <c r="AE75" s="157"/>
    </row>
    <row r="76" spans="2:31" s="1" customFormat="1" ht="13.2" x14ac:dyDescent="0.2">
      <c r="B76" s="24"/>
      <c r="D76" s="522"/>
      <c r="E76" s="523"/>
      <c r="F76" s="536"/>
      <c r="G76" s="522"/>
      <c r="H76" s="523"/>
      <c r="I76" s="523"/>
      <c r="J76" s="169"/>
      <c r="K76" s="26"/>
      <c r="L76" s="24"/>
      <c r="W76" s="158"/>
      <c r="X76" s="674"/>
      <c r="Y76" s="675"/>
      <c r="Z76" s="674"/>
      <c r="AA76" s="536"/>
      <c r="AB76" s="675"/>
      <c r="AC76" s="674"/>
      <c r="AD76" s="674"/>
      <c r="AE76" s="577"/>
    </row>
    <row r="77" spans="2:31" s="1" customFormat="1" ht="14.55" customHeight="1" x14ac:dyDescent="0.2">
      <c r="B77" s="33"/>
      <c r="C77" s="34"/>
      <c r="D77" s="34"/>
      <c r="E77" s="34"/>
      <c r="F77" s="34"/>
      <c r="G77" s="34"/>
      <c r="H77" s="34"/>
      <c r="I77" s="34"/>
      <c r="J77" s="34"/>
      <c r="K77" s="34"/>
      <c r="L77" s="24"/>
      <c r="W77" s="175"/>
      <c r="X77" s="176"/>
      <c r="Y77" s="176"/>
      <c r="Z77" s="176"/>
      <c r="AA77" s="176"/>
      <c r="AB77" s="176"/>
      <c r="AC77" s="176"/>
      <c r="AD77" s="176"/>
      <c r="AE77" s="177"/>
    </row>
    <row r="81" spans="2:47" s="1" customFormat="1" ht="7.05" customHeight="1" x14ac:dyDescent="0.2">
      <c r="B81" s="35"/>
      <c r="C81" s="36"/>
      <c r="D81" s="36"/>
      <c r="E81" s="36"/>
      <c r="F81" s="36"/>
      <c r="G81" s="36"/>
      <c r="H81" s="36"/>
      <c r="I81" s="36"/>
      <c r="J81" s="36"/>
      <c r="K81" s="36"/>
      <c r="L81" s="24"/>
      <c r="W81" s="178"/>
      <c r="X81" s="179"/>
      <c r="Y81" s="179"/>
      <c r="Z81" s="179"/>
      <c r="AA81" s="179"/>
      <c r="AB81" s="179"/>
      <c r="AC81" s="179"/>
      <c r="AD81" s="179"/>
      <c r="AE81" s="180"/>
    </row>
    <row r="82" spans="2:47" s="1" customFormat="1" ht="25.05" customHeight="1" x14ac:dyDescent="0.2">
      <c r="B82" s="24"/>
      <c r="C82" s="1165" t="s">
        <v>188</v>
      </c>
      <c r="D82" s="1165"/>
      <c r="E82" s="1165"/>
      <c r="F82" s="1165"/>
      <c r="G82" s="1165"/>
      <c r="H82" s="1165"/>
      <c r="I82" s="1165"/>
      <c r="J82" s="1165"/>
      <c r="L82" s="24"/>
      <c r="W82" s="158"/>
      <c r="X82" s="1237" t="s">
        <v>188</v>
      </c>
      <c r="Y82" s="1237"/>
      <c r="Z82" s="1237"/>
      <c r="AA82" s="1237"/>
      <c r="AB82" s="1237"/>
      <c r="AC82" s="1237"/>
      <c r="AD82" s="1237"/>
      <c r="AE82" s="1238"/>
    </row>
    <row r="83" spans="2:47" s="1" customFormat="1" ht="7.05" customHeight="1" x14ac:dyDescent="0.2">
      <c r="B83" s="24"/>
      <c r="L83" s="24"/>
      <c r="W83" s="158"/>
      <c r="X83" s="674"/>
      <c r="Y83" s="674"/>
      <c r="Z83" s="674"/>
      <c r="AA83" s="674"/>
      <c r="AB83" s="674"/>
      <c r="AC83" s="674"/>
      <c r="AD83" s="674"/>
      <c r="AE83" s="159"/>
    </row>
    <row r="84" spans="2:47" s="1" customFormat="1" ht="12" customHeight="1" x14ac:dyDescent="0.2">
      <c r="B84" s="24"/>
      <c r="C84" s="528" t="s">
        <v>12</v>
      </c>
      <c r="E84" s="1242" t="s">
        <v>6177</v>
      </c>
      <c r="F84" s="1242"/>
      <c r="G84" s="1242"/>
      <c r="H84" s="1242"/>
      <c r="I84" s="1242"/>
      <c r="J84" s="1242"/>
      <c r="L84" s="24"/>
      <c r="W84" s="158"/>
      <c r="X84" s="673" t="s">
        <v>12</v>
      </c>
      <c r="Y84" s="674"/>
      <c r="Z84" s="1163" t="s">
        <v>6177</v>
      </c>
      <c r="AA84" s="1163"/>
      <c r="AB84" s="1163"/>
      <c r="AC84" s="1163"/>
      <c r="AD84" s="1163"/>
      <c r="AE84" s="1241"/>
    </row>
    <row r="85" spans="2:47" s="1" customFormat="1" ht="23.55" customHeight="1" x14ac:dyDescent="0.2">
      <c r="B85" s="24"/>
      <c r="C85" s="521"/>
      <c r="E85" s="1243"/>
      <c r="F85" s="1244"/>
      <c r="G85" s="1244"/>
      <c r="H85" s="1244"/>
      <c r="L85" s="24"/>
      <c r="W85" s="158"/>
      <c r="X85" s="674"/>
      <c r="Y85" s="674"/>
      <c r="Z85" s="1249"/>
      <c r="AA85" s="1250"/>
      <c r="AB85" s="1250"/>
      <c r="AC85" s="1250"/>
      <c r="AD85" s="674"/>
      <c r="AE85" s="159"/>
    </row>
    <row r="86" spans="2:47" s="1" customFormat="1" ht="12" customHeight="1" x14ac:dyDescent="0.2">
      <c r="B86" s="24"/>
      <c r="C86" s="528" t="s">
        <v>186</v>
      </c>
      <c r="F86" s="532" t="s">
        <v>4010</v>
      </c>
      <c r="L86" s="24"/>
      <c r="W86" s="158"/>
      <c r="X86" s="673" t="s">
        <v>186</v>
      </c>
      <c r="Y86" s="674"/>
      <c r="Z86" s="674"/>
      <c r="AA86" s="555" t="s">
        <v>4010</v>
      </c>
      <c r="AB86" s="674"/>
      <c r="AC86" s="674"/>
      <c r="AD86" s="674"/>
      <c r="AE86" s="159"/>
    </row>
    <row r="87" spans="2:47" s="1" customFormat="1" ht="16.5" customHeight="1" x14ac:dyDescent="0.2">
      <c r="B87" s="24"/>
      <c r="C87" s="521"/>
      <c r="E87" s="1251"/>
      <c r="F87" s="1252"/>
      <c r="G87" s="1252"/>
      <c r="H87" s="1252"/>
      <c r="L87" s="24"/>
      <c r="W87" s="158"/>
      <c r="X87" s="674"/>
      <c r="Y87" s="674"/>
      <c r="Z87" s="1245"/>
      <c r="AA87" s="1246"/>
      <c r="AB87" s="1246"/>
      <c r="AC87" s="1246"/>
      <c r="AD87" s="674"/>
      <c r="AE87" s="159"/>
    </row>
    <row r="88" spans="2:47" s="1" customFormat="1" ht="7.05" customHeight="1" x14ac:dyDescent="0.2">
      <c r="B88" s="24"/>
      <c r="C88" s="521"/>
      <c r="L88" s="24"/>
      <c r="W88" s="158"/>
      <c r="X88" s="674"/>
      <c r="Y88" s="674"/>
      <c r="Z88" s="674"/>
      <c r="AA88" s="674"/>
      <c r="AB88" s="674"/>
      <c r="AC88" s="674"/>
      <c r="AD88" s="674"/>
      <c r="AE88" s="159"/>
    </row>
    <row r="89" spans="2:47" s="1" customFormat="1" ht="12" customHeight="1" x14ac:dyDescent="0.2">
      <c r="B89" s="24"/>
      <c r="C89" s="528" t="s">
        <v>15</v>
      </c>
      <c r="F89" s="19" t="str">
        <f>F12</f>
        <v>Kuzmányho nábrežie 28, 960 01 Zvolen</v>
      </c>
      <c r="I89" s="528" t="s">
        <v>17</v>
      </c>
      <c r="J89" s="39" t="str">
        <f>IF(J12="","",J12)</f>
        <v/>
      </c>
      <c r="L89" s="24"/>
      <c r="W89" s="158"/>
      <c r="X89" s="673" t="s">
        <v>15</v>
      </c>
      <c r="Y89" s="674"/>
      <c r="Z89" s="674"/>
      <c r="AA89" s="671" t="str">
        <f>AA12</f>
        <v>Kuzmányho nábrežie 28, 960 01 Zvolen</v>
      </c>
      <c r="AB89" s="674"/>
      <c r="AC89" s="674"/>
      <c r="AD89" s="673" t="s">
        <v>17</v>
      </c>
      <c r="AE89" s="162" t="str">
        <f>IF(AE12="","",AE12)</f>
        <v/>
      </c>
    </row>
    <row r="90" spans="2:47" s="1" customFormat="1" ht="7.05" customHeight="1" x14ac:dyDescent="0.2">
      <c r="B90" s="24"/>
      <c r="C90" s="521"/>
      <c r="I90" s="521"/>
      <c r="L90" s="24"/>
      <c r="W90" s="158"/>
      <c r="X90" s="674"/>
      <c r="Y90" s="674"/>
      <c r="Z90" s="674"/>
      <c r="AA90" s="674"/>
      <c r="AB90" s="674"/>
      <c r="AC90" s="674"/>
      <c r="AD90" s="674"/>
      <c r="AE90" s="159"/>
    </row>
    <row r="91" spans="2:47" s="1" customFormat="1" ht="15.3" customHeight="1" x14ac:dyDescent="0.2">
      <c r="B91" s="24"/>
      <c r="C91" s="528" t="s">
        <v>18</v>
      </c>
      <c r="F91" s="529" t="s">
        <v>6175</v>
      </c>
      <c r="I91" s="528" t="s">
        <v>22</v>
      </c>
      <c r="J91" s="22" t="str">
        <f>E21</f>
        <v xml:space="preserve"> </v>
      </c>
      <c r="L91" s="24"/>
      <c r="W91" s="158"/>
      <c r="X91" s="673" t="s">
        <v>18</v>
      </c>
      <c r="Y91" s="674"/>
      <c r="Z91" s="674"/>
      <c r="AA91" s="576" t="s">
        <v>6175</v>
      </c>
      <c r="AB91" s="674"/>
      <c r="AC91" s="674"/>
      <c r="AD91" s="673" t="s">
        <v>22</v>
      </c>
      <c r="AE91" s="181" t="str">
        <f>Z21</f>
        <v/>
      </c>
    </row>
    <row r="92" spans="2:47" s="1" customFormat="1" ht="15.3" customHeight="1" x14ac:dyDescent="0.2">
      <c r="B92" s="24"/>
      <c r="C92" s="528" t="s">
        <v>21</v>
      </c>
      <c r="F92" s="529" t="s">
        <v>5202</v>
      </c>
      <c r="I92" s="528" t="s">
        <v>24</v>
      </c>
      <c r="J92" s="22" t="str">
        <f>E24</f>
        <v xml:space="preserve"> </v>
      </c>
      <c r="L92" s="24"/>
      <c r="W92" s="158"/>
      <c r="X92" s="673" t="s">
        <v>21</v>
      </c>
      <c r="Y92" s="674"/>
      <c r="Z92" s="674"/>
      <c r="AA92" s="576" t="s">
        <v>5202</v>
      </c>
      <c r="AB92" s="674"/>
      <c r="AC92" s="674"/>
      <c r="AD92" s="673" t="s">
        <v>24</v>
      </c>
      <c r="AE92" s="181" t="str">
        <f>Z24</f>
        <v/>
      </c>
    </row>
    <row r="93" spans="2:47" s="1" customFormat="1" ht="10.199999999999999" customHeight="1" x14ac:dyDescent="0.2">
      <c r="B93" s="24"/>
      <c r="L93" s="24"/>
      <c r="W93" s="158"/>
      <c r="X93" s="674"/>
      <c r="Y93" s="674"/>
      <c r="Z93" s="674"/>
      <c r="AA93" s="674"/>
      <c r="AB93" s="674"/>
      <c r="AC93" s="674"/>
      <c r="AD93" s="674"/>
      <c r="AE93" s="159"/>
    </row>
    <row r="94" spans="2:47" s="1" customFormat="1" ht="29.25" customHeight="1" x14ac:dyDescent="0.2">
      <c r="B94" s="24"/>
      <c r="C94" s="86" t="s">
        <v>189</v>
      </c>
      <c r="D94" s="80"/>
      <c r="E94" s="80"/>
      <c r="F94" s="80"/>
      <c r="G94" s="80"/>
      <c r="H94" s="80"/>
      <c r="I94" s="80"/>
      <c r="J94" s="87" t="s">
        <v>190</v>
      </c>
      <c r="K94" s="80"/>
      <c r="L94" s="24"/>
      <c r="W94" s="158"/>
      <c r="X94" s="182" t="s">
        <v>189</v>
      </c>
      <c r="Y94" s="173"/>
      <c r="Z94" s="173"/>
      <c r="AA94" s="173"/>
      <c r="AB94" s="173"/>
      <c r="AC94" s="173"/>
      <c r="AD94" s="173"/>
      <c r="AE94" s="183" t="s">
        <v>190</v>
      </c>
    </row>
    <row r="95" spans="2:47" s="1" customFormat="1" ht="10.199999999999999" customHeight="1" x14ac:dyDescent="0.2">
      <c r="B95" s="24"/>
      <c r="L95" s="24"/>
      <c r="W95" s="158"/>
      <c r="X95" s="674"/>
      <c r="Y95" s="674"/>
      <c r="Z95" s="674"/>
      <c r="AA95" s="674"/>
      <c r="AB95" s="674"/>
      <c r="AC95" s="674"/>
      <c r="AD95" s="674"/>
      <c r="AE95" s="159"/>
    </row>
    <row r="96" spans="2:47" s="1" customFormat="1" ht="22.95" customHeight="1" x14ac:dyDescent="0.2">
      <c r="B96" s="24"/>
      <c r="C96" s="88" t="s">
        <v>191</v>
      </c>
      <c r="J96" s="53">
        <f>J117</f>
        <v>62136.78</v>
      </c>
      <c r="L96" s="24"/>
      <c r="W96" s="158"/>
      <c r="X96" s="184" t="s">
        <v>191</v>
      </c>
      <c r="Y96" s="674"/>
      <c r="Z96" s="674"/>
      <c r="AA96" s="674"/>
      <c r="AB96" s="674"/>
      <c r="AC96" s="674"/>
      <c r="AD96" s="674"/>
      <c r="AE96" s="168">
        <f>AE117</f>
        <v>62136.78</v>
      </c>
      <c r="AU96" s="13" t="s">
        <v>192</v>
      </c>
    </row>
    <row r="97" spans="2:31" s="8" customFormat="1" ht="25.05" customHeight="1" x14ac:dyDescent="0.2">
      <c r="B97" s="89"/>
      <c r="D97" s="90" t="s">
        <v>4011</v>
      </c>
      <c r="E97" s="91"/>
      <c r="F97" s="91"/>
      <c r="G97" s="91"/>
      <c r="H97" s="91"/>
      <c r="I97" s="91"/>
      <c r="J97" s="92">
        <f>J118</f>
        <v>62136.78</v>
      </c>
      <c r="L97" s="89"/>
      <c r="W97" s="185"/>
      <c r="X97" s="186"/>
      <c r="Y97" s="90" t="s">
        <v>4011</v>
      </c>
      <c r="Z97" s="91"/>
      <c r="AA97" s="91"/>
      <c r="AB97" s="91"/>
      <c r="AC97" s="91"/>
      <c r="AD97" s="91"/>
      <c r="AE97" s="187">
        <f>AE118</f>
        <v>62136.78</v>
      </c>
    </row>
    <row r="98" spans="2:31" s="1" customFormat="1" ht="21.75" customHeight="1" x14ac:dyDescent="0.2">
      <c r="B98" s="24"/>
      <c r="L98" s="24"/>
      <c r="W98" s="158"/>
      <c r="X98" s="674"/>
      <c r="Y98" s="674"/>
      <c r="Z98" s="674"/>
      <c r="AA98" s="674"/>
      <c r="AB98" s="674"/>
      <c r="AC98" s="674"/>
      <c r="AD98" s="674"/>
      <c r="AE98" s="159"/>
    </row>
    <row r="99" spans="2:31" s="1" customFormat="1" ht="7.05" customHeight="1" x14ac:dyDescent="0.2">
      <c r="B99" s="33"/>
      <c r="C99" s="34"/>
      <c r="D99" s="34"/>
      <c r="E99" s="34"/>
      <c r="F99" s="34"/>
      <c r="G99" s="34"/>
      <c r="H99" s="34"/>
      <c r="I99" s="34"/>
      <c r="J99" s="34"/>
      <c r="K99" s="34"/>
      <c r="L99" s="24"/>
      <c r="W99" s="175"/>
      <c r="X99" s="176"/>
      <c r="Y99" s="176"/>
      <c r="Z99" s="176"/>
      <c r="AA99" s="176"/>
      <c r="AB99" s="176"/>
      <c r="AC99" s="176"/>
      <c r="AD99" s="176"/>
      <c r="AE99" s="177"/>
    </row>
    <row r="103" spans="2:31" s="1" customFormat="1" ht="7.05" customHeight="1" x14ac:dyDescent="0.2">
      <c r="B103" s="35"/>
      <c r="C103" s="36"/>
      <c r="D103" s="36"/>
      <c r="E103" s="36"/>
      <c r="F103" s="36"/>
      <c r="G103" s="36"/>
      <c r="H103" s="36"/>
      <c r="I103" s="36"/>
      <c r="J103" s="36"/>
      <c r="K103" s="36"/>
      <c r="L103" s="24"/>
      <c r="W103" s="178"/>
      <c r="X103" s="179"/>
      <c r="Y103" s="179"/>
      <c r="Z103" s="179"/>
      <c r="AA103" s="179"/>
      <c r="AB103" s="179"/>
      <c r="AC103" s="179"/>
      <c r="AD103" s="179"/>
      <c r="AE103" s="180"/>
    </row>
    <row r="104" spans="2:31" s="1" customFormat="1" ht="25.05" customHeight="1" x14ac:dyDescent="0.2">
      <c r="B104" s="24"/>
      <c r="C104" s="1165" t="s">
        <v>214</v>
      </c>
      <c r="D104" s="1165"/>
      <c r="E104" s="1165"/>
      <c r="F104" s="1165"/>
      <c r="G104" s="1165"/>
      <c r="H104" s="1165"/>
      <c r="I104" s="1165"/>
      <c r="J104" s="1165"/>
      <c r="L104" s="24"/>
      <c r="W104" s="158"/>
      <c r="X104" s="1237" t="s">
        <v>214</v>
      </c>
      <c r="Y104" s="1237"/>
      <c r="Z104" s="1237"/>
      <c r="AA104" s="1237"/>
      <c r="AB104" s="1237"/>
      <c r="AC104" s="1237"/>
      <c r="AD104" s="1237"/>
      <c r="AE104" s="1238"/>
    </row>
    <row r="105" spans="2:31" s="1" customFormat="1" ht="7.05" customHeight="1" x14ac:dyDescent="0.2">
      <c r="B105" s="24"/>
      <c r="L105" s="24"/>
      <c r="W105" s="158"/>
      <c r="X105" s="674"/>
      <c r="Y105" s="674"/>
      <c r="Z105" s="674"/>
      <c r="AA105" s="674"/>
      <c r="AB105" s="674"/>
      <c r="AC105" s="674"/>
      <c r="AD105" s="674"/>
      <c r="AE105" s="159"/>
    </row>
    <row r="106" spans="2:31" s="1" customFormat="1" ht="12" customHeight="1" x14ac:dyDescent="0.2">
      <c r="B106" s="24"/>
      <c r="C106" s="528" t="s">
        <v>12</v>
      </c>
      <c r="E106" s="1242" t="s">
        <v>6177</v>
      </c>
      <c r="F106" s="1242"/>
      <c r="G106" s="1242"/>
      <c r="H106" s="1242"/>
      <c r="I106" s="1242"/>
      <c r="J106" s="1242"/>
      <c r="L106" s="24"/>
      <c r="W106" s="158"/>
      <c r="X106" s="673" t="s">
        <v>12</v>
      </c>
      <c r="Y106" s="674"/>
      <c r="Z106" s="1163" t="s">
        <v>6177</v>
      </c>
      <c r="AA106" s="1163"/>
      <c r="AB106" s="1163"/>
      <c r="AC106" s="1163"/>
      <c r="AD106" s="1163"/>
      <c r="AE106" s="1241"/>
    </row>
    <row r="107" spans="2:31" s="1" customFormat="1" ht="23.55" customHeight="1" x14ac:dyDescent="0.2">
      <c r="B107" s="24"/>
      <c r="C107" s="521"/>
      <c r="E107" s="1243"/>
      <c r="F107" s="1244"/>
      <c r="G107" s="1244"/>
      <c r="H107" s="1244"/>
      <c r="L107" s="24"/>
      <c r="W107" s="158"/>
      <c r="X107" s="674"/>
      <c r="Y107" s="674"/>
      <c r="Z107" s="1249"/>
      <c r="AA107" s="1250"/>
      <c r="AB107" s="1250"/>
      <c r="AC107" s="1250"/>
      <c r="AD107" s="674"/>
      <c r="AE107" s="159"/>
    </row>
    <row r="108" spans="2:31" s="1" customFormat="1" ht="12" customHeight="1" x14ac:dyDescent="0.2">
      <c r="B108" s="24"/>
      <c r="C108" s="528" t="s">
        <v>186</v>
      </c>
      <c r="F108" s="532" t="s">
        <v>4010</v>
      </c>
      <c r="L108" s="24"/>
      <c r="W108" s="158"/>
      <c r="X108" s="673" t="s">
        <v>186</v>
      </c>
      <c r="Y108" s="674"/>
      <c r="Z108" s="674"/>
      <c r="AA108" s="555" t="s">
        <v>4010</v>
      </c>
      <c r="AB108" s="674"/>
      <c r="AC108" s="674"/>
      <c r="AD108" s="674"/>
      <c r="AE108" s="159"/>
    </row>
    <row r="109" spans="2:31" s="1" customFormat="1" ht="16.5" customHeight="1" x14ac:dyDescent="0.2">
      <c r="B109" s="24"/>
      <c r="C109" s="521"/>
      <c r="E109" s="1251"/>
      <c r="F109" s="1252"/>
      <c r="G109" s="1252"/>
      <c r="H109" s="1252"/>
      <c r="L109" s="24"/>
      <c r="W109" s="158"/>
      <c r="X109" s="674"/>
      <c r="Y109" s="674"/>
      <c r="Z109" s="1245"/>
      <c r="AA109" s="1246"/>
      <c r="AB109" s="1246"/>
      <c r="AC109" s="1246"/>
      <c r="AD109" s="674"/>
      <c r="AE109" s="159"/>
    </row>
    <row r="110" spans="2:31" s="1" customFormat="1" ht="7.05" customHeight="1" x14ac:dyDescent="0.2">
      <c r="B110" s="24"/>
      <c r="C110" s="521"/>
      <c r="L110" s="24"/>
      <c r="W110" s="158"/>
      <c r="X110" s="674"/>
      <c r="Y110" s="674"/>
      <c r="Z110" s="674"/>
      <c r="AA110" s="674"/>
      <c r="AB110" s="674"/>
      <c r="AC110" s="674"/>
      <c r="AD110" s="674"/>
      <c r="AE110" s="159"/>
    </row>
    <row r="111" spans="2:31" s="1" customFormat="1" ht="12" customHeight="1" x14ac:dyDescent="0.2">
      <c r="B111" s="24"/>
      <c r="C111" s="528" t="s">
        <v>15</v>
      </c>
      <c r="F111" s="19" t="str">
        <f>F12</f>
        <v>Kuzmányho nábrežie 28, 960 01 Zvolen</v>
      </c>
      <c r="I111" s="528" t="s">
        <v>17</v>
      </c>
      <c r="J111" s="39" t="str">
        <f>IF(J12="","",J12)</f>
        <v/>
      </c>
      <c r="L111" s="24"/>
      <c r="W111" s="158"/>
      <c r="X111" s="673" t="s">
        <v>15</v>
      </c>
      <c r="Y111" s="674"/>
      <c r="Z111" s="674"/>
      <c r="AA111" s="671" t="str">
        <f>AA12</f>
        <v>Kuzmányho nábrežie 28, 960 01 Zvolen</v>
      </c>
      <c r="AB111" s="674"/>
      <c r="AC111" s="674"/>
      <c r="AD111" s="673" t="s">
        <v>17</v>
      </c>
      <c r="AE111" s="162" t="str">
        <f>IF(AE12="","",AE12)</f>
        <v/>
      </c>
    </row>
    <row r="112" spans="2:31" s="1" customFormat="1" ht="7.05" customHeight="1" x14ac:dyDescent="0.2">
      <c r="B112" s="24"/>
      <c r="C112" s="521"/>
      <c r="I112" s="521"/>
      <c r="L112" s="24"/>
      <c r="W112" s="158"/>
      <c r="X112" s="674"/>
      <c r="Y112" s="674"/>
      <c r="Z112" s="674"/>
      <c r="AA112" s="674"/>
      <c r="AB112" s="674"/>
      <c r="AC112" s="674"/>
      <c r="AD112" s="674"/>
      <c r="AE112" s="159"/>
    </row>
    <row r="113" spans="2:65" s="1" customFormat="1" ht="15.3" customHeight="1" x14ac:dyDescent="0.2">
      <c r="B113" s="24"/>
      <c r="C113" s="528" t="s">
        <v>18</v>
      </c>
      <c r="F113" s="529" t="s">
        <v>6175</v>
      </c>
      <c r="I113" s="528" t="s">
        <v>22</v>
      </c>
      <c r="J113" s="22" t="str">
        <f>E21</f>
        <v xml:space="preserve"> </v>
      </c>
      <c r="L113" s="24"/>
      <c r="W113" s="158"/>
      <c r="X113" s="673" t="s">
        <v>18</v>
      </c>
      <c r="Y113" s="674"/>
      <c r="Z113" s="674"/>
      <c r="AA113" s="576" t="s">
        <v>6175</v>
      </c>
      <c r="AB113" s="674"/>
      <c r="AC113" s="674"/>
      <c r="AD113" s="673" t="s">
        <v>22</v>
      </c>
      <c r="AE113" s="181" t="str">
        <f>Z21</f>
        <v/>
      </c>
    </row>
    <row r="114" spans="2:65" s="1" customFormat="1" ht="15.3" customHeight="1" x14ac:dyDescent="0.2">
      <c r="B114" s="24"/>
      <c r="C114" s="528" t="s">
        <v>21</v>
      </c>
      <c r="F114" s="529" t="s">
        <v>5202</v>
      </c>
      <c r="I114" s="528" t="s">
        <v>24</v>
      </c>
      <c r="J114" s="22" t="str">
        <f>E24</f>
        <v xml:space="preserve"> </v>
      </c>
      <c r="L114" s="24"/>
      <c r="W114" s="158"/>
      <c r="X114" s="673" t="s">
        <v>21</v>
      </c>
      <c r="Y114" s="674"/>
      <c r="Z114" s="674"/>
      <c r="AA114" s="576" t="s">
        <v>5202</v>
      </c>
      <c r="AB114" s="674"/>
      <c r="AC114" s="674"/>
      <c r="AD114" s="673" t="s">
        <v>24</v>
      </c>
      <c r="AE114" s="181" t="str">
        <f>Z24</f>
        <v/>
      </c>
    </row>
    <row r="115" spans="2:65" s="1" customFormat="1" ht="10.199999999999999" customHeight="1" x14ac:dyDescent="0.2">
      <c r="B115" s="24"/>
      <c r="L115" s="24"/>
      <c r="W115" s="158"/>
      <c r="X115" s="674"/>
      <c r="Y115" s="674"/>
      <c r="Z115" s="674"/>
      <c r="AA115" s="674"/>
      <c r="AB115" s="674"/>
      <c r="AC115" s="674"/>
      <c r="AD115" s="674"/>
      <c r="AE115" s="159"/>
    </row>
    <row r="116" spans="2:65" s="10" customFormat="1" ht="29.25" customHeight="1" x14ac:dyDescent="0.2">
      <c r="B116" s="97"/>
      <c r="C116" s="98" t="s">
        <v>215</v>
      </c>
      <c r="D116" s="99" t="s">
        <v>43</v>
      </c>
      <c r="E116" s="99" t="s">
        <v>41</v>
      </c>
      <c r="F116" s="99" t="s">
        <v>42</v>
      </c>
      <c r="G116" s="99" t="s">
        <v>216</v>
      </c>
      <c r="H116" s="99" t="s">
        <v>217</v>
      </c>
      <c r="I116" s="99" t="s">
        <v>218</v>
      </c>
      <c r="J116" s="100" t="s">
        <v>190</v>
      </c>
      <c r="K116" s="101" t="s">
        <v>219</v>
      </c>
      <c r="L116" s="97"/>
      <c r="M116" s="46" t="s">
        <v>1</v>
      </c>
      <c r="N116" s="47" t="s">
        <v>30</v>
      </c>
      <c r="O116" s="47" t="s">
        <v>220</v>
      </c>
      <c r="P116" s="47" t="s">
        <v>221</v>
      </c>
      <c r="Q116" s="47" t="s">
        <v>222</v>
      </c>
      <c r="R116" s="47" t="s">
        <v>223</v>
      </c>
      <c r="S116" s="47" t="s">
        <v>224</v>
      </c>
      <c r="T116" s="48" t="s">
        <v>225</v>
      </c>
      <c r="W116" s="191"/>
      <c r="X116" s="98" t="s">
        <v>215</v>
      </c>
      <c r="Y116" s="99" t="s">
        <v>43</v>
      </c>
      <c r="Z116" s="99" t="s">
        <v>41</v>
      </c>
      <c r="AA116" s="99" t="s">
        <v>42</v>
      </c>
      <c r="AB116" s="99" t="s">
        <v>216</v>
      </c>
      <c r="AC116" s="99" t="s">
        <v>217</v>
      </c>
      <c r="AD116" s="99" t="s">
        <v>218</v>
      </c>
      <c r="AE116" s="192" t="s">
        <v>190</v>
      </c>
      <c r="AF116" s="228" t="s">
        <v>5220</v>
      </c>
    </row>
    <row r="117" spans="2:65" s="1" customFormat="1" ht="22.95" customHeight="1" x14ac:dyDescent="0.3">
      <c r="B117" s="24"/>
      <c r="C117" s="51" t="s">
        <v>191</v>
      </c>
      <c r="J117" s="102">
        <f>BK117</f>
        <v>62136.78</v>
      </c>
      <c r="L117" s="24"/>
      <c r="M117" s="49"/>
      <c r="N117" s="40"/>
      <c r="O117" s="40"/>
      <c r="P117" s="103">
        <f>P118</f>
        <v>0</v>
      </c>
      <c r="Q117" s="40"/>
      <c r="R117" s="103">
        <f>R118</f>
        <v>0</v>
      </c>
      <c r="S117" s="40"/>
      <c r="T117" s="104">
        <f>T118</f>
        <v>0</v>
      </c>
      <c r="W117" s="158"/>
      <c r="X117" s="193" t="s">
        <v>191</v>
      </c>
      <c r="Y117" s="674"/>
      <c r="Z117" s="674"/>
      <c r="AA117" s="674"/>
      <c r="AB117" s="674"/>
      <c r="AC117" s="674"/>
      <c r="AD117" s="674"/>
      <c r="AE117" s="194">
        <f>AE118</f>
        <v>62136.78</v>
      </c>
      <c r="AT117" s="13" t="s">
        <v>57</v>
      </c>
      <c r="AU117" s="13" t="s">
        <v>192</v>
      </c>
      <c r="BK117" s="105">
        <f>BK118</f>
        <v>62136.78</v>
      </c>
    </row>
    <row r="118" spans="2:65" s="11" customFormat="1" ht="25.95" customHeight="1" x14ac:dyDescent="0.25">
      <c r="B118" s="106"/>
      <c r="D118" s="107" t="s">
        <v>57</v>
      </c>
      <c r="E118" s="108" t="s">
        <v>4012</v>
      </c>
      <c r="F118" s="108" t="s">
        <v>2597</v>
      </c>
      <c r="J118" s="109">
        <f>BK118</f>
        <v>62136.78</v>
      </c>
      <c r="L118" s="106"/>
      <c r="M118" s="110"/>
      <c r="N118" s="111"/>
      <c r="O118" s="111"/>
      <c r="P118" s="112">
        <f>SUM(P119:P120)</f>
        <v>0</v>
      </c>
      <c r="Q118" s="111"/>
      <c r="R118" s="112">
        <f>SUM(R119:R120)</f>
        <v>0</v>
      </c>
      <c r="S118" s="111"/>
      <c r="T118" s="113">
        <f>SUM(T119:T120)</f>
        <v>0</v>
      </c>
      <c r="W118" s="195"/>
      <c r="X118" s="111"/>
      <c r="Y118" s="196" t="s">
        <v>57</v>
      </c>
      <c r="Z118" s="197" t="s">
        <v>4012</v>
      </c>
      <c r="AA118" s="197" t="s">
        <v>2597</v>
      </c>
      <c r="AB118" s="111"/>
      <c r="AC118" s="111"/>
      <c r="AD118" s="111"/>
      <c r="AE118" s="198">
        <f>SUM(AE119:AE120)</f>
        <v>62136.78</v>
      </c>
      <c r="AR118" s="107" t="s">
        <v>63</v>
      </c>
      <c r="AT118" s="114" t="s">
        <v>57</v>
      </c>
      <c r="AU118" s="114" t="s">
        <v>58</v>
      </c>
      <c r="AY118" s="107" t="s">
        <v>228</v>
      </c>
      <c r="BK118" s="115">
        <f>SUM(BK119:BK120)</f>
        <v>62136.78</v>
      </c>
    </row>
    <row r="119" spans="2:65" s="1" customFormat="1" ht="16.5" customHeight="1" x14ac:dyDescent="0.2">
      <c r="B119" s="118"/>
      <c r="C119" s="119" t="s">
        <v>63</v>
      </c>
      <c r="D119" s="119" t="s">
        <v>231</v>
      </c>
      <c r="E119" s="120" t="s">
        <v>2598</v>
      </c>
      <c r="F119" s="121" t="s">
        <v>2599</v>
      </c>
      <c r="G119" s="122" t="s">
        <v>1194</v>
      </c>
      <c r="H119" s="123">
        <v>6</v>
      </c>
      <c r="I119" s="124">
        <v>10356.129999999999</v>
      </c>
      <c r="J119" s="124">
        <f>ROUND(I119*H119,2)</f>
        <v>62136.78</v>
      </c>
      <c r="K119" s="121" t="s">
        <v>1</v>
      </c>
      <c r="L119" s="24"/>
      <c r="M119" s="125" t="s">
        <v>1</v>
      </c>
      <c r="N119" s="126" t="s">
        <v>32</v>
      </c>
      <c r="O119" s="127">
        <v>0</v>
      </c>
      <c r="P119" s="127">
        <f>O119*H119</f>
        <v>0</v>
      </c>
      <c r="Q119" s="127">
        <v>0</v>
      </c>
      <c r="R119" s="127">
        <f>Q119*H119</f>
        <v>0</v>
      </c>
      <c r="S119" s="127">
        <v>0</v>
      </c>
      <c r="T119" s="128">
        <f>S119*H119</f>
        <v>0</v>
      </c>
      <c r="W119" s="199"/>
      <c r="X119" s="119" t="s">
        <v>63</v>
      </c>
      <c r="Y119" s="119" t="s">
        <v>231</v>
      </c>
      <c r="Z119" s="120" t="s">
        <v>2598</v>
      </c>
      <c r="AA119" s="121" t="s">
        <v>2599</v>
      </c>
      <c r="AB119" s="122" t="s">
        <v>1194</v>
      </c>
      <c r="AC119" s="123">
        <v>6</v>
      </c>
      <c r="AD119" s="124">
        <v>10356.129999999999</v>
      </c>
      <c r="AE119" s="200">
        <f>ROUND(AD119*AC119,2)</f>
        <v>62136.78</v>
      </c>
      <c r="AF119" s="227"/>
      <c r="AR119" s="129" t="s">
        <v>235</v>
      </c>
      <c r="AT119" s="129" t="s">
        <v>231</v>
      </c>
      <c r="AU119" s="129" t="s">
        <v>63</v>
      </c>
      <c r="AY119" s="13" t="s">
        <v>228</v>
      </c>
      <c r="BE119" s="130">
        <f>IF(N119="základná",J119,0)</f>
        <v>0</v>
      </c>
      <c r="BF119" s="130">
        <f>IF(N119="znížená",J119,0)</f>
        <v>62136.78</v>
      </c>
      <c r="BG119" s="130">
        <f>IF(N119="zákl. prenesená",J119,0)</f>
        <v>0</v>
      </c>
      <c r="BH119" s="130">
        <f>IF(N119="zníž. prenesená",J119,0)</f>
        <v>0</v>
      </c>
      <c r="BI119" s="130">
        <f>IF(N119="nulová",J119,0)</f>
        <v>0</v>
      </c>
      <c r="BJ119" s="13" t="s">
        <v>76</v>
      </c>
      <c r="BK119" s="130">
        <f>ROUND(I119*H119,2)</f>
        <v>62136.78</v>
      </c>
      <c r="BL119" s="13" t="s">
        <v>235</v>
      </c>
      <c r="BM119" s="129" t="s">
        <v>76</v>
      </c>
    </row>
    <row r="120" spans="2:65" s="1" customFormat="1" ht="28.8" x14ac:dyDescent="0.2">
      <c r="B120" s="24"/>
      <c r="D120" s="144" t="s">
        <v>1259</v>
      </c>
      <c r="F120" s="145" t="s">
        <v>4013</v>
      </c>
      <c r="L120" s="24"/>
      <c r="M120" s="147"/>
      <c r="N120" s="148"/>
      <c r="O120" s="148"/>
      <c r="P120" s="148"/>
      <c r="Q120" s="148"/>
      <c r="R120" s="148"/>
      <c r="S120" s="148"/>
      <c r="T120" s="149"/>
      <c r="W120" s="158"/>
      <c r="X120" s="674"/>
      <c r="Y120" s="203" t="s">
        <v>1259</v>
      </c>
      <c r="Z120" s="674"/>
      <c r="AA120" s="204" t="s">
        <v>4013</v>
      </c>
      <c r="AB120" s="674"/>
      <c r="AC120" s="674"/>
      <c r="AD120" s="674"/>
      <c r="AE120" s="159"/>
      <c r="AT120" s="13" t="s">
        <v>1259</v>
      </c>
      <c r="AU120" s="13" t="s">
        <v>63</v>
      </c>
    </row>
    <row r="121" spans="2:65" s="1" customFormat="1" ht="7.05" customHeight="1" x14ac:dyDescent="0.2">
      <c r="B121" s="33"/>
      <c r="C121" s="34"/>
      <c r="D121" s="34"/>
      <c r="E121" s="34"/>
      <c r="F121" s="34"/>
      <c r="G121" s="34"/>
      <c r="H121" s="34"/>
      <c r="I121" s="34"/>
      <c r="J121" s="34"/>
      <c r="K121" s="34"/>
      <c r="L121" s="24"/>
      <c r="W121" s="175"/>
      <c r="X121" s="176"/>
      <c r="Y121" s="176"/>
      <c r="Z121" s="176"/>
      <c r="AA121" s="176"/>
      <c r="AB121" s="176"/>
      <c r="AC121" s="176"/>
      <c r="AD121" s="176"/>
      <c r="AE121" s="177"/>
    </row>
  </sheetData>
  <autoFilter ref="C116:K120" xr:uid="{00000000-0009-0000-0000-000017000000}"/>
  <mergeCells count="27">
    <mergeCell ref="L2:V2"/>
    <mergeCell ref="E9:H9"/>
    <mergeCell ref="E18:H18"/>
    <mergeCell ref="E27:H27"/>
    <mergeCell ref="E85:H85"/>
    <mergeCell ref="C4:J4"/>
    <mergeCell ref="F6:J7"/>
    <mergeCell ref="C82:J82"/>
    <mergeCell ref="E84:J84"/>
    <mergeCell ref="X4:AE4"/>
    <mergeCell ref="AA6:AE7"/>
    <mergeCell ref="Z9:AC9"/>
    <mergeCell ref="Z18:AC18"/>
    <mergeCell ref="Z27:AC27"/>
    <mergeCell ref="Z106:AE106"/>
    <mergeCell ref="Z107:AC107"/>
    <mergeCell ref="Z109:AC109"/>
    <mergeCell ref="X82:AE82"/>
    <mergeCell ref="Z84:AE84"/>
    <mergeCell ref="Z85:AC85"/>
    <mergeCell ref="Z87:AC87"/>
    <mergeCell ref="X104:AE104"/>
    <mergeCell ref="E87:H87"/>
    <mergeCell ref="E107:H107"/>
    <mergeCell ref="E109:H109"/>
    <mergeCell ref="C104:J104"/>
    <mergeCell ref="E106:J106"/>
  </mergeCells>
  <pageMargins left="0.39374999999999999" right="0.39374999999999999" top="0.39374999999999999" bottom="0.39374999999999999" header="0" footer="0"/>
  <pageSetup paperSize="9" scale="89" fitToHeight="100" orientation="portrait" blackAndWhite="1" r:id="rId1"/>
  <headerFooter>
    <oddFooter>&amp;CStrana &amp;P z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BM166"/>
  <sheetViews>
    <sheetView showGridLines="0" topLeftCell="A123" zoomScale="80" zoomScaleNormal="80" workbookViewId="0">
      <selection activeCell="F91" sqref="F91:F92"/>
    </sheetView>
  </sheetViews>
  <sheetFormatPr defaultColWidth="8.7109375" defaultRowHeight="10.199999999999999" x14ac:dyDescent="0.2"/>
  <cols>
    <col min="1" max="1" width="8.28515625" customWidth="1"/>
    <col min="2" max="2" width="1.7109375" customWidth="1"/>
    <col min="3" max="4" width="4.28515625" customWidth="1"/>
    <col min="5" max="5" width="17.28515625" customWidth="1"/>
    <col min="6" max="6" width="50.7109375" customWidth="1"/>
    <col min="7" max="7" width="7" customWidth="1"/>
    <col min="8" max="8" width="11.42578125" customWidth="1"/>
    <col min="9" max="10" width="20.28515625" customWidth="1"/>
    <col min="11" max="11" width="20.28515625" hidden="1" customWidth="1"/>
    <col min="12" max="12" width="9.28515625" customWidth="1"/>
    <col min="13" max="13" width="10.7109375" hidden="1" customWidth="1"/>
    <col min="14" max="14" width="9.28515625" hidden="1"/>
    <col min="15" max="20" width="14.28515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1" spans="1:46" x14ac:dyDescent="0.2">
      <c r="A1" s="73"/>
    </row>
    <row r="2" spans="1:46" ht="37.049999999999997" customHeight="1" x14ac:dyDescent="0.2">
      <c r="L2" s="1227" t="s">
        <v>5</v>
      </c>
      <c r="M2" s="1225"/>
      <c r="N2" s="1225"/>
      <c r="O2" s="1225"/>
      <c r="P2" s="1225"/>
      <c r="Q2" s="1225"/>
      <c r="R2" s="1225"/>
      <c r="S2" s="1225"/>
      <c r="T2" s="1225"/>
      <c r="U2" s="1225"/>
      <c r="V2" s="1225"/>
      <c r="AT2" s="13" t="s">
        <v>132</v>
      </c>
    </row>
    <row r="3" spans="1:46" ht="7.05" customHeight="1" x14ac:dyDescent="0.2">
      <c r="B3" s="14"/>
      <c r="C3" s="15"/>
      <c r="D3" s="15"/>
      <c r="E3" s="15"/>
      <c r="F3" s="15"/>
      <c r="G3" s="15"/>
      <c r="H3" s="15"/>
      <c r="I3" s="15"/>
      <c r="J3" s="15"/>
      <c r="K3" s="15"/>
      <c r="L3" s="16"/>
      <c r="AT3" s="13" t="s">
        <v>58</v>
      </c>
    </row>
    <row r="4" spans="1:46" ht="25.05" customHeight="1" x14ac:dyDescent="0.2">
      <c r="B4" s="16"/>
      <c r="C4" s="1165" t="s">
        <v>185</v>
      </c>
      <c r="D4" s="1165"/>
      <c r="E4" s="1165"/>
      <c r="F4" s="1165"/>
      <c r="G4" s="1165"/>
      <c r="H4" s="1165"/>
      <c r="I4" s="1165"/>
      <c r="J4" s="1165"/>
      <c r="L4" s="16"/>
      <c r="M4" s="74" t="s">
        <v>9</v>
      </c>
      <c r="AT4" s="13" t="s">
        <v>3</v>
      </c>
    </row>
    <row r="5" spans="1:46" ht="7.05" customHeight="1" x14ac:dyDescent="0.2">
      <c r="B5" s="16"/>
      <c r="L5" s="16"/>
    </row>
    <row r="6" spans="1:46" ht="12" customHeight="1" x14ac:dyDescent="0.2">
      <c r="B6" s="16"/>
      <c r="D6" s="548" t="s">
        <v>12</v>
      </c>
      <c r="F6" s="1254" t="s">
        <v>6176</v>
      </c>
      <c r="G6" s="1254"/>
      <c r="H6" s="1254"/>
      <c r="I6" s="1254"/>
      <c r="J6" s="1254"/>
      <c r="L6" s="16"/>
    </row>
    <row r="7" spans="1:46" ht="25.95" customHeight="1" x14ac:dyDescent="0.2">
      <c r="B7" s="16"/>
      <c r="D7" s="527"/>
      <c r="E7" s="531"/>
      <c r="F7" s="1254"/>
      <c r="G7" s="1254"/>
      <c r="H7" s="1254"/>
      <c r="I7" s="1254"/>
      <c r="J7" s="1254"/>
      <c r="L7" s="16"/>
    </row>
    <row r="8" spans="1:46" s="1" customFormat="1" ht="12" customHeight="1" x14ac:dyDescent="0.2">
      <c r="B8" s="24"/>
      <c r="D8" s="549" t="s">
        <v>186</v>
      </c>
      <c r="F8" s="532" t="s">
        <v>4014</v>
      </c>
      <c r="L8" s="24"/>
    </row>
    <row r="9" spans="1:46" s="1" customFormat="1" ht="37.049999999999997" customHeight="1" x14ac:dyDescent="0.2">
      <c r="B9" s="24"/>
      <c r="D9" s="521"/>
      <c r="E9" s="1251"/>
      <c r="F9" s="1252"/>
      <c r="G9" s="1252"/>
      <c r="H9" s="1252"/>
      <c r="L9" s="24"/>
    </row>
    <row r="10" spans="1:46" s="1" customFormat="1" x14ac:dyDescent="0.2">
      <c r="B10" s="24"/>
      <c r="D10" s="521"/>
      <c r="L10" s="24"/>
    </row>
    <row r="11" spans="1:46" s="1" customFormat="1" ht="12" customHeight="1" x14ac:dyDescent="0.2">
      <c r="B11" s="24"/>
      <c r="D11" s="528" t="s">
        <v>13</v>
      </c>
      <c r="F11" s="19" t="s">
        <v>1</v>
      </c>
      <c r="I11" s="528" t="s">
        <v>14</v>
      </c>
      <c r="J11" s="19" t="s">
        <v>1</v>
      </c>
      <c r="L11" s="24"/>
    </row>
    <row r="12" spans="1:46" s="1" customFormat="1" ht="12" customHeight="1" x14ac:dyDescent="0.2">
      <c r="B12" s="24"/>
      <c r="D12" s="528" t="s">
        <v>15</v>
      </c>
      <c r="F12" s="520" t="s">
        <v>6173</v>
      </c>
      <c r="I12" s="528" t="s">
        <v>17</v>
      </c>
      <c r="J12" s="39"/>
      <c r="L12" s="24"/>
    </row>
    <row r="13" spans="1:46" s="1" customFormat="1" ht="10.95" customHeight="1" x14ac:dyDescent="0.2">
      <c r="B13" s="24"/>
      <c r="D13" s="521"/>
      <c r="F13" s="521"/>
      <c r="I13" s="521"/>
      <c r="L13" s="24"/>
    </row>
    <row r="14" spans="1:46" s="1" customFormat="1" ht="12" customHeight="1" x14ac:dyDescent="0.2">
      <c r="B14" s="24"/>
      <c r="D14" s="528" t="s">
        <v>18</v>
      </c>
      <c r="F14" s="529" t="s">
        <v>6175</v>
      </c>
      <c r="I14" s="528" t="s">
        <v>19</v>
      </c>
      <c r="J14" s="19" t="str">
        <f>IF('Rekapitulácia stavby'!AN10="","",'Rekapitulácia stavby'!AN10)</f>
        <v/>
      </c>
      <c r="L14" s="24"/>
    </row>
    <row r="15" spans="1:46" s="1" customFormat="1" ht="18" customHeight="1" x14ac:dyDescent="0.2">
      <c r="B15" s="24"/>
      <c r="D15" s="521"/>
      <c r="E15" s="19" t="str">
        <f>IF('Rekapitulácia stavby'!E11="","",'Rekapitulácia stavby'!E11)</f>
        <v/>
      </c>
      <c r="F15" s="521"/>
      <c r="I15" s="528" t="s">
        <v>20</v>
      </c>
      <c r="J15" s="19" t="str">
        <f>IF('Rekapitulácia stavby'!AN11="","",'Rekapitulácia stavby'!AN11)</f>
        <v/>
      </c>
      <c r="L15" s="24"/>
    </row>
    <row r="16" spans="1:46" s="1" customFormat="1" ht="7.05" customHeight="1" x14ac:dyDescent="0.2">
      <c r="B16" s="24"/>
      <c r="D16" s="521"/>
      <c r="F16" s="521"/>
      <c r="I16" s="521"/>
      <c r="L16" s="24"/>
    </row>
    <row r="17" spans="2:12" s="1" customFormat="1" ht="12" customHeight="1" x14ac:dyDescent="0.2">
      <c r="B17" s="24"/>
      <c r="D17" s="528" t="s">
        <v>21</v>
      </c>
      <c r="F17" s="529" t="s">
        <v>5202</v>
      </c>
      <c r="I17" s="528" t="s">
        <v>19</v>
      </c>
      <c r="J17" s="19"/>
      <c r="L17" s="24"/>
    </row>
    <row r="18" spans="2:12" s="1" customFormat="1" ht="18" customHeight="1" x14ac:dyDescent="0.2">
      <c r="B18" s="24"/>
      <c r="D18" s="521"/>
      <c r="E18" s="1161"/>
      <c r="F18" s="1161"/>
      <c r="G18" s="1161"/>
      <c r="H18" s="1161"/>
      <c r="I18" s="528" t="s">
        <v>20</v>
      </c>
      <c r="J18" s="19" t="str">
        <f>'Rekapitulácia stavby'!AN14</f>
        <v/>
      </c>
      <c r="L18" s="24"/>
    </row>
    <row r="19" spans="2:12" s="1" customFormat="1" ht="7.05" customHeight="1" x14ac:dyDescent="0.2">
      <c r="B19" s="24"/>
      <c r="D19" s="521"/>
      <c r="I19" s="521"/>
      <c r="L19" s="24"/>
    </row>
    <row r="20" spans="2:12" s="1" customFormat="1" ht="12" customHeight="1" x14ac:dyDescent="0.2">
      <c r="B20" s="24"/>
      <c r="D20" s="528" t="s">
        <v>22</v>
      </c>
      <c r="I20" s="528" t="s">
        <v>19</v>
      </c>
      <c r="J20" s="19" t="str">
        <f>IF('Rekapitulácia stavby'!AN16="","",'Rekapitulácia stavby'!AN16)</f>
        <v/>
      </c>
      <c r="L20" s="24"/>
    </row>
    <row r="21" spans="2:12" s="1" customFormat="1" ht="18" customHeight="1" x14ac:dyDescent="0.2">
      <c r="B21" s="24"/>
      <c r="D21" s="521"/>
      <c r="E21" s="19" t="str">
        <f>IF('Rekapitulácia stavby'!E17="","",'Rekapitulácia stavby'!E17)</f>
        <v xml:space="preserve"> </v>
      </c>
      <c r="I21" s="528" t="s">
        <v>20</v>
      </c>
      <c r="J21" s="19" t="str">
        <f>IF('Rekapitulácia stavby'!AN17="","",'Rekapitulácia stavby'!AN17)</f>
        <v/>
      </c>
      <c r="L21" s="24"/>
    </row>
    <row r="22" spans="2:12" s="1" customFormat="1" ht="7.05" customHeight="1" x14ac:dyDescent="0.2">
      <c r="B22" s="24"/>
      <c r="D22" s="521"/>
      <c r="I22" s="521"/>
      <c r="L22" s="24"/>
    </row>
    <row r="23" spans="2:12" s="1" customFormat="1" ht="12" customHeight="1" x14ac:dyDescent="0.2">
      <c r="B23" s="24"/>
      <c r="D23" s="528" t="s">
        <v>24</v>
      </c>
      <c r="I23" s="528" t="s">
        <v>19</v>
      </c>
      <c r="J23" s="19" t="str">
        <f>IF('Rekapitulácia stavby'!AN19="","",'Rekapitulácia stavby'!AN19)</f>
        <v/>
      </c>
      <c r="L23" s="24"/>
    </row>
    <row r="24" spans="2:12" s="1" customFormat="1" ht="18" customHeight="1" x14ac:dyDescent="0.2">
      <c r="B24" s="24"/>
      <c r="D24" s="521"/>
      <c r="E24" s="19" t="str">
        <f>IF('Rekapitulácia stavby'!E20="","",'Rekapitulácia stavby'!E20)</f>
        <v xml:space="preserve"> </v>
      </c>
      <c r="I24" s="528" t="s">
        <v>20</v>
      </c>
      <c r="J24" s="19" t="str">
        <f>IF('Rekapitulácia stavby'!AN20="","",'Rekapitulácia stavby'!AN20)</f>
        <v/>
      </c>
      <c r="L24" s="24"/>
    </row>
    <row r="25" spans="2:12" s="1" customFormat="1" ht="7.05" customHeight="1" x14ac:dyDescent="0.2">
      <c r="B25" s="24"/>
      <c r="D25" s="521"/>
      <c r="L25" s="24"/>
    </row>
    <row r="26" spans="2:12" s="1" customFormat="1" ht="12" customHeight="1" x14ac:dyDescent="0.2">
      <c r="B26" s="24"/>
      <c r="D26" s="528" t="s">
        <v>25</v>
      </c>
      <c r="L26" s="24"/>
    </row>
    <row r="27" spans="2:12" s="7" customFormat="1" ht="16.5" customHeight="1" x14ac:dyDescent="0.2">
      <c r="B27" s="75"/>
      <c r="E27" s="1228" t="s">
        <v>1</v>
      </c>
      <c r="F27" s="1228"/>
      <c r="G27" s="1228"/>
      <c r="H27" s="1228"/>
      <c r="L27" s="75"/>
    </row>
    <row r="28" spans="2:12" s="1" customFormat="1" ht="7.05" customHeight="1" x14ac:dyDescent="0.2">
      <c r="B28" s="24"/>
      <c r="L28" s="24"/>
    </row>
    <row r="29" spans="2:12" s="1" customFormat="1" ht="7.05" customHeight="1" x14ac:dyDescent="0.2">
      <c r="B29" s="24"/>
      <c r="D29" s="40"/>
      <c r="E29" s="40"/>
      <c r="F29" s="40"/>
      <c r="G29" s="40"/>
      <c r="H29" s="40"/>
      <c r="I29" s="40"/>
      <c r="J29" s="40"/>
      <c r="K29" s="40"/>
      <c r="L29" s="24"/>
    </row>
    <row r="30" spans="2:12" s="1" customFormat="1" ht="25.2" customHeight="1" x14ac:dyDescent="0.2">
      <c r="B30" s="24"/>
      <c r="D30" s="76" t="s">
        <v>26</v>
      </c>
      <c r="J30" s="53">
        <f>ROUND(J119, 2)</f>
        <v>57157.11</v>
      </c>
      <c r="L30" s="24"/>
    </row>
    <row r="31" spans="2:12" s="1" customFormat="1" ht="7.05" customHeight="1" x14ac:dyDescent="0.2">
      <c r="B31" s="24"/>
      <c r="D31" s="40"/>
      <c r="E31" s="40"/>
      <c r="F31" s="40"/>
      <c r="G31" s="40"/>
      <c r="H31" s="40"/>
      <c r="I31" s="40"/>
      <c r="J31" s="40"/>
      <c r="K31" s="40"/>
      <c r="L31" s="24"/>
    </row>
    <row r="32" spans="2:12" s="1" customFormat="1" ht="14.55" customHeight="1" x14ac:dyDescent="0.2">
      <c r="B32" s="24"/>
      <c r="D32" s="521"/>
      <c r="E32" s="521"/>
      <c r="F32" s="534" t="s">
        <v>28</v>
      </c>
      <c r="G32" s="521"/>
      <c r="H32" s="521"/>
      <c r="I32" s="534" t="s">
        <v>27</v>
      </c>
      <c r="J32" s="534" t="s">
        <v>29</v>
      </c>
      <c r="L32" s="24"/>
    </row>
    <row r="33" spans="2:12" s="1" customFormat="1" ht="14.55" customHeight="1" x14ac:dyDescent="0.2">
      <c r="B33" s="24"/>
      <c r="D33" s="13" t="s">
        <v>30</v>
      </c>
      <c r="E33" s="528" t="s">
        <v>31</v>
      </c>
      <c r="F33" s="398">
        <f>ROUND((SUM(BE119:BE165)),  2)</f>
        <v>0</v>
      </c>
      <c r="G33" s="521"/>
      <c r="H33" s="521"/>
      <c r="I33" s="535">
        <v>0.2</v>
      </c>
      <c r="J33" s="398">
        <f>ROUND(((SUM(BE119:BE165))*I33),  2)</f>
        <v>0</v>
      </c>
      <c r="L33" s="24"/>
    </row>
    <row r="34" spans="2:12" s="1" customFormat="1" ht="14.55" customHeight="1" x14ac:dyDescent="0.2">
      <c r="B34" s="24"/>
      <c r="D34" s="521"/>
      <c r="E34" s="528" t="s">
        <v>32</v>
      </c>
      <c r="F34" s="398">
        <f>ROUND((SUM(BF119:BF165)),  2)</f>
        <v>57157.11</v>
      </c>
      <c r="G34" s="521"/>
      <c r="H34" s="521"/>
      <c r="I34" s="535">
        <v>0.2</v>
      </c>
      <c r="J34" s="398">
        <f>ROUND(((SUM(BF119:BF165))*I34),  2)</f>
        <v>11431.42</v>
      </c>
      <c r="L34" s="24"/>
    </row>
    <row r="35" spans="2:12" s="1" customFormat="1" ht="14.55" hidden="1" customHeight="1" x14ac:dyDescent="0.2">
      <c r="B35" s="24"/>
      <c r="E35" s="21" t="s">
        <v>33</v>
      </c>
      <c r="F35" s="78">
        <f>ROUND((SUM(BG119:BG165)),  2)</f>
        <v>0</v>
      </c>
      <c r="I35" s="79">
        <v>0.2</v>
      </c>
      <c r="J35" s="78">
        <f>0</f>
        <v>0</v>
      </c>
      <c r="L35" s="24"/>
    </row>
    <row r="36" spans="2:12" s="1" customFormat="1" ht="14.55" hidden="1" customHeight="1" x14ac:dyDescent="0.2">
      <c r="B36" s="24"/>
      <c r="E36" s="21" t="s">
        <v>34</v>
      </c>
      <c r="F36" s="78">
        <f>ROUND((SUM(BH119:BH165)),  2)</f>
        <v>0</v>
      </c>
      <c r="I36" s="79">
        <v>0.2</v>
      </c>
      <c r="J36" s="78">
        <f>0</f>
        <v>0</v>
      </c>
      <c r="L36" s="24"/>
    </row>
    <row r="37" spans="2:12" s="1" customFormat="1" ht="14.55" hidden="1" customHeight="1" x14ac:dyDescent="0.2">
      <c r="B37" s="24"/>
      <c r="E37" s="21" t="s">
        <v>35</v>
      </c>
      <c r="F37" s="78">
        <f>ROUND((SUM(BI119:BI165)),  2)</f>
        <v>0</v>
      </c>
      <c r="I37" s="79">
        <v>0</v>
      </c>
      <c r="J37" s="78">
        <f>0</f>
        <v>0</v>
      </c>
      <c r="L37" s="24"/>
    </row>
    <row r="38" spans="2:12" s="1" customFormat="1" ht="7.05" customHeight="1" x14ac:dyDescent="0.2">
      <c r="B38" s="24"/>
      <c r="L38" s="24"/>
    </row>
    <row r="39" spans="2:12" s="1" customFormat="1" ht="25.2" customHeight="1" x14ac:dyDescent="0.2">
      <c r="B39" s="24"/>
      <c r="C39" s="80"/>
      <c r="D39" s="81" t="s">
        <v>36</v>
      </c>
      <c r="E39" s="44"/>
      <c r="F39" s="44"/>
      <c r="G39" s="82" t="s">
        <v>37</v>
      </c>
      <c r="H39" s="83" t="s">
        <v>38</v>
      </c>
      <c r="I39" s="44"/>
      <c r="J39" s="84">
        <f>SUM(J30:J37)</f>
        <v>68588.53</v>
      </c>
      <c r="K39" s="85"/>
      <c r="L39" s="24"/>
    </row>
    <row r="40" spans="2:12" s="1" customFormat="1" ht="14.55" customHeight="1" x14ac:dyDescent="0.2">
      <c r="B40" s="24"/>
      <c r="L40" s="24"/>
    </row>
    <row r="41" spans="2:12" ht="14.55" customHeight="1" x14ac:dyDescent="0.2">
      <c r="B41" s="16"/>
      <c r="L41" s="16"/>
    </row>
    <row r="42" spans="2:12" ht="14.55" customHeight="1" x14ac:dyDescent="0.2">
      <c r="B42" s="16"/>
      <c r="L42" s="16"/>
    </row>
    <row r="43" spans="2:12" ht="14.55" customHeight="1" x14ac:dyDescent="0.2">
      <c r="B43" s="16"/>
      <c r="L43" s="16"/>
    </row>
    <row r="44" spans="2:12" ht="14.55" customHeight="1" x14ac:dyDescent="0.2">
      <c r="B44" s="16"/>
      <c r="L44" s="16"/>
    </row>
    <row r="45" spans="2:12" ht="14.55" customHeight="1" x14ac:dyDescent="0.2">
      <c r="B45" s="16"/>
      <c r="L45" s="16"/>
    </row>
    <row r="46" spans="2:12" ht="14.55" customHeight="1" x14ac:dyDescent="0.2">
      <c r="B46" s="16"/>
      <c r="L46" s="16"/>
    </row>
    <row r="47" spans="2:12" ht="14.55" customHeight="1" x14ac:dyDescent="0.2">
      <c r="B47" s="16"/>
      <c r="L47" s="16"/>
    </row>
    <row r="48" spans="2:12" ht="14.55" customHeight="1" x14ac:dyDescent="0.2">
      <c r="B48" s="16"/>
      <c r="L48" s="16"/>
    </row>
    <row r="49" spans="2:12" ht="14.55" customHeight="1" x14ac:dyDescent="0.2">
      <c r="B49" s="16"/>
      <c r="D49" s="156"/>
      <c r="E49" s="156"/>
      <c r="F49" s="156"/>
      <c r="G49" s="156"/>
      <c r="H49" s="156"/>
      <c r="I49" s="156"/>
      <c r="J49" s="156"/>
      <c r="L49" s="16"/>
    </row>
    <row r="50" spans="2:12" s="1" customFormat="1" ht="14.55" customHeight="1" x14ac:dyDescent="0.2">
      <c r="B50" s="24"/>
      <c r="D50" s="530"/>
      <c r="E50" s="523"/>
      <c r="F50" s="523"/>
      <c r="G50" s="530"/>
      <c r="H50" s="523"/>
      <c r="I50" s="523"/>
      <c r="J50" s="523"/>
      <c r="K50" s="32"/>
      <c r="L50" s="24"/>
    </row>
    <row r="51" spans="2:12" x14ac:dyDescent="0.2">
      <c r="B51" s="16"/>
      <c r="D51" s="156"/>
      <c r="E51" s="156"/>
      <c r="F51" s="156"/>
      <c r="G51" s="156"/>
      <c r="H51" s="156"/>
      <c r="I51" s="156"/>
      <c r="J51" s="156"/>
      <c r="L51" s="16"/>
    </row>
    <row r="52" spans="2:12" x14ac:dyDescent="0.2">
      <c r="B52" s="16"/>
      <c r="D52" s="156"/>
      <c r="E52" s="156"/>
      <c r="F52" s="156"/>
      <c r="G52" s="156"/>
      <c r="H52" s="156"/>
      <c r="I52" s="156"/>
      <c r="J52" s="156"/>
      <c r="L52" s="16"/>
    </row>
    <row r="53" spans="2:12" x14ac:dyDescent="0.2">
      <c r="B53" s="16"/>
      <c r="D53" s="156"/>
      <c r="E53" s="156"/>
      <c r="F53" s="156"/>
      <c r="G53" s="156"/>
      <c r="H53" s="156"/>
      <c r="I53" s="156"/>
      <c r="J53" s="156"/>
      <c r="L53" s="16"/>
    </row>
    <row r="54" spans="2:12" x14ac:dyDescent="0.2">
      <c r="B54" s="16"/>
      <c r="D54" s="156"/>
      <c r="E54" s="156"/>
      <c r="F54" s="156"/>
      <c r="G54" s="156"/>
      <c r="H54" s="156"/>
      <c r="I54" s="156"/>
      <c r="J54" s="156"/>
      <c r="L54" s="16"/>
    </row>
    <row r="55" spans="2:12" x14ac:dyDescent="0.2">
      <c r="B55" s="16"/>
      <c r="D55" s="156"/>
      <c r="E55" s="156"/>
      <c r="F55" s="156"/>
      <c r="G55" s="156"/>
      <c r="H55" s="156"/>
      <c r="I55" s="156"/>
      <c r="J55" s="156"/>
      <c r="L55" s="16"/>
    </row>
    <row r="56" spans="2:12" x14ac:dyDescent="0.2">
      <c r="B56" s="16"/>
      <c r="D56" s="156"/>
      <c r="E56" s="156"/>
      <c r="F56" s="156"/>
      <c r="G56" s="156"/>
      <c r="H56" s="156"/>
      <c r="I56" s="156"/>
      <c r="J56" s="156"/>
      <c r="L56" s="16"/>
    </row>
    <row r="57" spans="2:12" x14ac:dyDescent="0.2">
      <c r="B57" s="16"/>
      <c r="D57" s="156"/>
      <c r="E57" s="156"/>
      <c r="F57" s="156"/>
      <c r="G57" s="156"/>
      <c r="H57" s="156"/>
      <c r="I57" s="156"/>
      <c r="J57" s="156"/>
      <c r="L57" s="16"/>
    </row>
    <row r="58" spans="2:12" x14ac:dyDescent="0.2">
      <c r="B58" s="16"/>
      <c r="D58" s="156"/>
      <c r="E58" s="156"/>
      <c r="F58" s="156"/>
      <c r="G58" s="156"/>
      <c r="H58" s="156"/>
      <c r="I58" s="156"/>
      <c r="J58" s="156"/>
      <c r="L58" s="16"/>
    </row>
    <row r="59" spans="2:12" x14ac:dyDescent="0.2">
      <c r="B59" s="16"/>
      <c r="D59" s="156"/>
      <c r="E59" s="156"/>
      <c r="F59" s="156"/>
      <c r="G59" s="156"/>
      <c r="H59" s="156"/>
      <c r="I59" s="156"/>
      <c r="J59" s="156"/>
      <c r="L59" s="16"/>
    </row>
    <row r="60" spans="2:12" x14ac:dyDescent="0.2">
      <c r="B60" s="16"/>
      <c r="D60" s="156"/>
      <c r="E60" s="156"/>
      <c r="F60" s="156"/>
      <c r="G60" s="156"/>
      <c r="H60" s="156"/>
      <c r="I60" s="156"/>
      <c r="J60" s="156"/>
      <c r="L60" s="16"/>
    </row>
    <row r="61" spans="2:12" s="1" customFormat="1" ht="13.2" x14ac:dyDescent="0.2">
      <c r="B61" s="24"/>
      <c r="D61" s="522"/>
      <c r="E61" s="523"/>
      <c r="F61" s="536"/>
      <c r="G61" s="522"/>
      <c r="H61" s="523"/>
      <c r="I61" s="523"/>
      <c r="J61" s="169"/>
      <c r="K61" s="26"/>
      <c r="L61" s="24"/>
    </row>
    <row r="62" spans="2:12" x14ac:dyDescent="0.2">
      <c r="B62" s="16"/>
      <c r="D62" s="156"/>
      <c r="E62" s="156"/>
      <c r="F62" s="156"/>
      <c r="G62" s="156"/>
      <c r="H62" s="156"/>
      <c r="I62" s="156"/>
      <c r="J62" s="156"/>
      <c r="L62" s="16"/>
    </row>
    <row r="63" spans="2:12" x14ac:dyDescent="0.2">
      <c r="B63" s="16"/>
      <c r="D63" s="156"/>
      <c r="E63" s="156"/>
      <c r="F63" s="156"/>
      <c r="G63" s="156"/>
      <c r="H63" s="156"/>
      <c r="I63" s="156"/>
      <c r="J63" s="156"/>
      <c r="L63" s="16"/>
    </row>
    <row r="64" spans="2:12" x14ac:dyDescent="0.2">
      <c r="B64" s="16"/>
      <c r="D64" s="156"/>
      <c r="E64" s="156"/>
      <c r="F64" s="156"/>
      <c r="G64" s="156"/>
      <c r="H64" s="156"/>
      <c r="I64" s="156"/>
      <c r="J64" s="156"/>
      <c r="L64" s="16"/>
    </row>
    <row r="65" spans="2:12" s="1" customFormat="1" ht="13.2" x14ac:dyDescent="0.2">
      <c r="B65" s="24"/>
      <c r="D65" s="530"/>
      <c r="E65" s="523"/>
      <c r="F65" s="523"/>
      <c r="G65" s="530"/>
      <c r="H65" s="523"/>
      <c r="I65" s="523"/>
      <c r="J65" s="523"/>
      <c r="K65" s="32"/>
      <c r="L65" s="24"/>
    </row>
    <row r="66" spans="2:12" x14ac:dyDescent="0.2">
      <c r="B66" s="16"/>
      <c r="D66" s="156"/>
      <c r="E66" s="156"/>
      <c r="F66" s="156"/>
      <c r="G66" s="156"/>
      <c r="H66" s="156"/>
      <c r="I66" s="156"/>
      <c r="J66" s="156"/>
      <c r="L66" s="16"/>
    </row>
    <row r="67" spans="2:12" x14ac:dyDescent="0.2">
      <c r="B67" s="16"/>
      <c r="D67" s="156"/>
      <c r="E67" s="156"/>
      <c r="F67" s="156"/>
      <c r="G67" s="156"/>
      <c r="H67" s="156"/>
      <c r="I67" s="156"/>
      <c r="J67" s="156"/>
      <c r="L67" s="16"/>
    </row>
    <row r="68" spans="2:12" x14ac:dyDescent="0.2">
      <c r="B68" s="16"/>
      <c r="D68" s="156"/>
      <c r="E68" s="156"/>
      <c r="F68" s="156"/>
      <c r="G68" s="156"/>
      <c r="H68" s="156"/>
      <c r="I68" s="156"/>
      <c r="J68" s="156"/>
      <c r="L68" s="16"/>
    </row>
    <row r="69" spans="2:12" x14ac:dyDescent="0.2">
      <c r="B69" s="16"/>
      <c r="D69" s="156"/>
      <c r="E69" s="156"/>
      <c r="F69" s="156"/>
      <c r="G69" s="156"/>
      <c r="H69" s="156"/>
      <c r="I69" s="156"/>
      <c r="J69" s="156"/>
      <c r="L69" s="16"/>
    </row>
    <row r="70" spans="2:12" x14ac:dyDescent="0.2">
      <c r="B70" s="16"/>
      <c r="D70" s="156"/>
      <c r="E70" s="156"/>
      <c r="F70" s="156"/>
      <c r="G70" s="156"/>
      <c r="H70" s="156"/>
      <c r="I70" s="156"/>
      <c r="J70" s="156"/>
      <c r="L70" s="16"/>
    </row>
    <row r="71" spans="2:12" x14ac:dyDescent="0.2">
      <c r="B71" s="16"/>
      <c r="D71" s="156"/>
      <c r="E71" s="156"/>
      <c r="F71" s="156"/>
      <c r="G71" s="156"/>
      <c r="H71" s="156"/>
      <c r="I71" s="156"/>
      <c r="J71" s="156"/>
      <c r="L71" s="16"/>
    </row>
    <row r="72" spans="2:12" x14ac:dyDescent="0.2">
      <c r="B72" s="16"/>
      <c r="D72" s="156"/>
      <c r="E72" s="156"/>
      <c r="F72" s="156"/>
      <c r="G72" s="156"/>
      <c r="H72" s="156"/>
      <c r="I72" s="156"/>
      <c r="J72" s="156"/>
      <c r="L72" s="16"/>
    </row>
    <row r="73" spans="2:12" x14ac:dyDescent="0.2">
      <c r="B73" s="16"/>
      <c r="D73" s="156"/>
      <c r="E73" s="156"/>
      <c r="F73" s="156"/>
      <c r="G73" s="156"/>
      <c r="H73" s="156"/>
      <c r="I73" s="156"/>
      <c r="J73" s="156"/>
      <c r="L73" s="16"/>
    </row>
    <row r="74" spans="2:12" x14ac:dyDescent="0.2">
      <c r="B74" s="16"/>
      <c r="D74" s="156"/>
      <c r="E74" s="156"/>
      <c r="F74" s="156"/>
      <c r="G74" s="156"/>
      <c r="H74" s="156"/>
      <c r="I74" s="156"/>
      <c r="J74" s="156"/>
      <c r="L74" s="16"/>
    </row>
    <row r="75" spans="2:12" x14ac:dyDescent="0.2">
      <c r="B75" s="16"/>
      <c r="D75" s="156"/>
      <c r="E75" s="156"/>
      <c r="F75" s="156"/>
      <c r="G75" s="156"/>
      <c r="H75" s="156"/>
      <c r="I75" s="156"/>
      <c r="J75" s="156"/>
      <c r="L75" s="16"/>
    </row>
    <row r="76" spans="2:12" s="1" customFormat="1" ht="13.2" x14ac:dyDescent="0.2">
      <c r="B76" s="24"/>
      <c r="D76" s="522"/>
      <c r="E76" s="523"/>
      <c r="F76" s="536"/>
      <c r="G76" s="522"/>
      <c r="H76" s="523"/>
      <c r="I76" s="523"/>
      <c r="J76" s="169"/>
      <c r="K76" s="26"/>
      <c r="L76" s="24"/>
    </row>
    <row r="77" spans="2:12" s="1" customFormat="1" ht="14.55" customHeight="1" x14ac:dyDescent="0.2">
      <c r="B77" s="33"/>
      <c r="C77" s="34"/>
      <c r="D77" s="34"/>
      <c r="E77" s="34"/>
      <c r="F77" s="34"/>
      <c r="G77" s="34"/>
      <c r="H77" s="34"/>
      <c r="I77" s="34"/>
      <c r="J77" s="34"/>
      <c r="K77" s="34"/>
      <c r="L77" s="24"/>
    </row>
    <row r="81" spans="2:47" s="1" customFormat="1" ht="7.05" customHeight="1" x14ac:dyDescent="0.2">
      <c r="B81" s="35"/>
      <c r="C81" s="36"/>
      <c r="D81" s="36"/>
      <c r="E81" s="36"/>
      <c r="F81" s="36"/>
      <c r="G81" s="36"/>
      <c r="H81" s="36"/>
      <c r="I81" s="36"/>
      <c r="J81" s="36"/>
      <c r="K81" s="36"/>
      <c r="L81" s="24"/>
    </row>
    <row r="82" spans="2:47" s="1" customFormat="1" ht="25.05" customHeight="1" x14ac:dyDescent="0.2">
      <c r="B82" s="24"/>
      <c r="C82" s="1165" t="s">
        <v>188</v>
      </c>
      <c r="D82" s="1165"/>
      <c r="E82" s="1165"/>
      <c r="F82" s="1165"/>
      <c r="G82" s="1165"/>
      <c r="H82" s="1165"/>
      <c r="I82" s="1165"/>
      <c r="J82" s="1165"/>
      <c r="L82" s="24"/>
    </row>
    <row r="83" spans="2:47" s="1" customFormat="1" ht="7.05" customHeight="1" x14ac:dyDescent="0.2">
      <c r="B83" s="24"/>
      <c r="L83" s="24"/>
    </row>
    <row r="84" spans="2:47" s="1" customFormat="1" ht="12" customHeight="1" x14ac:dyDescent="0.2">
      <c r="B84" s="24"/>
      <c r="C84" s="528" t="s">
        <v>12</v>
      </c>
      <c r="E84" s="1242" t="s">
        <v>6177</v>
      </c>
      <c r="F84" s="1242"/>
      <c r="G84" s="1242"/>
      <c r="H84" s="1242"/>
      <c r="I84" s="1242"/>
      <c r="J84" s="1242"/>
      <c r="L84" s="24"/>
    </row>
    <row r="85" spans="2:47" s="1" customFormat="1" ht="22.2" customHeight="1" x14ac:dyDescent="0.2">
      <c r="B85" s="24"/>
      <c r="C85" s="521"/>
      <c r="E85" s="1243"/>
      <c r="F85" s="1244"/>
      <c r="G85" s="1244"/>
      <c r="H85" s="1244"/>
      <c r="L85" s="24"/>
    </row>
    <row r="86" spans="2:47" s="1" customFormat="1" ht="12" customHeight="1" x14ac:dyDescent="0.2">
      <c r="B86" s="24"/>
      <c r="C86" s="528" t="s">
        <v>186</v>
      </c>
      <c r="F86" s="532" t="s">
        <v>4014</v>
      </c>
      <c r="L86" s="24"/>
    </row>
    <row r="87" spans="2:47" s="1" customFormat="1" ht="16.5" customHeight="1" x14ac:dyDescent="0.2">
      <c r="B87" s="24"/>
      <c r="C87" s="521"/>
      <c r="E87" s="1251"/>
      <c r="F87" s="1252"/>
      <c r="G87" s="1252"/>
      <c r="H87" s="1252"/>
      <c r="L87" s="24"/>
    </row>
    <row r="88" spans="2:47" s="1" customFormat="1" ht="7.05" customHeight="1" x14ac:dyDescent="0.2">
      <c r="B88" s="24"/>
      <c r="C88" s="521"/>
      <c r="L88" s="24"/>
    </row>
    <row r="89" spans="2:47" s="1" customFormat="1" ht="12" customHeight="1" x14ac:dyDescent="0.2">
      <c r="B89" s="24"/>
      <c r="C89" s="528" t="s">
        <v>15</v>
      </c>
      <c r="F89" s="19" t="str">
        <f>F12</f>
        <v>Kuzmányho nábrežie 28, 960 01 Zvolen</v>
      </c>
      <c r="I89" s="528" t="s">
        <v>17</v>
      </c>
      <c r="J89" s="39" t="str">
        <f>IF(J12="","",J12)</f>
        <v/>
      </c>
      <c r="L89" s="24"/>
    </row>
    <row r="90" spans="2:47" s="1" customFormat="1" ht="7.05" customHeight="1" x14ac:dyDescent="0.2">
      <c r="B90" s="24"/>
      <c r="C90" s="521"/>
      <c r="I90" s="521"/>
      <c r="L90" s="24"/>
    </row>
    <row r="91" spans="2:47" s="1" customFormat="1" ht="15.3" customHeight="1" x14ac:dyDescent="0.2">
      <c r="B91" s="24"/>
      <c r="C91" s="528" t="s">
        <v>18</v>
      </c>
      <c r="F91" s="529" t="s">
        <v>6175</v>
      </c>
      <c r="I91" s="528" t="s">
        <v>22</v>
      </c>
      <c r="J91" s="22" t="str">
        <f>E21</f>
        <v xml:space="preserve"> </v>
      </c>
      <c r="L91" s="24"/>
    </row>
    <row r="92" spans="2:47" s="1" customFormat="1" ht="15.3" customHeight="1" x14ac:dyDescent="0.2">
      <c r="B92" s="24"/>
      <c r="C92" s="528" t="s">
        <v>21</v>
      </c>
      <c r="F92" s="529" t="s">
        <v>5202</v>
      </c>
      <c r="I92" s="528" t="s">
        <v>24</v>
      </c>
      <c r="J92" s="22" t="str">
        <f>E24</f>
        <v xml:space="preserve"> </v>
      </c>
      <c r="L92" s="24"/>
    </row>
    <row r="93" spans="2:47" s="1" customFormat="1" ht="10.199999999999999" customHeight="1" x14ac:dyDescent="0.2">
      <c r="B93" s="24"/>
      <c r="L93" s="24"/>
    </row>
    <row r="94" spans="2:47" s="1" customFormat="1" ht="29.25" customHeight="1" x14ac:dyDescent="0.2">
      <c r="B94" s="24"/>
      <c r="C94" s="86" t="s">
        <v>189</v>
      </c>
      <c r="D94" s="80"/>
      <c r="E94" s="80"/>
      <c r="F94" s="80"/>
      <c r="G94" s="80"/>
      <c r="H94" s="80"/>
      <c r="I94" s="80"/>
      <c r="J94" s="87" t="s">
        <v>190</v>
      </c>
      <c r="K94" s="80"/>
      <c r="L94" s="24"/>
    </row>
    <row r="95" spans="2:47" s="1" customFormat="1" ht="10.199999999999999" customHeight="1" x14ac:dyDescent="0.2">
      <c r="B95" s="24"/>
      <c r="L95" s="24"/>
    </row>
    <row r="96" spans="2:47" s="1" customFormat="1" ht="22.95" customHeight="1" x14ac:dyDescent="0.2">
      <c r="B96" s="24"/>
      <c r="C96" s="88" t="s">
        <v>191</v>
      </c>
      <c r="J96" s="53">
        <f>J119</f>
        <v>57157.110000000008</v>
      </c>
      <c r="L96" s="24"/>
      <c r="AU96" s="13" t="s">
        <v>192</v>
      </c>
    </row>
    <row r="97" spans="2:12" s="8" customFormat="1" ht="25.05" customHeight="1" x14ac:dyDescent="0.2">
      <c r="B97" s="89"/>
      <c r="D97" s="90" t="s">
        <v>4015</v>
      </c>
      <c r="E97" s="91"/>
      <c r="F97" s="91"/>
      <c r="G97" s="91"/>
      <c r="H97" s="91"/>
      <c r="I97" s="91"/>
      <c r="J97" s="92">
        <f>J120</f>
        <v>57157.110000000008</v>
      </c>
      <c r="L97" s="89"/>
    </row>
    <row r="98" spans="2:12" s="9" customFormat="1" ht="19.95" customHeight="1" x14ac:dyDescent="0.2">
      <c r="B98" s="93"/>
      <c r="D98" s="94" t="s">
        <v>4016</v>
      </c>
      <c r="E98" s="95"/>
      <c r="F98" s="95"/>
      <c r="G98" s="95"/>
      <c r="H98" s="95"/>
      <c r="I98" s="95"/>
      <c r="J98" s="96">
        <f>J121</f>
        <v>50594.010000000009</v>
      </c>
      <c r="L98" s="93"/>
    </row>
    <row r="99" spans="2:12" s="9" customFormat="1" ht="19.95" customHeight="1" x14ac:dyDescent="0.2">
      <c r="B99" s="93"/>
      <c r="D99" s="94" t="s">
        <v>4017</v>
      </c>
      <c r="E99" s="95"/>
      <c r="F99" s="95"/>
      <c r="G99" s="95"/>
      <c r="H99" s="95"/>
      <c r="I99" s="95"/>
      <c r="J99" s="96">
        <f>J145</f>
        <v>6563.1</v>
      </c>
      <c r="L99" s="93"/>
    </row>
    <row r="100" spans="2:12" s="1" customFormat="1" ht="21.75" customHeight="1" x14ac:dyDescent="0.2">
      <c r="B100" s="24"/>
      <c r="L100" s="24"/>
    </row>
    <row r="101" spans="2:12" s="1" customFormat="1" ht="7.05" customHeight="1" x14ac:dyDescent="0.2">
      <c r="B101" s="33"/>
      <c r="C101" s="34"/>
      <c r="D101" s="34"/>
      <c r="E101" s="34"/>
      <c r="F101" s="34"/>
      <c r="G101" s="34"/>
      <c r="H101" s="34"/>
      <c r="I101" s="34"/>
      <c r="J101" s="34"/>
      <c r="K101" s="34"/>
      <c r="L101" s="24"/>
    </row>
    <row r="105" spans="2:12" s="1" customFormat="1" ht="7.05" customHeight="1" x14ac:dyDescent="0.2">
      <c r="B105" s="35"/>
      <c r="C105" s="36"/>
      <c r="D105" s="36"/>
      <c r="E105" s="36"/>
      <c r="F105" s="36"/>
      <c r="G105" s="36"/>
      <c r="H105" s="36"/>
      <c r="I105" s="36"/>
      <c r="J105" s="36"/>
      <c r="K105" s="36"/>
      <c r="L105" s="24"/>
    </row>
    <row r="106" spans="2:12" s="1" customFormat="1" ht="25.05" customHeight="1" x14ac:dyDescent="0.2">
      <c r="B106" s="24"/>
      <c r="C106" s="1165" t="s">
        <v>214</v>
      </c>
      <c r="D106" s="1165"/>
      <c r="E106" s="1165"/>
      <c r="F106" s="1165"/>
      <c r="G106" s="1165"/>
      <c r="H106" s="1165"/>
      <c r="I106" s="1165"/>
      <c r="J106" s="1165"/>
      <c r="L106" s="24"/>
    </row>
    <row r="107" spans="2:12" s="1" customFormat="1" ht="7.05" customHeight="1" x14ac:dyDescent="0.2">
      <c r="B107" s="24"/>
      <c r="L107" s="24"/>
    </row>
    <row r="108" spans="2:12" s="1" customFormat="1" ht="12" customHeight="1" x14ac:dyDescent="0.2">
      <c r="B108" s="24"/>
      <c r="C108" s="528" t="s">
        <v>12</v>
      </c>
      <c r="E108" s="1242" t="s">
        <v>6177</v>
      </c>
      <c r="F108" s="1242"/>
      <c r="G108" s="1242"/>
      <c r="H108" s="1242"/>
      <c r="I108" s="1242"/>
      <c r="J108" s="1242"/>
      <c r="L108" s="24"/>
    </row>
    <row r="109" spans="2:12" s="1" customFormat="1" ht="22.95" customHeight="1" x14ac:dyDescent="0.2">
      <c r="B109" s="24"/>
      <c r="C109" s="521"/>
      <c r="E109" s="1243"/>
      <c r="F109" s="1244"/>
      <c r="G109" s="1244"/>
      <c r="H109" s="1244"/>
      <c r="L109" s="24"/>
    </row>
    <row r="110" spans="2:12" s="1" customFormat="1" ht="12" customHeight="1" x14ac:dyDescent="0.2">
      <c r="B110" s="24"/>
      <c r="C110" s="528" t="s">
        <v>186</v>
      </c>
      <c r="F110" s="532" t="s">
        <v>4014</v>
      </c>
      <c r="L110" s="24"/>
    </row>
    <row r="111" spans="2:12" s="1" customFormat="1" ht="16.5" customHeight="1" x14ac:dyDescent="0.2">
      <c r="B111" s="24"/>
      <c r="C111" s="521"/>
      <c r="E111" s="1251"/>
      <c r="F111" s="1252"/>
      <c r="G111" s="1252"/>
      <c r="H111" s="1252"/>
      <c r="L111" s="24"/>
    </row>
    <row r="112" spans="2:12" s="1" customFormat="1" ht="7.05" customHeight="1" x14ac:dyDescent="0.2">
      <c r="B112" s="24"/>
      <c r="C112" s="521"/>
      <c r="L112" s="24"/>
    </row>
    <row r="113" spans="2:65" s="1" customFormat="1" ht="12" customHeight="1" x14ac:dyDescent="0.2">
      <c r="B113" s="24"/>
      <c r="C113" s="528" t="s">
        <v>15</v>
      </c>
      <c r="F113" s="19" t="str">
        <f>F12</f>
        <v>Kuzmányho nábrežie 28, 960 01 Zvolen</v>
      </c>
      <c r="I113" s="528" t="s">
        <v>17</v>
      </c>
      <c r="J113" s="39" t="str">
        <f>IF(J12="","",J12)</f>
        <v/>
      </c>
      <c r="L113" s="24"/>
    </row>
    <row r="114" spans="2:65" s="1" customFormat="1" ht="7.05" customHeight="1" x14ac:dyDescent="0.2">
      <c r="B114" s="24"/>
      <c r="C114" s="521"/>
      <c r="I114" s="521"/>
      <c r="L114" s="24"/>
    </row>
    <row r="115" spans="2:65" s="1" customFormat="1" ht="15.3" customHeight="1" x14ac:dyDescent="0.2">
      <c r="B115" s="24"/>
      <c r="C115" s="528" t="s">
        <v>18</v>
      </c>
      <c r="F115" s="529" t="s">
        <v>6175</v>
      </c>
      <c r="I115" s="528" t="s">
        <v>22</v>
      </c>
      <c r="J115" s="22" t="str">
        <f>E21</f>
        <v xml:space="preserve"> </v>
      </c>
      <c r="L115" s="24"/>
    </row>
    <row r="116" spans="2:65" s="1" customFormat="1" ht="15.3" customHeight="1" x14ac:dyDescent="0.2">
      <c r="B116" s="24"/>
      <c r="C116" s="528" t="s">
        <v>21</v>
      </c>
      <c r="F116" s="529" t="s">
        <v>5202</v>
      </c>
      <c r="I116" s="528" t="s">
        <v>24</v>
      </c>
      <c r="J116" s="22" t="str">
        <f>E24</f>
        <v xml:space="preserve"> </v>
      </c>
      <c r="L116" s="24"/>
    </row>
    <row r="117" spans="2:65" s="1" customFormat="1" ht="10.199999999999999" customHeight="1" x14ac:dyDescent="0.2">
      <c r="B117" s="24"/>
      <c r="L117" s="24"/>
    </row>
    <row r="118" spans="2:65" s="10" customFormat="1" ht="29.25" customHeight="1" x14ac:dyDescent="0.2">
      <c r="B118" s="97"/>
      <c r="C118" s="98" t="s">
        <v>215</v>
      </c>
      <c r="D118" s="99" t="s">
        <v>43</v>
      </c>
      <c r="E118" s="99" t="s">
        <v>41</v>
      </c>
      <c r="F118" s="99" t="s">
        <v>42</v>
      </c>
      <c r="G118" s="99" t="s">
        <v>216</v>
      </c>
      <c r="H118" s="99" t="s">
        <v>217</v>
      </c>
      <c r="I118" s="99" t="s">
        <v>218</v>
      </c>
      <c r="J118" s="100" t="s">
        <v>190</v>
      </c>
      <c r="K118" s="101" t="s">
        <v>219</v>
      </c>
      <c r="L118" s="97"/>
      <c r="M118" s="46" t="s">
        <v>1</v>
      </c>
      <c r="N118" s="47" t="s">
        <v>30</v>
      </c>
      <c r="O118" s="47" t="s">
        <v>220</v>
      </c>
      <c r="P118" s="47" t="s">
        <v>221</v>
      </c>
      <c r="Q118" s="47" t="s">
        <v>222</v>
      </c>
      <c r="R118" s="47" t="s">
        <v>223</v>
      </c>
      <c r="S118" s="47" t="s">
        <v>224</v>
      </c>
      <c r="T118" s="48" t="s">
        <v>225</v>
      </c>
    </row>
    <row r="119" spans="2:65" s="1" customFormat="1" ht="22.95" customHeight="1" x14ac:dyDescent="0.3">
      <c r="B119" s="24"/>
      <c r="C119" s="51" t="s">
        <v>191</v>
      </c>
      <c r="J119" s="102">
        <f>BK119</f>
        <v>57157.110000000008</v>
      </c>
      <c r="L119" s="24"/>
      <c r="M119" s="49"/>
      <c r="N119" s="40"/>
      <c r="O119" s="40"/>
      <c r="P119" s="103">
        <f>P120</f>
        <v>0</v>
      </c>
      <c r="Q119" s="40"/>
      <c r="R119" s="103">
        <f>R120</f>
        <v>0</v>
      </c>
      <c r="S119" s="40"/>
      <c r="T119" s="104">
        <f>T120</f>
        <v>0</v>
      </c>
      <c r="AT119" s="13" t="s">
        <v>57</v>
      </c>
      <c r="AU119" s="13" t="s">
        <v>192</v>
      </c>
      <c r="BK119" s="105">
        <f>BK120</f>
        <v>57157.110000000008</v>
      </c>
    </row>
    <row r="120" spans="2:65" s="11" customFormat="1" ht="25.95" customHeight="1" x14ac:dyDescent="0.25">
      <c r="B120" s="106"/>
      <c r="D120" s="107" t="s">
        <v>57</v>
      </c>
      <c r="E120" s="108" t="s">
        <v>4018</v>
      </c>
      <c r="F120" s="108" t="s">
        <v>2604</v>
      </c>
      <c r="J120" s="109">
        <f>BK120</f>
        <v>57157.110000000008</v>
      </c>
      <c r="L120" s="106"/>
      <c r="M120" s="110"/>
      <c r="N120" s="111"/>
      <c r="O120" s="111"/>
      <c r="P120" s="112">
        <f>P121+P145</f>
        <v>0</v>
      </c>
      <c r="Q120" s="111"/>
      <c r="R120" s="112">
        <f>R121+R145</f>
        <v>0</v>
      </c>
      <c r="S120" s="111"/>
      <c r="T120" s="113">
        <f>T121+T145</f>
        <v>0</v>
      </c>
      <c r="AR120" s="107" t="s">
        <v>63</v>
      </c>
      <c r="AT120" s="114" t="s">
        <v>57</v>
      </c>
      <c r="AU120" s="114" t="s">
        <v>58</v>
      </c>
      <c r="AY120" s="107" t="s">
        <v>228</v>
      </c>
      <c r="BK120" s="115">
        <f>BK121+BK145</f>
        <v>57157.110000000008</v>
      </c>
    </row>
    <row r="121" spans="2:65" s="11" customFormat="1" ht="22.95" customHeight="1" x14ac:dyDescent="0.25">
      <c r="B121" s="106"/>
      <c r="D121" s="107" t="s">
        <v>57</v>
      </c>
      <c r="E121" s="116" t="s">
        <v>1201</v>
      </c>
      <c r="F121" s="116" t="s">
        <v>4008</v>
      </c>
      <c r="J121" s="117">
        <f>BK121</f>
        <v>50594.010000000009</v>
      </c>
      <c r="L121" s="106"/>
      <c r="M121" s="110"/>
      <c r="N121" s="111"/>
      <c r="O121" s="111"/>
      <c r="P121" s="112">
        <f>SUM(P122:P144)</f>
        <v>0</v>
      </c>
      <c r="Q121" s="111"/>
      <c r="R121" s="112">
        <f>SUM(R122:R144)</f>
        <v>0</v>
      </c>
      <c r="S121" s="111"/>
      <c r="T121" s="113">
        <f>SUM(T122:T144)</f>
        <v>0</v>
      </c>
      <c r="AR121" s="107" t="s">
        <v>63</v>
      </c>
      <c r="AT121" s="114" t="s">
        <v>57</v>
      </c>
      <c r="AU121" s="114" t="s">
        <v>63</v>
      </c>
      <c r="AY121" s="107" t="s">
        <v>228</v>
      </c>
      <c r="BK121" s="115">
        <f>SUM(BK122:BK144)</f>
        <v>50594.010000000009</v>
      </c>
    </row>
    <row r="122" spans="2:65" s="1" customFormat="1" ht="60" customHeight="1" x14ac:dyDescent="0.2">
      <c r="B122" s="118"/>
      <c r="C122" s="119" t="s">
        <v>63</v>
      </c>
      <c r="D122" s="119" t="s">
        <v>231</v>
      </c>
      <c r="E122" s="120" t="s">
        <v>4019</v>
      </c>
      <c r="F122" s="121" t="s">
        <v>4020</v>
      </c>
      <c r="G122" s="122" t="s">
        <v>1194</v>
      </c>
      <c r="H122" s="123">
        <v>1</v>
      </c>
      <c r="I122" s="124">
        <v>30492.720000000001</v>
      </c>
      <c r="J122" s="124">
        <f>ROUND(I122*H122,2)</f>
        <v>30492.720000000001</v>
      </c>
      <c r="K122" s="121" t="s">
        <v>1</v>
      </c>
      <c r="L122" s="24"/>
      <c r="M122" s="125" t="s">
        <v>1</v>
      </c>
      <c r="N122" s="126" t="s">
        <v>32</v>
      </c>
      <c r="O122" s="127">
        <v>0</v>
      </c>
      <c r="P122" s="127">
        <f>O122*H122</f>
        <v>0</v>
      </c>
      <c r="Q122" s="127">
        <v>0</v>
      </c>
      <c r="R122" s="127">
        <f>Q122*H122</f>
        <v>0</v>
      </c>
      <c r="S122" s="127">
        <v>0</v>
      </c>
      <c r="T122" s="128">
        <f>S122*H122</f>
        <v>0</v>
      </c>
      <c r="AR122" s="129" t="s">
        <v>235</v>
      </c>
      <c r="AT122" s="129" t="s">
        <v>231</v>
      </c>
      <c r="AU122" s="129" t="s">
        <v>76</v>
      </c>
      <c r="AY122" s="13" t="s">
        <v>228</v>
      </c>
      <c r="BE122" s="130">
        <f>IF(N122="základná",J122,0)</f>
        <v>0</v>
      </c>
      <c r="BF122" s="130">
        <f>IF(N122="znížená",J122,0)</f>
        <v>30492.720000000001</v>
      </c>
      <c r="BG122" s="130">
        <f>IF(N122="zákl. prenesená",J122,0)</f>
        <v>0</v>
      </c>
      <c r="BH122" s="130">
        <f>IF(N122="zníž. prenesená",J122,0)</f>
        <v>0</v>
      </c>
      <c r="BI122" s="130">
        <f>IF(N122="nulová",J122,0)</f>
        <v>0</v>
      </c>
      <c r="BJ122" s="13" t="s">
        <v>76</v>
      </c>
      <c r="BK122" s="130">
        <f>ROUND(I122*H122,2)</f>
        <v>30492.720000000001</v>
      </c>
      <c r="BL122" s="13" t="s">
        <v>235</v>
      </c>
      <c r="BM122" s="129" t="s">
        <v>76</v>
      </c>
    </row>
    <row r="123" spans="2:65" s="1" customFormat="1" ht="409.6" x14ac:dyDescent="0.2">
      <c r="B123" s="24"/>
      <c r="D123" s="144" t="s">
        <v>1259</v>
      </c>
      <c r="F123" s="150" t="s">
        <v>4021</v>
      </c>
      <c r="L123" s="24"/>
      <c r="M123" s="146"/>
      <c r="N123" s="42"/>
      <c r="O123" s="42"/>
      <c r="P123" s="42"/>
      <c r="Q123" s="42"/>
      <c r="R123" s="42"/>
      <c r="S123" s="42"/>
      <c r="T123" s="43"/>
      <c r="AT123" s="13" t="s">
        <v>1259</v>
      </c>
      <c r="AU123" s="13" t="s">
        <v>76</v>
      </c>
    </row>
    <row r="124" spans="2:65" s="1" customFormat="1" ht="60" customHeight="1" x14ac:dyDescent="0.2">
      <c r="B124" s="118"/>
      <c r="C124" s="119" t="s">
        <v>76</v>
      </c>
      <c r="D124" s="119" t="s">
        <v>231</v>
      </c>
      <c r="E124" s="120" t="s">
        <v>4022</v>
      </c>
      <c r="F124" s="121" t="s">
        <v>4023</v>
      </c>
      <c r="G124" s="122" t="s">
        <v>1194</v>
      </c>
      <c r="H124" s="123">
        <v>1</v>
      </c>
      <c r="I124" s="124">
        <v>376.58</v>
      </c>
      <c r="J124" s="124">
        <f>ROUND(I124*H124,2)</f>
        <v>376.58</v>
      </c>
      <c r="K124" s="121" t="s">
        <v>1</v>
      </c>
      <c r="L124" s="24"/>
      <c r="M124" s="125" t="s">
        <v>1</v>
      </c>
      <c r="N124" s="126" t="s">
        <v>32</v>
      </c>
      <c r="O124" s="127">
        <v>0</v>
      </c>
      <c r="P124" s="127">
        <f>O124*H124</f>
        <v>0</v>
      </c>
      <c r="Q124" s="127">
        <v>0</v>
      </c>
      <c r="R124" s="127">
        <f>Q124*H124</f>
        <v>0</v>
      </c>
      <c r="S124" s="127">
        <v>0</v>
      </c>
      <c r="T124" s="128">
        <f>S124*H124</f>
        <v>0</v>
      </c>
      <c r="AR124" s="129" t="s">
        <v>235</v>
      </c>
      <c r="AT124" s="129" t="s">
        <v>231</v>
      </c>
      <c r="AU124" s="129" t="s">
        <v>76</v>
      </c>
      <c r="AY124" s="13" t="s">
        <v>228</v>
      </c>
      <c r="BE124" s="130">
        <f>IF(N124="základná",J124,0)</f>
        <v>0</v>
      </c>
      <c r="BF124" s="130">
        <f>IF(N124="znížená",J124,0)</f>
        <v>376.58</v>
      </c>
      <c r="BG124" s="130">
        <f>IF(N124="zákl. prenesená",J124,0)</f>
        <v>0</v>
      </c>
      <c r="BH124" s="130">
        <f>IF(N124="zníž. prenesená",J124,0)</f>
        <v>0</v>
      </c>
      <c r="BI124" s="130">
        <f>IF(N124="nulová",J124,0)</f>
        <v>0</v>
      </c>
      <c r="BJ124" s="13" t="s">
        <v>76</v>
      </c>
      <c r="BK124" s="130">
        <f>ROUND(I124*H124,2)</f>
        <v>376.58</v>
      </c>
      <c r="BL124" s="13" t="s">
        <v>235</v>
      </c>
      <c r="BM124" s="129" t="s">
        <v>235</v>
      </c>
    </row>
    <row r="125" spans="2:65" s="1" customFormat="1" ht="72" customHeight="1" x14ac:dyDescent="0.2">
      <c r="B125" s="118"/>
      <c r="C125" s="119" t="s">
        <v>229</v>
      </c>
      <c r="D125" s="119" t="s">
        <v>231</v>
      </c>
      <c r="E125" s="120" t="s">
        <v>4024</v>
      </c>
      <c r="F125" s="121" t="s">
        <v>4025</v>
      </c>
      <c r="G125" s="122" t="s">
        <v>1194</v>
      </c>
      <c r="H125" s="123">
        <v>1</v>
      </c>
      <c r="I125" s="124">
        <v>296.39999999999998</v>
      </c>
      <c r="J125" s="124">
        <f>ROUND(I125*H125,2)</f>
        <v>296.39999999999998</v>
      </c>
      <c r="K125" s="121" t="s">
        <v>1</v>
      </c>
      <c r="L125" s="24"/>
      <c r="M125" s="125" t="s">
        <v>1</v>
      </c>
      <c r="N125" s="126" t="s">
        <v>32</v>
      </c>
      <c r="O125" s="127">
        <v>0</v>
      </c>
      <c r="P125" s="127">
        <f>O125*H125</f>
        <v>0</v>
      </c>
      <c r="Q125" s="127">
        <v>0</v>
      </c>
      <c r="R125" s="127">
        <f>Q125*H125</f>
        <v>0</v>
      </c>
      <c r="S125" s="127">
        <v>0</v>
      </c>
      <c r="T125" s="128">
        <f>S125*H125</f>
        <v>0</v>
      </c>
      <c r="AR125" s="129" t="s">
        <v>235</v>
      </c>
      <c r="AT125" s="129" t="s">
        <v>231</v>
      </c>
      <c r="AU125" s="129" t="s">
        <v>76</v>
      </c>
      <c r="AY125" s="13" t="s">
        <v>228</v>
      </c>
      <c r="BE125" s="130">
        <f>IF(N125="základná",J125,0)</f>
        <v>0</v>
      </c>
      <c r="BF125" s="130">
        <f>IF(N125="znížená",J125,0)</f>
        <v>296.39999999999998</v>
      </c>
      <c r="BG125" s="130">
        <f>IF(N125="zákl. prenesená",J125,0)</f>
        <v>0</v>
      </c>
      <c r="BH125" s="130">
        <f>IF(N125="zníž. prenesená",J125,0)</f>
        <v>0</v>
      </c>
      <c r="BI125" s="130">
        <f>IF(N125="nulová",J125,0)</f>
        <v>0</v>
      </c>
      <c r="BJ125" s="13" t="s">
        <v>76</v>
      </c>
      <c r="BK125" s="130">
        <f>ROUND(I125*H125,2)</f>
        <v>296.39999999999998</v>
      </c>
      <c r="BL125" s="13" t="s">
        <v>235</v>
      </c>
      <c r="BM125" s="129" t="s">
        <v>248</v>
      </c>
    </row>
    <row r="126" spans="2:65" s="1" customFormat="1" ht="60" customHeight="1" x14ac:dyDescent="0.2">
      <c r="B126" s="118"/>
      <c r="C126" s="119" t="s">
        <v>235</v>
      </c>
      <c r="D126" s="119" t="s">
        <v>231</v>
      </c>
      <c r="E126" s="120" t="s">
        <v>4026</v>
      </c>
      <c r="F126" s="121" t="s">
        <v>4027</v>
      </c>
      <c r="G126" s="122" t="s">
        <v>1194</v>
      </c>
      <c r="H126" s="123">
        <v>7</v>
      </c>
      <c r="I126" s="124">
        <v>352.18</v>
      </c>
      <c r="J126" s="124">
        <f>ROUND(I126*H126,2)</f>
        <v>2465.2600000000002</v>
      </c>
      <c r="K126" s="121" t="s">
        <v>1</v>
      </c>
      <c r="L126" s="24"/>
      <c r="M126" s="125" t="s">
        <v>1</v>
      </c>
      <c r="N126" s="126" t="s">
        <v>32</v>
      </c>
      <c r="O126" s="127">
        <v>0</v>
      </c>
      <c r="P126" s="127">
        <f>O126*H126</f>
        <v>0</v>
      </c>
      <c r="Q126" s="127">
        <v>0</v>
      </c>
      <c r="R126" s="127">
        <f>Q126*H126</f>
        <v>0</v>
      </c>
      <c r="S126" s="127">
        <v>0</v>
      </c>
      <c r="T126" s="128">
        <f>S126*H126</f>
        <v>0</v>
      </c>
      <c r="AR126" s="129" t="s">
        <v>235</v>
      </c>
      <c r="AT126" s="129" t="s">
        <v>231</v>
      </c>
      <c r="AU126" s="129" t="s">
        <v>76</v>
      </c>
      <c r="AY126" s="13" t="s">
        <v>228</v>
      </c>
      <c r="BE126" s="130">
        <f>IF(N126="základná",J126,0)</f>
        <v>0</v>
      </c>
      <c r="BF126" s="130">
        <f>IF(N126="znížená",J126,0)</f>
        <v>2465.2600000000002</v>
      </c>
      <c r="BG126" s="130">
        <f>IF(N126="zákl. prenesená",J126,0)</f>
        <v>0</v>
      </c>
      <c r="BH126" s="130">
        <f>IF(N126="zníž. prenesená",J126,0)</f>
        <v>0</v>
      </c>
      <c r="BI126" s="130">
        <f>IF(N126="nulová",J126,0)</f>
        <v>0</v>
      </c>
      <c r="BJ126" s="13" t="s">
        <v>76</v>
      </c>
      <c r="BK126" s="130">
        <f>ROUND(I126*H126,2)</f>
        <v>2465.2600000000002</v>
      </c>
      <c r="BL126" s="13" t="s">
        <v>235</v>
      </c>
      <c r="BM126" s="129" t="s">
        <v>251</v>
      </c>
    </row>
    <row r="127" spans="2:65" s="1" customFormat="1" ht="316.8" x14ac:dyDescent="0.2">
      <c r="B127" s="24"/>
      <c r="D127" s="144" t="s">
        <v>1259</v>
      </c>
      <c r="F127" s="145" t="s">
        <v>4028</v>
      </c>
      <c r="L127" s="24"/>
      <c r="M127" s="146"/>
      <c r="N127" s="42"/>
      <c r="O127" s="42"/>
      <c r="P127" s="42"/>
      <c r="Q127" s="42"/>
      <c r="R127" s="42"/>
      <c r="S127" s="42"/>
      <c r="T127" s="43"/>
      <c r="AT127" s="13" t="s">
        <v>1259</v>
      </c>
      <c r="AU127" s="13" t="s">
        <v>76</v>
      </c>
    </row>
    <row r="128" spans="2:65" s="1" customFormat="1" ht="72" customHeight="1" x14ac:dyDescent="0.2">
      <c r="B128" s="118"/>
      <c r="C128" s="119" t="s">
        <v>245</v>
      </c>
      <c r="D128" s="119" t="s">
        <v>231</v>
      </c>
      <c r="E128" s="120" t="s">
        <v>4029</v>
      </c>
      <c r="F128" s="121" t="s">
        <v>4030</v>
      </c>
      <c r="G128" s="122" t="s">
        <v>1194</v>
      </c>
      <c r="H128" s="123">
        <v>10</v>
      </c>
      <c r="I128" s="124">
        <v>32.71</v>
      </c>
      <c r="J128" s="124">
        <f>ROUND(I128*H128,2)</f>
        <v>327.10000000000002</v>
      </c>
      <c r="K128" s="121" t="s">
        <v>1</v>
      </c>
      <c r="L128" s="24"/>
      <c r="M128" s="125" t="s">
        <v>1</v>
      </c>
      <c r="N128" s="126" t="s">
        <v>32</v>
      </c>
      <c r="O128" s="127">
        <v>0</v>
      </c>
      <c r="P128" s="127">
        <f>O128*H128</f>
        <v>0</v>
      </c>
      <c r="Q128" s="127">
        <v>0</v>
      </c>
      <c r="R128" s="127">
        <f>Q128*H128</f>
        <v>0</v>
      </c>
      <c r="S128" s="127">
        <v>0</v>
      </c>
      <c r="T128" s="128">
        <f>S128*H128</f>
        <v>0</v>
      </c>
      <c r="AR128" s="129" t="s">
        <v>235</v>
      </c>
      <c r="AT128" s="129" t="s">
        <v>231</v>
      </c>
      <c r="AU128" s="129" t="s">
        <v>76</v>
      </c>
      <c r="AY128" s="13" t="s">
        <v>228</v>
      </c>
      <c r="BE128" s="130">
        <f>IF(N128="základná",J128,0)</f>
        <v>0</v>
      </c>
      <c r="BF128" s="130">
        <f>IF(N128="znížená",J128,0)</f>
        <v>327.10000000000002</v>
      </c>
      <c r="BG128" s="130">
        <f>IF(N128="zákl. prenesená",J128,0)</f>
        <v>0</v>
      </c>
      <c r="BH128" s="130">
        <f>IF(N128="zníž. prenesená",J128,0)</f>
        <v>0</v>
      </c>
      <c r="BI128" s="130">
        <f>IF(N128="nulová",J128,0)</f>
        <v>0</v>
      </c>
      <c r="BJ128" s="13" t="s">
        <v>76</v>
      </c>
      <c r="BK128" s="130">
        <f>ROUND(I128*H128,2)</f>
        <v>327.10000000000002</v>
      </c>
      <c r="BL128" s="13" t="s">
        <v>235</v>
      </c>
      <c r="BM128" s="129" t="s">
        <v>255</v>
      </c>
    </row>
    <row r="129" spans="2:65" s="1" customFormat="1" ht="76.8" x14ac:dyDescent="0.2">
      <c r="B129" s="24"/>
      <c r="D129" s="144" t="s">
        <v>1259</v>
      </c>
      <c r="F129" s="145" t="s">
        <v>4031</v>
      </c>
      <c r="L129" s="24"/>
      <c r="M129" s="146"/>
      <c r="N129" s="42"/>
      <c r="O129" s="42"/>
      <c r="P129" s="42"/>
      <c r="Q129" s="42"/>
      <c r="R129" s="42"/>
      <c r="S129" s="42"/>
      <c r="T129" s="43"/>
      <c r="AT129" s="13" t="s">
        <v>1259</v>
      </c>
      <c r="AU129" s="13" t="s">
        <v>76</v>
      </c>
    </row>
    <row r="130" spans="2:65" s="1" customFormat="1" ht="72" customHeight="1" x14ac:dyDescent="0.2">
      <c r="B130" s="118"/>
      <c r="C130" s="119" t="s">
        <v>240</v>
      </c>
      <c r="D130" s="119" t="s">
        <v>231</v>
      </c>
      <c r="E130" s="120" t="s">
        <v>4032</v>
      </c>
      <c r="F130" s="121" t="s">
        <v>4033</v>
      </c>
      <c r="G130" s="122" t="s">
        <v>1194</v>
      </c>
      <c r="H130" s="123">
        <v>22</v>
      </c>
      <c r="I130" s="124">
        <v>33.44</v>
      </c>
      <c r="J130" s="124">
        <f>ROUND(I130*H130,2)</f>
        <v>735.68</v>
      </c>
      <c r="K130" s="121" t="s">
        <v>1</v>
      </c>
      <c r="L130" s="24"/>
      <c r="M130" s="125" t="s">
        <v>1</v>
      </c>
      <c r="N130" s="126" t="s">
        <v>32</v>
      </c>
      <c r="O130" s="127">
        <v>0</v>
      </c>
      <c r="P130" s="127">
        <f>O130*H130</f>
        <v>0</v>
      </c>
      <c r="Q130" s="127">
        <v>0</v>
      </c>
      <c r="R130" s="127">
        <f>Q130*H130</f>
        <v>0</v>
      </c>
      <c r="S130" s="127">
        <v>0</v>
      </c>
      <c r="T130" s="128">
        <f>S130*H130</f>
        <v>0</v>
      </c>
      <c r="AR130" s="129" t="s">
        <v>235</v>
      </c>
      <c r="AT130" s="129" t="s">
        <v>231</v>
      </c>
      <c r="AU130" s="129" t="s">
        <v>76</v>
      </c>
      <c r="AY130" s="13" t="s">
        <v>228</v>
      </c>
      <c r="BE130" s="130">
        <f>IF(N130="základná",J130,0)</f>
        <v>0</v>
      </c>
      <c r="BF130" s="130">
        <f>IF(N130="znížená",J130,0)</f>
        <v>735.68</v>
      </c>
      <c r="BG130" s="130">
        <f>IF(N130="zákl. prenesená",J130,0)</f>
        <v>0</v>
      </c>
      <c r="BH130" s="130">
        <f>IF(N130="zníž. prenesená",J130,0)</f>
        <v>0</v>
      </c>
      <c r="BI130" s="130">
        <f>IF(N130="nulová",J130,0)</f>
        <v>0</v>
      </c>
      <c r="BJ130" s="13" t="s">
        <v>76</v>
      </c>
      <c r="BK130" s="130">
        <f>ROUND(I130*H130,2)</f>
        <v>735.68</v>
      </c>
      <c r="BL130" s="13" t="s">
        <v>235</v>
      </c>
      <c r="BM130" s="129" t="s">
        <v>258</v>
      </c>
    </row>
    <row r="131" spans="2:65" s="1" customFormat="1" ht="172.8" x14ac:dyDescent="0.2">
      <c r="B131" s="24"/>
      <c r="D131" s="144" t="s">
        <v>1259</v>
      </c>
      <c r="F131" s="145" t="s">
        <v>4034</v>
      </c>
      <c r="L131" s="24"/>
      <c r="M131" s="146"/>
      <c r="N131" s="42"/>
      <c r="O131" s="42"/>
      <c r="P131" s="42"/>
      <c r="Q131" s="42"/>
      <c r="R131" s="42"/>
      <c r="S131" s="42"/>
      <c r="T131" s="43"/>
      <c r="AT131" s="13" t="s">
        <v>1259</v>
      </c>
      <c r="AU131" s="13" t="s">
        <v>76</v>
      </c>
    </row>
    <row r="132" spans="2:65" s="1" customFormat="1" ht="36" customHeight="1" x14ac:dyDescent="0.2">
      <c r="B132" s="118"/>
      <c r="C132" s="119" t="s">
        <v>252</v>
      </c>
      <c r="D132" s="119" t="s">
        <v>231</v>
      </c>
      <c r="E132" s="120" t="s">
        <v>4035</v>
      </c>
      <c r="F132" s="121" t="s">
        <v>4036</v>
      </c>
      <c r="G132" s="122" t="s">
        <v>1194</v>
      </c>
      <c r="H132" s="123">
        <v>3</v>
      </c>
      <c r="I132" s="124">
        <v>29.25</v>
      </c>
      <c r="J132" s="124">
        <f>ROUND(I132*H132,2)</f>
        <v>87.75</v>
      </c>
      <c r="K132" s="121" t="s">
        <v>1</v>
      </c>
      <c r="L132" s="24"/>
      <c r="M132" s="125" t="s">
        <v>1</v>
      </c>
      <c r="N132" s="126" t="s">
        <v>32</v>
      </c>
      <c r="O132" s="127">
        <v>0</v>
      </c>
      <c r="P132" s="127">
        <f>O132*H132</f>
        <v>0</v>
      </c>
      <c r="Q132" s="127">
        <v>0</v>
      </c>
      <c r="R132" s="127">
        <f>Q132*H132</f>
        <v>0</v>
      </c>
      <c r="S132" s="127">
        <v>0</v>
      </c>
      <c r="T132" s="128">
        <f>S132*H132</f>
        <v>0</v>
      </c>
      <c r="AR132" s="129" t="s">
        <v>235</v>
      </c>
      <c r="AT132" s="129" t="s">
        <v>231</v>
      </c>
      <c r="AU132" s="129" t="s">
        <v>76</v>
      </c>
      <c r="AY132" s="13" t="s">
        <v>228</v>
      </c>
      <c r="BE132" s="130">
        <f>IF(N132="základná",J132,0)</f>
        <v>0</v>
      </c>
      <c r="BF132" s="130">
        <f>IF(N132="znížená",J132,0)</f>
        <v>87.75</v>
      </c>
      <c r="BG132" s="130">
        <f>IF(N132="zákl. prenesená",J132,0)</f>
        <v>0</v>
      </c>
      <c r="BH132" s="130">
        <f>IF(N132="zníž. prenesená",J132,0)</f>
        <v>0</v>
      </c>
      <c r="BI132" s="130">
        <f>IF(N132="nulová",J132,0)</f>
        <v>0</v>
      </c>
      <c r="BJ132" s="13" t="s">
        <v>76</v>
      </c>
      <c r="BK132" s="130">
        <f>ROUND(I132*H132,2)</f>
        <v>87.75</v>
      </c>
      <c r="BL132" s="13" t="s">
        <v>235</v>
      </c>
      <c r="BM132" s="129" t="s">
        <v>262</v>
      </c>
    </row>
    <row r="133" spans="2:65" s="1" customFormat="1" ht="72" customHeight="1" x14ac:dyDescent="0.2">
      <c r="B133" s="118"/>
      <c r="C133" s="119" t="s">
        <v>244</v>
      </c>
      <c r="D133" s="119" t="s">
        <v>231</v>
      </c>
      <c r="E133" s="120" t="s">
        <v>4037</v>
      </c>
      <c r="F133" s="121" t="s">
        <v>4038</v>
      </c>
      <c r="G133" s="122" t="s">
        <v>1194</v>
      </c>
      <c r="H133" s="123">
        <v>3</v>
      </c>
      <c r="I133" s="124">
        <v>466.11</v>
      </c>
      <c r="J133" s="124">
        <f>ROUND(I133*H133,2)</f>
        <v>1398.33</v>
      </c>
      <c r="K133" s="121" t="s">
        <v>1</v>
      </c>
      <c r="L133" s="24"/>
      <c r="M133" s="125" t="s">
        <v>1</v>
      </c>
      <c r="N133" s="126" t="s">
        <v>32</v>
      </c>
      <c r="O133" s="127">
        <v>0</v>
      </c>
      <c r="P133" s="127">
        <f>O133*H133</f>
        <v>0</v>
      </c>
      <c r="Q133" s="127">
        <v>0</v>
      </c>
      <c r="R133" s="127">
        <f>Q133*H133</f>
        <v>0</v>
      </c>
      <c r="S133" s="127">
        <v>0</v>
      </c>
      <c r="T133" s="128">
        <f>S133*H133</f>
        <v>0</v>
      </c>
      <c r="AR133" s="129" t="s">
        <v>235</v>
      </c>
      <c r="AT133" s="129" t="s">
        <v>231</v>
      </c>
      <c r="AU133" s="129" t="s">
        <v>76</v>
      </c>
      <c r="AY133" s="13" t="s">
        <v>228</v>
      </c>
      <c r="BE133" s="130">
        <f>IF(N133="základná",J133,0)</f>
        <v>0</v>
      </c>
      <c r="BF133" s="130">
        <f>IF(N133="znížená",J133,0)</f>
        <v>1398.33</v>
      </c>
      <c r="BG133" s="130">
        <f>IF(N133="zákl. prenesená",J133,0)</f>
        <v>0</v>
      </c>
      <c r="BH133" s="130">
        <f>IF(N133="zníž. prenesená",J133,0)</f>
        <v>0</v>
      </c>
      <c r="BI133" s="130">
        <f>IF(N133="nulová",J133,0)</f>
        <v>0</v>
      </c>
      <c r="BJ133" s="13" t="s">
        <v>76</v>
      </c>
      <c r="BK133" s="130">
        <f>ROUND(I133*H133,2)</f>
        <v>1398.33</v>
      </c>
      <c r="BL133" s="13" t="s">
        <v>235</v>
      </c>
      <c r="BM133" s="129" t="s">
        <v>7</v>
      </c>
    </row>
    <row r="134" spans="2:65" s="1" customFormat="1" ht="105.6" x14ac:dyDescent="0.2">
      <c r="B134" s="24"/>
      <c r="D134" s="144" t="s">
        <v>1259</v>
      </c>
      <c r="F134" s="145" t="s">
        <v>4039</v>
      </c>
      <c r="L134" s="24"/>
      <c r="M134" s="146"/>
      <c r="N134" s="42"/>
      <c r="O134" s="42"/>
      <c r="P134" s="42"/>
      <c r="Q134" s="42"/>
      <c r="R134" s="42"/>
      <c r="S134" s="42"/>
      <c r="T134" s="43"/>
      <c r="AT134" s="13" t="s">
        <v>1259</v>
      </c>
      <c r="AU134" s="13" t="s">
        <v>76</v>
      </c>
    </row>
    <row r="135" spans="2:65" s="1" customFormat="1" ht="60" customHeight="1" x14ac:dyDescent="0.2">
      <c r="B135" s="118"/>
      <c r="C135" s="119" t="s">
        <v>259</v>
      </c>
      <c r="D135" s="119" t="s">
        <v>231</v>
      </c>
      <c r="E135" s="120" t="s">
        <v>4040</v>
      </c>
      <c r="F135" s="121" t="s">
        <v>4041</v>
      </c>
      <c r="G135" s="122" t="s">
        <v>1194</v>
      </c>
      <c r="H135" s="123">
        <v>4</v>
      </c>
      <c r="I135" s="124">
        <v>502.69</v>
      </c>
      <c r="J135" s="124">
        <f>ROUND(I135*H135,2)</f>
        <v>2010.76</v>
      </c>
      <c r="K135" s="121" t="s">
        <v>1</v>
      </c>
      <c r="L135" s="24"/>
      <c r="M135" s="125" t="s">
        <v>1</v>
      </c>
      <c r="N135" s="126" t="s">
        <v>32</v>
      </c>
      <c r="O135" s="127">
        <v>0</v>
      </c>
      <c r="P135" s="127">
        <f>O135*H135</f>
        <v>0</v>
      </c>
      <c r="Q135" s="127">
        <v>0</v>
      </c>
      <c r="R135" s="127">
        <f>Q135*H135</f>
        <v>0</v>
      </c>
      <c r="S135" s="127">
        <v>0</v>
      </c>
      <c r="T135" s="128">
        <f>S135*H135</f>
        <v>0</v>
      </c>
      <c r="AR135" s="129" t="s">
        <v>235</v>
      </c>
      <c r="AT135" s="129" t="s">
        <v>231</v>
      </c>
      <c r="AU135" s="129" t="s">
        <v>76</v>
      </c>
      <c r="AY135" s="13" t="s">
        <v>228</v>
      </c>
      <c r="BE135" s="130">
        <f>IF(N135="základná",J135,0)</f>
        <v>0</v>
      </c>
      <c r="BF135" s="130">
        <f>IF(N135="znížená",J135,0)</f>
        <v>2010.76</v>
      </c>
      <c r="BG135" s="130">
        <f>IF(N135="zákl. prenesená",J135,0)</f>
        <v>0</v>
      </c>
      <c r="BH135" s="130">
        <f>IF(N135="zníž. prenesená",J135,0)</f>
        <v>0</v>
      </c>
      <c r="BI135" s="130">
        <f>IF(N135="nulová",J135,0)</f>
        <v>0</v>
      </c>
      <c r="BJ135" s="13" t="s">
        <v>76</v>
      </c>
      <c r="BK135" s="130">
        <f>ROUND(I135*H135,2)</f>
        <v>2010.76</v>
      </c>
      <c r="BL135" s="13" t="s">
        <v>235</v>
      </c>
      <c r="BM135" s="129" t="s">
        <v>268</v>
      </c>
    </row>
    <row r="136" spans="2:65" s="1" customFormat="1" ht="278.39999999999998" x14ac:dyDescent="0.2">
      <c r="B136" s="24"/>
      <c r="D136" s="144" t="s">
        <v>1259</v>
      </c>
      <c r="F136" s="145" t="s">
        <v>4042</v>
      </c>
      <c r="L136" s="24"/>
      <c r="M136" s="146"/>
      <c r="N136" s="42"/>
      <c r="O136" s="42"/>
      <c r="P136" s="42"/>
      <c r="Q136" s="42"/>
      <c r="R136" s="42"/>
      <c r="S136" s="42"/>
      <c r="T136" s="43"/>
      <c r="AT136" s="13" t="s">
        <v>1259</v>
      </c>
      <c r="AU136" s="13" t="s">
        <v>76</v>
      </c>
    </row>
    <row r="137" spans="2:65" s="1" customFormat="1" ht="60" customHeight="1" x14ac:dyDescent="0.2">
      <c r="B137" s="118"/>
      <c r="C137" s="119" t="s">
        <v>248</v>
      </c>
      <c r="D137" s="119" t="s">
        <v>231</v>
      </c>
      <c r="E137" s="120" t="s">
        <v>4043</v>
      </c>
      <c r="F137" s="121" t="s">
        <v>4044</v>
      </c>
      <c r="G137" s="122" t="s">
        <v>292</v>
      </c>
      <c r="H137" s="123">
        <v>33</v>
      </c>
      <c r="I137" s="124">
        <v>41.7</v>
      </c>
      <c r="J137" s="124">
        <f>ROUND(I137*H137,2)</f>
        <v>1376.1</v>
      </c>
      <c r="K137" s="121" t="s">
        <v>1</v>
      </c>
      <c r="L137" s="24"/>
      <c r="M137" s="125" t="s">
        <v>1</v>
      </c>
      <c r="N137" s="126" t="s">
        <v>32</v>
      </c>
      <c r="O137" s="127">
        <v>0</v>
      </c>
      <c r="P137" s="127">
        <f>O137*H137</f>
        <v>0</v>
      </c>
      <c r="Q137" s="127">
        <v>0</v>
      </c>
      <c r="R137" s="127">
        <f>Q137*H137</f>
        <v>0</v>
      </c>
      <c r="S137" s="127">
        <v>0</v>
      </c>
      <c r="T137" s="128">
        <f>S137*H137</f>
        <v>0</v>
      </c>
      <c r="AR137" s="129" t="s">
        <v>235</v>
      </c>
      <c r="AT137" s="129" t="s">
        <v>231</v>
      </c>
      <c r="AU137" s="129" t="s">
        <v>76</v>
      </c>
      <c r="AY137" s="13" t="s">
        <v>228</v>
      </c>
      <c r="BE137" s="130">
        <f>IF(N137="základná",J137,0)</f>
        <v>0</v>
      </c>
      <c r="BF137" s="130">
        <f>IF(N137="znížená",J137,0)</f>
        <v>1376.1</v>
      </c>
      <c r="BG137" s="130">
        <f>IF(N137="zákl. prenesená",J137,0)</f>
        <v>0</v>
      </c>
      <c r="BH137" s="130">
        <f>IF(N137="zníž. prenesená",J137,0)</f>
        <v>0</v>
      </c>
      <c r="BI137" s="130">
        <f>IF(N137="nulová",J137,0)</f>
        <v>0</v>
      </c>
      <c r="BJ137" s="13" t="s">
        <v>76</v>
      </c>
      <c r="BK137" s="130">
        <f>ROUND(I137*H137,2)</f>
        <v>1376.1</v>
      </c>
      <c r="BL137" s="13" t="s">
        <v>235</v>
      </c>
      <c r="BM137" s="129" t="s">
        <v>272</v>
      </c>
    </row>
    <row r="138" spans="2:65" s="1" customFormat="1" ht="182.4" x14ac:dyDescent="0.2">
      <c r="B138" s="24"/>
      <c r="D138" s="144" t="s">
        <v>1259</v>
      </c>
      <c r="F138" s="145" t="s">
        <v>4045</v>
      </c>
      <c r="L138" s="24"/>
      <c r="M138" s="146"/>
      <c r="N138" s="42"/>
      <c r="O138" s="42"/>
      <c r="P138" s="42"/>
      <c r="Q138" s="42"/>
      <c r="R138" s="42"/>
      <c r="S138" s="42"/>
      <c r="T138" s="43"/>
      <c r="AT138" s="13" t="s">
        <v>1259</v>
      </c>
      <c r="AU138" s="13" t="s">
        <v>76</v>
      </c>
    </row>
    <row r="139" spans="2:65" s="1" customFormat="1" ht="60" customHeight="1" x14ac:dyDescent="0.2">
      <c r="B139" s="118"/>
      <c r="C139" s="119" t="s">
        <v>265</v>
      </c>
      <c r="D139" s="119" t="s">
        <v>231</v>
      </c>
      <c r="E139" s="120" t="s">
        <v>4046</v>
      </c>
      <c r="F139" s="121" t="s">
        <v>2644</v>
      </c>
      <c r="G139" s="122" t="s">
        <v>284</v>
      </c>
      <c r="H139" s="123">
        <v>245</v>
      </c>
      <c r="I139" s="124">
        <v>31.99</v>
      </c>
      <c r="J139" s="124">
        <f>ROUND(I139*H139,2)</f>
        <v>7837.55</v>
      </c>
      <c r="K139" s="121" t="s">
        <v>1</v>
      </c>
      <c r="L139" s="24"/>
      <c r="M139" s="125" t="s">
        <v>1</v>
      </c>
      <c r="N139" s="126" t="s">
        <v>32</v>
      </c>
      <c r="O139" s="127">
        <v>0</v>
      </c>
      <c r="P139" s="127">
        <f>O139*H139</f>
        <v>0</v>
      </c>
      <c r="Q139" s="127">
        <v>0</v>
      </c>
      <c r="R139" s="127">
        <f>Q139*H139</f>
        <v>0</v>
      </c>
      <c r="S139" s="127">
        <v>0</v>
      </c>
      <c r="T139" s="128">
        <f>S139*H139</f>
        <v>0</v>
      </c>
      <c r="AR139" s="129" t="s">
        <v>235</v>
      </c>
      <c r="AT139" s="129" t="s">
        <v>231</v>
      </c>
      <c r="AU139" s="129" t="s">
        <v>76</v>
      </c>
      <c r="AY139" s="13" t="s">
        <v>228</v>
      </c>
      <c r="BE139" s="130">
        <f>IF(N139="základná",J139,0)</f>
        <v>0</v>
      </c>
      <c r="BF139" s="130">
        <f>IF(N139="znížená",J139,0)</f>
        <v>7837.55</v>
      </c>
      <c r="BG139" s="130">
        <f>IF(N139="zákl. prenesená",J139,0)</f>
        <v>0</v>
      </c>
      <c r="BH139" s="130">
        <f>IF(N139="zníž. prenesená",J139,0)</f>
        <v>0</v>
      </c>
      <c r="BI139" s="130">
        <f>IF(N139="nulová",J139,0)</f>
        <v>0</v>
      </c>
      <c r="BJ139" s="13" t="s">
        <v>76</v>
      </c>
      <c r="BK139" s="130">
        <f>ROUND(I139*H139,2)</f>
        <v>7837.55</v>
      </c>
      <c r="BL139" s="13" t="s">
        <v>235</v>
      </c>
      <c r="BM139" s="129" t="s">
        <v>276</v>
      </c>
    </row>
    <row r="140" spans="2:65" s="1" customFormat="1" ht="124.8" x14ac:dyDescent="0.2">
      <c r="B140" s="24"/>
      <c r="D140" s="144" t="s">
        <v>1259</v>
      </c>
      <c r="F140" s="145" t="s">
        <v>2645</v>
      </c>
      <c r="L140" s="24"/>
      <c r="M140" s="146"/>
      <c r="N140" s="42"/>
      <c r="O140" s="42"/>
      <c r="P140" s="42"/>
      <c r="Q140" s="42"/>
      <c r="R140" s="42"/>
      <c r="S140" s="42"/>
      <c r="T140" s="43"/>
      <c r="AT140" s="13" t="s">
        <v>1259</v>
      </c>
      <c r="AU140" s="13" t="s">
        <v>76</v>
      </c>
    </row>
    <row r="141" spans="2:65" s="1" customFormat="1" ht="60" customHeight="1" x14ac:dyDescent="0.2">
      <c r="B141" s="118"/>
      <c r="C141" s="119" t="s">
        <v>251</v>
      </c>
      <c r="D141" s="119" t="s">
        <v>231</v>
      </c>
      <c r="E141" s="120" t="s">
        <v>4047</v>
      </c>
      <c r="F141" s="121" t="s">
        <v>4048</v>
      </c>
      <c r="G141" s="122" t="s">
        <v>284</v>
      </c>
      <c r="H141" s="123">
        <v>102</v>
      </c>
      <c r="I141" s="124">
        <v>24.83</v>
      </c>
      <c r="J141" s="124">
        <f>ROUND(I141*H141,2)</f>
        <v>2532.66</v>
      </c>
      <c r="K141" s="121" t="s">
        <v>1</v>
      </c>
      <c r="L141" s="24"/>
      <c r="M141" s="125" t="s">
        <v>1</v>
      </c>
      <c r="N141" s="126" t="s">
        <v>32</v>
      </c>
      <c r="O141" s="127">
        <v>0</v>
      </c>
      <c r="P141" s="127">
        <f>O141*H141</f>
        <v>0</v>
      </c>
      <c r="Q141" s="127">
        <v>0</v>
      </c>
      <c r="R141" s="127">
        <f>Q141*H141</f>
        <v>0</v>
      </c>
      <c r="S141" s="127">
        <v>0</v>
      </c>
      <c r="T141" s="128">
        <f>S141*H141</f>
        <v>0</v>
      </c>
      <c r="AR141" s="129" t="s">
        <v>235</v>
      </c>
      <c r="AT141" s="129" t="s">
        <v>231</v>
      </c>
      <c r="AU141" s="129" t="s">
        <v>76</v>
      </c>
      <c r="AY141" s="13" t="s">
        <v>228</v>
      </c>
      <c r="BE141" s="130">
        <f>IF(N141="základná",J141,0)</f>
        <v>0</v>
      </c>
      <c r="BF141" s="130">
        <f>IF(N141="znížená",J141,0)</f>
        <v>2532.66</v>
      </c>
      <c r="BG141" s="130">
        <f>IF(N141="zákl. prenesená",J141,0)</f>
        <v>0</v>
      </c>
      <c r="BH141" s="130">
        <f>IF(N141="zníž. prenesená",J141,0)</f>
        <v>0</v>
      </c>
      <c r="BI141" s="130">
        <f>IF(N141="nulová",J141,0)</f>
        <v>0</v>
      </c>
      <c r="BJ141" s="13" t="s">
        <v>76</v>
      </c>
      <c r="BK141" s="130">
        <f>ROUND(I141*H141,2)</f>
        <v>2532.66</v>
      </c>
      <c r="BL141" s="13" t="s">
        <v>235</v>
      </c>
      <c r="BM141" s="129" t="s">
        <v>280</v>
      </c>
    </row>
    <row r="142" spans="2:65" s="1" customFormat="1" ht="115.2" x14ac:dyDescent="0.2">
      <c r="B142" s="24"/>
      <c r="D142" s="144" t="s">
        <v>1259</v>
      </c>
      <c r="F142" s="145" t="s">
        <v>4049</v>
      </c>
      <c r="L142" s="24"/>
      <c r="M142" s="146"/>
      <c r="N142" s="42"/>
      <c r="O142" s="42"/>
      <c r="P142" s="42"/>
      <c r="Q142" s="42"/>
      <c r="R142" s="42"/>
      <c r="S142" s="42"/>
      <c r="T142" s="43"/>
      <c r="AT142" s="13" t="s">
        <v>1259</v>
      </c>
      <c r="AU142" s="13" t="s">
        <v>76</v>
      </c>
    </row>
    <row r="143" spans="2:65" s="1" customFormat="1" ht="16.5" customHeight="1" x14ac:dyDescent="0.2">
      <c r="B143" s="118"/>
      <c r="C143" s="119" t="s">
        <v>273</v>
      </c>
      <c r="D143" s="119" t="s">
        <v>231</v>
      </c>
      <c r="E143" s="120" t="s">
        <v>2654</v>
      </c>
      <c r="F143" s="121" t="s">
        <v>2655</v>
      </c>
      <c r="G143" s="122" t="s">
        <v>1035</v>
      </c>
      <c r="H143" s="123">
        <v>74</v>
      </c>
      <c r="I143" s="124">
        <v>4.97</v>
      </c>
      <c r="J143" s="124">
        <f>ROUND(I143*H143,2)</f>
        <v>367.78</v>
      </c>
      <c r="K143" s="121" t="s">
        <v>1</v>
      </c>
      <c r="L143" s="24"/>
      <c r="M143" s="125" t="s">
        <v>1</v>
      </c>
      <c r="N143" s="126" t="s">
        <v>32</v>
      </c>
      <c r="O143" s="127">
        <v>0</v>
      </c>
      <c r="P143" s="127">
        <f>O143*H143</f>
        <v>0</v>
      </c>
      <c r="Q143" s="127">
        <v>0</v>
      </c>
      <c r="R143" s="127">
        <f>Q143*H143</f>
        <v>0</v>
      </c>
      <c r="S143" s="127">
        <v>0</v>
      </c>
      <c r="T143" s="128">
        <f>S143*H143</f>
        <v>0</v>
      </c>
      <c r="AR143" s="129" t="s">
        <v>235</v>
      </c>
      <c r="AT143" s="129" t="s">
        <v>231</v>
      </c>
      <c r="AU143" s="129" t="s">
        <v>76</v>
      </c>
      <c r="AY143" s="13" t="s">
        <v>228</v>
      </c>
      <c r="BE143" s="130">
        <f>IF(N143="základná",J143,0)</f>
        <v>0</v>
      </c>
      <c r="BF143" s="130">
        <f>IF(N143="znížená",J143,0)</f>
        <v>367.78</v>
      </c>
      <c r="BG143" s="130">
        <f>IF(N143="zákl. prenesená",J143,0)</f>
        <v>0</v>
      </c>
      <c r="BH143" s="130">
        <f>IF(N143="zníž. prenesená",J143,0)</f>
        <v>0</v>
      </c>
      <c r="BI143" s="130">
        <f>IF(N143="nulová",J143,0)</f>
        <v>0</v>
      </c>
      <c r="BJ143" s="13" t="s">
        <v>76</v>
      </c>
      <c r="BK143" s="130">
        <f>ROUND(I143*H143,2)</f>
        <v>367.78</v>
      </c>
      <c r="BL143" s="13" t="s">
        <v>235</v>
      </c>
      <c r="BM143" s="129" t="s">
        <v>285</v>
      </c>
    </row>
    <row r="144" spans="2:65" s="1" customFormat="1" ht="16.5" customHeight="1" x14ac:dyDescent="0.2">
      <c r="B144" s="118"/>
      <c r="C144" s="119" t="s">
        <v>255</v>
      </c>
      <c r="D144" s="119" t="s">
        <v>231</v>
      </c>
      <c r="E144" s="120" t="s">
        <v>2656</v>
      </c>
      <c r="F144" s="121" t="s">
        <v>2657</v>
      </c>
      <c r="G144" s="122" t="s">
        <v>1035</v>
      </c>
      <c r="H144" s="123">
        <v>37</v>
      </c>
      <c r="I144" s="124">
        <v>7.82</v>
      </c>
      <c r="J144" s="124">
        <f>ROUND(I144*H144,2)</f>
        <v>289.33999999999997</v>
      </c>
      <c r="K144" s="121" t="s">
        <v>1</v>
      </c>
      <c r="L144" s="24"/>
      <c r="M144" s="125" t="s">
        <v>1</v>
      </c>
      <c r="N144" s="126" t="s">
        <v>32</v>
      </c>
      <c r="O144" s="127">
        <v>0</v>
      </c>
      <c r="P144" s="127">
        <f>O144*H144</f>
        <v>0</v>
      </c>
      <c r="Q144" s="127">
        <v>0</v>
      </c>
      <c r="R144" s="127">
        <f>Q144*H144</f>
        <v>0</v>
      </c>
      <c r="S144" s="127">
        <v>0</v>
      </c>
      <c r="T144" s="128">
        <f>S144*H144</f>
        <v>0</v>
      </c>
      <c r="AR144" s="129" t="s">
        <v>235</v>
      </c>
      <c r="AT144" s="129" t="s">
        <v>231</v>
      </c>
      <c r="AU144" s="129" t="s">
        <v>76</v>
      </c>
      <c r="AY144" s="13" t="s">
        <v>228</v>
      </c>
      <c r="BE144" s="130">
        <f>IF(N144="základná",J144,0)</f>
        <v>0</v>
      </c>
      <c r="BF144" s="130">
        <f>IF(N144="znížená",J144,0)</f>
        <v>289.33999999999997</v>
      </c>
      <c r="BG144" s="130">
        <f>IF(N144="zákl. prenesená",J144,0)</f>
        <v>0</v>
      </c>
      <c r="BH144" s="130">
        <f>IF(N144="zníž. prenesená",J144,0)</f>
        <v>0</v>
      </c>
      <c r="BI144" s="130">
        <f>IF(N144="nulová",J144,0)</f>
        <v>0</v>
      </c>
      <c r="BJ144" s="13" t="s">
        <v>76</v>
      </c>
      <c r="BK144" s="130">
        <f>ROUND(I144*H144,2)</f>
        <v>289.33999999999997</v>
      </c>
      <c r="BL144" s="13" t="s">
        <v>235</v>
      </c>
      <c r="BM144" s="129" t="s">
        <v>288</v>
      </c>
    </row>
    <row r="145" spans="2:65" s="11" customFormat="1" ht="22.95" customHeight="1" x14ac:dyDescent="0.25">
      <c r="B145" s="106"/>
      <c r="D145" s="107" t="s">
        <v>57</v>
      </c>
      <c r="E145" s="116" t="s">
        <v>1211</v>
      </c>
      <c r="F145" s="116" t="s">
        <v>4050</v>
      </c>
      <c r="J145" s="117">
        <f>BK145</f>
        <v>6563.1</v>
      </c>
      <c r="L145" s="106"/>
      <c r="M145" s="110"/>
      <c r="N145" s="111"/>
      <c r="O145" s="111"/>
      <c r="P145" s="112">
        <f>SUM(P146:P165)</f>
        <v>0</v>
      </c>
      <c r="Q145" s="111"/>
      <c r="R145" s="112">
        <f>SUM(R146:R165)</f>
        <v>0</v>
      </c>
      <c r="S145" s="111"/>
      <c r="T145" s="113">
        <f>SUM(T146:T165)</f>
        <v>0</v>
      </c>
      <c r="AR145" s="107" t="s">
        <v>63</v>
      </c>
      <c r="AT145" s="114" t="s">
        <v>57</v>
      </c>
      <c r="AU145" s="114" t="s">
        <v>63</v>
      </c>
      <c r="AY145" s="107" t="s">
        <v>228</v>
      </c>
      <c r="BK145" s="115">
        <f>SUM(BK146:BK165)</f>
        <v>6563.1</v>
      </c>
    </row>
    <row r="146" spans="2:65" s="1" customFormat="1" ht="72" customHeight="1" x14ac:dyDescent="0.2">
      <c r="B146" s="118"/>
      <c r="C146" s="119" t="s">
        <v>281</v>
      </c>
      <c r="D146" s="119" t="s">
        <v>231</v>
      </c>
      <c r="E146" s="120" t="s">
        <v>4051</v>
      </c>
      <c r="F146" s="121" t="s">
        <v>4052</v>
      </c>
      <c r="G146" s="122" t="s">
        <v>1194</v>
      </c>
      <c r="H146" s="123">
        <v>6</v>
      </c>
      <c r="I146" s="124">
        <v>71.55</v>
      </c>
      <c r="J146" s="124">
        <f>ROUND(I146*H146,2)</f>
        <v>429.3</v>
      </c>
      <c r="K146" s="121" t="s">
        <v>1</v>
      </c>
      <c r="L146" s="24"/>
      <c r="M146" s="125" t="s">
        <v>1</v>
      </c>
      <c r="N146" s="126" t="s">
        <v>32</v>
      </c>
      <c r="O146" s="127">
        <v>0</v>
      </c>
      <c r="P146" s="127">
        <f>O146*H146</f>
        <v>0</v>
      </c>
      <c r="Q146" s="127">
        <v>0</v>
      </c>
      <c r="R146" s="127">
        <f>Q146*H146</f>
        <v>0</v>
      </c>
      <c r="S146" s="127">
        <v>0</v>
      </c>
      <c r="T146" s="128">
        <f>S146*H146</f>
        <v>0</v>
      </c>
      <c r="AR146" s="129" t="s">
        <v>235</v>
      </c>
      <c r="AT146" s="129" t="s">
        <v>231</v>
      </c>
      <c r="AU146" s="129" t="s">
        <v>76</v>
      </c>
      <c r="AY146" s="13" t="s">
        <v>228</v>
      </c>
      <c r="BE146" s="130">
        <f>IF(N146="základná",J146,0)</f>
        <v>0</v>
      </c>
      <c r="BF146" s="130">
        <f>IF(N146="znížená",J146,0)</f>
        <v>429.3</v>
      </c>
      <c r="BG146" s="130">
        <f>IF(N146="zákl. prenesená",J146,0)</f>
        <v>0</v>
      </c>
      <c r="BH146" s="130">
        <f>IF(N146="zníž. prenesená",J146,0)</f>
        <v>0</v>
      </c>
      <c r="BI146" s="130">
        <f>IF(N146="nulová",J146,0)</f>
        <v>0</v>
      </c>
      <c r="BJ146" s="13" t="s">
        <v>76</v>
      </c>
      <c r="BK146" s="130">
        <f>ROUND(I146*H146,2)</f>
        <v>429.3</v>
      </c>
      <c r="BL146" s="13" t="s">
        <v>235</v>
      </c>
      <c r="BM146" s="129" t="s">
        <v>293</v>
      </c>
    </row>
    <row r="147" spans="2:65" s="1" customFormat="1" ht="220.8" x14ac:dyDescent="0.2">
      <c r="B147" s="24"/>
      <c r="D147" s="144" t="s">
        <v>1259</v>
      </c>
      <c r="F147" s="145" t="s">
        <v>4053</v>
      </c>
      <c r="L147" s="24"/>
      <c r="M147" s="146"/>
      <c r="N147" s="42"/>
      <c r="O147" s="42"/>
      <c r="P147" s="42"/>
      <c r="Q147" s="42"/>
      <c r="R147" s="42"/>
      <c r="S147" s="42"/>
      <c r="T147" s="43"/>
      <c r="AT147" s="13" t="s">
        <v>1259</v>
      </c>
      <c r="AU147" s="13" t="s">
        <v>76</v>
      </c>
    </row>
    <row r="148" spans="2:65" s="1" customFormat="1" ht="72" customHeight="1" x14ac:dyDescent="0.2">
      <c r="B148" s="118"/>
      <c r="C148" s="119" t="s">
        <v>258</v>
      </c>
      <c r="D148" s="119" t="s">
        <v>231</v>
      </c>
      <c r="E148" s="120" t="s">
        <v>4054</v>
      </c>
      <c r="F148" s="121" t="s">
        <v>4055</v>
      </c>
      <c r="G148" s="122" t="s">
        <v>1194</v>
      </c>
      <c r="H148" s="123">
        <v>7</v>
      </c>
      <c r="I148" s="124">
        <v>12.9</v>
      </c>
      <c r="J148" s="124">
        <f>ROUND(I148*H148,2)</f>
        <v>90.3</v>
      </c>
      <c r="K148" s="121" t="s">
        <v>1</v>
      </c>
      <c r="L148" s="24"/>
      <c r="M148" s="125" t="s">
        <v>1</v>
      </c>
      <c r="N148" s="126" t="s">
        <v>32</v>
      </c>
      <c r="O148" s="127">
        <v>0</v>
      </c>
      <c r="P148" s="127">
        <f>O148*H148</f>
        <v>0</v>
      </c>
      <c r="Q148" s="127">
        <v>0</v>
      </c>
      <c r="R148" s="127">
        <f>Q148*H148</f>
        <v>0</v>
      </c>
      <c r="S148" s="127">
        <v>0</v>
      </c>
      <c r="T148" s="128">
        <f>S148*H148</f>
        <v>0</v>
      </c>
      <c r="AR148" s="129" t="s">
        <v>235</v>
      </c>
      <c r="AT148" s="129" t="s">
        <v>231</v>
      </c>
      <c r="AU148" s="129" t="s">
        <v>76</v>
      </c>
      <c r="AY148" s="13" t="s">
        <v>228</v>
      </c>
      <c r="BE148" s="130">
        <f>IF(N148="základná",J148,0)</f>
        <v>0</v>
      </c>
      <c r="BF148" s="130">
        <f>IF(N148="znížená",J148,0)</f>
        <v>90.3</v>
      </c>
      <c r="BG148" s="130">
        <f>IF(N148="zákl. prenesená",J148,0)</f>
        <v>0</v>
      </c>
      <c r="BH148" s="130">
        <f>IF(N148="zníž. prenesená",J148,0)</f>
        <v>0</v>
      </c>
      <c r="BI148" s="130">
        <f>IF(N148="nulová",J148,0)</f>
        <v>0</v>
      </c>
      <c r="BJ148" s="13" t="s">
        <v>76</v>
      </c>
      <c r="BK148" s="130">
        <f>ROUND(I148*H148,2)</f>
        <v>90.3</v>
      </c>
      <c r="BL148" s="13" t="s">
        <v>235</v>
      </c>
      <c r="BM148" s="129" t="s">
        <v>296</v>
      </c>
    </row>
    <row r="149" spans="2:65" s="1" customFormat="1" ht="76.8" x14ac:dyDescent="0.2">
      <c r="B149" s="24"/>
      <c r="D149" s="144" t="s">
        <v>1259</v>
      </c>
      <c r="F149" s="145" t="s">
        <v>4056</v>
      </c>
      <c r="L149" s="24"/>
      <c r="M149" s="146"/>
      <c r="N149" s="42"/>
      <c r="O149" s="42"/>
      <c r="P149" s="42"/>
      <c r="Q149" s="42"/>
      <c r="R149" s="42"/>
      <c r="S149" s="42"/>
      <c r="T149" s="43"/>
      <c r="AT149" s="13" t="s">
        <v>1259</v>
      </c>
      <c r="AU149" s="13" t="s">
        <v>76</v>
      </c>
    </row>
    <row r="150" spans="2:65" s="1" customFormat="1" ht="60" customHeight="1" x14ac:dyDescent="0.2">
      <c r="B150" s="118"/>
      <c r="C150" s="119" t="s">
        <v>289</v>
      </c>
      <c r="D150" s="119" t="s">
        <v>231</v>
      </c>
      <c r="E150" s="120" t="s">
        <v>4057</v>
      </c>
      <c r="F150" s="121" t="s">
        <v>4058</v>
      </c>
      <c r="G150" s="122" t="s">
        <v>1194</v>
      </c>
      <c r="H150" s="123">
        <v>3</v>
      </c>
      <c r="I150" s="124">
        <v>27.97</v>
      </c>
      <c r="J150" s="124">
        <f>ROUND(I150*H150,2)</f>
        <v>83.91</v>
      </c>
      <c r="K150" s="121" t="s">
        <v>1</v>
      </c>
      <c r="L150" s="24"/>
      <c r="M150" s="125" t="s">
        <v>1</v>
      </c>
      <c r="N150" s="126" t="s">
        <v>32</v>
      </c>
      <c r="O150" s="127">
        <v>0</v>
      </c>
      <c r="P150" s="127">
        <f>O150*H150</f>
        <v>0</v>
      </c>
      <c r="Q150" s="127">
        <v>0</v>
      </c>
      <c r="R150" s="127">
        <f>Q150*H150</f>
        <v>0</v>
      </c>
      <c r="S150" s="127">
        <v>0</v>
      </c>
      <c r="T150" s="128">
        <f>S150*H150</f>
        <v>0</v>
      </c>
      <c r="AR150" s="129" t="s">
        <v>235</v>
      </c>
      <c r="AT150" s="129" t="s">
        <v>231</v>
      </c>
      <c r="AU150" s="129" t="s">
        <v>76</v>
      </c>
      <c r="AY150" s="13" t="s">
        <v>228</v>
      </c>
      <c r="BE150" s="130">
        <f>IF(N150="základná",J150,0)</f>
        <v>0</v>
      </c>
      <c r="BF150" s="130">
        <f>IF(N150="znížená",J150,0)</f>
        <v>83.91</v>
      </c>
      <c r="BG150" s="130">
        <f>IF(N150="zákl. prenesená",J150,0)</f>
        <v>0</v>
      </c>
      <c r="BH150" s="130">
        <f>IF(N150="zníž. prenesená",J150,0)</f>
        <v>0</v>
      </c>
      <c r="BI150" s="130">
        <f>IF(N150="nulová",J150,0)</f>
        <v>0</v>
      </c>
      <c r="BJ150" s="13" t="s">
        <v>76</v>
      </c>
      <c r="BK150" s="130">
        <f>ROUND(I150*H150,2)</f>
        <v>83.91</v>
      </c>
      <c r="BL150" s="13" t="s">
        <v>235</v>
      </c>
      <c r="BM150" s="129" t="s">
        <v>300</v>
      </c>
    </row>
    <row r="151" spans="2:65" s="1" customFormat="1" ht="96" x14ac:dyDescent="0.2">
      <c r="B151" s="24"/>
      <c r="D151" s="144" t="s">
        <v>1259</v>
      </c>
      <c r="F151" s="145" t="s">
        <v>4059</v>
      </c>
      <c r="L151" s="24"/>
      <c r="M151" s="146"/>
      <c r="N151" s="42"/>
      <c r="O151" s="42"/>
      <c r="P151" s="42"/>
      <c r="Q151" s="42"/>
      <c r="R151" s="42"/>
      <c r="S151" s="42"/>
      <c r="T151" s="43"/>
      <c r="AT151" s="13" t="s">
        <v>1259</v>
      </c>
      <c r="AU151" s="13" t="s">
        <v>76</v>
      </c>
    </row>
    <row r="152" spans="2:65" s="1" customFormat="1" ht="36" customHeight="1" x14ac:dyDescent="0.2">
      <c r="B152" s="118"/>
      <c r="C152" s="119" t="s">
        <v>262</v>
      </c>
      <c r="D152" s="119" t="s">
        <v>231</v>
      </c>
      <c r="E152" s="120" t="s">
        <v>4060</v>
      </c>
      <c r="F152" s="121" t="s">
        <v>4061</v>
      </c>
      <c r="G152" s="122" t="s">
        <v>1194</v>
      </c>
      <c r="H152" s="123">
        <v>7</v>
      </c>
      <c r="I152" s="124">
        <v>10.09</v>
      </c>
      <c r="J152" s="124">
        <f>ROUND(I152*H152,2)</f>
        <v>70.63</v>
      </c>
      <c r="K152" s="121" t="s">
        <v>1</v>
      </c>
      <c r="L152" s="24"/>
      <c r="M152" s="125" t="s">
        <v>1</v>
      </c>
      <c r="N152" s="126" t="s">
        <v>32</v>
      </c>
      <c r="O152" s="127">
        <v>0</v>
      </c>
      <c r="P152" s="127">
        <f>O152*H152</f>
        <v>0</v>
      </c>
      <c r="Q152" s="127">
        <v>0</v>
      </c>
      <c r="R152" s="127">
        <f>Q152*H152</f>
        <v>0</v>
      </c>
      <c r="S152" s="127">
        <v>0</v>
      </c>
      <c r="T152" s="128">
        <f>S152*H152</f>
        <v>0</v>
      </c>
      <c r="AR152" s="129" t="s">
        <v>235</v>
      </c>
      <c r="AT152" s="129" t="s">
        <v>231</v>
      </c>
      <c r="AU152" s="129" t="s">
        <v>76</v>
      </c>
      <c r="AY152" s="13" t="s">
        <v>228</v>
      </c>
      <c r="BE152" s="130">
        <f>IF(N152="základná",J152,0)</f>
        <v>0</v>
      </c>
      <c r="BF152" s="130">
        <f>IF(N152="znížená",J152,0)</f>
        <v>70.63</v>
      </c>
      <c r="BG152" s="130">
        <f>IF(N152="zákl. prenesená",J152,0)</f>
        <v>0</v>
      </c>
      <c r="BH152" s="130">
        <f>IF(N152="zníž. prenesená",J152,0)</f>
        <v>0</v>
      </c>
      <c r="BI152" s="130">
        <f>IF(N152="nulová",J152,0)</f>
        <v>0</v>
      </c>
      <c r="BJ152" s="13" t="s">
        <v>76</v>
      </c>
      <c r="BK152" s="130">
        <f>ROUND(I152*H152,2)</f>
        <v>70.63</v>
      </c>
      <c r="BL152" s="13" t="s">
        <v>235</v>
      </c>
      <c r="BM152" s="129" t="s">
        <v>303</v>
      </c>
    </row>
    <row r="153" spans="2:65" s="1" customFormat="1" ht="48" customHeight="1" x14ac:dyDescent="0.2">
      <c r="B153" s="118"/>
      <c r="C153" s="119" t="s">
        <v>297</v>
      </c>
      <c r="D153" s="119" t="s">
        <v>231</v>
      </c>
      <c r="E153" s="120" t="s">
        <v>4062</v>
      </c>
      <c r="F153" s="121" t="s">
        <v>4063</v>
      </c>
      <c r="G153" s="122" t="s">
        <v>1194</v>
      </c>
      <c r="H153" s="123">
        <v>1</v>
      </c>
      <c r="I153" s="124">
        <v>234.33</v>
      </c>
      <c r="J153" s="124">
        <f>ROUND(I153*H153,2)</f>
        <v>234.33</v>
      </c>
      <c r="K153" s="121" t="s">
        <v>1</v>
      </c>
      <c r="L153" s="24"/>
      <c r="M153" s="125" t="s">
        <v>1</v>
      </c>
      <c r="N153" s="126" t="s">
        <v>32</v>
      </c>
      <c r="O153" s="127">
        <v>0</v>
      </c>
      <c r="P153" s="127">
        <f>O153*H153</f>
        <v>0</v>
      </c>
      <c r="Q153" s="127">
        <v>0</v>
      </c>
      <c r="R153" s="127">
        <f>Q153*H153</f>
        <v>0</v>
      </c>
      <c r="S153" s="127">
        <v>0</v>
      </c>
      <c r="T153" s="128">
        <f>S153*H153</f>
        <v>0</v>
      </c>
      <c r="AR153" s="129" t="s">
        <v>235</v>
      </c>
      <c r="AT153" s="129" t="s">
        <v>231</v>
      </c>
      <c r="AU153" s="129" t="s">
        <v>76</v>
      </c>
      <c r="AY153" s="13" t="s">
        <v>228</v>
      </c>
      <c r="BE153" s="130">
        <f>IF(N153="základná",J153,0)</f>
        <v>0</v>
      </c>
      <c r="BF153" s="130">
        <f>IF(N153="znížená",J153,0)</f>
        <v>234.33</v>
      </c>
      <c r="BG153" s="130">
        <f>IF(N153="zákl. prenesená",J153,0)</f>
        <v>0</v>
      </c>
      <c r="BH153" s="130">
        <f>IF(N153="zníž. prenesená",J153,0)</f>
        <v>0</v>
      </c>
      <c r="BI153" s="130">
        <f>IF(N153="nulová",J153,0)</f>
        <v>0</v>
      </c>
      <c r="BJ153" s="13" t="s">
        <v>76</v>
      </c>
      <c r="BK153" s="130">
        <f>ROUND(I153*H153,2)</f>
        <v>234.33</v>
      </c>
      <c r="BL153" s="13" t="s">
        <v>235</v>
      </c>
      <c r="BM153" s="129" t="s">
        <v>308</v>
      </c>
    </row>
    <row r="154" spans="2:65" s="1" customFormat="1" ht="48" customHeight="1" x14ac:dyDescent="0.2">
      <c r="B154" s="118"/>
      <c r="C154" s="119" t="s">
        <v>7</v>
      </c>
      <c r="D154" s="119" t="s">
        <v>231</v>
      </c>
      <c r="E154" s="120" t="s">
        <v>4064</v>
      </c>
      <c r="F154" s="121" t="s">
        <v>4065</v>
      </c>
      <c r="G154" s="122" t="s">
        <v>1194</v>
      </c>
      <c r="H154" s="123">
        <v>1</v>
      </c>
      <c r="I154" s="124">
        <v>203.64</v>
      </c>
      <c r="J154" s="124">
        <f>ROUND(I154*H154,2)</f>
        <v>203.64</v>
      </c>
      <c r="K154" s="121" t="s">
        <v>1</v>
      </c>
      <c r="L154" s="24"/>
      <c r="M154" s="125" t="s">
        <v>1</v>
      </c>
      <c r="N154" s="126" t="s">
        <v>32</v>
      </c>
      <c r="O154" s="127">
        <v>0</v>
      </c>
      <c r="P154" s="127">
        <f>O154*H154</f>
        <v>0</v>
      </c>
      <c r="Q154" s="127">
        <v>0</v>
      </c>
      <c r="R154" s="127">
        <f>Q154*H154</f>
        <v>0</v>
      </c>
      <c r="S154" s="127">
        <v>0</v>
      </c>
      <c r="T154" s="128">
        <f>S154*H154</f>
        <v>0</v>
      </c>
      <c r="AR154" s="129" t="s">
        <v>235</v>
      </c>
      <c r="AT154" s="129" t="s">
        <v>231</v>
      </c>
      <c r="AU154" s="129" t="s">
        <v>76</v>
      </c>
      <c r="AY154" s="13" t="s">
        <v>228</v>
      </c>
      <c r="BE154" s="130">
        <f>IF(N154="základná",J154,0)</f>
        <v>0</v>
      </c>
      <c r="BF154" s="130">
        <f>IF(N154="znížená",J154,0)</f>
        <v>203.64</v>
      </c>
      <c r="BG154" s="130">
        <f>IF(N154="zákl. prenesená",J154,0)</f>
        <v>0</v>
      </c>
      <c r="BH154" s="130">
        <f>IF(N154="zníž. prenesená",J154,0)</f>
        <v>0</v>
      </c>
      <c r="BI154" s="130">
        <f>IF(N154="nulová",J154,0)</f>
        <v>0</v>
      </c>
      <c r="BJ154" s="13" t="s">
        <v>76</v>
      </c>
      <c r="BK154" s="130">
        <f>ROUND(I154*H154,2)</f>
        <v>203.64</v>
      </c>
      <c r="BL154" s="13" t="s">
        <v>235</v>
      </c>
      <c r="BM154" s="129" t="s">
        <v>312</v>
      </c>
    </row>
    <row r="155" spans="2:65" s="1" customFormat="1" ht="48" customHeight="1" x14ac:dyDescent="0.2">
      <c r="B155" s="118"/>
      <c r="C155" s="119" t="s">
        <v>305</v>
      </c>
      <c r="D155" s="119" t="s">
        <v>231</v>
      </c>
      <c r="E155" s="120" t="s">
        <v>4066</v>
      </c>
      <c r="F155" s="121" t="s">
        <v>4067</v>
      </c>
      <c r="G155" s="122" t="s">
        <v>1194</v>
      </c>
      <c r="H155" s="123">
        <v>1</v>
      </c>
      <c r="I155" s="124">
        <v>227.8</v>
      </c>
      <c r="J155" s="124">
        <f>ROUND(I155*H155,2)</f>
        <v>227.8</v>
      </c>
      <c r="K155" s="121" t="s">
        <v>1</v>
      </c>
      <c r="L155" s="24"/>
      <c r="M155" s="125" t="s">
        <v>1</v>
      </c>
      <c r="N155" s="126" t="s">
        <v>32</v>
      </c>
      <c r="O155" s="127">
        <v>0</v>
      </c>
      <c r="P155" s="127">
        <f>O155*H155</f>
        <v>0</v>
      </c>
      <c r="Q155" s="127">
        <v>0</v>
      </c>
      <c r="R155" s="127">
        <f>Q155*H155</f>
        <v>0</v>
      </c>
      <c r="S155" s="127">
        <v>0</v>
      </c>
      <c r="T155" s="128">
        <f>S155*H155</f>
        <v>0</v>
      </c>
      <c r="AR155" s="129" t="s">
        <v>235</v>
      </c>
      <c r="AT155" s="129" t="s">
        <v>231</v>
      </c>
      <c r="AU155" s="129" t="s">
        <v>76</v>
      </c>
      <c r="AY155" s="13" t="s">
        <v>228</v>
      </c>
      <c r="BE155" s="130">
        <f>IF(N155="základná",J155,0)</f>
        <v>0</v>
      </c>
      <c r="BF155" s="130">
        <f>IF(N155="znížená",J155,0)</f>
        <v>227.8</v>
      </c>
      <c r="BG155" s="130">
        <f>IF(N155="zákl. prenesená",J155,0)</f>
        <v>0</v>
      </c>
      <c r="BH155" s="130">
        <f>IF(N155="zníž. prenesená",J155,0)</f>
        <v>0</v>
      </c>
      <c r="BI155" s="130">
        <f>IF(N155="nulová",J155,0)</f>
        <v>0</v>
      </c>
      <c r="BJ155" s="13" t="s">
        <v>76</v>
      </c>
      <c r="BK155" s="130">
        <f>ROUND(I155*H155,2)</f>
        <v>227.8</v>
      </c>
      <c r="BL155" s="13" t="s">
        <v>235</v>
      </c>
      <c r="BM155" s="129" t="s">
        <v>316</v>
      </c>
    </row>
    <row r="156" spans="2:65" s="1" customFormat="1" ht="72" customHeight="1" x14ac:dyDescent="0.2">
      <c r="B156" s="118"/>
      <c r="C156" s="119" t="s">
        <v>268</v>
      </c>
      <c r="D156" s="119" t="s">
        <v>231</v>
      </c>
      <c r="E156" s="120" t="s">
        <v>4068</v>
      </c>
      <c r="F156" s="121" t="s">
        <v>4069</v>
      </c>
      <c r="G156" s="122" t="s">
        <v>1194</v>
      </c>
      <c r="H156" s="123">
        <v>3</v>
      </c>
      <c r="I156" s="124">
        <v>35.51</v>
      </c>
      <c r="J156" s="124">
        <f>ROUND(I156*H156,2)</f>
        <v>106.53</v>
      </c>
      <c r="K156" s="121" t="s">
        <v>1</v>
      </c>
      <c r="L156" s="24"/>
      <c r="M156" s="125" t="s">
        <v>1</v>
      </c>
      <c r="N156" s="126" t="s">
        <v>32</v>
      </c>
      <c r="O156" s="127">
        <v>0</v>
      </c>
      <c r="P156" s="127">
        <f>O156*H156</f>
        <v>0</v>
      </c>
      <c r="Q156" s="127">
        <v>0</v>
      </c>
      <c r="R156" s="127">
        <f>Q156*H156</f>
        <v>0</v>
      </c>
      <c r="S156" s="127">
        <v>0</v>
      </c>
      <c r="T156" s="128">
        <f>S156*H156</f>
        <v>0</v>
      </c>
      <c r="AR156" s="129" t="s">
        <v>235</v>
      </c>
      <c r="AT156" s="129" t="s">
        <v>231</v>
      </c>
      <c r="AU156" s="129" t="s">
        <v>76</v>
      </c>
      <c r="AY156" s="13" t="s">
        <v>228</v>
      </c>
      <c r="BE156" s="130">
        <f>IF(N156="základná",J156,0)</f>
        <v>0</v>
      </c>
      <c r="BF156" s="130">
        <f>IF(N156="znížená",J156,0)</f>
        <v>106.53</v>
      </c>
      <c r="BG156" s="130">
        <f>IF(N156="zákl. prenesená",J156,0)</f>
        <v>0</v>
      </c>
      <c r="BH156" s="130">
        <f>IF(N156="zníž. prenesená",J156,0)</f>
        <v>0</v>
      </c>
      <c r="BI156" s="130">
        <f>IF(N156="nulová",J156,0)</f>
        <v>0</v>
      </c>
      <c r="BJ156" s="13" t="s">
        <v>76</v>
      </c>
      <c r="BK156" s="130">
        <f>ROUND(I156*H156,2)</f>
        <v>106.53</v>
      </c>
      <c r="BL156" s="13" t="s">
        <v>235</v>
      </c>
      <c r="BM156" s="129" t="s">
        <v>319</v>
      </c>
    </row>
    <row r="157" spans="2:65" s="1" customFormat="1" ht="115.2" x14ac:dyDescent="0.2">
      <c r="B157" s="24"/>
      <c r="D157" s="144" t="s">
        <v>1259</v>
      </c>
      <c r="F157" s="145" t="s">
        <v>4070</v>
      </c>
      <c r="L157" s="24"/>
      <c r="M157" s="146"/>
      <c r="N157" s="42"/>
      <c r="O157" s="42"/>
      <c r="P157" s="42"/>
      <c r="Q157" s="42"/>
      <c r="R157" s="42"/>
      <c r="S157" s="42"/>
      <c r="T157" s="43"/>
      <c r="AT157" s="13" t="s">
        <v>1259</v>
      </c>
      <c r="AU157" s="13" t="s">
        <v>76</v>
      </c>
    </row>
    <row r="158" spans="2:65" s="1" customFormat="1" ht="60" customHeight="1" x14ac:dyDescent="0.2">
      <c r="B158" s="118"/>
      <c r="C158" s="119" t="s">
        <v>313</v>
      </c>
      <c r="D158" s="119" t="s">
        <v>231</v>
      </c>
      <c r="E158" s="120" t="s">
        <v>4071</v>
      </c>
      <c r="F158" s="121" t="s">
        <v>4072</v>
      </c>
      <c r="G158" s="122" t="s">
        <v>292</v>
      </c>
      <c r="H158" s="123">
        <v>20</v>
      </c>
      <c r="I158" s="124">
        <v>26.36</v>
      </c>
      <c r="J158" s="124">
        <f>ROUND(I158*H158,2)</f>
        <v>527.20000000000005</v>
      </c>
      <c r="K158" s="121" t="s">
        <v>1</v>
      </c>
      <c r="L158" s="24"/>
      <c r="M158" s="125" t="s">
        <v>1</v>
      </c>
      <c r="N158" s="126" t="s">
        <v>32</v>
      </c>
      <c r="O158" s="127">
        <v>0</v>
      </c>
      <c r="P158" s="127">
        <f>O158*H158</f>
        <v>0</v>
      </c>
      <c r="Q158" s="127">
        <v>0</v>
      </c>
      <c r="R158" s="127">
        <f>Q158*H158</f>
        <v>0</v>
      </c>
      <c r="S158" s="127">
        <v>0</v>
      </c>
      <c r="T158" s="128">
        <f>S158*H158</f>
        <v>0</v>
      </c>
      <c r="AR158" s="129" t="s">
        <v>235</v>
      </c>
      <c r="AT158" s="129" t="s">
        <v>231</v>
      </c>
      <c r="AU158" s="129" t="s">
        <v>76</v>
      </c>
      <c r="AY158" s="13" t="s">
        <v>228</v>
      </c>
      <c r="BE158" s="130">
        <f>IF(N158="základná",J158,0)</f>
        <v>0</v>
      </c>
      <c r="BF158" s="130">
        <f>IF(N158="znížená",J158,0)</f>
        <v>527.20000000000005</v>
      </c>
      <c r="BG158" s="130">
        <f>IF(N158="zákl. prenesená",J158,0)</f>
        <v>0</v>
      </c>
      <c r="BH158" s="130">
        <f>IF(N158="zníž. prenesená",J158,0)</f>
        <v>0</v>
      </c>
      <c r="BI158" s="130">
        <f>IF(N158="nulová",J158,0)</f>
        <v>0</v>
      </c>
      <c r="BJ158" s="13" t="s">
        <v>76</v>
      </c>
      <c r="BK158" s="130">
        <f>ROUND(I158*H158,2)</f>
        <v>527.20000000000005</v>
      </c>
      <c r="BL158" s="13" t="s">
        <v>235</v>
      </c>
      <c r="BM158" s="129" t="s">
        <v>323</v>
      </c>
    </row>
    <row r="159" spans="2:65" s="1" customFormat="1" ht="60" customHeight="1" x14ac:dyDescent="0.2">
      <c r="B159" s="118"/>
      <c r="C159" s="119" t="s">
        <v>272</v>
      </c>
      <c r="D159" s="119" t="s">
        <v>231</v>
      </c>
      <c r="E159" s="120" t="s">
        <v>4073</v>
      </c>
      <c r="F159" s="121" t="s">
        <v>4074</v>
      </c>
      <c r="G159" s="122" t="s">
        <v>284</v>
      </c>
      <c r="H159" s="123">
        <v>70</v>
      </c>
      <c r="I159" s="124">
        <v>33.03</v>
      </c>
      <c r="J159" s="124">
        <f>ROUND(I159*H159,2)</f>
        <v>2312.1</v>
      </c>
      <c r="K159" s="121" t="s">
        <v>1</v>
      </c>
      <c r="L159" s="24"/>
      <c r="M159" s="125" t="s">
        <v>1</v>
      </c>
      <c r="N159" s="126" t="s">
        <v>32</v>
      </c>
      <c r="O159" s="127">
        <v>0</v>
      </c>
      <c r="P159" s="127">
        <f>O159*H159</f>
        <v>0</v>
      </c>
      <c r="Q159" s="127">
        <v>0</v>
      </c>
      <c r="R159" s="127">
        <f>Q159*H159</f>
        <v>0</v>
      </c>
      <c r="S159" s="127">
        <v>0</v>
      </c>
      <c r="T159" s="128">
        <f>S159*H159</f>
        <v>0</v>
      </c>
      <c r="AR159" s="129" t="s">
        <v>235</v>
      </c>
      <c r="AT159" s="129" t="s">
        <v>231</v>
      </c>
      <c r="AU159" s="129" t="s">
        <v>76</v>
      </c>
      <c r="AY159" s="13" t="s">
        <v>228</v>
      </c>
      <c r="BE159" s="130">
        <f>IF(N159="základná",J159,0)</f>
        <v>0</v>
      </c>
      <c r="BF159" s="130">
        <f>IF(N159="znížená",J159,0)</f>
        <v>2312.1</v>
      </c>
      <c r="BG159" s="130">
        <f>IF(N159="zákl. prenesená",J159,0)</f>
        <v>0</v>
      </c>
      <c r="BH159" s="130">
        <f>IF(N159="zníž. prenesená",J159,0)</f>
        <v>0</v>
      </c>
      <c r="BI159" s="130">
        <f>IF(N159="nulová",J159,0)</f>
        <v>0</v>
      </c>
      <c r="BJ159" s="13" t="s">
        <v>76</v>
      </c>
      <c r="BK159" s="130">
        <f>ROUND(I159*H159,2)</f>
        <v>2312.1</v>
      </c>
      <c r="BL159" s="13" t="s">
        <v>235</v>
      </c>
      <c r="BM159" s="129" t="s">
        <v>326</v>
      </c>
    </row>
    <row r="160" spans="2:65" s="1" customFormat="1" ht="124.8" x14ac:dyDescent="0.2">
      <c r="B160" s="24"/>
      <c r="D160" s="144" t="s">
        <v>1259</v>
      </c>
      <c r="F160" s="145" t="s">
        <v>4075</v>
      </c>
      <c r="L160" s="24"/>
      <c r="M160" s="146"/>
      <c r="N160" s="42"/>
      <c r="O160" s="42"/>
      <c r="P160" s="42"/>
      <c r="Q160" s="42"/>
      <c r="R160" s="42"/>
      <c r="S160" s="42"/>
      <c r="T160" s="43"/>
      <c r="AT160" s="13" t="s">
        <v>1259</v>
      </c>
      <c r="AU160" s="13" t="s">
        <v>76</v>
      </c>
    </row>
    <row r="161" spans="2:65" s="1" customFormat="1" ht="60" customHeight="1" x14ac:dyDescent="0.2">
      <c r="B161" s="118"/>
      <c r="C161" s="119" t="s">
        <v>320</v>
      </c>
      <c r="D161" s="119" t="s">
        <v>231</v>
      </c>
      <c r="E161" s="120" t="s">
        <v>4076</v>
      </c>
      <c r="F161" s="121" t="s">
        <v>2653</v>
      </c>
      <c r="G161" s="122" t="s">
        <v>284</v>
      </c>
      <c r="H161" s="123">
        <v>10</v>
      </c>
      <c r="I161" s="124">
        <v>49.61</v>
      </c>
      <c r="J161" s="124">
        <f>ROUND(I161*H161,2)</f>
        <v>496.1</v>
      </c>
      <c r="K161" s="121" t="s">
        <v>1</v>
      </c>
      <c r="L161" s="24"/>
      <c r="M161" s="125" t="s">
        <v>1</v>
      </c>
      <c r="N161" s="126" t="s">
        <v>32</v>
      </c>
      <c r="O161" s="127">
        <v>0</v>
      </c>
      <c r="P161" s="127">
        <f>O161*H161</f>
        <v>0</v>
      </c>
      <c r="Q161" s="127">
        <v>0</v>
      </c>
      <c r="R161" s="127">
        <f>Q161*H161</f>
        <v>0</v>
      </c>
      <c r="S161" s="127">
        <v>0</v>
      </c>
      <c r="T161" s="128">
        <f>S161*H161</f>
        <v>0</v>
      </c>
      <c r="AR161" s="129" t="s">
        <v>235</v>
      </c>
      <c r="AT161" s="129" t="s">
        <v>231</v>
      </c>
      <c r="AU161" s="129" t="s">
        <v>76</v>
      </c>
      <c r="AY161" s="13" t="s">
        <v>228</v>
      </c>
      <c r="BE161" s="130">
        <f>IF(N161="základná",J161,0)</f>
        <v>0</v>
      </c>
      <c r="BF161" s="130">
        <f>IF(N161="znížená",J161,0)</f>
        <v>496.1</v>
      </c>
      <c r="BG161" s="130">
        <f>IF(N161="zákl. prenesená",J161,0)</f>
        <v>0</v>
      </c>
      <c r="BH161" s="130">
        <f>IF(N161="zníž. prenesená",J161,0)</f>
        <v>0</v>
      </c>
      <c r="BI161" s="130">
        <f>IF(N161="nulová",J161,0)</f>
        <v>0</v>
      </c>
      <c r="BJ161" s="13" t="s">
        <v>76</v>
      </c>
      <c r="BK161" s="130">
        <f>ROUND(I161*H161,2)</f>
        <v>496.1</v>
      </c>
      <c r="BL161" s="13" t="s">
        <v>235</v>
      </c>
      <c r="BM161" s="129" t="s">
        <v>330</v>
      </c>
    </row>
    <row r="162" spans="2:65" s="1" customFormat="1" ht="16.5" customHeight="1" x14ac:dyDescent="0.2">
      <c r="B162" s="118"/>
      <c r="C162" s="119" t="s">
        <v>276</v>
      </c>
      <c r="D162" s="119" t="s">
        <v>231</v>
      </c>
      <c r="E162" s="120" t="s">
        <v>2654</v>
      </c>
      <c r="F162" s="121" t="s">
        <v>2655</v>
      </c>
      <c r="G162" s="122" t="s">
        <v>1035</v>
      </c>
      <c r="H162" s="123">
        <v>25</v>
      </c>
      <c r="I162" s="124">
        <v>4.97</v>
      </c>
      <c r="J162" s="124">
        <f>ROUND(I162*H162,2)</f>
        <v>124.25</v>
      </c>
      <c r="K162" s="121" t="s">
        <v>1</v>
      </c>
      <c r="L162" s="24"/>
      <c r="M162" s="125" t="s">
        <v>1</v>
      </c>
      <c r="N162" s="126" t="s">
        <v>32</v>
      </c>
      <c r="O162" s="127">
        <v>0</v>
      </c>
      <c r="P162" s="127">
        <f>O162*H162</f>
        <v>0</v>
      </c>
      <c r="Q162" s="127">
        <v>0</v>
      </c>
      <c r="R162" s="127">
        <f>Q162*H162</f>
        <v>0</v>
      </c>
      <c r="S162" s="127">
        <v>0</v>
      </c>
      <c r="T162" s="128">
        <f>S162*H162</f>
        <v>0</v>
      </c>
      <c r="AR162" s="129" t="s">
        <v>235</v>
      </c>
      <c r="AT162" s="129" t="s">
        <v>231</v>
      </c>
      <c r="AU162" s="129" t="s">
        <v>76</v>
      </c>
      <c r="AY162" s="13" t="s">
        <v>228</v>
      </c>
      <c r="BE162" s="130">
        <f>IF(N162="základná",J162,0)</f>
        <v>0</v>
      </c>
      <c r="BF162" s="130">
        <f>IF(N162="znížená",J162,0)</f>
        <v>124.25</v>
      </c>
      <c r="BG162" s="130">
        <f>IF(N162="zákl. prenesená",J162,0)</f>
        <v>0</v>
      </c>
      <c r="BH162" s="130">
        <f>IF(N162="zníž. prenesená",J162,0)</f>
        <v>0</v>
      </c>
      <c r="BI162" s="130">
        <f>IF(N162="nulová",J162,0)</f>
        <v>0</v>
      </c>
      <c r="BJ162" s="13" t="s">
        <v>76</v>
      </c>
      <c r="BK162" s="130">
        <f>ROUND(I162*H162,2)</f>
        <v>124.25</v>
      </c>
      <c r="BL162" s="13" t="s">
        <v>235</v>
      </c>
      <c r="BM162" s="129" t="s">
        <v>333</v>
      </c>
    </row>
    <row r="163" spans="2:65" s="1" customFormat="1" ht="16.5" customHeight="1" x14ac:dyDescent="0.2">
      <c r="B163" s="118"/>
      <c r="C163" s="119" t="s">
        <v>327</v>
      </c>
      <c r="D163" s="119" t="s">
        <v>231</v>
      </c>
      <c r="E163" s="120" t="s">
        <v>2656</v>
      </c>
      <c r="F163" s="121" t="s">
        <v>2657</v>
      </c>
      <c r="G163" s="122" t="s">
        <v>1035</v>
      </c>
      <c r="H163" s="123">
        <v>12</v>
      </c>
      <c r="I163" s="124">
        <v>7.82</v>
      </c>
      <c r="J163" s="124">
        <f>ROUND(I163*H163,2)</f>
        <v>93.84</v>
      </c>
      <c r="K163" s="121" t="s">
        <v>1</v>
      </c>
      <c r="L163" s="24"/>
      <c r="M163" s="125" t="s">
        <v>1</v>
      </c>
      <c r="N163" s="126" t="s">
        <v>32</v>
      </c>
      <c r="O163" s="127">
        <v>0</v>
      </c>
      <c r="P163" s="127">
        <f>O163*H163</f>
        <v>0</v>
      </c>
      <c r="Q163" s="127">
        <v>0</v>
      </c>
      <c r="R163" s="127">
        <f>Q163*H163</f>
        <v>0</v>
      </c>
      <c r="S163" s="127">
        <v>0</v>
      </c>
      <c r="T163" s="128">
        <f>S163*H163</f>
        <v>0</v>
      </c>
      <c r="AR163" s="129" t="s">
        <v>235</v>
      </c>
      <c r="AT163" s="129" t="s">
        <v>231</v>
      </c>
      <c r="AU163" s="129" t="s">
        <v>76</v>
      </c>
      <c r="AY163" s="13" t="s">
        <v>228</v>
      </c>
      <c r="BE163" s="130">
        <f>IF(N163="základná",J163,0)</f>
        <v>0</v>
      </c>
      <c r="BF163" s="130">
        <f>IF(N163="znížená",J163,0)</f>
        <v>93.84</v>
      </c>
      <c r="BG163" s="130">
        <f>IF(N163="zákl. prenesená",J163,0)</f>
        <v>0</v>
      </c>
      <c r="BH163" s="130">
        <f>IF(N163="zníž. prenesená",J163,0)</f>
        <v>0</v>
      </c>
      <c r="BI163" s="130">
        <f>IF(N163="nulová",J163,0)</f>
        <v>0</v>
      </c>
      <c r="BJ163" s="13" t="s">
        <v>76</v>
      </c>
      <c r="BK163" s="130">
        <f>ROUND(I163*H163,2)</f>
        <v>93.84</v>
      </c>
      <c r="BL163" s="13" t="s">
        <v>235</v>
      </c>
      <c r="BM163" s="129" t="s">
        <v>337</v>
      </c>
    </row>
    <row r="164" spans="2:65" s="1" customFormat="1" ht="16.5" customHeight="1" x14ac:dyDescent="0.2">
      <c r="B164" s="118"/>
      <c r="C164" s="119" t="s">
        <v>280</v>
      </c>
      <c r="D164" s="119" t="s">
        <v>231</v>
      </c>
      <c r="E164" s="120" t="s">
        <v>4077</v>
      </c>
      <c r="F164" s="121" t="s">
        <v>2662</v>
      </c>
      <c r="G164" s="122" t="s">
        <v>1194</v>
      </c>
      <c r="H164" s="123">
        <v>1</v>
      </c>
      <c r="I164" s="124">
        <v>710.53</v>
      </c>
      <c r="J164" s="124">
        <f>ROUND(I164*H164,2)</f>
        <v>710.53</v>
      </c>
      <c r="K164" s="121" t="s">
        <v>1</v>
      </c>
      <c r="L164" s="24"/>
      <c r="M164" s="125" t="s">
        <v>1</v>
      </c>
      <c r="N164" s="126" t="s">
        <v>32</v>
      </c>
      <c r="O164" s="127">
        <v>0</v>
      </c>
      <c r="P164" s="127">
        <f>O164*H164</f>
        <v>0</v>
      </c>
      <c r="Q164" s="127">
        <v>0</v>
      </c>
      <c r="R164" s="127">
        <f>Q164*H164</f>
        <v>0</v>
      </c>
      <c r="S164" s="127">
        <v>0</v>
      </c>
      <c r="T164" s="128">
        <f>S164*H164</f>
        <v>0</v>
      </c>
      <c r="AR164" s="129" t="s">
        <v>235</v>
      </c>
      <c r="AT164" s="129" t="s">
        <v>231</v>
      </c>
      <c r="AU164" s="129" t="s">
        <v>76</v>
      </c>
      <c r="AY164" s="13" t="s">
        <v>228</v>
      </c>
      <c r="BE164" s="130">
        <f>IF(N164="základná",J164,0)</f>
        <v>0</v>
      </c>
      <c r="BF164" s="130">
        <f>IF(N164="znížená",J164,0)</f>
        <v>710.53</v>
      </c>
      <c r="BG164" s="130">
        <f>IF(N164="zákl. prenesená",J164,0)</f>
        <v>0</v>
      </c>
      <c r="BH164" s="130">
        <f>IF(N164="zníž. prenesená",J164,0)</f>
        <v>0</v>
      </c>
      <c r="BI164" s="130">
        <f>IF(N164="nulová",J164,0)</f>
        <v>0</v>
      </c>
      <c r="BJ164" s="13" t="s">
        <v>76</v>
      </c>
      <c r="BK164" s="130">
        <f>ROUND(I164*H164,2)</f>
        <v>710.53</v>
      </c>
      <c r="BL164" s="13" t="s">
        <v>235</v>
      </c>
      <c r="BM164" s="129" t="s">
        <v>340</v>
      </c>
    </row>
    <row r="165" spans="2:65" s="1" customFormat="1" ht="16.5" customHeight="1" x14ac:dyDescent="0.2">
      <c r="B165" s="118"/>
      <c r="C165" s="119" t="s">
        <v>334</v>
      </c>
      <c r="D165" s="119" t="s">
        <v>231</v>
      </c>
      <c r="E165" s="120" t="s">
        <v>2663</v>
      </c>
      <c r="F165" s="121" t="s">
        <v>2664</v>
      </c>
      <c r="G165" s="122" t="s">
        <v>1194</v>
      </c>
      <c r="H165" s="123">
        <v>1</v>
      </c>
      <c r="I165" s="124">
        <v>852.64</v>
      </c>
      <c r="J165" s="124">
        <f>ROUND(I165*H165,2)</f>
        <v>852.64</v>
      </c>
      <c r="K165" s="121" t="s">
        <v>1</v>
      </c>
      <c r="L165" s="24"/>
      <c r="M165" s="140" t="s">
        <v>1</v>
      </c>
      <c r="N165" s="141" t="s">
        <v>32</v>
      </c>
      <c r="O165" s="142">
        <v>0</v>
      </c>
      <c r="P165" s="142">
        <f>O165*H165</f>
        <v>0</v>
      </c>
      <c r="Q165" s="142">
        <v>0</v>
      </c>
      <c r="R165" s="142">
        <f>Q165*H165</f>
        <v>0</v>
      </c>
      <c r="S165" s="142">
        <v>0</v>
      </c>
      <c r="T165" s="143">
        <f>S165*H165</f>
        <v>0</v>
      </c>
      <c r="AR165" s="129" t="s">
        <v>235</v>
      </c>
      <c r="AT165" s="129" t="s">
        <v>231</v>
      </c>
      <c r="AU165" s="129" t="s">
        <v>76</v>
      </c>
      <c r="AY165" s="13" t="s">
        <v>228</v>
      </c>
      <c r="BE165" s="130">
        <f>IF(N165="základná",J165,0)</f>
        <v>0</v>
      </c>
      <c r="BF165" s="130">
        <f>IF(N165="znížená",J165,0)</f>
        <v>852.64</v>
      </c>
      <c r="BG165" s="130">
        <f>IF(N165="zákl. prenesená",J165,0)</f>
        <v>0</v>
      </c>
      <c r="BH165" s="130">
        <f>IF(N165="zníž. prenesená",J165,0)</f>
        <v>0</v>
      </c>
      <c r="BI165" s="130">
        <f>IF(N165="nulová",J165,0)</f>
        <v>0</v>
      </c>
      <c r="BJ165" s="13" t="s">
        <v>76</v>
      </c>
      <c r="BK165" s="130">
        <f>ROUND(I165*H165,2)</f>
        <v>852.64</v>
      </c>
      <c r="BL165" s="13" t="s">
        <v>235</v>
      </c>
      <c r="BM165" s="129" t="s">
        <v>344</v>
      </c>
    </row>
    <row r="166" spans="2:65" s="1" customFormat="1" ht="7.05" customHeight="1" x14ac:dyDescent="0.2">
      <c r="B166" s="33"/>
      <c r="C166" s="34"/>
      <c r="D166" s="34"/>
      <c r="E166" s="34"/>
      <c r="F166" s="34"/>
      <c r="G166" s="34"/>
      <c r="H166" s="34"/>
      <c r="I166" s="34"/>
      <c r="J166" s="34"/>
      <c r="K166" s="34"/>
      <c r="L166" s="24"/>
    </row>
  </sheetData>
  <autoFilter ref="C118:K165" xr:uid="{00000000-0009-0000-0000-000018000000}"/>
  <mergeCells count="14">
    <mergeCell ref="E87:H87"/>
    <mergeCell ref="E109:H109"/>
    <mergeCell ref="E111:H111"/>
    <mergeCell ref="L2:V2"/>
    <mergeCell ref="E9:H9"/>
    <mergeCell ref="E18:H18"/>
    <mergeCell ref="E27:H27"/>
    <mergeCell ref="E85:H85"/>
    <mergeCell ref="C4:J4"/>
    <mergeCell ref="F6:J7"/>
    <mergeCell ref="C82:J82"/>
    <mergeCell ref="E84:J84"/>
    <mergeCell ref="C106:J106"/>
    <mergeCell ref="E108:J108"/>
  </mergeCells>
  <pageMargins left="0.39374999999999999" right="0.39374999999999999" top="0.39374999999999999" bottom="0.39374999999999999" header="0" footer="0"/>
  <pageSetup paperSize="9" scale="89" fitToHeight="100" orientation="portrait" blackAndWhite="1" r:id="rId1"/>
  <headerFooter>
    <oddFooter>&amp;CStrana &amp;P z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BM180"/>
  <sheetViews>
    <sheetView showGridLines="0" topLeftCell="A77" zoomScale="80" zoomScaleNormal="80" workbookViewId="0">
      <selection activeCell="AE98" sqref="AE98:AE103"/>
    </sheetView>
  </sheetViews>
  <sheetFormatPr defaultColWidth="8.7109375" defaultRowHeight="10.199999999999999" x14ac:dyDescent="0.2"/>
  <cols>
    <col min="1" max="1" width="8.28515625" customWidth="1"/>
    <col min="2" max="2" width="1.7109375" customWidth="1"/>
    <col min="3" max="4" width="4.28515625" customWidth="1"/>
    <col min="5" max="5" width="17.28515625" customWidth="1"/>
    <col min="6" max="6" width="50.7109375" customWidth="1"/>
    <col min="7" max="7" width="7" customWidth="1"/>
    <col min="8" max="8" width="11.42578125" customWidth="1"/>
    <col min="9" max="10" width="20.28515625" customWidth="1"/>
    <col min="11" max="11" width="20.28515625" hidden="1" customWidth="1"/>
    <col min="12" max="12" width="9.28515625" customWidth="1"/>
    <col min="13" max="13" width="10.7109375" hidden="1" customWidth="1"/>
    <col min="14" max="14" width="9.28515625" hidden="1"/>
    <col min="15" max="20" width="14.28515625" hidden="1" customWidth="1"/>
    <col min="21" max="21" width="16.28515625" hidden="1" customWidth="1"/>
    <col min="22" max="22" width="12.28515625" customWidth="1"/>
    <col min="23" max="23" width="1.7109375" style="474" customWidth="1"/>
    <col min="24" max="25" width="4.28515625" style="474" customWidth="1"/>
    <col min="26" max="26" width="17.28515625" style="474" customWidth="1"/>
    <col min="27" max="27" width="50.7109375" style="474" customWidth="1"/>
    <col min="28" max="28" width="7" style="474" customWidth="1"/>
    <col min="29" max="29" width="11.42578125" style="474" customWidth="1"/>
    <col min="30" max="31" width="20.28515625" style="474" customWidth="1"/>
    <col min="44" max="65" width="9.28515625" hidden="1"/>
  </cols>
  <sheetData>
    <row r="1" spans="1:46" x14ac:dyDescent="0.2">
      <c r="A1" s="73"/>
    </row>
    <row r="2" spans="1:46" ht="37.049999999999997" customHeight="1" x14ac:dyDescent="0.2">
      <c r="L2" s="1227" t="s">
        <v>5</v>
      </c>
      <c r="M2" s="1225"/>
      <c r="N2" s="1225"/>
      <c r="O2" s="1225"/>
      <c r="P2" s="1225"/>
      <c r="Q2" s="1225"/>
      <c r="R2" s="1225"/>
      <c r="S2" s="1225"/>
      <c r="T2" s="1225"/>
      <c r="U2" s="1225"/>
      <c r="V2" s="1225"/>
      <c r="AT2" s="13" t="s">
        <v>135</v>
      </c>
    </row>
    <row r="3" spans="1:46" ht="7.05" customHeight="1" x14ac:dyDescent="0.2">
      <c r="B3" s="14"/>
      <c r="C3" s="15"/>
      <c r="D3" s="15"/>
      <c r="E3" s="15"/>
      <c r="F3" s="15"/>
      <c r="G3" s="15"/>
      <c r="H3" s="15"/>
      <c r="I3" s="15"/>
      <c r="J3" s="15"/>
      <c r="K3" s="15"/>
      <c r="L3" s="16"/>
      <c r="W3" s="152"/>
      <c r="X3" s="153"/>
      <c r="Y3" s="153"/>
      <c r="Z3" s="153"/>
      <c r="AA3" s="153"/>
      <c r="AB3" s="153"/>
      <c r="AC3" s="153"/>
      <c r="AD3" s="153"/>
      <c r="AE3" s="154"/>
      <c r="AT3" s="13" t="s">
        <v>58</v>
      </c>
    </row>
    <row r="4" spans="1:46" ht="25.05" customHeight="1" x14ac:dyDescent="0.2">
      <c r="B4" s="16"/>
      <c r="D4" s="1165" t="s">
        <v>185</v>
      </c>
      <c r="E4" s="1165"/>
      <c r="F4" s="1165"/>
      <c r="G4" s="1165"/>
      <c r="H4" s="1165"/>
      <c r="I4" s="1165"/>
      <c r="J4" s="1165"/>
      <c r="L4" s="16"/>
      <c r="M4" s="74" t="s">
        <v>9</v>
      </c>
      <c r="W4" s="155"/>
      <c r="X4" s="1237" t="s">
        <v>185</v>
      </c>
      <c r="Y4" s="1237"/>
      <c r="Z4" s="1237"/>
      <c r="AA4" s="1237"/>
      <c r="AB4" s="1237"/>
      <c r="AC4" s="1237"/>
      <c r="AD4" s="1237"/>
      <c r="AE4" s="1238"/>
      <c r="AT4" s="13" t="s">
        <v>3</v>
      </c>
    </row>
    <row r="5" spans="1:46" ht="7.05" customHeight="1" x14ac:dyDescent="0.2">
      <c r="B5" s="16"/>
      <c r="L5" s="16"/>
      <c r="W5" s="155"/>
      <c r="X5" s="156"/>
      <c r="Y5" s="156"/>
      <c r="Z5" s="156"/>
      <c r="AA5" s="156"/>
      <c r="AB5" s="156"/>
      <c r="AC5" s="156"/>
      <c r="AD5" s="156"/>
      <c r="AE5" s="157"/>
    </row>
    <row r="6" spans="1:46" ht="12" customHeight="1" x14ac:dyDescent="0.2">
      <c r="B6" s="16"/>
      <c r="D6" s="548" t="s">
        <v>12</v>
      </c>
      <c r="F6" s="1254" t="s">
        <v>6176</v>
      </c>
      <c r="G6" s="1254"/>
      <c r="H6" s="1254"/>
      <c r="I6" s="1254"/>
      <c r="J6" s="1254"/>
      <c r="L6" s="16"/>
      <c r="W6" s="155"/>
      <c r="X6" s="156"/>
      <c r="Y6" s="541" t="s">
        <v>12</v>
      </c>
      <c r="Z6" s="156"/>
      <c r="AA6" s="1239" t="s">
        <v>6176</v>
      </c>
      <c r="AB6" s="1239"/>
      <c r="AC6" s="1239"/>
      <c r="AD6" s="1239"/>
      <c r="AE6" s="1240"/>
    </row>
    <row r="7" spans="1:46" ht="24.75" customHeight="1" x14ac:dyDescent="0.2">
      <c r="B7" s="16"/>
      <c r="D7" s="527"/>
      <c r="E7" s="531"/>
      <c r="F7" s="1254"/>
      <c r="G7" s="1254"/>
      <c r="H7" s="1254"/>
      <c r="I7" s="1254"/>
      <c r="J7" s="1254"/>
      <c r="L7" s="16"/>
      <c r="W7" s="155"/>
      <c r="X7" s="156"/>
      <c r="Y7" s="539"/>
      <c r="Z7" s="245"/>
      <c r="AA7" s="1239"/>
      <c r="AB7" s="1239"/>
      <c r="AC7" s="1239"/>
      <c r="AD7" s="1239"/>
      <c r="AE7" s="1240"/>
    </row>
    <row r="8" spans="1:46" s="1" customFormat="1" ht="12" customHeight="1" x14ac:dyDescent="0.2">
      <c r="B8" s="24"/>
      <c r="D8" s="549" t="s">
        <v>186</v>
      </c>
      <c r="F8" s="532" t="s">
        <v>4078</v>
      </c>
      <c r="L8" s="24"/>
      <c r="W8" s="158"/>
      <c r="X8" s="557"/>
      <c r="Y8" s="550" t="s">
        <v>186</v>
      </c>
      <c r="Z8" s="557"/>
      <c r="AA8" s="555" t="s">
        <v>4078</v>
      </c>
      <c r="AB8" s="557"/>
      <c r="AC8" s="557"/>
      <c r="AD8" s="557"/>
      <c r="AE8" s="159"/>
    </row>
    <row r="9" spans="1:46" s="1" customFormat="1" ht="37.049999999999997" customHeight="1" x14ac:dyDescent="0.2">
      <c r="B9" s="24"/>
      <c r="D9" s="521"/>
      <c r="E9" s="1251"/>
      <c r="F9" s="1252"/>
      <c r="G9" s="1252"/>
      <c r="H9" s="1252"/>
      <c r="L9" s="24"/>
      <c r="W9" s="158"/>
      <c r="X9" s="557"/>
      <c r="Y9" s="557"/>
      <c r="Z9" s="1245"/>
      <c r="AA9" s="1246"/>
      <c r="AB9" s="1246"/>
      <c r="AC9" s="1246"/>
      <c r="AD9" s="557"/>
      <c r="AE9" s="159"/>
    </row>
    <row r="10" spans="1:46" s="1" customFormat="1" x14ac:dyDescent="0.2">
      <c r="B10" s="24"/>
      <c r="D10" s="521"/>
      <c r="L10" s="24"/>
      <c r="W10" s="158"/>
      <c r="X10" s="557"/>
      <c r="Y10" s="557"/>
      <c r="Z10" s="557"/>
      <c r="AA10" s="557"/>
      <c r="AB10" s="557"/>
      <c r="AC10" s="557"/>
      <c r="AD10" s="557"/>
      <c r="AE10" s="159"/>
    </row>
    <row r="11" spans="1:46" s="1" customFormat="1" ht="12" customHeight="1" x14ac:dyDescent="0.2">
      <c r="B11" s="24"/>
      <c r="D11" s="528" t="s">
        <v>13</v>
      </c>
      <c r="F11" s="19" t="s">
        <v>1</v>
      </c>
      <c r="I11" s="528" t="s">
        <v>14</v>
      </c>
      <c r="J11" s="19" t="s">
        <v>1</v>
      </c>
      <c r="L11" s="24"/>
      <c r="W11" s="158"/>
      <c r="X11" s="557"/>
      <c r="Y11" s="538" t="s">
        <v>13</v>
      </c>
      <c r="Z11" s="557"/>
      <c r="AA11" s="558" t="s">
        <v>1</v>
      </c>
      <c r="AB11" s="557"/>
      <c r="AC11" s="557"/>
      <c r="AD11" s="538" t="s">
        <v>14</v>
      </c>
      <c r="AE11" s="161" t="s">
        <v>1</v>
      </c>
    </row>
    <row r="12" spans="1:46" s="1" customFormat="1" ht="12" customHeight="1" x14ac:dyDescent="0.2">
      <c r="B12" s="24"/>
      <c r="D12" s="528" t="s">
        <v>15</v>
      </c>
      <c r="F12" s="520" t="s">
        <v>6173</v>
      </c>
      <c r="I12" s="528" t="s">
        <v>17</v>
      </c>
      <c r="J12" s="39"/>
      <c r="L12" s="24"/>
      <c r="W12" s="158"/>
      <c r="X12" s="557"/>
      <c r="Y12" s="538" t="s">
        <v>15</v>
      </c>
      <c r="Z12" s="557"/>
      <c r="AA12" s="558" t="s">
        <v>6173</v>
      </c>
      <c r="AB12" s="557"/>
      <c r="AC12" s="557"/>
      <c r="AD12" s="538" t="s">
        <v>17</v>
      </c>
      <c r="AE12" s="162"/>
    </row>
    <row r="13" spans="1:46" s="1" customFormat="1" ht="10.95" customHeight="1" x14ac:dyDescent="0.2">
      <c r="B13" s="24"/>
      <c r="D13" s="521"/>
      <c r="F13" s="521"/>
      <c r="I13" s="521"/>
      <c r="L13" s="24"/>
      <c r="W13" s="158"/>
      <c r="X13" s="557"/>
      <c r="Y13" s="557"/>
      <c r="Z13" s="557"/>
      <c r="AA13" s="557"/>
      <c r="AB13" s="557"/>
      <c r="AC13" s="557"/>
      <c r="AD13" s="557"/>
      <c r="AE13" s="159"/>
    </row>
    <row r="14" spans="1:46" s="1" customFormat="1" ht="12" customHeight="1" x14ac:dyDescent="0.2">
      <c r="B14" s="24"/>
      <c r="D14" s="528" t="s">
        <v>18</v>
      </c>
      <c r="F14" s="529" t="s">
        <v>6175</v>
      </c>
      <c r="I14" s="528" t="s">
        <v>19</v>
      </c>
      <c r="J14" s="19" t="str">
        <f>IF('Rekapitulácia stavby'!AN10="","",'Rekapitulácia stavby'!AN10)</f>
        <v/>
      </c>
      <c r="L14" s="24"/>
      <c r="W14" s="158"/>
      <c r="X14" s="557"/>
      <c r="Y14" s="538" t="s">
        <v>18</v>
      </c>
      <c r="Z14" s="557"/>
      <c r="AA14" s="576" t="s">
        <v>6175</v>
      </c>
      <c r="AB14" s="557"/>
      <c r="AC14" s="557"/>
      <c r="AD14" s="538" t="s">
        <v>19</v>
      </c>
      <c r="AE14" s="161" t="str">
        <f>IF('Rekapitulácia stavby'!BI10="","",'Rekapitulácia stavby'!BI10)</f>
        <v/>
      </c>
    </row>
    <row r="15" spans="1:46" s="1" customFormat="1" ht="18" customHeight="1" x14ac:dyDescent="0.2">
      <c r="B15" s="24"/>
      <c r="D15" s="521"/>
      <c r="E15" s="19" t="str">
        <f>IF('Rekapitulácia stavby'!E11="","",'Rekapitulácia stavby'!E11)</f>
        <v/>
      </c>
      <c r="F15" s="521"/>
      <c r="I15" s="528" t="s">
        <v>20</v>
      </c>
      <c r="J15" s="19" t="str">
        <f>IF('Rekapitulácia stavby'!AN11="","",'Rekapitulácia stavby'!AN11)</f>
        <v/>
      </c>
      <c r="L15" s="24"/>
      <c r="W15" s="158"/>
      <c r="X15" s="557"/>
      <c r="Y15" s="557"/>
      <c r="Z15" s="558" t="str">
        <f>E15</f>
        <v/>
      </c>
      <c r="AA15" s="557"/>
      <c r="AB15" s="557"/>
      <c r="AC15" s="557"/>
      <c r="AD15" s="538" t="s">
        <v>20</v>
      </c>
      <c r="AE15" s="161" t="str">
        <f>IF('Rekapitulácia stavby'!BI11="","",'Rekapitulácia stavby'!BI11)</f>
        <v/>
      </c>
    </row>
    <row r="16" spans="1:46" s="1" customFormat="1" ht="7.05" customHeight="1" x14ac:dyDescent="0.2">
      <c r="B16" s="24"/>
      <c r="D16" s="521"/>
      <c r="F16" s="521"/>
      <c r="I16" s="521"/>
      <c r="L16" s="24"/>
      <c r="W16" s="158"/>
      <c r="X16" s="557"/>
      <c r="Y16" s="557"/>
      <c r="Z16" s="557"/>
      <c r="AA16" s="557"/>
      <c r="AB16" s="557"/>
      <c r="AC16" s="557"/>
      <c r="AD16" s="557"/>
      <c r="AE16" s="159"/>
    </row>
    <row r="17" spans="2:31" s="1" customFormat="1" ht="12" customHeight="1" x14ac:dyDescent="0.2">
      <c r="B17" s="24"/>
      <c r="D17" s="528" t="s">
        <v>21</v>
      </c>
      <c r="F17" s="529" t="s">
        <v>5202</v>
      </c>
      <c r="I17" s="528" t="s">
        <v>19</v>
      </c>
      <c r="J17" s="19"/>
      <c r="L17" s="24"/>
      <c r="W17" s="158"/>
      <c r="X17" s="557"/>
      <c r="Y17" s="538" t="s">
        <v>21</v>
      </c>
      <c r="Z17" s="557"/>
      <c r="AA17" s="576" t="s">
        <v>5202</v>
      </c>
      <c r="AB17" s="557"/>
      <c r="AC17" s="557"/>
      <c r="AD17" s="538" t="s">
        <v>19</v>
      </c>
      <c r="AE17" s="161"/>
    </row>
    <row r="18" spans="2:31" s="1" customFormat="1" ht="18" customHeight="1" x14ac:dyDescent="0.2">
      <c r="B18" s="24"/>
      <c r="D18" s="521"/>
      <c r="E18" s="1161"/>
      <c r="F18" s="1161"/>
      <c r="G18" s="1161"/>
      <c r="H18" s="1161"/>
      <c r="I18" s="528" t="s">
        <v>20</v>
      </c>
      <c r="J18" s="19" t="str">
        <f>'Rekapitulácia stavby'!AN14</f>
        <v/>
      </c>
      <c r="L18" s="24"/>
      <c r="W18" s="158"/>
      <c r="X18" s="557"/>
      <c r="Y18" s="557"/>
      <c r="Z18" s="1247"/>
      <c r="AA18" s="1247"/>
      <c r="AB18" s="1247"/>
      <c r="AC18" s="1247"/>
      <c r="AD18" s="538" t="s">
        <v>20</v>
      </c>
      <c r="AE18" s="161"/>
    </row>
    <row r="19" spans="2:31" s="1" customFormat="1" ht="7.05" customHeight="1" x14ac:dyDescent="0.2">
      <c r="B19" s="24"/>
      <c r="D19" s="521"/>
      <c r="I19" s="521"/>
      <c r="L19" s="24"/>
      <c r="W19" s="158"/>
      <c r="X19" s="557"/>
      <c r="Y19" s="557"/>
      <c r="Z19" s="557"/>
      <c r="AA19" s="557"/>
      <c r="AB19" s="557"/>
      <c r="AC19" s="557"/>
      <c r="AD19" s="557"/>
      <c r="AE19" s="159"/>
    </row>
    <row r="20" spans="2:31" s="1" customFormat="1" ht="12" customHeight="1" x14ac:dyDescent="0.2">
      <c r="B20" s="24"/>
      <c r="D20" s="528" t="s">
        <v>22</v>
      </c>
      <c r="I20" s="528" t="s">
        <v>19</v>
      </c>
      <c r="J20" s="19" t="str">
        <f>IF('Rekapitulácia stavby'!AN16="","",'Rekapitulácia stavby'!AN16)</f>
        <v/>
      </c>
      <c r="L20" s="24"/>
      <c r="W20" s="158"/>
      <c r="X20" s="557"/>
      <c r="Y20" s="538" t="s">
        <v>22</v>
      </c>
      <c r="Z20" s="557"/>
      <c r="AA20" s="557"/>
      <c r="AB20" s="557"/>
      <c r="AC20" s="557"/>
      <c r="AD20" s="538" t="s">
        <v>19</v>
      </c>
      <c r="AE20" s="161" t="str">
        <f>IF('Rekapitulácia stavby'!BI16="","",'Rekapitulácia stavby'!BI16)</f>
        <v/>
      </c>
    </row>
    <row r="21" spans="2:31" s="1" customFormat="1" ht="18" customHeight="1" x14ac:dyDescent="0.2">
      <c r="B21" s="24"/>
      <c r="D21" s="521"/>
      <c r="E21" s="19" t="str">
        <f>IF('Rekapitulácia stavby'!E17="","",'Rekapitulácia stavby'!E17)</f>
        <v xml:space="preserve"> </v>
      </c>
      <c r="I21" s="528" t="s">
        <v>20</v>
      </c>
      <c r="J21" s="19" t="str">
        <f>IF('Rekapitulácia stavby'!AN17="","",'Rekapitulácia stavby'!AN17)</f>
        <v/>
      </c>
      <c r="L21" s="24"/>
      <c r="W21" s="158"/>
      <c r="X21" s="557"/>
      <c r="Y21" s="557"/>
      <c r="Z21" s="558" t="str">
        <f>IF('Rekapitulácia stavby'!Z17="","",'Rekapitulácia stavby'!Z17)</f>
        <v/>
      </c>
      <c r="AA21" s="557"/>
      <c r="AB21" s="557"/>
      <c r="AC21" s="557"/>
      <c r="AD21" s="538" t="s">
        <v>20</v>
      </c>
      <c r="AE21" s="161" t="str">
        <f>IF('Rekapitulácia stavby'!BI17="","",'Rekapitulácia stavby'!BI17)</f>
        <v/>
      </c>
    </row>
    <row r="22" spans="2:31" s="1" customFormat="1" ht="7.05" customHeight="1" x14ac:dyDescent="0.2">
      <c r="B22" s="24"/>
      <c r="D22" s="521"/>
      <c r="I22" s="521"/>
      <c r="L22" s="24"/>
      <c r="W22" s="158"/>
      <c r="X22" s="557"/>
      <c r="Y22" s="557"/>
      <c r="Z22" s="557"/>
      <c r="AA22" s="557"/>
      <c r="AB22" s="557"/>
      <c r="AC22" s="557"/>
      <c r="AD22" s="557"/>
      <c r="AE22" s="159"/>
    </row>
    <row r="23" spans="2:31" s="1" customFormat="1" ht="12" customHeight="1" x14ac:dyDescent="0.2">
      <c r="B23" s="24"/>
      <c r="D23" s="528" t="s">
        <v>24</v>
      </c>
      <c r="I23" s="528" t="s">
        <v>19</v>
      </c>
      <c r="J23" s="19" t="str">
        <f>IF('Rekapitulácia stavby'!AN19="","",'Rekapitulácia stavby'!AN19)</f>
        <v/>
      </c>
      <c r="L23" s="24"/>
      <c r="W23" s="158"/>
      <c r="X23" s="557"/>
      <c r="Y23" s="538" t="s">
        <v>24</v>
      </c>
      <c r="Z23" s="557"/>
      <c r="AA23" s="557"/>
      <c r="AB23" s="557"/>
      <c r="AC23" s="557"/>
      <c r="AD23" s="538" t="s">
        <v>19</v>
      </c>
      <c r="AE23" s="161" t="str">
        <f>IF('Rekapitulácia stavby'!BI19="","",'Rekapitulácia stavby'!BI19)</f>
        <v/>
      </c>
    </row>
    <row r="24" spans="2:31" s="1" customFormat="1" ht="18" customHeight="1" x14ac:dyDescent="0.2">
      <c r="B24" s="24"/>
      <c r="D24" s="521"/>
      <c r="E24" s="19" t="str">
        <f>IF('Rekapitulácia stavby'!E20="","",'Rekapitulácia stavby'!E20)</f>
        <v xml:space="preserve"> </v>
      </c>
      <c r="I24" s="528" t="s">
        <v>20</v>
      </c>
      <c r="J24" s="19" t="str">
        <f>IF('Rekapitulácia stavby'!AN20="","",'Rekapitulácia stavby'!AN20)</f>
        <v/>
      </c>
      <c r="L24" s="24"/>
      <c r="W24" s="158"/>
      <c r="X24" s="557"/>
      <c r="Y24" s="557"/>
      <c r="Z24" s="558" t="str">
        <f>IF('Rekapitulácia stavby'!Z20="","",'Rekapitulácia stavby'!Z20)</f>
        <v/>
      </c>
      <c r="AA24" s="557"/>
      <c r="AB24" s="557"/>
      <c r="AC24" s="557"/>
      <c r="AD24" s="538" t="s">
        <v>20</v>
      </c>
      <c r="AE24" s="161" t="str">
        <f>IF('Rekapitulácia stavby'!BI20="","",'Rekapitulácia stavby'!BI20)</f>
        <v/>
      </c>
    </row>
    <row r="25" spans="2:31" s="1" customFormat="1" ht="7.05" customHeight="1" x14ac:dyDescent="0.2">
      <c r="B25" s="24"/>
      <c r="D25" s="521"/>
      <c r="I25" s="521"/>
      <c r="L25" s="24"/>
      <c r="W25" s="158"/>
      <c r="X25" s="557"/>
      <c r="Y25" s="557"/>
      <c r="Z25" s="557"/>
      <c r="AA25" s="557"/>
      <c r="AB25" s="557"/>
      <c r="AC25" s="557"/>
      <c r="AD25" s="557"/>
      <c r="AE25" s="159"/>
    </row>
    <row r="26" spans="2:31" s="1" customFormat="1" ht="12" customHeight="1" x14ac:dyDescent="0.2">
      <c r="B26" s="24"/>
      <c r="D26" s="528" t="s">
        <v>25</v>
      </c>
      <c r="L26" s="24"/>
      <c r="W26" s="158"/>
      <c r="X26" s="557"/>
      <c r="Y26" s="538" t="s">
        <v>25</v>
      </c>
      <c r="Z26" s="557"/>
      <c r="AA26" s="557"/>
      <c r="AB26" s="557"/>
      <c r="AC26" s="557"/>
      <c r="AD26" s="557"/>
      <c r="AE26" s="159"/>
    </row>
    <row r="27" spans="2:31" s="7" customFormat="1" ht="16.5" customHeight="1" x14ac:dyDescent="0.2">
      <c r="B27" s="75"/>
      <c r="E27" s="1228" t="s">
        <v>1</v>
      </c>
      <c r="F27" s="1228"/>
      <c r="G27" s="1228"/>
      <c r="H27" s="1228"/>
      <c r="L27" s="75"/>
      <c r="W27" s="163"/>
      <c r="X27" s="164"/>
      <c r="Y27" s="164"/>
      <c r="Z27" s="1248" t="s">
        <v>1</v>
      </c>
      <c r="AA27" s="1248"/>
      <c r="AB27" s="1248"/>
      <c r="AC27" s="1248"/>
      <c r="AD27" s="164"/>
      <c r="AE27" s="165"/>
    </row>
    <row r="28" spans="2:31" s="1" customFormat="1" ht="7.05" customHeight="1" x14ac:dyDescent="0.2">
      <c r="B28" s="24"/>
      <c r="L28" s="24"/>
      <c r="W28" s="158"/>
      <c r="X28" s="557"/>
      <c r="Y28" s="557"/>
      <c r="Z28" s="557"/>
      <c r="AA28" s="557"/>
      <c r="AB28" s="557"/>
      <c r="AC28" s="557"/>
      <c r="AD28" s="557"/>
      <c r="AE28" s="159"/>
    </row>
    <row r="29" spans="2:31" s="1" customFormat="1" ht="7.05" customHeight="1" x14ac:dyDescent="0.2">
      <c r="B29" s="24"/>
      <c r="D29" s="40"/>
      <c r="E29" s="40"/>
      <c r="F29" s="40"/>
      <c r="G29" s="40"/>
      <c r="H29" s="40"/>
      <c r="I29" s="40"/>
      <c r="J29" s="40"/>
      <c r="K29" s="40"/>
      <c r="L29" s="24"/>
      <c r="W29" s="158"/>
      <c r="X29" s="557"/>
      <c r="Y29" s="40"/>
      <c r="Z29" s="40"/>
      <c r="AA29" s="40"/>
      <c r="AB29" s="40"/>
      <c r="AC29" s="40"/>
      <c r="AD29" s="40"/>
      <c r="AE29" s="166"/>
    </row>
    <row r="30" spans="2:31" s="1" customFormat="1" ht="25.2" customHeight="1" x14ac:dyDescent="0.2">
      <c r="B30" s="24"/>
      <c r="D30" s="76" t="s">
        <v>26</v>
      </c>
      <c r="J30" s="53">
        <f>ROUND(J123, 2)</f>
        <v>51248.41</v>
      </c>
      <c r="L30" s="24"/>
      <c r="W30" s="158"/>
      <c r="X30" s="557"/>
      <c r="Y30" s="167" t="s">
        <v>26</v>
      </c>
      <c r="Z30" s="557"/>
      <c r="AA30" s="557"/>
      <c r="AB30" s="557"/>
      <c r="AC30" s="557"/>
      <c r="AD30" s="557"/>
      <c r="AE30" s="168">
        <f>ROUND(AE123, 2)</f>
        <v>51248.41</v>
      </c>
    </row>
    <row r="31" spans="2:31" s="1" customFormat="1" ht="7.05" customHeight="1" x14ac:dyDescent="0.2">
      <c r="B31" s="24"/>
      <c r="D31" s="40"/>
      <c r="E31" s="40"/>
      <c r="F31" s="40"/>
      <c r="G31" s="40"/>
      <c r="H31" s="40"/>
      <c r="I31" s="40"/>
      <c r="J31" s="40"/>
      <c r="K31" s="40"/>
      <c r="L31" s="24"/>
      <c r="W31" s="158"/>
      <c r="X31" s="557"/>
      <c r="Y31" s="40"/>
      <c r="Z31" s="40"/>
      <c r="AA31" s="40"/>
      <c r="AB31" s="40"/>
      <c r="AC31" s="40"/>
      <c r="AD31" s="40"/>
      <c r="AE31" s="166"/>
    </row>
    <row r="32" spans="2:31" s="1" customFormat="1" ht="14.55" customHeight="1" x14ac:dyDescent="0.2">
      <c r="B32" s="24"/>
      <c r="D32" s="521"/>
      <c r="E32" s="521"/>
      <c r="F32" s="534" t="s">
        <v>28</v>
      </c>
      <c r="G32" s="521"/>
      <c r="H32" s="521"/>
      <c r="I32" s="534" t="s">
        <v>27</v>
      </c>
      <c r="J32" s="534" t="s">
        <v>29</v>
      </c>
      <c r="L32" s="24"/>
      <c r="W32" s="158"/>
      <c r="X32" s="557"/>
      <c r="Y32" s="557"/>
      <c r="Z32" s="557"/>
      <c r="AA32" s="542" t="s">
        <v>28</v>
      </c>
      <c r="AB32" s="557"/>
      <c r="AC32" s="557"/>
      <c r="AD32" s="542" t="s">
        <v>27</v>
      </c>
      <c r="AE32" s="543" t="s">
        <v>29</v>
      </c>
    </row>
    <row r="33" spans="2:31" s="1" customFormat="1" ht="14.55" customHeight="1" x14ac:dyDescent="0.2">
      <c r="B33" s="24"/>
      <c r="D33" s="13" t="s">
        <v>30</v>
      </c>
      <c r="E33" s="528" t="s">
        <v>31</v>
      </c>
      <c r="F33" s="398">
        <f>ROUND((SUM(BE123:BE179)),  2)</f>
        <v>0</v>
      </c>
      <c r="G33" s="521"/>
      <c r="H33" s="521"/>
      <c r="I33" s="535">
        <v>0.2</v>
      </c>
      <c r="J33" s="398">
        <f>ROUND(((SUM(BE123:BE179))*I33),  2)</f>
        <v>0</v>
      </c>
      <c r="L33" s="24"/>
      <c r="W33" s="158"/>
      <c r="X33" s="557"/>
      <c r="Y33" s="544" t="s">
        <v>30</v>
      </c>
      <c r="Z33" s="538" t="s">
        <v>31</v>
      </c>
      <c r="AA33" s="545">
        <f>ROUND((SUM(BZ123:BZ179)),  2)</f>
        <v>0</v>
      </c>
      <c r="AB33" s="557"/>
      <c r="AC33" s="557"/>
      <c r="AD33" s="546">
        <v>0.2</v>
      </c>
      <c r="AE33" s="547">
        <f>ROUND(((SUM(BZ123:BZ179))*AD33),  2)</f>
        <v>0</v>
      </c>
    </row>
    <row r="34" spans="2:31" s="1" customFormat="1" ht="14.55" customHeight="1" x14ac:dyDescent="0.2">
      <c r="B34" s="24"/>
      <c r="D34" s="521"/>
      <c r="E34" s="528" t="s">
        <v>32</v>
      </c>
      <c r="F34" s="398">
        <f>ROUND((SUM(BF123:BF179)),  2)</f>
        <v>51248.41</v>
      </c>
      <c r="G34" s="521"/>
      <c r="H34" s="521"/>
      <c r="I34" s="535">
        <v>0.2</v>
      </c>
      <c r="J34" s="398">
        <f>ROUND(((SUM(BF123:BF179))*I34),  2)</f>
        <v>10249.68</v>
      </c>
      <c r="L34" s="24"/>
      <c r="W34" s="158"/>
      <c r="X34" s="557"/>
      <c r="Y34" s="557"/>
      <c r="Z34" s="538" t="s">
        <v>32</v>
      </c>
      <c r="AA34" s="545">
        <f>AE30</f>
        <v>51248.41</v>
      </c>
      <c r="AB34" s="557"/>
      <c r="AC34" s="557"/>
      <c r="AD34" s="546">
        <v>0.2</v>
      </c>
      <c r="AE34" s="547">
        <f>AA34*0.2</f>
        <v>10249.682000000001</v>
      </c>
    </row>
    <row r="35" spans="2:31" s="1" customFormat="1" ht="14.55" hidden="1" customHeight="1" x14ac:dyDescent="0.2">
      <c r="B35" s="24"/>
      <c r="E35" s="21" t="s">
        <v>33</v>
      </c>
      <c r="F35" s="78">
        <f>ROUND((SUM(BG123:BG179)),  2)</f>
        <v>0</v>
      </c>
      <c r="I35" s="79">
        <v>0.2</v>
      </c>
      <c r="J35" s="78">
        <f>0</f>
        <v>0</v>
      </c>
      <c r="L35" s="24"/>
      <c r="W35" s="158"/>
      <c r="X35" s="557"/>
      <c r="Y35" s="557"/>
      <c r="Z35" s="559" t="s">
        <v>33</v>
      </c>
      <c r="AA35" s="170">
        <f>ROUND((SUM(CB123:CB179)),  2)</f>
        <v>0</v>
      </c>
      <c r="AB35" s="557"/>
      <c r="AC35" s="557"/>
      <c r="AD35" s="171">
        <v>0.2</v>
      </c>
      <c r="AE35" s="172">
        <f>0</f>
        <v>0</v>
      </c>
    </row>
    <row r="36" spans="2:31" s="1" customFormat="1" ht="14.55" hidden="1" customHeight="1" x14ac:dyDescent="0.2">
      <c r="B36" s="24"/>
      <c r="E36" s="21" t="s">
        <v>34</v>
      </c>
      <c r="F36" s="78">
        <f>ROUND((SUM(BH123:BH179)),  2)</f>
        <v>0</v>
      </c>
      <c r="I36" s="79">
        <v>0.2</v>
      </c>
      <c r="J36" s="78">
        <f>0</f>
        <v>0</v>
      </c>
      <c r="L36" s="24"/>
      <c r="W36" s="158"/>
      <c r="X36" s="557"/>
      <c r="Y36" s="557"/>
      <c r="Z36" s="559" t="s">
        <v>34</v>
      </c>
      <c r="AA36" s="170">
        <f>ROUND((SUM(CC123:CC179)),  2)</f>
        <v>0</v>
      </c>
      <c r="AB36" s="557"/>
      <c r="AC36" s="557"/>
      <c r="AD36" s="171">
        <v>0.2</v>
      </c>
      <c r="AE36" s="172">
        <f>0</f>
        <v>0</v>
      </c>
    </row>
    <row r="37" spans="2:31" s="1" customFormat="1" ht="14.55" hidden="1" customHeight="1" x14ac:dyDescent="0.2">
      <c r="B37" s="24"/>
      <c r="E37" s="21" t="s">
        <v>35</v>
      </c>
      <c r="F37" s="78">
        <f>ROUND((SUM(BI123:BI179)),  2)</f>
        <v>0</v>
      </c>
      <c r="I37" s="79">
        <v>0</v>
      </c>
      <c r="J37" s="78">
        <f>0</f>
        <v>0</v>
      </c>
      <c r="L37" s="24"/>
      <c r="W37" s="158"/>
      <c r="X37" s="557"/>
      <c r="Y37" s="557"/>
      <c r="Z37" s="559" t="s">
        <v>35</v>
      </c>
      <c r="AA37" s="170">
        <f>ROUND((SUM(CD123:CD179)),  2)</f>
        <v>0</v>
      </c>
      <c r="AB37" s="557"/>
      <c r="AC37" s="557"/>
      <c r="AD37" s="171">
        <v>0</v>
      </c>
      <c r="AE37" s="172">
        <f>0</f>
        <v>0</v>
      </c>
    </row>
    <row r="38" spans="2:31" s="1" customFormat="1" ht="7.05" customHeight="1" x14ac:dyDescent="0.2">
      <c r="B38" s="24"/>
      <c r="L38" s="24"/>
      <c r="W38" s="158"/>
      <c r="X38" s="557"/>
      <c r="Y38" s="557"/>
      <c r="Z38" s="557"/>
      <c r="AA38" s="557"/>
      <c r="AB38" s="557"/>
      <c r="AC38" s="557"/>
      <c r="AD38" s="557"/>
      <c r="AE38" s="159"/>
    </row>
    <row r="39" spans="2:31" s="1" customFormat="1" ht="25.2" customHeight="1" x14ac:dyDescent="0.2">
      <c r="B39" s="24"/>
      <c r="C39" s="80"/>
      <c r="D39" s="81" t="s">
        <v>36</v>
      </c>
      <c r="E39" s="44"/>
      <c r="F39" s="44"/>
      <c r="G39" s="82" t="s">
        <v>37</v>
      </c>
      <c r="H39" s="83" t="s">
        <v>38</v>
      </c>
      <c r="I39" s="44"/>
      <c r="J39" s="84">
        <f>SUM(J30:J37)</f>
        <v>61498.090000000004</v>
      </c>
      <c r="K39" s="85"/>
      <c r="L39" s="24"/>
      <c r="W39" s="158"/>
      <c r="X39" s="173"/>
      <c r="Y39" s="81" t="s">
        <v>36</v>
      </c>
      <c r="Z39" s="44"/>
      <c r="AA39" s="44"/>
      <c r="AB39" s="82" t="s">
        <v>37</v>
      </c>
      <c r="AC39" s="83" t="s">
        <v>38</v>
      </c>
      <c r="AD39" s="44"/>
      <c r="AE39" s="174">
        <f>SUM(AE30:AE37)</f>
        <v>61498.092000000004</v>
      </c>
    </row>
    <row r="40" spans="2:31" s="1" customFormat="1" ht="14.55" customHeight="1" x14ac:dyDescent="0.2">
      <c r="B40" s="24"/>
      <c r="L40" s="24"/>
      <c r="W40" s="158"/>
      <c r="X40" s="557"/>
      <c r="Y40" s="557"/>
      <c r="Z40" s="557"/>
      <c r="AA40" s="557"/>
      <c r="AB40" s="557"/>
      <c r="AC40" s="557"/>
      <c r="AD40" s="557"/>
      <c r="AE40" s="159"/>
    </row>
    <row r="41" spans="2:31" ht="14.55" customHeight="1" x14ac:dyDescent="0.2">
      <c r="B41" s="16"/>
      <c r="L41" s="16"/>
      <c r="W41" s="155"/>
      <c r="X41" s="156"/>
      <c r="Y41" s="156"/>
      <c r="Z41" s="156"/>
      <c r="AA41" s="156"/>
      <c r="AB41" s="156"/>
      <c r="AC41" s="156"/>
      <c r="AD41" s="156"/>
      <c r="AE41" s="157"/>
    </row>
    <row r="42" spans="2:31" ht="14.55" customHeight="1" x14ac:dyDescent="0.2">
      <c r="B42" s="16"/>
      <c r="L42" s="16"/>
      <c r="W42" s="155"/>
      <c r="X42" s="156"/>
      <c r="Y42" s="156"/>
      <c r="Z42" s="156"/>
      <c r="AA42" s="156"/>
      <c r="AB42" s="156"/>
      <c r="AC42" s="156"/>
      <c r="AD42" s="156"/>
      <c r="AE42" s="157"/>
    </row>
    <row r="43" spans="2:31" ht="14.55" customHeight="1" x14ac:dyDescent="0.2">
      <c r="B43" s="16"/>
      <c r="L43" s="16"/>
      <c r="W43" s="155"/>
      <c r="X43" s="156"/>
      <c r="Y43" s="156"/>
      <c r="Z43" s="156"/>
      <c r="AA43" s="156"/>
      <c r="AB43" s="156"/>
      <c r="AC43" s="156"/>
      <c r="AD43" s="156"/>
      <c r="AE43" s="157"/>
    </row>
    <row r="44" spans="2:31" ht="14.55" customHeight="1" x14ac:dyDescent="0.2">
      <c r="B44" s="16"/>
      <c r="L44" s="16"/>
      <c r="W44" s="155"/>
      <c r="X44" s="156"/>
      <c r="Y44" s="156"/>
      <c r="Z44" s="156"/>
      <c r="AA44" s="156"/>
      <c r="AB44" s="156"/>
      <c r="AC44" s="156"/>
      <c r="AD44" s="156"/>
      <c r="AE44" s="157"/>
    </row>
    <row r="45" spans="2:31" ht="14.55" customHeight="1" x14ac:dyDescent="0.2">
      <c r="B45" s="16"/>
      <c r="L45" s="16"/>
      <c r="W45" s="155"/>
      <c r="X45" s="156"/>
      <c r="Y45" s="156"/>
      <c r="Z45" s="156"/>
      <c r="AA45" s="156"/>
      <c r="AB45" s="156"/>
      <c r="AC45" s="156"/>
      <c r="AD45" s="156"/>
      <c r="AE45" s="157"/>
    </row>
    <row r="46" spans="2:31" ht="14.55" customHeight="1" x14ac:dyDescent="0.2">
      <c r="B46" s="16"/>
      <c r="L46" s="16"/>
      <c r="W46" s="155"/>
      <c r="X46" s="156"/>
      <c r="Y46" s="156"/>
      <c r="Z46" s="156"/>
      <c r="AA46" s="156"/>
      <c r="AB46" s="156"/>
      <c r="AC46" s="156"/>
      <c r="AD46" s="156"/>
      <c r="AE46" s="157"/>
    </row>
    <row r="47" spans="2:31" ht="14.55" customHeight="1" x14ac:dyDescent="0.2">
      <c r="B47" s="16"/>
      <c r="L47" s="16"/>
      <c r="W47" s="155"/>
      <c r="X47" s="156"/>
      <c r="Y47" s="156"/>
      <c r="Z47" s="156"/>
      <c r="AA47" s="156"/>
      <c r="AB47" s="156"/>
      <c r="AC47" s="156"/>
      <c r="AD47" s="156"/>
      <c r="AE47" s="157"/>
    </row>
    <row r="48" spans="2:31" ht="14.55" customHeight="1" x14ac:dyDescent="0.2">
      <c r="B48" s="16"/>
      <c r="L48" s="16"/>
      <c r="W48" s="155"/>
      <c r="X48" s="156"/>
      <c r="Y48" s="156"/>
      <c r="Z48" s="156"/>
      <c r="AA48" s="156"/>
      <c r="AB48" s="156"/>
      <c r="AC48" s="156"/>
      <c r="AD48" s="156"/>
      <c r="AE48" s="157"/>
    </row>
    <row r="49" spans="2:31" ht="14.55" customHeight="1" x14ac:dyDescent="0.2">
      <c r="B49" s="16"/>
      <c r="D49" s="156"/>
      <c r="E49" s="156"/>
      <c r="F49" s="156"/>
      <c r="G49" s="156"/>
      <c r="H49" s="156"/>
      <c r="I49" s="156"/>
      <c r="J49" s="156"/>
      <c r="L49" s="16"/>
      <c r="W49" s="155"/>
      <c r="X49" s="156"/>
      <c r="Y49" s="156"/>
      <c r="Z49" s="156"/>
      <c r="AA49" s="156"/>
      <c r="AB49" s="156"/>
      <c r="AC49" s="156"/>
      <c r="AD49" s="156"/>
      <c r="AE49" s="157"/>
    </row>
    <row r="50" spans="2:31" s="1" customFormat="1" ht="14.55" customHeight="1" x14ac:dyDescent="0.2">
      <c r="B50" s="24"/>
      <c r="D50" s="530"/>
      <c r="E50" s="523"/>
      <c r="F50" s="523"/>
      <c r="G50" s="530"/>
      <c r="H50" s="523"/>
      <c r="I50" s="523"/>
      <c r="J50" s="523"/>
      <c r="K50" s="32"/>
      <c r="L50" s="24"/>
      <c r="W50" s="158"/>
      <c r="X50" s="557"/>
      <c r="Y50" s="530"/>
      <c r="Z50" s="557"/>
      <c r="AA50" s="557"/>
      <c r="AB50" s="530"/>
      <c r="AC50" s="557"/>
      <c r="AD50" s="557"/>
      <c r="AE50" s="159"/>
    </row>
    <row r="51" spans="2:31" x14ac:dyDescent="0.2">
      <c r="B51" s="16"/>
      <c r="D51" s="156"/>
      <c r="E51" s="156"/>
      <c r="F51" s="156"/>
      <c r="G51" s="156"/>
      <c r="H51" s="156"/>
      <c r="I51" s="156"/>
      <c r="J51" s="156"/>
      <c r="L51" s="16"/>
      <c r="W51" s="155"/>
      <c r="X51" s="156"/>
      <c r="Y51" s="156"/>
      <c r="Z51" s="156"/>
      <c r="AA51" s="156"/>
      <c r="AB51" s="156"/>
      <c r="AC51" s="156"/>
      <c r="AD51" s="156"/>
      <c r="AE51" s="157"/>
    </row>
    <row r="52" spans="2:31" x14ac:dyDescent="0.2">
      <c r="B52" s="16"/>
      <c r="D52" s="156"/>
      <c r="E52" s="156"/>
      <c r="F52" s="156"/>
      <c r="G52" s="156"/>
      <c r="H52" s="156"/>
      <c r="I52" s="156"/>
      <c r="J52" s="156"/>
      <c r="L52" s="16"/>
      <c r="W52" s="155"/>
      <c r="X52" s="156"/>
      <c r="Y52" s="156"/>
      <c r="Z52" s="156"/>
      <c r="AA52" s="156"/>
      <c r="AB52" s="156"/>
      <c r="AC52" s="156"/>
      <c r="AD52" s="156"/>
      <c r="AE52" s="157"/>
    </row>
    <row r="53" spans="2:31" x14ac:dyDescent="0.2">
      <c r="B53" s="16"/>
      <c r="D53" s="156"/>
      <c r="E53" s="156"/>
      <c r="F53" s="156"/>
      <c r="G53" s="156"/>
      <c r="H53" s="156"/>
      <c r="I53" s="156"/>
      <c r="J53" s="156"/>
      <c r="L53" s="16"/>
      <c r="W53" s="155"/>
      <c r="X53" s="156"/>
      <c r="Y53" s="156"/>
      <c r="Z53" s="156"/>
      <c r="AA53" s="156"/>
      <c r="AB53" s="156"/>
      <c r="AC53" s="156"/>
      <c r="AD53" s="156"/>
      <c r="AE53" s="157"/>
    </row>
    <row r="54" spans="2:31" x14ac:dyDescent="0.2">
      <c r="B54" s="16"/>
      <c r="D54" s="156"/>
      <c r="E54" s="156"/>
      <c r="F54" s="156"/>
      <c r="G54" s="156"/>
      <c r="H54" s="156"/>
      <c r="I54" s="156"/>
      <c r="J54" s="156"/>
      <c r="L54" s="16"/>
      <c r="W54" s="155"/>
      <c r="X54" s="156"/>
      <c r="Y54" s="156"/>
      <c r="Z54" s="156"/>
      <c r="AA54" s="156"/>
      <c r="AB54" s="156"/>
      <c r="AC54" s="156"/>
      <c r="AD54" s="156"/>
      <c r="AE54" s="157"/>
    </row>
    <row r="55" spans="2:31" x14ac:dyDescent="0.2">
      <c r="B55" s="16"/>
      <c r="D55" s="156"/>
      <c r="E55" s="156"/>
      <c r="F55" s="156"/>
      <c r="G55" s="156"/>
      <c r="H55" s="156"/>
      <c r="I55" s="156"/>
      <c r="J55" s="156"/>
      <c r="L55" s="16"/>
      <c r="W55" s="155"/>
      <c r="X55" s="156"/>
      <c r="Y55" s="156"/>
      <c r="Z55" s="156"/>
      <c r="AA55" s="156"/>
      <c r="AB55" s="156"/>
      <c r="AC55" s="156"/>
      <c r="AD55" s="156"/>
      <c r="AE55" s="157"/>
    </row>
    <row r="56" spans="2:31" x14ac:dyDescent="0.2">
      <c r="B56" s="16"/>
      <c r="D56" s="156"/>
      <c r="E56" s="156"/>
      <c r="F56" s="156"/>
      <c r="G56" s="156"/>
      <c r="H56" s="156"/>
      <c r="I56" s="156"/>
      <c r="J56" s="156"/>
      <c r="L56" s="16"/>
      <c r="W56" s="155"/>
      <c r="X56" s="156"/>
      <c r="Y56" s="156"/>
      <c r="Z56" s="156"/>
      <c r="AA56" s="156"/>
      <c r="AB56" s="156"/>
      <c r="AC56" s="156"/>
      <c r="AD56" s="156"/>
      <c r="AE56" s="157"/>
    </row>
    <row r="57" spans="2:31" x14ac:dyDescent="0.2">
      <c r="B57" s="16"/>
      <c r="D57" s="156"/>
      <c r="E57" s="156"/>
      <c r="F57" s="156"/>
      <c r="G57" s="156"/>
      <c r="H57" s="156"/>
      <c r="I57" s="156"/>
      <c r="J57" s="156"/>
      <c r="L57" s="16"/>
      <c r="W57" s="155"/>
      <c r="X57" s="156"/>
      <c r="Y57" s="156"/>
      <c r="Z57" s="156"/>
      <c r="AA57" s="156"/>
      <c r="AB57" s="156"/>
      <c r="AC57" s="156"/>
      <c r="AD57" s="156"/>
      <c r="AE57" s="157"/>
    </row>
    <row r="58" spans="2:31" x14ac:dyDescent="0.2">
      <c r="B58" s="16"/>
      <c r="D58" s="156"/>
      <c r="E58" s="156"/>
      <c r="F58" s="156"/>
      <c r="G58" s="156"/>
      <c r="H58" s="156"/>
      <c r="I58" s="156"/>
      <c r="J58" s="156"/>
      <c r="L58" s="16"/>
      <c r="W58" s="155"/>
      <c r="X58" s="156"/>
      <c r="Y58" s="156"/>
      <c r="Z58" s="156"/>
      <c r="AA58" s="156"/>
      <c r="AB58" s="156"/>
      <c r="AC58" s="156"/>
      <c r="AD58" s="156"/>
      <c r="AE58" s="157"/>
    </row>
    <row r="59" spans="2:31" x14ac:dyDescent="0.2">
      <c r="B59" s="16"/>
      <c r="D59" s="156"/>
      <c r="E59" s="156"/>
      <c r="F59" s="156"/>
      <c r="G59" s="156"/>
      <c r="H59" s="156"/>
      <c r="I59" s="156"/>
      <c r="J59" s="156"/>
      <c r="L59" s="16"/>
      <c r="W59" s="155"/>
      <c r="X59" s="156"/>
      <c r="Y59" s="156"/>
      <c r="Z59" s="156"/>
      <c r="AA59" s="156"/>
      <c r="AB59" s="156"/>
      <c r="AC59" s="156"/>
      <c r="AD59" s="156"/>
      <c r="AE59" s="157"/>
    </row>
    <row r="60" spans="2:31" x14ac:dyDescent="0.2">
      <c r="B60" s="16"/>
      <c r="D60" s="156"/>
      <c r="E60" s="156"/>
      <c r="F60" s="156"/>
      <c r="G60" s="156"/>
      <c r="H60" s="156"/>
      <c r="I60" s="156"/>
      <c r="J60" s="156"/>
      <c r="L60" s="16"/>
      <c r="W60" s="155"/>
      <c r="X60" s="156"/>
      <c r="Y60" s="156"/>
      <c r="Z60" s="156"/>
      <c r="AA60" s="156"/>
      <c r="AB60" s="156"/>
      <c r="AC60" s="156"/>
      <c r="AD60" s="156"/>
      <c r="AE60" s="157"/>
    </row>
    <row r="61" spans="2:31" s="1" customFormat="1" ht="13.2" x14ac:dyDescent="0.2">
      <c r="B61" s="24"/>
      <c r="D61" s="522"/>
      <c r="E61" s="523"/>
      <c r="F61" s="536"/>
      <c r="G61" s="522"/>
      <c r="H61" s="523"/>
      <c r="I61" s="523"/>
      <c r="J61" s="169"/>
      <c r="K61" s="26"/>
      <c r="L61" s="24"/>
      <c r="W61" s="158"/>
      <c r="X61" s="557"/>
      <c r="Y61" s="559"/>
      <c r="Z61" s="557"/>
      <c r="AA61" s="536"/>
      <c r="AB61" s="559"/>
      <c r="AC61" s="557"/>
      <c r="AD61" s="557"/>
      <c r="AE61" s="577"/>
    </row>
    <row r="62" spans="2:31" x14ac:dyDescent="0.2">
      <c r="B62" s="16"/>
      <c r="D62" s="156"/>
      <c r="E62" s="156"/>
      <c r="F62" s="156"/>
      <c r="G62" s="156"/>
      <c r="H62" s="156"/>
      <c r="I62" s="156"/>
      <c r="J62" s="156"/>
      <c r="L62" s="16"/>
      <c r="W62" s="155"/>
      <c r="X62" s="156"/>
      <c r="Y62" s="156"/>
      <c r="Z62" s="156"/>
      <c r="AA62" s="156"/>
      <c r="AB62" s="156"/>
      <c r="AC62" s="156"/>
      <c r="AD62" s="156"/>
      <c r="AE62" s="157"/>
    </row>
    <row r="63" spans="2:31" x14ac:dyDescent="0.2">
      <c r="B63" s="16"/>
      <c r="D63" s="156"/>
      <c r="E63" s="156"/>
      <c r="F63" s="156"/>
      <c r="G63" s="156"/>
      <c r="H63" s="156"/>
      <c r="I63" s="156"/>
      <c r="J63" s="156"/>
      <c r="L63" s="16"/>
      <c r="W63" s="155"/>
      <c r="X63" s="156"/>
      <c r="Y63" s="156"/>
      <c r="Z63" s="156"/>
      <c r="AA63" s="156"/>
      <c r="AB63" s="156"/>
      <c r="AC63" s="156"/>
      <c r="AD63" s="156"/>
      <c r="AE63" s="157"/>
    </row>
    <row r="64" spans="2:31" x14ac:dyDescent="0.2">
      <c r="B64" s="16"/>
      <c r="D64" s="156"/>
      <c r="E64" s="156"/>
      <c r="F64" s="156"/>
      <c r="G64" s="156"/>
      <c r="H64" s="156"/>
      <c r="I64" s="156"/>
      <c r="J64" s="156"/>
      <c r="L64" s="16"/>
      <c r="W64" s="155"/>
      <c r="X64" s="156"/>
      <c r="Y64" s="156"/>
      <c r="Z64" s="156"/>
      <c r="AA64" s="156"/>
      <c r="AB64" s="156"/>
      <c r="AC64" s="156"/>
      <c r="AD64" s="156"/>
      <c r="AE64" s="157"/>
    </row>
    <row r="65" spans="2:31" s="1" customFormat="1" ht="13.2" x14ac:dyDescent="0.2">
      <c r="B65" s="24"/>
      <c r="D65" s="530"/>
      <c r="E65" s="523"/>
      <c r="F65" s="523"/>
      <c r="G65" s="530"/>
      <c r="H65" s="523"/>
      <c r="I65" s="523"/>
      <c r="J65" s="523"/>
      <c r="K65" s="32"/>
      <c r="L65" s="24"/>
      <c r="W65" s="158"/>
      <c r="X65" s="557"/>
      <c r="Y65" s="530"/>
      <c r="Z65" s="557"/>
      <c r="AA65" s="557"/>
      <c r="AB65" s="530"/>
      <c r="AC65" s="557"/>
      <c r="AD65" s="557"/>
      <c r="AE65" s="159"/>
    </row>
    <row r="66" spans="2:31" x14ac:dyDescent="0.2">
      <c r="B66" s="16"/>
      <c r="D66" s="156"/>
      <c r="E66" s="156"/>
      <c r="F66" s="156"/>
      <c r="G66" s="156"/>
      <c r="H66" s="156"/>
      <c r="I66" s="156"/>
      <c r="J66" s="156"/>
      <c r="L66" s="16"/>
      <c r="W66" s="155"/>
      <c r="X66" s="156"/>
      <c r="Y66" s="156"/>
      <c r="Z66" s="156"/>
      <c r="AA66" s="156"/>
      <c r="AB66" s="156"/>
      <c r="AC66" s="156"/>
      <c r="AD66" s="156"/>
      <c r="AE66" s="157"/>
    </row>
    <row r="67" spans="2:31" x14ac:dyDescent="0.2">
      <c r="B67" s="16"/>
      <c r="D67" s="156"/>
      <c r="E67" s="156"/>
      <c r="F67" s="156"/>
      <c r="G67" s="156"/>
      <c r="H67" s="156"/>
      <c r="I67" s="156"/>
      <c r="J67" s="156"/>
      <c r="L67" s="16"/>
      <c r="W67" s="155"/>
      <c r="X67" s="156"/>
      <c r="Y67" s="156"/>
      <c r="Z67" s="156"/>
      <c r="AA67" s="156"/>
      <c r="AB67" s="156"/>
      <c r="AC67" s="156"/>
      <c r="AD67" s="156"/>
      <c r="AE67" s="157"/>
    </row>
    <row r="68" spans="2:31" x14ac:dyDescent="0.2">
      <c r="B68" s="16"/>
      <c r="D68" s="156"/>
      <c r="E68" s="156"/>
      <c r="F68" s="156"/>
      <c r="G68" s="156"/>
      <c r="H68" s="156"/>
      <c r="I68" s="156"/>
      <c r="J68" s="156"/>
      <c r="L68" s="16"/>
      <c r="W68" s="155"/>
      <c r="X68" s="156"/>
      <c r="Y68" s="156"/>
      <c r="Z68" s="156"/>
      <c r="AA68" s="156"/>
      <c r="AB68" s="156"/>
      <c r="AC68" s="156"/>
      <c r="AD68" s="156"/>
      <c r="AE68" s="157"/>
    </row>
    <row r="69" spans="2:31" x14ac:dyDescent="0.2">
      <c r="B69" s="16"/>
      <c r="D69" s="156"/>
      <c r="E69" s="156"/>
      <c r="F69" s="156"/>
      <c r="G69" s="156"/>
      <c r="H69" s="156"/>
      <c r="I69" s="156"/>
      <c r="J69" s="156"/>
      <c r="L69" s="16"/>
      <c r="W69" s="155"/>
      <c r="X69" s="156"/>
      <c r="Y69" s="156"/>
      <c r="Z69" s="156"/>
      <c r="AA69" s="156"/>
      <c r="AB69" s="156"/>
      <c r="AC69" s="156"/>
      <c r="AD69" s="156"/>
      <c r="AE69" s="157"/>
    </row>
    <row r="70" spans="2:31" x14ac:dyDescent="0.2">
      <c r="B70" s="16"/>
      <c r="D70" s="156"/>
      <c r="E70" s="156"/>
      <c r="F70" s="156"/>
      <c r="G70" s="156"/>
      <c r="H70" s="156"/>
      <c r="I70" s="156"/>
      <c r="J70" s="156"/>
      <c r="L70" s="16"/>
      <c r="W70" s="155"/>
      <c r="X70" s="156"/>
      <c r="Y70" s="156"/>
      <c r="Z70" s="156"/>
      <c r="AA70" s="156"/>
      <c r="AB70" s="156"/>
      <c r="AC70" s="156"/>
      <c r="AD70" s="156"/>
      <c r="AE70" s="157"/>
    </row>
    <row r="71" spans="2:31" x14ac:dyDescent="0.2">
      <c r="B71" s="16"/>
      <c r="D71" s="156"/>
      <c r="E71" s="156"/>
      <c r="F71" s="156"/>
      <c r="G71" s="156"/>
      <c r="H71" s="156"/>
      <c r="I71" s="156"/>
      <c r="J71" s="156"/>
      <c r="L71" s="16"/>
      <c r="W71" s="155"/>
      <c r="X71" s="156"/>
      <c r="Y71" s="156"/>
      <c r="Z71" s="156"/>
      <c r="AA71" s="156"/>
      <c r="AB71" s="156"/>
      <c r="AC71" s="156"/>
      <c r="AD71" s="156"/>
      <c r="AE71" s="157"/>
    </row>
    <row r="72" spans="2:31" x14ac:dyDescent="0.2">
      <c r="B72" s="16"/>
      <c r="D72" s="156"/>
      <c r="E72" s="156"/>
      <c r="F72" s="156"/>
      <c r="G72" s="156"/>
      <c r="H72" s="156"/>
      <c r="I72" s="156"/>
      <c r="J72" s="156"/>
      <c r="L72" s="16"/>
      <c r="W72" s="155"/>
      <c r="X72" s="156"/>
      <c r="Y72" s="156"/>
      <c r="Z72" s="156"/>
      <c r="AA72" s="156"/>
      <c r="AB72" s="156"/>
      <c r="AC72" s="156"/>
      <c r="AD72" s="156"/>
      <c r="AE72" s="157"/>
    </row>
    <row r="73" spans="2:31" x14ac:dyDescent="0.2">
      <c r="B73" s="16"/>
      <c r="D73" s="156"/>
      <c r="E73" s="156"/>
      <c r="F73" s="156"/>
      <c r="G73" s="156"/>
      <c r="H73" s="156"/>
      <c r="I73" s="156"/>
      <c r="J73" s="156"/>
      <c r="L73" s="16"/>
      <c r="W73" s="155"/>
      <c r="X73" s="156"/>
      <c r="Y73" s="156"/>
      <c r="Z73" s="156"/>
      <c r="AA73" s="156"/>
      <c r="AB73" s="156"/>
      <c r="AC73" s="156"/>
      <c r="AD73" s="156"/>
      <c r="AE73" s="157"/>
    </row>
    <row r="74" spans="2:31" x14ac:dyDescent="0.2">
      <c r="B74" s="16"/>
      <c r="D74" s="156"/>
      <c r="E74" s="156"/>
      <c r="F74" s="156"/>
      <c r="G74" s="156"/>
      <c r="H74" s="156"/>
      <c r="I74" s="156"/>
      <c r="J74" s="156"/>
      <c r="L74" s="16"/>
      <c r="W74" s="155"/>
      <c r="X74" s="156"/>
      <c r="Y74" s="156"/>
      <c r="Z74" s="156"/>
      <c r="AA74" s="156"/>
      <c r="AB74" s="156"/>
      <c r="AC74" s="156"/>
      <c r="AD74" s="156"/>
      <c r="AE74" s="157"/>
    </row>
    <row r="75" spans="2:31" x14ac:dyDescent="0.2">
      <c r="B75" s="16"/>
      <c r="D75" s="156"/>
      <c r="E75" s="156"/>
      <c r="F75" s="156"/>
      <c r="G75" s="156"/>
      <c r="H75" s="156"/>
      <c r="I75" s="156"/>
      <c r="J75" s="156"/>
      <c r="L75" s="16"/>
      <c r="W75" s="155"/>
      <c r="X75" s="156"/>
      <c r="Y75" s="156"/>
      <c r="Z75" s="156"/>
      <c r="AA75" s="156"/>
      <c r="AB75" s="156"/>
      <c r="AC75" s="156"/>
      <c r="AD75" s="156"/>
      <c r="AE75" s="157"/>
    </row>
    <row r="76" spans="2:31" s="1" customFormat="1" ht="13.2" x14ac:dyDescent="0.2">
      <c r="B76" s="24"/>
      <c r="D76" s="522"/>
      <c r="E76" s="523"/>
      <c r="F76" s="536"/>
      <c r="G76" s="522"/>
      <c r="H76" s="523"/>
      <c r="I76" s="523"/>
      <c r="J76" s="169"/>
      <c r="K76" s="26"/>
      <c r="L76" s="24"/>
      <c r="W76" s="158"/>
      <c r="X76" s="557"/>
      <c r="Y76" s="559"/>
      <c r="Z76" s="557"/>
      <c r="AA76" s="536"/>
      <c r="AB76" s="559"/>
      <c r="AC76" s="557"/>
      <c r="AD76" s="557"/>
      <c r="AE76" s="577"/>
    </row>
    <row r="77" spans="2:31" s="1" customFormat="1" ht="14.55" customHeight="1" x14ac:dyDescent="0.2">
      <c r="B77" s="33"/>
      <c r="C77" s="34"/>
      <c r="D77" s="34"/>
      <c r="E77" s="34"/>
      <c r="F77" s="34"/>
      <c r="G77" s="34"/>
      <c r="H77" s="34"/>
      <c r="I77" s="34"/>
      <c r="J77" s="34"/>
      <c r="K77" s="34"/>
      <c r="L77" s="24"/>
      <c r="W77" s="175"/>
      <c r="X77" s="176"/>
      <c r="Y77" s="176"/>
      <c r="Z77" s="176"/>
      <c r="AA77" s="176"/>
      <c r="AB77" s="176"/>
      <c r="AC77" s="176"/>
      <c r="AD77" s="176"/>
      <c r="AE77" s="177"/>
    </row>
    <row r="81" spans="2:47" s="1" customFormat="1" ht="7.05" customHeight="1" x14ac:dyDescent="0.2">
      <c r="B81" s="35"/>
      <c r="C81" s="36"/>
      <c r="D81" s="36"/>
      <c r="E81" s="36"/>
      <c r="F81" s="36"/>
      <c r="G81" s="36"/>
      <c r="H81" s="36"/>
      <c r="I81" s="36"/>
      <c r="J81" s="36"/>
      <c r="K81" s="36"/>
      <c r="L81" s="24"/>
      <c r="W81" s="178"/>
      <c r="X81" s="179"/>
      <c r="Y81" s="179"/>
      <c r="Z81" s="179"/>
      <c r="AA81" s="179"/>
      <c r="AB81" s="179"/>
      <c r="AC81" s="179"/>
      <c r="AD81" s="179"/>
      <c r="AE81" s="180"/>
    </row>
    <row r="82" spans="2:47" s="1" customFormat="1" ht="25.05" customHeight="1" x14ac:dyDescent="0.2">
      <c r="B82" s="24"/>
      <c r="C82" s="1165" t="s">
        <v>188</v>
      </c>
      <c r="D82" s="1165"/>
      <c r="E82" s="1165"/>
      <c r="F82" s="1165"/>
      <c r="G82" s="1165"/>
      <c r="H82" s="1165"/>
      <c r="I82" s="1165"/>
      <c r="J82" s="1165"/>
      <c r="L82" s="24"/>
      <c r="W82" s="158"/>
      <c r="X82" s="1237" t="s">
        <v>188</v>
      </c>
      <c r="Y82" s="1237"/>
      <c r="Z82" s="1237"/>
      <c r="AA82" s="1237"/>
      <c r="AB82" s="1237"/>
      <c r="AC82" s="1237"/>
      <c r="AD82" s="1237"/>
      <c r="AE82" s="1238"/>
    </row>
    <row r="83" spans="2:47" s="1" customFormat="1" ht="7.05" customHeight="1" x14ac:dyDescent="0.2">
      <c r="B83" s="24"/>
      <c r="L83" s="24"/>
      <c r="W83" s="158"/>
      <c r="X83" s="557"/>
      <c r="Y83" s="557"/>
      <c r="Z83" s="557"/>
      <c r="AA83" s="557"/>
      <c r="AB83" s="557"/>
      <c r="AC83" s="557"/>
      <c r="AD83" s="557"/>
      <c r="AE83" s="159"/>
    </row>
    <row r="84" spans="2:47" s="1" customFormat="1" ht="12" customHeight="1" x14ac:dyDescent="0.2">
      <c r="B84" s="24"/>
      <c r="C84" s="528" t="s">
        <v>12</v>
      </c>
      <c r="E84" s="1242" t="s">
        <v>6177</v>
      </c>
      <c r="F84" s="1242"/>
      <c r="G84" s="1242"/>
      <c r="H84" s="1242"/>
      <c r="I84" s="1242"/>
      <c r="J84" s="1242"/>
      <c r="L84" s="24"/>
      <c r="W84" s="158"/>
      <c r="X84" s="538" t="s">
        <v>12</v>
      </c>
      <c r="Y84" s="557"/>
      <c r="Z84" s="1163" t="s">
        <v>6177</v>
      </c>
      <c r="AA84" s="1163"/>
      <c r="AB84" s="1163"/>
      <c r="AC84" s="1163"/>
      <c r="AD84" s="1163"/>
      <c r="AE84" s="1241"/>
    </row>
    <row r="85" spans="2:47" s="1" customFormat="1" ht="23.55" customHeight="1" x14ac:dyDescent="0.2">
      <c r="B85" s="24"/>
      <c r="C85" s="521"/>
      <c r="E85" s="1243"/>
      <c r="F85" s="1244"/>
      <c r="G85" s="1244"/>
      <c r="H85" s="1244"/>
      <c r="L85" s="24"/>
      <c r="W85" s="158"/>
      <c r="X85" s="557"/>
      <c r="Y85" s="557"/>
      <c r="Z85" s="1249"/>
      <c r="AA85" s="1250"/>
      <c r="AB85" s="1250"/>
      <c r="AC85" s="1250"/>
      <c r="AD85" s="557"/>
      <c r="AE85" s="159"/>
    </row>
    <row r="86" spans="2:47" s="1" customFormat="1" ht="12" customHeight="1" x14ac:dyDescent="0.2">
      <c r="B86" s="24"/>
      <c r="C86" s="528" t="s">
        <v>186</v>
      </c>
      <c r="F86" s="532" t="s">
        <v>4078</v>
      </c>
      <c r="L86" s="24"/>
      <c r="W86" s="158"/>
      <c r="X86" s="538" t="s">
        <v>186</v>
      </c>
      <c r="Y86" s="557"/>
      <c r="Z86" s="557"/>
      <c r="AA86" s="555" t="s">
        <v>4078</v>
      </c>
      <c r="AB86" s="557"/>
      <c r="AC86" s="557"/>
      <c r="AD86" s="557"/>
      <c r="AE86" s="159"/>
    </row>
    <row r="87" spans="2:47" s="1" customFormat="1" ht="16.5" customHeight="1" x14ac:dyDescent="0.2">
      <c r="B87" s="24"/>
      <c r="C87" s="521"/>
      <c r="E87" s="1251"/>
      <c r="F87" s="1252"/>
      <c r="G87" s="1252"/>
      <c r="H87" s="1252"/>
      <c r="L87" s="24"/>
      <c r="W87" s="158"/>
      <c r="X87" s="557"/>
      <c r="Y87" s="557"/>
      <c r="Z87" s="1245"/>
      <c r="AA87" s="1246"/>
      <c r="AB87" s="1246"/>
      <c r="AC87" s="1246"/>
      <c r="AD87" s="557"/>
      <c r="AE87" s="159"/>
    </row>
    <row r="88" spans="2:47" s="1" customFormat="1" ht="7.05" customHeight="1" x14ac:dyDescent="0.2">
      <c r="B88" s="24"/>
      <c r="C88" s="521"/>
      <c r="L88" s="24"/>
      <c r="W88" s="158"/>
      <c r="X88" s="557"/>
      <c r="Y88" s="557"/>
      <c r="Z88" s="557"/>
      <c r="AA88" s="557"/>
      <c r="AB88" s="557"/>
      <c r="AC88" s="557"/>
      <c r="AD88" s="557"/>
      <c r="AE88" s="159"/>
    </row>
    <row r="89" spans="2:47" s="1" customFormat="1" ht="12" customHeight="1" x14ac:dyDescent="0.2">
      <c r="B89" s="24"/>
      <c r="C89" s="528" t="s">
        <v>15</v>
      </c>
      <c r="F89" s="19" t="str">
        <f>F12</f>
        <v>Kuzmányho nábrežie 28, 960 01 Zvolen</v>
      </c>
      <c r="I89" s="528" t="s">
        <v>17</v>
      </c>
      <c r="J89" s="39" t="str">
        <f>IF(J12="","",J12)</f>
        <v/>
      </c>
      <c r="L89" s="24"/>
      <c r="W89" s="158"/>
      <c r="X89" s="538" t="s">
        <v>15</v>
      </c>
      <c r="Y89" s="557"/>
      <c r="Z89" s="557"/>
      <c r="AA89" s="558" t="str">
        <f>AA12</f>
        <v>Kuzmányho nábrežie 28, 960 01 Zvolen</v>
      </c>
      <c r="AB89" s="557"/>
      <c r="AC89" s="557"/>
      <c r="AD89" s="538" t="s">
        <v>17</v>
      </c>
      <c r="AE89" s="162" t="str">
        <f>IF(AE12="","",AE12)</f>
        <v/>
      </c>
    </row>
    <row r="90" spans="2:47" s="1" customFormat="1" ht="7.05" customHeight="1" x14ac:dyDescent="0.2">
      <c r="B90" s="24"/>
      <c r="C90" s="521"/>
      <c r="I90" s="521"/>
      <c r="L90" s="24"/>
      <c r="W90" s="158"/>
      <c r="X90" s="557"/>
      <c r="Y90" s="557"/>
      <c r="Z90" s="557"/>
      <c r="AA90" s="557"/>
      <c r="AB90" s="557"/>
      <c r="AC90" s="557"/>
      <c r="AD90" s="557"/>
      <c r="AE90" s="159"/>
    </row>
    <row r="91" spans="2:47" s="1" customFormat="1" ht="15.3" customHeight="1" x14ac:dyDescent="0.2">
      <c r="B91" s="24"/>
      <c r="C91" s="528" t="s">
        <v>18</v>
      </c>
      <c r="F91" s="529" t="s">
        <v>6175</v>
      </c>
      <c r="I91" s="528" t="s">
        <v>22</v>
      </c>
      <c r="J91" s="22" t="str">
        <f>E21</f>
        <v xml:space="preserve"> </v>
      </c>
      <c r="L91" s="24"/>
      <c r="W91" s="158"/>
      <c r="X91" s="538" t="s">
        <v>18</v>
      </c>
      <c r="Y91" s="557"/>
      <c r="Z91" s="557"/>
      <c r="AA91" s="576" t="s">
        <v>6175</v>
      </c>
      <c r="AB91" s="557"/>
      <c r="AC91" s="557"/>
      <c r="AD91" s="538" t="s">
        <v>22</v>
      </c>
      <c r="AE91" s="181" t="str">
        <f>Z21</f>
        <v/>
      </c>
    </row>
    <row r="92" spans="2:47" s="1" customFormat="1" ht="15.3" customHeight="1" x14ac:dyDescent="0.2">
      <c r="B92" s="24"/>
      <c r="C92" s="528" t="s">
        <v>21</v>
      </c>
      <c r="F92" s="529" t="s">
        <v>5202</v>
      </c>
      <c r="I92" s="528" t="s">
        <v>24</v>
      </c>
      <c r="J92" s="22" t="str">
        <f>E24</f>
        <v xml:space="preserve"> </v>
      </c>
      <c r="L92" s="24"/>
      <c r="W92" s="158"/>
      <c r="X92" s="538" t="s">
        <v>21</v>
      </c>
      <c r="Y92" s="557"/>
      <c r="Z92" s="557"/>
      <c r="AA92" s="576" t="s">
        <v>5202</v>
      </c>
      <c r="AB92" s="557"/>
      <c r="AC92" s="557"/>
      <c r="AD92" s="538" t="s">
        <v>24</v>
      </c>
      <c r="AE92" s="181" t="str">
        <f>Z24</f>
        <v/>
      </c>
    </row>
    <row r="93" spans="2:47" s="1" customFormat="1" ht="10.199999999999999" customHeight="1" x14ac:dyDescent="0.2">
      <c r="B93" s="24"/>
      <c r="L93" s="24"/>
      <c r="W93" s="158"/>
      <c r="X93" s="557"/>
      <c r="Y93" s="557"/>
      <c r="Z93" s="557"/>
      <c r="AA93" s="557"/>
      <c r="AB93" s="557"/>
      <c r="AC93" s="557"/>
      <c r="AD93" s="557"/>
      <c r="AE93" s="159"/>
    </row>
    <row r="94" spans="2:47" s="1" customFormat="1" ht="29.25" customHeight="1" x14ac:dyDescent="0.2">
      <c r="B94" s="24"/>
      <c r="C94" s="86" t="s">
        <v>189</v>
      </c>
      <c r="D94" s="80"/>
      <c r="E94" s="80"/>
      <c r="F94" s="80"/>
      <c r="G94" s="80"/>
      <c r="H94" s="80"/>
      <c r="I94" s="80"/>
      <c r="J94" s="87" t="s">
        <v>190</v>
      </c>
      <c r="K94" s="80"/>
      <c r="L94" s="24"/>
      <c r="W94" s="158"/>
      <c r="X94" s="182" t="s">
        <v>189</v>
      </c>
      <c r="Y94" s="173"/>
      <c r="Z94" s="173"/>
      <c r="AA94" s="173"/>
      <c r="AB94" s="173"/>
      <c r="AC94" s="173"/>
      <c r="AD94" s="173"/>
      <c r="AE94" s="183" t="s">
        <v>190</v>
      </c>
    </row>
    <row r="95" spans="2:47" s="1" customFormat="1" ht="10.199999999999999" customHeight="1" x14ac:dyDescent="0.2">
      <c r="B95" s="24"/>
      <c r="L95" s="24"/>
      <c r="W95" s="158"/>
      <c r="X95" s="557"/>
      <c r="Y95" s="557"/>
      <c r="Z95" s="557"/>
      <c r="AA95" s="557"/>
      <c r="AB95" s="557"/>
      <c r="AC95" s="557"/>
      <c r="AD95" s="557"/>
      <c r="AE95" s="159"/>
    </row>
    <row r="96" spans="2:47" s="1" customFormat="1" ht="22.95" customHeight="1" x14ac:dyDescent="0.2">
      <c r="B96" s="24"/>
      <c r="C96" s="88" t="s">
        <v>191</v>
      </c>
      <c r="J96" s="53">
        <f>J123</f>
        <v>51248.409999999996</v>
      </c>
      <c r="L96" s="24"/>
      <c r="W96" s="158"/>
      <c r="X96" s="184" t="s">
        <v>191</v>
      </c>
      <c r="Y96" s="557"/>
      <c r="Z96" s="557"/>
      <c r="AA96" s="557"/>
      <c r="AB96" s="557"/>
      <c r="AC96" s="557"/>
      <c r="AD96" s="557"/>
      <c r="AE96" s="168">
        <f>AE123</f>
        <v>51248.409999999996</v>
      </c>
      <c r="AU96" s="13" t="s">
        <v>192</v>
      </c>
    </row>
    <row r="97" spans="2:31" s="8" customFormat="1" ht="25.05" customHeight="1" x14ac:dyDescent="0.2">
      <c r="B97" s="89"/>
      <c r="D97" s="90" t="s">
        <v>4079</v>
      </c>
      <c r="E97" s="91"/>
      <c r="F97" s="91"/>
      <c r="G97" s="91"/>
      <c r="H97" s="91"/>
      <c r="I97" s="91"/>
      <c r="J97" s="92">
        <f>J124</f>
        <v>51248.409999999996</v>
      </c>
      <c r="L97" s="89"/>
      <c r="W97" s="185"/>
      <c r="X97" s="186"/>
      <c r="Y97" s="90" t="s">
        <v>4079</v>
      </c>
      <c r="Z97" s="91"/>
      <c r="AA97" s="91"/>
      <c r="AB97" s="91"/>
      <c r="AC97" s="91"/>
      <c r="AD97" s="91"/>
      <c r="AE97" s="187">
        <f>AE124</f>
        <v>51248.409999999996</v>
      </c>
    </row>
    <row r="98" spans="2:31" s="9" customFormat="1" ht="19.95" customHeight="1" x14ac:dyDescent="0.2">
      <c r="B98" s="93"/>
      <c r="D98" s="94" t="s">
        <v>4080</v>
      </c>
      <c r="E98" s="95"/>
      <c r="F98" s="95"/>
      <c r="G98" s="95"/>
      <c r="H98" s="95"/>
      <c r="I98" s="95"/>
      <c r="J98" s="96">
        <f>J125</f>
        <v>7252.8799999999992</v>
      </c>
      <c r="L98" s="93"/>
      <c r="W98" s="188"/>
      <c r="X98" s="189"/>
      <c r="Y98" s="94" t="s">
        <v>4080</v>
      </c>
      <c r="Z98" s="95"/>
      <c r="AA98" s="95"/>
      <c r="AB98" s="95"/>
      <c r="AC98" s="95"/>
      <c r="AD98" s="95"/>
      <c r="AE98" s="190">
        <f>AE125</f>
        <v>7252.8799999999992</v>
      </c>
    </row>
    <row r="99" spans="2:31" s="9" customFormat="1" ht="19.95" customHeight="1" x14ac:dyDescent="0.2">
      <c r="B99" s="93"/>
      <c r="D99" s="94" t="s">
        <v>4081</v>
      </c>
      <c r="E99" s="95"/>
      <c r="F99" s="95"/>
      <c r="G99" s="95"/>
      <c r="H99" s="95"/>
      <c r="I99" s="95"/>
      <c r="J99" s="96">
        <f>J136</f>
        <v>36.22</v>
      </c>
      <c r="L99" s="93"/>
      <c r="W99" s="188"/>
      <c r="X99" s="189"/>
      <c r="Y99" s="94" t="s">
        <v>4081</v>
      </c>
      <c r="Z99" s="95"/>
      <c r="AA99" s="95"/>
      <c r="AB99" s="95"/>
      <c r="AC99" s="95"/>
      <c r="AD99" s="95"/>
      <c r="AE99" s="190">
        <f>AE136</f>
        <v>36.22</v>
      </c>
    </row>
    <row r="100" spans="2:31" s="9" customFormat="1" ht="19.95" customHeight="1" x14ac:dyDescent="0.2">
      <c r="B100" s="93"/>
      <c r="D100" s="94" t="s">
        <v>4082</v>
      </c>
      <c r="E100" s="95"/>
      <c r="F100" s="95"/>
      <c r="G100" s="95"/>
      <c r="H100" s="95"/>
      <c r="I100" s="95"/>
      <c r="J100" s="96">
        <f>J138</f>
        <v>18696.7</v>
      </c>
      <c r="L100" s="93"/>
      <c r="W100" s="188"/>
      <c r="X100" s="189"/>
      <c r="Y100" s="94" t="s">
        <v>4082</v>
      </c>
      <c r="Z100" s="95"/>
      <c r="AA100" s="95"/>
      <c r="AB100" s="95"/>
      <c r="AC100" s="95"/>
      <c r="AD100" s="95"/>
      <c r="AE100" s="190">
        <f>AE138</f>
        <v>18696.7</v>
      </c>
    </row>
    <row r="101" spans="2:31" s="9" customFormat="1" ht="19.95" customHeight="1" x14ac:dyDescent="0.2">
      <c r="B101" s="93"/>
      <c r="D101" s="94" t="s">
        <v>4083</v>
      </c>
      <c r="E101" s="95"/>
      <c r="F101" s="95"/>
      <c r="G101" s="95"/>
      <c r="H101" s="95"/>
      <c r="I101" s="95"/>
      <c r="J101" s="96">
        <f>J142</f>
        <v>12.54</v>
      </c>
      <c r="L101" s="93"/>
      <c r="W101" s="188"/>
      <c r="X101" s="189"/>
      <c r="Y101" s="94" t="s">
        <v>4083</v>
      </c>
      <c r="Z101" s="95"/>
      <c r="AA101" s="95"/>
      <c r="AB101" s="95"/>
      <c r="AC101" s="95"/>
      <c r="AD101" s="95"/>
      <c r="AE101" s="190">
        <f>AE142</f>
        <v>12.54</v>
      </c>
    </row>
    <row r="102" spans="2:31" s="9" customFormat="1" ht="19.95" customHeight="1" x14ac:dyDescent="0.2">
      <c r="B102" s="93"/>
      <c r="D102" s="94" t="s">
        <v>4084</v>
      </c>
      <c r="E102" s="95"/>
      <c r="F102" s="95"/>
      <c r="G102" s="95"/>
      <c r="H102" s="95"/>
      <c r="I102" s="95"/>
      <c r="J102" s="96">
        <f>J144</f>
        <v>14626.569999999998</v>
      </c>
      <c r="L102" s="93"/>
      <c r="W102" s="188"/>
      <c r="X102" s="189"/>
      <c r="Y102" s="94" t="s">
        <v>4084</v>
      </c>
      <c r="Z102" s="95"/>
      <c r="AA102" s="95"/>
      <c r="AB102" s="95"/>
      <c r="AC102" s="95"/>
      <c r="AD102" s="95"/>
      <c r="AE102" s="190">
        <f>AE144</f>
        <v>14626.569999999998</v>
      </c>
    </row>
    <row r="103" spans="2:31" s="9" customFormat="1" ht="19.95" customHeight="1" x14ac:dyDescent="0.2">
      <c r="B103" s="93"/>
      <c r="D103" s="94" t="s">
        <v>4085</v>
      </c>
      <c r="E103" s="95"/>
      <c r="F103" s="95"/>
      <c r="G103" s="95"/>
      <c r="H103" s="95"/>
      <c r="I103" s="95"/>
      <c r="J103" s="96">
        <f>J158</f>
        <v>10623.500000000002</v>
      </c>
      <c r="L103" s="93"/>
      <c r="W103" s="188"/>
      <c r="X103" s="189"/>
      <c r="Y103" s="94" t="s">
        <v>4085</v>
      </c>
      <c r="Z103" s="95"/>
      <c r="AA103" s="95"/>
      <c r="AB103" s="95"/>
      <c r="AC103" s="95"/>
      <c r="AD103" s="95"/>
      <c r="AE103" s="190">
        <f>AE158</f>
        <v>10623.500000000002</v>
      </c>
    </row>
    <row r="104" spans="2:31" s="1" customFormat="1" ht="21.75" customHeight="1" x14ac:dyDescent="0.2">
      <c r="B104" s="24"/>
      <c r="L104" s="24"/>
      <c r="W104" s="158"/>
      <c r="X104" s="557"/>
      <c r="Y104" s="557"/>
      <c r="Z104" s="557"/>
      <c r="AA104" s="557"/>
      <c r="AB104" s="557"/>
      <c r="AC104" s="557"/>
      <c r="AD104" s="557"/>
      <c r="AE104" s="159"/>
    </row>
    <row r="105" spans="2:31" s="1" customFormat="1" ht="7.05" customHeight="1" x14ac:dyDescent="0.2">
      <c r="B105" s="33"/>
      <c r="C105" s="34"/>
      <c r="D105" s="34"/>
      <c r="E105" s="34"/>
      <c r="F105" s="34"/>
      <c r="G105" s="34"/>
      <c r="H105" s="34"/>
      <c r="I105" s="34"/>
      <c r="J105" s="34"/>
      <c r="K105" s="34"/>
      <c r="L105" s="24"/>
      <c r="W105" s="175"/>
      <c r="X105" s="176"/>
      <c r="Y105" s="176"/>
      <c r="Z105" s="176"/>
      <c r="AA105" s="176"/>
      <c r="AB105" s="176"/>
      <c r="AC105" s="176"/>
      <c r="AD105" s="176"/>
      <c r="AE105" s="177"/>
    </row>
    <row r="109" spans="2:31" s="1" customFormat="1" ht="7.05" customHeight="1" x14ac:dyDescent="0.2">
      <c r="B109" s="35"/>
      <c r="C109" s="36"/>
      <c r="D109" s="36"/>
      <c r="E109" s="36"/>
      <c r="F109" s="36"/>
      <c r="G109" s="36"/>
      <c r="H109" s="36"/>
      <c r="I109" s="36"/>
      <c r="J109" s="36"/>
      <c r="K109" s="36"/>
      <c r="L109" s="24"/>
      <c r="W109" s="178"/>
      <c r="X109" s="179"/>
      <c r="Y109" s="179"/>
      <c r="Z109" s="179"/>
      <c r="AA109" s="179"/>
      <c r="AB109" s="179"/>
      <c r="AC109" s="179"/>
      <c r="AD109" s="179"/>
      <c r="AE109" s="180"/>
    </row>
    <row r="110" spans="2:31" s="1" customFormat="1" ht="25.05" customHeight="1" x14ac:dyDescent="0.2">
      <c r="B110" s="24"/>
      <c r="C110" s="1165" t="s">
        <v>214</v>
      </c>
      <c r="D110" s="1165"/>
      <c r="E110" s="1165"/>
      <c r="F110" s="1165"/>
      <c r="G110" s="1165"/>
      <c r="H110" s="1165"/>
      <c r="I110" s="1165"/>
      <c r="J110" s="1165"/>
      <c r="L110" s="24"/>
      <c r="W110" s="158"/>
      <c r="X110" s="1237" t="s">
        <v>214</v>
      </c>
      <c r="Y110" s="1237"/>
      <c r="Z110" s="1237"/>
      <c r="AA110" s="1237"/>
      <c r="AB110" s="1237"/>
      <c r="AC110" s="1237"/>
      <c r="AD110" s="1237"/>
      <c r="AE110" s="1238"/>
    </row>
    <row r="111" spans="2:31" s="1" customFormat="1" ht="7.05" customHeight="1" x14ac:dyDescent="0.2">
      <c r="B111" s="24"/>
      <c r="L111" s="24"/>
      <c r="W111" s="158"/>
      <c r="X111" s="557"/>
      <c r="Y111" s="557"/>
      <c r="Z111" s="557"/>
      <c r="AA111" s="557"/>
      <c r="AB111" s="557"/>
      <c r="AC111" s="557"/>
      <c r="AD111" s="557"/>
      <c r="AE111" s="159"/>
    </row>
    <row r="112" spans="2:31" s="1" customFormat="1" ht="12" customHeight="1" x14ac:dyDescent="0.2">
      <c r="B112" s="24"/>
      <c r="C112" s="528" t="s">
        <v>12</v>
      </c>
      <c r="E112" s="1242" t="s">
        <v>6177</v>
      </c>
      <c r="F112" s="1242"/>
      <c r="G112" s="1242"/>
      <c r="H112" s="1242"/>
      <c r="I112" s="1242"/>
      <c r="J112" s="1242"/>
      <c r="L112" s="24"/>
      <c r="W112" s="158"/>
      <c r="X112" s="538" t="s">
        <v>12</v>
      </c>
      <c r="Y112" s="557"/>
      <c r="Z112" s="1163" t="s">
        <v>6177</v>
      </c>
      <c r="AA112" s="1163"/>
      <c r="AB112" s="1163"/>
      <c r="AC112" s="1163"/>
      <c r="AD112" s="1163"/>
      <c r="AE112" s="1241"/>
    </row>
    <row r="113" spans="2:65" s="1" customFormat="1" ht="22.95" customHeight="1" x14ac:dyDescent="0.2">
      <c r="B113" s="24"/>
      <c r="C113" s="521"/>
      <c r="E113" s="1243"/>
      <c r="F113" s="1244"/>
      <c r="G113" s="1244"/>
      <c r="H113" s="1244"/>
      <c r="L113" s="24"/>
      <c r="W113" s="158"/>
      <c r="X113" s="557"/>
      <c r="Y113" s="557"/>
      <c r="Z113" s="1249"/>
      <c r="AA113" s="1250"/>
      <c r="AB113" s="1250"/>
      <c r="AC113" s="1250"/>
      <c r="AD113" s="557"/>
      <c r="AE113" s="159"/>
    </row>
    <row r="114" spans="2:65" s="1" customFormat="1" ht="12" customHeight="1" x14ac:dyDescent="0.2">
      <c r="B114" s="24"/>
      <c r="C114" s="528" t="s">
        <v>186</v>
      </c>
      <c r="F114" s="532" t="s">
        <v>4078</v>
      </c>
      <c r="L114" s="24"/>
      <c r="W114" s="158"/>
      <c r="X114" s="538" t="s">
        <v>186</v>
      </c>
      <c r="Y114" s="557"/>
      <c r="Z114" s="557"/>
      <c r="AA114" s="555" t="s">
        <v>4078</v>
      </c>
      <c r="AB114" s="557"/>
      <c r="AC114" s="557"/>
      <c r="AD114" s="557"/>
      <c r="AE114" s="159"/>
    </row>
    <row r="115" spans="2:65" s="1" customFormat="1" ht="16.5" customHeight="1" x14ac:dyDescent="0.2">
      <c r="B115" s="24"/>
      <c r="C115" s="521"/>
      <c r="E115" s="1251"/>
      <c r="F115" s="1252"/>
      <c r="G115" s="1252"/>
      <c r="H115" s="1252"/>
      <c r="L115" s="24"/>
      <c r="W115" s="158"/>
      <c r="X115" s="557"/>
      <c r="Y115" s="557"/>
      <c r="Z115" s="1245"/>
      <c r="AA115" s="1246"/>
      <c r="AB115" s="1246"/>
      <c r="AC115" s="1246"/>
      <c r="AD115" s="557"/>
      <c r="AE115" s="159"/>
    </row>
    <row r="116" spans="2:65" s="1" customFormat="1" ht="7.05" customHeight="1" x14ac:dyDescent="0.2">
      <c r="B116" s="24"/>
      <c r="C116" s="521"/>
      <c r="L116" s="24"/>
      <c r="W116" s="158"/>
      <c r="X116" s="557"/>
      <c r="Y116" s="557"/>
      <c r="Z116" s="557"/>
      <c r="AA116" s="557"/>
      <c r="AB116" s="557"/>
      <c r="AC116" s="557"/>
      <c r="AD116" s="557"/>
      <c r="AE116" s="159"/>
    </row>
    <row r="117" spans="2:65" s="1" customFormat="1" ht="12" customHeight="1" x14ac:dyDescent="0.2">
      <c r="B117" s="24"/>
      <c r="C117" s="528" t="s">
        <v>15</v>
      </c>
      <c r="F117" s="19" t="str">
        <f>F12</f>
        <v>Kuzmányho nábrežie 28, 960 01 Zvolen</v>
      </c>
      <c r="I117" s="528" t="s">
        <v>17</v>
      </c>
      <c r="J117" s="39" t="str">
        <f>IF(J12="","",J12)</f>
        <v/>
      </c>
      <c r="L117" s="24"/>
      <c r="W117" s="158"/>
      <c r="X117" s="538" t="s">
        <v>15</v>
      </c>
      <c r="Y117" s="557"/>
      <c r="Z117" s="557"/>
      <c r="AA117" s="558" t="str">
        <f>AA12</f>
        <v>Kuzmányho nábrežie 28, 960 01 Zvolen</v>
      </c>
      <c r="AB117" s="557"/>
      <c r="AC117" s="557"/>
      <c r="AD117" s="538" t="s">
        <v>17</v>
      </c>
      <c r="AE117" s="162" t="str">
        <f>IF(AE12="","",AE12)</f>
        <v/>
      </c>
    </row>
    <row r="118" spans="2:65" s="1" customFormat="1" ht="7.05" customHeight="1" x14ac:dyDescent="0.2">
      <c r="B118" s="24"/>
      <c r="C118" s="521"/>
      <c r="I118" s="521"/>
      <c r="L118" s="24"/>
      <c r="W118" s="158"/>
      <c r="X118" s="557"/>
      <c r="Y118" s="557"/>
      <c r="Z118" s="557"/>
      <c r="AA118" s="557"/>
      <c r="AB118" s="557"/>
      <c r="AC118" s="557"/>
      <c r="AD118" s="557"/>
      <c r="AE118" s="159"/>
    </row>
    <row r="119" spans="2:65" s="1" customFormat="1" ht="15.3" customHeight="1" x14ac:dyDescent="0.2">
      <c r="B119" s="24"/>
      <c r="C119" s="528" t="s">
        <v>18</v>
      </c>
      <c r="F119" s="529" t="s">
        <v>6175</v>
      </c>
      <c r="I119" s="528" t="s">
        <v>22</v>
      </c>
      <c r="J119" s="22" t="str">
        <f>E21</f>
        <v xml:space="preserve"> </v>
      </c>
      <c r="L119" s="24"/>
      <c r="W119" s="158"/>
      <c r="X119" s="538" t="s">
        <v>18</v>
      </c>
      <c r="Y119" s="557"/>
      <c r="Z119" s="557"/>
      <c r="AA119" s="576" t="s">
        <v>6175</v>
      </c>
      <c r="AB119" s="557"/>
      <c r="AC119" s="557"/>
      <c r="AD119" s="538" t="s">
        <v>22</v>
      </c>
      <c r="AE119" s="181" t="str">
        <f>Z21</f>
        <v/>
      </c>
    </row>
    <row r="120" spans="2:65" s="1" customFormat="1" ht="15.3" customHeight="1" x14ac:dyDescent="0.2">
      <c r="B120" s="24"/>
      <c r="C120" s="528" t="s">
        <v>21</v>
      </c>
      <c r="F120" s="529" t="s">
        <v>5202</v>
      </c>
      <c r="I120" s="528" t="s">
        <v>24</v>
      </c>
      <c r="J120" s="22" t="str">
        <f>E24</f>
        <v xml:space="preserve"> </v>
      </c>
      <c r="L120" s="24"/>
      <c r="W120" s="158"/>
      <c r="X120" s="538" t="s">
        <v>21</v>
      </c>
      <c r="Y120" s="557"/>
      <c r="Z120" s="557"/>
      <c r="AA120" s="576" t="s">
        <v>5202</v>
      </c>
      <c r="AB120" s="557"/>
      <c r="AC120" s="557"/>
      <c r="AD120" s="538" t="s">
        <v>24</v>
      </c>
      <c r="AE120" s="181" t="str">
        <f>Z24</f>
        <v/>
      </c>
    </row>
    <row r="121" spans="2:65" s="1" customFormat="1" ht="10.199999999999999" customHeight="1" x14ac:dyDescent="0.2">
      <c r="B121" s="24"/>
      <c r="L121" s="24"/>
      <c r="W121" s="158"/>
      <c r="X121" s="557"/>
      <c r="Y121" s="557"/>
      <c r="Z121" s="557"/>
      <c r="AA121" s="557"/>
      <c r="AB121" s="557"/>
      <c r="AC121" s="557"/>
      <c r="AD121" s="557"/>
      <c r="AE121" s="159"/>
    </row>
    <row r="122" spans="2:65" s="10" customFormat="1" ht="29.25" customHeight="1" x14ac:dyDescent="0.2">
      <c r="B122" s="97"/>
      <c r="C122" s="98" t="s">
        <v>215</v>
      </c>
      <c r="D122" s="99" t="s">
        <v>43</v>
      </c>
      <c r="E122" s="99" t="s">
        <v>41</v>
      </c>
      <c r="F122" s="99" t="s">
        <v>42</v>
      </c>
      <c r="G122" s="99" t="s">
        <v>216</v>
      </c>
      <c r="H122" s="99" t="s">
        <v>217</v>
      </c>
      <c r="I122" s="99" t="s">
        <v>218</v>
      </c>
      <c r="J122" s="100" t="s">
        <v>190</v>
      </c>
      <c r="K122" s="101" t="s">
        <v>219</v>
      </c>
      <c r="L122" s="97"/>
      <c r="M122" s="46" t="s">
        <v>1</v>
      </c>
      <c r="N122" s="47" t="s">
        <v>30</v>
      </c>
      <c r="O122" s="47" t="s">
        <v>220</v>
      </c>
      <c r="P122" s="47" t="s">
        <v>221</v>
      </c>
      <c r="Q122" s="47" t="s">
        <v>222</v>
      </c>
      <c r="R122" s="47" t="s">
        <v>223</v>
      </c>
      <c r="S122" s="47" t="s">
        <v>224</v>
      </c>
      <c r="T122" s="48" t="s">
        <v>225</v>
      </c>
      <c r="W122" s="191"/>
      <c r="X122" s="98" t="s">
        <v>215</v>
      </c>
      <c r="Y122" s="99" t="s">
        <v>43</v>
      </c>
      <c r="Z122" s="99" t="s">
        <v>41</v>
      </c>
      <c r="AA122" s="99" t="s">
        <v>42</v>
      </c>
      <c r="AB122" s="99" t="s">
        <v>216</v>
      </c>
      <c r="AC122" s="99" t="s">
        <v>217</v>
      </c>
      <c r="AD122" s="99" t="s">
        <v>218</v>
      </c>
      <c r="AE122" s="192" t="s">
        <v>190</v>
      </c>
    </row>
    <row r="123" spans="2:65" s="1" customFormat="1" ht="22.95" customHeight="1" x14ac:dyDescent="0.3">
      <c r="B123" s="24"/>
      <c r="C123" s="51" t="s">
        <v>191</v>
      </c>
      <c r="J123" s="102">
        <f>BK123</f>
        <v>51248.409999999996</v>
      </c>
      <c r="L123" s="24"/>
      <c r="M123" s="49"/>
      <c r="N123" s="40"/>
      <c r="O123" s="40"/>
      <c r="P123" s="103">
        <f>P124</f>
        <v>0</v>
      </c>
      <c r="Q123" s="40"/>
      <c r="R123" s="103">
        <f>R124</f>
        <v>0</v>
      </c>
      <c r="S123" s="40"/>
      <c r="T123" s="104">
        <f>T124</f>
        <v>0</v>
      </c>
      <c r="W123" s="158"/>
      <c r="X123" s="193" t="s">
        <v>191</v>
      </c>
      <c r="Y123" s="557"/>
      <c r="Z123" s="557"/>
      <c r="AA123" s="557"/>
      <c r="AB123" s="557"/>
      <c r="AC123" s="557"/>
      <c r="AD123" s="557"/>
      <c r="AE123" s="194">
        <f>AE124</f>
        <v>51248.409999999996</v>
      </c>
      <c r="AT123" s="13" t="s">
        <v>57</v>
      </c>
      <c r="AU123" s="13" t="s">
        <v>192</v>
      </c>
      <c r="BK123" s="105">
        <f>BK124</f>
        <v>51248.409999999996</v>
      </c>
    </row>
    <row r="124" spans="2:65" s="11" customFormat="1" ht="25.95" customHeight="1" x14ac:dyDescent="0.25">
      <c r="B124" s="106"/>
      <c r="D124" s="107" t="s">
        <v>57</v>
      </c>
      <c r="E124" s="108" t="s">
        <v>4086</v>
      </c>
      <c r="F124" s="108" t="s">
        <v>2671</v>
      </c>
      <c r="J124" s="109">
        <f>BK124</f>
        <v>51248.409999999996</v>
      </c>
      <c r="L124" s="106"/>
      <c r="M124" s="110"/>
      <c r="N124" s="111"/>
      <c r="O124" s="111"/>
      <c r="P124" s="112">
        <f>P125+P136+P138+P142+P144+P158</f>
        <v>0</v>
      </c>
      <c r="Q124" s="111"/>
      <c r="R124" s="112">
        <f>R125+R136+R138+R142+R144+R158</f>
        <v>0</v>
      </c>
      <c r="S124" s="111"/>
      <c r="T124" s="113">
        <f>T125+T136+T138+T142+T144+T158</f>
        <v>0</v>
      </c>
      <c r="W124" s="195"/>
      <c r="X124" s="111"/>
      <c r="Y124" s="196" t="s">
        <v>57</v>
      </c>
      <c r="Z124" s="197" t="s">
        <v>4086</v>
      </c>
      <c r="AA124" s="197" t="s">
        <v>2671</v>
      </c>
      <c r="AB124" s="111"/>
      <c r="AC124" s="111"/>
      <c r="AD124" s="111"/>
      <c r="AE124" s="198">
        <f>AE125+AE136+AE138+AE142+AE144+AE158</f>
        <v>51248.409999999996</v>
      </c>
      <c r="AR124" s="107" t="s">
        <v>63</v>
      </c>
      <c r="AT124" s="114" t="s">
        <v>57</v>
      </c>
      <c r="AU124" s="114" t="s">
        <v>58</v>
      </c>
      <c r="AY124" s="107" t="s">
        <v>228</v>
      </c>
      <c r="BK124" s="115">
        <f>BK125+BK136+BK138+BK142+BK144+BK158</f>
        <v>51248.409999999996</v>
      </c>
    </row>
    <row r="125" spans="2:65" s="11" customFormat="1" ht="22.95" customHeight="1" x14ac:dyDescent="0.25">
      <c r="B125" s="106"/>
      <c r="D125" s="107" t="s">
        <v>57</v>
      </c>
      <c r="E125" s="116" t="s">
        <v>1201</v>
      </c>
      <c r="F125" s="116" t="s">
        <v>4087</v>
      </c>
      <c r="J125" s="117">
        <f>BK125</f>
        <v>7252.8799999999992</v>
      </c>
      <c r="L125" s="106"/>
      <c r="M125" s="110"/>
      <c r="N125" s="111"/>
      <c r="O125" s="111"/>
      <c r="P125" s="112">
        <f>SUM(P126:P135)</f>
        <v>0</v>
      </c>
      <c r="Q125" s="111"/>
      <c r="R125" s="112">
        <f>SUM(R126:R135)</f>
        <v>0</v>
      </c>
      <c r="S125" s="111"/>
      <c r="T125" s="113">
        <f>SUM(T126:T135)</f>
        <v>0</v>
      </c>
      <c r="W125" s="195"/>
      <c r="X125" s="111"/>
      <c r="Y125" s="196" t="s">
        <v>57</v>
      </c>
      <c r="Z125" s="201" t="s">
        <v>1201</v>
      </c>
      <c r="AA125" s="201" t="s">
        <v>4087</v>
      </c>
      <c r="AB125" s="111"/>
      <c r="AC125" s="111"/>
      <c r="AD125" s="111"/>
      <c r="AE125" s="202">
        <f>SUM(AE126:AE135)</f>
        <v>7252.8799999999992</v>
      </c>
      <c r="AR125" s="107" t="s">
        <v>63</v>
      </c>
      <c r="AT125" s="114" t="s">
        <v>57</v>
      </c>
      <c r="AU125" s="114" t="s">
        <v>63</v>
      </c>
      <c r="AY125" s="107" t="s">
        <v>228</v>
      </c>
      <c r="BK125" s="115">
        <f>SUM(BK126:BK135)</f>
        <v>7252.8799999999992</v>
      </c>
    </row>
    <row r="126" spans="2:65" s="1" customFormat="1" ht="16.5" customHeight="1" x14ac:dyDescent="0.2">
      <c r="B126" s="118"/>
      <c r="C126" s="119" t="s">
        <v>63</v>
      </c>
      <c r="D126" s="119" t="s">
        <v>231</v>
      </c>
      <c r="E126" s="120" t="s">
        <v>4088</v>
      </c>
      <c r="F126" s="121" t="s">
        <v>4089</v>
      </c>
      <c r="G126" s="122" t="s">
        <v>1194</v>
      </c>
      <c r="H126" s="123">
        <v>4</v>
      </c>
      <c r="I126" s="124">
        <v>10.16</v>
      </c>
      <c r="J126" s="124">
        <f t="shared" ref="J126:J135" si="0">ROUND(I126*H126,2)</f>
        <v>40.64</v>
      </c>
      <c r="K126" s="121" t="s">
        <v>1</v>
      </c>
      <c r="L126" s="24"/>
      <c r="M126" s="125" t="s">
        <v>1</v>
      </c>
      <c r="N126" s="126" t="s">
        <v>32</v>
      </c>
      <c r="O126" s="127">
        <v>0</v>
      </c>
      <c r="P126" s="127">
        <f t="shared" ref="P126:P135" si="1">O126*H126</f>
        <v>0</v>
      </c>
      <c r="Q126" s="127">
        <v>0</v>
      </c>
      <c r="R126" s="127">
        <f t="shared" ref="R126:R135" si="2">Q126*H126</f>
        <v>0</v>
      </c>
      <c r="S126" s="127">
        <v>0</v>
      </c>
      <c r="T126" s="128">
        <f t="shared" ref="T126:T135" si="3">S126*H126</f>
        <v>0</v>
      </c>
      <c r="W126" s="199"/>
      <c r="X126" s="119" t="s">
        <v>63</v>
      </c>
      <c r="Y126" s="119" t="s">
        <v>231</v>
      </c>
      <c r="Z126" s="120" t="s">
        <v>4088</v>
      </c>
      <c r="AA126" s="121" t="s">
        <v>4089</v>
      </c>
      <c r="AB126" s="122" t="s">
        <v>1194</v>
      </c>
      <c r="AC126" s="123">
        <v>4</v>
      </c>
      <c r="AD126" s="124">
        <v>10.16</v>
      </c>
      <c r="AE126" s="200">
        <f t="shared" ref="AE126:AE135" si="4">ROUND(AD126*AC126,2)</f>
        <v>40.64</v>
      </c>
      <c r="AR126" s="129" t="s">
        <v>235</v>
      </c>
      <c r="AT126" s="129" t="s">
        <v>231</v>
      </c>
      <c r="AU126" s="129" t="s">
        <v>76</v>
      </c>
      <c r="AY126" s="13" t="s">
        <v>228</v>
      </c>
      <c r="BE126" s="130">
        <f t="shared" ref="BE126:BE135" si="5">IF(N126="základná",J126,0)</f>
        <v>0</v>
      </c>
      <c r="BF126" s="130">
        <f t="shared" ref="BF126:BF135" si="6">IF(N126="znížená",J126,0)</f>
        <v>40.64</v>
      </c>
      <c r="BG126" s="130">
        <f t="shared" ref="BG126:BG135" si="7">IF(N126="zákl. prenesená",J126,0)</f>
        <v>0</v>
      </c>
      <c r="BH126" s="130">
        <f t="shared" ref="BH126:BH135" si="8">IF(N126="zníž. prenesená",J126,0)</f>
        <v>0</v>
      </c>
      <c r="BI126" s="130">
        <f t="shared" ref="BI126:BI135" si="9">IF(N126="nulová",J126,0)</f>
        <v>0</v>
      </c>
      <c r="BJ126" s="13" t="s">
        <v>76</v>
      </c>
      <c r="BK126" s="130">
        <f t="shared" ref="BK126:BK135" si="10">ROUND(I126*H126,2)</f>
        <v>40.64</v>
      </c>
      <c r="BL126" s="13" t="s">
        <v>235</v>
      </c>
      <c r="BM126" s="129" t="s">
        <v>76</v>
      </c>
    </row>
    <row r="127" spans="2:65" s="1" customFormat="1" ht="24" customHeight="1" x14ac:dyDescent="0.2">
      <c r="B127" s="118"/>
      <c r="C127" s="119" t="s">
        <v>76</v>
      </c>
      <c r="D127" s="119" t="s">
        <v>231</v>
      </c>
      <c r="E127" s="120" t="s">
        <v>4090</v>
      </c>
      <c r="F127" s="121" t="s">
        <v>4091</v>
      </c>
      <c r="G127" s="122" t="s">
        <v>1194</v>
      </c>
      <c r="H127" s="123">
        <v>3</v>
      </c>
      <c r="I127" s="124">
        <v>270.69</v>
      </c>
      <c r="J127" s="124">
        <f t="shared" si="0"/>
        <v>812.07</v>
      </c>
      <c r="K127" s="121" t="s">
        <v>1</v>
      </c>
      <c r="L127" s="24"/>
      <c r="M127" s="125" t="s">
        <v>1</v>
      </c>
      <c r="N127" s="126" t="s">
        <v>32</v>
      </c>
      <c r="O127" s="127">
        <v>0</v>
      </c>
      <c r="P127" s="127">
        <f t="shared" si="1"/>
        <v>0</v>
      </c>
      <c r="Q127" s="127">
        <v>0</v>
      </c>
      <c r="R127" s="127">
        <f t="shared" si="2"/>
        <v>0</v>
      </c>
      <c r="S127" s="127">
        <v>0</v>
      </c>
      <c r="T127" s="128">
        <f t="shared" si="3"/>
        <v>0</v>
      </c>
      <c r="W127" s="199"/>
      <c r="X127" s="119" t="s">
        <v>76</v>
      </c>
      <c r="Y127" s="119" t="s">
        <v>231</v>
      </c>
      <c r="Z127" s="120" t="s">
        <v>4090</v>
      </c>
      <c r="AA127" s="121" t="s">
        <v>4091</v>
      </c>
      <c r="AB127" s="122" t="s">
        <v>1194</v>
      </c>
      <c r="AC127" s="123">
        <v>3</v>
      </c>
      <c r="AD127" s="124">
        <v>270.69</v>
      </c>
      <c r="AE127" s="200">
        <f t="shared" si="4"/>
        <v>812.07</v>
      </c>
      <c r="AR127" s="129" t="s">
        <v>235</v>
      </c>
      <c r="AT127" s="129" t="s">
        <v>231</v>
      </c>
      <c r="AU127" s="129" t="s">
        <v>76</v>
      </c>
      <c r="AY127" s="13" t="s">
        <v>228</v>
      </c>
      <c r="BE127" s="130">
        <f t="shared" si="5"/>
        <v>0</v>
      </c>
      <c r="BF127" s="130">
        <f t="shared" si="6"/>
        <v>812.07</v>
      </c>
      <c r="BG127" s="130">
        <f t="shared" si="7"/>
        <v>0</v>
      </c>
      <c r="BH127" s="130">
        <f t="shared" si="8"/>
        <v>0</v>
      </c>
      <c r="BI127" s="130">
        <f t="shared" si="9"/>
        <v>0</v>
      </c>
      <c r="BJ127" s="13" t="s">
        <v>76</v>
      </c>
      <c r="BK127" s="130">
        <f t="shared" si="10"/>
        <v>812.07</v>
      </c>
      <c r="BL127" s="13" t="s">
        <v>235</v>
      </c>
      <c r="BM127" s="129" t="s">
        <v>235</v>
      </c>
    </row>
    <row r="128" spans="2:65" s="1" customFormat="1" ht="24" customHeight="1" x14ac:dyDescent="0.2">
      <c r="B128" s="118"/>
      <c r="C128" s="119" t="s">
        <v>229</v>
      </c>
      <c r="D128" s="119" t="s">
        <v>231</v>
      </c>
      <c r="E128" s="120" t="s">
        <v>4092</v>
      </c>
      <c r="F128" s="121" t="s">
        <v>4093</v>
      </c>
      <c r="G128" s="122" t="s">
        <v>1194</v>
      </c>
      <c r="H128" s="123">
        <v>1</v>
      </c>
      <c r="I128" s="124">
        <v>286.77</v>
      </c>
      <c r="J128" s="124">
        <f t="shared" si="0"/>
        <v>286.77</v>
      </c>
      <c r="K128" s="121" t="s">
        <v>1</v>
      </c>
      <c r="L128" s="24"/>
      <c r="M128" s="125" t="s">
        <v>1</v>
      </c>
      <c r="N128" s="126" t="s">
        <v>32</v>
      </c>
      <c r="O128" s="127">
        <v>0</v>
      </c>
      <c r="P128" s="127">
        <f t="shared" si="1"/>
        <v>0</v>
      </c>
      <c r="Q128" s="127">
        <v>0</v>
      </c>
      <c r="R128" s="127">
        <f t="shared" si="2"/>
        <v>0</v>
      </c>
      <c r="S128" s="127">
        <v>0</v>
      </c>
      <c r="T128" s="128">
        <f t="shared" si="3"/>
        <v>0</v>
      </c>
      <c r="W128" s="199"/>
      <c r="X128" s="119" t="s">
        <v>229</v>
      </c>
      <c r="Y128" s="119" t="s">
        <v>231</v>
      </c>
      <c r="Z128" s="120" t="s">
        <v>4092</v>
      </c>
      <c r="AA128" s="121" t="s">
        <v>4093</v>
      </c>
      <c r="AB128" s="122" t="s">
        <v>1194</v>
      </c>
      <c r="AC128" s="123">
        <v>1</v>
      </c>
      <c r="AD128" s="124">
        <v>286.77</v>
      </c>
      <c r="AE128" s="200">
        <f t="shared" si="4"/>
        <v>286.77</v>
      </c>
      <c r="AR128" s="129" t="s">
        <v>235</v>
      </c>
      <c r="AT128" s="129" t="s">
        <v>231</v>
      </c>
      <c r="AU128" s="129" t="s">
        <v>76</v>
      </c>
      <c r="AY128" s="13" t="s">
        <v>228</v>
      </c>
      <c r="BE128" s="130">
        <f t="shared" si="5"/>
        <v>0</v>
      </c>
      <c r="BF128" s="130">
        <f t="shared" si="6"/>
        <v>286.77</v>
      </c>
      <c r="BG128" s="130">
        <f t="shared" si="7"/>
        <v>0</v>
      </c>
      <c r="BH128" s="130">
        <f t="shared" si="8"/>
        <v>0</v>
      </c>
      <c r="BI128" s="130">
        <f t="shared" si="9"/>
        <v>0</v>
      </c>
      <c r="BJ128" s="13" t="s">
        <v>76</v>
      </c>
      <c r="BK128" s="130">
        <f t="shared" si="10"/>
        <v>286.77</v>
      </c>
      <c r="BL128" s="13" t="s">
        <v>235</v>
      </c>
      <c r="BM128" s="129" t="s">
        <v>240</v>
      </c>
    </row>
    <row r="129" spans="2:65" s="1" customFormat="1" ht="60" customHeight="1" x14ac:dyDescent="0.2">
      <c r="B129" s="118"/>
      <c r="C129" s="119" t="s">
        <v>235</v>
      </c>
      <c r="D129" s="119" t="s">
        <v>231</v>
      </c>
      <c r="E129" s="120" t="s">
        <v>4094</v>
      </c>
      <c r="F129" s="121" t="s">
        <v>4095</v>
      </c>
      <c r="G129" s="122" t="s">
        <v>1194</v>
      </c>
      <c r="H129" s="123">
        <v>1</v>
      </c>
      <c r="I129" s="124">
        <v>4616.1400000000003</v>
      </c>
      <c r="J129" s="124">
        <f t="shared" si="0"/>
        <v>4616.1400000000003</v>
      </c>
      <c r="K129" s="121" t="s">
        <v>1</v>
      </c>
      <c r="L129" s="24"/>
      <c r="M129" s="125" t="s">
        <v>1</v>
      </c>
      <c r="N129" s="126" t="s">
        <v>32</v>
      </c>
      <c r="O129" s="127">
        <v>0</v>
      </c>
      <c r="P129" s="127">
        <f t="shared" si="1"/>
        <v>0</v>
      </c>
      <c r="Q129" s="127">
        <v>0</v>
      </c>
      <c r="R129" s="127">
        <f t="shared" si="2"/>
        <v>0</v>
      </c>
      <c r="S129" s="127">
        <v>0</v>
      </c>
      <c r="T129" s="128">
        <f t="shared" si="3"/>
        <v>0</v>
      </c>
      <c r="W129" s="199"/>
      <c r="X129" s="119" t="s">
        <v>235</v>
      </c>
      <c r="Y129" s="119" t="s">
        <v>231</v>
      </c>
      <c r="Z129" s="120" t="s">
        <v>4094</v>
      </c>
      <c r="AA129" s="121" t="s">
        <v>4095</v>
      </c>
      <c r="AB129" s="122" t="s">
        <v>1194</v>
      </c>
      <c r="AC129" s="123">
        <v>1</v>
      </c>
      <c r="AD129" s="124">
        <v>4616.1400000000003</v>
      </c>
      <c r="AE129" s="200">
        <f t="shared" si="4"/>
        <v>4616.1400000000003</v>
      </c>
      <c r="AR129" s="129" t="s">
        <v>235</v>
      </c>
      <c r="AT129" s="129" t="s">
        <v>231</v>
      </c>
      <c r="AU129" s="129" t="s">
        <v>76</v>
      </c>
      <c r="AY129" s="13" t="s">
        <v>228</v>
      </c>
      <c r="BE129" s="130">
        <f t="shared" si="5"/>
        <v>0</v>
      </c>
      <c r="BF129" s="130">
        <f t="shared" si="6"/>
        <v>4616.1400000000003</v>
      </c>
      <c r="BG129" s="130">
        <f t="shared" si="7"/>
        <v>0</v>
      </c>
      <c r="BH129" s="130">
        <f t="shared" si="8"/>
        <v>0</v>
      </c>
      <c r="BI129" s="130">
        <f t="shared" si="9"/>
        <v>0</v>
      </c>
      <c r="BJ129" s="13" t="s">
        <v>76</v>
      </c>
      <c r="BK129" s="130">
        <f t="shared" si="10"/>
        <v>4616.1400000000003</v>
      </c>
      <c r="BL129" s="13" t="s">
        <v>235</v>
      </c>
      <c r="BM129" s="129" t="s">
        <v>244</v>
      </c>
    </row>
    <row r="130" spans="2:65" s="1" customFormat="1" ht="60" customHeight="1" x14ac:dyDescent="0.2">
      <c r="B130" s="118"/>
      <c r="C130" s="119" t="s">
        <v>245</v>
      </c>
      <c r="D130" s="119" t="s">
        <v>231</v>
      </c>
      <c r="E130" s="120" t="s">
        <v>4096</v>
      </c>
      <c r="F130" s="121" t="s">
        <v>4097</v>
      </c>
      <c r="G130" s="122" t="s">
        <v>1194</v>
      </c>
      <c r="H130" s="123">
        <v>1</v>
      </c>
      <c r="I130" s="124">
        <v>787.16</v>
      </c>
      <c r="J130" s="124">
        <f t="shared" si="0"/>
        <v>787.16</v>
      </c>
      <c r="K130" s="121" t="s">
        <v>1</v>
      </c>
      <c r="L130" s="24"/>
      <c r="M130" s="125" t="s">
        <v>1</v>
      </c>
      <c r="N130" s="126" t="s">
        <v>32</v>
      </c>
      <c r="O130" s="127">
        <v>0</v>
      </c>
      <c r="P130" s="127">
        <f t="shared" si="1"/>
        <v>0</v>
      </c>
      <c r="Q130" s="127">
        <v>0</v>
      </c>
      <c r="R130" s="127">
        <f t="shared" si="2"/>
        <v>0</v>
      </c>
      <c r="S130" s="127">
        <v>0</v>
      </c>
      <c r="T130" s="128">
        <f t="shared" si="3"/>
        <v>0</v>
      </c>
      <c r="W130" s="199"/>
      <c r="X130" s="119" t="s">
        <v>245</v>
      </c>
      <c r="Y130" s="119" t="s">
        <v>231</v>
      </c>
      <c r="Z130" s="120" t="s">
        <v>4096</v>
      </c>
      <c r="AA130" s="121" t="s">
        <v>4097</v>
      </c>
      <c r="AB130" s="122" t="s">
        <v>1194</v>
      </c>
      <c r="AC130" s="123">
        <v>1</v>
      </c>
      <c r="AD130" s="124">
        <v>787.16</v>
      </c>
      <c r="AE130" s="200">
        <f t="shared" si="4"/>
        <v>787.16</v>
      </c>
      <c r="AR130" s="129" t="s">
        <v>235</v>
      </c>
      <c r="AT130" s="129" t="s">
        <v>231</v>
      </c>
      <c r="AU130" s="129" t="s">
        <v>76</v>
      </c>
      <c r="AY130" s="13" t="s">
        <v>228</v>
      </c>
      <c r="BE130" s="130">
        <f t="shared" si="5"/>
        <v>0</v>
      </c>
      <c r="BF130" s="130">
        <f t="shared" si="6"/>
        <v>787.16</v>
      </c>
      <c r="BG130" s="130">
        <f t="shared" si="7"/>
        <v>0</v>
      </c>
      <c r="BH130" s="130">
        <f t="shared" si="8"/>
        <v>0</v>
      </c>
      <c r="BI130" s="130">
        <f t="shared" si="9"/>
        <v>0</v>
      </c>
      <c r="BJ130" s="13" t="s">
        <v>76</v>
      </c>
      <c r="BK130" s="130">
        <f t="shared" si="10"/>
        <v>787.16</v>
      </c>
      <c r="BL130" s="13" t="s">
        <v>235</v>
      </c>
      <c r="BM130" s="129" t="s">
        <v>248</v>
      </c>
    </row>
    <row r="131" spans="2:65" s="1" customFormat="1" ht="24" customHeight="1" x14ac:dyDescent="0.2">
      <c r="B131" s="118"/>
      <c r="C131" s="119" t="s">
        <v>240</v>
      </c>
      <c r="D131" s="119" t="s">
        <v>231</v>
      </c>
      <c r="E131" s="120" t="s">
        <v>2680</v>
      </c>
      <c r="F131" s="121" t="s">
        <v>2681</v>
      </c>
      <c r="G131" s="122" t="s">
        <v>1194</v>
      </c>
      <c r="H131" s="123">
        <v>8</v>
      </c>
      <c r="I131" s="124">
        <v>9.06</v>
      </c>
      <c r="J131" s="124">
        <f t="shared" si="0"/>
        <v>72.48</v>
      </c>
      <c r="K131" s="121" t="s">
        <v>1</v>
      </c>
      <c r="L131" s="24"/>
      <c r="M131" s="125" t="s">
        <v>1</v>
      </c>
      <c r="N131" s="126" t="s">
        <v>32</v>
      </c>
      <c r="O131" s="127">
        <v>0</v>
      </c>
      <c r="P131" s="127">
        <f t="shared" si="1"/>
        <v>0</v>
      </c>
      <c r="Q131" s="127">
        <v>0</v>
      </c>
      <c r="R131" s="127">
        <f t="shared" si="2"/>
        <v>0</v>
      </c>
      <c r="S131" s="127">
        <v>0</v>
      </c>
      <c r="T131" s="128">
        <f t="shared" si="3"/>
        <v>0</v>
      </c>
      <c r="W131" s="199"/>
      <c r="X131" s="119" t="s">
        <v>240</v>
      </c>
      <c r="Y131" s="119" t="s">
        <v>231</v>
      </c>
      <c r="Z131" s="120" t="s">
        <v>2680</v>
      </c>
      <c r="AA131" s="121" t="s">
        <v>2681</v>
      </c>
      <c r="AB131" s="122" t="s">
        <v>1194</v>
      </c>
      <c r="AC131" s="123">
        <v>8</v>
      </c>
      <c r="AD131" s="124">
        <v>9.06</v>
      </c>
      <c r="AE131" s="200">
        <f t="shared" si="4"/>
        <v>72.48</v>
      </c>
      <c r="AR131" s="129" t="s">
        <v>235</v>
      </c>
      <c r="AT131" s="129" t="s">
        <v>231</v>
      </c>
      <c r="AU131" s="129" t="s">
        <v>76</v>
      </c>
      <c r="AY131" s="13" t="s">
        <v>228</v>
      </c>
      <c r="BE131" s="130">
        <f t="shared" si="5"/>
        <v>0</v>
      </c>
      <c r="BF131" s="130">
        <f t="shared" si="6"/>
        <v>72.48</v>
      </c>
      <c r="BG131" s="130">
        <f t="shared" si="7"/>
        <v>0</v>
      </c>
      <c r="BH131" s="130">
        <f t="shared" si="8"/>
        <v>0</v>
      </c>
      <c r="BI131" s="130">
        <f t="shared" si="9"/>
        <v>0</v>
      </c>
      <c r="BJ131" s="13" t="s">
        <v>76</v>
      </c>
      <c r="BK131" s="130">
        <f t="shared" si="10"/>
        <v>72.48</v>
      </c>
      <c r="BL131" s="13" t="s">
        <v>235</v>
      </c>
      <c r="BM131" s="129" t="s">
        <v>251</v>
      </c>
    </row>
    <row r="132" spans="2:65" s="1" customFormat="1" ht="16.5" customHeight="1" x14ac:dyDescent="0.2">
      <c r="B132" s="118"/>
      <c r="C132" s="119" t="s">
        <v>252</v>
      </c>
      <c r="D132" s="119" t="s">
        <v>231</v>
      </c>
      <c r="E132" s="120" t="s">
        <v>4098</v>
      </c>
      <c r="F132" s="121" t="s">
        <v>4099</v>
      </c>
      <c r="G132" s="122" t="s">
        <v>1194</v>
      </c>
      <c r="H132" s="123">
        <v>4</v>
      </c>
      <c r="I132" s="124">
        <v>14.51</v>
      </c>
      <c r="J132" s="124">
        <f t="shared" si="0"/>
        <v>58.04</v>
      </c>
      <c r="K132" s="121" t="s">
        <v>1</v>
      </c>
      <c r="L132" s="24"/>
      <c r="M132" s="125" t="s">
        <v>1</v>
      </c>
      <c r="N132" s="126" t="s">
        <v>32</v>
      </c>
      <c r="O132" s="127">
        <v>0</v>
      </c>
      <c r="P132" s="127">
        <f t="shared" si="1"/>
        <v>0</v>
      </c>
      <c r="Q132" s="127">
        <v>0</v>
      </c>
      <c r="R132" s="127">
        <f t="shared" si="2"/>
        <v>0</v>
      </c>
      <c r="S132" s="127">
        <v>0</v>
      </c>
      <c r="T132" s="128">
        <f t="shared" si="3"/>
        <v>0</v>
      </c>
      <c r="W132" s="199"/>
      <c r="X132" s="119" t="s">
        <v>252</v>
      </c>
      <c r="Y132" s="119" t="s">
        <v>231</v>
      </c>
      <c r="Z132" s="120" t="s">
        <v>4098</v>
      </c>
      <c r="AA132" s="121" t="s">
        <v>4099</v>
      </c>
      <c r="AB132" s="122" t="s">
        <v>1194</v>
      </c>
      <c r="AC132" s="123">
        <v>4</v>
      </c>
      <c r="AD132" s="124">
        <v>14.51</v>
      </c>
      <c r="AE132" s="200">
        <f t="shared" si="4"/>
        <v>58.04</v>
      </c>
      <c r="AR132" s="129" t="s">
        <v>235</v>
      </c>
      <c r="AT132" s="129" t="s">
        <v>231</v>
      </c>
      <c r="AU132" s="129" t="s">
        <v>76</v>
      </c>
      <c r="AY132" s="13" t="s">
        <v>228</v>
      </c>
      <c r="BE132" s="130">
        <f t="shared" si="5"/>
        <v>0</v>
      </c>
      <c r="BF132" s="130">
        <f t="shared" si="6"/>
        <v>58.04</v>
      </c>
      <c r="BG132" s="130">
        <f t="shared" si="7"/>
        <v>0</v>
      </c>
      <c r="BH132" s="130">
        <f t="shared" si="8"/>
        <v>0</v>
      </c>
      <c r="BI132" s="130">
        <f t="shared" si="9"/>
        <v>0</v>
      </c>
      <c r="BJ132" s="13" t="s">
        <v>76</v>
      </c>
      <c r="BK132" s="130">
        <f t="shared" si="10"/>
        <v>58.04</v>
      </c>
      <c r="BL132" s="13" t="s">
        <v>235</v>
      </c>
      <c r="BM132" s="129" t="s">
        <v>255</v>
      </c>
    </row>
    <row r="133" spans="2:65" s="1" customFormat="1" ht="24" customHeight="1" x14ac:dyDescent="0.2">
      <c r="B133" s="118"/>
      <c r="C133" s="119" t="s">
        <v>244</v>
      </c>
      <c r="D133" s="119" t="s">
        <v>231</v>
      </c>
      <c r="E133" s="120" t="s">
        <v>2682</v>
      </c>
      <c r="F133" s="121" t="s">
        <v>2683</v>
      </c>
      <c r="G133" s="122" t="s">
        <v>1194</v>
      </c>
      <c r="H133" s="123">
        <v>2</v>
      </c>
      <c r="I133" s="124">
        <v>75.7</v>
      </c>
      <c r="J133" s="124">
        <f t="shared" si="0"/>
        <v>151.4</v>
      </c>
      <c r="K133" s="121" t="s">
        <v>1</v>
      </c>
      <c r="L133" s="24"/>
      <c r="M133" s="125" t="s">
        <v>1</v>
      </c>
      <c r="N133" s="126" t="s">
        <v>32</v>
      </c>
      <c r="O133" s="127">
        <v>0</v>
      </c>
      <c r="P133" s="127">
        <f t="shared" si="1"/>
        <v>0</v>
      </c>
      <c r="Q133" s="127">
        <v>0</v>
      </c>
      <c r="R133" s="127">
        <f t="shared" si="2"/>
        <v>0</v>
      </c>
      <c r="S133" s="127">
        <v>0</v>
      </c>
      <c r="T133" s="128">
        <f t="shared" si="3"/>
        <v>0</v>
      </c>
      <c r="W133" s="199"/>
      <c r="X133" s="119" t="s">
        <v>244</v>
      </c>
      <c r="Y133" s="119" t="s">
        <v>231</v>
      </c>
      <c r="Z133" s="120" t="s">
        <v>2682</v>
      </c>
      <c r="AA133" s="121" t="s">
        <v>2683</v>
      </c>
      <c r="AB133" s="122" t="s">
        <v>1194</v>
      </c>
      <c r="AC133" s="123">
        <v>2</v>
      </c>
      <c r="AD133" s="124">
        <v>75.7</v>
      </c>
      <c r="AE133" s="200">
        <f t="shared" si="4"/>
        <v>151.4</v>
      </c>
      <c r="AR133" s="129" t="s">
        <v>235</v>
      </c>
      <c r="AT133" s="129" t="s">
        <v>231</v>
      </c>
      <c r="AU133" s="129" t="s">
        <v>76</v>
      </c>
      <c r="AY133" s="13" t="s">
        <v>228</v>
      </c>
      <c r="BE133" s="130">
        <f t="shared" si="5"/>
        <v>0</v>
      </c>
      <c r="BF133" s="130">
        <f t="shared" si="6"/>
        <v>151.4</v>
      </c>
      <c r="BG133" s="130">
        <f t="shared" si="7"/>
        <v>0</v>
      </c>
      <c r="BH133" s="130">
        <f t="shared" si="8"/>
        <v>0</v>
      </c>
      <c r="BI133" s="130">
        <f t="shared" si="9"/>
        <v>0</v>
      </c>
      <c r="BJ133" s="13" t="s">
        <v>76</v>
      </c>
      <c r="BK133" s="130">
        <f t="shared" si="10"/>
        <v>151.4</v>
      </c>
      <c r="BL133" s="13" t="s">
        <v>235</v>
      </c>
      <c r="BM133" s="129" t="s">
        <v>258</v>
      </c>
    </row>
    <row r="134" spans="2:65" s="1" customFormat="1" ht="60" customHeight="1" x14ac:dyDescent="0.2">
      <c r="B134" s="118"/>
      <c r="C134" s="119" t="s">
        <v>259</v>
      </c>
      <c r="D134" s="119" t="s">
        <v>231</v>
      </c>
      <c r="E134" s="120" t="s">
        <v>4100</v>
      </c>
      <c r="F134" s="121" t="s">
        <v>4101</v>
      </c>
      <c r="G134" s="122" t="s">
        <v>1194</v>
      </c>
      <c r="H134" s="123">
        <v>1</v>
      </c>
      <c r="I134" s="124">
        <v>157.9</v>
      </c>
      <c r="J134" s="124">
        <f t="shared" si="0"/>
        <v>157.9</v>
      </c>
      <c r="K134" s="121" t="s">
        <v>1</v>
      </c>
      <c r="L134" s="24"/>
      <c r="M134" s="125" t="s">
        <v>1</v>
      </c>
      <c r="N134" s="126" t="s">
        <v>32</v>
      </c>
      <c r="O134" s="127">
        <v>0</v>
      </c>
      <c r="P134" s="127">
        <f t="shared" si="1"/>
        <v>0</v>
      </c>
      <c r="Q134" s="127">
        <v>0</v>
      </c>
      <c r="R134" s="127">
        <f t="shared" si="2"/>
        <v>0</v>
      </c>
      <c r="S134" s="127">
        <v>0</v>
      </c>
      <c r="T134" s="128">
        <f t="shared" si="3"/>
        <v>0</v>
      </c>
      <c r="W134" s="199"/>
      <c r="X134" s="119" t="s">
        <v>259</v>
      </c>
      <c r="Y134" s="119" t="s">
        <v>231</v>
      </c>
      <c r="Z134" s="120" t="s">
        <v>4100</v>
      </c>
      <c r="AA134" s="121" t="s">
        <v>4101</v>
      </c>
      <c r="AB134" s="122" t="s">
        <v>1194</v>
      </c>
      <c r="AC134" s="123">
        <v>1</v>
      </c>
      <c r="AD134" s="124">
        <v>157.9</v>
      </c>
      <c r="AE134" s="200">
        <f t="shared" si="4"/>
        <v>157.9</v>
      </c>
      <c r="AR134" s="129" t="s">
        <v>235</v>
      </c>
      <c r="AT134" s="129" t="s">
        <v>231</v>
      </c>
      <c r="AU134" s="129" t="s">
        <v>76</v>
      </c>
      <c r="AY134" s="13" t="s">
        <v>228</v>
      </c>
      <c r="BE134" s="130">
        <f t="shared" si="5"/>
        <v>0</v>
      </c>
      <c r="BF134" s="130">
        <f t="shared" si="6"/>
        <v>157.9</v>
      </c>
      <c r="BG134" s="130">
        <f t="shared" si="7"/>
        <v>0</v>
      </c>
      <c r="BH134" s="130">
        <f t="shared" si="8"/>
        <v>0</v>
      </c>
      <c r="BI134" s="130">
        <f t="shared" si="9"/>
        <v>0</v>
      </c>
      <c r="BJ134" s="13" t="s">
        <v>76</v>
      </c>
      <c r="BK134" s="130">
        <f t="shared" si="10"/>
        <v>157.9</v>
      </c>
      <c r="BL134" s="13" t="s">
        <v>235</v>
      </c>
      <c r="BM134" s="129" t="s">
        <v>262</v>
      </c>
    </row>
    <row r="135" spans="2:65" s="1" customFormat="1" ht="24" customHeight="1" x14ac:dyDescent="0.2">
      <c r="B135" s="118"/>
      <c r="C135" s="119" t="s">
        <v>248</v>
      </c>
      <c r="D135" s="119" t="s">
        <v>231</v>
      </c>
      <c r="E135" s="120" t="s">
        <v>4102</v>
      </c>
      <c r="F135" s="121" t="s">
        <v>4103</v>
      </c>
      <c r="G135" s="122" t="s">
        <v>1194</v>
      </c>
      <c r="H135" s="123">
        <v>4</v>
      </c>
      <c r="I135" s="124">
        <v>67.569999999999993</v>
      </c>
      <c r="J135" s="124">
        <f t="shared" si="0"/>
        <v>270.27999999999997</v>
      </c>
      <c r="K135" s="121" t="s">
        <v>1</v>
      </c>
      <c r="L135" s="24"/>
      <c r="M135" s="125" t="s">
        <v>1</v>
      </c>
      <c r="N135" s="126" t="s">
        <v>32</v>
      </c>
      <c r="O135" s="127">
        <v>0</v>
      </c>
      <c r="P135" s="127">
        <f t="shared" si="1"/>
        <v>0</v>
      </c>
      <c r="Q135" s="127">
        <v>0</v>
      </c>
      <c r="R135" s="127">
        <f t="shared" si="2"/>
        <v>0</v>
      </c>
      <c r="S135" s="127">
        <v>0</v>
      </c>
      <c r="T135" s="128">
        <f t="shared" si="3"/>
        <v>0</v>
      </c>
      <c r="W135" s="199"/>
      <c r="X135" s="119" t="s">
        <v>248</v>
      </c>
      <c r="Y135" s="119" t="s">
        <v>231</v>
      </c>
      <c r="Z135" s="120" t="s">
        <v>4102</v>
      </c>
      <c r="AA135" s="121" t="s">
        <v>4103</v>
      </c>
      <c r="AB135" s="122" t="s">
        <v>1194</v>
      </c>
      <c r="AC135" s="123">
        <v>4</v>
      </c>
      <c r="AD135" s="124">
        <v>67.569999999999993</v>
      </c>
      <c r="AE135" s="200">
        <f t="shared" si="4"/>
        <v>270.27999999999997</v>
      </c>
      <c r="AR135" s="129" t="s">
        <v>235</v>
      </c>
      <c r="AT135" s="129" t="s">
        <v>231</v>
      </c>
      <c r="AU135" s="129" t="s">
        <v>76</v>
      </c>
      <c r="AY135" s="13" t="s">
        <v>228</v>
      </c>
      <c r="BE135" s="130">
        <f t="shared" si="5"/>
        <v>0</v>
      </c>
      <c r="BF135" s="130">
        <f t="shared" si="6"/>
        <v>270.27999999999997</v>
      </c>
      <c r="BG135" s="130">
        <f t="shared" si="7"/>
        <v>0</v>
      </c>
      <c r="BH135" s="130">
        <f t="shared" si="8"/>
        <v>0</v>
      </c>
      <c r="BI135" s="130">
        <f t="shared" si="9"/>
        <v>0</v>
      </c>
      <c r="BJ135" s="13" t="s">
        <v>76</v>
      </c>
      <c r="BK135" s="130">
        <f t="shared" si="10"/>
        <v>270.27999999999997</v>
      </c>
      <c r="BL135" s="13" t="s">
        <v>235</v>
      </c>
      <c r="BM135" s="129" t="s">
        <v>7</v>
      </c>
    </row>
    <row r="136" spans="2:65" s="11" customFormat="1" ht="22.95" customHeight="1" x14ac:dyDescent="0.25">
      <c r="B136" s="106"/>
      <c r="D136" s="107" t="s">
        <v>57</v>
      </c>
      <c r="E136" s="116" t="s">
        <v>1211</v>
      </c>
      <c r="F136" s="116" t="s">
        <v>4104</v>
      </c>
      <c r="J136" s="117">
        <f>BK136</f>
        <v>36.22</v>
      </c>
      <c r="L136" s="106"/>
      <c r="M136" s="110"/>
      <c r="N136" s="111"/>
      <c r="O136" s="111"/>
      <c r="P136" s="112">
        <f>P137</f>
        <v>0</v>
      </c>
      <c r="Q136" s="111"/>
      <c r="R136" s="112">
        <f>R137</f>
        <v>0</v>
      </c>
      <c r="S136" s="111"/>
      <c r="T136" s="113">
        <f>T137</f>
        <v>0</v>
      </c>
      <c r="W136" s="195"/>
      <c r="X136" s="111"/>
      <c r="Y136" s="196" t="s">
        <v>57</v>
      </c>
      <c r="Z136" s="201" t="s">
        <v>1211</v>
      </c>
      <c r="AA136" s="201" t="s">
        <v>4104</v>
      </c>
      <c r="AB136" s="111"/>
      <c r="AC136" s="111"/>
      <c r="AD136" s="111"/>
      <c r="AE136" s="202">
        <f>AE137</f>
        <v>36.22</v>
      </c>
      <c r="AR136" s="107" t="s">
        <v>63</v>
      </c>
      <c r="AT136" s="114" t="s">
        <v>57</v>
      </c>
      <c r="AU136" s="114" t="s">
        <v>63</v>
      </c>
      <c r="AY136" s="107" t="s">
        <v>228</v>
      </c>
      <c r="BK136" s="115">
        <f>BK137</f>
        <v>36.22</v>
      </c>
    </row>
    <row r="137" spans="2:65" s="1" customFormat="1" ht="16.5" customHeight="1" x14ac:dyDescent="0.2">
      <c r="B137" s="118"/>
      <c r="C137" s="119" t="s">
        <v>265</v>
      </c>
      <c r="D137" s="119" t="s">
        <v>231</v>
      </c>
      <c r="E137" s="120" t="s">
        <v>1207</v>
      </c>
      <c r="F137" s="121" t="s">
        <v>1208</v>
      </c>
      <c r="G137" s="122" t="s">
        <v>292</v>
      </c>
      <c r="H137" s="123">
        <v>2</v>
      </c>
      <c r="I137" s="124">
        <v>18.11</v>
      </c>
      <c r="J137" s="124">
        <f>ROUND(I137*H137,2)</f>
        <v>36.22</v>
      </c>
      <c r="K137" s="121" t="s">
        <v>1</v>
      </c>
      <c r="L137" s="24"/>
      <c r="M137" s="125" t="s">
        <v>1</v>
      </c>
      <c r="N137" s="126" t="s">
        <v>32</v>
      </c>
      <c r="O137" s="127">
        <v>0</v>
      </c>
      <c r="P137" s="127">
        <f>O137*H137</f>
        <v>0</v>
      </c>
      <c r="Q137" s="127">
        <v>0</v>
      </c>
      <c r="R137" s="127">
        <f>Q137*H137</f>
        <v>0</v>
      </c>
      <c r="S137" s="127">
        <v>0</v>
      </c>
      <c r="T137" s="128">
        <f>S137*H137</f>
        <v>0</v>
      </c>
      <c r="W137" s="199"/>
      <c r="X137" s="119" t="s">
        <v>265</v>
      </c>
      <c r="Y137" s="119" t="s">
        <v>231</v>
      </c>
      <c r="Z137" s="120" t="s">
        <v>1207</v>
      </c>
      <c r="AA137" s="121" t="s">
        <v>1208</v>
      </c>
      <c r="AB137" s="122" t="s">
        <v>292</v>
      </c>
      <c r="AC137" s="123">
        <v>2</v>
      </c>
      <c r="AD137" s="124">
        <v>18.11</v>
      </c>
      <c r="AE137" s="200">
        <f>ROUND(AD137*AC137,2)</f>
        <v>36.22</v>
      </c>
      <c r="AR137" s="129" t="s">
        <v>235</v>
      </c>
      <c r="AT137" s="129" t="s">
        <v>231</v>
      </c>
      <c r="AU137" s="129" t="s">
        <v>76</v>
      </c>
      <c r="AY137" s="13" t="s">
        <v>228</v>
      </c>
      <c r="BE137" s="130">
        <f>IF(N137="základná",J137,0)</f>
        <v>0</v>
      </c>
      <c r="BF137" s="130">
        <f>IF(N137="znížená",J137,0)</f>
        <v>36.22</v>
      </c>
      <c r="BG137" s="130">
        <f>IF(N137="zákl. prenesená",J137,0)</f>
        <v>0</v>
      </c>
      <c r="BH137" s="130">
        <f>IF(N137="zníž. prenesená",J137,0)</f>
        <v>0</v>
      </c>
      <c r="BI137" s="130">
        <f>IF(N137="nulová",J137,0)</f>
        <v>0</v>
      </c>
      <c r="BJ137" s="13" t="s">
        <v>76</v>
      </c>
      <c r="BK137" s="130">
        <f>ROUND(I137*H137,2)</f>
        <v>36.22</v>
      </c>
      <c r="BL137" s="13" t="s">
        <v>235</v>
      </c>
      <c r="BM137" s="129" t="s">
        <v>268</v>
      </c>
    </row>
    <row r="138" spans="2:65" s="11" customFormat="1" ht="22.95" customHeight="1" x14ac:dyDescent="0.25">
      <c r="B138" s="106"/>
      <c r="D138" s="107" t="s">
        <v>57</v>
      </c>
      <c r="E138" s="116" t="s">
        <v>1215</v>
      </c>
      <c r="F138" s="116" t="s">
        <v>4105</v>
      </c>
      <c r="J138" s="117">
        <f>BK138</f>
        <v>18696.7</v>
      </c>
      <c r="L138" s="106"/>
      <c r="M138" s="110"/>
      <c r="N138" s="111"/>
      <c r="O138" s="111"/>
      <c r="P138" s="112">
        <f>SUM(P139:P141)</f>
        <v>0</v>
      </c>
      <c r="Q138" s="111"/>
      <c r="R138" s="112">
        <f>SUM(R139:R141)</f>
        <v>0</v>
      </c>
      <c r="S138" s="111"/>
      <c r="T138" s="113">
        <f>SUM(T139:T141)</f>
        <v>0</v>
      </c>
      <c r="W138" s="195"/>
      <c r="X138" s="111"/>
      <c r="Y138" s="196" t="s">
        <v>57</v>
      </c>
      <c r="Z138" s="201" t="s">
        <v>1215</v>
      </c>
      <c r="AA138" s="201" t="s">
        <v>4105</v>
      </c>
      <c r="AB138" s="111"/>
      <c r="AC138" s="111"/>
      <c r="AD138" s="111"/>
      <c r="AE138" s="202">
        <f>SUM(AE139:AE141)</f>
        <v>18696.7</v>
      </c>
      <c r="AR138" s="107" t="s">
        <v>63</v>
      </c>
      <c r="AT138" s="114" t="s">
        <v>57</v>
      </c>
      <c r="AU138" s="114" t="s">
        <v>63</v>
      </c>
      <c r="AY138" s="107" t="s">
        <v>228</v>
      </c>
      <c r="BK138" s="115">
        <f>SUM(BK139:BK141)</f>
        <v>18696.7</v>
      </c>
    </row>
    <row r="139" spans="2:65" s="1" customFormat="1" ht="16.5" customHeight="1" x14ac:dyDescent="0.2">
      <c r="B139" s="118"/>
      <c r="C139" s="119" t="s">
        <v>251</v>
      </c>
      <c r="D139" s="119" t="s">
        <v>231</v>
      </c>
      <c r="E139" s="120" t="s">
        <v>4106</v>
      </c>
      <c r="F139" s="121" t="s">
        <v>3601</v>
      </c>
      <c r="G139" s="122" t="s">
        <v>292</v>
      </c>
      <c r="H139" s="123">
        <v>10</v>
      </c>
      <c r="I139" s="124">
        <v>36.659999999999997</v>
      </c>
      <c r="J139" s="124">
        <f>ROUND(I139*H139,2)</f>
        <v>366.6</v>
      </c>
      <c r="K139" s="121" t="s">
        <v>1</v>
      </c>
      <c r="L139" s="24"/>
      <c r="M139" s="125" t="s">
        <v>1</v>
      </c>
      <c r="N139" s="126" t="s">
        <v>32</v>
      </c>
      <c r="O139" s="127">
        <v>0</v>
      </c>
      <c r="P139" s="127">
        <f>O139*H139</f>
        <v>0</v>
      </c>
      <c r="Q139" s="127">
        <v>0</v>
      </c>
      <c r="R139" s="127">
        <f>Q139*H139</f>
        <v>0</v>
      </c>
      <c r="S139" s="127">
        <v>0</v>
      </c>
      <c r="T139" s="128">
        <f>S139*H139</f>
        <v>0</v>
      </c>
      <c r="W139" s="199"/>
      <c r="X139" s="119" t="s">
        <v>251</v>
      </c>
      <c r="Y139" s="119" t="s">
        <v>231</v>
      </c>
      <c r="Z139" s="120" t="s">
        <v>4106</v>
      </c>
      <c r="AA139" s="121" t="s">
        <v>3601</v>
      </c>
      <c r="AB139" s="122" t="s">
        <v>292</v>
      </c>
      <c r="AC139" s="123">
        <v>10</v>
      </c>
      <c r="AD139" s="124">
        <v>36.659999999999997</v>
      </c>
      <c r="AE139" s="200">
        <f>ROUND(AD139*AC139,2)</f>
        <v>366.6</v>
      </c>
      <c r="AR139" s="129" t="s">
        <v>235</v>
      </c>
      <c r="AT139" s="129" t="s">
        <v>231</v>
      </c>
      <c r="AU139" s="129" t="s">
        <v>76</v>
      </c>
      <c r="AY139" s="13" t="s">
        <v>228</v>
      </c>
      <c r="BE139" s="130">
        <f>IF(N139="základná",J139,0)</f>
        <v>0</v>
      </c>
      <c r="BF139" s="130">
        <f>IF(N139="znížená",J139,0)</f>
        <v>366.6</v>
      </c>
      <c r="BG139" s="130">
        <f>IF(N139="zákl. prenesená",J139,0)</f>
        <v>0</v>
      </c>
      <c r="BH139" s="130">
        <f>IF(N139="zníž. prenesená",J139,0)</f>
        <v>0</v>
      </c>
      <c r="BI139" s="130">
        <f>IF(N139="nulová",J139,0)</f>
        <v>0</v>
      </c>
      <c r="BJ139" s="13" t="s">
        <v>76</v>
      </c>
      <c r="BK139" s="130">
        <f>ROUND(I139*H139,2)</f>
        <v>366.6</v>
      </c>
      <c r="BL139" s="13" t="s">
        <v>235</v>
      </c>
      <c r="BM139" s="129" t="s">
        <v>272</v>
      </c>
    </row>
    <row r="140" spans="2:65" s="1" customFormat="1" ht="16.5" customHeight="1" x14ac:dyDescent="0.2">
      <c r="B140" s="118"/>
      <c r="C140" s="119" t="s">
        <v>273</v>
      </c>
      <c r="D140" s="119" t="s">
        <v>231</v>
      </c>
      <c r="E140" s="120" t="s">
        <v>4107</v>
      </c>
      <c r="F140" s="121" t="s">
        <v>3603</v>
      </c>
      <c r="G140" s="122" t="s">
        <v>292</v>
      </c>
      <c r="H140" s="123">
        <v>60</v>
      </c>
      <c r="I140" s="124">
        <v>47.94</v>
      </c>
      <c r="J140" s="124">
        <f>ROUND(I140*H140,2)</f>
        <v>2876.4</v>
      </c>
      <c r="K140" s="121" t="s">
        <v>1</v>
      </c>
      <c r="L140" s="24"/>
      <c r="M140" s="125" t="s">
        <v>1</v>
      </c>
      <c r="N140" s="126" t="s">
        <v>32</v>
      </c>
      <c r="O140" s="127">
        <v>0</v>
      </c>
      <c r="P140" s="127">
        <f>O140*H140</f>
        <v>0</v>
      </c>
      <c r="Q140" s="127">
        <v>0</v>
      </c>
      <c r="R140" s="127">
        <f>Q140*H140</f>
        <v>0</v>
      </c>
      <c r="S140" s="127">
        <v>0</v>
      </c>
      <c r="T140" s="128">
        <f>S140*H140</f>
        <v>0</v>
      </c>
      <c r="W140" s="199"/>
      <c r="X140" s="119" t="s">
        <v>273</v>
      </c>
      <c r="Y140" s="119" t="s">
        <v>231</v>
      </c>
      <c r="Z140" s="120" t="s">
        <v>4107</v>
      </c>
      <c r="AA140" s="121" t="s">
        <v>3603</v>
      </c>
      <c r="AB140" s="122" t="s">
        <v>292</v>
      </c>
      <c r="AC140" s="123">
        <v>60</v>
      </c>
      <c r="AD140" s="124">
        <v>47.94</v>
      </c>
      <c r="AE140" s="200">
        <f>ROUND(AD140*AC140,2)</f>
        <v>2876.4</v>
      </c>
      <c r="AR140" s="129" t="s">
        <v>235</v>
      </c>
      <c r="AT140" s="129" t="s">
        <v>231</v>
      </c>
      <c r="AU140" s="129" t="s">
        <v>76</v>
      </c>
      <c r="AY140" s="13" t="s">
        <v>228</v>
      </c>
      <c r="BE140" s="130">
        <f>IF(N140="základná",J140,0)</f>
        <v>0</v>
      </c>
      <c r="BF140" s="130">
        <f>IF(N140="znížená",J140,0)</f>
        <v>2876.4</v>
      </c>
      <c r="BG140" s="130">
        <f>IF(N140="zákl. prenesená",J140,0)</f>
        <v>0</v>
      </c>
      <c r="BH140" s="130">
        <f>IF(N140="zníž. prenesená",J140,0)</f>
        <v>0</v>
      </c>
      <c r="BI140" s="130">
        <f>IF(N140="nulová",J140,0)</f>
        <v>0</v>
      </c>
      <c r="BJ140" s="13" t="s">
        <v>76</v>
      </c>
      <c r="BK140" s="130">
        <f>ROUND(I140*H140,2)</f>
        <v>2876.4</v>
      </c>
      <c r="BL140" s="13" t="s">
        <v>235</v>
      </c>
      <c r="BM140" s="129" t="s">
        <v>276</v>
      </c>
    </row>
    <row r="141" spans="2:65" s="1" customFormat="1" ht="16.5" customHeight="1" x14ac:dyDescent="0.2">
      <c r="B141" s="118"/>
      <c r="C141" s="119" t="s">
        <v>255</v>
      </c>
      <c r="D141" s="119" t="s">
        <v>231</v>
      </c>
      <c r="E141" s="120" t="s">
        <v>4108</v>
      </c>
      <c r="F141" s="121" t="s">
        <v>4109</v>
      </c>
      <c r="G141" s="122" t="s">
        <v>292</v>
      </c>
      <c r="H141" s="123">
        <v>230</v>
      </c>
      <c r="I141" s="124">
        <v>67.19</v>
      </c>
      <c r="J141" s="124">
        <f>ROUND(I141*H141,2)</f>
        <v>15453.7</v>
      </c>
      <c r="K141" s="121" t="s">
        <v>1</v>
      </c>
      <c r="L141" s="24"/>
      <c r="M141" s="125" t="s">
        <v>1</v>
      </c>
      <c r="N141" s="126" t="s">
        <v>32</v>
      </c>
      <c r="O141" s="127">
        <v>0</v>
      </c>
      <c r="P141" s="127">
        <f>O141*H141</f>
        <v>0</v>
      </c>
      <c r="Q141" s="127">
        <v>0</v>
      </c>
      <c r="R141" s="127">
        <f>Q141*H141</f>
        <v>0</v>
      </c>
      <c r="S141" s="127">
        <v>0</v>
      </c>
      <c r="T141" s="128">
        <f>S141*H141</f>
        <v>0</v>
      </c>
      <c r="W141" s="199"/>
      <c r="X141" s="119" t="s">
        <v>255</v>
      </c>
      <c r="Y141" s="119" t="s">
        <v>231</v>
      </c>
      <c r="Z141" s="120" t="s">
        <v>4108</v>
      </c>
      <c r="AA141" s="121" t="s">
        <v>4109</v>
      </c>
      <c r="AB141" s="122" t="s">
        <v>292</v>
      </c>
      <c r="AC141" s="123">
        <v>230</v>
      </c>
      <c r="AD141" s="124">
        <v>67.19</v>
      </c>
      <c r="AE141" s="200">
        <f>ROUND(AD141*AC141,2)</f>
        <v>15453.7</v>
      </c>
      <c r="AR141" s="129" t="s">
        <v>235</v>
      </c>
      <c r="AT141" s="129" t="s">
        <v>231</v>
      </c>
      <c r="AU141" s="129" t="s">
        <v>76</v>
      </c>
      <c r="AY141" s="13" t="s">
        <v>228</v>
      </c>
      <c r="BE141" s="130">
        <f>IF(N141="základná",J141,0)</f>
        <v>0</v>
      </c>
      <c r="BF141" s="130">
        <f>IF(N141="znížená",J141,0)</f>
        <v>15453.7</v>
      </c>
      <c r="BG141" s="130">
        <f>IF(N141="zákl. prenesená",J141,0)</f>
        <v>0</v>
      </c>
      <c r="BH141" s="130">
        <f>IF(N141="zníž. prenesená",J141,0)</f>
        <v>0</v>
      </c>
      <c r="BI141" s="130">
        <f>IF(N141="nulová",J141,0)</f>
        <v>0</v>
      </c>
      <c r="BJ141" s="13" t="s">
        <v>76</v>
      </c>
      <c r="BK141" s="130">
        <f>ROUND(I141*H141,2)</f>
        <v>15453.7</v>
      </c>
      <c r="BL141" s="13" t="s">
        <v>235</v>
      </c>
      <c r="BM141" s="129" t="s">
        <v>280</v>
      </c>
    </row>
    <row r="142" spans="2:65" s="11" customFormat="1" ht="22.95" customHeight="1" x14ac:dyDescent="0.25">
      <c r="B142" s="106"/>
      <c r="D142" s="107" t="s">
        <v>57</v>
      </c>
      <c r="E142" s="116" t="s">
        <v>1227</v>
      </c>
      <c r="F142" s="116" t="s">
        <v>4110</v>
      </c>
      <c r="J142" s="117">
        <f>BK142</f>
        <v>12.54</v>
      </c>
      <c r="L142" s="106"/>
      <c r="M142" s="110"/>
      <c r="N142" s="111"/>
      <c r="O142" s="111"/>
      <c r="P142" s="112">
        <f>P143</f>
        <v>0</v>
      </c>
      <c r="Q142" s="111"/>
      <c r="R142" s="112">
        <f>R143</f>
        <v>0</v>
      </c>
      <c r="S142" s="111"/>
      <c r="T142" s="113">
        <f>T143</f>
        <v>0</v>
      </c>
      <c r="W142" s="195"/>
      <c r="X142" s="111"/>
      <c r="Y142" s="196" t="s">
        <v>57</v>
      </c>
      <c r="Z142" s="201" t="s">
        <v>1227</v>
      </c>
      <c r="AA142" s="201" t="s">
        <v>4110</v>
      </c>
      <c r="AB142" s="111"/>
      <c r="AC142" s="111"/>
      <c r="AD142" s="111"/>
      <c r="AE142" s="202">
        <f>AE143</f>
        <v>12.54</v>
      </c>
      <c r="AR142" s="107" t="s">
        <v>63</v>
      </c>
      <c r="AT142" s="114" t="s">
        <v>57</v>
      </c>
      <c r="AU142" s="114" t="s">
        <v>63</v>
      </c>
      <c r="AY142" s="107" t="s">
        <v>228</v>
      </c>
      <c r="BK142" s="115">
        <f>BK143</f>
        <v>12.54</v>
      </c>
    </row>
    <row r="143" spans="2:65" s="1" customFormat="1" ht="16.5" customHeight="1" x14ac:dyDescent="0.2">
      <c r="B143" s="118"/>
      <c r="C143" s="119" t="s">
        <v>281</v>
      </c>
      <c r="D143" s="119" t="s">
        <v>231</v>
      </c>
      <c r="E143" s="120" t="s">
        <v>4111</v>
      </c>
      <c r="F143" s="121" t="s">
        <v>4112</v>
      </c>
      <c r="G143" s="122" t="s">
        <v>292</v>
      </c>
      <c r="H143" s="123">
        <v>2</v>
      </c>
      <c r="I143" s="124">
        <v>6.27</v>
      </c>
      <c r="J143" s="124">
        <f>ROUND(I143*H143,2)</f>
        <v>12.54</v>
      </c>
      <c r="K143" s="121" t="s">
        <v>1</v>
      </c>
      <c r="L143" s="24"/>
      <c r="M143" s="125" t="s">
        <v>1</v>
      </c>
      <c r="N143" s="126" t="s">
        <v>32</v>
      </c>
      <c r="O143" s="127">
        <v>0</v>
      </c>
      <c r="P143" s="127">
        <f>O143*H143</f>
        <v>0</v>
      </c>
      <c r="Q143" s="127">
        <v>0</v>
      </c>
      <c r="R143" s="127">
        <f>Q143*H143</f>
        <v>0</v>
      </c>
      <c r="S143" s="127">
        <v>0</v>
      </c>
      <c r="T143" s="128">
        <f>S143*H143</f>
        <v>0</v>
      </c>
      <c r="W143" s="199"/>
      <c r="X143" s="119" t="s">
        <v>281</v>
      </c>
      <c r="Y143" s="119" t="s">
        <v>231</v>
      </c>
      <c r="Z143" s="120" t="s">
        <v>4111</v>
      </c>
      <c r="AA143" s="121" t="s">
        <v>4112</v>
      </c>
      <c r="AB143" s="122" t="s">
        <v>292</v>
      </c>
      <c r="AC143" s="123">
        <v>2</v>
      </c>
      <c r="AD143" s="124">
        <v>6.27</v>
      </c>
      <c r="AE143" s="200">
        <f>ROUND(AD143*AC143,2)</f>
        <v>12.54</v>
      </c>
      <c r="AR143" s="129" t="s">
        <v>235</v>
      </c>
      <c r="AT143" s="129" t="s">
        <v>231</v>
      </c>
      <c r="AU143" s="129" t="s">
        <v>76</v>
      </c>
      <c r="AY143" s="13" t="s">
        <v>228</v>
      </c>
      <c r="BE143" s="130">
        <f>IF(N143="základná",J143,0)</f>
        <v>0</v>
      </c>
      <c r="BF143" s="130">
        <f>IF(N143="znížená",J143,0)</f>
        <v>12.54</v>
      </c>
      <c r="BG143" s="130">
        <f>IF(N143="zákl. prenesená",J143,0)</f>
        <v>0</v>
      </c>
      <c r="BH143" s="130">
        <f>IF(N143="zníž. prenesená",J143,0)</f>
        <v>0</v>
      </c>
      <c r="BI143" s="130">
        <f>IF(N143="nulová",J143,0)</f>
        <v>0</v>
      </c>
      <c r="BJ143" s="13" t="s">
        <v>76</v>
      </c>
      <c r="BK143" s="130">
        <f>ROUND(I143*H143,2)</f>
        <v>12.54</v>
      </c>
      <c r="BL143" s="13" t="s">
        <v>235</v>
      </c>
      <c r="BM143" s="129" t="s">
        <v>285</v>
      </c>
    </row>
    <row r="144" spans="2:65" s="11" customFormat="1" ht="22.95" customHeight="1" x14ac:dyDescent="0.25">
      <c r="B144" s="106"/>
      <c r="D144" s="107" t="s">
        <v>57</v>
      </c>
      <c r="E144" s="116" t="s">
        <v>1240</v>
      </c>
      <c r="F144" s="116" t="s">
        <v>4113</v>
      </c>
      <c r="J144" s="117">
        <f>BK144</f>
        <v>14626.569999999998</v>
      </c>
      <c r="L144" s="106"/>
      <c r="M144" s="110"/>
      <c r="N144" s="111"/>
      <c r="O144" s="111"/>
      <c r="P144" s="112">
        <f>SUM(P145:P157)</f>
        <v>0</v>
      </c>
      <c r="Q144" s="111"/>
      <c r="R144" s="112">
        <f>SUM(R145:R157)</f>
        <v>0</v>
      </c>
      <c r="S144" s="111"/>
      <c r="T144" s="113">
        <f>SUM(T145:T157)</f>
        <v>0</v>
      </c>
      <c r="W144" s="195"/>
      <c r="X144" s="111"/>
      <c r="Y144" s="196" t="s">
        <v>57</v>
      </c>
      <c r="Z144" s="201" t="s">
        <v>1240</v>
      </c>
      <c r="AA144" s="201" t="s">
        <v>4113</v>
      </c>
      <c r="AB144" s="111"/>
      <c r="AC144" s="111"/>
      <c r="AD144" s="111"/>
      <c r="AE144" s="202">
        <f>SUM(AE145:AE157)</f>
        <v>14626.569999999998</v>
      </c>
      <c r="AR144" s="107" t="s">
        <v>63</v>
      </c>
      <c r="AT144" s="114" t="s">
        <v>57</v>
      </c>
      <c r="AU144" s="114" t="s">
        <v>63</v>
      </c>
      <c r="AY144" s="107" t="s">
        <v>228</v>
      </c>
      <c r="BK144" s="115">
        <f>SUM(BK145:BK157)</f>
        <v>14626.569999999998</v>
      </c>
    </row>
    <row r="145" spans="2:65" s="1" customFormat="1" ht="16.5" customHeight="1" x14ac:dyDescent="0.2">
      <c r="B145" s="118"/>
      <c r="C145" s="119" t="s">
        <v>258</v>
      </c>
      <c r="D145" s="119" t="s">
        <v>231</v>
      </c>
      <c r="E145" s="120" t="s">
        <v>4114</v>
      </c>
      <c r="F145" s="121" t="s">
        <v>4115</v>
      </c>
      <c r="G145" s="122" t="s">
        <v>292</v>
      </c>
      <c r="H145" s="123">
        <v>10</v>
      </c>
      <c r="I145" s="124">
        <v>16.63</v>
      </c>
      <c r="J145" s="124">
        <f t="shared" ref="J145:J157" si="11">ROUND(I145*H145,2)</f>
        <v>166.3</v>
      </c>
      <c r="K145" s="121" t="s">
        <v>1</v>
      </c>
      <c r="L145" s="24"/>
      <c r="M145" s="125" t="s">
        <v>1</v>
      </c>
      <c r="N145" s="126" t="s">
        <v>32</v>
      </c>
      <c r="O145" s="127">
        <v>0</v>
      </c>
      <c r="P145" s="127">
        <f t="shared" ref="P145:P157" si="12">O145*H145</f>
        <v>0</v>
      </c>
      <c r="Q145" s="127">
        <v>0</v>
      </c>
      <c r="R145" s="127">
        <f t="shared" ref="R145:R157" si="13">Q145*H145</f>
        <v>0</v>
      </c>
      <c r="S145" s="127">
        <v>0</v>
      </c>
      <c r="T145" s="128">
        <f t="shared" ref="T145:T157" si="14">S145*H145</f>
        <v>0</v>
      </c>
      <c r="W145" s="199"/>
      <c r="X145" s="119" t="s">
        <v>258</v>
      </c>
      <c r="Y145" s="119" t="s">
        <v>231</v>
      </c>
      <c r="Z145" s="120" t="s">
        <v>4114</v>
      </c>
      <c r="AA145" s="121" t="s">
        <v>4115</v>
      </c>
      <c r="AB145" s="122" t="s">
        <v>292</v>
      </c>
      <c r="AC145" s="123">
        <v>10</v>
      </c>
      <c r="AD145" s="124">
        <v>16.63</v>
      </c>
      <c r="AE145" s="200">
        <f t="shared" ref="AE145:AE157" si="15">ROUND(AD145*AC145,2)</f>
        <v>166.3</v>
      </c>
      <c r="AR145" s="129" t="s">
        <v>235</v>
      </c>
      <c r="AT145" s="129" t="s">
        <v>231</v>
      </c>
      <c r="AU145" s="129" t="s">
        <v>76</v>
      </c>
      <c r="AY145" s="13" t="s">
        <v>228</v>
      </c>
      <c r="BE145" s="130">
        <f t="shared" ref="BE145:BE157" si="16">IF(N145="základná",J145,0)</f>
        <v>0</v>
      </c>
      <c r="BF145" s="130">
        <f t="shared" ref="BF145:BF157" si="17">IF(N145="znížená",J145,0)</f>
        <v>166.3</v>
      </c>
      <c r="BG145" s="130">
        <f t="shared" ref="BG145:BG157" si="18">IF(N145="zákl. prenesená",J145,0)</f>
        <v>0</v>
      </c>
      <c r="BH145" s="130">
        <f t="shared" ref="BH145:BH157" si="19">IF(N145="zníž. prenesená",J145,0)</f>
        <v>0</v>
      </c>
      <c r="BI145" s="130">
        <f t="shared" ref="BI145:BI157" si="20">IF(N145="nulová",J145,0)</f>
        <v>0</v>
      </c>
      <c r="BJ145" s="13" t="s">
        <v>76</v>
      </c>
      <c r="BK145" s="130">
        <f t="shared" ref="BK145:BK157" si="21">ROUND(I145*H145,2)</f>
        <v>166.3</v>
      </c>
      <c r="BL145" s="13" t="s">
        <v>235</v>
      </c>
      <c r="BM145" s="129" t="s">
        <v>288</v>
      </c>
    </row>
    <row r="146" spans="2:65" s="1" customFormat="1" ht="16.5" customHeight="1" x14ac:dyDescent="0.2">
      <c r="B146" s="118"/>
      <c r="C146" s="119" t="s">
        <v>289</v>
      </c>
      <c r="D146" s="119" t="s">
        <v>231</v>
      </c>
      <c r="E146" s="120" t="s">
        <v>4116</v>
      </c>
      <c r="F146" s="121" t="s">
        <v>4117</v>
      </c>
      <c r="G146" s="122" t="s">
        <v>292</v>
      </c>
      <c r="H146" s="123">
        <v>60</v>
      </c>
      <c r="I146" s="124">
        <v>19.11</v>
      </c>
      <c r="J146" s="124">
        <f t="shared" si="11"/>
        <v>1146.5999999999999</v>
      </c>
      <c r="K146" s="121" t="s">
        <v>1</v>
      </c>
      <c r="L146" s="24"/>
      <c r="M146" s="125" t="s">
        <v>1</v>
      </c>
      <c r="N146" s="126" t="s">
        <v>32</v>
      </c>
      <c r="O146" s="127">
        <v>0</v>
      </c>
      <c r="P146" s="127">
        <f t="shared" si="12"/>
        <v>0</v>
      </c>
      <c r="Q146" s="127">
        <v>0</v>
      </c>
      <c r="R146" s="127">
        <f t="shared" si="13"/>
        <v>0</v>
      </c>
      <c r="S146" s="127">
        <v>0</v>
      </c>
      <c r="T146" s="128">
        <f t="shared" si="14"/>
        <v>0</v>
      </c>
      <c r="W146" s="199"/>
      <c r="X146" s="119" t="s">
        <v>289</v>
      </c>
      <c r="Y146" s="119" t="s">
        <v>231</v>
      </c>
      <c r="Z146" s="120" t="s">
        <v>4116</v>
      </c>
      <c r="AA146" s="121" t="s">
        <v>4117</v>
      </c>
      <c r="AB146" s="122" t="s">
        <v>292</v>
      </c>
      <c r="AC146" s="123">
        <v>60</v>
      </c>
      <c r="AD146" s="124">
        <v>19.11</v>
      </c>
      <c r="AE146" s="200">
        <f t="shared" si="15"/>
        <v>1146.5999999999999</v>
      </c>
      <c r="AR146" s="129" t="s">
        <v>235</v>
      </c>
      <c r="AT146" s="129" t="s">
        <v>231</v>
      </c>
      <c r="AU146" s="129" t="s">
        <v>76</v>
      </c>
      <c r="AY146" s="13" t="s">
        <v>228</v>
      </c>
      <c r="BE146" s="130">
        <f t="shared" si="16"/>
        <v>0</v>
      </c>
      <c r="BF146" s="130">
        <f t="shared" si="17"/>
        <v>1146.5999999999999</v>
      </c>
      <c r="BG146" s="130">
        <f t="shared" si="18"/>
        <v>0</v>
      </c>
      <c r="BH146" s="130">
        <f t="shared" si="19"/>
        <v>0</v>
      </c>
      <c r="BI146" s="130">
        <f t="shared" si="20"/>
        <v>0</v>
      </c>
      <c r="BJ146" s="13" t="s">
        <v>76</v>
      </c>
      <c r="BK146" s="130">
        <f t="shared" si="21"/>
        <v>1146.5999999999999</v>
      </c>
      <c r="BL146" s="13" t="s">
        <v>235</v>
      </c>
      <c r="BM146" s="129" t="s">
        <v>293</v>
      </c>
    </row>
    <row r="147" spans="2:65" s="1" customFormat="1" ht="16.5" customHeight="1" x14ac:dyDescent="0.2">
      <c r="B147" s="118"/>
      <c r="C147" s="119" t="s">
        <v>262</v>
      </c>
      <c r="D147" s="119" t="s">
        <v>231</v>
      </c>
      <c r="E147" s="120" t="s">
        <v>4118</v>
      </c>
      <c r="F147" s="121" t="s">
        <v>4119</v>
      </c>
      <c r="G147" s="122" t="s">
        <v>292</v>
      </c>
      <c r="H147" s="123">
        <v>230</v>
      </c>
      <c r="I147" s="124">
        <v>28.25</v>
      </c>
      <c r="J147" s="124">
        <f t="shared" si="11"/>
        <v>6497.5</v>
      </c>
      <c r="K147" s="121" t="s">
        <v>1</v>
      </c>
      <c r="L147" s="24"/>
      <c r="M147" s="125" t="s">
        <v>1</v>
      </c>
      <c r="N147" s="126" t="s">
        <v>32</v>
      </c>
      <c r="O147" s="127">
        <v>0</v>
      </c>
      <c r="P147" s="127">
        <f t="shared" si="12"/>
        <v>0</v>
      </c>
      <c r="Q147" s="127">
        <v>0</v>
      </c>
      <c r="R147" s="127">
        <f t="shared" si="13"/>
        <v>0</v>
      </c>
      <c r="S147" s="127">
        <v>0</v>
      </c>
      <c r="T147" s="128">
        <f t="shared" si="14"/>
        <v>0</v>
      </c>
      <c r="W147" s="199"/>
      <c r="X147" s="119" t="s">
        <v>262</v>
      </c>
      <c r="Y147" s="119" t="s">
        <v>231</v>
      </c>
      <c r="Z147" s="120" t="s">
        <v>4118</v>
      </c>
      <c r="AA147" s="121" t="s">
        <v>4119</v>
      </c>
      <c r="AB147" s="122" t="s">
        <v>292</v>
      </c>
      <c r="AC147" s="123">
        <v>230</v>
      </c>
      <c r="AD147" s="124">
        <v>28.25</v>
      </c>
      <c r="AE147" s="200">
        <f t="shared" si="15"/>
        <v>6497.5</v>
      </c>
      <c r="AR147" s="129" t="s">
        <v>235</v>
      </c>
      <c r="AT147" s="129" t="s">
        <v>231</v>
      </c>
      <c r="AU147" s="129" t="s">
        <v>76</v>
      </c>
      <c r="AY147" s="13" t="s">
        <v>228</v>
      </c>
      <c r="BE147" s="130">
        <f t="shared" si="16"/>
        <v>0</v>
      </c>
      <c r="BF147" s="130">
        <f t="shared" si="17"/>
        <v>6497.5</v>
      </c>
      <c r="BG147" s="130">
        <f t="shared" si="18"/>
        <v>0</v>
      </c>
      <c r="BH147" s="130">
        <f t="shared" si="19"/>
        <v>0</v>
      </c>
      <c r="BI147" s="130">
        <f t="shared" si="20"/>
        <v>0</v>
      </c>
      <c r="BJ147" s="13" t="s">
        <v>76</v>
      </c>
      <c r="BK147" s="130">
        <f t="shared" si="21"/>
        <v>6497.5</v>
      </c>
      <c r="BL147" s="13" t="s">
        <v>235</v>
      </c>
      <c r="BM147" s="129" t="s">
        <v>296</v>
      </c>
    </row>
    <row r="148" spans="2:65" s="1" customFormat="1" ht="24" customHeight="1" x14ac:dyDescent="0.2">
      <c r="B148" s="118"/>
      <c r="C148" s="119" t="s">
        <v>297</v>
      </c>
      <c r="D148" s="119" t="s">
        <v>231</v>
      </c>
      <c r="E148" s="120" t="s">
        <v>2694</v>
      </c>
      <c r="F148" s="121" t="s">
        <v>2695</v>
      </c>
      <c r="G148" s="122" t="s">
        <v>284</v>
      </c>
      <c r="H148" s="123">
        <v>14</v>
      </c>
      <c r="I148" s="124">
        <v>57.45</v>
      </c>
      <c r="J148" s="124">
        <f t="shared" si="11"/>
        <v>804.3</v>
      </c>
      <c r="K148" s="121" t="s">
        <v>1</v>
      </c>
      <c r="L148" s="24"/>
      <c r="M148" s="125" t="s">
        <v>1</v>
      </c>
      <c r="N148" s="126" t="s">
        <v>32</v>
      </c>
      <c r="O148" s="127">
        <v>0</v>
      </c>
      <c r="P148" s="127">
        <f t="shared" si="12"/>
        <v>0</v>
      </c>
      <c r="Q148" s="127">
        <v>0</v>
      </c>
      <c r="R148" s="127">
        <f t="shared" si="13"/>
        <v>0</v>
      </c>
      <c r="S148" s="127">
        <v>0</v>
      </c>
      <c r="T148" s="128">
        <f t="shared" si="14"/>
        <v>0</v>
      </c>
      <c r="W148" s="199"/>
      <c r="X148" s="119" t="s">
        <v>297</v>
      </c>
      <c r="Y148" s="119" t="s">
        <v>231</v>
      </c>
      <c r="Z148" s="120" t="s">
        <v>2694</v>
      </c>
      <c r="AA148" s="121" t="s">
        <v>2695</v>
      </c>
      <c r="AB148" s="122" t="s">
        <v>284</v>
      </c>
      <c r="AC148" s="123">
        <v>14</v>
      </c>
      <c r="AD148" s="124">
        <v>57.45</v>
      </c>
      <c r="AE148" s="200">
        <f t="shared" si="15"/>
        <v>804.3</v>
      </c>
      <c r="AR148" s="129" t="s">
        <v>235</v>
      </c>
      <c r="AT148" s="129" t="s">
        <v>231</v>
      </c>
      <c r="AU148" s="129" t="s">
        <v>76</v>
      </c>
      <c r="AY148" s="13" t="s">
        <v>228</v>
      </c>
      <c r="BE148" s="130">
        <f t="shared" si="16"/>
        <v>0</v>
      </c>
      <c r="BF148" s="130">
        <f t="shared" si="17"/>
        <v>804.3</v>
      </c>
      <c r="BG148" s="130">
        <f t="shared" si="18"/>
        <v>0</v>
      </c>
      <c r="BH148" s="130">
        <f t="shared" si="19"/>
        <v>0</v>
      </c>
      <c r="BI148" s="130">
        <f t="shared" si="20"/>
        <v>0</v>
      </c>
      <c r="BJ148" s="13" t="s">
        <v>76</v>
      </c>
      <c r="BK148" s="130">
        <f t="shared" si="21"/>
        <v>804.3</v>
      </c>
      <c r="BL148" s="13" t="s">
        <v>235</v>
      </c>
      <c r="BM148" s="129" t="s">
        <v>300</v>
      </c>
    </row>
    <row r="149" spans="2:65" s="1" customFormat="1" ht="16.5" customHeight="1" x14ac:dyDescent="0.2">
      <c r="B149" s="118"/>
      <c r="C149" s="119" t="s">
        <v>7</v>
      </c>
      <c r="D149" s="119" t="s">
        <v>231</v>
      </c>
      <c r="E149" s="120" t="s">
        <v>4120</v>
      </c>
      <c r="F149" s="121" t="s">
        <v>4121</v>
      </c>
      <c r="G149" s="122" t="s">
        <v>570</v>
      </c>
      <c r="H149" s="123">
        <v>1</v>
      </c>
      <c r="I149" s="124">
        <v>348.3</v>
      </c>
      <c r="J149" s="124">
        <f t="shared" si="11"/>
        <v>348.3</v>
      </c>
      <c r="K149" s="121" t="s">
        <v>1</v>
      </c>
      <c r="L149" s="24"/>
      <c r="M149" s="125" t="s">
        <v>1</v>
      </c>
      <c r="N149" s="126" t="s">
        <v>32</v>
      </c>
      <c r="O149" s="127">
        <v>0</v>
      </c>
      <c r="P149" s="127">
        <f t="shared" si="12"/>
        <v>0</v>
      </c>
      <c r="Q149" s="127">
        <v>0</v>
      </c>
      <c r="R149" s="127">
        <f t="shared" si="13"/>
        <v>0</v>
      </c>
      <c r="S149" s="127">
        <v>0</v>
      </c>
      <c r="T149" s="128">
        <f t="shared" si="14"/>
        <v>0</v>
      </c>
      <c r="W149" s="199"/>
      <c r="X149" s="119" t="s">
        <v>7</v>
      </c>
      <c r="Y149" s="119" t="s">
        <v>231</v>
      </c>
      <c r="Z149" s="120" t="s">
        <v>4120</v>
      </c>
      <c r="AA149" s="121" t="s">
        <v>4121</v>
      </c>
      <c r="AB149" s="122" t="s">
        <v>570</v>
      </c>
      <c r="AC149" s="123">
        <v>1</v>
      </c>
      <c r="AD149" s="124">
        <v>348.3</v>
      </c>
      <c r="AE149" s="200">
        <f t="shared" si="15"/>
        <v>348.3</v>
      </c>
      <c r="AR149" s="129" t="s">
        <v>235</v>
      </c>
      <c r="AT149" s="129" t="s">
        <v>231</v>
      </c>
      <c r="AU149" s="129" t="s">
        <v>76</v>
      </c>
      <c r="AY149" s="13" t="s">
        <v>228</v>
      </c>
      <c r="BE149" s="130">
        <f t="shared" si="16"/>
        <v>0</v>
      </c>
      <c r="BF149" s="130">
        <f t="shared" si="17"/>
        <v>348.3</v>
      </c>
      <c r="BG149" s="130">
        <f t="shared" si="18"/>
        <v>0</v>
      </c>
      <c r="BH149" s="130">
        <f t="shared" si="19"/>
        <v>0</v>
      </c>
      <c r="BI149" s="130">
        <f t="shared" si="20"/>
        <v>0</v>
      </c>
      <c r="BJ149" s="13" t="s">
        <v>76</v>
      </c>
      <c r="BK149" s="130">
        <f t="shared" si="21"/>
        <v>348.3</v>
      </c>
      <c r="BL149" s="13" t="s">
        <v>235</v>
      </c>
      <c r="BM149" s="129" t="s">
        <v>303</v>
      </c>
    </row>
    <row r="150" spans="2:65" s="1" customFormat="1" ht="24" customHeight="1" x14ac:dyDescent="0.2">
      <c r="B150" s="118"/>
      <c r="C150" s="119" t="s">
        <v>305</v>
      </c>
      <c r="D150" s="119" t="s">
        <v>231</v>
      </c>
      <c r="E150" s="120" t="s">
        <v>4122</v>
      </c>
      <c r="F150" s="121" t="s">
        <v>4123</v>
      </c>
      <c r="G150" s="122" t="s">
        <v>284</v>
      </c>
      <c r="H150" s="123">
        <v>16</v>
      </c>
      <c r="I150" s="124">
        <v>82.61</v>
      </c>
      <c r="J150" s="124">
        <f t="shared" si="11"/>
        <v>1321.76</v>
      </c>
      <c r="K150" s="121" t="s">
        <v>1</v>
      </c>
      <c r="L150" s="24"/>
      <c r="M150" s="125" t="s">
        <v>1</v>
      </c>
      <c r="N150" s="126" t="s">
        <v>32</v>
      </c>
      <c r="O150" s="127">
        <v>0</v>
      </c>
      <c r="P150" s="127">
        <f t="shared" si="12"/>
        <v>0</v>
      </c>
      <c r="Q150" s="127">
        <v>0</v>
      </c>
      <c r="R150" s="127">
        <f t="shared" si="13"/>
        <v>0</v>
      </c>
      <c r="S150" s="127">
        <v>0</v>
      </c>
      <c r="T150" s="128">
        <f t="shared" si="14"/>
        <v>0</v>
      </c>
      <c r="W150" s="199"/>
      <c r="X150" s="119" t="s">
        <v>305</v>
      </c>
      <c r="Y150" s="119" t="s">
        <v>231</v>
      </c>
      <c r="Z150" s="120" t="s">
        <v>4122</v>
      </c>
      <c r="AA150" s="121" t="s">
        <v>4123</v>
      </c>
      <c r="AB150" s="122" t="s">
        <v>284</v>
      </c>
      <c r="AC150" s="123">
        <v>16</v>
      </c>
      <c r="AD150" s="124">
        <v>82.61</v>
      </c>
      <c r="AE150" s="200">
        <f t="shared" si="15"/>
        <v>1321.76</v>
      </c>
      <c r="AR150" s="129" t="s">
        <v>235</v>
      </c>
      <c r="AT150" s="129" t="s">
        <v>231</v>
      </c>
      <c r="AU150" s="129" t="s">
        <v>76</v>
      </c>
      <c r="AY150" s="13" t="s">
        <v>228</v>
      </c>
      <c r="BE150" s="130">
        <f t="shared" si="16"/>
        <v>0</v>
      </c>
      <c r="BF150" s="130">
        <f t="shared" si="17"/>
        <v>1321.76</v>
      </c>
      <c r="BG150" s="130">
        <f t="shared" si="18"/>
        <v>0</v>
      </c>
      <c r="BH150" s="130">
        <f t="shared" si="19"/>
        <v>0</v>
      </c>
      <c r="BI150" s="130">
        <f t="shared" si="20"/>
        <v>0</v>
      </c>
      <c r="BJ150" s="13" t="s">
        <v>76</v>
      </c>
      <c r="BK150" s="130">
        <f t="shared" si="21"/>
        <v>1321.76</v>
      </c>
      <c r="BL150" s="13" t="s">
        <v>235</v>
      </c>
      <c r="BM150" s="129" t="s">
        <v>308</v>
      </c>
    </row>
    <row r="151" spans="2:65" s="1" customFormat="1" ht="16.5" customHeight="1" x14ac:dyDescent="0.2">
      <c r="B151" s="118"/>
      <c r="C151" s="119" t="s">
        <v>268</v>
      </c>
      <c r="D151" s="119" t="s">
        <v>231</v>
      </c>
      <c r="E151" s="120" t="s">
        <v>4124</v>
      </c>
      <c r="F151" s="121" t="s">
        <v>4125</v>
      </c>
      <c r="G151" s="122" t="s">
        <v>284</v>
      </c>
      <c r="H151" s="123">
        <v>20</v>
      </c>
      <c r="I151" s="124">
        <v>56.02</v>
      </c>
      <c r="J151" s="124">
        <f t="shared" si="11"/>
        <v>1120.4000000000001</v>
      </c>
      <c r="K151" s="121" t="s">
        <v>1</v>
      </c>
      <c r="L151" s="24"/>
      <c r="M151" s="125" t="s">
        <v>1</v>
      </c>
      <c r="N151" s="126" t="s">
        <v>32</v>
      </c>
      <c r="O151" s="127">
        <v>0</v>
      </c>
      <c r="P151" s="127">
        <f t="shared" si="12"/>
        <v>0</v>
      </c>
      <c r="Q151" s="127">
        <v>0</v>
      </c>
      <c r="R151" s="127">
        <f t="shared" si="13"/>
        <v>0</v>
      </c>
      <c r="S151" s="127">
        <v>0</v>
      </c>
      <c r="T151" s="128">
        <f t="shared" si="14"/>
        <v>0</v>
      </c>
      <c r="W151" s="199"/>
      <c r="X151" s="119" t="s">
        <v>268</v>
      </c>
      <c r="Y151" s="119" t="s">
        <v>231</v>
      </c>
      <c r="Z151" s="120" t="s">
        <v>4124</v>
      </c>
      <c r="AA151" s="121" t="s">
        <v>4125</v>
      </c>
      <c r="AB151" s="122" t="s">
        <v>284</v>
      </c>
      <c r="AC151" s="123">
        <v>20</v>
      </c>
      <c r="AD151" s="124">
        <v>56.02</v>
      </c>
      <c r="AE151" s="200">
        <f t="shared" si="15"/>
        <v>1120.4000000000001</v>
      </c>
      <c r="AR151" s="129" t="s">
        <v>235</v>
      </c>
      <c r="AT151" s="129" t="s">
        <v>231</v>
      </c>
      <c r="AU151" s="129" t="s">
        <v>76</v>
      </c>
      <c r="AY151" s="13" t="s">
        <v>228</v>
      </c>
      <c r="BE151" s="130">
        <f t="shared" si="16"/>
        <v>0</v>
      </c>
      <c r="BF151" s="130">
        <f t="shared" si="17"/>
        <v>1120.4000000000001</v>
      </c>
      <c r="BG151" s="130">
        <f t="shared" si="18"/>
        <v>0</v>
      </c>
      <c r="BH151" s="130">
        <f t="shared" si="19"/>
        <v>0</v>
      </c>
      <c r="BI151" s="130">
        <f t="shared" si="20"/>
        <v>0</v>
      </c>
      <c r="BJ151" s="13" t="s">
        <v>76</v>
      </c>
      <c r="BK151" s="130">
        <f t="shared" si="21"/>
        <v>1120.4000000000001</v>
      </c>
      <c r="BL151" s="13" t="s">
        <v>235</v>
      </c>
      <c r="BM151" s="129" t="s">
        <v>312</v>
      </c>
    </row>
    <row r="152" spans="2:65" s="1" customFormat="1" ht="16.5" customHeight="1" x14ac:dyDescent="0.2">
      <c r="B152" s="118"/>
      <c r="C152" s="119" t="s">
        <v>313</v>
      </c>
      <c r="D152" s="119" t="s">
        <v>231</v>
      </c>
      <c r="E152" s="120" t="s">
        <v>2696</v>
      </c>
      <c r="F152" s="121" t="s">
        <v>2697</v>
      </c>
      <c r="G152" s="122" t="s">
        <v>284</v>
      </c>
      <c r="H152" s="123">
        <v>280</v>
      </c>
      <c r="I152" s="124">
        <v>5.25</v>
      </c>
      <c r="J152" s="124">
        <f t="shared" si="11"/>
        <v>1470</v>
      </c>
      <c r="K152" s="121" t="s">
        <v>1</v>
      </c>
      <c r="L152" s="24"/>
      <c r="M152" s="125" t="s">
        <v>1</v>
      </c>
      <c r="N152" s="126" t="s">
        <v>32</v>
      </c>
      <c r="O152" s="127">
        <v>0</v>
      </c>
      <c r="P152" s="127">
        <f t="shared" si="12"/>
        <v>0</v>
      </c>
      <c r="Q152" s="127">
        <v>0</v>
      </c>
      <c r="R152" s="127">
        <f t="shared" si="13"/>
        <v>0</v>
      </c>
      <c r="S152" s="127">
        <v>0</v>
      </c>
      <c r="T152" s="128">
        <f t="shared" si="14"/>
        <v>0</v>
      </c>
      <c r="W152" s="199"/>
      <c r="X152" s="119" t="s">
        <v>313</v>
      </c>
      <c r="Y152" s="119" t="s">
        <v>231</v>
      </c>
      <c r="Z152" s="120" t="s">
        <v>2696</v>
      </c>
      <c r="AA152" s="121" t="s">
        <v>2697</v>
      </c>
      <c r="AB152" s="122" t="s">
        <v>284</v>
      </c>
      <c r="AC152" s="123">
        <v>280</v>
      </c>
      <c r="AD152" s="124">
        <v>5.25</v>
      </c>
      <c r="AE152" s="200">
        <f t="shared" si="15"/>
        <v>1470</v>
      </c>
      <c r="AR152" s="129" t="s">
        <v>235</v>
      </c>
      <c r="AT152" s="129" t="s">
        <v>231</v>
      </c>
      <c r="AU152" s="129" t="s">
        <v>76</v>
      </c>
      <c r="AY152" s="13" t="s">
        <v>228</v>
      </c>
      <c r="BE152" s="130">
        <f t="shared" si="16"/>
        <v>0</v>
      </c>
      <c r="BF152" s="130">
        <f t="shared" si="17"/>
        <v>1470</v>
      </c>
      <c r="BG152" s="130">
        <f t="shared" si="18"/>
        <v>0</v>
      </c>
      <c r="BH152" s="130">
        <f t="shared" si="19"/>
        <v>0</v>
      </c>
      <c r="BI152" s="130">
        <f t="shared" si="20"/>
        <v>0</v>
      </c>
      <c r="BJ152" s="13" t="s">
        <v>76</v>
      </c>
      <c r="BK152" s="130">
        <f t="shared" si="21"/>
        <v>1470</v>
      </c>
      <c r="BL152" s="13" t="s">
        <v>235</v>
      </c>
      <c r="BM152" s="129" t="s">
        <v>316</v>
      </c>
    </row>
    <row r="153" spans="2:65" s="1" customFormat="1" ht="24" customHeight="1" x14ac:dyDescent="0.2">
      <c r="B153" s="118"/>
      <c r="C153" s="119" t="s">
        <v>272</v>
      </c>
      <c r="D153" s="119" t="s">
        <v>231</v>
      </c>
      <c r="E153" s="120" t="s">
        <v>2698</v>
      </c>
      <c r="F153" s="121" t="s">
        <v>2699</v>
      </c>
      <c r="G153" s="122" t="s">
        <v>284</v>
      </c>
      <c r="H153" s="123">
        <v>4</v>
      </c>
      <c r="I153" s="124">
        <v>7.84</v>
      </c>
      <c r="J153" s="124">
        <f t="shared" si="11"/>
        <v>31.36</v>
      </c>
      <c r="K153" s="121" t="s">
        <v>1</v>
      </c>
      <c r="L153" s="24"/>
      <c r="M153" s="125" t="s">
        <v>1</v>
      </c>
      <c r="N153" s="126" t="s">
        <v>32</v>
      </c>
      <c r="O153" s="127">
        <v>0</v>
      </c>
      <c r="P153" s="127">
        <f t="shared" si="12"/>
        <v>0</v>
      </c>
      <c r="Q153" s="127">
        <v>0</v>
      </c>
      <c r="R153" s="127">
        <f t="shared" si="13"/>
        <v>0</v>
      </c>
      <c r="S153" s="127">
        <v>0</v>
      </c>
      <c r="T153" s="128">
        <f t="shared" si="14"/>
        <v>0</v>
      </c>
      <c r="W153" s="199"/>
      <c r="X153" s="119" t="s">
        <v>272</v>
      </c>
      <c r="Y153" s="119" t="s">
        <v>231</v>
      </c>
      <c r="Z153" s="120" t="s">
        <v>2698</v>
      </c>
      <c r="AA153" s="121" t="s">
        <v>2699</v>
      </c>
      <c r="AB153" s="122" t="s">
        <v>284</v>
      </c>
      <c r="AC153" s="123">
        <v>4</v>
      </c>
      <c r="AD153" s="124">
        <v>7.84</v>
      </c>
      <c r="AE153" s="200">
        <f t="shared" si="15"/>
        <v>31.36</v>
      </c>
      <c r="AR153" s="129" t="s">
        <v>235</v>
      </c>
      <c r="AT153" s="129" t="s">
        <v>231</v>
      </c>
      <c r="AU153" s="129" t="s">
        <v>76</v>
      </c>
      <c r="AY153" s="13" t="s">
        <v>228</v>
      </c>
      <c r="BE153" s="130">
        <f t="shared" si="16"/>
        <v>0</v>
      </c>
      <c r="BF153" s="130">
        <f t="shared" si="17"/>
        <v>31.36</v>
      </c>
      <c r="BG153" s="130">
        <f t="shared" si="18"/>
        <v>0</v>
      </c>
      <c r="BH153" s="130">
        <f t="shared" si="19"/>
        <v>0</v>
      </c>
      <c r="BI153" s="130">
        <f t="shared" si="20"/>
        <v>0</v>
      </c>
      <c r="BJ153" s="13" t="s">
        <v>76</v>
      </c>
      <c r="BK153" s="130">
        <f t="shared" si="21"/>
        <v>31.36</v>
      </c>
      <c r="BL153" s="13" t="s">
        <v>235</v>
      </c>
      <c r="BM153" s="129" t="s">
        <v>319</v>
      </c>
    </row>
    <row r="154" spans="2:65" s="1" customFormat="1" ht="16.5" customHeight="1" x14ac:dyDescent="0.2">
      <c r="B154" s="118"/>
      <c r="C154" s="119" t="s">
        <v>320</v>
      </c>
      <c r="D154" s="119" t="s">
        <v>231</v>
      </c>
      <c r="E154" s="120" t="s">
        <v>2700</v>
      </c>
      <c r="F154" s="121" t="s">
        <v>2701</v>
      </c>
      <c r="G154" s="122" t="s">
        <v>1194</v>
      </c>
      <c r="H154" s="123">
        <v>5</v>
      </c>
      <c r="I154" s="124">
        <v>7.55</v>
      </c>
      <c r="J154" s="124">
        <f t="shared" si="11"/>
        <v>37.75</v>
      </c>
      <c r="K154" s="121" t="s">
        <v>1</v>
      </c>
      <c r="L154" s="24"/>
      <c r="M154" s="125" t="s">
        <v>1</v>
      </c>
      <c r="N154" s="126" t="s">
        <v>32</v>
      </c>
      <c r="O154" s="127">
        <v>0</v>
      </c>
      <c r="P154" s="127">
        <f t="shared" si="12"/>
        <v>0</v>
      </c>
      <c r="Q154" s="127">
        <v>0</v>
      </c>
      <c r="R154" s="127">
        <f t="shared" si="13"/>
        <v>0</v>
      </c>
      <c r="S154" s="127">
        <v>0</v>
      </c>
      <c r="T154" s="128">
        <f t="shared" si="14"/>
        <v>0</v>
      </c>
      <c r="W154" s="199"/>
      <c r="X154" s="119" t="s">
        <v>320</v>
      </c>
      <c r="Y154" s="119" t="s">
        <v>231</v>
      </c>
      <c r="Z154" s="120" t="s">
        <v>2700</v>
      </c>
      <c r="AA154" s="121" t="s">
        <v>2701</v>
      </c>
      <c r="AB154" s="122" t="s">
        <v>1194</v>
      </c>
      <c r="AC154" s="123">
        <v>5</v>
      </c>
      <c r="AD154" s="124">
        <v>7.55</v>
      </c>
      <c r="AE154" s="200">
        <f t="shared" si="15"/>
        <v>37.75</v>
      </c>
      <c r="AR154" s="129" t="s">
        <v>235</v>
      </c>
      <c r="AT154" s="129" t="s">
        <v>231</v>
      </c>
      <c r="AU154" s="129" t="s">
        <v>76</v>
      </c>
      <c r="AY154" s="13" t="s">
        <v>228</v>
      </c>
      <c r="BE154" s="130">
        <f t="shared" si="16"/>
        <v>0</v>
      </c>
      <c r="BF154" s="130">
        <f t="shared" si="17"/>
        <v>37.75</v>
      </c>
      <c r="BG154" s="130">
        <f t="shared" si="18"/>
        <v>0</v>
      </c>
      <c r="BH154" s="130">
        <f t="shared" si="19"/>
        <v>0</v>
      </c>
      <c r="BI154" s="130">
        <f t="shared" si="20"/>
        <v>0</v>
      </c>
      <c r="BJ154" s="13" t="s">
        <v>76</v>
      </c>
      <c r="BK154" s="130">
        <f t="shared" si="21"/>
        <v>37.75</v>
      </c>
      <c r="BL154" s="13" t="s">
        <v>235</v>
      </c>
      <c r="BM154" s="129" t="s">
        <v>323</v>
      </c>
    </row>
    <row r="155" spans="2:65" s="1" customFormat="1" ht="16.5" customHeight="1" x14ac:dyDescent="0.2">
      <c r="B155" s="118"/>
      <c r="C155" s="119" t="s">
        <v>276</v>
      </c>
      <c r="D155" s="119" t="s">
        <v>231</v>
      </c>
      <c r="E155" s="120" t="s">
        <v>2702</v>
      </c>
      <c r="F155" s="121" t="s">
        <v>2703</v>
      </c>
      <c r="G155" s="122" t="s">
        <v>1194</v>
      </c>
      <c r="H155" s="123">
        <v>10</v>
      </c>
      <c r="I155" s="124">
        <v>5.22</v>
      </c>
      <c r="J155" s="124">
        <f t="shared" si="11"/>
        <v>52.2</v>
      </c>
      <c r="K155" s="121" t="s">
        <v>1</v>
      </c>
      <c r="L155" s="24"/>
      <c r="M155" s="125" t="s">
        <v>1</v>
      </c>
      <c r="N155" s="126" t="s">
        <v>32</v>
      </c>
      <c r="O155" s="127">
        <v>0</v>
      </c>
      <c r="P155" s="127">
        <f t="shared" si="12"/>
        <v>0</v>
      </c>
      <c r="Q155" s="127">
        <v>0</v>
      </c>
      <c r="R155" s="127">
        <f t="shared" si="13"/>
        <v>0</v>
      </c>
      <c r="S155" s="127">
        <v>0</v>
      </c>
      <c r="T155" s="128">
        <f t="shared" si="14"/>
        <v>0</v>
      </c>
      <c r="W155" s="199"/>
      <c r="X155" s="119" t="s">
        <v>276</v>
      </c>
      <c r="Y155" s="119" t="s">
        <v>231</v>
      </c>
      <c r="Z155" s="120" t="s">
        <v>2702</v>
      </c>
      <c r="AA155" s="121" t="s">
        <v>2703</v>
      </c>
      <c r="AB155" s="122" t="s">
        <v>1194</v>
      </c>
      <c r="AC155" s="123">
        <v>10</v>
      </c>
      <c r="AD155" s="124">
        <v>5.22</v>
      </c>
      <c r="AE155" s="200">
        <f t="shared" si="15"/>
        <v>52.2</v>
      </c>
      <c r="AR155" s="129" t="s">
        <v>235</v>
      </c>
      <c r="AT155" s="129" t="s">
        <v>231</v>
      </c>
      <c r="AU155" s="129" t="s">
        <v>76</v>
      </c>
      <c r="AY155" s="13" t="s">
        <v>228</v>
      </c>
      <c r="BE155" s="130">
        <f t="shared" si="16"/>
        <v>0</v>
      </c>
      <c r="BF155" s="130">
        <f t="shared" si="17"/>
        <v>52.2</v>
      </c>
      <c r="BG155" s="130">
        <f t="shared" si="18"/>
        <v>0</v>
      </c>
      <c r="BH155" s="130">
        <f t="shared" si="19"/>
        <v>0</v>
      </c>
      <c r="BI155" s="130">
        <f t="shared" si="20"/>
        <v>0</v>
      </c>
      <c r="BJ155" s="13" t="s">
        <v>76</v>
      </c>
      <c r="BK155" s="130">
        <f t="shared" si="21"/>
        <v>52.2</v>
      </c>
      <c r="BL155" s="13" t="s">
        <v>235</v>
      </c>
      <c r="BM155" s="129" t="s">
        <v>326</v>
      </c>
    </row>
    <row r="156" spans="2:65" s="1" customFormat="1" ht="24" customHeight="1" x14ac:dyDescent="0.2">
      <c r="B156" s="118"/>
      <c r="C156" s="119" t="s">
        <v>327</v>
      </c>
      <c r="D156" s="119" t="s">
        <v>231</v>
      </c>
      <c r="E156" s="120" t="s">
        <v>2704</v>
      </c>
      <c r="F156" s="121" t="s">
        <v>2705</v>
      </c>
      <c r="G156" s="122" t="s">
        <v>1035</v>
      </c>
      <c r="H156" s="123">
        <v>145</v>
      </c>
      <c r="I156" s="124">
        <v>8.84</v>
      </c>
      <c r="J156" s="124">
        <f t="shared" si="11"/>
        <v>1281.8</v>
      </c>
      <c r="K156" s="121" t="s">
        <v>1</v>
      </c>
      <c r="L156" s="24"/>
      <c r="M156" s="125" t="s">
        <v>1</v>
      </c>
      <c r="N156" s="126" t="s">
        <v>32</v>
      </c>
      <c r="O156" s="127">
        <v>0</v>
      </c>
      <c r="P156" s="127">
        <f t="shared" si="12"/>
        <v>0</v>
      </c>
      <c r="Q156" s="127">
        <v>0</v>
      </c>
      <c r="R156" s="127">
        <f t="shared" si="13"/>
        <v>0</v>
      </c>
      <c r="S156" s="127">
        <v>0</v>
      </c>
      <c r="T156" s="128">
        <f t="shared" si="14"/>
        <v>0</v>
      </c>
      <c r="W156" s="199"/>
      <c r="X156" s="119" t="s">
        <v>327</v>
      </c>
      <c r="Y156" s="119" t="s">
        <v>231</v>
      </c>
      <c r="Z156" s="120" t="s">
        <v>2704</v>
      </c>
      <c r="AA156" s="121" t="s">
        <v>2705</v>
      </c>
      <c r="AB156" s="122" t="s">
        <v>1035</v>
      </c>
      <c r="AC156" s="123">
        <v>145</v>
      </c>
      <c r="AD156" s="124">
        <v>8.84</v>
      </c>
      <c r="AE156" s="200">
        <f t="shared" si="15"/>
        <v>1281.8</v>
      </c>
      <c r="AR156" s="129" t="s">
        <v>235</v>
      </c>
      <c r="AT156" s="129" t="s">
        <v>231</v>
      </c>
      <c r="AU156" s="129" t="s">
        <v>76</v>
      </c>
      <c r="AY156" s="13" t="s">
        <v>228</v>
      </c>
      <c r="BE156" s="130">
        <f t="shared" si="16"/>
        <v>0</v>
      </c>
      <c r="BF156" s="130">
        <f t="shared" si="17"/>
        <v>1281.8</v>
      </c>
      <c r="BG156" s="130">
        <f t="shared" si="18"/>
        <v>0</v>
      </c>
      <c r="BH156" s="130">
        <f t="shared" si="19"/>
        <v>0</v>
      </c>
      <c r="BI156" s="130">
        <f t="shared" si="20"/>
        <v>0</v>
      </c>
      <c r="BJ156" s="13" t="s">
        <v>76</v>
      </c>
      <c r="BK156" s="130">
        <f t="shared" si="21"/>
        <v>1281.8</v>
      </c>
      <c r="BL156" s="13" t="s">
        <v>235</v>
      </c>
      <c r="BM156" s="129" t="s">
        <v>330</v>
      </c>
    </row>
    <row r="157" spans="2:65" s="1" customFormat="1" ht="16.5" customHeight="1" x14ac:dyDescent="0.2">
      <c r="B157" s="118"/>
      <c r="C157" s="119" t="s">
        <v>280</v>
      </c>
      <c r="D157" s="119" t="s">
        <v>231</v>
      </c>
      <c r="E157" s="120" t="s">
        <v>4126</v>
      </c>
      <c r="F157" s="121" t="s">
        <v>4127</v>
      </c>
      <c r="G157" s="122" t="s">
        <v>1194</v>
      </c>
      <c r="H157" s="123">
        <v>1</v>
      </c>
      <c r="I157" s="124">
        <v>348.3</v>
      </c>
      <c r="J157" s="124">
        <f t="shared" si="11"/>
        <v>348.3</v>
      </c>
      <c r="K157" s="121" t="s">
        <v>1</v>
      </c>
      <c r="L157" s="24"/>
      <c r="M157" s="125" t="s">
        <v>1</v>
      </c>
      <c r="N157" s="126" t="s">
        <v>32</v>
      </c>
      <c r="O157" s="127">
        <v>0</v>
      </c>
      <c r="P157" s="127">
        <f t="shared" si="12"/>
        <v>0</v>
      </c>
      <c r="Q157" s="127">
        <v>0</v>
      </c>
      <c r="R157" s="127">
        <f t="shared" si="13"/>
        <v>0</v>
      </c>
      <c r="S157" s="127">
        <v>0</v>
      </c>
      <c r="T157" s="128">
        <f t="shared" si="14"/>
        <v>0</v>
      </c>
      <c r="W157" s="199"/>
      <c r="X157" s="119" t="s">
        <v>280</v>
      </c>
      <c r="Y157" s="119" t="s">
        <v>231</v>
      </c>
      <c r="Z157" s="120" t="s">
        <v>4126</v>
      </c>
      <c r="AA157" s="121" t="s">
        <v>4127</v>
      </c>
      <c r="AB157" s="122" t="s">
        <v>1194</v>
      </c>
      <c r="AC157" s="123">
        <v>1</v>
      </c>
      <c r="AD157" s="124">
        <v>348.3</v>
      </c>
      <c r="AE157" s="200">
        <f t="shared" si="15"/>
        <v>348.3</v>
      </c>
      <c r="AR157" s="129" t="s">
        <v>235</v>
      </c>
      <c r="AT157" s="129" t="s">
        <v>231</v>
      </c>
      <c r="AU157" s="129" t="s">
        <v>76</v>
      </c>
      <c r="AY157" s="13" t="s">
        <v>228</v>
      </c>
      <c r="BE157" s="130">
        <f t="shared" si="16"/>
        <v>0</v>
      </c>
      <c r="BF157" s="130">
        <f t="shared" si="17"/>
        <v>348.3</v>
      </c>
      <c r="BG157" s="130">
        <f t="shared" si="18"/>
        <v>0</v>
      </c>
      <c r="BH157" s="130">
        <f t="shared" si="19"/>
        <v>0</v>
      </c>
      <c r="BI157" s="130">
        <f t="shared" si="20"/>
        <v>0</v>
      </c>
      <c r="BJ157" s="13" t="s">
        <v>76</v>
      </c>
      <c r="BK157" s="130">
        <f t="shared" si="21"/>
        <v>348.3</v>
      </c>
      <c r="BL157" s="13" t="s">
        <v>235</v>
      </c>
      <c r="BM157" s="129" t="s">
        <v>333</v>
      </c>
    </row>
    <row r="158" spans="2:65" s="11" customFormat="1" ht="22.95" customHeight="1" x14ac:dyDescent="0.25">
      <c r="B158" s="106"/>
      <c r="D158" s="107" t="s">
        <v>57</v>
      </c>
      <c r="E158" s="116" t="s">
        <v>1247</v>
      </c>
      <c r="F158" s="116" t="s">
        <v>2706</v>
      </c>
      <c r="J158" s="117">
        <f>BK158</f>
        <v>10623.500000000002</v>
      </c>
      <c r="L158" s="106"/>
      <c r="M158" s="110"/>
      <c r="N158" s="111"/>
      <c r="O158" s="111"/>
      <c r="P158" s="112">
        <f>SUM(P159:P179)</f>
        <v>0</v>
      </c>
      <c r="Q158" s="111"/>
      <c r="R158" s="112">
        <f>SUM(R159:R179)</f>
        <v>0</v>
      </c>
      <c r="S158" s="111"/>
      <c r="T158" s="113">
        <f>SUM(T159:T179)</f>
        <v>0</v>
      </c>
      <c r="W158" s="195"/>
      <c r="X158" s="111"/>
      <c r="Y158" s="196" t="s">
        <v>57</v>
      </c>
      <c r="Z158" s="201" t="s">
        <v>1247</v>
      </c>
      <c r="AA158" s="201" t="s">
        <v>2706</v>
      </c>
      <c r="AB158" s="111"/>
      <c r="AC158" s="111"/>
      <c r="AD158" s="111"/>
      <c r="AE158" s="202">
        <f>SUM(AE159:AE179)</f>
        <v>10623.500000000002</v>
      </c>
      <c r="AR158" s="107" t="s">
        <v>63</v>
      </c>
      <c r="AT158" s="114" t="s">
        <v>57</v>
      </c>
      <c r="AU158" s="114" t="s">
        <v>63</v>
      </c>
      <c r="AY158" s="107" t="s">
        <v>228</v>
      </c>
      <c r="BK158" s="115">
        <f>SUM(BK159:BK179)</f>
        <v>10623.500000000002</v>
      </c>
    </row>
    <row r="159" spans="2:65" s="1" customFormat="1" ht="16.5" customHeight="1" x14ac:dyDescent="0.2">
      <c r="B159" s="118"/>
      <c r="C159" s="119" t="s">
        <v>334</v>
      </c>
      <c r="D159" s="119" t="s">
        <v>231</v>
      </c>
      <c r="E159" s="120" t="s">
        <v>4128</v>
      </c>
      <c r="F159" s="121" t="s">
        <v>4129</v>
      </c>
      <c r="G159" s="122" t="s">
        <v>1194</v>
      </c>
      <c r="H159" s="123">
        <v>3</v>
      </c>
      <c r="I159" s="124">
        <v>23.89</v>
      </c>
      <c r="J159" s="124">
        <f t="shared" ref="J159:J179" si="22">ROUND(I159*H159,2)</f>
        <v>71.67</v>
      </c>
      <c r="K159" s="121" t="s">
        <v>1</v>
      </c>
      <c r="L159" s="24"/>
      <c r="M159" s="125" t="s">
        <v>1</v>
      </c>
      <c r="N159" s="126" t="s">
        <v>32</v>
      </c>
      <c r="O159" s="127">
        <v>0</v>
      </c>
      <c r="P159" s="127">
        <f t="shared" ref="P159:P179" si="23">O159*H159</f>
        <v>0</v>
      </c>
      <c r="Q159" s="127">
        <v>0</v>
      </c>
      <c r="R159" s="127">
        <f t="shared" ref="R159:R179" si="24">Q159*H159</f>
        <v>0</v>
      </c>
      <c r="S159" s="127">
        <v>0</v>
      </c>
      <c r="T159" s="128">
        <f t="shared" ref="T159:T179" si="25">S159*H159</f>
        <v>0</v>
      </c>
      <c r="W159" s="199"/>
      <c r="X159" s="119" t="s">
        <v>334</v>
      </c>
      <c r="Y159" s="119" t="s">
        <v>231</v>
      </c>
      <c r="Z159" s="120" t="s">
        <v>4128</v>
      </c>
      <c r="AA159" s="121" t="s">
        <v>4129</v>
      </c>
      <c r="AB159" s="122" t="s">
        <v>1194</v>
      </c>
      <c r="AC159" s="123">
        <v>3</v>
      </c>
      <c r="AD159" s="124">
        <v>23.89</v>
      </c>
      <c r="AE159" s="200">
        <f t="shared" ref="AE159:AE179" si="26">ROUND(AD159*AC159,2)</f>
        <v>71.67</v>
      </c>
      <c r="AR159" s="129" t="s">
        <v>235</v>
      </c>
      <c r="AT159" s="129" t="s">
        <v>231</v>
      </c>
      <c r="AU159" s="129" t="s">
        <v>76</v>
      </c>
      <c r="AY159" s="13" t="s">
        <v>228</v>
      </c>
      <c r="BE159" s="130">
        <f t="shared" ref="BE159:BE179" si="27">IF(N159="základná",J159,0)</f>
        <v>0</v>
      </c>
      <c r="BF159" s="130">
        <f t="shared" ref="BF159:BF179" si="28">IF(N159="znížená",J159,0)</f>
        <v>71.67</v>
      </c>
      <c r="BG159" s="130">
        <f t="shared" ref="BG159:BG179" si="29">IF(N159="zákl. prenesená",J159,0)</f>
        <v>0</v>
      </c>
      <c r="BH159" s="130">
        <f t="shared" ref="BH159:BH179" si="30">IF(N159="zníž. prenesená",J159,0)</f>
        <v>0</v>
      </c>
      <c r="BI159" s="130">
        <f t="shared" ref="BI159:BI179" si="31">IF(N159="nulová",J159,0)</f>
        <v>0</v>
      </c>
      <c r="BJ159" s="13" t="s">
        <v>76</v>
      </c>
      <c r="BK159" s="130">
        <f t="shared" ref="BK159:BK179" si="32">ROUND(I159*H159,2)</f>
        <v>71.67</v>
      </c>
      <c r="BL159" s="13" t="s">
        <v>235</v>
      </c>
      <c r="BM159" s="129" t="s">
        <v>337</v>
      </c>
    </row>
    <row r="160" spans="2:65" s="1" customFormat="1" ht="16.5" customHeight="1" x14ac:dyDescent="0.2">
      <c r="B160" s="118"/>
      <c r="C160" s="119" t="s">
        <v>285</v>
      </c>
      <c r="D160" s="119" t="s">
        <v>231</v>
      </c>
      <c r="E160" s="120" t="s">
        <v>4130</v>
      </c>
      <c r="F160" s="121" t="s">
        <v>4131</v>
      </c>
      <c r="G160" s="122" t="s">
        <v>1194</v>
      </c>
      <c r="H160" s="123">
        <v>3</v>
      </c>
      <c r="I160" s="124">
        <v>35.26</v>
      </c>
      <c r="J160" s="124">
        <f t="shared" si="22"/>
        <v>105.78</v>
      </c>
      <c r="K160" s="121" t="s">
        <v>1</v>
      </c>
      <c r="L160" s="24"/>
      <c r="M160" s="125" t="s">
        <v>1</v>
      </c>
      <c r="N160" s="126" t="s">
        <v>32</v>
      </c>
      <c r="O160" s="127">
        <v>0</v>
      </c>
      <c r="P160" s="127">
        <f t="shared" si="23"/>
        <v>0</v>
      </c>
      <c r="Q160" s="127">
        <v>0</v>
      </c>
      <c r="R160" s="127">
        <f t="shared" si="24"/>
        <v>0</v>
      </c>
      <c r="S160" s="127">
        <v>0</v>
      </c>
      <c r="T160" s="128">
        <f t="shared" si="25"/>
        <v>0</v>
      </c>
      <c r="W160" s="199"/>
      <c r="X160" s="119" t="s">
        <v>285</v>
      </c>
      <c r="Y160" s="119" t="s">
        <v>231</v>
      </c>
      <c r="Z160" s="120" t="s">
        <v>4130</v>
      </c>
      <c r="AA160" s="121" t="s">
        <v>4131</v>
      </c>
      <c r="AB160" s="122" t="s">
        <v>1194</v>
      </c>
      <c r="AC160" s="123">
        <v>3</v>
      </c>
      <c r="AD160" s="124">
        <v>35.26</v>
      </c>
      <c r="AE160" s="200">
        <f t="shared" si="26"/>
        <v>105.78</v>
      </c>
      <c r="AR160" s="129" t="s">
        <v>235</v>
      </c>
      <c r="AT160" s="129" t="s">
        <v>231</v>
      </c>
      <c r="AU160" s="129" t="s">
        <v>76</v>
      </c>
      <c r="AY160" s="13" t="s">
        <v>228</v>
      </c>
      <c r="BE160" s="130">
        <f t="shared" si="27"/>
        <v>0</v>
      </c>
      <c r="BF160" s="130">
        <f t="shared" si="28"/>
        <v>105.78</v>
      </c>
      <c r="BG160" s="130">
        <f t="shared" si="29"/>
        <v>0</v>
      </c>
      <c r="BH160" s="130">
        <f t="shared" si="30"/>
        <v>0</v>
      </c>
      <c r="BI160" s="130">
        <f t="shared" si="31"/>
        <v>0</v>
      </c>
      <c r="BJ160" s="13" t="s">
        <v>76</v>
      </c>
      <c r="BK160" s="130">
        <f t="shared" si="32"/>
        <v>105.78</v>
      </c>
      <c r="BL160" s="13" t="s">
        <v>235</v>
      </c>
      <c r="BM160" s="129" t="s">
        <v>340</v>
      </c>
    </row>
    <row r="161" spans="2:65" s="1" customFormat="1" ht="16.5" customHeight="1" x14ac:dyDescent="0.2">
      <c r="B161" s="118"/>
      <c r="C161" s="119" t="s">
        <v>341</v>
      </c>
      <c r="D161" s="119" t="s">
        <v>231</v>
      </c>
      <c r="E161" s="120" t="s">
        <v>4132</v>
      </c>
      <c r="F161" s="121" t="s">
        <v>4133</v>
      </c>
      <c r="G161" s="122" t="s">
        <v>1194</v>
      </c>
      <c r="H161" s="123">
        <v>1</v>
      </c>
      <c r="I161" s="124">
        <v>38.17</v>
      </c>
      <c r="J161" s="124">
        <f t="shared" si="22"/>
        <v>38.17</v>
      </c>
      <c r="K161" s="121" t="s">
        <v>1</v>
      </c>
      <c r="L161" s="24"/>
      <c r="M161" s="125" t="s">
        <v>1</v>
      </c>
      <c r="N161" s="126" t="s">
        <v>32</v>
      </c>
      <c r="O161" s="127">
        <v>0</v>
      </c>
      <c r="P161" s="127">
        <f t="shared" si="23"/>
        <v>0</v>
      </c>
      <c r="Q161" s="127">
        <v>0</v>
      </c>
      <c r="R161" s="127">
        <f t="shared" si="24"/>
        <v>0</v>
      </c>
      <c r="S161" s="127">
        <v>0</v>
      </c>
      <c r="T161" s="128">
        <f t="shared" si="25"/>
        <v>0</v>
      </c>
      <c r="W161" s="199"/>
      <c r="X161" s="119" t="s">
        <v>341</v>
      </c>
      <c r="Y161" s="119" t="s">
        <v>231</v>
      </c>
      <c r="Z161" s="120" t="s">
        <v>4132</v>
      </c>
      <c r="AA161" s="121" t="s">
        <v>4133</v>
      </c>
      <c r="AB161" s="122" t="s">
        <v>1194</v>
      </c>
      <c r="AC161" s="123">
        <v>1</v>
      </c>
      <c r="AD161" s="124">
        <v>38.17</v>
      </c>
      <c r="AE161" s="200">
        <f t="shared" si="26"/>
        <v>38.17</v>
      </c>
      <c r="AR161" s="129" t="s">
        <v>235</v>
      </c>
      <c r="AT161" s="129" t="s">
        <v>231</v>
      </c>
      <c r="AU161" s="129" t="s">
        <v>76</v>
      </c>
      <c r="AY161" s="13" t="s">
        <v>228</v>
      </c>
      <c r="BE161" s="130">
        <f t="shared" si="27"/>
        <v>0</v>
      </c>
      <c r="BF161" s="130">
        <f t="shared" si="28"/>
        <v>38.17</v>
      </c>
      <c r="BG161" s="130">
        <f t="shared" si="29"/>
        <v>0</v>
      </c>
      <c r="BH161" s="130">
        <f t="shared" si="30"/>
        <v>0</v>
      </c>
      <c r="BI161" s="130">
        <f t="shared" si="31"/>
        <v>0</v>
      </c>
      <c r="BJ161" s="13" t="s">
        <v>76</v>
      </c>
      <c r="BK161" s="130">
        <f t="shared" si="32"/>
        <v>38.17</v>
      </c>
      <c r="BL161" s="13" t="s">
        <v>235</v>
      </c>
      <c r="BM161" s="129" t="s">
        <v>344</v>
      </c>
    </row>
    <row r="162" spans="2:65" s="1" customFormat="1" ht="16.5" customHeight="1" x14ac:dyDescent="0.2">
      <c r="B162" s="118"/>
      <c r="C162" s="119" t="s">
        <v>288</v>
      </c>
      <c r="D162" s="119" t="s">
        <v>231</v>
      </c>
      <c r="E162" s="120" t="s">
        <v>4134</v>
      </c>
      <c r="F162" s="121" t="s">
        <v>4135</v>
      </c>
      <c r="G162" s="122" t="s">
        <v>1194</v>
      </c>
      <c r="H162" s="123">
        <v>1</v>
      </c>
      <c r="I162" s="124">
        <v>41.19</v>
      </c>
      <c r="J162" s="124">
        <f t="shared" si="22"/>
        <v>41.19</v>
      </c>
      <c r="K162" s="121" t="s">
        <v>1</v>
      </c>
      <c r="L162" s="24"/>
      <c r="M162" s="125" t="s">
        <v>1</v>
      </c>
      <c r="N162" s="126" t="s">
        <v>32</v>
      </c>
      <c r="O162" s="127">
        <v>0</v>
      </c>
      <c r="P162" s="127">
        <f t="shared" si="23"/>
        <v>0</v>
      </c>
      <c r="Q162" s="127">
        <v>0</v>
      </c>
      <c r="R162" s="127">
        <f t="shared" si="24"/>
        <v>0</v>
      </c>
      <c r="S162" s="127">
        <v>0</v>
      </c>
      <c r="T162" s="128">
        <f t="shared" si="25"/>
        <v>0</v>
      </c>
      <c r="W162" s="199"/>
      <c r="X162" s="119" t="s">
        <v>288</v>
      </c>
      <c r="Y162" s="119" t="s">
        <v>231</v>
      </c>
      <c r="Z162" s="120" t="s">
        <v>4134</v>
      </c>
      <c r="AA162" s="121" t="s">
        <v>4135</v>
      </c>
      <c r="AB162" s="122" t="s">
        <v>1194</v>
      </c>
      <c r="AC162" s="123">
        <v>1</v>
      </c>
      <c r="AD162" s="124">
        <v>41.19</v>
      </c>
      <c r="AE162" s="200">
        <f t="shared" si="26"/>
        <v>41.19</v>
      </c>
      <c r="AR162" s="129" t="s">
        <v>235</v>
      </c>
      <c r="AT162" s="129" t="s">
        <v>231</v>
      </c>
      <c r="AU162" s="129" t="s">
        <v>76</v>
      </c>
      <c r="AY162" s="13" t="s">
        <v>228</v>
      </c>
      <c r="BE162" s="130">
        <f t="shared" si="27"/>
        <v>0</v>
      </c>
      <c r="BF162" s="130">
        <f t="shared" si="28"/>
        <v>41.19</v>
      </c>
      <c r="BG162" s="130">
        <f t="shared" si="29"/>
        <v>0</v>
      </c>
      <c r="BH162" s="130">
        <f t="shared" si="30"/>
        <v>0</v>
      </c>
      <c r="BI162" s="130">
        <f t="shared" si="31"/>
        <v>0</v>
      </c>
      <c r="BJ162" s="13" t="s">
        <v>76</v>
      </c>
      <c r="BK162" s="130">
        <f t="shared" si="32"/>
        <v>41.19</v>
      </c>
      <c r="BL162" s="13" t="s">
        <v>235</v>
      </c>
      <c r="BM162" s="129" t="s">
        <v>347</v>
      </c>
    </row>
    <row r="163" spans="2:65" s="1" customFormat="1" ht="24" customHeight="1" x14ac:dyDescent="0.2">
      <c r="B163" s="118"/>
      <c r="C163" s="119" t="s">
        <v>348</v>
      </c>
      <c r="D163" s="119" t="s">
        <v>231</v>
      </c>
      <c r="E163" s="120" t="s">
        <v>4136</v>
      </c>
      <c r="F163" s="121" t="s">
        <v>4137</v>
      </c>
      <c r="G163" s="122" t="s">
        <v>1194</v>
      </c>
      <c r="H163" s="123">
        <v>1</v>
      </c>
      <c r="I163" s="124">
        <v>629.26</v>
      </c>
      <c r="J163" s="124">
        <f t="shared" si="22"/>
        <v>629.26</v>
      </c>
      <c r="K163" s="121" t="s">
        <v>1</v>
      </c>
      <c r="L163" s="24"/>
      <c r="M163" s="125" t="s">
        <v>1</v>
      </c>
      <c r="N163" s="126" t="s">
        <v>32</v>
      </c>
      <c r="O163" s="127">
        <v>0</v>
      </c>
      <c r="P163" s="127">
        <f t="shared" si="23"/>
        <v>0</v>
      </c>
      <c r="Q163" s="127">
        <v>0</v>
      </c>
      <c r="R163" s="127">
        <f t="shared" si="24"/>
        <v>0</v>
      </c>
      <c r="S163" s="127">
        <v>0</v>
      </c>
      <c r="T163" s="128">
        <f t="shared" si="25"/>
        <v>0</v>
      </c>
      <c r="W163" s="199"/>
      <c r="X163" s="119" t="s">
        <v>348</v>
      </c>
      <c r="Y163" s="119" t="s">
        <v>231</v>
      </c>
      <c r="Z163" s="120" t="s">
        <v>4136</v>
      </c>
      <c r="AA163" s="121" t="s">
        <v>4137</v>
      </c>
      <c r="AB163" s="122" t="s">
        <v>1194</v>
      </c>
      <c r="AC163" s="123">
        <v>1</v>
      </c>
      <c r="AD163" s="124">
        <v>629.26</v>
      </c>
      <c r="AE163" s="200">
        <f t="shared" si="26"/>
        <v>629.26</v>
      </c>
      <c r="AR163" s="129" t="s">
        <v>235</v>
      </c>
      <c r="AT163" s="129" t="s">
        <v>231</v>
      </c>
      <c r="AU163" s="129" t="s">
        <v>76</v>
      </c>
      <c r="AY163" s="13" t="s">
        <v>228</v>
      </c>
      <c r="BE163" s="130">
        <f t="shared" si="27"/>
        <v>0</v>
      </c>
      <c r="BF163" s="130">
        <f t="shared" si="28"/>
        <v>629.26</v>
      </c>
      <c r="BG163" s="130">
        <f t="shared" si="29"/>
        <v>0</v>
      </c>
      <c r="BH163" s="130">
        <f t="shared" si="30"/>
        <v>0</v>
      </c>
      <c r="BI163" s="130">
        <f t="shared" si="31"/>
        <v>0</v>
      </c>
      <c r="BJ163" s="13" t="s">
        <v>76</v>
      </c>
      <c r="BK163" s="130">
        <f t="shared" si="32"/>
        <v>629.26</v>
      </c>
      <c r="BL163" s="13" t="s">
        <v>235</v>
      </c>
      <c r="BM163" s="129" t="s">
        <v>351</v>
      </c>
    </row>
    <row r="164" spans="2:65" s="1" customFormat="1" ht="60" customHeight="1" x14ac:dyDescent="0.2">
      <c r="B164" s="118"/>
      <c r="C164" s="119" t="s">
        <v>293</v>
      </c>
      <c r="D164" s="119" t="s">
        <v>231</v>
      </c>
      <c r="E164" s="120" t="s">
        <v>4138</v>
      </c>
      <c r="F164" s="121" t="s">
        <v>4139</v>
      </c>
      <c r="G164" s="122" t="s">
        <v>1194</v>
      </c>
      <c r="H164" s="123">
        <v>2</v>
      </c>
      <c r="I164" s="124">
        <v>474.85</v>
      </c>
      <c r="J164" s="124">
        <f t="shared" si="22"/>
        <v>949.7</v>
      </c>
      <c r="K164" s="121" t="s">
        <v>1</v>
      </c>
      <c r="L164" s="24"/>
      <c r="M164" s="125" t="s">
        <v>1</v>
      </c>
      <c r="N164" s="126" t="s">
        <v>32</v>
      </c>
      <c r="O164" s="127">
        <v>0</v>
      </c>
      <c r="P164" s="127">
        <f t="shared" si="23"/>
        <v>0</v>
      </c>
      <c r="Q164" s="127">
        <v>0</v>
      </c>
      <c r="R164" s="127">
        <f t="shared" si="24"/>
        <v>0</v>
      </c>
      <c r="S164" s="127">
        <v>0</v>
      </c>
      <c r="T164" s="128">
        <f t="shared" si="25"/>
        <v>0</v>
      </c>
      <c r="W164" s="199"/>
      <c r="X164" s="119" t="s">
        <v>293</v>
      </c>
      <c r="Y164" s="119" t="s">
        <v>231</v>
      </c>
      <c r="Z164" s="120" t="s">
        <v>4138</v>
      </c>
      <c r="AA164" s="121" t="s">
        <v>4139</v>
      </c>
      <c r="AB164" s="122" t="s">
        <v>1194</v>
      </c>
      <c r="AC164" s="123">
        <v>2</v>
      </c>
      <c r="AD164" s="124">
        <v>474.85</v>
      </c>
      <c r="AE164" s="200">
        <f t="shared" si="26"/>
        <v>949.7</v>
      </c>
      <c r="AR164" s="129" t="s">
        <v>235</v>
      </c>
      <c r="AT164" s="129" t="s">
        <v>231</v>
      </c>
      <c r="AU164" s="129" t="s">
        <v>76</v>
      </c>
      <c r="AY164" s="13" t="s">
        <v>228</v>
      </c>
      <c r="BE164" s="130">
        <f t="shared" si="27"/>
        <v>0</v>
      </c>
      <c r="BF164" s="130">
        <f t="shared" si="28"/>
        <v>949.7</v>
      </c>
      <c r="BG164" s="130">
        <f t="shared" si="29"/>
        <v>0</v>
      </c>
      <c r="BH164" s="130">
        <f t="shared" si="30"/>
        <v>0</v>
      </c>
      <c r="BI164" s="130">
        <f t="shared" si="31"/>
        <v>0</v>
      </c>
      <c r="BJ164" s="13" t="s">
        <v>76</v>
      </c>
      <c r="BK164" s="130">
        <f t="shared" si="32"/>
        <v>949.7</v>
      </c>
      <c r="BL164" s="13" t="s">
        <v>235</v>
      </c>
      <c r="BM164" s="129" t="s">
        <v>354</v>
      </c>
    </row>
    <row r="165" spans="2:65" s="1" customFormat="1" ht="60" customHeight="1" x14ac:dyDescent="0.2">
      <c r="B165" s="118"/>
      <c r="C165" s="119" t="s">
        <v>355</v>
      </c>
      <c r="D165" s="119" t="s">
        <v>231</v>
      </c>
      <c r="E165" s="120" t="s">
        <v>4140</v>
      </c>
      <c r="F165" s="121" t="s">
        <v>4141</v>
      </c>
      <c r="G165" s="122" t="s">
        <v>1194</v>
      </c>
      <c r="H165" s="123">
        <v>1</v>
      </c>
      <c r="I165" s="124">
        <v>1133.1400000000001</v>
      </c>
      <c r="J165" s="124">
        <f t="shared" si="22"/>
        <v>1133.1400000000001</v>
      </c>
      <c r="K165" s="121" t="s">
        <v>1</v>
      </c>
      <c r="L165" s="24"/>
      <c r="M165" s="125" t="s">
        <v>1</v>
      </c>
      <c r="N165" s="126" t="s">
        <v>32</v>
      </c>
      <c r="O165" s="127">
        <v>0</v>
      </c>
      <c r="P165" s="127">
        <f t="shared" si="23"/>
        <v>0</v>
      </c>
      <c r="Q165" s="127">
        <v>0</v>
      </c>
      <c r="R165" s="127">
        <f t="shared" si="24"/>
        <v>0</v>
      </c>
      <c r="S165" s="127">
        <v>0</v>
      </c>
      <c r="T165" s="128">
        <f t="shared" si="25"/>
        <v>0</v>
      </c>
      <c r="W165" s="199"/>
      <c r="X165" s="119" t="s">
        <v>355</v>
      </c>
      <c r="Y165" s="119" t="s">
        <v>231</v>
      </c>
      <c r="Z165" s="120" t="s">
        <v>4140</v>
      </c>
      <c r="AA165" s="121" t="s">
        <v>4141</v>
      </c>
      <c r="AB165" s="122" t="s">
        <v>1194</v>
      </c>
      <c r="AC165" s="123">
        <v>1</v>
      </c>
      <c r="AD165" s="124">
        <v>1133.1400000000001</v>
      </c>
      <c r="AE165" s="200">
        <f t="shared" si="26"/>
        <v>1133.1400000000001</v>
      </c>
      <c r="AR165" s="129" t="s">
        <v>235</v>
      </c>
      <c r="AT165" s="129" t="s">
        <v>231</v>
      </c>
      <c r="AU165" s="129" t="s">
        <v>76</v>
      </c>
      <c r="AY165" s="13" t="s">
        <v>228</v>
      </c>
      <c r="BE165" s="130">
        <f t="shared" si="27"/>
        <v>0</v>
      </c>
      <c r="BF165" s="130">
        <f t="shared" si="28"/>
        <v>1133.1400000000001</v>
      </c>
      <c r="BG165" s="130">
        <f t="shared" si="29"/>
        <v>0</v>
      </c>
      <c r="BH165" s="130">
        <f t="shared" si="30"/>
        <v>0</v>
      </c>
      <c r="BI165" s="130">
        <f t="shared" si="31"/>
        <v>0</v>
      </c>
      <c r="BJ165" s="13" t="s">
        <v>76</v>
      </c>
      <c r="BK165" s="130">
        <f t="shared" si="32"/>
        <v>1133.1400000000001</v>
      </c>
      <c r="BL165" s="13" t="s">
        <v>235</v>
      </c>
      <c r="BM165" s="129" t="s">
        <v>358</v>
      </c>
    </row>
    <row r="166" spans="2:65" s="1" customFormat="1" ht="60" customHeight="1" x14ac:dyDescent="0.2">
      <c r="B166" s="118"/>
      <c r="C166" s="119" t="s">
        <v>296</v>
      </c>
      <c r="D166" s="119" t="s">
        <v>231</v>
      </c>
      <c r="E166" s="120" t="s">
        <v>4142</v>
      </c>
      <c r="F166" s="121" t="s">
        <v>4143</v>
      </c>
      <c r="G166" s="122" t="s">
        <v>1194</v>
      </c>
      <c r="H166" s="123">
        <v>1</v>
      </c>
      <c r="I166" s="124">
        <v>1396.68</v>
      </c>
      <c r="J166" s="124">
        <f t="shared" si="22"/>
        <v>1396.68</v>
      </c>
      <c r="K166" s="121" t="s">
        <v>1</v>
      </c>
      <c r="L166" s="24"/>
      <c r="M166" s="125" t="s">
        <v>1</v>
      </c>
      <c r="N166" s="126" t="s">
        <v>32</v>
      </c>
      <c r="O166" s="127">
        <v>0</v>
      </c>
      <c r="P166" s="127">
        <f t="shared" si="23"/>
        <v>0</v>
      </c>
      <c r="Q166" s="127">
        <v>0</v>
      </c>
      <c r="R166" s="127">
        <f t="shared" si="24"/>
        <v>0</v>
      </c>
      <c r="S166" s="127">
        <v>0</v>
      </c>
      <c r="T166" s="128">
        <f t="shared" si="25"/>
        <v>0</v>
      </c>
      <c r="W166" s="199"/>
      <c r="X166" s="119" t="s">
        <v>296</v>
      </c>
      <c r="Y166" s="119" t="s">
        <v>231</v>
      </c>
      <c r="Z166" s="120" t="s">
        <v>4142</v>
      </c>
      <c r="AA166" s="121" t="s">
        <v>4143</v>
      </c>
      <c r="AB166" s="122" t="s">
        <v>1194</v>
      </c>
      <c r="AC166" s="123">
        <v>1</v>
      </c>
      <c r="AD166" s="124">
        <v>1396.68</v>
      </c>
      <c r="AE166" s="200">
        <f t="shared" si="26"/>
        <v>1396.68</v>
      </c>
      <c r="AR166" s="129" t="s">
        <v>235</v>
      </c>
      <c r="AT166" s="129" t="s">
        <v>231</v>
      </c>
      <c r="AU166" s="129" t="s">
        <v>76</v>
      </c>
      <c r="AY166" s="13" t="s">
        <v>228</v>
      </c>
      <c r="BE166" s="130">
        <f t="shared" si="27"/>
        <v>0</v>
      </c>
      <c r="BF166" s="130">
        <f t="shared" si="28"/>
        <v>1396.68</v>
      </c>
      <c r="BG166" s="130">
        <f t="shared" si="29"/>
        <v>0</v>
      </c>
      <c r="BH166" s="130">
        <f t="shared" si="30"/>
        <v>0</v>
      </c>
      <c r="BI166" s="130">
        <f t="shared" si="31"/>
        <v>0</v>
      </c>
      <c r="BJ166" s="13" t="s">
        <v>76</v>
      </c>
      <c r="BK166" s="130">
        <f t="shared" si="32"/>
        <v>1396.68</v>
      </c>
      <c r="BL166" s="13" t="s">
        <v>235</v>
      </c>
      <c r="BM166" s="129" t="s">
        <v>361</v>
      </c>
    </row>
    <row r="167" spans="2:65" s="1" customFormat="1" ht="24" customHeight="1" x14ac:dyDescent="0.2">
      <c r="B167" s="118"/>
      <c r="C167" s="119" t="s">
        <v>362</v>
      </c>
      <c r="D167" s="119" t="s">
        <v>231</v>
      </c>
      <c r="E167" s="120" t="s">
        <v>2680</v>
      </c>
      <c r="F167" s="121" t="s">
        <v>2681</v>
      </c>
      <c r="G167" s="122" t="s">
        <v>1194</v>
      </c>
      <c r="H167" s="123">
        <v>4</v>
      </c>
      <c r="I167" s="124">
        <v>9.06</v>
      </c>
      <c r="J167" s="124">
        <f t="shared" si="22"/>
        <v>36.24</v>
      </c>
      <c r="K167" s="121" t="s">
        <v>1</v>
      </c>
      <c r="L167" s="24"/>
      <c r="M167" s="125" t="s">
        <v>1</v>
      </c>
      <c r="N167" s="126" t="s">
        <v>32</v>
      </c>
      <c r="O167" s="127">
        <v>0</v>
      </c>
      <c r="P167" s="127">
        <f t="shared" si="23"/>
        <v>0</v>
      </c>
      <c r="Q167" s="127">
        <v>0</v>
      </c>
      <c r="R167" s="127">
        <f t="shared" si="24"/>
        <v>0</v>
      </c>
      <c r="S167" s="127">
        <v>0</v>
      </c>
      <c r="T167" s="128">
        <f t="shared" si="25"/>
        <v>0</v>
      </c>
      <c r="W167" s="199"/>
      <c r="X167" s="119" t="s">
        <v>362</v>
      </c>
      <c r="Y167" s="119" t="s">
        <v>231</v>
      </c>
      <c r="Z167" s="120" t="s">
        <v>2680</v>
      </c>
      <c r="AA167" s="121" t="s">
        <v>2681</v>
      </c>
      <c r="AB167" s="122" t="s">
        <v>1194</v>
      </c>
      <c r="AC167" s="123">
        <v>4</v>
      </c>
      <c r="AD167" s="124">
        <v>9.06</v>
      </c>
      <c r="AE167" s="200">
        <f t="shared" si="26"/>
        <v>36.24</v>
      </c>
      <c r="AR167" s="129" t="s">
        <v>235</v>
      </c>
      <c r="AT167" s="129" t="s">
        <v>231</v>
      </c>
      <c r="AU167" s="129" t="s">
        <v>76</v>
      </c>
      <c r="AY167" s="13" t="s">
        <v>228</v>
      </c>
      <c r="BE167" s="130">
        <f t="shared" si="27"/>
        <v>0</v>
      </c>
      <c r="BF167" s="130">
        <f t="shared" si="28"/>
        <v>36.24</v>
      </c>
      <c r="BG167" s="130">
        <f t="shared" si="29"/>
        <v>0</v>
      </c>
      <c r="BH167" s="130">
        <f t="shared" si="30"/>
        <v>0</v>
      </c>
      <c r="BI167" s="130">
        <f t="shared" si="31"/>
        <v>0</v>
      </c>
      <c r="BJ167" s="13" t="s">
        <v>76</v>
      </c>
      <c r="BK167" s="130">
        <f t="shared" si="32"/>
        <v>36.24</v>
      </c>
      <c r="BL167" s="13" t="s">
        <v>235</v>
      </c>
      <c r="BM167" s="129" t="s">
        <v>365</v>
      </c>
    </row>
    <row r="168" spans="2:65" s="1" customFormat="1" ht="24" customHeight="1" x14ac:dyDescent="0.2">
      <c r="B168" s="118"/>
      <c r="C168" s="119" t="s">
        <v>300</v>
      </c>
      <c r="D168" s="119" t="s">
        <v>231</v>
      </c>
      <c r="E168" s="120" t="s">
        <v>2731</v>
      </c>
      <c r="F168" s="121" t="s">
        <v>2732</v>
      </c>
      <c r="G168" s="122" t="s">
        <v>1194</v>
      </c>
      <c r="H168" s="123">
        <v>5</v>
      </c>
      <c r="I168" s="124">
        <v>56.02</v>
      </c>
      <c r="J168" s="124">
        <f t="shared" si="22"/>
        <v>280.10000000000002</v>
      </c>
      <c r="K168" s="121" t="s">
        <v>1</v>
      </c>
      <c r="L168" s="24"/>
      <c r="M168" s="125" t="s">
        <v>1</v>
      </c>
      <c r="N168" s="126" t="s">
        <v>32</v>
      </c>
      <c r="O168" s="127">
        <v>0</v>
      </c>
      <c r="P168" s="127">
        <f t="shared" si="23"/>
        <v>0</v>
      </c>
      <c r="Q168" s="127">
        <v>0</v>
      </c>
      <c r="R168" s="127">
        <f t="shared" si="24"/>
        <v>0</v>
      </c>
      <c r="S168" s="127">
        <v>0</v>
      </c>
      <c r="T168" s="128">
        <f t="shared" si="25"/>
        <v>0</v>
      </c>
      <c r="W168" s="199"/>
      <c r="X168" s="119" t="s">
        <v>300</v>
      </c>
      <c r="Y168" s="119" t="s">
        <v>231</v>
      </c>
      <c r="Z168" s="120" t="s">
        <v>2731</v>
      </c>
      <c r="AA168" s="121" t="s">
        <v>2732</v>
      </c>
      <c r="AB168" s="122" t="s">
        <v>1194</v>
      </c>
      <c r="AC168" s="123">
        <v>5</v>
      </c>
      <c r="AD168" s="124">
        <v>56.02</v>
      </c>
      <c r="AE168" s="200">
        <f t="shared" si="26"/>
        <v>280.10000000000002</v>
      </c>
      <c r="AR168" s="129" t="s">
        <v>235</v>
      </c>
      <c r="AT168" s="129" t="s">
        <v>231</v>
      </c>
      <c r="AU168" s="129" t="s">
        <v>76</v>
      </c>
      <c r="AY168" s="13" t="s">
        <v>228</v>
      </c>
      <c r="BE168" s="130">
        <f t="shared" si="27"/>
        <v>0</v>
      </c>
      <c r="BF168" s="130">
        <f t="shared" si="28"/>
        <v>280.10000000000002</v>
      </c>
      <c r="BG168" s="130">
        <f t="shared" si="29"/>
        <v>0</v>
      </c>
      <c r="BH168" s="130">
        <f t="shared" si="30"/>
        <v>0</v>
      </c>
      <c r="BI168" s="130">
        <f t="shared" si="31"/>
        <v>0</v>
      </c>
      <c r="BJ168" s="13" t="s">
        <v>76</v>
      </c>
      <c r="BK168" s="130">
        <f t="shared" si="32"/>
        <v>280.10000000000002</v>
      </c>
      <c r="BL168" s="13" t="s">
        <v>235</v>
      </c>
      <c r="BM168" s="129" t="s">
        <v>368</v>
      </c>
    </row>
    <row r="169" spans="2:65" s="1" customFormat="1" ht="60" customHeight="1" x14ac:dyDescent="0.2">
      <c r="B169" s="118"/>
      <c r="C169" s="119" t="s">
        <v>369</v>
      </c>
      <c r="D169" s="119" t="s">
        <v>231</v>
      </c>
      <c r="E169" s="120" t="s">
        <v>4100</v>
      </c>
      <c r="F169" s="121" t="s">
        <v>4101</v>
      </c>
      <c r="G169" s="122" t="s">
        <v>1194</v>
      </c>
      <c r="H169" s="123">
        <v>2</v>
      </c>
      <c r="I169" s="124">
        <v>157.9</v>
      </c>
      <c r="J169" s="124">
        <f t="shared" si="22"/>
        <v>315.8</v>
      </c>
      <c r="K169" s="121" t="s">
        <v>1</v>
      </c>
      <c r="L169" s="24"/>
      <c r="M169" s="125" t="s">
        <v>1</v>
      </c>
      <c r="N169" s="126" t="s">
        <v>32</v>
      </c>
      <c r="O169" s="127">
        <v>0</v>
      </c>
      <c r="P169" s="127">
        <f t="shared" si="23"/>
        <v>0</v>
      </c>
      <c r="Q169" s="127">
        <v>0</v>
      </c>
      <c r="R169" s="127">
        <f t="shared" si="24"/>
        <v>0</v>
      </c>
      <c r="S169" s="127">
        <v>0</v>
      </c>
      <c r="T169" s="128">
        <f t="shared" si="25"/>
        <v>0</v>
      </c>
      <c r="W169" s="199"/>
      <c r="X169" s="119" t="s">
        <v>369</v>
      </c>
      <c r="Y169" s="119" t="s">
        <v>231</v>
      </c>
      <c r="Z169" s="120" t="s">
        <v>4100</v>
      </c>
      <c r="AA169" s="121" t="s">
        <v>4101</v>
      </c>
      <c r="AB169" s="122" t="s">
        <v>1194</v>
      </c>
      <c r="AC169" s="123">
        <v>2</v>
      </c>
      <c r="AD169" s="124">
        <v>157.9</v>
      </c>
      <c r="AE169" s="200">
        <f t="shared" si="26"/>
        <v>315.8</v>
      </c>
      <c r="AR169" s="129" t="s">
        <v>235</v>
      </c>
      <c r="AT169" s="129" t="s">
        <v>231</v>
      </c>
      <c r="AU169" s="129" t="s">
        <v>76</v>
      </c>
      <c r="AY169" s="13" t="s">
        <v>228</v>
      </c>
      <c r="BE169" s="130">
        <f t="shared" si="27"/>
        <v>0</v>
      </c>
      <c r="BF169" s="130">
        <f t="shared" si="28"/>
        <v>315.8</v>
      </c>
      <c r="BG169" s="130">
        <f t="shared" si="29"/>
        <v>0</v>
      </c>
      <c r="BH169" s="130">
        <f t="shared" si="30"/>
        <v>0</v>
      </c>
      <c r="BI169" s="130">
        <f t="shared" si="31"/>
        <v>0</v>
      </c>
      <c r="BJ169" s="13" t="s">
        <v>76</v>
      </c>
      <c r="BK169" s="130">
        <f t="shared" si="32"/>
        <v>315.8</v>
      </c>
      <c r="BL169" s="13" t="s">
        <v>235</v>
      </c>
      <c r="BM169" s="129" t="s">
        <v>372</v>
      </c>
    </row>
    <row r="170" spans="2:65" s="1" customFormat="1" ht="48" customHeight="1" x14ac:dyDescent="0.2">
      <c r="B170" s="118"/>
      <c r="C170" s="119" t="s">
        <v>303</v>
      </c>
      <c r="D170" s="119" t="s">
        <v>231</v>
      </c>
      <c r="E170" s="120" t="s">
        <v>4144</v>
      </c>
      <c r="F170" s="121" t="s">
        <v>4145</v>
      </c>
      <c r="G170" s="122" t="s">
        <v>1194</v>
      </c>
      <c r="H170" s="123">
        <v>1</v>
      </c>
      <c r="I170" s="124">
        <v>228.72</v>
      </c>
      <c r="J170" s="124">
        <f t="shared" si="22"/>
        <v>228.72</v>
      </c>
      <c r="K170" s="121" t="s">
        <v>1</v>
      </c>
      <c r="L170" s="24"/>
      <c r="M170" s="125" t="s">
        <v>1</v>
      </c>
      <c r="N170" s="126" t="s">
        <v>32</v>
      </c>
      <c r="O170" s="127">
        <v>0</v>
      </c>
      <c r="P170" s="127">
        <f t="shared" si="23"/>
        <v>0</v>
      </c>
      <c r="Q170" s="127">
        <v>0</v>
      </c>
      <c r="R170" s="127">
        <f t="shared" si="24"/>
        <v>0</v>
      </c>
      <c r="S170" s="127">
        <v>0</v>
      </c>
      <c r="T170" s="128">
        <f t="shared" si="25"/>
        <v>0</v>
      </c>
      <c r="W170" s="199"/>
      <c r="X170" s="119" t="s">
        <v>303</v>
      </c>
      <c r="Y170" s="119" t="s">
        <v>231</v>
      </c>
      <c r="Z170" s="120" t="s">
        <v>4144</v>
      </c>
      <c r="AA170" s="121" t="s">
        <v>4145</v>
      </c>
      <c r="AB170" s="122" t="s">
        <v>1194</v>
      </c>
      <c r="AC170" s="123">
        <v>1</v>
      </c>
      <c r="AD170" s="124">
        <v>228.72</v>
      </c>
      <c r="AE170" s="200">
        <f t="shared" si="26"/>
        <v>228.72</v>
      </c>
      <c r="AR170" s="129" t="s">
        <v>235</v>
      </c>
      <c r="AT170" s="129" t="s">
        <v>231</v>
      </c>
      <c r="AU170" s="129" t="s">
        <v>76</v>
      </c>
      <c r="AY170" s="13" t="s">
        <v>228</v>
      </c>
      <c r="BE170" s="130">
        <f t="shared" si="27"/>
        <v>0</v>
      </c>
      <c r="BF170" s="130">
        <f t="shared" si="28"/>
        <v>228.72</v>
      </c>
      <c r="BG170" s="130">
        <f t="shared" si="29"/>
        <v>0</v>
      </c>
      <c r="BH170" s="130">
        <f t="shared" si="30"/>
        <v>0</v>
      </c>
      <c r="BI170" s="130">
        <f t="shared" si="31"/>
        <v>0</v>
      </c>
      <c r="BJ170" s="13" t="s">
        <v>76</v>
      </c>
      <c r="BK170" s="130">
        <f t="shared" si="32"/>
        <v>228.72</v>
      </c>
      <c r="BL170" s="13" t="s">
        <v>235</v>
      </c>
      <c r="BM170" s="129" t="s">
        <v>375</v>
      </c>
    </row>
    <row r="171" spans="2:65" s="1" customFormat="1" ht="16.5" customHeight="1" x14ac:dyDescent="0.2">
      <c r="B171" s="118"/>
      <c r="C171" s="119" t="s">
        <v>376</v>
      </c>
      <c r="D171" s="119" t="s">
        <v>231</v>
      </c>
      <c r="E171" s="120" t="s">
        <v>4146</v>
      </c>
      <c r="F171" s="121" t="s">
        <v>4147</v>
      </c>
      <c r="G171" s="122" t="s">
        <v>1194</v>
      </c>
      <c r="H171" s="123">
        <v>4</v>
      </c>
      <c r="I171" s="124">
        <v>16.02</v>
      </c>
      <c r="J171" s="124">
        <f t="shared" si="22"/>
        <v>64.08</v>
      </c>
      <c r="K171" s="121" t="s">
        <v>1</v>
      </c>
      <c r="L171" s="24"/>
      <c r="M171" s="125" t="s">
        <v>1</v>
      </c>
      <c r="N171" s="126" t="s">
        <v>32</v>
      </c>
      <c r="O171" s="127">
        <v>0</v>
      </c>
      <c r="P171" s="127">
        <f t="shared" si="23"/>
        <v>0</v>
      </c>
      <c r="Q171" s="127">
        <v>0</v>
      </c>
      <c r="R171" s="127">
        <f t="shared" si="24"/>
        <v>0</v>
      </c>
      <c r="S171" s="127">
        <v>0</v>
      </c>
      <c r="T171" s="128">
        <f t="shared" si="25"/>
        <v>0</v>
      </c>
      <c r="W171" s="199"/>
      <c r="X171" s="119" t="s">
        <v>376</v>
      </c>
      <c r="Y171" s="119" t="s">
        <v>231</v>
      </c>
      <c r="Z171" s="120" t="s">
        <v>4146</v>
      </c>
      <c r="AA171" s="121" t="s">
        <v>4147</v>
      </c>
      <c r="AB171" s="122" t="s">
        <v>1194</v>
      </c>
      <c r="AC171" s="123">
        <v>4</v>
      </c>
      <c r="AD171" s="124">
        <v>16.02</v>
      </c>
      <c r="AE171" s="200">
        <f t="shared" si="26"/>
        <v>64.08</v>
      </c>
      <c r="AR171" s="129" t="s">
        <v>235</v>
      </c>
      <c r="AT171" s="129" t="s">
        <v>231</v>
      </c>
      <c r="AU171" s="129" t="s">
        <v>76</v>
      </c>
      <c r="AY171" s="13" t="s">
        <v>228</v>
      </c>
      <c r="BE171" s="130">
        <f t="shared" si="27"/>
        <v>0</v>
      </c>
      <c r="BF171" s="130">
        <f t="shared" si="28"/>
        <v>64.08</v>
      </c>
      <c r="BG171" s="130">
        <f t="shared" si="29"/>
        <v>0</v>
      </c>
      <c r="BH171" s="130">
        <f t="shared" si="30"/>
        <v>0</v>
      </c>
      <c r="BI171" s="130">
        <f t="shared" si="31"/>
        <v>0</v>
      </c>
      <c r="BJ171" s="13" t="s">
        <v>76</v>
      </c>
      <c r="BK171" s="130">
        <f t="shared" si="32"/>
        <v>64.08</v>
      </c>
      <c r="BL171" s="13" t="s">
        <v>235</v>
      </c>
      <c r="BM171" s="129" t="s">
        <v>379</v>
      </c>
    </row>
    <row r="172" spans="2:65" s="1" customFormat="1" ht="16.5" customHeight="1" x14ac:dyDescent="0.2">
      <c r="B172" s="118"/>
      <c r="C172" s="119" t="s">
        <v>308</v>
      </c>
      <c r="D172" s="119" t="s">
        <v>231</v>
      </c>
      <c r="E172" s="120" t="s">
        <v>4148</v>
      </c>
      <c r="F172" s="121" t="s">
        <v>4149</v>
      </c>
      <c r="G172" s="122" t="s">
        <v>1194</v>
      </c>
      <c r="H172" s="123">
        <v>4</v>
      </c>
      <c r="I172" s="124">
        <v>24.96</v>
      </c>
      <c r="J172" s="124">
        <f t="shared" si="22"/>
        <v>99.84</v>
      </c>
      <c r="K172" s="121" t="s">
        <v>1</v>
      </c>
      <c r="L172" s="24"/>
      <c r="M172" s="125" t="s">
        <v>1</v>
      </c>
      <c r="N172" s="126" t="s">
        <v>32</v>
      </c>
      <c r="O172" s="127">
        <v>0</v>
      </c>
      <c r="P172" s="127">
        <f t="shared" si="23"/>
        <v>0</v>
      </c>
      <c r="Q172" s="127">
        <v>0</v>
      </c>
      <c r="R172" s="127">
        <f t="shared" si="24"/>
        <v>0</v>
      </c>
      <c r="S172" s="127">
        <v>0</v>
      </c>
      <c r="T172" s="128">
        <f t="shared" si="25"/>
        <v>0</v>
      </c>
      <c r="W172" s="199"/>
      <c r="X172" s="119" t="s">
        <v>308</v>
      </c>
      <c r="Y172" s="119" t="s">
        <v>231</v>
      </c>
      <c r="Z172" s="120" t="s">
        <v>4148</v>
      </c>
      <c r="AA172" s="121" t="s">
        <v>4149</v>
      </c>
      <c r="AB172" s="122" t="s">
        <v>1194</v>
      </c>
      <c r="AC172" s="123">
        <v>4</v>
      </c>
      <c r="AD172" s="124">
        <v>24.96</v>
      </c>
      <c r="AE172" s="200">
        <f t="shared" si="26"/>
        <v>99.84</v>
      </c>
      <c r="AR172" s="129" t="s">
        <v>235</v>
      </c>
      <c r="AT172" s="129" t="s">
        <v>231</v>
      </c>
      <c r="AU172" s="129" t="s">
        <v>76</v>
      </c>
      <c r="AY172" s="13" t="s">
        <v>228</v>
      </c>
      <c r="BE172" s="130">
        <f t="shared" si="27"/>
        <v>0</v>
      </c>
      <c r="BF172" s="130">
        <f t="shared" si="28"/>
        <v>99.84</v>
      </c>
      <c r="BG172" s="130">
        <f t="shared" si="29"/>
        <v>0</v>
      </c>
      <c r="BH172" s="130">
        <f t="shared" si="30"/>
        <v>0</v>
      </c>
      <c r="BI172" s="130">
        <f t="shared" si="31"/>
        <v>0</v>
      </c>
      <c r="BJ172" s="13" t="s">
        <v>76</v>
      </c>
      <c r="BK172" s="130">
        <f t="shared" si="32"/>
        <v>99.84</v>
      </c>
      <c r="BL172" s="13" t="s">
        <v>235</v>
      </c>
      <c r="BM172" s="129" t="s">
        <v>382</v>
      </c>
    </row>
    <row r="173" spans="2:65" s="1" customFormat="1" ht="16.5" customHeight="1" x14ac:dyDescent="0.2">
      <c r="B173" s="118"/>
      <c r="C173" s="119" t="s">
        <v>383</v>
      </c>
      <c r="D173" s="119" t="s">
        <v>231</v>
      </c>
      <c r="E173" s="120" t="s">
        <v>4150</v>
      </c>
      <c r="F173" s="121" t="s">
        <v>4151</v>
      </c>
      <c r="G173" s="122" t="s">
        <v>1194</v>
      </c>
      <c r="H173" s="123">
        <v>1</v>
      </c>
      <c r="I173" s="124">
        <v>183.44</v>
      </c>
      <c r="J173" s="124">
        <f t="shared" si="22"/>
        <v>183.44</v>
      </c>
      <c r="K173" s="121" t="s">
        <v>1</v>
      </c>
      <c r="L173" s="24"/>
      <c r="M173" s="125" t="s">
        <v>1</v>
      </c>
      <c r="N173" s="126" t="s">
        <v>32</v>
      </c>
      <c r="O173" s="127">
        <v>0</v>
      </c>
      <c r="P173" s="127">
        <f t="shared" si="23"/>
        <v>0</v>
      </c>
      <c r="Q173" s="127">
        <v>0</v>
      </c>
      <c r="R173" s="127">
        <f t="shared" si="24"/>
        <v>0</v>
      </c>
      <c r="S173" s="127">
        <v>0</v>
      </c>
      <c r="T173" s="128">
        <f t="shared" si="25"/>
        <v>0</v>
      </c>
      <c r="W173" s="199"/>
      <c r="X173" s="119" t="s">
        <v>383</v>
      </c>
      <c r="Y173" s="119" t="s">
        <v>231</v>
      </c>
      <c r="Z173" s="120" t="s">
        <v>4150</v>
      </c>
      <c r="AA173" s="121" t="s">
        <v>4151</v>
      </c>
      <c r="AB173" s="122" t="s">
        <v>1194</v>
      </c>
      <c r="AC173" s="123">
        <v>1</v>
      </c>
      <c r="AD173" s="124">
        <v>183.44</v>
      </c>
      <c r="AE173" s="200">
        <f t="shared" si="26"/>
        <v>183.44</v>
      </c>
      <c r="AR173" s="129" t="s">
        <v>235</v>
      </c>
      <c r="AT173" s="129" t="s">
        <v>231</v>
      </c>
      <c r="AU173" s="129" t="s">
        <v>76</v>
      </c>
      <c r="AY173" s="13" t="s">
        <v>228</v>
      </c>
      <c r="BE173" s="130">
        <f t="shared" si="27"/>
        <v>0</v>
      </c>
      <c r="BF173" s="130">
        <f t="shared" si="28"/>
        <v>183.44</v>
      </c>
      <c r="BG173" s="130">
        <f t="shared" si="29"/>
        <v>0</v>
      </c>
      <c r="BH173" s="130">
        <f t="shared" si="30"/>
        <v>0</v>
      </c>
      <c r="BI173" s="130">
        <f t="shared" si="31"/>
        <v>0</v>
      </c>
      <c r="BJ173" s="13" t="s">
        <v>76</v>
      </c>
      <c r="BK173" s="130">
        <f t="shared" si="32"/>
        <v>183.44</v>
      </c>
      <c r="BL173" s="13" t="s">
        <v>235</v>
      </c>
      <c r="BM173" s="129" t="s">
        <v>386</v>
      </c>
    </row>
    <row r="174" spans="2:65" s="1" customFormat="1" ht="60" customHeight="1" x14ac:dyDescent="0.2">
      <c r="B174" s="118"/>
      <c r="C174" s="119" t="s">
        <v>312</v>
      </c>
      <c r="D174" s="119" t="s">
        <v>231</v>
      </c>
      <c r="E174" s="120" t="s">
        <v>4152</v>
      </c>
      <c r="F174" s="121" t="s">
        <v>4153</v>
      </c>
      <c r="G174" s="122" t="s">
        <v>1194</v>
      </c>
      <c r="H174" s="123">
        <v>2</v>
      </c>
      <c r="I174" s="124">
        <v>251.94</v>
      </c>
      <c r="J174" s="124">
        <f t="shared" si="22"/>
        <v>503.88</v>
      </c>
      <c r="K174" s="121" t="s">
        <v>1</v>
      </c>
      <c r="L174" s="24"/>
      <c r="M174" s="125" t="s">
        <v>1</v>
      </c>
      <c r="N174" s="126" t="s">
        <v>32</v>
      </c>
      <c r="O174" s="127">
        <v>0</v>
      </c>
      <c r="P174" s="127">
        <f t="shared" si="23"/>
        <v>0</v>
      </c>
      <c r="Q174" s="127">
        <v>0</v>
      </c>
      <c r="R174" s="127">
        <f t="shared" si="24"/>
        <v>0</v>
      </c>
      <c r="S174" s="127">
        <v>0</v>
      </c>
      <c r="T174" s="128">
        <f t="shared" si="25"/>
        <v>0</v>
      </c>
      <c r="W174" s="199"/>
      <c r="X174" s="119" t="s">
        <v>312</v>
      </c>
      <c r="Y174" s="119" t="s">
        <v>231</v>
      </c>
      <c r="Z174" s="120" t="s">
        <v>4152</v>
      </c>
      <c r="AA174" s="121" t="s">
        <v>4153</v>
      </c>
      <c r="AB174" s="122" t="s">
        <v>1194</v>
      </c>
      <c r="AC174" s="123">
        <v>2</v>
      </c>
      <c r="AD174" s="124">
        <v>251.94</v>
      </c>
      <c r="AE174" s="200">
        <f t="shared" si="26"/>
        <v>503.88</v>
      </c>
      <c r="AR174" s="129" t="s">
        <v>235</v>
      </c>
      <c r="AT174" s="129" t="s">
        <v>231</v>
      </c>
      <c r="AU174" s="129" t="s">
        <v>76</v>
      </c>
      <c r="AY174" s="13" t="s">
        <v>228</v>
      </c>
      <c r="BE174" s="130">
        <f t="shared" si="27"/>
        <v>0</v>
      </c>
      <c r="BF174" s="130">
        <f t="shared" si="28"/>
        <v>503.88</v>
      </c>
      <c r="BG174" s="130">
        <f t="shared" si="29"/>
        <v>0</v>
      </c>
      <c r="BH174" s="130">
        <f t="shared" si="30"/>
        <v>0</v>
      </c>
      <c r="BI174" s="130">
        <f t="shared" si="31"/>
        <v>0</v>
      </c>
      <c r="BJ174" s="13" t="s">
        <v>76</v>
      </c>
      <c r="BK174" s="130">
        <f t="shared" si="32"/>
        <v>503.88</v>
      </c>
      <c r="BL174" s="13" t="s">
        <v>235</v>
      </c>
      <c r="BM174" s="129" t="s">
        <v>389</v>
      </c>
    </row>
    <row r="175" spans="2:65" s="1" customFormat="1" ht="36" customHeight="1" x14ac:dyDescent="0.2">
      <c r="B175" s="118"/>
      <c r="C175" s="119" t="s">
        <v>390</v>
      </c>
      <c r="D175" s="119" t="s">
        <v>231</v>
      </c>
      <c r="E175" s="120" t="s">
        <v>2711</v>
      </c>
      <c r="F175" s="121" t="s">
        <v>2712</v>
      </c>
      <c r="G175" s="122" t="s">
        <v>292</v>
      </c>
      <c r="H175" s="123">
        <v>45</v>
      </c>
      <c r="I175" s="124">
        <v>29.14</v>
      </c>
      <c r="J175" s="124">
        <f t="shared" si="22"/>
        <v>1311.3</v>
      </c>
      <c r="K175" s="121" t="s">
        <v>1</v>
      </c>
      <c r="L175" s="24"/>
      <c r="M175" s="125" t="s">
        <v>1</v>
      </c>
      <c r="N175" s="126" t="s">
        <v>32</v>
      </c>
      <c r="O175" s="127">
        <v>0</v>
      </c>
      <c r="P175" s="127">
        <f t="shared" si="23"/>
        <v>0</v>
      </c>
      <c r="Q175" s="127">
        <v>0</v>
      </c>
      <c r="R175" s="127">
        <f t="shared" si="24"/>
        <v>0</v>
      </c>
      <c r="S175" s="127">
        <v>0</v>
      </c>
      <c r="T175" s="128">
        <f t="shared" si="25"/>
        <v>0</v>
      </c>
      <c r="W175" s="199"/>
      <c r="X175" s="119" t="s">
        <v>390</v>
      </c>
      <c r="Y175" s="119" t="s">
        <v>231</v>
      </c>
      <c r="Z175" s="120" t="s">
        <v>2711</v>
      </c>
      <c r="AA175" s="121" t="s">
        <v>2712</v>
      </c>
      <c r="AB175" s="122" t="s">
        <v>292</v>
      </c>
      <c r="AC175" s="123">
        <v>45</v>
      </c>
      <c r="AD175" s="124">
        <v>29.14</v>
      </c>
      <c r="AE175" s="200">
        <f t="shared" si="26"/>
        <v>1311.3</v>
      </c>
      <c r="AR175" s="129" t="s">
        <v>235</v>
      </c>
      <c r="AT175" s="129" t="s">
        <v>231</v>
      </c>
      <c r="AU175" s="129" t="s">
        <v>76</v>
      </c>
      <c r="AY175" s="13" t="s">
        <v>228</v>
      </c>
      <c r="BE175" s="130">
        <f t="shared" si="27"/>
        <v>0</v>
      </c>
      <c r="BF175" s="130">
        <f t="shared" si="28"/>
        <v>1311.3</v>
      </c>
      <c r="BG175" s="130">
        <f t="shared" si="29"/>
        <v>0</v>
      </c>
      <c r="BH175" s="130">
        <f t="shared" si="30"/>
        <v>0</v>
      </c>
      <c r="BI175" s="130">
        <f t="shared" si="31"/>
        <v>0</v>
      </c>
      <c r="BJ175" s="13" t="s">
        <v>76</v>
      </c>
      <c r="BK175" s="130">
        <f t="shared" si="32"/>
        <v>1311.3</v>
      </c>
      <c r="BL175" s="13" t="s">
        <v>235</v>
      </c>
      <c r="BM175" s="129" t="s">
        <v>393</v>
      </c>
    </row>
    <row r="176" spans="2:65" s="1" customFormat="1" ht="36" customHeight="1" x14ac:dyDescent="0.2">
      <c r="B176" s="118"/>
      <c r="C176" s="119" t="s">
        <v>316</v>
      </c>
      <c r="D176" s="119" t="s">
        <v>231</v>
      </c>
      <c r="E176" s="120" t="s">
        <v>4154</v>
      </c>
      <c r="F176" s="121" t="s">
        <v>4155</v>
      </c>
      <c r="G176" s="122" t="s">
        <v>292</v>
      </c>
      <c r="H176" s="123">
        <v>38</v>
      </c>
      <c r="I176" s="124">
        <v>31.14</v>
      </c>
      <c r="J176" s="124">
        <f t="shared" si="22"/>
        <v>1183.32</v>
      </c>
      <c r="K176" s="121" t="s">
        <v>1</v>
      </c>
      <c r="L176" s="24"/>
      <c r="M176" s="125" t="s">
        <v>1</v>
      </c>
      <c r="N176" s="126" t="s">
        <v>32</v>
      </c>
      <c r="O176" s="127">
        <v>0</v>
      </c>
      <c r="P176" s="127">
        <f t="shared" si="23"/>
        <v>0</v>
      </c>
      <c r="Q176" s="127">
        <v>0</v>
      </c>
      <c r="R176" s="127">
        <f t="shared" si="24"/>
        <v>0</v>
      </c>
      <c r="S176" s="127">
        <v>0</v>
      </c>
      <c r="T176" s="128">
        <f t="shared" si="25"/>
        <v>0</v>
      </c>
      <c r="W176" s="199"/>
      <c r="X176" s="119" t="s">
        <v>316</v>
      </c>
      <c r="Y176" s="119" t="s">
        <v>231</v>
      </c>
      <c r="Z176" s="120" t="s">
        <v>4154</v>
      </c>
      <c r="AA176" s="121" t="s">
        <v>4155</v>
      </c>
      <c r="AB176" s="122" t="s">
        <v>292</v>
      </c>
      <c r="AC176" s="123">
        <v>38</v>
      </c>
      <c r="AD176" s="124">
        <v>31.14</v>
      </c>
      <c r="AE176" s="200">
        <f t="shared" si="26"/>
        <v>1183.32</v>
      </c>
      <c r="AR176" s="129" t="s">
        <v>235</v>
      </c>
      <c r="AT176" s="129" t="s">
        <v>231</v>
      </c>
      <c r="AU176" s="129" t="s">
        <v>76</v>
      </c>
      <c r="AY176" s="13" t="s">
        <v>228</v>
      </c>
      <c r="BE176" s="130">
        <f t="shared" si="27"/>
        <v>0</v>
      </c>
      <c r="BF176" s="130">
        <f t="shared" si="28"/>
        <v>1183.32</v>
      </c>
      <c r="BG176" s="130">
        <f t="shared" si="29"/>
        <v>0</v>
      </c>
      <c r="BH176" s="130">
        <f t="shared" si="30"/>
        <v>0</v>
      </c>
      <c r="BI176" s="130">
        <f t="shared" si="31"/>
        <v>0</v>
      </c>
      <c r="BJ176" s="13" t="s">
        <v>76</v>
      </c>
      <c r="BK176" s="130">
        <f t="shared" si="32"/>
        <v>1183.32</v>
      </c>
      <c r="BL176" s="13" t="s">
        <v>235</v>
      </c>
      <c r="BM176" s="129" t="s">
        <v>396</v>
      </c>
    </row>
    <row r="177" spans="2:65" s="1" customFormat="1" ht="36" customHeight="1" x14ac:dyDescent="0.2">
      <c r="B177" s="118"/>
      <c r="C177" s="119" t="s">
        <v>397</v>
      </c>
      <c r="D177" s="119" t="s">
        <v>231</v>
      </c>
      <c r="E177" s="120" t="s">
        <v>4156</v>
      </c>
      <c r="F177" s="121" t="s">
        <v>4157</v>
      </c>
      <c r="G177" s="122" t="s">
        <v>292</v>
      </c>
      <c r="H177" s="123">
        <v>39</v>
      </c>
      <c r="I177" s="124">
        <v>42.04</v>
      </c>
      <c r="J177" s="124">
        <f t="shared" si="22"/>
        <v>1639.56</v>
      </c>
      <c r="K177" s="121" t="s">
        <v>1</v>
      </c>
      <c r="L177" s="24"/>
      <c r="M177" s="125" t="s">
        <v>1</v>
      </c>
      <c r="N177" s="126" t="s">
        <v>32</v>
      </c>
      <c r="O177" s="127">
        <v>0</v>
      </c>
      <c r="P177" s="127">
        <f t="shared" si="23"/>
        <v>0</v>
      </c>
      <c r="Q177" s="127">
        <v>0</v>
      </c>
      <c r="R177" s="127">
        <f t="shared" si="24"/>
        <v>0</v>
      </c>
      <c r="S177" s="127">
        <v>0</v>
      </c>
      <c r="T177" s="128">
        <f t="shared" si="25"/>
        <v>0</v>
      </c>
      <c r="W177" s="199"/>
      <c r="X177" s="119" t="s">
        <v>397</v>
      </c>
      <c r="Y177" s="119" t="s">
        <v>231</v>
      </c>
      <c r="Z177" s="120" t="s">
        <v>4156</v>
      </c>
      <c r="AA177" s="121" t="s">
        <v>4157</v>
      </c>
      <c r="AB177" s="122" t="s">
        <v>292</v>
      </c>
      <c r="AC177" s="123">
        <v>39</v>
      </c>
      <c r="AD177" s="124">
        <v>42.04</v>
      </c>
      <c r="AE177" s="200">
        <f t="shared" si="26"/>
        <v>1639.56</v>
      </c>
      <c r="AR177" s="129" t="s">
        <v>235</v>
      </c>
      <c r="AT177" s="129" t="s">
        <v>231</v>
      </c>
      <c r="AU177" s="129" t="s">
        <v>76</v>
      </c>
      <c r="AY177" s="13" t="s">
        <v>228</v>
      </c>
      <c r="BE177" s="130">
        <f t="shared" si="27"/>
        <v>0</v>
      </c>
      <c r="BF177" s="130">
        <f t="shared" si="28"/>
        <v>1639.56</v>
      </c>
      <c r="BG177" s="130">
        <f t="shared" si="29"/>
        <v>0</v>
      </c>
      <c r="BH177" s="130">
        <f t="shared" si="30"/>
        <v>0</v>
      </c>
      <c r="BI177" s="130">
        <f t="shared" si="31"/>
        <v>0</v>
      </c>
      <c r="BJ177" s="13" t="s">
        <v>76</v>
      </c>
      <c r="BK177" s="130">
        <f t="shared" si="32"/>
        <v>1639.56</v>
      </c>
      <c r="BL177" s="13" t="s">
        <v>235</v>
      </c>
      <c r="BM177" s="129" t="s">
        <v>400</v>
      </c>
    </row>
    <row r="178" spans="2:65" s="1" customFormat="1" ht="24" customHeight="1" x14ac:dyDescent="0.2">
      <c r="B178" s="118"/>
      <c r="C178" s="119" t="s">
        <v>319</v>
      </c>
      <c r="D178" s="119" t="s">
        <v>231</v>
      </c>
      <c r="E178" s="120" t="s">
        <v>2713</v>
      </c>
      <c r="F178" s="121" t="s">
        <v>2714</v>
      </c>
      <c r="G178" s="122" t="s">
        <v>570</v>
      </c>
      <c r="H178" s="123">
        <v>1</v>
      </c>
      <c r="I178" s="124">
        <v>150.93</v>
      </c>
      <c r="J178" s="124">
        <f t="shared" si="22"/>
        <v>150.93</v>
      </c>
      <c r="K178" s="121" t="s">
        <v>1</v>
      </c>
      <c r="L178" s="24"/>
      <c r="M178" s="125" t="s">
        <v>1</v>
      </c>
      <c r="N178" s="126" t="s">
        <v>32</v>
      </c>
      <c r="O178" s="127">
        <v>0</v>
      </c>
      <c r="P178" s="127">
        <f t="shared" si="23"/>
        <v>0</v>
      </c>
      <c r="Q178" s="127">
        <v>0</v>
      </c>
      <c r="R178" s="127">
        <f t="shared" si="24"/>
        <v>0</v>
      </c>
      <c r="S178" s="127">
        <v>0</v>
      </c>
      <c r="T178" s="128">
        <f t="shared" si="25"/>
        <v>0</v>
      </c>
      <c r="W178" s="199"/>
      <c r="X178" s="119" t="s">
        <v>319</v>
      </c>
      <c r="Y178" s="119" t="s">
        <v>231</v>
      </c>
      <c r="Z178" s="120" t="s">
        <v>2713</v>
      </c>
      <c r="AA178" s="121" t="s">
        <v>2714</v>
      </c>
      <c r="AB178" s="122" t="s">
        <v>570</v>
      </c>
      <c r="AC178" s="123">
        <v>1</v>
      </c>
      <c r="AD178" s="124">
        <v>150.93</v>
      </c>
      <c r="AE178" s="200">
        <f t="shared" si="26"/>
        <v>150.93</v>
      </c>
      <c r="AR178" s="129" t="s">
        <v>235</v>
      </c>
      <c r="AT178" s="129" t="s">
        <v>231</v>
      </c>
      <c r="AU178" s="129" t="s">
        <v>76</v>
      </c>
      <c r="AY178" s="13" t="s">
        <v>228</v>
      </c>
      <c r="BE178" s="130">
        <f t="shared" si="27"/>
        <v>0</v>
      </c>
      <c r="BF178" s="130">
        <f t="shared" si="28"/>
        <v>150.93</v>
      </c>
      <c r="BG178" s="130">
        <f t="shared" si="29"/>
        <v>0</v>
      </c>
      <c r="BH178" s="130">
        <f t="shared" si="30"/>
        <v>0</v>
      </c>
      <c r="BI178" s="130">
        <f t="shared" si="31"/>
        <v>0</v>
      </c>
      <c r="BJ178" s="13" t="s">
        <v>76</v>
      </c>
      <c r="BK178" s="130">
        <f t="shared" si="32"/>
        <v>150.93</v>
      </c>
      <c r="BL178" s="13" t="s">
        <v>235</v>
      </c>
      <c r="BM178" s="129" t="s">
        <v>404</v>
      </c>
    </row>
    <row r="179" spans="2:65" s="1" customFormat="1" ht="36" customHeight="1" x14ac:dyDescent="0.2">
      <c r="B179" s="118"/>
      <c r="C179" s="119" t="s">
        <v>407</v>
      </c>
      <c r="D179" s="119" t="s">
        <v>231</v>
      </c>
      <c r="E179" s="120" t="s">
        <v>2715</v>
      </c>
      <c r="F179" s="121" t="s">
        <v>2716</v>
      </c>
      <c r="G179" s="122" t="s">
        <v>284</v>
      </c>
      <c r="H179" s="123">
        <v>15</v>
      </c>
      <c r="I179" s="124">
        <v>17.38</v>
      </c>
      <c r="J179" s="124">
        <f t="shared" si="22"/>
        <v>260.7</v>
      </c>
      <c r="K179" s="121" t="s">
        <v>1</v>
      </c>
      <c r="L179" s="24"/>
      <c r="M179" s="140" t="s">
        <v>1</v>
      </c>
      <c r="N179" s="141" t="s">
        <v>32</v>
      </c>
      <c r="O179" s="142">
        <v>0</v>
      </c>
      <c r="P179" s="142">
        <f t="shared" si="23"/>
        <v>0</v>
      </c>
      <c r="Q179" s="142">
        <v>0</v>
      </c>
      <c r="R179" s="142">
        <f t="shared" si="24"/>
        <v>0</v>
      </c>
      <c r="S179" s="142">
        <v>0</v>
      </c>
      <c r="T179" s="143">
        <f t="shared" si="25"/>
        <v>0</v>
      </c>
      <c r="W179" s="199"/>
      <c r="X179" s="119" t="s">
        <v>407</v>
      </c>
      <c r="Y179" s="119" t="s">
        <v>231</v>
      </c>
      <c r="Z179" s="120" t="s">
        <v>2715</v>
      </c>
      <c r="AA179" s="121" t="s">
        <v>2716</v>
      </c>
      <c r="AB179" s="122" t="s">
        <v>284</v>
      </c>
      <c r="AC179" s="123">
        <v>15</v>
      </c>
      <c r="AD179" s="124">
        <v>17.38</v>
      </c>
      <c r="AE179" s="200">
        <f t="shared" si="26"/>
        <v>260.7</v>
      </c>
      <c r="AR179" s="129" t="s">
        <v>235</v>
      </c>
      <c r="AT179" s="129" t="s">
        <v>231</v>
      </c>
      <c r="AU179" s="129" t="s">
        <v>76</v>
      </c>
      <c r="AY179" s="13" t="s">
        <v>228</v>
      </c>
      <c r="BE179" s="130">
        <f t="shared" si="27"/>
        <v>0</v>
      </c>
      <c r="BF179" s="130">
        <f t="shared" si="28"/>
        <v>260.7</v>
      </c>
      <c r="BG179" s="130">
        <f t="shared" si="29"/>
        <v>0</v>
      </c>
      <c r="BH179" s="130">
        <f t="shared" si="30"/>
        <v>0</v>
      </c>
      <c r="BI179" s="130">
        <f t="shared" si="31"/>
        <v>0</v>
      </c>
      <c r="BJ179" s="13" t="s">
        <v>76</v>
      </c>
      <c r="BK179" s="130">
        <f t="shared" si="32"/>
        <v>260.7</v>
      </c>
      <c r="BL179" s="13" t="s">
        <v>235</v>
      </c>
      <c r="BM179" s="129" t="s">
        <v>410</v>
      </c>
    </row>
    <row r="180" spans="2:65" s="1" customFormat="1" ht="7.05" customHeight="1" x14ac:dyDescent="0.2">
      <c r="B180" s="33"/>
      <c r="C180" s="34"/>
      <c r="D180" s="34"/>
      <c r="E180" s="34"/>
      <c r="F180" s="34"/>
      <c r="G180" s="34"/>
      <c r="H180" s="34"/>
      <c r="I180" s="34"/>
      <c r="J180" s="34"/>
      <c r="K180" s="34"/>
      <c r="L180" s="24"/>
      <c r="W180" s="175"/>
      <c r="X180" s="176"/>
      <c r="Y180" s="176"/>
      <c r="Z180" s="176"/>
      <c r="AA180" s="176"/>
      <c r="AB180" s="176"/>
      <c r="AC180" s="176"/>
      <c r="AD180" s="176"/>
      <c r="AE180" s="177"/>
    </row>
  </sheetData>
  <autoFilter ref="C122:K179" xr:uid="{00000000-0009-0000-0000-000019000000}"/>
  <mergeCells count="27">
    <mergeCell ref="Z87:AC87"/>
    <mergeCell ref="Z113:AC113"/>
    <mergeCell ref="Z115:AC115"/>
    <mergeCell ref="Z9:AC9"/>
    <mergeCell ref="Z18:AC18"/>
    <mergeCell ref="Z27:AC27"/>
    <mergeCell ref="Z85:AC85"/>
    <mergeCell ref="X110:AE110"/>
    <mergeCell ref="Z112:AE112"/>
    <mergeCell ref="E87:H87"/>
    <mergeCell ref="E113:H113"/>
    <mergeCell ref="E115:H115"/>
    <mergeCell ref="L2:V2"/>
    <mergeCell ref="E9:H9"/>
    <mergeCell ref="E18:H18"/>
    <mergeCell ref="E27:H27"/>
    <mergeCell ref="E85:H85"/>
    <mergeCell ref="D4:J4"/>
    <mergeCell ref="F6:J7"/>
    <mergeCell ref="C110:J110"/>
    <mergeCell ref="E112:J112"/>
    <mergeCell ref="X4:AE4"/>
    <mergeCell ref="AA6:AE7"/>
    <mergeCell ref="X82:AE82"/>
    <mergeCell ref="Z84:AE84"/>
    <mergeCell ref="C82:J82"/>
    <mergeCell ref="E84:J84"/>
  </mergeCells>
  <pageMargins left="0.39374999999999999" right="0.39374999999999999" top="0.39374999999999999" bottom="0.39374999999999999" header="0" footer="0"/>
  <pageSetup paperSize="9" scale="89" fitToHeight="100" orientation="portrait" blackAndWhite="1" r:id="rId1"/>
  <headerFooter>
    <oddFooter>&amp;CStrana &amp;P z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BM225"/>
  <sheetViews>
    <sheetView showGridLines="0" topLeftCell="A121" workbookViewId="0">
      <selection activeCell="F101" sqref="F101"/>
    </sheetView>
  </sheetViews>
  <sheetFormatPr defaultColWidth="8.7109375" defaultRowHeight="10.199999999999999" x14ac:dyDescent="0.2"/>
  <cols>
    <col min="1" max="1" width="8.28515625" customWidth="1"/>
    <col min="2" max="2" width="1.7109375" customWidth="1"/>
    <col min="3" max="4" width="4.28515625" customWidth="1"/>
    <col min="5" max="5" width="17.28515625" customWidth="1"/>
    <col min="6" max="6" width="50.7109375" customWidth="1"/>
    <col min="7" max="7" width="7" customWidth="1"/>
    <col min="8" max="8" width="11.42578125" customWidth="1"/>
    <col min="9" max="10" width="20.28515625" customWidth="1"/>
    <col min="11" max="11" width="20.28515625" hidden="1" customWidth="1"/>
    <col min="12" max="12" width="9.28515625" customWidth="1"/>
    <col min="13" max="13" width="10.7109375" hidden="1" customWidth="1"/>
    <col min="14" max="14" width="9.28515625" hidden="1"/>
    <col min="15" max="20" width="14.28515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1" spans="1:46" x14ac:dyDescent="0.2">
      <c r="A1" s="73"/>
    </row>
    <row r="2" spans="1:46" ht="37.049999999999997" customHeight="1" x14ac:dyDescent="0.2">
      <c r="L2" s="1227" t="s">
        <v>5</v>
      </c>
      <c r="M2" s="1225"/>
      <c r="N2" s="1225"/>
      <c r="O2" s="1225"/>
      <c r="P2" s="1225"/>
      <c r="Q2" s="1225"/>
      <c r="R2" s="1225"/>
      <c r="S2" s="1225"/>
      <c r="T2" s="1225"/>
      <c r="U2" s="1225"/>
      <c r="V2" s="1225"/>
      <c r="AT2" s="13" t="s">
        <v>138</v>
      </c>
    </row>
    <row r="3" spans="1:46" ht="7.05" customHeight="1" x14ac:dyDescent="0.2">
      <c r="B3" s="14"/>
      <c r="C3" s="15"/>
      <c r="D3" s="15"/>
      <c r="E3" s="15"/>
      <c r="F3" s="15"/>
      <c r="G3" s="15"/>
      <c r="H3" s="15"/>
      <c r="I3" s="15"/>
      <c r="J3" s="15"/>
      <c r="K3" s="15"/>
      <c r="L3" s="16"/>
      <c r="AT3" s="13" t="s">
        <v>58</v>
      </c>
    </row>
    <row r="4" spans="1:46" ht="25.05" customHeight="1" x14ac:dyDescent="0.2">
      <c r="B4" s="16"/>
      <c r="C4" s="1165" t="s">
        <v>185</v>
      </c>
      <c r="D4" s="1165"/>
      <c r="E4" s="1165"/>
      <c r="F4" s="1165"/>
      <c r="G4" s="1165"/>
      <c r="H4" s="1165"/>
      <c r="I4" s="1165"/>
      <c r="J4" s="1165"/>
      <c r="L4" s="16"/>
      <c r="M4" s="74" t="s">
        <v>9</v>
      </c>
      <c r="AT4" s="13" t="s">
        <v>3</v>
      </c>
    </row>
    <row r="5" spans="1:46" ht="7.05" customHeight="1" x14ac:dyDescent="0.2">
      <c r="B5" s="16"/>
      <c r="L5" s="16"/>
    </row>
    <row r="6" spans="1:46" ht="12" customHeight="1" x14ac:dyDescent="0.2">
      <c r="B6" s="16"/>
      <c r="D6" s="548" t="s">
        <v>12</v>
      </c>
      <c r="F6" s="1254" t="s">
        <v>6176</v>
      </c>
      <c r="G6" s="1254"/>
      <c r="H6" s="1254"/>
      <c r="I6" s="1254"/>
      <c r="J6" s="1254"/>
      <c r="L6" s="16"/>
    </row>
    <row r="7" spans="1:46" ht="25.95" customHeight="1" x14ac:dyDescent="0.2">
      <c r="B7" s="16"/>
      <c r="D7" s="527"/>
      <c r="E7" s="531"/>
      <c r="F7" s="1254"/>
      <c r="G7" s="1254"/>
      <c r="H7" s="1254"/>
      <c r="I7" s="1254"/>
      <c r="J7" s="1254"/>
      <c r="L7" s="16"/>
    </row>
    <row r="8" spans="1:46" s="1" customFormat="1" ht="12" customHeight="1" x14ac:dyDescent="0.2">
      <c r="B8" s="24"/>
      <c r="D8" s="549" t="s">
        <v>186</v>
      </c>
      <c r="F8" s="532" t="s">
        <v>4158</v>
      </c>
      <c r="L8" s="24"/>
    </row>
    <row r="9" spans="1:46" s="1" customFormat="1" ht="37.049999999999997" customHeight="1" x14ac:dyDescent="0.2">
      <c r="B9" s="24"/>
      <c r="D9" s="521"/>
      <c r="E9" s="1251"/>
      <c r="F9" s="1252"/>
      <c r="G9" s="1252"/>
      <c r="H9" s="1252"/>
      <c r="L9" s="24"/>
    </row>
    <row r="10" spans="1:46" s="1" customFormat="1" x14ac:dyDescent="0.2">
      <c r="B10" s="24"/>
      <c r="D10" s="521"/>
      <c r="L10" s="24"/>
    </row>
    <row r="11" spans="1:46" s="1" customFormat="1" ht="12" customHeight="1" x14ac:dyDescent="0.2">
      <c r="B11" s="24"/>
      <c r="D11" s="528" t="s">
        <v>13</v>
      </c>
      <c r="F11" s="19" t="s">
        <v>1</v>
      </c>
      <c r="I11" s="528" t="s">
        <v>14</v>
      </c>
      <c r="J11" s="19" t="s">
        <v>1</v>
      </c>
      <c r="L11" s="24"/>
    </row>
    <row r="12" spans="1:46" s="1" customFormat="1" ht="12" customHeight="1" x14ac:dyDescent="0.2">
      <c r="B12" s="24"/>
      <c r="D12" s="528" t="s">
        <v>15</v>
      </c>
      <c r="F12" s="520" t="s">
        <v>6173</v>
      </c>
      <c r="I12" s="528" t="s">
        <v>17</v>
      </c>
      <c r="J12" s="39"/>
      <c r="L12" s="24"/>
    </row>
    <row r="13" spans="1:46" s="1" customFormat="1" ht="10.95" customHeight="1" x14ac:dyDescent="0.2">
      <c r="B13" s="24"/>
      <c r="D13" s="521"/>
      <c r="F13" s="521"/>
      <c r="I13" s="521"/>
      <c r="L13" s="24"/>
    </row>
    <row r="14" spans="1:46" s="1" customFormat="1" ht="12" customHeight="1" x14ac:dyDescent="0.2">
      <c r="B14" s="24"/>
      <c r="D14" s="528" t="s">
        <v>18</v>
      </c>
      <c r="F14" s="529" t="s">
        <v>6175</v>
      </c>
      <c r="I14" s="528" t="s">
        <v>19</v>
      </c>
      <c r="J14" s="19" t="str">
        <f>IF('Rekapitulácia stavby'!AN10="","",'Rekapitulácia stavby'!AN10)</f>
        <v/>
      </c>
      <c r="L14" s="24"/>
    </row>
    <row r="15" spans="1:46" s="1" customFormat="1" ht="18" customHeight="1" x14ac:dyDescent="0.2">
      <c r="B15" s="24"/>
      <c r="D15" s="521"/>
      <c r="E15" s="19" t="str">
        <f>IF('Rekapitulácia stavby'!E11="","",'Rekapitulácia stavby'!E11)</f>
        <v/>
      </c>
      <c r="F15" s="521"/>
      <c r="I15" s="528" t="s">
        <v>20</v>
      </c>
      <c r="J15" s="19" t="str">
        <f>IF('Rekapitulácia stavby'!AN11="","",'Rekapitulácia stavby'!AN11)</f>
        <v/>
      </c>
      <c r="L15" s="24"/>
    </row>
    <row r="16" spans="1:46" s="1" customFormat="1" ht="7.05" customHeight="1" x14ac:dyDescent="0.2">
      <c r="B16" s="24"/>
      <c r="D16" s="521"/>
      <c r="F16" s="521"/>
      <c r="I16" s="521"/>
      <c r="L16" s="24"/>
    </row>
    <row r="17" spans="2:12" s="1" customFormat="1" ht="12" customHeight="1" x14ac:dyDescent="0.2">
      <c r="B17" s="24"/>
      <c r="D17" s="528" t="s">
        <v>21</v>
      </c>
      <c r="F17" s="529" t="s">
        <v>5202</v>
      </c>
      <c r="I17" s="528" t="s">
        <v>19</v>
      </c>
      <c r="J17" s="19"/>
      <c r="L17" s="24"/>
    </row>
    <row r="18" spans="2:12" s="1" customFormat="1" ht="18" customHeight="1" x14ac:dyDescent="0.2">
      <c r="B18" s="24"/>
      <c r="D18" s="521"/>
      <c r="E18" s="1161"/>
      <c r="F18" s="1161"/>
      <c r="G18" s="1161"/>
      <c r="H18" s="1161"/>
      <c r="I18" s="528" t="s">
        <v>20</v>
      </c>
      <c r="J18" s="19" t="str">
        <f>'Rekapitulácia stavby'!AN14</f>
        <v/>
      </c>
      <c r="L18" s="24"/>
    </row>
    <row r="19" spans="2:12" s="1" customFormat="1" ht="7.05" customHeight="1" x14ac:dyDescent="0.2">
      <c r="B19" s="24"/>
      <c r="D19" s="521"/>
      <c r="I19" s="521"/>
      <c r="L19" s="24"/>
    </row>
    <row r="20" spans="2:12" s="1" customFormat="1" ht="12" customHeight="1" x14ac:dyDescent="0.2">
      <c r="B20" s="24"/>
      <c r="D20" s="528" t="s">
        <v>22</v>
      </c>
      <c r="I20" s="528" t="s">
        <v>19</v>
      </c>
      <c r="J20" s="19" t="str">
        <f>IF('Rekapitulácia stavby'!AN16="","",'Rekapitulácia stavby'!AN16)</f>
        <v/>
      </c>
      <c r="L20" s="24"/>
    </row>
    <row r="21" spans="2:12" s="1" customFormat="1" ht="18" customHeight="1" x14ac:dyDescent="0.2">
      <c r="B21" s="24"/>
      <c r="D21" s="521"/>
      <c r="E21" s="19" t="str">
        <f>IF('Rekapitulácia stavby'!E17="","",'Rekapitulácia stavby'!E17)</f>
        <v xml:space="preserve"> </v>
      </c>
      <c r="I21" s="528" t="s">
        <v>20</v>
      </c>
      <c r="J21" s="19" t="str">
        <f>IF('Rekapitulácia stavby'!AN17="","",'Rekapitulácia stavby'!AN17)</f>
        <v/>
      </c>
      <c r="L21" s="24"/>
    </row>
    <row r="22" spans="2:12" s="1" customFormat="1" ht="7.05" customHeight="1" x14ac:dyDescent="0.2">
      <c r="B22" s="24"/>
      <c r="D22" s="521"/>
      <c r="I22" s="521"/>
      <c r="L22" s="24"/>
    </row>
    <row r="23" spans="2:12" s="1" customFormat="1" ht="12" customHeight="1" x14ac:dyDescent="0.2">
      <c r="B23" s="24"/>
      <c r="D23" s="528" t="s">
        <v>24</v>
      </c>
      <c r="I23" s="528" t="s">
        <v>19</v>
      </c>
      <c r="J23" s="19" t="str">
        <f>IF('Rekapitulácia stavby'!AN19="","",'Rekapitulácia stavby'!AN19)</f>
        <v/>
      </c>
      <c r="L23" s="24"/>
    </row>
    <row r="24" spans="2:12" s="1" customFormat="1" ht="18" customHeight="1" x14ac:dyDescent="0.2">
      <c r="B24" s="24"/>
      <c r="D24" s="521"/>
      <c r="E24" s="19" t="str">
        <f>IF('Rekapitulácia stavby'!E20="","",'Rekapitulácia stavby'!E20)</f>
        <v xml:space="preserve"> </v>
      </c>
      <c r="I24" s="528" t="s">
        <v>20</v>
      </c>
      <c r="J24" s="19" t="str">
        <f>IF('Rekapitulácia stavby'!AN20="","",'Rekapitulácia stavby'!AN20)</f>
        <v/>
      </c>
      <c r="L24" s="24"/>
    </row>
    <row r="25" spans="2:12" s="1" customFormat="1" ht="7.05" customHeight="1" x14ac:dyDescent="0.2">
      <c r="B25" s="24"/>
      <c r="D25" s="521"/>
      <c r="L25" s="24"/>
    </row>
    <row r="26" spans="2:12" s="1" customFormat="1" ht="12" customHeight="1" x14ac:dyDescent="0.2">
      <c r="B26" s="24"/>
      <c r="D26" s="528" t="s">
        <v>25</v>
      </c>
      <c r="L26" s="24"/>
    </row>
    <row r="27" spans="2:12" s="7" customFormat="1" ht="16.5" customHeight="1" x14ac:dyDescent="0.2">
      <c r="B27" s="75"/>
      <c r="E27" s="1228" t="s">
        <v>1</v>
      </c>
      <c r="F27" s="1228"/>
      <c r="G27" s="1228"/>
      <c r="H27" s="1228"/>
      <c r="L27" s="75"/>
    </row>
    <row r="28" spans="2:12" s="1" customFormat="1" ht="7.05" customHeight="1" x14ac:dyDescent="0.2">
      <c r="B28" s="24"/>
      <c r="L28" s="24"/>
    </row>
    <row r="29" spans="2:12" s="1" customFormat="1" ht="7.05" customHeight="1" x14ac:dyDescent="0.2">
      <c r="B29" s="24"/>
      <c r="D29" s="40"/>
      <c r="E29" s="40"/>
      <c r="F29" s="40"/>
      <c r="G29" s="40"/>
      <c r="H29" s="40"/>
      <c r="I29" s="40"/>
      <c r="J29" s="40"/>
      <c r="K29" s="40"/>
      <c r="L29" s="24"/>
    </row>
    <row r="30" spans="2:12" s="1" customFormat="1" ht="25.2" customHeight="1" x14ac:dyDescent="0.2">
      <c r="B30" s="24"/>
      <c r="D30" s="76" t="s">
        <v>26</v>
      </c>
      <c r="J30" s="53">
        <f>ROUND(J125, 2)</f>
        <v>27482</v>
      </c>
      <c r="L30" s="24"/>
    </row>
    <row r="31" spans="2:12" s="1" customFormat="1" ht="7.05" customHeight="1" x14ac:dyDescent="0.2">
      <c r="B31" s="24"/>
      <c r="D31" s="40"/>
      <c r="E31" s="40"/>
      <c r="F31" s="40"/>
      <c r="G31" s="40"/>
      <c r="H31" s="40"/>
      <c r="I31" s="40"/>
      <c r="J31" s="40"/>
      <c r="K31" s="40"/>
      <c r="L31" s="24"/>
    </row>
    <row r="32" spans="2:12" s="1" customFormat="1" ht="14.55" customHeight="1" x14ac:dyDescent="0.2">
      <c r="B32" s="24"/>
      <c r="D32" s="521"/>
      <c r="E32" s="521"/>
      <c r="F32" s="534" t="s">
        <v>28</v>
      </c>
      <c r="G32" s="521"/>
      <c r="H32" s="521"/>
      <c r="I32" s="534" t="s">
        <v>27</v>
      </c>
      <c r="J32" s="534" t="s">
        <v>29</v>
      </c>
      <c r="L32" s="24"/>
    </row>
    <row r="33" spans="2:12" s="1" customFormat="1" ht="14.55" customHeight="1" x14ac:dyDescent="0.2">
      <c r="B33" s="24"/>
      <c r="D33" s="13" t="s">
        <v>30</v>
      </c>
      <c r="E33" s="528" t="s">
        <v>31</v>
      </c>
      <c r="F33" s="398">
        <f>ROUND((SUM(BE125:BE224)),  2)</f>
        <v>0</v>
      </c>
      <c r="G33" s="521"/>
      <c r="H33" s="521"/>
      <c r="I33" s="535">
        <v>0.2</v>
      </c>
      <c r="J33" s="398">
        <f>ROUND(((SUM(BE125:BE224))*I33),  2)</f>
        <v>0</v>
      </c>
      <c r="L33" s="24"/>
    </row>
    <row r="34" spans="2:12" s="1" customFormat="1" ht="14.55" customHeight="1" x14ac:dyDescent="0.2">
      <c r="B34" s="24"/>
      <c r="D34" s="521"/>
      <c r="E34" s="528" t="s">
        <v>32</v>
      </c>
      <c r="F34" s="398">
        <f>ROUND((SUM(BF125:BF224)),  2)</f>
        <v>27482</v>
      </c>
      <c r="G34" s="521"/>
      <c r="H34" s="521"/>
      <c r="I34" s="535">
        <v>0.2</v>
      </c>
      <c r="J34" s="398">
        <f>ROUND(((SUM(BF125:BF224))*I34),  2)</f>
        <v>5496.4</v>
      </c>
      <c r="L34" s="24"/>
    </row>
    <row r="35" spans="2:12" s="1" customFormat="1" ht="14.55" hidden="1" customHeight="1" x14ac:dyDescent="0.2">
      <c r="B35" s="24"/>
      <c r="E35" s="21" t="s">
        <v>33</v>
      </c>
      <c r="F35" s="78">
        <f>ROUND((SUM(BG125:BG224)),  2)</f>
        <v>0</v>
      </c>
      <c r="I35" s="79">
        <v>0.2</v>
      </c>
      <c r="J35" s="78">
        <f>0</f>
        <v>0</v>
      </c>
      <c r="L35" s="24"/>
    </row>
    <row r="36" spans="2:12" s="1" customFormat="1" ht="14.55" hidden="1" customHeight="1" x14ac:dyDescent="0.2">
      <c r="B36" s="24"/>
      <c r="E36" s="21" t="s">
        <v>34</v>
      </c>
      <c r="F36" s="78">
        <f>ROUND((SUM(BH125:BH224)),  2)</f>
        <v>0</v>
      </c>
      <c r="I36" s="79">
        <v>0.2</v>
      </c>
      <c r="J36" s="78">
        <f>0</f>
        <v>0</v>
      </c>
      <c r="L36" s="24"/>
    </row>
    <row r="37" spans="2:12" s="1" customFormat="1" ht="14.55" hidden="1" customHeight="1" x14ac:dyDescent="0.2">
      <c r="B37" s="24"/>
      <c r="E37" s="21" t="s">
        <v>35</v>
      </c>
      <c r="F37" s="78">
        <f>ROUND((SUM(BI125:BI224)),  2)</f>
        <v>0</v>
      </c>
      <c r="I37" s="79">
        <v>0</v>
      </c>
      <c r="J37" s="78">
        <f>0</f>
        <v>0</v>
      </c>
      <c r="L37" s="24"/>
    </row>
    <row r="38" spans="2:12" s="1" customFormat="1" ht="7.05" customHeight="1" x14ac:dyDescent="0.2">
      <c r="B38" s="24"/>
      <c r="L38" s="24"/>
    </row>
    <row r="39" spans="2:12" s="1" customFormat="1" ht="25.2" customHeight="1" x14ac:dyDescent="0.2">
      <c r="B39" s="24"/>
      <c r="C39" s="80"/>
      <c r="D39" s="81" t="s">
        <v>36</v>
      </c>
      <c r="E39" s="44"/>
      <c r="F39" s="44"/>
      <c r="G39" s="82" t="s">
        <v>37</v>
      </c>
      <c r="H39" s="83" t="s">
        <v>38</v>
      </c>
      <c r="I39" s="44"/>
      <c r="J39" s="84">
        <f>SUM(J30:J37)</f>
        <v>32978.400000000001</v>
      </c>
      <c r="K39" s="85"/>
      <c r="L39" s="24"/>
    </row>
    <row r="40" spans="2:12" s="1" customFormat="1" ht="14.55" customHeight="1" x14ac:dyDescent="0.2">
      <c r="B40" s="24"/>
      <c r="L40" s="24"/>
    </row>
    <row r="41" spans="2:12" ht="14.55" customHeight="1" x14ac:dyDescent="0.2">
      <c r="B41" s="16"/>
      <c r="L41" s="16"/>
    </row>
    <row r="42" spans="2:12" ht="14.55" customHeight="1" x14ac:dyDescent="0.2">
      <c r="B42" s="16"/>
      <c r="L42" s="16"/>
    </row>
    <row r="43" spans="2:12" ht="14.55" customHeight="1" x14ac:dyDescent="0.2">
      <c r="B43" s="16"/>
      <c r="L43" s="16"/>
    </row>
    <row r="44" spans="2:12" ht="14.55" customHeight="1" x14ac:dyDescent="0.2">
      <c r="B44" s="16"/>
      <c r="L44" s="16"/>
    </row>
    <row r="45" spans="2:12" ht="14.55" customHeight="1" x14ac:dyDescent="0.2">
      <c r="B45" s="16"/>
      <c r="L45" s="16"/>
    </row>
    <row r="46" spans="2:12" ht="14.55" customHeight="1" x14ac:dyDescent="0.2">
      <c r="B46" s="16"/>
      <c r="L46" s="16"/>
    </row>
    <row r="47" spans="2:12" ht="14.55" customHeight="1" x14ac:dyDescent="0.2">
      <c r="B47" s="16"/>
      <c r="L47" s="16"/>
    </row>
    <row r="48" spans="2:12" ht="14.55" customHeight="1" x14ac:dyDescent="0.2">
      <c r="B48" s="16"/>
      <c r="L48" s="16"/>
    </row>
    <row r="49" spans="2:12" ht="14.55" customHeight="1" x14ac:dyDescent="0.2">
      <c r="B49" s="16"/>
      <c r="D49" s="156"/>
      <c r="E49" s="156"/>
      <c r="F49" s="156"/>
      <c r="G49" s="156"/>
      <c r="H49" s="156"/>
      <c r="I49" s="156"/>
      <c r="J49" s="156"/>
      <c r="L49" s="16"/>
    </row>
    <row r="50" spans="2:12" s="1" customFormat="1" ht="14.55" customHeight="1" x14ac:dyDescent="0.2">
      <c r="B50" s="24"/>
      <c r="D50" s="530"/>
      <c r="E50" s="523"/>
      <c r="F50" s="523"/>
      <c r="G50" s="530"/>
      <c r="H50" s="523"/>
      <c r="I50" s="523"/>
      <c r="J50" s="523"/>
      <c r="K50" s="32"/>
      <c r="L50" s="24"/>
    </row>
    <row r="51" spans="2:12" x14ac:dyDescent="0.2">
      <c r="B51" s="16"/>
      <c r="D51" s="156"/>
      <c r="E51" s="156"/>
      <c r="F51" s="156"/>
      <c r="G51" s="156"/>
      <c r="H51" s="156"/>
      <c r="I51" s="156"/>
      <c r="J51" s="156"/>
      <c r="L51" s="16"/>
    </row>
    <row r="52" spans="2:12" x14ac:dyDescent="0.2">
      <c r="B52" s="16"/>
      <c r="D52" s="156"/>
      <c r="E52" s="156"/>
      <c r="F52" s="156"/>
      <c r="G52" s="156"/>
      <c r="H52" s="156"/>
      <c r="I52" s="156"/>
      <c r="J52" s="156"/>
      <c r="L52" s="16"/>
    </row>
    <row r="53" spans="2:12" x14ac:dyDescent="0.2">
      <c r="B53" s="16"/>
      <c r="D53" s="156"/>
      <c r="E53" s="156"/>
      <c r="F53" s="156"/>
      <c r="G53" s="156"/>
      <c r="H53" s="156"/>
      <c r="I53" s="156"/>
      <c r="J53" s="156"/>
      <c r="L53" s="16"/>
    </row>
    <row r="54" spans="2:12" x14ac:dyDescent="0.2">
      <c r="B54" s="16"/>
      <c r="D54" s="156"/>
      <c r="E54" s="156"/>
      <c r="F54" s="156"/>
      <c r="G54" s="156"/>
      <c r="H54" s="156"/>
      <c r="I54" s="156"/>
      <c r="J54" s="156"/>
      <c r="L54" s="16"/>
    </row>
    <row r="55" spans="2:12" x14ac:dyDescent="0.2">
      <c r="B55" s="16"/>
      <c r="D55" s="156"/>
      <c r="E55" s="156"/>
      <c r="F55" s="156"/>
      <c r="G55" s="156"/>
      <c r="H55" s="156"/>
      <c r="I55" s="156"/>
      <c r="J55" s="156"/>
      <c r="L55" s="16"/>
    </row>
    <row r="56" spans="2:12" x14ac:dyDescent="0.2">
      <c r="B56" s="16"/>
      <c r="D56" s="156"/>
      <c r="E56" s="156"/>
      <c r="F56" s="156"/>
      <c r="G56" s="156"/>
      <c r="H56" s="156"/>
      <c r="I56" s="156"/>
      <c r="J56" s="156"/>
      <c r="L56" s="16"/>
    </row>
    <row r="57" spans="2:12" x14ac:dyDescent="0.2">
      <c r="B57" s="16"/>
      <c r="D57" s="156"/>
      <c r="E57" s="156"/>
      <c r="F57" s="156"/>
      <c r="G57" s="156"/>
      <c r="H57" s="156"/>
      <c r="I57" s="156"/>
      <c r="J57" s="156"/>
      <c r="L57" s="16"/>
    </row>
    <row r="58" spans="2:12" x14ac:dyDescent="0.2">
      <c r="B58" s="16"/>
      <c r="D58" s="156"/>
      <c r="E58" s="156"/>
      <c r="F58" s="156"/>
      <c r="G58" s="156"/>
      <c r="H58" s="156"/>
      <c r="I58" s="156"/>
      <c r="J58" s="156"/>
      <c r="L58" s="16"/>
    </row>
    <row r="59" spans="2:12" x14ac:dyDescent="0.2">
      <c r="B59" s="16"/>
      <c r="D59" s="156"/>
      <c r="E59" s="156"/>
      <c r="F59" s="156"/>
      <c r="G59" s="156"/>
      <c r="H59" s="156"/>
      <c r="I59" s="156"/>
      <c r="J59" s="156"/>
      <c r="L59" s="16"/>
    </row>
    <row r="60" spans="2:12" x14ac:dyDescent="0.2">
      <c r="B60" s="16"/>
      <c r="D60" s="156"/>
      <c r="E60" s="156"/>
      <c r="F60" s="156"/>
      <c r="G60" s="156"/>
      <c r="H60" s="156"/>
      <c r="I60" s="156"/>
      <c r="J60" s="156"/>
      <c r="L60" s="16"/>
    </row>
    <row r="61" spans="2:12" s="1" customFormat="1" ht="13.2" x14ac:dyDescent="0.2">
      <c r="B61" s="24"/>
      <c r="D61" s="522"/>
      <c r="E61" s="523"/>
      <c r="F61" s="536"/>
      <c r="G61" s="522"/>
      <c r="H61" s="523"/>
      <c r="I61" s="523"/>
      <c r="J61" s="169"/>
      <c r="K61" s="26"/>
      <c r="L61" s="24"/>
    </row>
    <row r="62" spans="2:12" x14ac:dyDescent="0.2">
      <c r="B62" s="16"/>
      <c r="D62" s="156"/>
      <c r="E62" s="156"/>
      <c r="F62" s="156"/>
      <c r="G62" s="156"/>
      <c r="H62" s="156"/>
      <c r="I62" s="156"/>
      <c r="J62" s="156"/>
      <c r="L62" s="16"/>
    </row>
    <row r="63" spans="2:12" x14ac:dyDescent="0.2">
      <c r="B63" s="16"/>
      <c r="D63" s="156"/>
      <c r="E63" s="156"/>
      <c r="F63" s="156"/>
      <c r="G63" s="156"/>
      <c r="H63" s="156"/>
      <c r="I63" s="156"/>
      <c r="J63" s="156"/>
      <c r="L63" s="16"/>
    </row>
    <row r="64" spans="2:12" x14ac:dyDescent="0.2">
      <c r="B64" s="16"/>
      <c r="D64" s="156"/>
      <c r="E64" s="156"/>
      <c r="F64" s="156"/>
      <c r="G64" s="156"/>
      <c r="H64" s="156"/>
      <c r="I64" s="156"/>
      <c r="J64" s="156"/>
      <c r="L64" s="16"/>
    </row>
    <row r="65" spans="2:12" s="1" customFormat="1" ht="13.2" x14ac:dyDescent="0.2">
      <c r="B65" s="24"/>
      <c r="D65" s="530"/>
      <c r="E65" s="523"/>
      <c r="F65" s="523"/>
      <c r="G65" s="530"/>
      <c r="H65" s="523"/>
      <c r="I65" s="523"/>
      <c r="J65" s="523"/>
      <c r="K65" s="32"/>
      <c r="L65" s="24"/>
    </row>
    <row r="66" spans="2:12" x14ac:dyDescent="0.2">
      <c r="B66" s="16"/>
      <c r="D66" s="156"/>
      <c r="E66" s="156"/>
      <c r="F66" s="156"/>
      <c r="G66" s="156"/>
      <c r="H66" s="156"/>
      <c r="I66" s="156"/>
      <c r="J66" s="156"/>
      <c r="L66" s="16"/>
    </row>
    <row r="67" spans="2:12" x14ac:dyDescent="0.2">
      <c r="B67" s="16"/>
      <c r="D67" s="156"/>
      <c r="E67" s="156"/>
      <c r="F67" s="156"/>
      <c r="G67" s="156"/>
      <c r="H67" s="156"/>
      <c r="I67" s="156"/>
      <c r="J67" s="156"/>
      <c r="L67" s="16"/>
    </row>
    <row r="68" spans="2:12" x14ac:dyDescent="0.2">
      <c r="B68" s="16"/>
      <c r="D68" s="156"/>
      <c r="E68" s="156"/>
      <c r="F68" s="156"/>
      <c r="G68" s="156"/>
      <c r="H68" s="156"/>
      <c r="I68" s="156"/>
      <c r="J68" s="156"/>
      <c r="L68" s="16"/>
    </row>
    <row r="69" spans="2:12" x14ac:dyDescent="0.2">
      <c r="B69" s="16"/>
      <c r="D69" s="156"/>
      <c r="E69" s="156"/>
      <c r="F69" s="156"/>
      <c r="G69" s="156"/>
      <c r="H69" s="156"/>
      <c r="I69" s="156"/>
      <c r="J69" s="156"/>
      <c r="L69" s="16"/>
    </row>
    <row r="70" spans="2:12" x14ac:dyDescent="0.2">
      <c r="B70" s="16"/>
      <c r="D70" s="156"/>
      <c r="E70" s="156"/>
      <c r="F70" s="156"/>
      <c r="G70" s="156"/>
      <c r="H70" s="156"/>
      <c r="I70" s="156"/>
      <c r="J70" s="156"/>
      <c r="L70" s="16"/>
    </row>
    <row r="71" spans="2:12" x14ac:dyDescent="0.2">
      <c r="B71" s="16"/>
      <c r="D71" s="156"/>
      <c r="E71" s="156"/>
      <c r="F71" s="156"/>
      <c r="G71" s="156"/>
      <c r="H71" s="156"/>
      <c r="I71" s="156"/>
      <c r="J71" s="156"/>
      <c r="L71" s="16"/>
    </row>
    <row r="72" spans="2:12" x14ac:dyDescent="0.2">
      <c r="B72" s="16"/>
      <c r="D72" s="156"/>
      <c r="E72" s="156"/>
      <c r="F72" s="156"/>
      <c r="G72" s="156"/>
      <c r="H72" s="156"/>
      <c r="I72" s="156"/>
      <c r="J72" s="156"/>
      <c r="L72" s="16"/>
    </row>
    <row r="73" spans="2:12" x14ac:dyDescent="0.2">
      <c r="B73" s="16"/>
      <c r="D73" s="156"/>
      <c r="E73" s="156"/>
      <c r="F73" s="156"/>
      <c r="G73" s="156"/>
      <c r="H73" s="156"/>
      <c r="I73" s="156"/>
      <c r="J73" s="156"/>
      <c r="L73" s="16"/>
    </row>
    <row r="74" spans="2:12" x14ac:dyDescent="0.2">
      <c r="B74" s="16"/>
      <c r="D74" s="156"/>
      <c r="E74" s="156"/>
      <c r="F74" s="156"/>
      <c r="G74" s="156"/>
      <c r="H74" s="156"/>
      <c r="I74" s="156"/>
      <c r="J74" s="156"/>
      <c r="L74" s="16"/>
    </row>
    <row r="75" spans="2:12" x14ac:dyDescent="0.2">
      <c r="B75" s="16"/>
      <c r="D75" s="156"/>
      <c r="E75" s="156"/>
      <c r="F75" s="156"/>
      <c r="G75" s="156"/>
      <c r="H75" s="156"/>
      <c r="I75" s="156"/>
      <c r="J75" s="156"/>
      <c r="L75" s="16"/>
    </row>
    <row r="76" spans="2:12" s="1" customFormat="1" ht="13.2" x14ac:dyDescent="0.2">
      <c r="B76" s="24"/>
      <c r="D76" s="522"/>
      <c r="E76" s="523"/>
      <c r="F76" s="536"/>
      <c r="G76" s="522"/>
      <c r="H76" s="523"/>
      <c r="I76" s="523"/>
      <c r="J76" s="169"/>
      <c r="K76" s="26"/>
      <c r="L76" s="24"/>
    </row>
    <row r="77" spans="2:12" s="1" customFormat="1" ht="14.55" customHeight="1" x14ac:dyDescent="0.2">
      <c r="B77" s="33"/>
      <c r="C77" s="34"/>
      <c r="D77" s="34"/>
      <c r="E77" s="34"/>
      <c r="F77" s="34"/>
      <c r="G77" s="34"/>
      <c r="H77" s="34"/>
      <c r="I77" s="34"/>
      <c r="J77" s="34"/>
      <c r="K77" s="34"/>
      <c r="L77" s="24"/>
    </row>
    <row r="81" spans="2:47" s="1" customFormat="1" ht="7.05" customHeight="1" x14ac:dyDescent="0.2">
      <c r="B81" s="35"/>
      <c r="C81" s="36"/>
      <c r="D81" s="36"/>
      <c r="E81" s="36"/>
      <c r="F81" s="36"/>
      <c r="G81" s="36"/>
      <c r="H81" s="36"/>
      <c r="I81" s="36"/>
      <c r="J81" s="36"/>
      <c r="K81" s="36"/>
      <c r="L81" s="24"/>
    </row>
    <row r="82" spans="2:47" s="1" customFormat="1" ht="25.05" customHeight="1" x14ac:dyDescent="0.2">
      <c r="B82" s="24"/>
      <c r="C82" s="1165" t="s">
        <v>188</v>
      </c>
      <c r="D82" s="1165"/>
      <c r="E82" s="1165"/>
      <c r="F82" s="1165"/>
      <c r="G82" s="1165"/>
      <c r="H82" s="1165"/>
      <c r="I82" s="1165"/>
      <c r="J82" s="1165"/>
      <c r="L82" s="24"/>
    </row>
    <row r="83" spans="2:47" s="1" customFormat="1" ht="7.05" customHeight="1" x14ac:dyDescent="0.2">
      <c r="B83" s="24"/>
      <c r="L83" s="24"/>
    </row>
    <row r="84" spans="2:47" s="1" customFormat="1" ht="12" customHeight="1" x14ac:dyDescent="0.2">
      <c r="B84" s="24"/>
      <c r="C84" s="528" t="s">
        <v>12</v>
      </c>
      <c r="E84" s="1242" t="s">
        <v>6177</v>
      </c>
      <c r="F84" s="1242"/>
      <c r="G84" s="1242"/>
      <c r="H84" s="1242"/>
      <c r="I84" s="1242"/>
      <c r="J84" s="1242"/>
      <c r="L84" s="24"/>
    </row>
    <row r="85" spans="2:47" s="1" customFormat="1" ht="24.45" customHeight="1" x14ac:dyDescent="0.2">
      <c r="B85" s="24"/>
      <c r="C85" s="521"/>
      <c r="E85" s="1243"/>
      <c r="F85" s="1244"/>
      <c r="G85" s="1244"/>
      <c r="H85" s="1244"/>
      <c r="L85" s="24"/>
    </row>
    <row r="86" spans="2:47" s="1" customFormat="1" ht="12" customHeight="1" x14ac:dyDescent="0.2">
      <c r="B86" s="24"/>
      <c r="C86" s="528" t="s">
        <v>186</v>
      </c>
      <c r="F86" s="532" t="s">
        <v>4158</v>
      </c>
      <c r="L86" s="24"/>
    </row>
    <row r="87" spans="2:47" s="1" customFormat="1" ht="16.5" customHeight="1" x14ac:dyDescent="0.2">
      <c r="B87" s="24"/>
      <c r="C87" s="521"/>
      <c r="E87" s="1251"/>
      <c r="F87" s="1252"/>
      <c r="G87" s="1252"/>
      <c r="H87" s="1252"/>
      <c r="L87" s="24"/>
    </row>
    <row r="88" spans="2:47" s="1" customFormat="1" ht="7.05" customHeight="1" x14ac:dyDescent="0.2">
      <c r="B88" s="24"/>
      <c r="C88" s="521"/>
      <c r="L88" s="24"/>
    </row>
    <row r="89" spans="2:47" s="1" customFormat="1" ht="12" customHeight="1" x14ac:dyDescent="0.2">
      <c r="B89" s="24"/>
      <c r="C89" s="528" t="s">
        <v>15</v>
      </c>
      <c r="F89" s="19" t="str">
        <f>F12</f>
        <v>Kuzmányho nábrežie 28, 960 01 Zvolen</v>
      </c>
      <c r="I89" s="528" t="s">
        <v>17</v>
      </c>
      <c r="J89" s="39" t="str">
        <f>IF(J12="","",J12)</f>
        <v/>
      </c>
      <c r="L89" s="24"/>
    </row>
    <row r="90" spans="2:47" s="1" customFormat="1" ht="7.05" customHeight="1" x14ac:dyDescent="0.2">
      <c r="B90" s="24"/>
      <c r="C90" s="521"/>
      <c r="I90" s="521"/>
      <c r="L90" s="24"/>
    </row>
    <row r="91" spans="2:47" s="1" customFormat="1" ht="15.3" customHeight="1" x14ac:dyDescent="0.2">
      <c r="B91" s="24"/>
      <c r="C91" s="528" t="s">
        <v>18</v>
      </c>
      <c r="F91" s="529" t="s">
        <v>6175</v>
      </c>
      <c r="I91" s="528" t="s">
        <v>22</v>
      </c>
      <c r="J91" s="22" t="str">
        <f>E21</f>
        <v xml:space="preserve"> </v>
      </c>
      <c r="L91" s="24"/>
    </row>
    <row r="92" spans="2:47" s="1" customFormat="1" ht="15.3" customHeight="1" x14ac:dyDescent="0.2">
      <c r="B92" s="24"/>
      <c r="C92" s="528" t="s">
        <v>21</v>
      </c>
      <c r="F92" s="529" t="s">
        <v>5202</v>
      </c>
      <c r="I92" s="528" t="s">
        <v>24</v>
      </c>
      <c r="J92" s="22" t="str">
        <f>E24</f>
        <v xml:space="preserve"> </v>
      </c>
      <c r="L92" s="24"/>
    </row>
    <row r="93" spans="2:47" s="1" customFormat="1" ht="10.199999999999999" customHeight="1" x14ac:dyDescent="0.2">
      <c r="B93" s="24"/>
      <c r="L93" s="24"/>
    </row>
    <row r="94" spans="2:47" s="1" customFormat="1" ht="29.25" customHeight="1" x14ac:dyDescent="0.2">
      <c r="B94" s="24"/>
      <c r="C94" s="86" t="s">
        <v>189</v>
      </c>
      <c r="D94" s="80"/>
      <c r="E94" s="80"/>
      <c r="F94" s="80"/>
      <c r="G94" s="80"/>
      <c r="H94" s="80"/>
      <c r="I94" s="80"/>
      <c r="J94" s="87" t="s">
        <v>190</v>
      </c>
      <c r="K94" s="80"/>
      <c r="L94" s="24"/>
    </row>
    <row r="95" spans="2:47" s="1" customFormat="1" ht="10.199999999999999" customHeight="1" x14ac:dyDescent="0.2">
      <c r="B95" s="24"/>
      <c r="L95" s="24"/>
    </row>
    <row r="96" spans="2:47" s="1" customFormat="1" ht="22.95" customHeight="1" x14ac:dyDescent="0.2">
      <c r="B96" s="24"/>
      <c r="C96" s="88" t="s">
        <v>191</v>
      </c>
      <c r="J96" s="53">
        <f>J125</f>
        <v>27482</v>
      </c>
      <c r="L96" s="24"/>
      <c r="AU96" s="13" t="s">
        <v>192</v>
      </c>
    </row>
    <row r="97" spans="2:12" s="8" customFormat="1" ht="25.05" customHeight="1" x14ac:dyDescent="0.2">
      <c r="B97" s="89"/>
      <c r="D97" s="90" t="s">
        <v>4159</v>
      </c>
      <c r="E97" s="91"/>
      <c r="F97" s="91"/>
      <c r="G97" s="91"/>
      <c r="H97" s="91"/>
      <c r="I97" s="91"/>
      <c r="J97" s="92">
        <f>J126</f>
        <v>27482</v>
      </c>
      <c r="L97" s="89"/>
    </row>
    <row r="98" spans="2:12" s="9" customFormat="1" ht="19.95" customHeight="1" x14ac:dyDescent="0.2">
      <c r="B98" s="93"/>
      <c r="D98" s="94" t="s">
        <v>4160</v>
      </c>
      <c r="E98" s="95"/>
      <c r="F98" s="95"/>
      <c r="G98" s="95"/>
      <c r="H98" s="95"/>
      <c r="I98" s="95"/>
      <c r="J98" s="96">
        <f>J127</f>
        <v>0</v>
      </c>
      <c r="L98" s="93"/>
    </row>
    <row r="99" spans="2:12" s="9" customFormat="1" ht="19.95" customHeight="1" x14ac:dyDescent="0.2">
      <c r="B99" s="93"/>
      <c r="D99" s="94" t="s">
        <v>4161</v>
      </c>
      <c r="E99" s="95"/>
      <c r="F99" s="95"/>
      <c r="G99" s="95"/>
      <c r="H99" s="95"/>
      <c r="I99" s="95"/>
      <c r="J99" s="96">
        <f>J128</f>
        <v>10757.340000000002</v>
      </c>
      <c r="L99" s="93"/>
    </row>
    <row r="100" spans="2:12" s="9" customFormat="1" ht="19.95" customHeight="1" x14ac:dyDescent="0.2">
      <c r="B100" s="93"/>
      <c r="D100" s="94" t="s">
        <v>4162</v>
      </c>
      <c r="E100" s="95"/>
      <c r="F100" s="95"/>
      <c r="G100" s="95"/>
      <c r="H100" s="95"/>
      <c r="I100" s="95"/>
      <c r="J100" s="96">
        <f>J138</f>
        <v>734.2700000000001</v>
      </c>
      <c r="L100" s="93"/>
    </row>
    <row r="101" spans="2:12" s="9" customFormat="1" ht="19.95" customHeight="1" x14ac:dyDescent="0.2">
      <c r="B101" s="93"/>
      <c r="D101" s="94" t="s">
        <v>4163</v>
      </c>
      <c r="E101" s="95"/>
      <c r="F101" s="95"/>
      <c r="G101" s="95"/>
      <c r="H101" s="95"/>
      <c r="I101" s="95"/>
      <c r="J101" s="96">
        <f>J146</f>
        <v>7104.3799999999992</v>
      </c>
      <c r="L101" s="93"/>
    </row>
    <row r="102" spans="2:12" s="9" customFormat="1" ht="19.95" customHeight="1" x14ac:dyDescent="0.2">
      <c r="B102" s="93"/>
      <c r="D102" s="94" t="s">
        <v>4164</v>
      </c>
      <c r="E102" s="95"/>
      <c r="F102" s="95"/>
      <c r="G102" s="95"/>
      <c r="H102" s="95"/>
      <c r="I102" s="95"/>
      <c r="J102" s="96">
        <f>J177</f>
        <v>1650.3600000000001</v>
      </c>
      <c r="L102" s="93"/>
    </row>
    <row r="103" spans="2:12" s="9" customFormat="1" ht="19.95" customHeight="1" x14ac:dyDescent="0.2">
      <c r="B103" s="93"/>
      <c r="D103" s="94" t="s">
        <v>4165</v>
      </c>
      <c r="E103" s="95"/>
      <c r="F103" s="95"/>
      <c r="G103" s="95"/>
      <c r="H103" s="95"/>
      <c r="I103" s="95"/>
      <c r="J103" s="96">
        <f>J181</f>
        <v>0</v>
      </c>
      <c r="L103" s="93"/>
    </row>
    <row r="104" spans="2:12" s="9" customFormat="1" ht="19.95" customHeight="1" x14ac:dyDescent="0.2">
      <c r="B104" s="93"/>
      <c r="D104" s="94" t="s">
        <v>4166</v>
      </c>
      <c r="E104" s="95"/>
      <c r="F104" s="95"/>
      <c r="G104" s="95"/>
      <c r="H104" s="95"/>
      <c r="I104" s="95"/>
      <c r="J104" s="96">
        <f>J182</f>
        <v>5830.7599999999993</v>
      </c>
      <c r="L104" s="93"/>
    </row>
    <row r="105" spans="2:12" s="9" customFormat="1" ht="19.95" customHeight="1" x14ac:dyDescent="0.2">
      <c r="B105" s="93"/>
      <c r="D105" s="94" t="s">
        <v>4167</v>
      </c>
      <c r="E105" s="95"/>
      <c r="F105" s="95"/>
      <c r="G105" s="95"/>
      <c r="H105" s="95"/>
      <c r="I105" s="95"/>
      <c r="J105" s="96">
        <f>J220</f>
        <v>1404.8899999999999</v>
      </c>
      <c r="L105" s="93"/>
    </row>
    <row r="106" spans="2:12" s="1" customFormat="1" ht="21.75" customHeight="1" x14ac:dyDescent="0.2">
      <c r="B106" s="24"/>
      <c r="L106" s="24"/>
    </row>
    <row r="107" spans="2:12" s="1" customFormat="1" ht="7.05" customHeight="1" x14ac:dyDescent="0.2">
      <c r="B107" s="33"/>
      <c r="C107" s="34"/>
      <c r="D107" s="34"/>
      <c r="E107" s="34"/>
      <c r="F107" s="34"/>
      <c r="G107" s="34"/>
      <c r="H107" s="34"/>
      <c r="I107" s="34"/>
      <c r="J107" s="34"/>
      <c r="K107" s="34"/>
      <c r="L107" s="24"/>
    </row>
    <row r="111" spans="2:12" s="1" customFormat="1" ht="7.05" customHeight="1" x14ac:dyDescent="0.2">
      <c r="B111" s="35"/>
      <c r="C111" s="36"/>
      <c r="D111" s="36"/>
      <c r="E111" s="36"/>
      <c r="F111" s="36"/>
      <c r="G111" s="36"/>
      <c r="H111" s="36"/>
      <c r="I111" s="36"/>
      <c r="J111" s="36"/>
      <c r="K111" s="36"/>
      <c r="L111" s="24"/>
    </row>
    <row r="112" spans="2:12" s="1" customFormat="1" ht="25.05" customHeight="1" x14ac:dyDescent="0.2">
      <c r="B112" s="1256" t="s">
        <v>214</v>
      </c>
      <c r="C112" s="1165"/>
      <c r="D112" s="1165"/>
      <c r="E112" s="1165"/>
      <c r="F112" s="1165"/>
      <c r="G112" s="1165"/>
      <c r="H112" s="1165"/>
      <c r="I112" s="1165"/>
      <c r="J112" s="1165"/>
      <c r="L112" s="24"/>
    </row>
    <row r="113" spans="2:63" s="1" customFormat="1" ht="7.05" customHeight="1" x14ac:dyDescent="0.2">
      <c r="B113" s="24"/>
      <c r="L113" s="24"/>
    </row>
    <row r="114" spans="2:63" s="1" customFormat="1" ht="12" customHeight="1" x14ac:dyDescent="0.2">
      <c r="B114" s="24"/>
      <c r="C114" s="528" t="s">
        <v>12</v>
      </c>
      <c r="E114" s="1242" t="s">
        <v>6177</v>
      </c>
      <c r="F114" s="1242"/>
      <c r="G114" s="1242"/>
      <c r="H114" s="1242"/>
      <c r="I114" s="1242"/>
      <c r="J114" s="1242"/>
      <c r="L114" s="24"/>
    </row>
    <row r="115" spans="2:63" s="1" customFormat="1" ht="25.95" customHeight="1" x14ac:dyDescent="0.2">
      <c r="B115" s="24"/>
      <c r="C115" s="521"/>
      <c r="E115" s="1243"/>
      <c r="F115" s="1244"/>
      <c r="G115" s="1244"/>
      <c r="H115" s="1244"/>
      <c r="L115" s="24"/>
    </row>
    <row r="116" spans="2:63" s="1" customFormat="1" ht="12" customHeight="1" x14ac:dyDescent="0.2">
      <c r="B116" s="24"/>
      <c r="C116" s="528" t="s">
        <v>186</v>
      </c>
      <c r="F116" s="532" t="s">
        <v>4158</v>
      </c>
      <c r="L116" s="24"/>
    </row>
    <row r="117" spans="2:63" s="1" customFormat="1" ht="16.5" customHeight="1" x14ac:dyDescent="0.2">
      <c r="B117" s="24"/>
      <c r="C117" s="521"/>
      <c r="E117" s="1251"/>
      <c r="F117" s="1252"/>
      <c r="G117" s="1252"/>
      <c r="H117" s="1252"/>
      <c r="L117" s="24"/>
    </row>
    <row r="118" spans="2:63" s="1" customFormat="1" ht="7.05" customHeight="1" x14ac:dyDescent="0.2">
      <c r="B118" s="24"/>
      <c r="C118" s="521"/>
      <c r="L118" s="24"/>
    </row>
    <row r="119" spans="2:63" s="1" customFormat="1" ht="12" customHeight="1" x14ac:dyDescent="0.2">
      <c r="B119" s="24"/>
      <c r="C119" s="528" t="s">
        <v>15</v>
      </c>
      <c r="F119" s="19" t="str">
        <f>F12</f>
        <v>Kuzmányho nábrežie 28, 960 01 Zvolen</v>
      </c>
      <c r="I119" s="528" t="s">
        <v>17</v>
      </c>
      <c r="J119" s="39" t="str">
        <f>IF(J12="","",J12)</f>
        <v/>
      </c>
      <c r="L119" s="24"/>
    </row>
    <row r="120" spans="2:63" s="1" customFormat="1" ht="7.05" customHeight="1" x14ac:dyDescent="0.2">
      <c r="B120" s="24"/>
      <c r="C120" s="521"/>
      <c r="I120" s="521"/>
      <c r="L120" s="24"/>
    </row>
    <row r="121" spans="2:63" s="1" customFormat="1" ht="15.3" customHeight="1" x14ac:dyDescent="0.2">
      <c r="B121" s="24"/>
      <c r="C121" s="528" t="s">
        <v>18</v>
      </c>
      <c r="F121" s="529" t="s">
        <v>6175</v>
      </c>
      <c r="I121" s="528" t="s">
        <v>22</v>
      </c>
      <c r="J121" s="22" t="str">
        <f>E21</f>
        <v xml:space="preserve"> </v>
      </c>
      <c r="L121" s="24"/>
    </row>
    <row r="122" spans="2:63" s="1" customFormat="1" ht="15.3" customHeight="1" x14ac:dyDescent="0.2">
      <c r="B122" s="24"/>
      <c r="C122" s="528" t="s">
        <v>21</v>
      </c>
      <c r="F122" s="529" t="s">
        <v>5202</v>
      </c>
      <c r="I122" s="528" t="s">
        <v>24</v>
      </c>
      <c r="J122" s="22" t="str">
        <f>E24</f>
        <v xml:space="preserve"> </v>
      </c>
      <c r="L122" s="24"/>
    </row>
    <row r="123" spans="2:63" s="1" customFormat="1" ht="10.199999999999999" customHeight="1" x14ac:dyDescent="0.2">
      <c r="B123" s="24"/>
      <c r="L123" s="24"/>
    </row>
    <row r="124" spans="2:63" s="10" customFormat="1" ht="29.25" customHeight="1" x14ac:dyDescent="0.2">
      <c r="B124" s="97"/>
      <c r="C124" s="98" t="s">
        <v>215</v>
      </c>
      <c r="D124" s="99" t="s">
        <v>43</v>
      </c>
      <c r="E124" s="99" t="s">
        <v>41</v>
      </c>
      <c r="F124" s="99" t="s">
        <v>42</v>
      </c>
      <c r="G124" s="99" t="s">
        <v>216</v>
      </c>
      <c r="H124" s="99" t="s">
        <v>217</v>
      </c>
      <c r="I124" s="99" t="s">
        <v>218</v>
      </c>
      <c r="J124" s="100" t="s">
        <v>190</v>
      </c>
      <c r="K124" s="101" t="s">
        <v>219</v>
      </c>
      <c r="L124" s="97"/>
      <c r="M124" s="46" t="s">
        <v>1</v>
      </c>
      <c r="N124" s="47" t="s">
        <v>30</v>
      </c>
      <c r="O124" s="47" t="s">
        <v>220</v>
      </c>
      <c r="P124" s="47" t="s">
        <v>221</v>
      </c>
      <c r="Q124" s="47" t="s">
        <v>222</v>
      </c>
      <c r="R124" s="47" t="s">
        <v>223</v>
      </c>
      <c r="S124" s="47" t="s">
        <v>224</v>
      </c>
      <c r="T124" s="48" t="s">
        <v>225</v>
      </c>
    </row>
    <row r="125" spans="2:63" s="1" customFormat="1" ht="22.95" customHeight="1" x14ac:dyDescent="0.3">
      <c r="B125" s="24"/>
      <c r="C125" s="51" t="s">
        <v>191</v>
      </c>
      <c r="J125" s="102">
        <f>BK125</f>
        <v>27482</v>
      </c>
      <c r="L125" s="24"/>
      <c r="M125" s="49"/>
      <c r="N125" s="40"/>
      <c r="O125" s="40"/>
      <c r="P125" s="103">
        <f>P126</f>
        <v>0</v>
      </c>
      <c r="Q125" s="40"/>
      <c r="R125" s="103">
        <f>R126</f>
        <v>0</v>
      </c>
      <c r="S125" s="40"/>
      <c r="T125" s="104">
        <f>T126</f>
        <v>0</v>
      </c>
      <c r="AT125" s="13" t="s">
        <v>57</v>
      </c>
      <c r="AU125" s="13" t="s">
        <v>192</v>
      </c>
      <c r="BK125" s="105">
        <f>BK126</f>
        <v>27482</v>
      </c>
    </row>
    <row r="126" spans="2:63" s="11" customFormat="1" ht="25.95" customHeight="1" x14ac:dyDescent="0.25">
      <c r="B126" s="106"/>
      <c r="D126" s="107" t="s">
        <v>57</v>
      </c>
      <c r="E126" s="108" t="s">
        <v>4168</v>
      </c>
      <c r="F126" s="108" t="s">
        <v>2755</v>
      </c>
      <c r="J126" s="109">
        <f>BK126</f>
        <v>27482</v>
      </c>
      <c r="L126" s="106"/>
      <c r="M126" s="110"/>
      <c r="N126" s="111"/>
      <c r="O126" s="111"/>
      <c r="P126" s="112">
        <f>P127+P128+P138+P146+P177+P181+P182+P220</f>
        <v>0</v>
      </c>
      <c r="Q126" s="111"/>
      <c r="R126" s="112">
        <f>R127+R128+R138+R146+R177+R181+R182+R220</f>
        <v>0</v>
      </c>
      <c r="S126" s="111"/>
      <c r="T126" s="113">
        <f>T127+T128+T138+T146+T177+T181+T182+T220</f>
        <v>0</v>
      </c>
      <c r="AR126" s="107" t="s">
        <v>63</v>
      </c>
      <c r="AT126" s="114" t="s">
        <v>57</v>
      </c>
      <c r="AU126" s="114" t="s">
        <v>58</v>
      </c>
      <c r="AY126" s="107" t="s">
        <v>228</v>
      </c>
      <c r="BK126" s="115">
        <f>BK127+BK128+BK138+BK146+BK177+BK181+BK182+BK220</f>
        <v>27482</v>
      </c>
    </row>
    <row r="127" spans="2:63" s="11" customFormat="1" ht="22.95" customHeight="1" x14ac:dyDescent="0.25">
      <c r="B127" s="106"/>
      <c r="D127" s="107" t="s">
        <v>57</v>
      </c>
      <c r="E127" s="116" t="s">
        <v>1201</v>
      </c>
      <c r="F127" s="116" t="s">
        <v>2756</v>
      </c>
      <c r="J127" s="117"/>
      <c r="L127" s="106"/>
      <c r="M127" s="110"/>
      <c r="N127" s="111"/>
      <c r="O127" s="111"/>
      <c r="P127" s="112">
        <v>0</v>
      </c>
      <c r="Q127" s="111"/>
      <c r="R127" s="112">
        <v>0</v>
      </c>
      <c r="S127" s="111"/>
      <c r="T127" s="113">
        <v>0</v>
      </c>
      <c r="AR127" s="107" t="s">
        <v>63</v>
      </c>
      <c r="AT127" s="114" t="s">
        <v>57</v>
      </c>
      <c r="AU127" s="114" t="s">
        <v>63</v>
      </c>
      <c r="AY127" s="107" t="s">
        <v>228</v>
      </c>
      <c r="BK127" s="115">
        <v>0</v>
      </c>
    </row>
    <row r="128" spans="2:63" s="11" customFormat="1" ht="22.95" customHeight="1" x14ac:dyDescent="0.25">
      <c r="B128" s="106"/>
      <c r="D128" s="107" t="s">
        <v>57</v>
      </c>
      <c r="E128" s="116" t="s">
        <v>1211</v>
      </c>
      <c r="F128" s="116" t="s">
        <v>2757</v>
      </c>
      <c r="J128" s="117">
        <f>BK128</f>
        <v>10757.340000000002</v>
      </c>
      <c r="L128" s="106"/>
      <c r="M128" s="110"/>
      <c r="N128" s="111"/>
      <c r="O128" s="111"/>
      <c r="P128" s="112">
        <f>SUM(P129:P137)</f>
        <v>0</v>
      </c>
      <c r="Q128" s="111"/>
      <c r="R128" s="112">
        <f>SUM(R129:R137)</f>
        <v>0</v>
      </c>
      <c r="S128" s="111"/>
      <c r="T128" s="113">
        <f>SUM(T129:T137)</f>
        <v>0</v>
      </c>
      <c r="AR128" s="107" t="s">
        <v>63</v>
      </c>
      <c r="AT128" s="114" t="s">
        <v>57</v>
      </c>
      <c r="AU128" s="114" t="s">
        <v>63</v>
      </c>
      <c r="AY128" s="107" t="s">
        <v>228</v>
      </c>
      <c r="BK128" s="115">
        <f>SUM(BK129:BK137)</f>
        <v>10757.340000000002</v>
      </c>
    </row>
    <row r="129" spans="2:65" s="1" customFormat="1" ht="24" customHeight="1" x14ac:dyDescent="0.2">
      <c r="B129" s="118"/>
      <c r="C129" s="119" t="s">
        <v>63</v>
      </c>
      <c r="D129" s="119" t="s">
        <v>231</v>
      </c>
      <c r="E129" s="120" t="s">
        <v>4169</v>
      </c>
      <c r="F129" s="121" t="s">
        <v>4170</v>
      </c>
      <c r="G129" s="122" t="s">
        <v>243</v>
      </c>
      <c r="H129" s="123">
        <v>1</v>
      </c>
      <c r="I129" s="124">
        <v>3431.34</v>
      </c>
      <c r="J129" s="124">
        <f t="shared" ref="J129:J137" si="0">ROUND(I129*H129,2)</f>
        <v>3431.34</v>
      </c>
      <c r="K129" s="121" t="s">
        <v>1</v>
      </c>
      <c r="L129" s="24"/>
      <c r="M129" s="125" t="s">
        <v>1</v>
      </c>
      <c r="N129" s="126" t="s">
        <v>32</v>
      </c>
      <c r="O129" s="127">
        <v>0</v>
      </c>
      <c r="P129" s="127">
        <f t="shared" ref="P129:P137" si="1">O129*H129</f>
        <v>0</v>
      </c>
      <c r="Q129" s="127">
        <v>0</v>
      </c>
      <c r="R129" s="127">
        <f t="shared" ref="R129:R137" si="2">Q129*H129</f>
        <v>0</v>
      </c>
      <c r="S129" s="127">
        <v>0</v>
      </c>
      <c r="T129" s="128">
        <f t="shared" ref="T129:T137" si="3">S129*H129</f>
        <v>0</v>
      </c>
      <c r="AR129" s="129" t="s">
        <v>235</v>
      </c>
      <c r="AT129" s="129" t="s">
        <v>231</v>
      </c>
      <c r="AU129" s="129" t="s">
        <v>76</v>
      </c>
      <c r="AY129" s="13" t="s">
        <v>228</v>
      </c>
      <c r="BE129" s="130">
        <f t="shared" ref="BE129:BE137" si="4">IF(N129="základná",J129,0)</f>
        <v>0</v>
      </c>
      <c r="BF129" s="130">
        <f t="shared" ref="BF129:BF137" si="5">IF(N129="znížená",J129,0)</f>
        <v>3431.34</v>
      </c>
      <c r="BG129" s="130">
        <f t="shared" ref="BG129:BG137" si="6">IF(N129="zákl. prenesená",J129,0)</f>
        <v>0</v>
      </c>
      <c r="BH129" s="130">
        <f t="shared" ref="BH129:BH137" si="7">IF(N129="zníž. prenesená",J129,0)</f>
        <v>0</v>
      </c>
      <c r="BI129" s="130">
        <f t="shared" ref="BI129:BI137" si="8">IF(N129="nulová",J129,0)</f>
        <v>0</v>
      </c>
      <c r="BJ129" s="13" t="s">
        <v>76</v>
      </c>
      <c r="BK129" s="130">
        <f t="shared" ref="BK129:BK137" si="9">ROUND(I129*H129,2)</f>
        <v>3431.34</v>
      </c>
      <c r="BL129" s="13" t="s">
        <v>235</v>
      </c>
      <c r="BM129" s="129" t="s">
        <v>76</v>
      </c>
    </row>
    <row r="130" spans="2:65" s="1" customFormat="1" ht="24" customHeight="1" x14ac:dyDescent="0.2">
      <c r="B130" s="118"/>
      <c r="C130" s="119" t="s">
        <v>76</v>
      </c>
      <c r="D130" s="119" t="s">
        <v>231</v>
      </c>
      <c r="E130" s="120" t="s">
        <v>4171</v>
      </c>
      <c r="F130" s="121" t="s">
        <v>4172</v>
      </c>
      <c r="G130" s="122" t="s">
        <v>243</v>
      </c>
      <c r="H130" s="123">
        <v>1</v>
      </c>
      <c r="I130" s="124">
        <v>3431.34</v>
      </c>
      <c r="J130" s="124">
        <f t="shared" si="0"/>
        <v>3431.34</v>
      </c>
      <c r="K130" s="121" t="s">
        <v>1</v>
      </c>
      <c r="L130" s="24"/>
      <c r="M130" s="125" t="s">
        <v>1</v>
      </c>
      <c r="N130" s="126" t="s">
        <v>32</v>
      </c>
      <c r="O130" s="127">
        <v>0</v>
      </c>
      <c r="P130" s="127">
        <f t="shared" si="1"/>
        <v>0</v>
      </c>
      <c r="Q130" s="127">
        <v>0</v>
      </c>
      <c r="R130" s="127">
        <f t="shared" si="2"/>
        <v>0</v>
      </c>
      <c r="S130" s="127">
        <v>0</v>
      </c>
      <c r="T130" s="128">
        <f t="shared" si="3"/>
        <v>0</v>
      </c>
      <c r="AR130" s="129" t="s">
        <v>235</v>
      </c>
      <c r="AT130" s="129" t="s">
        <v>231</v>
      </c>
      <c r="AU130" s="129" t="s">
        <v>76</v>
      </c>
      <c r="AY130" s="13" t="s">
        <v>228</v>
      </c>
      <c r="BE130" s="130">
        <f t="shared" si="4"/>
        <v>0</v>
      </c>
      <c r="BF130" s="130">
        <f t="shared" si="5"/>
        <v>3431.34</v>
      </c>
      <c r="BG130" s="130">
        <f t="shared" si="6"/>
        <v>0</v>
      </c>
      <c r="BH130" s="130">
        <f t="shared" si="7"/>
        <v>0</v>
      </c>
      <c r="BI130" s="130">
        <f t="shared" si="8"/>
        <v>0</v>
      </c>
      <c r="BJ130" s="13" t="s">
        <v>76</v>
      </c>
      <c r="BK130" s="130">
        <f t="shared" si="9"/>
        <v>3431.34</v>
      </c>
      <c r="BL130" s="13" t="s">
        <v>235</v>
      </c>
      <c r="BM130" s="129" t="s">
        <v>235</v>
      </c>
    </row>
    <row r="131" spans="2:65" s="1" customFormat="1" ht="36" customHeight="1" x14ac:dyDescent="0.2">
      <c r="B131" s="118"/>
      <c r="C131" s="119" t="s">
        <v>229</v>
      </c>
      <c r="D131" s="119" t="s">
        <v>231</v>
      </c>
      <c r="E131" s="120" t="s">
        <v>4173</v>
      </c>
      <c r="F131" s="121" t="s">
        <v>2761</v>
      </c>
      <c r="G131" s="122" t="s">
        <v>243</v>
      </c>
      <c r="H131" s="123">
        <v>6</v>
      </c>
      <c r="I131" s="124">
        <v>160.22</v>
      </c>
      <c r="J131" s="124">
        <f t="shared" si="0"/>
        <v>961.32</v>
      </c>
      <c r="K131" s="121" t="s">
        <v>1</v>
      </c>
      <c r="L131" s="24"/>
      <c r="M131" s="125" t="s">
        <v>1</v>
      </c>
      <c r="N131" s="126" t="s">
        <v>32</v>
      </c>
      <c r="O131" s="127">
        <v>0</v>
      </c>
      <c r="P131" s="127">
        <f t="shared" si="1"/>
        <v>0</v>
      </c>
      <c r="Q131" s="127">
        <v>0</v>
      </c>
      <c r="R131" s="127">
        <f t="shared" si="2"/>
        <v>0</v>
      </c>
      <c r="S131" s="127">
        <v>0</v>
      </c>
      <c r="T131" s="128">
        <f t="shared" si="3"/>
        <v>0</v>
      </c>
      <c r="AR131" s="129" t="s">
        <v>235</v>
      </c>
      <c r="AT131" s="129" t="s">
        <v>231</v>
      </c>
      <c r="AU131" s="129" t="s">
        <v>76</v>
      </c>
      <c r="AY131" s="13" t="s">
        <v>228</v>
      </c>
      <c r="BE131" s="130">
        <f t="shared" si="4"/>
        <v>0</v>
      </c>
      <c r="BF131" s="130">
        <f t="shared" si="5"/>
        <v>961.32</v>
      </c>
      <c r="BG131" s="130">
        <f t="shared" si="6"/>
        <v>0</v>
      </c>
      <c r="BH131" s="130">
        <f t="shared" si="7"/>
        <v>0</v>
      </c>
      <c r="BI131" s="130">
        <f t="shared" si="8"/>
        <v>0</v>
      </c>
      <c r="BJ131" s="13" t="s">
        <v>76</v>
      </c>
      <c r="BK131" s="130">
        <f t="shared" si="9"/>
        <v>961.32</v>
      </c>
      <c r="BL131" s="13" t="s">
        <v>235</v>
      </c>
      <c r="BM131" s="129" t="s">
        <v>240</v>
      </c>
    </row>
    <row r="132" spans="2:65" s="1" customFormat="1" ht="24" customHeight="1" x14ac:dyDescent="0.2">
      <c r="B132" s="118"/>
      <c r="C132" s="119" t="s">
        <v>235</v>
      </c>
      <c r="D132" s="119" t="s">
        <v>231</v>
      </c>
      <c r="E132" s="120" t="s">
        <v>4174</v>
      </c>
      <c r="F132" s="121" t="s">
        <v>4175</v>
      </c>
      <c r="G132" s="122" t="s">
        <v>243</v>
      </c>
      <c r="H132" s="123">
        <v>1</v>
      </c>
      <c r="I132" s="124">
        <v>82.78</v>
      </c>
      <c r="J132" s="124">
        <f t="shared" si="0"/>
        <v>82.78</v>
      </c>
      <c r="K132" s="121" t="s">
        <v>1</v>
      </c>
      <c r="L132" s="24"/>
      <c r="M132" s="125" t="s">
        <v>1</v>
      </c>
      <c r="N132" s="126" t="s">
        <v>32</v>
      </c>
      <c r="O132" s="127">
        <v>0</v>
      </c>
      <c r="P132" s="127">
        <f t="shared" si="1"/>
        <v>0</v>
      </c>
      <c r="Q132" s="127">
        <v>0</v>
      </c>
      <c r="R132" s="127">
        <f t="shared" si="2"/>
        <v>0</v>
      </c>
      <c r="S132" s="127">
        <v>0</v>
      </c>
      <c r="T132" s="128">
        <f t="shared" si="3"/>
        <v>0</v>
      </c>
      <c r="AR132" s="129" t="s">
        <v>235</v>
      </c>
      <c r="AT132" s="129" t="s">
        <v>231</v>
      </c>
      <c r="AU132" s="129" t="s">
        <v>76</v>
      </c>
      <c r="AY132" s="13" t="s">
        <v>228</v>
      </c>
      <c r="BE132" s="130">
        <f t="shared" si="4"/>
        <v>0</v>
      </c>
      <c r="BF132" s="130">
        <f t="shared" si="5"/>
        <v>82.78</v>
      </c>
      <c r="BG132" s="130">
        <f t="shared" si="6"/>
        <v>0</v>
      </c>
      <c r="BH132" s="130">
        <f t="shared" si="7"/>
        <v>0</v>
      </c>
      <c r="BI132" s="130">
        <f t="shared" si="8"/>
        <v>0</v>
      </c>
      <c r="BJ132" s="13" t="s">
        <v>76</v>
      </c>
      <c r="BK132" s="130">
        <f t="shared" si="9"/>
        <v>82.78</v>
      </c>
      <c r="BL132" s="13" t="s">
        <v>235</v>
      </c>
      <c r="BM132" s="129" t="s">
        <v>244</v>
      </c>
    </row>
    <row r="133" spans="2:65" s="1" customFormat="1" ht="24" customHeight="1" x14ac:dyDescent="0.2">
      <c r="B133" s="118"/>
      <c r="C133" s="119" t="s">
        <v>245</v>
      </c>
      <c r="D133" s="119" t="s">
        <v>231</v>
      </c>
      <c r="E133" s="120" t="s">
        <v>4176</v>
      </c>
      <c r="F133" s="121" t="s">
        <v>2763</v>
      </c>
      <c r="G133" s="122" t="s">
        <v>243</v>
      </c>
      <c r="H133" s="123">
        <v>1</v>
      </c>
      <c r="I133" s="124">
        <v>60.08</v>
      </c>
      <c r="J133" s="124">
        <f t="shared" si="0"/>
        <v>60.08</v>
      </c>
      <c r="K133" s="121" t="s">
        <v>1</v>
      </c>
      <c r="L133" s="24"/>
      <c r="M133" s="125" t="s">
        <v>1</v>
      </c>
      <c r="N133" s="126" t="s">
        <v>32</v>
      </c>
      <c r="O133" s="127">
        <v>0</v>
      </c>
      <c r="P133" s="127">
        <f t="shared" si="1"/>
        <v>0</v>
      </c>
      <c r="Q133" s="127">
        <v>0</v>
      </c>
      <c r="R133" s="127">
        <f t="shared" si="2"/>
        <v>0</v>
      </c>
      <c r="S133" s="127">
        <v>0</v>
      </c>
      <c r="T133" s="128">
        <f t="shared" si="3"/>
        <v>0</v>
      </c>
      <c r="AR133" s="129" t="s">
        <v>235</v>
      </c>
      <c r="AT133" s="129" t="s">
        <v>231</v>
      </c>
      <c r="AU133" s="129" t="s">
        <v>76</v>
      </c>
      <c r="AY133" s="13" t="s">
        <v>228</v>
      </c>
      <c r="BE133" s="130">
        <f t="shared" si="4"/>
        <v>0</v>
      </c>
      <c r="BF133" s="130">
        <f t="shared" si="5"/>
        <v>60.08</v>
      </c>
      <c r="BG133" s="130">
        <f t="shared" si="6"/>
        <v>0</v>
      </c>
      <c r="BH133" s="130">
        <f t="shared" si="7"/>
        <v>0</v>
      </c>
      <c r="BI133" s="130">
        <f t="shared" si="8"/>
        <v>0</v>
      </c>
      <c r="BJ133" s="13" t="s">
        <v>76</v>
      </c>
      <c r="BK133" s="130">
        <f t="shared" si="9"/>
        <v>60.08</v>
      </c>
      <c r="BL133" s="13" t="s">
        <v>235</v>
      </c>
      <c r="BM133" s="129" t="s">
        <v>248</v>
      </c>
    </row>
    <row r="134" spans="2:65" s="1" customFormat="1" ht="24" customHeight="1" x14ac:dyDescent="0.2">
      <c r="B134" s="118"/>
      <c r="C134" s="119" t="s">
        <v>240</v>
      </c>
      <c r="D134" s="119" t="s">
        <v>231</v>
      </c>
      <c r="E134" s="120" t="s">
        <v>4177</v>
      </c>
      <c r="F134" s="121" t="s">
        <v>2765</v>
      </c>
      <c r="G134" s="122" t="s">
        <v>243</v>
      </c>
      <c r="H134" s="123">
        <v>4</v>
      </c>
      <c r="I134" s="124">
        <v>33.380000000000003</v>
      </c>
      <c r="J134" s="124">
        <f t="shared" si="0"/>
        <v>133.52000000000001</v>
      </c>
      <c r="K134" s="121" t="s">
        <v>1</v>
      </c>
      <c r="L134" s="24"/>
      <c r="M134" s="125" t="s">
        <v>1</v>
      </c>
      <c r="N134" s="126" t="s">
        <v>32</v>
      </c>
      <c r="O134" s="127">
        <v>0</v>
      </c>
      <c r="P134" s="127">
        <f t="shared" si="1"/>
        <v>0</v>
      </c>
      <c r="Q134" s="127">
        <v>0</v>
      </c>
      <c r="R134" s="127">
        <f t="shared" si="2"/>
        <v>0</v>
      </c>
      <c r="S134" s="127">
        <v>0</v>
      </c>
      <c r="T134" s="128">
        <f t="shared" si="3"/>
        <v>0</v>
      </c>
      <c r="AR134" s="129" t="s">
        <v>235</v>
      </c>
      <c r="AT134" s="129" t="s">
        <v>231</v>
      </c>
      <c r="AU134" s="129" t="s">
        <v>76</v>
      </c>
      <c r="AY134" s="13" t="s">
        <v>228</v>
      </c>
      <c r="BE134" s="130">
        <f t="shared" si="4"/>
        <v>0</v>
      </c>
      <c r="BF134" s="130">
        <f t="shared" si="5"/>
        <v>133.52000000000001</v>
      </c>
      <c r="BG134" s="130">
        <f t="shared" si="6"/>
        <v>0</v>
      </c>
      <c r="BH134" s="130">
        <f t="shared" si="7"/>
        <v>0</v>
      </c>
      <c r="BI134" s="130">
        <f t="shared" si="8"/>
        <v>0</v>
      </c>
      <c r="BJ134" s="13" t="s">
        <v>76</v>
      </c>
      <c r="BK134" s="130">
        <f t="shared" si="9"/>
        <v>133.52000000000001</v>
      </c>
      <c r="BL134" s="13" t="s">
        <v>235</v>
      </c>
      <c r="BM134" s="129" t="s">
        <v>251</v>
      </c>
    </row>
    <row r="135" spans="2:65" s="1" customFormat="1" ht="24" customHeight="1" x14ac:dyDescent="0.2">
      <c r="B135" s="118"/>
      <c r="C135" s="119" t="s">
        <v>252</v>
      </c>
      <c r="D135" s="119" t="s">
        <v>231</v>
      </c>
      <c r="E135" s="120" t="s">
        <v>4178</v>
      </c>
      <c r="F135" s="121" t="s">
        <v>4179</v>
      </c>
      <c r="G135" s="122" t="s">
        <v>243</v>
      </c>
      <c r="H135" s="123">
        <v>1</v>
      </c>
      <c r="I135" s="124">
        <v>1523.41</v>
      </c>
      <c r="J135" s="124">
        <f t="shared" si="0"/>
        <v>1523.41</v>
      </c>
      <c r="K135" s="121" t="s">
        <v>1</v>
      </c>
      <c r="L135" s="24"/>
      <c r="M135" s="125" t="s">
        <v>1</v>
      </c>
      <c r="N135" s="126" t="s">
        <v>32</v>
      </c>
      <c r="O135" s="127">
        <v>0</v>
      </c>
      <c r="P135" s="127">
        <f t="shared" si="1"/>
        <v>0</v>
      </c>
      <c r="Q135" s="127">
        <v>0</v>
      </c>
      <c r="R135" s="127">
        <f t="shared" si="2"/>
        <v>0</v>
      </c>
      <c r="S135" s="127">
        <v>0</v>
      </c>
      <c r="T135" s="128">
        <f t="shared" si="3"/>
        <v>0</v>
      </c>
      <c r="AR135" s="129" t="s">
        <v>235</v>
      </c>
      <c r="AT135" s="129" t="s">
        <v>231</v>
      </c>
      <c r="AU135" s="129" t="s">
        <v>76</v>
      </c>
      <c r="AY135" s="13" t="s">
        <v>228</v>
      </c>
      <c r="BE135" s="130">
        <f t="shared" si="4"/>
        <v>0</v>
      </c>
      <c r="BF135" s="130">
        <f t="shared" si="5"/>
        <v>1523.41</v>
      </c>
      <c r="BG135" s="130">
        <f t="shared" si="6"/>
        <v>0</v>
      </c>
      <c r="BH135" s="130">
        <f t="shared" si="7"/>
        <v>0</v>
      </c>
      <c r="BI135" s="130">
        <f t="shared" si="8"/>
        <v>0</v>
      </c>
      <c r="BJ135" s="13" t="s">
        <v>76</v>
      </c>
      <c r="BK135" s="130">
        <f t="shared" si="9"/>
        <v>1523.41</v>
      </c>
      <c r="BL135" s="13" t="s">
        <v>235</v>
      </c>
      <c r="BM135" s="129" t="s">
        <v>255</v>
      </c>
    </row>
    <row r="136" spans="2:65" s="1" customFormat="1" ht="24" customHeight="1" x14ac:dyDescent="0.2">
      <c r="B136" s="118"/>
      <c r="C136" s="119" t="s">
        <v>244</v>
      </c>
      <c r="D136" s="119" t="s">
        <v>231</v>
      </c>
      <c r="E136" s="120" t="s">
        <v>4180</v>
      </c>
      <c r="F136" s="121" t="s">
        <v>4181</v>
      </c>
      <c r="G136" s="122" t="s">
        <v>243</v>
      </c>
      <c r="H136" s="123">
        <v>1</v>
      </c>
      <c r="I136" s="124">
        <v>1000.03</v>
      </c>
      <c r="J136" s="124">
        <f t="shared" si="0"/>
        <v>1000.03</v>
      </c>
      <c r="K136" s="121" t="s">
        <v>1</v>
      </c>
      <c r="L136" s="24"/>
      <c r="M136" s="125" t="s">
        <v>1</v>
      </c>
      <c r="N136" s="126" t="s">
        <v>32</v>
      </c>
      <c r="O136" s="127">
        <v>0</v>
      </c>
      <c r="P136" s="127">
        <f t="shared" si="1"/>
        <v>0</v>
      </c>
      <c r="Q136" s="127">
        <v>0</v>
      </c>
      <c r="R136" s="127">
        <f t="shared" si="2"/>
        <v>0</v>
      </c>
      <c r="S136" s="127">
        <v>0</v>
      </c>
      <c r="T136" s="128">
        <f t="shared" si="3"/>
        <v>0</v>
      </c>
      <c r="AR136" s="129" t="s">
        <v>235</v>
      </c>
      <c r="AT136" s="129" t="s">
        <v>231</v>
      </c>
      <c r="AU136" s="129" t="s">
        <v>76</v>
      </c>
      <c r="AY136" s="13" t="s">
        <v>228</v>
      </c>
      <c r="BE136" s="130">
        <f t="shared" si="4"/>
        <v>0</v>
      </c>
      <c r="BF136" s="130">
        <f t="shared" si="5"/>
        <v>1000.03</v>
      </c>
      <c r="BG136" s="130">
        <f t="shared" si="6"/>
        <v>0</v>
      </c>
      <c r="BH136" s="130">
        <f t="shared" si="7"/>
        <v>0</v>
      </c>
      <c r="BI136" s="130">
        <f t="shared" si="8"/>
        <v>0</v>
      </c>
      <c r="BJ136" s="13" t="s">
        <v>76</v>
      </c>
      <c r="BK136" s="130">
        <f t="shared" si="9"/>
        <v>1000.03</v>
      </c>
      <c r="BL136" s="13" t="s">
        <v>235</v>
      </c>
      <c r="BM136" s="129" t="s">
        <v>258</v>
      </c>
    </row>
    <row r="137" spans="2:65" s="1" customFormat="1" ht="24" customHeight="1" x14ac:dyDescent="0.2">
      <c r="B137" s="118"/>
      <c r="C137" s="119" t="s">
        <v>259</v>
      </c>
      <c r="D137" s="119" t="s">
        <v>231</v>
      </c>
      <c r="E137" s="120" t="s">
        <v>4182</v>
      </c>
      <c r="F137" s="121" t="s">
        <v>2771</v>
      </c>
      <c r="G137" s="122" t="s">
        <v>243</v>
      </c>
      <c r="H137" s="123">
        <v>2</v>
      </c>
      <c r="I137" s="124">
        <v>66.760000000000005</v>
      </c>
      <c r="J137" s="124">
        <f t="shared" si="0"/>
        <v>133.52000000000001</v>
      </c>
      <c r="K137" s="121" t="s">
        <v>1</v>
      </c>
      <c r="L137" s="24"/>
      <c r="M137" s="125" t="s">
        <v>1</v>
      </c>
      <c r="N137" s="126" t="s">
        <v>32</v>
      </c>
      <c r="O137" s="127">
        <v>0</v>
      </c>
      <c r="P137" s="127">
        <f t="shared" si="1"/>
        <v>0</v>
      </c>
      <c r="Q137" s="127">
        <v>0</v>
      </c>
      <c r="R137" s="127">
        <f t="shared" si="2"/>
        <v>0</v>
      </c>
      <c r="S137" s="127">
        <v>0</v>
      </c>
      <c r="T137" s="128">
        <f t="shared" si="3"/>
        <v>0</v>
      </c>
      <c r="AR137" s="129" t="s">
        <v>235</v>
      </c>
      <c r="AT137" s="129" t="s">
        <v>231</v>
      </c>
      <c r="AU137" s="129" t="s">
        <v>76</v>
      </c>
      <c r="AY137" s="13" t="s">
        <v>228</v>
      </c>
      <c r="BE137" s="130">
        <f t="shared" si="4"/>
        <v>0</v>
      </c>
      <c r="BF137" s="130">
        <f t="shared" si="5"/>
        <v>133.52000000000001</v>
      </c>
      <c r="BG137" s="130">
        <f t="shared" si="6"/>
        <v>0</v>
      </c>
      <c r="BH137" s="130">
        <f t="shared" si="7"/>
        <v>0</v>
      </c>
      <c r="BI137" s="130">
        <f t="shared" si="8"/>
        <v>0</v>
      </c>
      <c r="BJ137" s="13" t="s">
        <v>76</v>
      </c>
      <c r="BK137" s="130">
        <f t="shared" si="9"/>
        <v>133.52000000000001</v>
      </c>
      <c r="BL137" s="13" t="s">
        <v>235</v>
      </c>
      <c r="BM137" s="129" t="s">
        <v>262</v>
      </c>
    </row>
    <row r="138" spans="2:65" s="11" customFormat="1" ht="22.95" customHeight="1" x14ac:dyDescent="0.25">
      <c r="B138" s="106"/>
      <c r="D138" s="107" t="s">
        <v>57</v>
      </c>
      <c r="E138" s="116" t="s">
        <v>1215</v>
      </c>
      <c r="F138" s="116" t="s">
        <v>2772</v>
      </c>
      <c r="J138" s="117">
        <f>BK138</f>
        <v>734.2700000000001</v>
      </c>
      <c r="L138" s="106"/>
      <c r="M138" s="110"/>
      <c r="N138" s="111"/>
      <c r="O138" s="111"/>
      <c r="P138" s="112">
        <f>SUM(P139:P145)</f>
        <v>0</v>
      </c>
      <c r="Q138" s="111"/>
      <c r="R138" s="112">
        <f>SUM(R139:R145)</f>
        <v>0</v>
      </c>
      <c r="S138" s="111"/>
      <c r="T138" s="113">
        <f>SUM(T139:T145)</f>
        <v>0</v>
      </c>
      <c r="AR138" s="107" t="s">
        <v>63</v>
      </c>
      <c r="AT138" s="114" t="s">
        <v>57</v>
      </c>
      <c r="AU138" s="114" t="s">
        <v>63</v>
      </c>
      <c r="AY138" s="107" t="s">
        <v>228</v>
      </c>
      <c r="BK138" s="115">
        <f>SUM(BK139:BK145)</f>
        <v>734.2700000000001</v>
      </c>
    </row>
    <row r="139" spans="2:65" s="1" customFormat="1" ht="16.5" customHeight="1" x14ac:dyDescent="0.2">
      <c r="B139" s="118"/>
      <c r="C139" s="119" t="s">
        <v>248</v>
      </c>
      <c r="D139" s="119" t="s">
        <v>231</v>
      </c>
      <c r="E139" s="120" t="s">
        <v>4183</v>
      </c>
      <c r="F139" s="121" t="s">
        <v>2774</v>
      </c>
      <c r="G139" s="122" t="s">
        <v>243</v>
      </c>
      <c r="H139" s="123">
        <v>2</v>
      </c>
      <c r="I139" s="124">
        <v>103.7</v>
      </c>
      <c r="J139" s="124">
        <f t="shared" ref="J139:J145" si="10">ROUND(I139*H139,2)</f>
        <v>207.4</v>
      </c>
      <c r="K139" s="121" t="s">
        <v>1</v>
      </c>
      <c r="L139" s="24"/>
      <c r="M139" s="125" t="s">
        <v>1</v>
      </c>
      <c r="N139" s="126" t="s">
        <v>32</v>
      </c>
      <c r="O139" s="127">
        <v>0</v>
      </c>
      <c r="P139" s="127">
        <f t="shared" ref="P139:P145" si="11">O139*H139</f>
        <v>0</v>
      </c>
      <c r="Q139" s="127">
        <v>0</v>
      </c>
      <c r="R139" s="127">
        <f t="shared" ref="R139:R145" si="12">Q139*H139</f>
        <v>0</v>
      </c>
      <c r="S139" s="127">
        <v>0</v>
      </c>
      <c r="T139" s="128">
        <f t="shared" ref="T139:T145" si="13">S139*H139</f>
        <v>0</v>
      </c>
      <c r="AR139" s="129" t="s">
        <v>235</v>
      </c>
      <c r="AT139" s="129" t="s">
        <v>231</v>
      </c>
      <c r="AU139" s="129" t="s">
        <v>76</v>
      </c>
      <c r="AY139" s="13" t="s">
        <v>228</v>
      </c>
      <c r="BE139" s="130">
        <f t="shared" ref="BE139:BE145" si="14">IF(N139="základná",J139,0)</f>
        <v>0</v>
      </c>
      <c r="BF139" s="130">
        <f t="shared" ref="BF139:BF145" si="15">IF(N139="znížená",J139,0)</f>
        <v>207.4</v>
      </c>
      <c r="BG139" s="130">
        <f t="shared" ref="BG139:BG145" si="16">IF(N139="zákl. prenesená",J139,0)</f>
        <v>0</v>
      </c>
      <c r="BH139" s="130">
        <f t="shared" ref="BH139:BH145" si="17">IF(N139="zníž. prenesená",J139,0)</f>
        <v>0</v>
      </c>
      <c r="BI139" s="130">
        <f t="shared" ref="BI139:BI145" si="18">IF(N139="nulová",J139,0)</f>
        <v>0</v>
      </c>
      <c r="BJ139" s="13" t="s">
        <v>76</v>
      </c>
      <c r="BK139" s="130">
        <f t="shared" ref="BK139:BK145" si="19">ROUND(I139*H139,2)</f>
        <v>207.4</v>
      </c>
      <c r="BL139" s="13" t="s">
        <v>235</v>
      </c>
      <c r="BM139" s="129" t="s">
        <v>7</v>
      </c>
    </row>
    <row r="140" spans="2:65" s="1" customFormat="1" ht="16.5" customHeight="1" x14ac:dyDescent="0.2">
      <c r="B140" s="118"/>
      <c r="C140" s="119" t="s">
        <v>265</v>
      </c>
      <c r="D140" s="119" t="s">
        <v>231</v>
      </c>
      <c r="E140" s="120" t="s">
        <v>4184</v>
      </c>
      <c r="F140" s="121" t="s">
        <v>2776</v>
      </c>
      <c r="G140" s="122" t="s">
        <v>243</v>
      </c>
      <c r="H140" s="123">
        <v>12</v>
      </c>
      <c r="I140" s="124">
        <v>16.7</v>
      </c>
      <c r="J140" s="124">
        <f t="shared" si="10"/>
        <v>200.4</v>
      </c>
      <c r="K140" s="121" t="s">
        <v>1</v>
      </c>
      <c r="L140" s="24"/>
      <c r="M140" s="125" t="s">
        <v>1</v>
      </c>
      <c r="N140" s="126" t="s">
        <v>32</v>
      </c>
      <c r="O140" s="127">
        <v>0</v>
      </c>
      <c r="P140" s="127">
        <f t="shared" si="11"/>
        <v>0</v>
      </c>
      <c r="Q140" s="127">
        <v>0</v>
      </c>
      <c r="R140" s="127">
        <f t="shared" si="12"/>
        <v>0</v>
      </c>
      <c r="S140" s="127">
        <v>0</v>
      </c>
      <c r="T140" s="128">
        <f t="shared" si="13"/>
        <v>0</v>
      </c>
      <c r="AR140" s="129" t="s">
        <v>235</v>
      </c>
      <c r="AT140" s="129" t="s">
        <v>231</v>
      </c>
      <c r="AU140" s="129" t="s">
        <v>76</v>
      </c>
      <c r="AY140" s="13" t="s">
        <v>228</v>
      </c>
      <c r="BE140" s="130">
        <f t="shared" si="14"/>
        <v>0</v>
      </c>
      <c r="BF140" s="130">
        <f t="shared" si="15"/>
        <v>200.4</v>
      </c>
      <c r="BG140" s="130">
        <f t="shared" si="16"/>
        <v>0</v>
      </c>
      <c r="BH140" s="130">
        <f t="shared" si="17"/>
        <v>0</v>
      </c>
      <c r="BI140" s="130">
        <f t="shared" si="18"/>
        <v>0</v>
      </c>
      <c r="BJ140" s="13" t="s">
        <v>76</v>
      </c>
      <c r="BK140" s="130">
        <f t="shared" si="19"/>
        <v>200.4</v>
      </c>
      <c r="BL140" s="13" t="s">
        <v>235</v>
      </c>
      <c r="BM140" s="129" t="s">
        <v>268</v>
      </c>
    </row>
    <row r="141" spans="2:65" s="1" customFormat="1" ht="16.5" customHeight="1" x14ac:dyDescent="0.2">
      <c r="B141" s="118"/>
      <c r="C141" s="119" t="s">
        <v>251</v>
      </c>
      <c r="D141" s="119" t="s">
        <v>231</v>
      </c>
      <c r="E141" s="120" t="s">
        <v>4185</v>
      </c>
      <c r="F141" s="121" t="s">
        <v>2778</v>
      </c>
      <c r="G141" s="122" t="s">
        <v>243</v>
      </c>
      <c r="H141" s="123">
        <v>2</v>
      </c>
      <c r="I141" s="124">
        <v>106.81</v>
      </c>
      <c r="J141" s="124">
        <f t="shared" si="10"/>
        <v>213.62</v>
      </c>
      <c r="K141" s="121" t="s">
        <v>1</v>
      </c>
      <c r="L141" s="24"/>
      <c r="M141" s="125" t="s">
        <v>1</v>
      </c>
      <c r="N141" s="126" t="s">
        <v>32</v>
      </c>
      <c r="O141" s="127">
        <v>0</v>
      </c>
      <c r="P141" s="127">
        <f t="shared" si="11"/>
        <v>0</v>
      </c>
      <c r="Q141" s="127">
        <v>0</v>
      </c>
      <c r="R141" s="127">
        <f t="shared" si="12"/>
        <v>0</v>
      </c>
      <c r="S141" s="127">
        <v>0</v>
      </c>
      <c r="T141" s="128">
        <f t="shared" si="13"/>
        <v>0</v>
      </c>
      <c r="AR141" s="129" t="s">
        <v>235</v>
      </c>
      <c r="AT141" s="129" t="s">
        <v>231</v>
      </c>
      <c r="AU141" s="129" t="s">
        <v>76</v>
      </c>
      <c r="AY141" s="13" t="s">
        <v>228</v>
      </c>
      <c r="BE141" s="130">
        <f t="shared" si="14"/>
        <v>0</v>
      </c>
      <c r="BF141" s="130">
        <f t="shared" si="15"/>
        <v>213.62</v>
      </c>
      <c r="BG141" s="130">
        <f t="shared" si="16"/>
        <v>0</v>
      </c>
      <c r="BH141" s="130">
        <f t="shared" si="17"/>
        <v>0</v>
      </c>
      <c r="BI141" s="130">
        <f t="shared" si="18"/>
        <v>0</v>
      </c>
      <c r="BJ141" s="13" t="s">
        <v>76</v>
      </c>
      <c r="BK141" s="130">
        <f t="shared" si="19"/>
        <v>213.62</v>
      </c>
      <c r="BL141" s="13" t="s">
        <v>235</v>
      </c>
      <c r="BM141" s="129" t="s">
        <v>272</v>
      </c>
    </row>
    <row r="142" spans="2:65" s="1" customFormat="1" ht="16.5" customHeight="1" x14ac:dyDescent="0.2">
      <c r="B142" s="118"/>
      <c r="C142" s="119" t="s">
        <v>273</v>
      </c>
      <c r="D142" s="119" t="s">
        <v>231</v>
      </c>
      <c r="E142" s="120" t="s">
        <v>4186</v>
      </c>
      <c r="F142" s="121" t="s">
        <v>4187</v>
      </c>
      <c r="G142" s="122" t="s">
        <v>243</v>
      </c>
      <c r="H142" s="123">
        <v>1</v>
      </c>
      <c r="I142" s="124">
        <v>20.7</v>
      </c>
      <c r="J142" s="124">
        <f t="shared" si="10"/>
        <v>20.7</v>
      </c>
      <c r="K142" s="121" t="s">
        <v>1</v>
      </c>
      <c r="L142" s="24"/>
      <c r="M142" s="125" t="s">
        <v>1</v>
      </c>
      <c r="N142" s="126" t="s">
        <v>32</v>
      </c>
      <c r="O142" s="127">
        <v>0</v>
      </c>
      <c r="P142" s="127">
        <f t="shared" si="11"/>
        <v>0</v>
      </c>
      <c r="Q142" s="127">
        <v>0</v>
      </c>
      <c r="R142" s="127">
        <f t="shared" si="12"/>
        <v>0</v>
      </c>
      <c r="S142" s="127">
        <v>0</v>
      </c>
      <c r="T142" s="128">
        <f t="shared" si="13"/>
        <v>0</v>
      </c>
      <c r="AR142" s="129" t="s">
        <v>235</v>
      </c>
      <c r="AT142" s="129" t="s">
        <v>231</v>
      </c>
      <c r="AU142" s="129" t="s">
        <v>76</v>
      </c>
      <c r="AY142" s="13" t="s">
        <v>228</v>
      </c>
      <c r="BE142" s="130">
        <f t="shared" si="14"/>
        <v>0</v>
      </c>
      <c r="BF142" s="130">
        <f t="shared" si="15"/>
        <v>20.7</v>
      </c>
      <c r="BG142" s="130">
        <f t="shared" si="16"/>
        <v>0</v>
      </c>
      <c r="BH142" s="130">
        <f t="shared" si="17"/>
        <v>0</v>
      </c>
      <c r="BI142" s="130">
        <f t="shared" si="18"/>
        <v>0</v>
      </c>
      <c r="BJ142" s="13" t="s">
        <v>76</v>
      </c>
      <c r="BK142" s="130">
        <f t="shared" si="19"/>
        <v>20.7</v>
      </c>
      <c r="BL142" s="13" t="s">
        <v>235</v>
      </c>
      <c r="BM142" s="129" t="s">
        <v>276</v>
      </c>
    </row>
    <row r="143" spans="2:65" s="1" customFormat="1" ht="16.5" customHeight="1" x14ac:dyDescent="0.2">
      <c r="B143" s="118"/>
      <c r="C143" s="119" t="s">
        <v>255</v>
      </c>
      <c r="D143" s="119" t="s">
        <v>231</v>
      </c>
      <c r="E143" s="120" t="s">
        <v>4188</v>
      </c>
      <c r="F143" s="121" t="s">
        <v>4189</v>
      </c>
      <c r="G143" s="122" t="s">
        <v>243</v>
      </c>
      <c r="H143" s="123">
        <v>1</v>
      </c>
      <c r="I143" s="124">
        <v>16.7</v>
      </c>
      <c r="J143" s="124">
        <f t="shared" si="10"/>
        <v>16.7</v>
      </c>
      <c r="K143" s="121" t="s">
        <v>1</v>
      </c>
      <c r="L143" s="24"/>
      <c r="M143" s="125" t="s">
        <v>1</v>
      </c>
      <c r="N143" s="126" t="s">
        <v>32</v>
      </c>
      <c r="O143" s="127">
        <v>0</v>
      </c>
      <c r="P143" s="127">
        <f t="shared" si="11"/>
        <v>0</v>
      </c>
      <c r="Q143" s="127">
        <v>0</v>
      </c>
      <c r="R143" s="127">
        <f t="shared" si="12"/>
        <v>0</v>
      </c>
      <c r="S143" s="127">
        <v>0</v>
      </c>
      <c r="T143" s="128">
        <f t="shared" si="13"/>
        <v>0</v>
      </c>
      <c r="AR143" s="129" t="s">
        <v>235</v>
      </c>
      <c r="AT143" s="129" t="s">
        <v>231</v>
      </c>
      <c r="AU143" s="129" t="s">
        <v>76</v>
      </c>
      <c r="AY143" s="13" t="s">
        <v>228</v>
      </c>
      <c r="BE143" s="130">
        <f t="shared" si="14"/>
        <v>0</v>
      </c>
      <c r="BF143" s="130">
        <f t="shared" si="15"/>
        <v>16.7</v>
      </c>
      <c r="BG143" s="130">
        <f t="shared" si="16"/>
        <v>0</v>
      </c>
      <c r="BH143" s="130">
        <f t="shared" si="17"/>
        <v>0</v>
      </c>
      <c r="BI143" s="130">
        <f t="shared" si="18"/>
        <v>0</v>
      </c>
      <c r="BJ143" s="13" t="s">
        <v>76</v>
      </c>
      <c r="BK143" s="130">
        <f t="shared" si="19"/>
        <v>16.7</v>
      </c>
      <c r="BL143" s="13" t="s">
        <v>235</v>
      </c>
      <c r="BM143" s="129" t="s">
        <v>280</v>
      </c>
    </row>
    <row r="144" spans="2:65" s="1" customFormat="1" ht="16.5" customHeight="1" x14ac:dyDescent="0.2">
      <c r="B144" s="118"/>
      <c r="C144" s="119" t="s">
        <v>281</v>
      </c>
      <c r="D144" s="119" t="s">
        <v>231</v>
      </c>
      <c r="E144" s="120" t="s">
        <v>4190</v>
      </c>
      <c r="F144" s="121" t="s">
        <v>2780</v>
      </c>
      <c r="G144" s="122" t="s">
        <v>243</v>
      </c>
      <c r="H144" s="123">
        <v>4</v>
      </c>
      <c r="I144" s="124">
        <v>11.35</v>
      </c>
      <c r="J144" s="124">
        <f t="shared" si="10"/>
        <v>45.4</v>
      </c>
      <c r="K144" s="121" t="s">
        <v>1</v>
      </c>
      <c r="L144" s="24"/>
      <c r="M144" s="125" t="s">
        <v>1</v>
      </c>
      <c r="N144" s="126" t="s">
        <v>32</v>
      </c>
      <c r="O144" s="127">
        <v>0</v>
      </c>
      <c r="P144" s="127">
        <f t="shared" si="11"/>
        <v>0</v>
      </c>
      <c r="Q144" s="127">
        <v>0</v>
      </c>
      <c r="R144" s="127">
        <f t="shared" si="12"/>
        <v>0</v>
      </c>
      <c r="S144" s="127">
        <v>0</v>
      </c>
      <c r="T144" s="128">
        <f t="shared" si="13"/>
        <v>0</v>
      </c>
      <c r="AR144" s="129" t="s">
        <v>235</v>
      </c>
      <c r="AT144" s="129" t="s">
        <v>231</v>
      </c>
      <c r="AU144" s="129" t="s">
        <v>76</v>
      </c>
      <c r="AY144" s="13" t="s">
        <v>228</v>
      </c>
      <c r="BE144" s="130">
        <f t="shared" si="14"/>
        <v>0</v>
      </c>
      <c r="BF144" s="130">
        <f t="shared" si="15"/>
        <v>45.4</v>
      </c>
      <c r="BG144" s="130">
        <f t="shared" si="16"/>
        <v>0</v>
      </c>
      <c r="BH144" s="130">
        <f t="shared" si="17"/>
        <v>0</v>
      </c>
      <c r="BI144" s="130">
        <f t="shared" si="18"/>
        <v>0</v>
      </c>
      <c r="BJ144" s="13" t="s">
        <v>76</v>
      </c>
      <c r="BK144" s="130">
        <f t="shared" si="19"/>
        <v>45.4</v>
      </c>
      <c r="BL144" s="13" t="s">
        <v>235</v>
      </c>
      <c r="BM144" s="129" t="s">
        <v>285</v>
      </c>
    </row>
    <row r="145" spans="2:65" s="1" customFormat="1" ht="16.5" customHeight="1" x14ac:dyDescent="0.2">
      <c r="B145" s="118"/>
      <c r="C145" s="119" t="s">
        <v>258</v>
      </c>
      <c r="D145" s="119" t="s">
        <v>231</v>
      </c>
      <c r="E145" s="120" t="s">
        <v>4191</v>
      </c>
      <c r="F145" s="121" t="s">
        <v>2782</v>
      </c>
      <c r="G145" s="122" t="s">
        <v>243</v>
      </c>
      <c r="H145" s="123">
        <v>1</v>
      </c>
      <c r="I145" s="124">
        <v>30.05</v>
      </c>
      <c r="J145" s="124">
        <f t="shared" si="10"/>
        <v>30.05</v>
      </c>
      <c r="K145" s="121" t="s">
        <v>1</v>
      </c>
      <c r="L145" s="24"/>
      <c r="M145" s="125" t="s">
        <v>1</v>
      </c>
      <c r="N145" s="126" t="s">
        <v>32</v>
      </c>
      <c r="O145" s="127">
        <v>0</v>
      </c>
      <c r="P145" s="127">
        <f t="shared" si="11"/>
        <v>0</v>
      </c>
      <c r="Q145" s="127">
        <v>0</v>
      </c>
      <c r="R145" s="127">
        <f t="shared" si="12"/>
        <v>0</v>
      </c>
      <c r="S145" s="127">
        <v>0</v>
      </c>
      <c r="T145" s="128">
        <f t="shared" si="13"/>
        <v>0</v>
      </c>
      <c r="AR145" s="129" t="s">
        <v>235</v>
      </c>
      <c r="AT145" s="129" t="s">
        <v>231</v>
      </c>
      <c r="AU145" s="129" t="s">
        <v>76</v>
      </c>
      <c r="AY145" s="13" t="s">
        <v>228</v>
      </c>
      <c r="BE145" s="130">
        <f t="shared" si="14"/>
        <v>0</v>
      </c>
      <c r="BF145" s="130">
        <f t="shared" si="15"/>
        <v>30.05</v>
      </c>
      <c r="BG145" s="130">
        <f t="shared" si="16"/>
        <v>0</v>
      </c>
      <c r="BH145" s="130">
        <f t="shared" si="17"/>
        <v>0</v>
      </c>
      <c r="BI145" s="130">
        <f t="shared" si="18"/>
        <v>0</v>
      </c>
      <c r="BJ145" s="13" t="s">
        <v>76</v>
      </c>
      <c r="BK145" s="130">
        <f t="shared" si="19"/>
        <v>30.05</v>
      </c>
      <c r="BL145" s="13" t="s">
        <v>235</v>
      </c>
      <c r="BM145" s="129" t="s">
        <v>288</v>
      </c>
    </row>
    <row r="146" spans="2:65" s="11" customFormat="1" ht="22.95" customHeight="1" x14ac:dyDescent="0.25">
      <c r="B146" s="106"/>
      <c r="D146" s="107" t="s">
        <v>57</v>
      </c>
      <c r="E146" s="116" t="s">
        <v>1227</v>
      </c>
      <c r="F146" s="116" t="s">
        <v>2783</v>
      </c>
      <c r="J146" s="117">
        <f>BK146</f>
        <v>7104.3799999999992</v>
      </c>
      <c r="L146" s="106"/>
      <c r="M146" s="110"/>
      <c r="N146" s="111"/>
      <c r="O146" s="111"/>
      <c r="P146" s="112">
        <f>SUM(P147:P176)</f>
        <v>0</v>
      </c>
      <c r="Q146" s="111"/>
      <c r="R146" s="112">
        <f>SUM(R147:R176)</f>
        <v>0</v>
      </c>
      <c r="S146" s="111"/>
      <c r="T146" s="113">
        <f>SUM(T147:T176)</f>
        <v>0</v>
      </c>
      <c r="AR146" s="107" t="s">
        <v>63</v>
      </c>
      <c r="AT146" s="114" t="s">
        <v>57</v>
      </c>
      <c r="AU146" s="114" t="s">
        <v>63</v>
      </c>
      <c r="AY146" s="107" t="s">
        <v>228</v>
      </c>
      <c r="BK146" s="115">
        <f>SUM(BK147:BK176)</f>
        <v>7104.3799999999992</v>
      </c>
    </row>
    <row r="147" spans="2:65" s="1" customFormat="1" ht="16.5" customHeight="1" x14ac:dyDescent="0.2">
      <c r="B147" s="118"/>
      <c r="C147" s="119" t="s">
        <v>289</v>
      </c>
      <c r="D147" s="119" t="s">
        <v>231</v>
      </c>
      <c r="E147" s="120" t="s">
        <v>4192</v>
      </c>
      <c r="F147" s="121" t="s">
        <v>4193</v>
      </c>
      <c r="G147" s="122" t="s">
        <v>292</v>
      </c>
      <c r="H147" s="123">
        <v>40</v>
      </c>
      <c r="I147" s="124">
        <v>2.31</v>
      </c>
      <c r="J147" s="124">
        <f t="shared" ref="J147:J176" si="20">ROUND(I147*H147,2)</f>
        <v>92.4</v>
      </c>
      <c r="K147" s="121" t="s">
        <v>1</v>
      </c>
      <c r="L147" s="24"/>
      <c r="M147" s="125" t="s">
        <v>1</v>
      </c>
      <c r="N147" s="126" t="s">
        <v>32</v>
      </c>
      <c r="O147" s="127">
        <v>0</v>
      </c>
      <c r="P147" s="127">
        <f t="shared" ref="P147:P176" si="21">O147*H147</f>
        <v>0</v>
      </c>
      <c r="Q147" s="127">
        <v>0</v>
      </c>
      <c r="R147" s="127">
        <f t="shared" ref="R147:R176" si="22">Q147*H147</f>
        <v>0</v>
      </c>
      <c r="S147" s="127">
        <v>0</v>
      </c>
      <c r="T147" s="128">
        <f t="shared" ref="T147:T176" si="23">S147*H147</f>
        <v>0</v>
      </c>
      <c r="AR147" s="129" t="s">
        <v>235</v>
      </c>
      <c r="AT147" s="129" t="s">
        <v>231</v>
      </c>
      <c r="AU147" s="129" t="s">
        <v>76</v>
      </c>
      <c r="AY147" s="13" t="s">
        <v>228</v>
      </c>
      <c r="BE147" s="130">
        <f t="shared" ref="BE147:BE176" si="24">IF(N147="základná",J147,0)</f>
        <v>0</v>
      </c>
      <c r="BF147" s="130">
        <f t="shared" ref="BF147:BF176" si="25">IF(N147="znížená",J147,0)</f>
        <v>92.4</v>
      </c>
      <c r="BG147" s="130">
        <f t="shared" ref="BG147:BG176" si="26">IF(N147="zákl. prenesená",J147,0)</f>
        <v>0</v>
      </c>
      <c r="BH147" s="130">
        <f t="shared" ref="BH147:BH176" si="27">IF(N147="zníž. prenesená",J147,0)</f>
        <v>0</v>
      </c>
      <c r="BI147" s="130">
        <f t="shared" ref="BI147:BI176" si="28">IF(N147="nulová",J147,0)</f>
        <v>0</v>
      </c>
      <c r="BJ147" s="13" t="s">
        <v>76</v>
      </c>
      <c r="BK147" s="130">
        <f t="shared" ref="BK147:BK176" si="29">ROUND(I147*H147,2)</f>
        <v>92.4</v>
      </c>
      <c r="BL147" s="13" t="s">
        <v>235</v>
      </c>
      <c r="BM147" s="129" t="s">
        <v>293</v>
      </c>
    </row>
    <row r="148" spans="2:65" s="1" customFormat="1" ht="24" customHeight="1" x14ac:dyDescent="0.2">
      <c r="B148" s="118"/>
      <c r="C148" s="119" t="s">
        <v>262</v>
      </c>
      <c r="D148" s="119" t="s">
        <v>231</v>
      </c>
      <c r="E148" s="120" t="s">
        <v>4194</v>
      </c>
      <c r="F148" s="121" t="s">
        <v>4195</v>
      </c>
      <c r="G148" s="122" t="s">
        <v>292</v>
      </c>
      <c r="H148" s="123">
        <v>50</v>
      </c>
      <c r="I148" s="124">
        <v>1.47</v>
      </c>
      <c r="J148" s="124">
        <f t="shared" si="20"/>
        <v>73.5</v>
      </c>
      <c r="K148" s="121" t="s">
        <v>1</v>
      </c>
      <c r="L148" s="24"/>
      <c r="M148" s="125" t="s">
        <v>1</v>
      </c>
      <c r="N148" s="126" t="s">
        <v>32</v>
      </c>
      <c r="O148" s="127">
        <v>0</v>
      </c>
      <c r="P148" s="127">
        <f t="shared" si="21"/>
        <v>0</v>
      </c>
      <c r="Q148" s="127">
        <v>0</v>
      </c>
      <c r="R148" s="127">
        <f t="shared" si="22"/>
        <v>0</v>
      </c>
      <c r="S148" s="127">
        <v>0</v>
      </c>
      <c r="T148" s="128">
        <f t="shared" si="23"/>
        <v>0</v>
      </c>
      <c r="AR148" s="129" t="s">
        <v>235</v>
      </c>
      <c r="AT148" s="129" t="s">
        <v>231</v>
      </c>
      <c r="AU148" s="129" t="s">
        <v>76</v>
      </c>
      <c r="AY148" s="13" t="s">
        <v>228</v>
      </c>
      <c r="BE148" s="130">
        <f t="shared" si="24"/>
        <v>0</v>
      </c>
      <c r="BF148" s="130">
        <f t="shared" si="25"/>
        <v>73.5</v>
      </c>
      <c r="BG148" s="130">
        <f t="shared" si="26"/>
        <v>0</v>
      </c>
      <c r="BH148" s="130">
        <f t="shared" si="27"/>
        <v>0</v>
      </c>
      <c r="BI148" s="130">
        <f t="shared" si="28"/>
        <v>0</v>
      </c>
      <c r="BJ148" s="13" t="s">
        <v>76</v>
      </c>
      <c r="BK148" s="130">
        <f t="shared" si="29"/>
        <v>73.5</v>
      </c>
      <c r="BL148" s="13" t="s">
        <v>235</v>
      </c>
      <c r="BM148" s="129" t="s">
        <v>296</v>
      </c>
    </row>
    <row r="149" spans="2:65" s="1" customFormat="1" ht="24" customHeight="1" x14ac:dyDescent="0.2">
      <c r="B149" s="118"/>
      <c r="C149" s="119" t="s">
        <v>297</v>
      </c>
      <c r="D149" s="119" t="s">
        <v>231</v>
      </c>
      <c r="E149" s="120" t="s">
        <v>2786</v>
      </c>
      <c r="F149" s="121" t="s">
        <v>2787</v>
      </c>
      <c r="G149" s="122" t="s">
        <v>292</v>
      </c>
      <c r="H149" s="123">
        <v>50</v>
      </c>
      <c r="I149" s="124">
        <v>1.24</v>
      </c>
      <c r="J149" s="124">
        <f t="shared" si="20"/>
        <v>62</v>
      </c>
      <c r="K149" s="121" t="s">
        <v>1</v>
      </c>
      <c r="L149" s="24"/>
      <c r="M149" s="125" t="s">
        <v>1</v>
      </c>
      <c r="N149" s="126" t="s">
        <v>32</v>
      </c>
      <c r="O149" s="127">
        <v>0</v>
      </c>
      <c r="P149" s="127">
        <f t="shared" si="21"/>
        <v>0</v>
      </c>
      <c r="Q149" s="127">
        <v>0</v>
      </c>
      <c r="R149" s="127">
        <f t="shared" si="22"/>
        <v>0</v>
      </c>
      <c r="S149" s="127">
        <v>0</v>
      </c>
      <c r="T149" s="128">
        <f t="shared" si="23"/>
        <v>0</v>
      </c>
      <c r="AR149" s="129" t="s">
        <v>235</v>
      </c>
      <c r="AT149" s="129" t="s">
        <v>231</v>
      </c>
      <c r="AU149" s="129" t="s">
        <v>76</v>
      </c>
      <c r="AY149" s="13" t="s">
        <v>228</v>
      </c>
      <c r="BE149" s="130">
        <f t="shared" si="24"/>
        <v>0</v>
      </c>
      <c r="BF149" s="130">
        <f t="shared" si="25"/>
        <v>62</v>
      </c>
      <c r="BG149" s="130">
        <f t="shared" si="26"/>
        <v>0</v>
      </c>
      <c r="BH149" s="130">
        <f t="shared" si="27"/>
        <v>0</v>
      </c>
      <c r="BI149" s="130">
        <f t="shared" si="28"/>
        <v>0</v>
      </c>
      <c r="BJ149" s="13" t="s">
        <v>76</v>
      </c>
      <c r="BK149" s="130">
        <f t="shared" si="29"/>
        <v>62</v>
      </c>
      <c r="BL149" s="13" t="s">
        <v>235</v>
      </c>
      <c r="BM149" s="129" t="s">
        <v>300</v>
      </c>
    </row>
    <row r="150" spans="2:65" s="1" customFormat="1" ht="24" customHeight="1" x14ac:dyDescent="0.2">
      <c r="B150" s="118"/>
      <c r="C150" s="119" t="s">
        <v>7</v>
      </c>
      <c r="D150" s="119" t="s">
        <v>231</v>
      </c>
      <c r="E150" s="120" t="s">
        <v>2790</v>
      </c>
      <c r="F150" s="121" t="s">
        <v>2791</v>
      </c>
      <c r="G150" s="122" t="s">
        <v>292</v>
      </c>
      <c r="H150" s="123">
        <v>260</v>
      </c>
      <c r="I150" s="124">
        <v>1.24</v>
      </c>
      <c r="J150" s="124">
        <f t="shared" si="20"/>
        <v>322.39999999999998</v>
      </c>
      <c r="K150" s="121" t="s">
        <v>1</v>
      </c>
      <c r="L150" s="24"/>
      <c r="M150" s="125" t="s">
        <v>1</v>
      </c>
      <c r="N150" s="126" t="s">
        <v>32</v>
      </c>
      <c r="O150" s="127">
        <v>0</v>
      </c>
      <c r="P150" s="127">
        <f t="shared" si="21"/>
        <v>0</v>
      </c>
      <c r="Q150" s="127">
        <v>0</v>
      </c>
      <c r="R150" s="127">
        <f t="shared" si="22"/>
        <v>0</v>
      </c>
      <c r="S150" s="127">
        <v>0</v>
      </c>
      <c r="T150" s="128">
        <f t="shared" si="23"/>
        <v>0</v>
      </c>
      <c r="AR150" s="129" t="s">
        <v>235</v>
      </c>
      <c r="AT150" s="129" t="s">
        <v>231</v>
      </c>
      <c r="AU150" s="129" t="s">
        <v>76</v>
      </c>
      <c r="AY150" s="13" t="s">
        <v>228</v>
      </c>
      <c r="BE150" s="130">
        <f t="shared" si="24"/>
        <v>0</v>
      </c>
      <c r="BF150" s="130">
        <f t="shared" si="25"/>
        <v>322.39999999999998</v>
      </c>
      <c r="BG150" s="130">
        <f t="shared" si="26"/>
        <v>0</v>
      </c>
      <c r="BH150" s="130">
        <f t="shared" si="27"/>
        <v>0</v>
      </c>
      <c r="BI150" s="130">
        <f t="shared" si="28"/>
        <v>0</v>
      </c>
      <c r="BJ150" s="13" t="s">
        <v>76</v>
      </c>
      <c r="BK150" s="130">
        <f t="shared" si="29"/>
        <v>322.39999999999998</v>
      </c>
      <c r="BL150" s="13" t="s">
        <v>235</v>
      </c>
      <c r="BM150" s="129" t="s">
        <v>303</v>
      </c>
    </row>
    <row r="151" spans="2:65" s="1" customFormat="1" ht="16.5" customHeight="1" x14ac:dyDescent="0.2">
      <c r="B151" s="118"/>
      <c r="C151" s="119" t="s">
        <v>305</v>
      </c>
      <c r="D151" s="119" t="s">
        <v>231</v>
      </c>
      <c r="E151" s="120" t="s">
        <v>2792</v>
      </c>
      <c r="F151" s="121" t="s">
        <v>2793</v>
      </c>
      <c r="G151" s="122" t="s">
        <v>292</v>
      </c>
      <c r="H151" s="123">
        <v>300</v>
      </c>
      <c r="I151" s="124">
        <v>1.24</v>
      </c>
      <c r="J151" s="124">
        <f t="shared" si="20"/>
        <v>372</v>
      </c>
      <c r="K151" s="121" t="s">
        <v>1</v>
      </c>
      <c r="L151" s="24"/>
      <c r="M151" s="125" t="s">
        <v>1</v>
      </c>
      <c r="N151" s="126" t="s">
        <v>32</v>
      </c>
      <c r="O151" s="127">
        <v>0</v>
      </c>
      <c r="P151" s="127">
        <f t="shared" si="21"/>
        <v>0</v>
      </c>
      <c r="Q151" s="127">
        <v>0</v>
      </c>
      <c r="R151" s="127">
        <f t="shared" si="22"/>
        <v>0</v>
      </c>
      <c r="S151" s="127">
        <v>0</v>
      </c>
      <c r="T151" s="128">
        <f t="shared" si="23"/>
        <v>0</v>
      </c>
      <c r="AR151" s="129" t="s">
        <v>235</v>
      </c>
      <c r="AT151" s="129" t="s">
        <v>231</v>
      </c>
      <c r="AU151" s="129" t="s">
        <v>76</v>
      </c>
      <c r="AY151" s="13" t="s">
        <v>228</v>
      </c>
      <c r="BE151" s="130">
        <f t="shared" si="24"/>
        <v>0</v>
      </c>
      <c r="BF151" s="130">
        <f t="shared" si="25"/>
        <v>372</v>
      </c>
      <c r="BG151" s="130">
        <f t="shared" si="26"/>
        <v>0</v>
      </c>
      <c r="BH151" s="130">
        <f t="shared" si="27"/>
        <v>0</v>
      </c>
      <c r="BI151" s="130">
        <f t="shared" si="28"/>
        <v>0</v>
      </c>
      <c r="BJ151" s="13" t="s">
        <v>76</v>
      </c>
      <c r="BK151" s="130">
        <f t="shared" si="29"/>
        <v>372</v>
      </c>
      <c r="BL151" s="13" t="s">
        <v>235</v>
      </c>
      <c r="BM151" s="129" t="s">
        <v>308</v>
      </c>
    </row>
    <row r="152" spans="2:65" s="1" customFormat="1" ht="16.5" customHeight="1" x14ac:dyDescent="0.2">
      <c r="B152" s="118"/>
      <c r="C152" s="119" t="s">
        <v>268</v>
      </c>
      <c r="D152" s="119" t="s">
        <v>231</v>
      </c>
      <c r="E152" s="120" t="s">
        <v>2794</v>
      </c>
      <c r="F152" s="121" t="s">
        <v>2795</v>
      </c>
      <c r="G152" s="122" t="s">
        <v>292</v>
      </c>
      <c r="H152" s="123">
        <v>120</v>
      </c>
      <c r="I152" s="124">
        <v>1.24</v>
      </c>
      <c r="J152" s="124">
        <f t="shared" si="20"/>
        <v>148.80000000000001</v>
      </c>
      <c r="K152" s="121" t="s">
        <v>1</v>
      </c>
      <c r="L152" s="24"/>
      <c r="M152" s="125" t="s">
        <v>1</v>
      </c>
      <c r="N152" s="126" t="s">
        <v>32</v>
      </c>
      <c r="O152" s="127">
        <v>0</v>
      </c>
      <c r="P152" s="127">
        <f t="shared" si="21"/>
        <v>0</v>
      </c>
      <c r="Q152" s="127">
        <v>0</v>
      </c>
      <c r="R152" s="127">
        <f t="shared" si="22"/>
        <v>0</v>
      </c>
      <c r="S152" s="127">
        <v>0</v>
      </c>
      <c r="T152" s="128">
        <f t="shared" si="23"/>
        <v>0</v>
      </c>
      <c r="AR152" s="129" t="s">
        <v>235</v>
      </c>
      <c r="AT152" s="129" t="s">
        <v>231</v>
      </c>
      <c r="AU152" s="129" t="s">
        <v>76</v>
      </c>
      <c r="AY152" s="13" t="s">
        <v>228</v>
      </c>
      <c r="BE152" s="130">
        <f t="shared" si="24"/>
        <v>0</v>
      </c>
      <c r="BF152" s="130">
        <f t="shared" si="25"/>
        <v>148.80000000000001</v>
      </c>
      <c r="BG152" s="130">
        <f t="shared" si="26"/>
        <v>0</v>
      </c>
      <c r="BH152" s="130">
        <f t="shared" si="27"/>
        <v>0</v>
      </c>
      <c r="BI152" s="130">
        <f t="shared" si="28"/>
        <v>0</v>
      </c>
      <c r="BJ152" s="13" t="s">
        <v>76</v>
      </c>
      <c r="BK152" s="130">
        <f t="shared" si="29"/>
        <v>148.80000000000001</v>
      </c>
      <c r="BL152" s="13" t="s">
        <v>235</v>
      </c>
      <c r="BM152" s="129" t="s">
        <v>312</v>
      </c>
    </row>
    <row r="153" spans="2:65" s="1" customFormat="1" ht="16.5" customHeight="1" x14ac:dyDescent="0.2">
      <c r="B153" s="118"/>
      <c r="C153" s="119" t="s">
        <v>313</v>
      </c>
      <c r="D153" s="119" t="s">
        <v>231</v>
      </c>
      <c r="E153" s="120" t="s">
        <v>2796</v>
      </c>
      <c r="F153" s="121" t="s">
        <v>2797</v>
      </c>
      <c r="G153" s="122" t="s">
        <v>292</v>
      </c>
      <c r="H153" s="123">
        <v>80</v>
      </c>
      <c r="I153" s="124">
        <v>0.8</v>
      </c>
      <c r="J153" s="124">
        <f t="shared" si="20"/>
        <v>64</v>
      </c>
      <c r="K153" s="121" t="s">
        <v>1</v>
      </c>
      <c r="L153" s="24"/>
      <c r="M153" s="125" t="s">
        <v>1</v>
      </c>
      <c r="N153" s="126" t="s">
        <v>32</v>
      </c>
      <c r="O153" s="127">
        <v>0</v>
      </c>
      <c r="P153" s="127">
        <f t="shared" si="21"/>
        <v>0</v>
      </c>
      <c r="Q153" s="127">
        <v>0</v>
      </c>
      <c r="R153" s="127">
        <f t="shared" si="22"/>
        <v>0</v>
      </c>
      <c r="S153" s="127">
        <v>0</v>
      </c>
      <c r="T153" s="128">
        <f t="shared" si="23"/>
        <v>0</v>
      </c>
      <c r="AR153" s="129" t="s">
        <v>235</v>
      </c>
      <c r="AT153" s="129" t="s">
        <v>231</v>
      </c>
      <c r="AU153" s="129" t="s">
        <v>76</v>
      </c>
      <c r="AY153" s="13" t="s">
        <v>228</v>
      </c>
      <c r="BE153" s="130">
        <f t="shared" si="24"/>
        <v>0</v>
      </c>
      <c r="BF153" s="130">
        <f t="shared" si="25"/>
        <v>64</v>
      </c>
      <c r="BG153" s="130">
        <f t="shared" si="26"/>
        <v>0</v>
      </c>
      <c r="BH153" s="130">
        <f t="shared" si="27"/>
        <v>0</v>
      </c>
      <c r="BI153" s="130">
        <f t="shared" si="28"/>
        <v>0</v>
      </c>
      <c r="BJ153" s="13" t="s">
        <v>76</v>
      </c>
      <c r="BK153" s="130">
        <f t="shared" si="29"/>
        <v>64</v>
      </c>
      <c r="BL153" s="13" t="s">
        <v>235</v>
      </c>
      <c r="BM153" s="129" t="s">
        <v>316</v>
      </c>
    </row>
    <row r="154" spans="2:65" s="1" customFormat="1" ht="24" customHeight="1" x14ac:dyDescent="0.2">
      <c r="B154" s="118"/>
      <c r="C154" s="119" t="s">
        <v>272</v>
      </c>
      <c r="D154" s="119" t="s">
        <v>231</v>
      </c>
      <c r="E154" s="120" t="s">
        <v>2798</v>
      </c>
      <c r="F154" s="121" t="s">
        <v>2799</v>
      </c>
      <c r="G154" s="122" t="s">
        <v>292</v>
      </c>
      <c r="H154" s="123">
        <v>80</v>
      </c>
      <c r="I154" s="124">
        <v>0.8</v>
      </c>
      <c r="J154" s="124">
        <f t="shared" si="20"/>
        <v>64</v>
      </c>
      <c r="K154" s="121" t="s">
        <v>1</v>
      </c>
      <c r="L154" s="24"/>
      <c r="M154" s="125" t="s">
        <v>1</v>
      </c>
      <c r="N154" s="126" t="s">
        <v>32</v>
      </c>
      <c r="O154" s="127">
        <v>0</v>
      </c>
      <c r="P154" s="127">
        <f t="shared" si="21"/>
        <v>0</v>
      </c>
      <c r="Q154" s="127">
        <v>0</v>
      </c>
      <c r="R154" s="127">
        <f t="shared" si="22"/>
        <v>0</v>
      </c>
      <c r="S154" s="127">
        <v>0</v>
      </c>
      <c r="T154" s="128">
        <f t="shared" si="23"/>
        <v>0</v>
      </c>
      <c r="AR154" s="129" t="s">
        <v>235</v>
      </c>
      <c r="AT154" s="129" t="s">
        <v>231</v>
      </c>
      <c r="AU154" s="129" t="s">
        <v>76</v>
      </c>
      <c r="AY154" s="13" t="s">
        <v>228</v>
      </c>
      <c r="BE154" s="130">
        <f t="shared" si="24"/>
        <v>0</v>
      </c>
      <c r="BF154" s="130">
        <f t="shared" si="25"/>
        <v>64</v>
      </c>
      <c r="BG154" s="130">
        <f t="shared" si="26"/>
        <v>0</v>
      </c>
      <c r="BH154" s="130">
        <f t="shared" si="27"/>
        <v>0</v>
      </c>
      <c r="BI154" s="130">
        <f t="shared" si="28"/>
        <v>0</v>
      </c>
      <c r="BJ154" s="13" t="s">
        <v>76</v>
      </c>
      <c r="BK154" s="130">
        <f t="shared" si="29"/>
        <v>64</v>
      </c>
      <c r="BL154" s="13" t="s">
        <v>235</v>
      </c>
      <c r="BM154" s="129" t="s">
        <v>319</v>
      </c>
    </row>
    <row r="155" spans="2:65" s="1" customFormat="1" ht="24" customHeight="1" x14ac:dyDescent="0.2">
      <c r="B155" s="118"/>
      <c r="C155" s="119" t="s">
        <v>320</v>
      </c>
      <c r="D155" s="119" t="s">
        <v>231</v>
      </c>
      <c r="E155" s="120" t="s">
        <v>4196</v>
      </c>
      <c r="F155" s="121" t="s">
        <v>4197</v>
      </c>
      <c r="G155" s="122" t="s">
        <v>243</v>
      </c>
      <c r="H155" s="123">
        <v>2</v>
      </c>
      <c r="I155" s="124">
        <v>15.66</v>
      </c>
      <c r="J155" s="124">
        <f t="shared" si="20"/>
        <v>31.32</v>
      </c>
      <c r="K155" s="121" t="s">
        <v>1</v>
      </c>
      <c r="L155" s="24"/>
      <c r="M155" s="125" t="s">
        <v>1</v>
      </c>
      <c r="N155" s="126" t="s">
        <v>32</v>
      </c>
      <c r="O155" s="127">
        <v>0</v>
      </c>
      <c r="P155" s="127">
        <f t="shared" si="21"/>
        <v>0</v>
      </c>
      <c r="Q155" s="127">
        <v>0</v>
      </c>
      <c r="R155" s="127">
        <f t="shared" si="22"/>
        <v>0</v>
      </c>
      <c r="S155" s="127">
        <v>0</v>
      </c>
      <c r="T155" s="128">
        <f t="shared" si="23"/>
        <v>0</v>
      </c>
      <c r="AR155" s="129" t="s">
        <v>235</v>
      </c>
      <c r="AT155" s="129" t="s">
        <v>231</v>
      </c>
      <c r="AU155" s="129" t="s">
        <v>76</v>
      </c>
      <c r="AY155" s="13" t="s">
        <v>228</v>
      </c>
      <c r="BE155" s="130">
        <f t="shared" si="24"/>
        <v>0</v>
      </c>
      <c r="BF155" s="130">
        <f t="shared" si="25"/>
        <v>31.32</v>
      </c>
      <c r="BG155" s="130">
        <f t="shared" si="26"/>
        <v>0</v>
      </c>
      <c r="BH155" s="130">
        <f t="shared" si="27"/>
        <v>0</v>
      </c>
      <c r="BI155" s="130">
        <f t="shared" si="28"/>
        <v>0</v>
      </c>
      <c r="BJ155" s="13" t="s">
        <v>76</v>
      </c>
      <c r="BK155" s="130">
        <f t="shared" si="29"/>
        <v>31.32</v>
      </c>
      <c r="BL155" s="13" t="s">
        <v>235</v>
      </c>
      <c r="BM155" s="129" t="s">
        <v>323</v>
      </c>
    </row>
    <row r="156" spans="2:65" s="1" customFormat="1" ht="24" customHeight="1" x14ac:dyDescent="0.2">
      <c r="B156" s="118"/>
      <c r="C156" s="119" t="s">
        <v>276</v>
      </c>
      <c r="D156" s="119" t="s">
        <v>231</v>
      </c>
      <c r="E156" s="120" t="s">
        <v>4198</v>
      </c>
      <c r="F156" s="121" t="s">
        <v>2801</v>
      </c>
      <c r="G156" s="122" t="s">
        <v>243</v>
      </c>
      <c r="H156" s="123">
        <v>32</v>
      </c>
      <c r="I156" s="124">
        <v>6.4</v>
      </c>
      <c r="J156" s="124">
        <f t="shared" si="20"/>
        <v>204.8</v>
      </c>
      <c r="K156" s="121" t="s">
        <v>1</v>
      </c>
      <c r="L156" s="24"/>
      <c r="M156" s="125" t="s">
        <v>1</v>
      </c>
      <c r="N156" s="126" t="s">
        <v>32</v>
      </c>
      <c r="O156" s="127">
        <v>0</v>
      </c>
      <c r="P156" s="127">
        <f t="shared" si="21"/>
        <v>0</v>
      </c>
      <c r="Q156" s="127">
        <v>0</v>
      </c>
      <c r="R156" s="127">
        <f t="shared" si="22"/>
        <v>0</v>
      </c>
      <c r="S156" s="127">
        <v>0</v>
      </c>
      <c r="T156" s="128">
        <f t="shared" si="23"/>
        <v>0</v>
      </c>
      <c r="AR156" s="129" t="s">
        <v>235</v>
      </c>
      <c r="AT156" s="129" t="s">
        <v>231</v>
      </c>
      <c r="AU156" s="129" t="s">
        <v>76</v>
      </c>
      <c r="AY156" s="13" t="s">
        <v>228</v>
      </c>
      <c r="BE156" s="130">
        <f t="shared" si="24"/>
        <v>0</v>
      </c>
      <c r="BF156" s="130">
        <f t="shared" si="25"/>
        <v>204.8</v>
      </c>
      <c r="BG156" s="130">
        <f t="shared" si="26"/>
        <v>0</v>
      </c>
      <c r="BH156" s="130">
        <f t="shared" si="27"/>
        <v>0</v>
      </c>
      <c r="BI156" s="130">
        <f t="shared" si="28"/>
        <v>0</v>
      </c>
      <c r="BJ156" s="13" t="s">
        <v>76</v>
      </c>
      <c r="BK156" s="130">
        <f t="shared" si="29"/>
        <v>204.8</v>
      </c>
      <c r="BL156" s="13" t="s">
        <v>235</v>
      </c>
      <c r="BM156" s="129" t="s">
        <v>326</v>
      </c>
    </row>
    <row r="157" spans="2:65" s="1" customFormat="1" ht="24" customHeight="1" x14ac:dyDescent="0.2">
      <c r="B157" s="118"/>
      <c r="C157" s="119" t="s">
        <v>327</v>
      </c>
      <c r="D157" s="119" t="s">
        <v>231</v>
      </c>
      <c r="E157" s="120" t="s">
        <v>4199</v>
      </c>
      <c r="F157" s="121" t="s">
        <v>2803</v>
      </c>
      <c r="G157" s="122" t="s">
        <v>243</v>
      </c>
      <c r="H157" s="123">
        <v>18</v>
      </c>
      <c r="I157" s="124">
        <v>10.88</v>
      </c>
      <c r="J157" s="124">
        <f t="shared" si="20"/>
        <v>195.84</v>
      </c>
      <c r="K157" s="121" t="s">
        <v>1</v>
      </c>
      <c r="L157" s="24"/>
      <c r="M157" s="125" t="s">
        <v>1</v>
      </c>
      <c r="N157" s="126" t="s">
        <v>32</v>
      </c>
      <c r="O157" s="127">
        <v>0</v>
      </c>
      <c r="P157" s="127">
        <f t="shared" si="21"/>
        <v>0</v>
      </c>
      <c r="Q157" s="127">
        <v>0</v>
      </c>
      <c r="R157" s="127">
        <f t="shared" si="22"/>
        <v>0</v>
      </c>
      <c r="S157" s="127">
        <v>0</v>
      </c>
      <c r="T157" s="128">
        <f t="shared" si="23"/>
        <v>0</v>
      </c>
      <c r="AR157" s="129" t="s">
        <v>235</v>
      </c>
      <c r="AT157" s="129" t="s">
        <v>231</v>
      </c>
      <c r="AU157" s="129" t="s">
        <v>76</v>
      </c>
      <c r="AY157" s="13" t="s">
        <v>228</v>
      </c>
      <c r="BE157" s="130">
        <f t="shared" si="24"/>
        <v>0</v>
      </c>
      <c r="BF157" s="130">
        <f t="shared" si="25"/>
        <v>195.84</v>
      </c>
      <c r="BG157" s="130">
        <f t="shared" si="26"/>
        <v>0</v>
      </c>
      <c r="BH157" s="130">
        <f t="shared" si="27"/>
        <v>0</v>
      </c>
      <c r="BI157" s="130">
        <f t="shared" si="28"/>
        <v>0</v>
      </c>
      <c r="BJ157" s="13" t="s">
        <v>76</v>
      </c>
      <c r="BK157" s="130">
        <f t="shared" si="29"/>
        <v>195.84</v>
      </c>
      <c r="BL157" s="13" t="s">
        <v>235</v>
      </c>
      <c r="BM157" s="129" t="s">
        <v>330</v>
      </c>
    </row>
    <row r="158" spans="2:65" s="1" customFormat="1" ht="16.5" customHeight="1" x14ac:dyDescent="0.2">
      <c r="B158" s="118"/>
      <c r="C158" s="119" t="s">
        <v>280</v>
      </c>
      <c r="D158" s="119" t="s">
        <v>231</v>
      </c>
      <c r="E158" s="120" t="s">
        <v>4200</v>
      </c>
      <c r="F158" s="121" t="s">
        <v>2805</v>
      </c>
      <c r="G158" s="122" t="s">
        <v>243</v>
      </c>
      <c r="H158" s="123">
        <v>63</v>
      </c>
      <c r="I158" s="124">
        <v>1.07</v>
      </c>
      <c r="J158" s="124">
        <f t="shared" si="20"/>
        <v>67.41</v>
      </c>
      <c r="K158" s="121" t="s">
        <v>1</v>
      </c>
      <c r="L158" s="24"/>
      <c r="M158" s="125" t="s">
        <v>1</v>
      </c>
      <c r="N158" s="126" t="s">
        <v>32</v>
      </c>
      <c r="O158" s="127">
        <v>0</v>
      </c>
      <c r="P158" s="127">
        <f t="shared" si="21"/>
        <v>0</v>
      </c>
      <c r="Q158" s="127">
        <v>0</v>
      </c>
      <c r="R158" s="127">
        <f t="shared" si="22"/>
        <v>0</v>
      </c>
      <c r="S158" s="127">
        <v>0</v>
      </c>
      <c r="T158" s="128">
        <f t="shared" si="23"/>
        <v>0</v>
      </c>
      <c r="AR158" s="129" t="s">
        <v>235</v>
      </c>
      <c r="AT158" s="129" t="s">
        <v>231</v>
      </c>
      <c r="AU158" s="129" t="s">
        <v>76</v>
      </c>
      <c r="AY158" s="13" t="s">
        <v>228</v>
      </c>
      <c r="BE158" s="130">
        <f t="shared" si="24"/>
        <v>0</v>
      </c>
      <c r="BF158" s="130">
        <f t="shared" si="25"/>
        <v>67.41</v>
      </c>
      <c r="BG158" s="130">
        <f t="shared" si="26"/>
        <v>0</v>
      </c>
      <c r="BH158" s="130">
        <f t="shared" si="27"/>
        <v>0</v>
      </c>
      <c r="BI158" s="130">
        <f t="shared" si="28"/>
        <v>0</v>
      </c>
      <c r="BJ158" s="13" t="s">
        <v>76</v>
      </c>
      <c r="BK158" s="130">
        <f t="shared" si="29"/>
        <v>67.41</v>
      </c>
      <c r="BL158" s="13" t="s">
        <v>235</v>
      </c>
      <c r="BM158" s="129" t="s">
        <v>333</v>
      </c>
    </row>
    <row r="159" spans="2:65" s="1" customFormat="1" ht="16.5" customHeight="1" x14ac:dyDescent="0.2">
      <c r="B159" s="118"/>
      <c r="C159" s="119" t="s">
        <v>334</v>
      </c>
      <c r="D159" s="119" t="s">
        <v>231</v>
      </c>
      <c r="E159" s="120" t="s">
        <v>4201</v>
      </c>
      <c r="F159" s="121" t="s">
        <v>2807</v>
      </c>
      <c r="G159" s="122" t="s">
        <v>243</v>
      </c>
      <c r="H159" s="123">
        <v>17</v>
      </c>
      <c r="I159" s="124">
        <v>4.68</v>
      </c>
      <c r="J159" s="124">
        <f t="shared" si="20"/>
        <v>79.56</v>
      </c>
      <c r="K159" s="121" t="s">
        <v>1</v>
      </c>
      <c r="L159" s="24"/>
      <c r="M159" s="125" t="s">
        <v>1</v>
      </c>
      <c r="N159" s="126" t="s">
        <v>32</v>
      </c>
      <c r="O159" s="127">
        <v>0</v>
      </c>
      <c r="P159" s="127">
        <f t="shared" si="21"/>
        <v>0</v>
      </c>
      <c r="Q159" s="127">
        <v>0</v>
      </c>
      <c r="R159" s="127">
        <f t="shared" si="22"/>
        <v>0</v>
      </c>
      <c r="S159" s="127">
        <v>0</v>
      </c>
      <c r="T159" s="128">
        <f t="shared" si="23"/>
        <v>0</v>
      </c>
      <c r="AR159" s="129" t="s">
        <v>235</v>
      </c>
      <c r="AT159" s="129" t="s">
        <v>231</v>
      </c>
      <c r="AU159" s="129" t="s">
        <v>76</v>
      </c>
      <c r="AY159" s="13" t="s">
        <v>228</v>
      </c>
      <c r="BE159" s="130">
        <f t="shared" si="24"/>
        <v>0</v>
      </c>
      <c r="BF159" s="130">
        <f t="shared" si="25"/>
        <v>79.56</v>
      </c>
      <c r="BG159" s="130">
        <f t="shared" si="26"/>
        <v>0</v>
      </c>
      <c r="BH159" s="130">
        <f t="shared" si="27"/>
        <v>0</v>
      </c>
      <c r="BI159" s="130">
        <f t="shared" si="28"/>
        <v>0</v>
      </c>
      <c r="BJ159" s="13" t="s">
        <v>76</v>
      </c>
      <c r="BK159" s="130">
        <f t="shared" si="29"/>
        <v>79.56</v>
      </c>
      <c r="BL159" s="13" t="s">
        <v>235</v>
      </c>
      <c r="BM159" s="129" t="s">
        <v>337</v>
      </c>
    </row>
    <row r="160" spans="2:65" s="1" customFormat="1" ht="24" customHeight="1" x14ac:dyDescent="0.2">
      <c r="B160" s="118"/>
      <c r="C160" s="119" t="s">
        <v>285</v>
      </c>
      <c r="D160" s="119" t="s">
        <v>231</v>
      </c>
      <c r="E160" s="120" t="s">
        <v>2808</v>
      </c>
      <c r="F160" s="121" t="s">
        <v>2809</v>
      </c>
      <c r="G160" s="122" t="s">
        <v>292</v>
      </c>
      <c r="H160" s="123">
        <v>30</v>
      </c>
      <c r="I160" s="124">
        <v>8.7899999999999991</v>
      </c>
      <c r="J160" s="124">
        <f t="shared" si="20"/>
        <v>263.7</v>
      </c>
      <c r="K160" s="121" t="s">
        <v>1</v>
      </c>
      <c r="L160" s="24"/>
      <c r="M160" s="125" t="s">
        <v>1</v>
      </c>
      <c r="N160" s="126" t="s">
        <v>32</v>
      </c>
      <c r="O160" s="127">
        <v>0</v>
      </c>
      <c r="P160" s="127">
        <f t="shared" si="21"/>
        <v>0</v>
      </c>
      <c r="Q160" s="127">
        <v>0</v>
      </c>
      <c r="R160" s="127">
        <f t="shared" si="22"/>
        <v>0</v>
      </c>
      <c r="S160" s="127">
        <v>0</v>
      </c>
      <c r="T160" s="128">
        <f t="shared" si="23"/>
        <v>0</v>
      </c>
      <c r="AR160" s="129" t="s">
        <v>235</v>
      </c>
      <c r="AT160" s="129" t="s">
        <v>231</v>
      </c>
      <c r="AU160" s="129" t="s">
        <v>76</v>
      </c>
      <c r="AY160" s="13" t="s">
        <v>228</v>
      </c>
      <c r="BE160" s="130">
        <f t="shared" si="24"/>
        <v>0</v>
      </c>
      <c r="BF160" s="130">
        <f t="shared" si="25"/>
        <v>263.7</v>
      </c>
      <c r="BG160" s="130">
        <f t="shared" si="26"/>
        <v>0</v>
      </c>
      <c r="BH160" s="130">
        <f t="shared" si="27"/>
        <v>0</v>
      </c>
      <c r="BI160" s="130">
        <f t="shared" si="28"/>
        <v>0</v>
      </c>
      <c r="BJ160" s="13" t="s">
        <v>76</v>
      </c>
      <c r="BK160" s="130">
        <f t="shared" si="29"/>
        <v>263.7</v>
      </c>
      <c r="BL160" s="13" t="s">
        <v>235</v>
      </c>
      <c r="BM160" s="129" t="s">
        <v>340</v>
      </c>
    </row>
    <row r="161" spans="2:65" s="1" customFormat="1" ht="24" customHeight="1" x14ac:dyDescent="0.2">
      <c r="B161" s="118"/>
      <c r="C161" s="119" t="s">
        <v>341</v>
      </c>
      <c r="D161" s="119" t="s">
        <v>231</v>
      </c>
      <c r="E161" s="120" t="s">
        <v>2810</v>
      </c>
      <c r="F161" s="121" t="s">
        <v>2811</v>
      </c>
      <c r="G161" s="122" t="s">
        <v>292</v>
      </c>
      <c r="H161" s="123">
        <v>60</v>
      </c>
      <c r="I161" s="124">
        <v>7.92</v>
      </c>
      <c r="J161" s="124">
        <f t="shared" si="20"/>
        <v>475.2</v>
      </c>
      <c r="K161" s="121" t="s">
        <v>1</v>
      </c>
      <c r="L161" s="24"/>
      <c r="M161" s="125" t="s">
        <v>1</v>
      </c>
      <c r="N161" s="126" t="s">
        <v>32</v>
      </c>
      <c r="O161" s="127">
        <v>0</v>
      </c>
      <c r="P161" s="127">
        <f t="shared" si="21"/>
        <v>0</v>
      </c>
      <c r="Q161" s="127">
        <v>0</v>
      </c>
      <c r="R161" s="127">
        <f t="shared" si="22"/>
        <v>0</v>
      </c>
      <c r="S161" s="127">
        <v>0</v>
      </c>
      <c r="T161" s="128">
        <f t="shared" si="23"/>
        <v>0</v>
      </c>
      <c r="AR161" s="129" t="s">
        <v>235</v>
      </c>
      <c r="AT161" s="129" t="s">
        <v>231</v>
      </c>
      <c r="AU161" s="129" t="s">
        <v>76</v>
      </c>
      <c r="AY161" s="13" t="s">
        <v>228</v>
      </c>
      <c r="BE161" s="130">
        <f t="shared" si="24"/>
        <v>0</v>
      </c>
      <c r="BF161" s="130">
        <f t="shared" si="25"/>
        <v>475.2</v>
      </c>
      <c r="BG161" s="130">
        <f t="shared" si="26"/>
        <v>0</v>
      </c>
      <c r="BH161" s="130">
        <f t="shared" si="27"/>
        <v>0</v>
      </c>
      <c r="BI161" s="130">
        <f t="shared" si="28"/>
        <v>0</v>
      </c>
      <c r="BJ161" s="13" t="s">
        <v>76</v>
      </c>
      <c r="BK161" s="130">
        <f t="shared" si="29"/>
        <v>475.2</v>
      </c>
      <c r="BL161" s="13" t="s">
        <v>235</v>
      </c>
      <c r="BM161" s="129" t="s">
        <v>344</v>
      </c>
    </row>
    <row r="162" spans="2:65" s="1" customFormat="1" ht="24" customHeight="1" x14ac:dyDescent="0.2">
      <c r="B162" s="118"/>
      <c r="C162" s="119" t="s">
        <v>288</v>
      </c>
      <c r="D162" s="119" t="s">
        <v>231</v>
      </c>
      <c r="E162" s="120" t="s">
        <v>2812</v>
      </c>
      <c r="F162" s="121" t="s">
        <v>2813</v>
      </c>
      <c r="G162" s="122" t="s">
        <v>292</v>
      </c>
      <c r="H162" s="123">
        <v>60</v>
      </c>
      <c r="I162" s="124">
        <v>7.92</v>
      </c>
      <c r="J162" s="124">
        <f t="shared" si="20"/>
        <v>475.2</v>
      </c>
      <c r="K162" s="121" t="s">
        <v>1</v>
      </c>
      <c r="L162" s="24"/>
      <c r="M162" s="125" t="s">
        <v>1</v>
      </c>
      <c r="N162" s="126" t="s">
        <v>32</v>
      </c>
      <c r="O162" s="127">
        <v>0</v>
      </c>
      <c r="P162" s="127">
        <f t="shared" si="21"/>
        <v>0</v>
      </c>
      <c r="Q162" s="127">
        <v>0</v>
      </c>
      <c r="R162" s="127">
        <f t="shared" si="22"/>
        <v>0</v>
      </c>
      <c r="S162" s="127">
        <v>0</v>
      </c>
      <c r="T162" s="128">
        <f t="shared" si="23"/>
        <v>0</v>
      </c>
      <c r="AR162" s="129" t="s">
        <v>235</v>
      </c>
      <c r="AT162" s="129" t="s">
        <v>231</v>
      </c>
      <c r="AU162" s="129" t="s">
        <v>76</v>
      </c>
      <c r="AY162" s="13" t="s">
        <v>228</v>
      </c>
      <c r="BE162" s="130">
        <f t="shared" si="24"/>
        <v>0</v>
      </c>
      <c r="BF162" s="130">
        <f t="shared" si="25"/>
        <v>475.2</v>
      </c>
      <c r="BG162" s="130">
        <f t="shared" si="26"/>
        <v>0</v>
      </c>
      <c r="BH162" s="130">
        <f t="shared" si="27"/>
        <v>0</v>
      </c>
      <c r="BI162" s="130">
        <f t="shared" si="28"/>
        <v>0</v>
      </c>
      <c r="BJ162" s="13" t="s">
        <v>76</v>
      </c>
      <c r="BK162" s="130">
        <f t="shared" si="29"/>
        <v>475.2</v>
      </c>
      <c r="BL162" s="13" t="s">
        <v>235</v>
      </c>
      <c r="BM162" s="129" t="s">
        <v>347</v>
      </c>
    </row>
    <row r="163" spans="2:65" s="1" customFormat="1" ht="24" customHeight="1" x14ac:dyDescent="0.2">
      <c r="B163" s="118"/>
      <c r="C163" s="119" t="s">
        <v>348</v>
      </c>
      <c r="D163" s="119" t="s">
        <v>231</v>
      </c>
      <c r="E163" s="120" t="s">
        <v>2814</v>
      </c>
      <c r="F163" s="121" t="s">
        <v>2815</v>
      </c>
      <c r="G163" s="122" t="s">
        <v>292</v>
      </c>
      <c r="H163" s="123">
        <v>54</v>
      </c>
      <c r="I163" s="124">
        <v>1.21</v>
      </c>
      <c r="J163" s="124">
        <f t="shared" si="20"/>
        <v>65.34</v>
      </c>
      <c r="K163" s="121" t="s">
        <v>1</v>
      </c>
      <c r="L163" s="24"/>
      <c r="M163" s="125" t="s">
        <v>1</v>
      </c>
      <c r="N163" s="126" t="s">
        <v>32</v>
      </c>
      <c r="O163" s="127">
        <v>0</v>
      </c>
      <c r="P163" s="127">
        <f t="shared" si="21"/>
        <v>0</v>
      </c>
      <c r="Q163" s="127">
        <v>0</v>
      </c>
      <c r="R163" s="127">
        <f t="shared" si="22"/>
        <v>0</v>
      </c>
      <c r="S163" s="127">
        <v>0</v>
      </c>
      <c r="T163" s="128">
        <f t="shared" si="23"/>
        <v>0</v>
      </c>
      <c r="AR163" s="129" t="s">
        <v>235</v>
      </c>
      <c r="AT163" s="129" t="s">
        <v>231</v>
      </c>
      <c r="AU163" s="129" t="s">
        <v>76</v>
      </c>
      <c r="AY163" s="13" t="s">
        <v>228</v>
      </c>
      <c r="BE163" s="130">
        <f t="shared" si="24"/>
        <v>0</v>
      </c>
      <c r="BF163" s="130">
        <f t="shared" si="25"/>
        <v>65.34</v>
      </c>
      <c r="BG163" s="130">
        <f t="shared" si="26"/>
        <v>0</v>
      </c>
      <c r="BH163" s="130">
        <f t="shared" si="27"/>
        <v>0</v>
      </c>
      <c r="BI163" s="130">
        <f t="shared" si="28"/>
        <v>0</v>
      </c>
      <c r="BJ163" s="13" t="s">
        <v>76</v>
      </c>
      <c r="BK163" s="130">
        <f t="shared" si="29"/>
        <v>65.34</v>
      </c>
      <c r="BL163" s="13" t="s">
        <v>235</v>
      </c>
      <c r="BM163" s="129" t="s">
        <v>351</v>
      </c>
    </row>
    <row r="164" spans="2:65" s="1" customFormat="1" ht="24" customHeight="1" x14ac:dyDescent="0.2">
      <c r="B164" s="118"/>
      <c r="C164" s="119" t="s">
        <v>293</v>
      </c>
      <c r="D164" s="119" t="s">
        <v>231</v>
      </c>
      <c r="E164" s="120" t="s">
        <v>2816</v>
      </c>
      <c r="F164" s="121" t="s">
        <v>2817</v>
      </c>
      <c r="G164" s="122" t="s">
        <v>292</v>
      </c>
      <c r="H164" s="123">
        <v>18</v>
      </c>
      <c r="I164" s="124">
        <v>1.21</v>
      </c>
      <c r="J164" s="124">
        <f t="shared" si="20"/>
        <v>21.78</v>
      </c>
      <c r="K164" s="121" t="s">
        <v>1</v>
      </c>
      <c r="L164" s="24"/>
      <c r="M164" s="125" t="s">
        <v>1</v>
      </c>
      <c r="N164" s="126" t="s">
        <v>32</v>
      </c>
      <c r="O164" s="127">
        <v>0</v>
      </c>
      <c r="P164" s="127">
        <f t="shared" si="21"/>
        <v>0</v>
      </c>
      <c r="Q164" s="127">
        <v>0</v>
      </c>
      <c r="R164" s="127">
        <f t="shared" si="22"/>
        <v>0</v>
      </c>
      <c r="S164" s="127">
        <v>0</v>
      </c>
      <c r="T164" s="128">
        <f t="shared" si="23"/>
        <v>0</v>
      </c>
      <c r="AR164" s="129" t="s">
        <v>235</v>
      </c>
      <c r="AT164" s="129" t="s">
        <v>231</v>
      </c>
      <c r="AU164" s="129" t="s">
        <v>76</v>
      </c>
      <c r="AY164" s="13" t="s">
        <v>228</v>
      </c>
      <c r="BE164" s="130">
        <f t="shared" si="24"/>
        <v>0</v>
      </c>
      <c r="BF164" s="130">
        <f t="shared" si="25"/>
        <v>21.78</v>
      </c>
      <c r="BG164" s="130">
        <f t="shared" si="26"/>
        <v>0</v>
      </c>
      <c r="BH164" s="130">
        <f t="shared" si="27"/>
        <v>0</v>
      </c>
      <c r="BI164" s="130">
        <f t="shared" si="28"/>
        <v>0</v>
      </c>
      <c r="BJ164" s="13" t="s">
        <v>76</v>
      </c>
      <c r="BK164" s="130">
        <f t="shared" si="29"/>
        <v>21.78</v>
      </c>
      <c r="BL164" s="13" t="s">
        <v>235</v>
      </c>
      <c r="BM164" s="129" t="s">
        <v>354</v>
      </c>
    </row>
    <row r="165" spans="2:65" s="1" customFormat="1" ht="24" customHeight="1" x14ac:dyDescent="0.2">
      <c r="B165" s="118"/>
      <c r="C165" s="119" t="s">
        <v>355</v>
      </c>
      <c r="D165" s="119" t="s">
        <v>231</v>
      </c>
      <c r="E165" s="120" t="s">
        <v>2818</v>
      </c>
      <c r="F165" s="121" t="s">
        <v>2819</v>
      </c>
      <c r="G165" s="122" t="s">
        <v>292</v>
      </c>
      <c r="H165" s="123">
        <v>140</v>
      </c>
      <c r="I165" s="124">
        <v>1.68</v>
      </c>
      <c r="J165" s="124">
        <f t="shared" si="20"/>
        <v>235.2</v>
      </c>
      <c r="K165" s="121" t="s">
        <v>1</v>
      </c>
      <c r="L165" s="24"/>
      <c r="M165" s="125" t="s">
        <v>1</v>
      </c>
      <c r="N165" s="126" t="s">
        <v>32</v>
      </c>
      <c r="O165" s="127">
        <v>0</v>
      </c>
      <c r="P165" s="127">
        <f t="shared" si="21"/>
        <v>0</v>
      </c>
      <c r="Q165" s="127">
        <v>0</v>
      </c>
      <c r="R165" s="127">
        <f t="shared" si="22"/>
        <v>0</v>
      </c>
      <c r="S165" s="127">
        <v>0</v>
      </c>
      <c r="T165" s="128">
        <f t="shared" si="23"/>
        <v>0</v>
      </c>
      <c r="AR165" s="129" t="s">
        <v>235</v>
      </c>
      <c r="AT165" s="129" t="s">
        <v>231</v>
      </c>
      <c r="AU165" s="129" t="s">
        <v>76</v>
      </c>
      <c r="AY165" s="13" t="s">
        <v>228</v>
      </c>
      <c r="BE165" s="130">
        <f t="shared" si="24"/>
        <v>0</v>
      </c>
      <c r="BF165" s="130">
        <f t="shared" si="25"/>
        <v>235.2</v>
      </c>
      <c r="BG165" s="130">
        <f t="shared" si="26"/>
        <v>0</v>
      </c>
      <c r="BH165" s="130">
        <f t="shared" si="27"/>
        <v>0</v>
      </c>
      <c r="BI165" s="130">
        <f t="shared" si="28"/>
        <v>0</v>
      </c>
      <c r="BJ165" s="13" t="s">
        <v>76</v>
      </c>
      <c r="BK165" s="130">
        <f t="shared" si="29"/>
        <v>235.2</v>
      </c>
      <c r="BL165" s="13" t="s">
        <v>235</v>
      </c>
      <c r="BM165" s="129" t="s">
        <v>358</v>
      </c>
    </row>
    <row r="166" spans="2:65" s="1" customFormat="1" ht="24" customHeight="1" x14ac:dyDescent="0.2">
      <c r="B166" s="118"/>
      <c r="C166" s="119" t="s">
        <v>296</v>
      </c>
      <c r="D166" s="119" t="s">
        <v>231</v>
      </c>
      <c r="E166" s="120" t="s">
        <v>2820</v>
      </c>
      <c r="F166" s="121" t="s">
        <v>2821</v>
      </c>
      <c r="G166" s="122" t="s">
        <v>292</v>
      </c>
      <c r="H166" s="123">
        <v>64</v>
      </c>
      <c r="I166" s="124">
        <v>5.12</v>
      </c>
      <c r="J166" s="124">
        <f t="shared" si="20"/>
        <v>327.68</v>
      </c>
      <c r="K166" s="121" t="s">
        <v>1</v>
      </c>
      <c r="L166" s="24"/>
      <c r="M166" s="125" t="s">
        <v>1</v>
      </c>
      <c r="N166" s="126" t="s">
        <v>32</v>
      </c>
      <c r="O166" s="127">
        <v>0</v>
      </c>
      <c r="P166" s="127">
        <f t="shared" si="21"/>
        <v>0</v>
      </c>
      <c r="Q166" s="127">
        <v>0</v>
      </c>
      <c r="R166" s="127">
        <f t="shared" si="22"/>
        <v>0</v>
      </c>
      <c r="S166" s="127">
        <v>0</v>
      </c>
      <c r="T166" s="128">
        <f t="shared" si="23"/>
        <v>0</v>
      </c>
      <c r="AR166" s="129" t="s">
        <v>235</v>
      </c>
      <c r="AT166" s="129" t="s">
        <v>231</v>
      </c>
      <c r="AU166" s="129" t="s">
        <v>76</v>
      </c>
      <c r="AY166" s="13" t="s">
        <v>228</v>
      </c>
      <c r="BE166" s="130">
        <f t="shared" si="24"/>
        <v>0</v>
      </c>
      <c r="BF166" s="130">
        <f t="shared" si="25"/>
        <v>327.68</v>
      </c>
      <c r="BG166" s="130">
        <f t="shared" si="26"/>
        <v>0</v>
      </c>
      <c r="BH166" s="130">
        <f t="shared" si="27"/>
        <v>0</v>
      </c>
      <c r="BI166" s="130">
        <f t="shared" si="28"/>
        <v>0</v>
      </c>
      <c r="BJ166" s="13" t="s">
        <v>76</v>
      </c>
      <c r="BK166" s="130">
        <f t="shared" si="29"/>
        <v>327.68</v>
      </c>
      <c r="BL166" s="13" t="s">
        <v>235</v>
      </c>
      <c r="BM166" s="129" t="s">
        <v>361</v>
      </c>
    </row>
    <row r="167" spans="2:65" s="1" customFormat="1" ht="24" customHeight="1" x14ac:dyDescent="0.2">
      <c r="B167" s="118"/>
      <c r="C167" s="119" t="s">
        <v>362</v>
      </c>
      <c r="D167" s="119" t="s">
        <v>231</v>
      </c>
      <c r="E167" s="120" t="s">
        <v>4202</v>
      </c>
      <c r="F167" s="121" t="s">
        <v>2823</v>
      </c>
      <c r="G167" s="122" t="s">
        <v>243</v>
      </c>
      <c r="H167" s="123">
        <v>16</v>
      </c>
      <c r="I167" s="124">
        <v>3.45</v>
      </c>
      <c r="J167" s="124">
        <f t="shared" si="20"/>
        <v>55.2</v>
      </c>
      <c r="K167" s="121" t="s">
        <v>1</v>
      </c>
      <c r="L167" s="24"/>
      <c r="M167" s="125" t="s">
        <v>1</v>
      </c>
      <c r="N167" s="126" t="s">
        <v>32</v>
      </c>
      <c r="O167" s="127">
        <v>0</v>
      </c>
      <c r="P167" s="127">
        <f t="shared" si="21"/>
        <v>0</v>
      </c>
      <c r="Q167" s="127">
        <v>0</v>
      </c>
      <c r="R167" s="127">
        <f t="shared" si="22"/>
        <v>0</v>
      </c>
      <c r="S167" s="127">
        <v>0</v>
      </c>
      <c r="T167" s="128">
        <f t="shared" si="23"/>
        <v>0</v>
      </c>
      <c r="AR167" s="129" t="s">
        <v>235</v>
      </c>
      <c r="AT167" s="129" t="s">
        <v>231</v>
      </c>
      <c r="AU167" s="129" t="s">
        <v>76</v>
      </c>
      <c r="AY167" s="13" t="s">
        <v>228</v>
      </c>
      <c r="BE167" s="130">
        <f t="shared" si="24"/>
        <v>0</v>
      </c>
      <c r="BF167" s="130">
        <f t="shared" si="25"/>
        <v>55.2</v>
      </c>
      <c r="BG167" s="130">
        <f t="shared" si="26"/>
        <v>0</v>
      </c>
      <c r="BH167" s="130">
        <f t="shared" si="27"/>
        <v>0</v>
      </c>
      <c r="BI167" s="130">
        <f t="shared" si="28"/>
        <v>0</v>
      </c>
      <c r="BJ167" s="13" t="s">
        <v>76</v>
      </c>
      <c r="BK167" s="130">
        <f t="shared" si="29"/>
        <v>55.2</v>
      </c>
      <c r="BL167" s="13" t="s">
        <v>235</v>
      </c>
      <c r="BM167" s="129" t="s">
        <v>365</v>
      </c>
    </row>
    <row r="168" spans="2:65" s="1" customFormat="1" ht="24" customHeight="1" x14ac:dyDescent="0.2">
      <c r="B168" s="118"/>
      <c r="C168" s="119" t="s">
        <v>300</v>
      </c>
      <c r="D168" s="119" t="s">
        <v>231</v>
      </c>
      <c r="E168" s="120" t="s">
        <v>4203</v>
      </c>
      <c r="F168" s="121" t="s">
        <v>2825</v>
      </c>
      <c r="G168" s="122" t="s">
        <v>243</v>
      </c>
      <c r="H168" s="123">
        <v>16</v>
      </c>
      <c r="I168" s="124">
        <v>3.45</v>
      </c>
      <c r="J168" s="124">
        <f t="shared" si="20"/>
        <v>55.2</v>
      </c>
      <c r="K168" s="121" t="s">
        <v>1</v>
      </c>
      <c r="L168" s="24"/>
      <c r="M168" s="125" t="s">
        <v>1</v>
      </c>
      <c r="N168" s="126" t="s">
        <v>32</v>
      </c>
      <c r="O168" s="127">
        <v>0</v>
      </c>
      <c r="P168" s="127">
        <f t="shared" si="21"/>
        <v>0</v>
      </c>
      <c r="Q168" s="127">
        <v>0</v>
      </c>
      <c r="R168" s="127">
        <f t="shared" si="22"/>
        <v>0</v>
      </c>
      <c r="S168" s="127">
        <v>0</v>
      </c>
      <c r="T168" s="128">
        <f t="shared" si="23"/>
        <v>0</v>
      </c>
      <c r="AR168" s="129" t="s">
        <v>235</v>
      </c>
      <c r="AT168" s="129" t="s">
        <v>231</v>
      </c>
      <c r="AU168" s="129" t="s">
        <v>76</v>
      </c>
      <c r="AY168" s="13" t="s">
        <v>228</v>
      </c>
      <c r="BE168" s="130">
        <f t="shared" si="24"/>
        <v>0</v>
      </c>
      <c r="BF168" s="130">
        <f t="shared" si="25"/>
        <v>55.2</v>
      </c>
      <c r="BG168" s="130">
        <f t="shared" si="26"/>
        <v>0</v>
      </c>
      <c r="BH168" s="130">
        <f t="shared" si="27"/>
        <v>0</v>
      </c>
      <c r="BI168" s="130">
        <f t="shared" si="28"/>
        <v>0</v>
      </c>
      <c r="BJ168" s="13" t="s">
        <v>76</v>
      </c>
      <c r="BK168" s="130">
        <f t="shared" si="29"/>
        <v>55.2</v>
      </c>
      <c r="BL168" s="13" t="s">
        <v>235</v>
      </c>
      <c r="BM168" s="129" t="s">
        <v>368</v>
      </c>
    </row>
    <row r="169" spans="2:65" s="1" customFormat="1" ht="24" customHeight="1" x14ac:dyDescent="0.2">
      <c r="B169" s="118"/>
      <c r="C169" s="119" t="s">
        <v>369</v>
      </c>
      <c r="D169" s="119" t="s">
        <v>231</v>
      </c>
      <c r="E169" s="120" t="s">
        <v>2826</v>
      </c>
      <c r="F169" s="121" t="s">
        <v>2827</v>
      </c>
      <c r="G169" s="122" t="s">
        <v>284</v>
      </c>
      <c r="H169" s="123">
        <v>1</v>
      </c>
      <c r="I169" s="124">
        <v>226.98</v>
      </c>
      <c r="J169" s="124">
        <f t="shared" si="20"/>
        <v>226.98</v>
      </c>
      <c r="K169" s="121" t="s">
        <v>1</v>
      </c>
      <c r="L169" s="24"/>
      <c r="M169" s="125" t="s">
        <v>1</v>
      </c>
      <c r="N169" s="126" t="s">
        <v>32</v>
      </c>
      <c r="O169" s="127">
        <v>0</v>
      </c>
      <c r="P169" s="127">
        <f t="shared" si="21"/>
        <v>0</v>
      </c>
      <c r="Q169" s="127">
        <v>0</v>
      </c>
      <c r="R169" s="127">
        <f t="shared" si="22"/>
        <v>0</v>
      </c>
      <c r="S169" s="127">
        <v>0</v>
      </c>
      <c r="T169" s="128">
        <f t="shared" si="23"/>
        <v>0</v>
      </c>
      <c r="AR169" s="129" t="s">
        <v>235</v>
      </c>
      <c r="AT169" s="129" t="s">
        <v>231</v>
      </c>
      <c r="AU169" s="129" t="s">
        <v>76</v>
      </c>
      <c r="AY169" s="13" t="s">
        <v>228</v>
      </c>
      <c r="BE169" s="130">
        <f t="shared" si="24"/>
        <v>0</v>
      </c>
      <c r="BF169" s="130">
        <f t="shared" si="25"/>
        <v>226.98</v>
      </c>
      <c r="BG169" s="130">
        <f t="shared" si="26"/>
        <v>0</v>
      </c>
      <c r="BH169" s="130">
        <f t="shared" si="27"/>
        <v>0</v>
      </c>
      <c r="BI169" s="130">
        <f t="shared" si="28"/>
        <v>0</v>
      </c>
      <c r="BJ169" s="13" t="s">
        <v>76</v>
      </c>
      <c r="BK169" s="130">
        <f t="shared" si="29"/>
        <v>226.98</v>
      </c>
      <c r="BL169" s="13" t="s">
        <v>235</v>
      </c>
      <c r="BM169" s="129" t="s">
        <v>372</v>
      </c>
    </row>
    <row r="170" spans="2:65" s="1" customFormat="1" ht="16.5" customHeight="1" x14ac:dyDescent="0.2">
      <c r="B170" s="118"/>
      <c r="C170" s="119" t="s">
        <v>303</v>
      </c>
      <c r="D170" s="119" t="s">
        <v>231</v>
      </c>
      <c r="E170" s="120" t="s">
        <v>2828</v>
      </c>
      <c r="F170" s="121" t="s">
        <v>2829</v>
      </c>
      <c r="G170" s="122" t="s">
        <v>284</v>
      </c>
      <c r="H170" s="123">
        <v>2</v>
      </c>
      <c r="I170" s="124">
        <v>66.760000000000005</v>
      </c>
      <c r="J170" s="124">
        <f t="shared" si="20"/>
        <v>133.52000000000001</v>
      </c>
      <c r="K170" s="121" t="s">
        <v>1</v>
      </c>
      <c r="L170" s="24"/>
      <c r="M170" s="125" t="s">
        <v>1</v>
      </c>
      <c r="N170" s="126" t="s">
        <v>32</v>
      </c>
      <c r="O170" s="127">
        <v>0</v>
      </c>
      <c r="P170" s="127">
        <f t="shared" si="21"/>
        <v>0</v>
      </c>
      <c r="Q170" s="127">
        <v>0</v>
      </c>
      <c r="R170" s="127">
        <f t="shared" si="22"/>
        <v>0</v>
      </c>
      <c r="S170" s="127">
        <v>0</v>
      </c>
      <c r="T170" s="128">
        <f t="shared" si="23"/>
        <v>0</v>
      </c>
      <c r="AR170" s="129" t="s">
        <v>235</v>
      </c>
      <c r="AT170" s="129" t="s">
        <v>231</v>
      </c>
      <c r="AU170" s="129" t="s">
        <v>76</v>
      </c>
      <c r="AY170" s="13" t="s">
        <v>228</v>
      </c>
      <c r="BE170" s="130">
        <f t="shared" si="24"/>
        <v>0</v>
      </c>
      <c r="BF170" s="130">
        <f t="shared" si="25"/>
        <v>133.52000000000001</v>
      </c>
      <c r="BG170" s="130">
        <f t="shared" si="26"/>
        <v>0</v>
      </c>
      <c r="BH170" s="130">
        <f t="shared" si="27"/>
        <v>0</v>
      </c>
      <c r="BI170" s="130">
        <f t="shared" si="28"/>
        <v>0</v>
      </c>
      <c r="BJ170" s="13" t="s">
        <v>76</v>
      </c>
      <c r="BK170" s="130">
        <f t="shared" si="29"/>
        <v>133.52000000000001</v>
      </c>
      <c r="BL170" s="13" t="s">
        <v>235</v>
      </c>
      <c r="BM170" s="129" t="s">
        <v>375</v>
      </c>
    </row>
    <row r="171" spans="2:65" s="1" customFormat="1" ht="24" customHeight="1" x14ac:dyDescent="0.2">
      <c r="B171" s="118"/>
      <c r="C171" s="119" t="s">
        <v>376</v>
      </c>
      <c r="D171" s="119" t="s">
        <v>231</v>
      </c>
      <c r="E171" s="120" t="s">
        <v>2830</v>
      </c>
      <c r="F171" s="121" t="s">
        <v>2831</v>
      </c>
      <c r="G171" s="122" t="s">
        <v>1035</v>
      </c>
      <c r="H171" s="123">
        <v>140</v>
      </c>
      <c r="I171" s="124">
        <v>2.0099999999999998</v>
      </c>
      <c r="J171" s="124">
        <f t="shared" si="20"/>
        <v>281.39999999999998</v>
      </c>
      <c r="K171" s="121" t="s">
        <v>1</v>
      </c>
      <c r="L171" s="24"/>
      <c r="M171" s="125" t="s">
        <v>1</v>
      </c>
      <c r="N171" s="126" t="s">
        <v>32</v>
      </c>
      <c r="O171" s="127">
        <v>0</v>
      </c>
      <c r="P171" s="127">
        <f t="shared" si="21"/>
        <v>0</v>
      </c>
      <c r="Q171" s="127">
        <v>0</v>
      </c>
      <c r="R171" s="127">
        <f t="shared" si="22"/>
        <v>0</v>
      </c>
      <c r="S171" s="127">
        <v>0</v>
      </c>
      <c r="T171" s="128">
        <f t="shared" si="23"/>
        <v>0</v>
      </c>
      <c r="AR171" s="129" t="s">
        <v>235</v>
      </c>
      <c r="AT171" s="129" t="s">
        <v>231</v>
      </c>
      <c r="AU171" s="129" t="s">
        <v>76</v>
      </c>
      <c r="AY171" s="13" t="s">
        <v>228</v>
      </c>
      <c r="BE171" s="130">
        <f t="shared" si="24"/>
        <v>0</v>
      </c>
      <c r="BF171" s="130">
        <f t="shared" si="25"/>
        <v>281.39999999999998</v>
      </c>
      <c r="BG171" s="130">
        <f t="shared" si="26"/>
        <v>0</v>
      </c>
      <c r="BH171" s="130">
        <f t="shared" si="27"/>
        <v>0</v>
      </c>
      <c r="BI171" s="130">
        <f t="shared" si="28"/>
        <v>0</v>
      </c>
      <c r="BJ171" s="13" t="s">
        <v>76</v>
      </c>
      <c r="BK171" s="130">
        <f t="shared" si="29"/>
        <v>281.39999999999998</v>
      </c>
      <c r="BL171" s="13" t="s">
        <v>235</v>
      </c>
      <c r="BM171" s="129" t="s">
        <v>379</v>
      </c>
    </row>
    <row r="172" spans="2:65" s="1" customFormat="1" ht="16.5" customHeight="1" x14ac:dyDescent="0.2">
      <c r="B172" s="118"/>
      <c r="C172" s="119" t="s">
        <v>308</v>
      </c>
      <c r="D172" s="119" t="s">
        <v>231</v>
      </c>
      <c r="E172" s="120" t="s">
        <v>2832</v>
      </c>
      <c r="F172" s="121" t="s">
        <v>2833</v>
      </c>
      <c r="G172" s="122" t="s">
        <v>1112</v>
      </c>
      <c r="H172" s="123">
        <v>28</v>
      </c>
      <c r="I172" s="124">
        <v>16.02</v>
      </c>
      <c r="J172" s="124">
        <f t="shared" si="20"/>
        <v>448.56</v>
      </c>
      <c r="K172" s="121" t="s">
        <v>1</v>
      </c>
      <c r="L172" s="24"/>
      <c r="M172" s="125" t="s">
        <v>1</v>
      </c>
      <c r="N172" s="126" t="s">
        <v>32</v>
      </c>
      <c r="O172" s="127">
        <v>0</v>
      </c>
      <c r="P172" s="127">
        <f t="shared" si="21"/>
        <v>0</v>
      </c>
      <c r="Q172" s="127">
        <v>0</v>
      </c>
      <c r="R172" s="127">
        <f t="shared" si="22"/>
        <v>0</v>
      </c>
      <c r="S172" s="127">
        <v>0</v>
      </c>
      <c r="T172" s="128">
        <f t="shared" si="23"/>
        <v>0</v>
      </c>
      <c r="AR172" s="129" t="s">
        <v>235</v>
      </c>
      <c r="AT172" s="129" t="s">
        <v>231</v>
      </c>
      <c r="AU172" s="129" t="s">
        <v>76</v>
      </c>
      <c r="AY172" s="13" t="s">
        <v>228</v>
      </c>
      <c r="BE172" s="130">
        <f t="shared" si="24"/>
        <v>0</v>
      </c>
      <c r="BF172" s="130">
        <f t="shared" si="25"/>
        <v>448.56</v>
      </c>
      <c r="BG172" s="130">
        <f t="shared" si="26"/>
        <v>0</v>
      </c>
      <c r="BH172" s="130">
        <f t="shared" si="27"/>
        <v>0</v>
      </c>
      <c r="BI172" s="130">
        <f t="shared" si="28"/>
        <v>0</v>
      </c>
      <c r="BJ172" s="13" t="s">
        <v>76</v>
      </c>
      <c r="BK172" s="130">
        <f t="shared" si="29"/>
        <v>448.56</v>
      </c>
      <c r="BL172" s="13" t="s">
        <v>235</v>
      </c>
      <c r="BM172" s="129" t="s">
        <v>382</v>
      </c>
    </row>
    <row r="173" spans="2:65" s="1" customFormat="1" ht="24" customHeight="1" x14ac:dyDescent="0.2">
      <c r="B173" s="118"/>
      <c r="C173" s="119" t="s">
        <v>383</v>
      </c>
      <c r="D173" s="119" t="s">
        <v>231</v>
      </c>
      <c r="E173" s="120" t="s">
        <v>2834</v>
      </c>
      <c r="F173" s="121" t="s">
        <v>2835</v>
      </c>
      <c r="G173" s="122" t="s">
        <v>1112</v>
      </c>
      <c r="H173" s="123">
        <v>14</v>
      </c>
      <c r="I173" s="124">
        <v>18.690000000000001</v>
      </c>
      <c r="J173" s="124">
        <f t="shared" si="20"/>
        <v>261.66000000000003</v>
      </c>
      <c r="K173" s="121" t="s">
        <v>1</v>
      </c>
      <c r="L173" s="24"/>
      <c r="M173" s="125" t="s">
        <v>1</v>
      </c>
      <c r="N173" s="126" t="s">
        <v>32</v>
      </c>
      <c r="O173" s="127">
        <v>0</v>
      </c>
      <c r="P173" s="127">
        <f t="shared" si="21"/>
        <v>0</v>
      </c>
      <c r="Q173" s="127">
        <v>0</v>
      </c>
      <c r="R173" s="127">
        <f t="shared" si="22"/>
        <v>0</v>
      </c>
      <c r="S173" s="127">
        <v>0</v>
      </c>
      <c r="T173" s="128">
        <f t="shared" si="23"/>
        <v>0</v>
      </c>
      <c r="AR173" s="129" t="s">
        <v>235</v>
      </c>
      <c r="AT173" s="129" t="s">
        <v>231</v>
      </c>
      <c r="AU173" s="129" t="s">
        <v>76</v>
      </c>
      <c r="AY173" s="13" t="s">
        <v>228</v>
      </c>
      <c r="BE173" s="130">
        <f t="shared" si="24"/>
        <v>0</v>
      </c>
      <c r="BF173" s="130">
        <f t="shared" si="25"/>
        <v>261.66000000000003</v>
      </c>
      <c r="BG173" s="130">
        <f t="shared" si="26"/>
        <v>0</v>
      </c>
      <c r="BH173" s="130">
        <f t="shared" si="27"/>
        <v>0</v>
      </c>
      <c r="BI173" s="130">
        <f t="shared" si="28"/>
        <v>0</v>
      </c>
      <c r="BJ173" s="13" t="s">
        <v>76</v>
      </c>
      <c r="BK173" s="130">
        <f t="shared" si="29"/>
        <v>261.66000000000003</v>
      </c>
      <c r="BL173" s="13" t="s">
        <v>235</v>
      </c>
      <c r="BM173" s="129" t="s">
        <v>386</v>
      </c>
    </row>
    <row r="174" spans="2:65" s="1" customFormat="1" ht="16.5" customHeight="1" x14ac:dyDescent="0.2">
      <c r="B174" s="118"/>
      <c r="C174" s="119" t="s">
        <v>312</v>
      </c>
      <c r="D174" s="119" t="s">
        <v>231</v>
      </c>
      <c r="E174" s="120" t="s">
        <v>2836</v>
      </c>
      <c r="F174" s="121" t="s">
        <v>2837</v>
      </c>
      <c r="G174" s="122" t="s">
        <v>1194</v>
      </c>
      <c r="H174" s="123">
        <v>1</v>
      </c>
      <c r="I174" s="124">
        <v>990.33</v>
      </c>
      <c r="J174" s="124">
        <f t="shared" si="20"/>
        <v>990.33</v>
      </c>
      <c r="K174" s="121" t="s">
        <v>1</v>
      </c>
      <c r="L174" s="24"/>
      <c r="M174" s="125" t="s">
        <v>1</v>
      </c>
      <c r="N174" s="126" t="s">
        <v>32</v>
      </c>
      <c r="O174" s="127">
        <v>0</v>
      </c>
      <c r="P174" s="127">
        <f t="shared" si="21"/>
        <v>0</v>
      </c>
      <c r="Q174" s="127">
        <v>0</v>
      </c>
      <c r="R174" s="127">
        <f t="shared" si="22"/>
        <v>0</v>
      </c>
      <c r="S174" s="127">
        <v>0</v>
      </c>
      <c r="T174" s="128">
        <f t="shared" si="23"/>
        <v>0</v>
      </c>
      <c r="AR174" s="129" t="s">
        <v>235</v>
      </c>
      <c r="AT174" s="129" t="s">
        <v>231</v>
      </c>
      <c r="AU174" s="129" t="s">
        <v>76</v>
      </c>
      <c r="AY174" s="13" t="s">
        <v>228</v>
      </c>
      <c r="BE174" s="130">
        <f t="shared" si="24"/>
        <v>0</v>
      </c>
      <c r="BF174" s="130">
        <f t="shared" si="25"/>
        <v>990.33</v>
      </c>
      <c r="BG174" s="130">
        <f t="shared" si="26"/>
        <v>0</v>
      </c>
      <c r="BH174" s="130">
        <f t="shared" si="27"/>
        <v>0</v>
      </c>
      <c r="BI174" s="130">
        <f t="shared" si="28"/>
        <v>0</v>
      </c>
      <c r="BJ174" s="13" t="s">
        <v>76</v>
      </c>
      <c r="BK174" s="130">
        <f t="shared" si="29"/>
        <v>990.33</v>
      </c>
      <c r="BL174" s="13" t="s">
        <v>235</v>
      </c>
      <c r="BM174" s="129" t="s">
        <v>389</v>
      </c>
    </row>
    <row r="175" spans="2:65" s="1" customFormat="1" ht="24" customHeight="1" x14ac:dyDescent="0.2">
      <c r="B175" s="118"/>
      <c r="C175" s="119" t="s">
        <v>390</v>
      </c>
      <c r="D175" s="119" t="s">
        <v>231</v>
      </c>
      <c r="E175" s="120" t="s">
        <v>2838</v>
      </c>
      <c r="F175" s="121" t="s">
        <v>2839</v>
      </c>
      <c r="G175" s="122" t="s">
        <v>1112</v>
      </c>
      <c r="H175" s="123">
        <v>14</v>
      </c>
      <c r="I175" s="124">
        <v>18.690000000000001</v>
      </c>
      <c r="J175" s="124">
        <f t="shared" si="20"/>
        <v>261.66000000000003</v>
      </c>
      <c r="K175" s="121" t="s">
        <v>1</v>
      </c>
      <c r="L175" s="24"/>
      <c r="M175" s="125" t="s">
        <v>1</v>
      </c>
      <c r="N175" s="126" t="s">
        <v>32</v>
      </c>
      <c r="O175" s="127">
        <v>0</v>
      </c>
      <c r="P175" s="127">
        <f t="shared" si="21"/>
        <v>0</v>
      </c>
      <c r="Q175" s="127">
        <v>0</v>
      </c>
      <c r="R175" s="127">
        <f t="shared" si="22"/>
        <v>0</v>
      </c>
      <c r="S175" s="127">
        <v>0</v>
      </c>
      <c r="T175" s="128">
        <f t="shared" si="23"/>
        <v>0</v>
      </c>
      <c r="AR175" s="129" t="s">
        <v>235</v>
      </c>
      <c r="AT175" s="129" t="s">
        <v>231</v>
      </c>
      <c r="AU175" s="129" t="s">
        <v>76</v>
      </c>
      <c r="AY175" s="13" t="s">
        <v>228</v>
      </c>
      <c r="BE175" s="130">
        <f t="shared" si="24"/>
        <v>0</v>
      </c>
      <c r="BF175" s="130">
        <f t="shared" si="25"/>
        <v>261.66000000000003</v>
      </c>
      <c r="BG175" s="130">
        <f t="shared" si="26"/>
        <v>0</v>
      </c>
      <c r="BH175" s="130">
        <f t="shared" si="27"/>
        <v>0</v>
      </c>
      <c r="BI175" s="130">
        <f t="shared" si="28"/>
        <v>0</v>
      </c>
      <c r="BJ175" s="13" t="s">
        <v>76</v>
      </c>
      <c r="BK175" s="130">
        <f t="shared" si="29"/>
        <v>261.66000000000003</v>
      </c>
      <c r="BL175" s="13" t="s">
        <v>235</v>
      </c>
      <c r="BM175" s="129" t="s">
        <v>393</v>
      </c>
    </row>
    <row r="176" spans="2:65" s="1" customFormat="1" ht="16.5" customHeight="1" x14ac:dyDescent="0.2">
      <c r="B176" s="118"/>
      <c r="C176" s="119" t="s">
        <v>316</v>
      </c>
      <c r="D176" s="119" t="s">
        <v>231</v>
      </c>
      <c r="E176" s="120" t="s">
        <v>2840</v>
      </c>
      <c r="F176" s="121" t="s">
        <v>2841</v>
      </c>
      <c r="G176" s="122" t="s">
        <v>1112</v>
      </c>
      <c r="H176" s="123">
        <v>14</v>
      </c>
      <c r="I176" s="124">
        <v>53.41</v>
      </c>
      <c r="J176" s="124">
        <f t="shared" si="20"/>
        <v>747.74</v>
      </c>
      <c r="K176" s="121" t="s">
        <v>1</v>
      </c>
      <c r="L176" s="24"/>
      <c r="M176" s="125" t="s">
        <v>1</v>
      </c>
      <c r="N176" s="126" t="s">
        <v>32</v>
      </c>
      <c r="O176" s="127">
        <v>0</v>
      </c>
      <c r="P176" s="127">
        <f t="shared" si="21"/>
        <v>0</v>
      </c>
      <c r="Q176" s="127">
        <v>0</v>
      </c>
      <c r="R176" s="127">
        <f t="shared" si="22"/>
        <v>0</v>
      </c>
      <c r="S176" s="127">
        <v>0</v>
      </c>
      <c r="T176" s="128">
        <f t="shared" si="23"/>
        <v>0</v>
      </c>
      <c r="AR176" s="129" t="s">
        <v>235</v>
      </c>
      <c r="AT176" s="129" t="s">
        <v>231</v>
      </c>
      <c r="AU176" s="129" t="s">
        <v>76</v>
      </c>
      <c r="AY176" s="13" t="s">
        <v>228</v>
      </c>
      <c r="BE176" s="130">
        <f t="shared" si="24"/>
        <v>0</v>
      </c>
      <c r="BF176" s="130">
        <f t="shared" si="25"/>
        <v>747.74</v>
      </c>
      <c r="BG176" s="130">
        <f t="shared" si="26"/>
        <v>0</v>
      </c>
      <c r="BH176" s="130">
        <f t="shared" si="27"/>
        <v>0</v>
      </c>
      <c r="BI176" s="130">
        <f t="shared" si="28"/>
        <v>0</v>
      </c>
      <c r="BJ176" s="13" t="s">
        <v>76</v>
      </c>
      <c r="BK176" s="130">
        <f t="shared" si="29"/>
        <v>747.74</v>
      </c>
      <c r="BL176" s="13" t="s">
        <v>235</v>
      </c>
      <c r="BM176" s="129" t="s">
        <v>396</v>
      </c>
    </row>
    <row r="177" spans="2:65" s="11" customFormat="1" ht="22.95" customHeight="1" x14ac:dyDescent="0.25">
      <c r="B177" s="106"/>
      <c r="D177" s="107" t="s">
        <v>57</v>
      </c>
      <c r="E177" s="116" t="s">
        <v>1240</v>
      </c>
      <c r="F177" s="116" t="s">
        <v>2842</v>
      </c>
      <c r="J177" s="117">
        <f>BK177</f>
        <v>1650.3600000000001</v>
      </c>
      <c r="L177" s="106"/>
      <c r="M177" s="110"/>
      <c r="N177" s="111"/>
      <c r="O177" s="111"/>
      <c r="P177" s="112">
        <f>SUM(P178:P180)</f>
        <v>0</v>
      </c>
      <c r="Q177" s="111"/>
      <c r="R177" s="112">
        <f>SUM(R178:R180)</f>
        <v>0</v>
      </c>
      <c r="S177" s="111"/>
      <c r="T177" s="113">
        <f>SUM(T178:T180)</f>
        <v>0</v>
      </c>
      <c r="AR177" s="107" t="s">
        <v>63</v>
      </c>
      <c r="AT177" s="114" t="s">
        <v>57</v>
      </c>
      <c r="AU177" s="114" t="s">
        <v>63</v>
      </c>
      <c r="AY177" s="107" t="s">
        <v>228</v>
      </c>
      <c r="BK177" s="115">
        <f>SUM(BK178:BK180)</f>
        <v>1650.3600000000001</v>
      </c>
    </row>
    <row r="178" spans="2:65" s="1" customFormat="1" ht="16.5" customHeight="1" x14ac:dyDescent="0.2">
      <c r="B178" s="118"/>
      <c r="C178" s="119" t="s">
        <v>397</v>
      </c>
      <c r="D178" s="119" t="s">
        <v>231</v>
      </c>
      <c r="E178" s="120" t="s">
        <v>4204</v>
      </c>
      <c r="F178" s="121" t="s">
        <v>2844</v>
      </c>
      <c r="G178" s="122" t="s">
        <v>570</v>
      </c>
      <c r="H178" s="123">
        <v>153</v>
      </c>
      <c r="I178" s="124">
        <v>4.6399999999999997</v>
      </c>
      <c r="J178" s="124">
        <f>ROUND(I178*H178,2)</f>
        <v>709.92</v>
      </c>
      <c r="K178" s="121" t="s">
        <v>1</v>
      </c>
      <c r="L178" s="24"/>
      <c r="M178" s="125" t="s">
        <v>1</v>
      </c>
      <c r="N178" s="126" t="s">
        <v>32</v>
      </c>
      <c r="O178" s="127">
        <v>0</v>
      </c>
      <c r="P178" s="127">
        <f>O178*H178</f>
        <v>0</v>
      </c>
      <c r="Q178" s="127">
        <v>0</v>
      </c>
      <c r="R178" s="127">
        <f>Q178*H178</f>
        <v>0</v>
      </c>
      <c r="S178" s="127">
        <v>0</v>
      </c>
      <c r="T178" s="128">
        <f>S178*H178</f>
        <v>0</v>
      </c>
      <c r="AR178" s="129" t="s">
        <v>235</v>
      </c>
      <c r="AT178" s="129" t="s">
        <v>231</v>
      </c>
      <c r="AU178" s="129" t="s">
        <v>76</v>
      </c>
      <c r="AY178" s="13" t="s">
        <v>228</v>
      </c>
      <c r="BE178" s="130">
        <f>IF(N178="základná",J178,0)</f>
        <v>0</v>
      </c>
      <c r="BF178" s="130">
        <f>IF(N178="znížená",J178,0)</f>
        <v>709.92</v>
      </c>
      <c r="BG178" s="130">
        <f>IF(N178="zákl. prenesená",J178,0)</f>
        <v>0</v>
      </c>
      <c r="BH178" s="130">
        <f>IF(N178="zníž. prenesená",J178,0)</f>
        <v>0</v>
      </c>
      <c r="BI178" s="130">
        <f>IF(N178="nulová",J178,0)</f>
        <v>0</v>
      </c>
      <c r="BJ178" s="13" t="s">
        <v>76</v>
      </c>
      <c r="BK178" s="130">
        <f>ROUND(I178*H178,2)</f>
        <v>709.92</v>
      </c>
      <c r="BL178" s="13" t="s">
        <v>235</v>
      </c>
      <c r="BM178" s="129" t="s">
        <v>400</v>
      </c>
    </row>
    <row r="179" spans="2:65" s="1" customFormat="1" ht="16.5" customHeight="1" x14ac:dyDescent="0.2">
      <c r="B179" s="118"/>
      <c r="C179" s="119" t="s">
        <v>319</v>
      </c>
      <c r="D179" s="119" t="s">
        <v>231</v>
      </c>
      <c r="E179" s="120" t="s">
        <v>4205</v>
      </c>
      <c r="F179" s="121" t="s">
        <v>2846</v>
      </c>
      <c r="G179" s="122" t="s">
        <v>570</v>
      </c>
      <c r="H179" s="123">
        <v>84</v>
      </c>
      <c r="I179" s="124">
        <v>6.97</v>
      </c>
      <c r="J179" s="124">
        <f>ROUND(I179*H179,2)</f>
        <v>585.48</v>
      </c>
      <c r="K179" s="121" t="s">
        <v>1</v>
      </c>
      <c r="L179" s="24"/>
      <c r="M179" s="125" t="s">
        <v>1</v>
      </c>
      <c r="N179" s="126" t="s">
        <v>32</v>
      </c>
      <c r="O179" s="127">
        <v>0</v>
      </c>
      <c r="P179" s="127">
        <f>O179*H179</f>
        <v>0</v>
      </c>
      <c r="Q179" s="127">
        <v>0</v>
      </c>
      <c r="R179" s="127">
        <f>Q179*H179</f>
        <v>0</v>
      </c>
      <c r="S179" s="127">
        <v>0</v>
      </c>
      <c r="T179" s="128">
        <f>S179*H179</f>
        <v>0</v>
      </c>
      <c r="AR179" s="129" t="s">
        <v>235</v>
      </c>
      <c r="AT179" s="129" t="s">
        <v>231</v>
      </c>
      <c r="AU179" s="129" t="s">
        <v>76</v>
      </c>
      <c r="AY179" s="13" t="s">
        <v>228</v>
      </c>
      <c r="BE179" s="130">
        <f>IF(N179="základná",J179,0)</f>
        <v>0</v>
      </c>
      <c r="BF179" s="130">
        <f>IF(N179="znížená",J179,0)</f>
        <v>585.48</v>
      </c>
      <c r="BG179" s="130">
        <f>IF(N179="zákl. prenesená",J179,0)</f>
        <v>0</v>
      </c>
      <c r="BH179" s="130">
        <f>IF(N179="zníž. prenesená",J179,0)</f>
        <v>0</v>
      </c>
      <c r="BI179" s="130">
        <f>IF(N179="nulová",J179,0)</f>
        <v>0</v>
      </c>
      <c r="BJ179" s="13" t="s">
        <v>76</v>
      </c>
      <c r="BK179" s="130">
        <f>ROUND(I179*H179,2)</f>
        <v>585.48</v>
      </c>
      <c r="BL179" s="13" t="s">
        <v>235</v>
      </c>
      <c r="BM179" s="129" t="s">
        <v>404</v>
      </c>
    </row>
    <row r="180" spans="2:65" s="1" customFormat="1" ht="16.5" customHeight="1" x14ac:dyDescent="0.2">
      <c r="B180" s="118"/>
      <c r="C180" s="119" t="s">
        <v>407</v>
      </c>
      <c r="D180" s="119" t="s">
        <v>231</v>
      </c>
      <c r="E180" s="120" t="s">
        <v>2847</v>
      </c>
      <c r="F180" s="121" t="s">
        <v>2848</v>
      </c>
      <c r="G180" s="122" t="s">
        <v>570</v>
      </c>
      <c r="H180" s="123">
        <v>153</v>
      </c>
      <c r="I180" s="124">
        <v>2.3199999999999998</v>
      </c>
      <c r="J180" s="124">
        <f>ROUND(I180*H180,2)</f>
        <v>354.96</v>
      </c>
      <c r="K180" s="121" t="s">
        <v>1</v>
      </c>
      <c r="L180" s="24"/>
      <c r="M180" s="125" t="s">
        <v>1</v>
      </c>
      <c r="N180" s="126" t="s">
        <v>32</v>
      </c>
      <c r="O180" s="127">
        <v>0</v>
      </c>
      <c r="P180" s="127">
        <f>O180*H180</f>
        <v>0</v>
      </c>
      <c r="Q180" s="127">
        <v>0</v>
      </c>
      <c r="R180" s="127">
        <f>Q180*H180</f>
        <v>0</v>
      </c>
      <c r="S180" s="127">
        <v>0</v>
      </c>
      <c r="T180" s="128">
        <f>S180*H180</f>
        <v>0</v>
      </c>
      <c r="AR180" s="129" t="s">
        <v>235</v>
      </c>
      <c r="AT180" s="129" t="s">
        <v>231</v>
      </c>
      <c r="AU180" s="129" t="s">
        <v>76</v>
      </c>
      <c r="AY180" s="13" t="s">
        <v>228</v>
      </c>
      <c r="BE180" s="130">
        <f>IF(N180="základná",J180,0)</f>
        <v>0</v>
      </c>
      <c r="BF180" s="130">
        <f>IF(N180="znížená",J180,0)</f>
        <v>354.96</v>
      </c>
      <c r="BG180" s="130">
        <f>IF(N180="zákl. prenesená",J180,0)</f>
        <v>0</v>
      </c>
      <c r="BH180" s="130">
        <f>IF(N180="zníž. prenesená",J180,0)</f>
        <v>0</v>
      </c>
      <c r="BI180" s="130">
        <f>IF(N180="nulová",J180,0)</f>
        <v>0</v>
      </c>
      <c r="BJ180" s="13" t="s">
        <v>76</v>
      </c>
      <c r="BK180" s="130">
        <f>ROUND(I180*H180,2)</f>
        <v>354.96</v>
      </c>
      <c r="BL180" s="13" t="s">
        <v>235</v>
      </c>
      <c r="BM180" s="129" t="s">
        <v>410</v>
      </c>
    </row>
    <row r="181" spans="2:65" s="11" customFormat="1" ht="22.95" customHeight="1" x14ac:dyDescent="0.25">
      <c r="B181" s="106"/>
      <c r="D181" s="107" t="s">
        <v>57</v>
      </c>
      <c r="E181" s="116" t="s">
        <v>1247</v>
      </c>
      <c r="F181" s="116" t="s">
        <v>4206</v>
      </c>
      <c r="J181" s="117">
        <f>BK181</f>
        <v>0</v>
      </c>
      <c r="L181" s="106"/>
      <c r="M181" s="110"/>
      <c r="N181" s="111"/>
      <c r="O181" s="111"/>
      <c r="P181" s="112">
        <v>0</v>
      </c>
      <c r="Q181" s="111"/>
      <c r="R181" s="112">
        <v>0</v>
      </c>
      <c r="S181" s="111"/>
      <c r="T181" s="113">
        <v>0</v>
      </c>
      <c r="AR181" s="107" t="s">
        <v>63</v>
      </c>
      <c r="AT181" s="114" t="s">
        <v>57</v>
      </c>
      <c r="AU181" s="114" t="s">
        <v>63</v>
      </c>
      <c r="AY181" s="107" t="s">
        <v>228</v>
      </c>
      <c r="BK181" s="115">
        <v>0</v>
      </c>
    </row>
    <row r="182" spans="2:65" s="11" customFormat="1" ht="22.95" customHeight="1" x14ac:dyDescent="0.25">
      <c r="B182" s="106"/>
      <c r="D182" s="107" t="s">
        <v>57</v>
      </c>
      <c r="E182" s="116" t="s">
        <v>1252</v>
      </c>
      <c r="F182" s="116" t="s">
        <v>2849</v>
      </c>
      <c r="J182" s="117">
        <f>BK182</f>
        <v>5830.7599999999993</v>
      </c>
      <c r="L182" s="106"/>
      <c r="M182" s="110"/>
      <c r="N182" s="111"/>
      <c r="O182" s="111"/>
      <c r="P182" s="112">
        <f>SUM(P183:P219)</f>
        <v>0</v>
      </c>
      <c r="Q182" s="111"/>
      <c r="R182" s="112">
        <f>SUM(R183:R219)</f>
        <v>0</v>
      </c>
      <c r="S182" s="111"/>
      <c r="T182" s="113">
        <f>SUM(T183:T219)</f>
        <v>0</v>
      </c>
      <c r="AR182" s="107" t="s">
        <v>63</v>
      </c>
      <c r="AT182" s="114" t="s">
        <v>57</v>
      </c>
      <c r="AU182" s="114" t="s">
        <v>63</v>
      </c>
      <c r="AY182" s="107" t="s">
        <v>228</v>
      </c>
      <c r="BK182" s="115">
        <f>SUM(BK183:BK219)</f>
        <v>5830.7599999999993</v>
      </c>
    </row>
    <row r="183" spans="2:65" s="1" customFormat="1" ht="16.5" customHeight="1" x14ac:dyDescent="0.2">
      <c r="B183" s="118"/>
      <c r="C183" s="119" t="s">
        <v>323</v>
      </c>
      <c r="D183" s="119" t="s">
        <v>231</v>
      </c>
      <c r="E183" s="120" t="s">
        <v>4207</v>
      </c>
      <c r="F183" s="121" t="s">
        <v>4208</v>
      </c>
      <c r="G183" s="122" t="s">
        <v>292</v>
      </c>
      <c r="H183" s="123">
        <v>40</v>
      </c>
      <c r="I183" s="124">
        <v>15.75</v>
      </c>
      <c r="J183" s="124">
        <f t="shared" ref="J183:J219" si="30">ROUND(I183*H183,2)</f>
        <v>630</v>
      </c>
      <c r="K183" s="121" t="s">
        <v>1</v>
      </c>
      <c r="L183" s="24"/>
      <c r="M183" s="125" t="s">
        <v>1</v>
      </c>
      <c r="N183" s="126" t="s">
        <v>32</v>
      </c>
      <c r="O183" s="127">
        <v>0</v>
      </c>
      <c r="P183" s="127">
        <f t="shared" ref="P183:P219" si="31">O183*H183</f>
        <v>0</v>
      </c>
      <c r="Q183" s="127">
        <v>0</v>
      </c>
      <c r="R183" s="127">
        <f t="shared" ref="R183:R219" si="32">Q183*H183</f>
        <v>0</v>
      </c>
      <c r="S183" s="127">
        <v>0</v>
      </c>
      <c r="T183" s="128">
        <f t="shared" ref="T183:T219" si="33">S183*H183</f>
        <v>0</v>
      </c>
      <c r="AR183" s="129" t="s">
        <v>235</v>
      </c>
      <c r="AT183" s="129" t="s">
        <v>231</v>
      </c>
      <c r="AU183" s="129" t="s">
        <v>76</v>
      </c>
      <c r="AY183" s="13" t="s">
        <v>228</v>
      </c>
      <c r="BE183" s="130">
        <f t="shared" ref="BE183:BE219" si="34">IF(N183="základná",J183,0)</f>
        <v>0</v>
      </c>
      <c r="BF183" s="130">
        <f t="shared" ref="BF183:BF219" si="35">IF(N183="znížená",J183,0)</f>
        <v>630</v>
      </c>
      <c r="BG183" s="130">
        <f t="shared" ref="BG183:BG219" si="36">IF(N183="zákl. prenesená",J183,0)</f>
        <v>0</v>
      </c>
      <c r="BH183" s="130">
        <f t="shared" ref="BH183:BH219" si="37">IF(N183="zníž. prenesená",J183,0)</f>
        <v>0</v>
      </c>
      <c r="BI183" s="130">
        <f t="shared" ref="BI183:BI219" si="38">IF(N183="nulová",J183,0)</f>
        <v>0</v>
      </c>
      <c r="BJ183" s="13" t="s">
        <v>76</v>
      </c>
      <c r="BK183" s="130">
        <f t="shared" ref="BK183:BK219" si="39">ROUND(I183*H183,2)</f>
        <v>630</v>
      </c>
      <c r="BL183" s="13" t="s">
        <v>235</v>
      </c>
      <c r="BM183" s="129" t="s">
        <v>414</v>
      </c>
    </row>
    <row r="184" spans="2:65" s="1" customFormat="1" ht="16.5" customHeight="1" x14ac:dyDescent="0.2">
      <c r="B184" s="118"/>
      <c r="C184" s="119" t="s">
        <v>415</v>
      </c>
      <c r="D184" s="119" t="s">
        <v>231</v>
      </c>
      <c r="E184" s="120" t="s">
        <v>4209</v>
      </c>
      <c r="F184" s="121" t="s">
        <v>4210</v>
      </c>
      <c r="G184" s="122" t="s">
        <v>292</v>
      </c>
      <c r="H184" s="123">
        <v>40</v>
      </c>
      <c r="I184" s="124">
        <v>3.61</v>
      </c>
      <c r="J184" s="124">
        <f t="shared" si="30"/>
        <v>144.4</v>
      </c>
      <c r="K184" s="121" t="s">
        <v>1</v>
      </c>
      <c r="L184" s="24"/>
      <c r="M184" s="125" t="s">
        <v>1</v>
      </c>
      <c r="N184" s="126" t="s">
        <v>32</v>
      </c>
      <c r="O184" s="127">
        <v>0</v>
      </c>
      <c r="P184" s="127">
        <f t="shared" si="31"/>
        <v>0</v>
      </c>
      <c r="Q184" s="127">
        <v>0</v>
      </c>
      <c r="R184" s="127">
        <f t="shared" si="32"/>
        <v>0</v>
      </c>
      <c r="S184" s="127">
        <v>0</v>
      </c>
      <c r="T184" s="128">
        <f t="shared" si="33"/>
        <v>0</v>
      </c>
      <c r="AR184" s="129" t="s">
        <v>235</v>
      </c>
      <c r="AT184" s="129" t="s">
        <v>231</v>
      </c>
      <c r="AU184" s="129" t="s">
        <v>76</v>
      </c>
      <c r="AY184" s="13" t="s">
        <v>228</v>
      </c>
      <c r="BE184" s="130">
        <f t="shared" si="34"/>
        <v>0</v>
      </c>
      <c r="BF184" s="130">
        <f t="shared" si="35"/>
        <v>144.4</v>
      </c>
      <c r="BG184" s="130">
        <f t="shared" si="36"/>
        <v>0</v>
      </c>
      <c r="BH184" s="130">
        <f t="shared" si="37"/>
        <v>0</v>
      </c>
      <c r="BI184" s="130">
        <f t="shared" si="38"/>
        <v>0</v>
      </c>
      <c r="BJ184" s="13" t="s">
        <v>76</v>
      </c>
      <c r="BK184" s="130">
        <f t="shared" si="39"/>
        <v>144.4</v>
      </c>
      <c r="BL184" s="13" t="s">
        <v>235</v>
      </c>
      <c r="BM184" s="129" t="s">
        <v>418</v>
      </c>
    </row>
    <row r="185" spans="2:65" s="1" customFormat="1" ht="16.5" customHeight="1" x14ac:dyDescent="0.2">
      <c r="B185" s="118"/>
      <c r="C185" s="119" t="s">
        <v>326</v>
      </c>
      <c r="D185" s="119" t="s">
        <v>231</v>
      </c>
      <c r="E185" s="120" t="s">
        <v>2852</v>
      </c>
      <c r="F185" s="121" t="s">
        <v>2853</v>
      </c>
      <c r="G185" s="122" t="s">
        <v>292</v>
      </c>
      <c r="H185" s="123">
        <v>40</v>
      </c>
      <c r="I185" s="124">
        <v>1.6</v>
      </c>
      <c r="J185" s="124">
        <f t="shared" si="30"/>
        <v>64</v>
      </c>
      <c r="K185" s="121" t="s">
        <v>1</v>
      </c>
      <c r="L185" s="24"/>
      <c r="M185" s="125" t="s">
        <v>1</v>
      </c>
      <c r="N185" s="126" t="s">
        <v>32</v>
      </c>
      <c r="O185" s="127">
        <v>0</v>
      </c>
      <c r="P185" s="127">
        <f t="shared" si="31"/>
        <v>0</v>
      </c>
      <c r="Q185" s="127">
        <v>0</v>
      </c>
      <c r="R185" s="127">
        <f t="shared" si="32"/>
        <v>0</v>
      </c>
      <c r="S185" s="127">
        <v>0</v>
      </c>
      <c r="T185" s="128">
        <f t="shared" si="33"/>
        <v>0</v>
      </c>
      <c r="AR185" s="129" t="s">
        <v>235</v>
      </c>
      <c r="AT185" s="129" t="s">
        <v>231</v>
      </c>
      <c r="AU185" s="129" t="s">
        <v>76</v>
      </c>
      <c r="AY185" s="13" t="s">
        <v>228</v>
      </c>
      <c r="BE185" s="130">
        <f t="shared" si="34"/>
        <v>0</v>
      </c>
      <c r="BF185" s="130">
        <f t="shared" si="35"/>
        <v>64</v>
      </c>
      <c r="BG185" s="130">
        <f t="shared" si="36"/>
        <v>0</v>
      </c>
      <c r="BH185" s="130">
        <f t="shared" si="37"/>
        <v>0</v>
      </c>
      <c r="BI185" s="130">
        <f t="shared" si="38"/>
        <v>0</v>
      </c>
      <c r="BJ185" s="13" t="s">
        <v>76</v>
      </c>
      <c r="BK185" s="130">
        <f t="shared" si="39"/>
        <v>64</v>
      </c>
      <c r="BL185" s="13" t="s">
        <v>235</v>
      </c>
      <c r="BM185" s="129" t="s">
        <v>421</v>
      </c>
    </row>
    <row r="186" spans="2:65" s="1" customFormat="1" ht="16.5" customHeight="1" x14ac:dyDescent="0.2">
      <c r="B186" s="118"/>
      <c r="C186" s="119" t="s">
        <v>422</v>
      </c>
      <c r="D186" s="119" t="s">
        <v>231</v>
      </c>
      <c r="E186" s="120" t="s">
        <v>2856</v>
      </c>
      <c r="F186" s="121" t="s">
        <v>2857</v>
      </c>
      <c r="G186" s="122" t="s">
        <v>292</v>
      </c>
      <c r="H186" s="123">
        <v>220</v>
      </c>
      <c r="I186" s="124">
        <v>0.73</v>
      </c>
      <c r="J186" s="124">
        <f t="shared" si="30"/>
        <v>160.6</v>
      </c>
      <c r="K186" s="121" t="s">
        <v>1</v>
      </c>
      <c r="L186" s="24"/>
      <c r="M186" s="125" t="s">
        <v>1</v>
      </c>
      <c r="N186" s="126" t="s">
        <v>32</v>
      </c>
      <c r="O186" s="127">
        <v>0</v>
      </c>
      <c r="P186" s="127">
        <f t="shared" si="31"/>
        <v>0</v>
      </c>
      <c r="Q186" s="127">
        <v>0</v>
      </c>
      <c r="R186" s="127">
        <f t="shared" si="32"/>
        <v>0</v>
      </c>
      <c r="S186" s="127">
        <v>0</v>
      </c>
      <c r="T186" s="128">
        <f t="shared" si="33"/>
        <v>0</v>
      </c>
      <c r="AR186" s="129" t="s">
        <v>235</v>
      </c>
      <c r="AT186" s="129" t="s">
        <v>231</v>
      </c>
      <c r="AU186" s="129" t="s">
        <v>76</v>
      </c>
      <c r="AY186" s="13" t="s">
        <v>228</v>
      </c>
      <c r="BE186" s="130">
        <f t="shared" si="34"/>
        <v>0</v>
      </c>
      <c r="BF186" s="130">
        <f t="shared" si="35"/>
        <v>160.6</v>
      </c>
      <c r="BG186" s="130">
        <f t="shared" si="36"/>
        <v>0</v>
      </c>
      <c r="BH186" s="130">
        <f t="shared" si="37"/>
        <v>0</v>
      </c>
      <c r="BI186" s="130">
        <f t="shared" si="38"/>
        <v>0</v>
      </c>
      <c r="BJ186" s="13" t="s">
        <v>76</v>
      </c>
      <c r="BK186" s="130">
        <f t="shared" si="39"/>
        <v>160.6</v>
      </c>
      <c r="BL186" s="13" t="s">
        <v>235</v>
      </c>
      <c r="BM186" s="129" t="s">
        <v>425</v>
      </c>
    </row>
    <row r="187" spans="2:65" s="1" customFormat="1" ht="16.5" customHeight="1" x14ac:dyDescent="0.2">
      <c r="B187" s="118"/>
      <c r="C187" s="119" t="s">
        <v>330</v>
      </c>
      <c r="D187" s="119" t="s">
        <v>231</v>
      </c>
      <c r="E187" s="120" t="s">
        <v>2858</v>
      </c>
      <c r="F187" s="121" t="s">
        <v>2859</v>
      </c>
      <c r="G187" s="122" t="s">
        <v>292</v>
      </c>
      <c r="H187" s="123">
        <v>300</v>
      </c>
      <c r="I187" s="124">
        <v>2.0099999999999998</v>
      </c>
      <c r="J187" s="124">
        <f t="shared" si="30"/>
        <v>603</v>
      </c>
      <c r="K187" s="121" t="s">
        <v>1</v>
      </c>
      <c r="L187" s="24"/>
      <c r="M187" s="125" t="s">
        <v>1</v>
      </c>
      <c r="N187" s="126" t="s">
        <v>32</v>
      </c>
      <c r="O187" s="127">
        <v>0</v>
      </c>
      <c r="P187" s="127">
        <f t="shared" si="31"/>
        <v>0</v>
      </c>
      <c r="Q187" s="127">
        <v>0</v>
      </c>
      <c r="R187" s="127">
        <f t="shared" si="32"/>
        <v>0</v>
      </c>
      <c r="S187" s="127">
        <v>0</v>
      </c>
      <c r="T187" s="128">
        <f t="shared" si="33"/>
        <v>0</v>
      </c>
      <c r="AR187" s="129" t="s">
        <v>235</v>
      </c>
      <c r="AT187" s="129" t="s">
        <v>231</v>
      </c>
      <c r="AU187" s="129" t="s">
        <v>76</v>
      </c>
      <c r="AY187" s="13" t="s">
        <v>228</v>
      </c>
      <c r="BE187" s="130">
        <f t="shared" si="34"/>
        <v>0</v>
      </c>
      <c r="BF187" s="130">
        <f t="shared" si="35"/>
        <v>603</v>
      </c>
      <c r="BG187" s="130">
        <f t="shared" si="36"/>
        <v>0</v>
      </c>
      <c r="BH187" s="130">
        <f t="shared" si="37"/>
        <v>0</v>
      </c>
      <c r="BI187" s="130">
        <f t="shared" si="38"/>
        <v>0</v>
      </c>
      <c r="BJ187" s="13" t="s">
        <v>76</v>
      </c>
      <c r="BK187" s="130">
        <f t="shared" si="39"/>
        <v>603</v>
      </c>
      <c r="BL187" s="13" t="s">
        <v>235</v>
      </c>
      <c r="BM187" s="129" t="s">
        <v>428</v>
      </c>
    </row>
    <row r="188" spans="2:65" s="1" customFormat="1" ht="16.5" customHeight="1" x14ac:dyDescent="0.2">
      <c r="B188" s="118"/>
      <c r="C188" s="119" t="s">
        <v>429</v>
      </c>
      <c r="D188" s="119" t="s">
        <v>231</v>
      </c>
      <c r="E188" s="120" t="s">
        <v>2860</v>
      </c>
      <c r="F188" s="121" t="s">
        <v>2861</v>
      </c>
      <c r="G188" s="122" t="s">
        <v>292</v>
      </c>
      <c r="H188" s="123">
        <v>120</v>
      </c>
      <c r="I188" s="124">
        <v>0.8</v>
      </c>
      <c r="J188" s="124">
        <f t="shared" si="30"/>
        <v>96</v>
      </c>
      <c r="K188" s="121" t="s">
        <v>1</v>
      </c>
      <c r="L188" s="24"/>
      <c r="M188" s="125" t="s">
        <v>1</v>
      </c>
      <c r="N188" s="126" t="s">
        <v>32</v>
      </c>
      <c r="O188" s="127">
        <v>0</v>
      </c>
      <c r="P188" s="127">
        <f t="shared" si="31"/>
        <v>0</v>
      </c>
      <c r="Q188" s="127">
        <v>0</v>
      </c>
      <c r="R188" s="127">
        <f t="shared" si="32"/>
        <v>0</v>
      </c>
      <c r="S188" s="127">
        <v>0</v>
      </c>
      <c r="T188" s="128">
        <f t="shared" si="33"/>
        <v>0</v>
      </c>
      <c r="AR188" s="129" t="s">
        <v>235</v>
      </c>
      <c r="AT188" s="129" t="s">
        <v>231</v>
      </c>
      <c r="AU188" s="129" t="s">
        <v>76</v>
      </c>
      <c r="AY188" s="13" t="s">
        <v>228</v>
      </c>
      <c r="BE188" s="130">
        <f t="shared" si="34"/>
        <v>0</v>
      </c>
      <c r="BF188" s="130">
        <f t="shared" si="35"/>
        <v>96</v>
      </c>
      <c r="BG188" s="130">
        <f t="shared" si="36"/>
        <v>0</v>
      </c>
      <c r="BH188" s="130">
        <f t="shared" si="37"/>
        <v>0</v>
      </c>
      <c r="BI188" s="130">
        <f t="shared" si="38"/>
        <v>0</v>
      </c>
      <c r="BJ188" s="13" t="s">
        <v>76</v>
      </c>
      <c r="BK188" s="130">
        <f t="shared" si="39"/>
        <v>96</v>
      </c>
      <c r="BL188" s="13" t="s">
        <v>235</v>
      </c>
      <c r="BM188" s="129" t="s">
        <v>432</v>
      </c>
    </row>
    <row r="189" spans="2:65" s="1" customFormat="1" ht="16.5" customHeight="1" x14ac:dyDescent="0.2">
      <c r="B189" s="118"/>
      <c r="C189" s="119" t="s">
        <v>333</v>
      </c>
      <c r="D189" s="119" t="s">
        <v>231</v>
      </c>
      <c r="E189" s="120" t="s">
        <v>4211</v>
      </c>
      <c r="F189" s="121" t="s">
        <v>4212</v>
      </c>
      <c r="G189" s="122" t="s">
        <v>292</v>
      </c>
      <c r="H189" s="123">
        <v>10</v>
      </c>
      <c r="I189" s="124">
        <v>5.61</v>
      </c>
      <c r="J189" s="124">
        <f t="shared" si="30"/>
        <v>56.1</v>
      </c>
      <c r="K189" s="121" t="s">
        <v>1</v>
      </c>
      <c r="L189" s="24"/>
      <c r="M189" s="125" t="s">
        <v>1</v>
      </c>
      <c r="N189" s="126" t="s">
        <v>32</v>
      </c>
      <c r="O189" s="127">
        <v>0</v>
      </c>
      <c r="P189" s="127">
        <f t="shared" si="31"/>
        <v>0</v>
      </c>
      <c r="Q189" s="127">
        <v>0</v>
      </c>
      <c r="R189" s="127">
        <f t="shared" si="32"/>
        <v>0</v>
      </c>
      <c r="S189" s="127">
        <v>0</v>
      </c>
      <c r="T189" s="128">
        <f t="shared" si="33"/>
        <v>0</v>
      </c>
      <c r="AR189" s="129" t="s">
        <v>235</v>
      </c>
      <c r="AT189" s="129" t="s">
        <v>231</v>
      </c>
      <c r="AU189" s="129" t="s">
        <v>76</v>
      </c>
      <c r="AY189" s="13" t="s">
        <v>228</v>
      </c>
      <c r="BE189" s="130">
        <f t="shared" si="34"/>
        <v>0</v>
      </c>
      <c r="BF189" s="130">
        <f t="shared" si="35"/>
        <v>56.1</v>
      </c>
      <c r="BG189" s="130">
        <f t="shared" si="36"/>
        <v>0</v>
      </c>
      <c r="BH189" s="130">
        <f t="shared" si="37"/>
        <v>0</v>
      </c>
      <c r="BI189" s="130">
        <f t="shared" si="38"/>
        <v>0</v>
      </c>
      <c r="BJ189" s="13" t="s">
        <v>76</v>
      </c>
      <c r="BK189" s="130">
        <f t="shared" si="39"/>
        <v>56.1</v>
      </c>
      <c r="BL189" s="13" t="s">
        <v>235</v>
      </c>
      <c r="BM189" s="129" t="s">
        <v>435</v>
      </c>
    </row>
    <row r="190" spans="2:65" s="1" customFormat="1" ht="16.5" customHeight="1" x14ac:dyDescent="0.2">
      <c r="B190" s="118"/>
      <c r="C190" s="119" t="s">
        <v>438</v>
      </c>
      <c r="D190" s="119" t="s">
        <v>231</v>
      </c>
      <c r="E190" s="120" t="s">
        <v>4213</v>
      </c>
      <c r="F190" s="121" t="s">
        <v>4214</v>
      </c>
      <c r="G190" s="122" t="s">
        <v>292</v>
      </c>
      <c r="H190" s="123">
        <v>10</v>
      </c>
      <c r="I190" s="124">
        <v>4.68</v>
      </c>
      <c r="J190" s="124">
        <f t="shared" si="30"/>
        <v>46.8</v>
      </c>
      <c r="K190" s="121" t="s">
        <v>1</v>
      </c>
      <c r="L190" s="24"/>
      <c r="M190" s="125" t="s">
        <v>1</v>
      </c>
      <c r="N190" s="126" t="s">
        <v>32</v>
      </c>
      <c r="O190" s="127">
        <v>0</v>
      </c>
      <c r="P190" s="127">
        <f t="shared" si="31"/>
        <v>0</v>
      </c>
      <c r="Q190" s="127">
        <v>0</v>
      </c>
      <c r="R190" s="127">
        <f t="shared" si="32"/>
        <v>0</v>
      </c>
      <c r="S190" s="127">
        <v>0</v>
      </c>
      <c r="T190" s="128">
        <f t="shared" si="33"/>
        <v>0</v>
      </c>
      <c r="AR190" s="129" t="s">
        <v>235</v>
      </c>
      <c r="AT190" s="129" t="s">
        <v>231</v>
      </c>
      <c r="AU190" s="129" t="s">
        <v>76</v>
      </c>
      <c r="AY190" s="13" t="s">
        <v>228</v>
      </c>
      <c r="BE190" s="130">
        <f t="shared" si="34"/>
        <v>0</v>
      </c>
      <c r="BF190" s="130">
        <f t="shared" si="35"/>
        <v>46.8</v>
      </c>
      <c r="BG190" s="130">
        <f t="shared" si="36"/>
        <v>0</v>
      </c>
      <c r="BH190" s="130">
        <f t="shared" si="37"/>
        <v>0</v>
      </c>
      <c r="BI190" s="130">
        <f t="shared" si="38"/>
        <v>0</v>
      </c>
      <c r="BJ190" s="13" t="s">
        <v>76</v>
      </c>
      <c r="BK190" s="130">
        <f t="shared" si="39"/>
        <v>46.8</v>
      </c>
      <c r="BL190" s="13" t="s">
        <v>235</v>
      </c>
      <c r="BM190" s="129" t="s">
        <v>441</v>
      </c>
    </row>
    <row r="191" spans="2:65" s="1" customFormat="1" ht="24" customHeight="1" x14ac:dyDescent="0.2">
      <c r="B191" s="118"/>
      <c r="C191" s="119" t="s">
        <v>337</v>
      </c>
      <c r="D191" s="119" t="s">
        <v>231</v>
      </c>
      <c r="E191" s="120" t="s">
        <v>2866</v>
      </c>
      <c r="F191" s="121" t="s">
        <v>2867</v>
      </c>
      <c r="G191" s="122" t="s">
        <v>292</v>
      </c>
      <c r="H191" s="123">
        <v>40</v>
      </c>
      <c r="I191" s="124">
        <v>1</v>
      </c>
      <c r="J191" s="124">
        <f t="shared" si="30"/>
        <v>40</v>
      </c>
      <c r="K191" s="121" t="s">
        <v>1</v>
      </c>
      <c r="L191" s="24"/>
      <c r="M191" s="125" t="s">
        <v>1</v>
      </c>
      <c r="N191" s="126" t="s">
        <v>32</v>
      </c>
      <c r="O191" s="127">
        <v>0</v>
      </c>
      <c r="P191" s="127">
        <f t="shared" si="31"/>
        <v>0</v>
      </c>
      <c r="Q191" s="127">
        <v>0</v>
      </c>
      <c r="R191" s="127">
        <f t="shared" si="32"/>
        <v>0</v>
      </c>
      <c r="S191" s="127">
        <v>0</v>
      </c>
      <c r="T191" s="128">
        <f t="shared" si="33"/>
        <v>0</v>
      </c>
      <c r="AR191" s="129" t="s">
        <v>235</v>
      </c>
      <c r="AT191" s="129" t="s">
        <v>231</v>
      </c>
      <c r="AU191" s="129" t="s">
        <v>76</v>
      </c>
      <c r="AY191" s="13" t="s">
        <v>228</v>
      </c>
      <c r="BE191" s="130">
        <f t="shared" si="34"/>
        <v>0</v>
      </c>
      <c r="BF191" s="130">
        <f t="shared" si="35"/>
        <v>40</v>
      </c>
      <c r="BG191" s="130">
        <f t="shared" si="36"/>
        <v>0</v>
      </c>
      <c r="BH191" s="130">
        <f t="shared" si="37"/>
        <v>0</v>
      </c>
      <c r="BI191" s="130">
        <f t="shared" si="38"/>
        <v>0</v>
      </c>
      <c r="BJ191" s="13" t="s">
        <v>76</v>
      </c>
      <c r="BK191" s="130">
        <f t="shared" si="39"/>
        <v>40</v>
      </c>
      <c r="BL191" s="13" t="s">
        <v>235</v>
      </c>
      <c r="BM191" s="129" t="s">
        <v>444</v>
      </c>
    </row>
    <row r="192" spans="2:65" s="1" customFormat="1" ht="16.5" customHeight="1" x14ac:dyDescent="0.2">
      <c r="B192" s="118"/>
      <c r="C192" s="119" t="s">
        <v>445</v>
      </c>
      <c r="D192" s="119" t="s">
        <v>231</v>
      </c>
      <c r="E192" s="120" t="s">
        <v>2868</v>
      </c>
      <c r="F192" s="121" t="s">
        <v>2869</v>
      </c>
      <c r="G192" s="122" t="s">
        <v>292</v>
      </c>
      <c r="H192" s="123">
        <v>80</v>
      </c>
      <c r="I192" s="124">
        <v>0.73</v>
      </c>
      <c r="J192" s="124">
        <f t="shared" si="30"/>
        <v>58.4</v>
      </c>
      <c r="K192" s="121" t="s">
        <v>1</v>
      </c>
      <c r="L192" s="24"/>
      <c r="M192" s="125" t="s">
        <v>1</v>
      </c>
      <c r="N192" s="126" t="s">
        <v>32</v>
      </c>
      <c r="O192" s="127">
        <v>0</v>
      </c>
      <c r="P192" s="127">
        <f t="shared" si="31"/>
        <v>0</v>
      </c>
      <c r="Q192" s="127">
        <v>0</v>
      </c>
      <c r="R192" s="127">
        <f t="shared" si="32"/>
        <v>0</v>
      </c>
      <c r="S192" s="127">
        <v>0</v>
      </c>
      <c r="T192" s="128">
        <f t="shared" si="33"/>
        <v>0</v>
      </c>
      <c r="AR192" s="129" t="s">
        <v>235</v>
      </c>
      <c r="AT192" s="129" t="s">
        <v>231</v>
      </c>
      <c r="AU192" s="129" t="s">
        <v>76</v>
      </c>
      <c r="AY192" s="13" t="s">
        <v>228</v>
      </c>
      <c r="BE192" s="130">
        <f t="shared" si="34"/>
        <v>0</v>
      </c>
      <c r="BF192" s="130">
        <f t="shared" si="35"/>
        <v>58.4</v>
      </c>
      <c r="BG192" s="130">
        <f t="shared" si="36"/>
        <v>0</v>
      </c>
      <c r="BH192" s="130">
        <f t="shared" si="37"/>
        <v>0</v>
      </c>
      <c r="BI192" s="130">
        <f t="shared" si="38"/>
        <v>0</v>
      </c>
      <c r="BJ192" s="13" t="s">
        <v>76</v>
      </c>
      <c r="BK192" s="130">
        <f t="shared" si="39"/>
        <v>58.4</v>
      </c>
      <c r="BL192" s="13" t="s">
        <v>235</v>
      </c>
      <c r="BM192" s="129" t="s">
        <v>448</v>
      </c>
    </row>
    <row r="193" spans="2:65" s="1" customFormat="1" ht="16.5" customHeight="1" x14ac:dyDescent="0.2">
      <c r="B193" s="118"/>
      <c r="C193" s="119" t="s">
        <v>340</v>
      </c>
      <c r="D193" s="119" t="s">
        <v>231</v>
      </c>
      <c r="E193" s="120" t="s">
        <v>2870</v>
      </c>
      <c r="F193" s="121" t="s">
        <v>2871</v>
      </c>
      <c r="G193" s="122" t="s">
        <v>292</v>
      </c>
      <c r="H193" s="123">
        <v>80</v>
      </c>
      <c r="I193" s="124">
        <v>1.21</v>
      </c>
      <c r="J193" s="124">
        <f t="shared" si="30"/>
        <v>96.8</v>
      </c>
      <c r="K193" s="121" t="s">
        <v>1</v>
      </c>
      <c r="L193" s="24"/>
      <c r="M193" s="125" t="s">
        <v>1</v>
      </c>
      <c r="N193" s="126" t="s">
        <v>32</v>
      </c>
      <c r="O193" s="127">
        <v>0</v>
      </c>
      <c r="P193" s="127">
        <f t="shared" si="31"/>
        <v>0</v>
      </c>
      <c r="Q193" s="127">
        <v>0</v>
      </c>
      <c r="R193" s="127">
        <f t="shared" si="32"/>
        <v>0</v>
      </c>
      <c r="S193" s="127">
        <v>0</v>
      </c>
      <c r="T193" s="128">
        <f t="shared" si="33"/>
        <v>0</v>
      </c>
      <c r="AR193" s="129" t="s">
        <v>235</v>
      </c>
      <c r="AT193" s="129" t="s">
        <v>231</v>
      </c>
      <c r="AU193" s="129" t="s">
        <v>76</v>
      </c>
      <c r="AY193" s="13" t="s">
        <v>228</v>
      </c>
      <c r="BE193" s="130">
        <f t="shared" si="34"/>
        <v>0</v>
      </c>
      <c r="BF193" s="130">
        <f t="shared" si="35"/>
        <v>96.8</v>
      </c>
      <c r="BG193" s="130">
        <f t="shared" si="36"/>
        <v>0</v>
      </c>
      <c r="BH193" s="130">
        <f t="shared" si="37"/>
        <v>0</v>
      </c>
      <c r="BI193" s="130">
        <f t="shared" si="38"/>
        <v>0</v>
      </c>
      <c r="BJ193" s="13" t="s">
        <v>76</v>
      </c>
      <c r="BK193" s="130">
        <f t="shared" si="39"/>
        <v>96.8</v>
      </c>
      <c r="BL193" s="13" t="s">
        <v>235</v>
      </c>
      <c r="BM193" s="129" t="s">
        <v>451</v>
      </c>
    </row>
    <row r="194" spans="2:65" s="1" customFormat="1" ht="16.5" customHeight="1" x14ac:dyDescent="0.2">
      <c r="B194" s="118"/>
      <c r="C194" s="119" t="s">
        <v>452</v>
      </c>
      <c r="D194" s="119" t="s">
        <v>231</v>
      </c>
      <c r="E194" s="120" t="s">
        <v>4215</v>
      </c>
      <c r="F194" s="121" t="s">
        <v>2873</v>
      </c>
      <c r="G194" s="122" t="s">
        <v>243</v>
      </c>
      <c r="H194" s="123">
        <v>63</v>
      </c>
      <c r="I194" s="124">
        <v>0.67</v>
      </c>
      <c r="J194" s="124">
        <f t="shared" si="30"/>
        <v>42.21</v>
      </c>
      <c r="K194" s="121" t="s">
        <v>1</v>
      </c>
      <c r="L194" s="24"/>
      <c r="M194" s="125" t="s">
        <v>1</v>
      </c>
      <c r="N194" s="126" t="s">
        <v>32</v>
      </c>
      <c r="O194" s="127">
        <v>0</v>
      </c>
      <c r="P194" s="127">
        <f t="shared" si="31"/>
        <v>0</v>
      </c>
      <c r="Q194" s="127">
        <v>0</v>
      </c>
      <c r="R194" s="127">
        <f t="shared" si="32"/>
        <v>0</v>
      </c>
      <c r="S194" s="127">
        <v>0</v>
      </c>
      <c r="T194" s="128">
        <f t="shared" si="33"/>
        <v>0</v>
      </c>
      <c r="AR194" s="129" t="s">
        <v>235</v>
      </c>
      <c r="AT194" s="129" t="s">
        <v>231</v>
      </c>
      <c r="AU194" s="129" t="s">
        <v>76</v>
      </c>
      <c r="AY194" s="13" t="s">
        <v>228</v>
      </c>
      <c r="BE194" s="130">
        <f t="shared" si="34"/>
        <v>0</v>
      </c>
      <c r="BF194" s="130">
        <f t="shared" si="35"/>
        <v>42.21</v>
      </c>
      <c r="BG194" s="130">
        <f t="shared" si="36"/>
        <v>0</v>
      </c>
      <c r="BH194" s="130">
        <f t="shared" si="37"/>
        <v>0</v>
      </c>
      <c r="BI194" s="130">
        <f t="shared" si="38"/>
        <v>0</v>
      </c>
      <c r="BJ194" s="13" t="s">
        <v>76</v>
      </c>
      <c r="BK194" s="130">
        <f t="shared" si="39"/>
        <v>42.21</v>
      </c>
      <c r="BL194" s="13" t="s">
        <v>235</v>
      </c>
      <c r="BM194" s="129" t="s">
        <v>455</v>
      </c>
    </row>
    <row r="195" spans="2:65" s="1" customFormat="1" ht="16.5" customHeight="1" x14ac:dyDescent="0.2">
      <c r="B195" s="118"/>
      <c r="C195" s="119" t="s">
        <v>344</v>
      </c>
      <c r="D195" s="119" t="s">
        <v>231</v>
      </c>
      <c r="E195" s="120" t="s">
        <v>2874</v>
      </c>
      <c r="F195" s="121" t="s">
        <v>2875</v>
      </c>
      <c r="G195" s="122" t="s">
        <v>1194</v>
      </c>
      <c r="H195" s="123">
        <v>17</v>
      </c>
      <c r="I195" s="124">
        <v>11.35</v>
      </c>
      <c r="J195" s="124">
        <f t="shared" si="30"/>
        <v>192.95</v>
      </c>
      <c r="K195" s="121" t="s">
        <v>1</v>
      </c>
      <c r="L195" s="24"/>
      <c r="M195" s="125" t="s">
        <v>1</v>
      </c>
      <c r="N195" s="126" t="s">
        <v>32</v>
      </c>
      <c r="O195" s="127">
        <v>0</v>
      </c>
      <c r="P195" s="127">
        <f t="shared" si="31"/>
        <v>0</v>
      </c>
      <c r="Q195" s="127">
        <v>0</v>
      </c>
      <c r="R195" s="127">
        <f t="shared" si="32"/>
        <v>0</v>
      </c>
      <c r="S195" s="127">
        <v>0</v>
      </c>
      <c r="T195" s="128">
        <f t="shared" si="33"/>
        <v>0</v>
      </c>
      <c r="AR195" s="129" t="s">
        <v>235</v>
      </c>
      <c r="AT195" s="129" t="s">
        <v>231</v>
      </c>
      <c r="AU195" s="129" t="s">
        <v>76</v>
      </c>
      <c r="AY195" s="13" t="s">
        <v>228</v>
      </c>
      <c r="BE195" s="130">
        <f t="shared" si="34"/>
        <v>0</v>
      </c>
      <c r="BF195" s="130">
        <f t="shared" si="35"/>
        <v>192.95</v>
      </c>
      <c r="BG195" s="130">
        <f t="shared" si="36"/>
        <v>0</v>
      </c>
      <c r="BH195" s="130">
        <f t="shared" si="37"/>
        <v>0</v>
      </c>
      <c r="BI195" s="130">
        <f t="shared" si="38"/>
        <v>0</v>
      </c>
      <c r="BJ195" s="13" t="s">
        <v>76</v>
      </c>
      <c r="BK195" s="130">
        <f t="shared" si="39"/>
        <v>192.95</v>
      </c>
      <c r="BL195" s="13" t="s">
        <v>235</v>
      </c>
      <c r="BM195" s="129" t="s">
        <v>458</v>
      </c>
    </row>
    <row r="196" spans="2:65" s="1" customFormat="1" ht="16.5" customHeight="1" x14ac:dyDescent="0.2">
      <c r="B196" s="118"/>
      <c r="C196" s="119" t="s">
        <v>459</v>
      </c>
      <c r="D196" s="119" t="s">
        <v>231</v>
      </c>
      <c r="E196" s="120" t="s">
        <v>2876</v>
      </c>
      <c r="F196" s="121" t="s">
        <v>2877</v>
      </c>
      <c r="G196" s="122" t="s">
        <v>292</v>
      </c>
      <c r="H196" s="123">
        <v>30</v>
      </c>
      <c r="I196" s="124">
        <v>14.02</v>
      </c>
      <c r="J196" s="124">
        <f t="shared" si="30"/>
        <v>420.6</v>
      </c>
      <c r="K196" s="121" t="s">
        <v>1</v>
      </c>
      <c r="L196" s="24"/>
      <c r="M196" s="125" t="s">
        <v>1</v>
      </c>
      <c r="N196" s="126" t="s">
        <v>32</v>
      </c>
      <c r="O196" s="127">
        <v>0</v>
      </c>
      <c r="P196" s="127">
        <f t="shared" si="31"/>
        <v>0</v>
      </c>
      <c r="Q196" s="127">
        <v>0</v>
      </c>
      <c r="R196" s="127">
        <f t="shared" si="32"/>
        <v>0</v>
      </c>
      <c r="S196" s="127">
        <v>0</v>
      </c>
      <c r="T196" s="128">
        <f t="shared" si="33"/>
        <v>0</v>
      </c>
      <c r="AR196" s="129" t="s">
        <v>235</v>
      </c>
      <c r="AT196" s="129" t="s">
        <v>231</v>
      </c>
      <c r="AU196" s="129" t="s">
        <v>76</v>
      </c>
      <c r="AY196" s="13" t="s">
        <v>228</v>
      </c>
      <c r="BE196" s="130">
        <f t="shared" si="34"/>
        <v>0</v>
      </c>
      <c r="BF196" s="130">
        <f t="shared" si="35"/>
        <v>420.6</v>
      </c>
      <c r="BG196" s="130">
        <f t="shared" si="36"/>
        <v>0</v>
      </c>
      <c r="BH196" s="130">
        <f t="shared" si="37"/>
        <v>0</v>
      </c>
      <c r="BI196" s="130">
        <f t="shared" si="38"/>
        <v>0</v>
      </c>
      <c r="BJ196" s="13" t="s">
        <v>76</v>
      </c>
      <c r="BK196" s="130">
        <f t="shared" si="39"/>
        <v>420.6</v>
      </c>
      <c r="BL196" s="13" t="s">
        <v>235</v>
      </c>
      <c r="BM196" s="129" t="s">
        <v>462</v>
      </c>
    </row>
    <row r="197" spans="2:65" s="1" customFormat="1" ht="16.5" customHeight="1" x14ac:dyDescent="0.2">
      <c r="B197" s="118"/>
      <c r="C197" s="119" t="s">
        <v>347</v>
      </c>
      <c r="D197" s="119" t="s">
        <v>231</v>
      </c>
      <c r="E197" s="120" t="s">
        <v>2878</v>
      </c>
      <c r="F197" s="121" t="s">
        <v>2879</v>
      </c>
      <c r="G197" s="122" t="s">
        <v>292</v>
      </c>
      <c r="H197" s="123">
        <v>60</v>
      </c>
      <c r="I197" s="124">
        <v>11.35</v>
      </c>
      <c r="J197" s="124">
        <f t="shared" si="30"/>
        <v>681</v>
      </c>
      <c r="K197" s="121" t="s">
        <v>1</v>
      </c>
      <c r="L197" s="24"/>
      <c r="M197" s="125" t="s">
        <v>1</v>
      </c>
      <c r="N197" s="126" t="s">
        <v>32</v>
      </c>
      <c r="O197" s="127">
        <v>0</v>
      </c>
      <c r="P197" s="127">
        <f t="shared" si="31"/>
        <v>0</v>
      </c>
      <c r="Q197" s="127">
        <v>0</v>
      </c>
      <c r="R197" s="127">
        <f t="shared" si="32"/>
        <v>0</v>
      </c>
      <c r="S197" s="127">
        <v>0</v>
      </c>
      <c r="T197" s="128">
        <f t="shared" si="33"/>
        <v>0</v>
      </c>
      <c r="AR197" s="129" t="s">
        <v>235</v>
      </c>
      <c r="AT197" s="129" t="s">
        <v>231</v>
      </c>
      <c r="AU197" s="129" t="s">
        <v>76</v>
      </c>
      <c r="AY197" s="13" t="s">
        <v>228</v>
      </c>
      <c r="BE197" s="130">
        <f t="shared" si="34"/>
        <v>0</v>
      </c>
      <c r="BF197" s="130">
        <f t="shared" si="35"/>
        <v>681</v>
      </c>
      <c r="BG197" s="130">
        <f t="shared" si="36"/>
        <v>0</v>
      </c>
      <c r="BH197" s="130">
        <f t="shared" si="37"/>
        <v>0</v>
      </c>
      <c r="BI197" s="130">
        <f t="shared" si="38"/>
        <v>0</v>
      </c>
      <c r="BJ197" s="13" t="s">
        <v>76</v>
      </c>
      <c r="BK197" s="130">
        <f t="shared" si="39"/>
        <v>681</v>
      </c>
      <c r="BL197" s="13" t="s">
        <v>235</v>
      </c>
      <c r="BM197" s="129" t="s">
        <v>465</v>
      </c>
    </row>
    <row r="198" spans="2:65" s="1" customFormat="1" ht="16.5" customHeight="1" x14ac:dyDescent="0.2">
      <c r="B198" s="118"/>
      <c r="C198" s="119" t="s">
        <v>466</v>
      </c>
      <c r="D198" s="119" t="s">
        <v>231</v>
      </c>
      <c r="E198" s="120" t="s">
        <v>2880</v>
      </c>
      <c r="F198" s="121" t="s">
        <v>2881</v>
      </c>
      <c r="G198" s="122" t="s">
        <v>292</v>
      </c>
      <c r="H198" s="123">
        <v>60</v>
      </c>
      <c r="I198" s="124">
        <v>8.68</v>
      </c>
      <c r="J198" s="124">
        <f t="shared" si="30"/>
        <v>520.79999999999995</v>
      </c>
      <c r="K198" s="121" t="s">
        <v>1</v>
      </c>
      <c r="L198" s="24"/>
      <c r="M198" s="125" t="s">
        <v>1</v>
      </c>
      <c r="N198" s="126" t="s">
        <v>32</v>
      </c>
      <c r="O198" s="127">
        <v>0</v>
      </c>
      <c r="P198" s="127">
        <f t="shared" si="31"/>
        <v>0</v>
      </c>
      <c r="Q198" s="127">
        <v>0</v>
      </c>
      <c r="R198" s="127">
        <f t="shared" si="32"/>
        <v>0</v>
      </c>
      <c r="S198" s="127">
        <v>0</v>
      </c>
      <c r="T198" s="128">
        <f t="shared" si="33"/>
        <v>0</v>
      </c>
      <c r="AR198" s="129" t="s">
        <v>235</v>
      </c>
      <c r="AT198" s="129" t="s">
        <v>231</v>
      </c>
      <c r="AU198" s="129" t="s">
        <v>76</v>
      </c>
      <c r="AY198" s="13" t="s">
        <v>228</v>
      </c>
      <c r="BE198" s="130">
        <f t="shared" si="34"/>
        <v>0</v>
      </c>
      <c r="BF198" s="130">
        <f t="shared" si="35"/>
        <v>520.79999999999995</v>
      </c>
      <c r="BG198" s="130">
        <f t="shared" si="36"/>
        <v>0</v>
      </c>
      <c r="BH198" s="130">
        <f t="shared" si="37"/>
        <v>0</v>
      </c>
      <c r="BI198" s="130">
        <f t="shared" si="38"/>
        <v>0</v>
      </c>
      <c r="BJ198" s="13" t="s">
        <v>76</v>
      </c>
      <c r="BK198" s="130">
        <f t="shared" si="39"/>
        <v>520.79999999999995</v>
      </c>
      <c r="BL198" s="13" t="s">
        <v>235</v>
      </c>
      <c r="BM198" s="129" t="s">
        <v>469</v>
      </c>
    </row>
    <row r="199" spans="2:65" s="1" customFormat="1" ht="16.5" customHeight="1" x14ac:dyDescent="0.2">
      <c r="B199" s="118"/>
      <c r="C199" s="119" t="s">
        <v>351</v>
      </c>
      <c r="D199" s="119" t="s">
        <v>231</v>
      </c>
      <c r="E199" s="120" t="s">
        <v>2882</v>
      </c>
      <c r="F199" s="121" t="s">
        <v>2883</v>
      </c>
      <c r="G199" s="122" t="s">
        <v>292</v>
      </c>
      <c r="H199" s="123">
        <v>90</v>
      </c>
      <c r="I199" s="124">
        <v>3.34</v>
      </c>
      <c r="J199" s="124">
        <f t="shared" si="30"/>
        <v>300.60000000000002</v>
      </c>
      <c r="K199" s="121" t="s">
        <v>1</v>
      </c>
      <c r="L199" s="24"/>
      <c r="M199" s="125" t="s">
        <v>1</v>
      </c>
      <c r="N199" s="126" t="s">
        <v>32</v>
      </c>
      <c r="O199" s="127">
        <v>0</v>
      </c>
      <c r="P199" s="127">
        <f t="shared" si="31"/>
        <v>0</v>
      </c>
      <c r="Q199" s="127">
        <v>0</v>
      </c>
      <c r="R199" s="127">
        <f t="shared" si="32"/>
        <v>0</v>
      </c>
      <c r="S199" s="127">
        <v>0</v>
      </c>
      <c r="T199" s="128">
        <f t="shared" si="33"/>
        <v>0</v>
      </c>
      <c r="AR199" s="129" t="s">
        <v>235</v>
      </c>
      <c r="AT199" s="129" t="s">
        <v>231</v>
      </c>
      <c r="AU199" s="129" t="s">
        <v>76</v>
      </c>
      <c r="AY199" s="13" t="s">
        <v>228</v>
      </c>
      <c r="BE199" s="130">
        <f t="shared" si="34"/>
        <v>0</v>
      </c>
      <c r="BF199" s="130">
        <f t="shared" si="35"/>
        <v>300.60000000000002</v>
      </c>
      <c r="BG199" s="130">
        <f t="shared" si="36"/>
        <v>0</v>
      </c>
      <c r="BH199" s="130">
        <f t="shared" si="37"/>
        <v>0</v>
      </c>
      <c r="BI199" s="130">
        <f t="shared" si="38"/>
        <v>0</v>
      </c>
      <c r="BJ199" s="13" t="s">
        <v>76</v>
      </c>
      <c r="BK199" s="130">
        <f t="shared" si="39"/>
        <v>300.60000000000002</v>
      </c>
      <c r="BL199" s="13" t="s">
        <v>235</v>
      </c>
      <c r="BM199" s="129" t="s">
        <v>472</v>
      </c>
    </row>
    <row r="200" spans="2:65" s="1" customFormat="1" ht="16.5" customHeight="1" x14ac:dyDescent="0.2">
      <c r="B200" s="118"/>
      <c r="C200" s="119" t="s">
        <v>473</v>
      </c>
      <c r="D200" s="119" t="s">
        <v>231</v>
      </c>
      <c r="E200" s="120" t="s">
        <v>2884</v>
      </c>
      <c r="F200" s="121" t="s">
        <v>2885</v>
      </c>
      <c r="G200" s="122" t="s">
        <v>292</v>
      </c>
      <c r="H200" s="123">
        <v>60</v>
      </c>
      <c r="I200" s="124">
        <v>1.74</v>
      </c>
      <c r="J200" s="124">
        <f t="shared" si="30"/>
        <v>104.4</v>
      </c>
      <c r="K200" s="121" t="s">
        <v>1</v>
      </c>
      <c r="L200" s="24"/>
      <c r="M200" s="125" t="s">
        <v>1</v>
      </c>
      <c r="N200" s="126" t="s">
        <v>32</v>
      </c>
      <c r="O200" s="127">
        <v>0</v>
      </c>
      <c r="P200" s="127">
        <f t="shared" si="31"/>
        <v>0</v>
      </c>
      <c r="Q200" s="127">
        <v>0</v>
      </c>
      <c r="R200" s="127">
        <f t="shared" si="32"/>
        <v>0</v>
      </c>
      <c r="S200" s="127">
        <v>0</v>
      </c>
      <c r="T200" s="128">
        <f t="shared" si="33"/>
        <v>0</v>
      </c>
      <c r="AR200" s="129" t="s">
        <v>235</v>
      </c>
      <c r="AT200" s="129" t="s">
        <v>231</v>
      </c>
      <c r="AU200" s="129" t="s">
        <v>76</v>
      </c>
      <c r="AY200" s="13" t="s">
        <v>228</v>
      </c>
      <c r="BE200" s="130">
        <f t="shared" si="34"/>
        <v>0</v>
      </c>
      <c r="BF200" s="130">
        <f t="shared" si="35"/>
        <v>104.4</v>
      </c>
      <c r="BG200" s="130">
        <f t="shared" si="36"/>
        <v>0</v>
      </c>
      <c r="BH200" s="130">
        <f t="shared" si="37"/>
        <v>0</v>
      </c>
      <c r="BI200" s="130">
        <f t="shared" si="38"/>
        <v>0</v>
      </c>
      <c r="BJ200" s="13" t="s">
        <v>76</v>
      </c>
      <c r="BK200" s="130">
        <f t="shared" si="39"/>
        <v>104.4</v>
      </c>
      <c r="BL200" s="13" t="s">
        <v>235</v>
      </c>
      <c r="BM200" s="129" t="s">
        <v>476</v>
      </c>
    </row>
    <row r="201" spans="2:65" s="1" customFormat="1" ht="24" customHeight="1" x14ac:dyDescent="0.2">
      <c r="B201" s="118"/>
      <c r="C201" s="119" t="s">
        <v>354</v>
      </c>
      <c r="D201" s="119" t="s">
        <v>231</v>
      </c>
      <c r="E201" s="120" t="s">
        <v>2886</v>
      </c>
      <c r="F201" s="121" t="s">
        <v>2887</v>
      </c>
      <c r="G201" s="122" t="s">
        <v>292</v>
      </c>
      <c r="H201" s="123">
        <v>54</v>
      </c>
      <c r="I201" s="124">
        <v>7.74</v>
      </c>
      <c r="J201" s="124">
        <f t="shared" si="30"/>
        <v>417.96</v>
      </c>
      <c r="K201" s="121" t="s">
        <v>1</v>
      </c>
      <c r="L201" s="24"/>
      <c r="M201" s="125" t="s">
        <v>1</v>
      </c>
      <c r="N201" s="126" t="s">
        <v>32</v>
      </c>
      <c r="O201" s="127">
        <v>0</v>
      </c>
      <c r="P201" s="127">
        <f t="shared" si="31"/>
        <v>0</v>
      </c>
      <c r="Q201" s="127">
        <v>0</v>
      </c>
      <c r="R201" s="127">
        <f t="shared" si="32"/>
        <v>0</v>
      </c>
      <c r="S201" s="127">
        <v>0</v>
      </c>
      <c r="T201" s="128">
        <f t="shared" si="33"/>
        <v>0</v>
      </c>
      <c r="AR201" s="129" t="s">
        <v>235</v>
      </c>
      <c r="AT201" s="129" t="s">
        <v>231</v>
      </c>
      <c r="AU201" s="129" t="s">
        <v>76</v>
      </c>
      <c r="AY201" s="13" t="s">
        <v>228</v>
      </c>
      <c r="BE201" s="130">
        <f t="shared" si="34"/>
        <v>0</v>
      </c>
      <c r="BF201" s="130">
        <f t="shared" si="35"/>
        <v>417.96</v>
      </c>
      <c r="BG201" s="130">
        <f t="shared" si="36"/>
        <v>0</v>
      </c>
      <c r="BH201" s="130">
        <f t="shared" si="37"/>
        <v>0</v>
      </c>
      <c r="BI201" s="130">
        <f t="shared" si="38"/>
        <v>0</v>
      </c>
      <c r="BJ201" s="13" t="s">
        <v>76</v>
      </c>
      <c r="BK201" s="130">
        <f t="shared" si="39"/>
        <v>417.96</v>
      </c>
      <c r="BL201" s="13" t="s">
        <v>235</v>
      </c>
      <c r="BM201" s="129" t="s">
        <v>479</v>
      </c>
    </row>
    <row r="202" spans="2:65" s="1" customFormat="1" ht="16.5" customHeight="1" x14ac:dyDescent="0.2">
      <c r="B202" s="118"/>
      <c r="C202" s="119" t="s">
        <v>480</v>
      </c>
      <c r="D202" s="119" t="s">
        <v>231</v>
      </c>
      <c r="E202" s="120" t="s">
        <v>2888</v>
      </c>
      <c r="F202" s="121" t="s">
        <v>2889</v>
      </c>
      <c r="G202" s="122" t="s">
        <v>292</v>
      </c>
      <c r="H202" s="123">
        <v>18</v>
      </c>
      <c r="I202" s="124">
        <v>5.61</v>
      </c>
      <c r="J202" s="124">
        <f t="shared" si="30"/>
        <v>100.98</v>
      </c>
      <c r="K202" s="121" t="s">
        <v>1</v>
      </c>
      <c r="L202" s="24"/>
      <c r="M202" s="125" t="s">
        <v>1</v>
      </c>
      <c r="N202" s="126" t="s">
        <v>32</v>
      </c>
      <c r="O202" s="127">
        <v>0</v>
      </c>
      <c r="P202" s="127">
        <f t="shared" si="31"/>
        <v>0</v>
      </c>
      <c r="Q202" s="127">
        <v>0</v>
      </c>
      <c r="R202" s="127">
        <f t="shared" si="32"/>
        <v>0</v>
      </c>
      <c r="S202" s="127">
        <v>0</v>
      </c>
      <c r="T202" s="128">
        <f t="shared" si="33"/>
        <v>0</v>
      </c>
      <c r="AR202" s="129" t="s">
        <v>235</v>
      </c>
      <c r="AT202" s="129" t="s">
        <v>231</v>
      </c>
      <c r="AU202" s="129" t="s">
        <v>76</v>
      </c>
      <c r="AY202" s="13" t="s">
        <v>228</v>
      </c>
      <c r="BE202" s="130">
        <f t="shared" si="34"/>
        <v>0</v>
      </c>
      <c r="BF202" s="130">
        <f t="shared" si="35"/>
        <v>100.98</v>
      </c>
      <c r="BG202" s="130">
        <f t="shared" si="36"/>
        <v>0</v>
      </c>
      <c r="BH202" s="130">
        <f t="shared" si="37"/>
        <v>0</v>
      </c>
      <c r="BI202" s="130">
        <f t="shared" si="38"/>
        <v>0</v>
      </c>
      <c r="BJ202" s="13" t="s">
        <v>76</v>
      </c>
      <c r="BK202" s="130">
        <f t="shared" si="39"/>
        <v>100.98</v>
      </c>
      <c r="BL202" s="13" t="s">
        <v>235</v>
      </c>
      <c r="BM202" s="129" t="s">
        <v>483</v>
      </c>
    </row>
    <row r="203" spans="2:65" s="1" customFormat="1" ht="16.5" customHeight="1" x14ac:dyDescent="0.2">
      <c r="B203" s="118"/>
      <c r="C203" s="119" t="s">
        <v>358</v>
      </c>
      <c r="D203" s="119" t="s">
        <v>231</v>
      </c>
      <c r="E203" s="120" t="s">
        <v>4216</v>
      </c>
      <c r="F203" s="121" t="s">
        <v>2891</v>
      </c>
      <c r="G203" s="122" t="s">
        <v>243</v>
      </c>
      <c r="H203" s="123">
        <v>24</v>
      </c>
      <c r="I203" s="124">
        <v>0.34</v>
      </c>
      <c r="J203" s="124">
        <f t="shared" si="30"/>
        <v>8.16</v>
      </c>
      <c r="K203" s="121" t="s">
        <v>1</v>
      </c>
      <c r="L203" s="24"/>
      <c r="M203" s="125" t="s">
        <v>1</v>
      </c>
      <c r="N203" s="126" t="s">
        <v>32</v>
      </c>
      <c r="O203" s="127">
        <v>0</v>
      </c>
      <c r="P203" s="127">
        <f t="shared" si="31"/>
        <v>0</v>
      </c>
      <c r="Q203" s="127">
        <v>0</v>
      </c>
      <c r="R203" s="127">
        <f t="shared" si="32"/>
        <v>0</v>
      </c>
      <c r="S203" s="127">
        <v>0</v>
      </c>
      <c r="T203" s="128">
        <f t="shared" si="33"/>
        <v>0</v>
      </c>
      <c r="AR203" s="129" t="s">
        <v>235</v>
      </c>
      <c r="AT203" s="129" t="s">
        <v>231</v>
      </c>
      <c r="AU203" s="129" t="s">
        <v>76</v>
      </c>
      <c r="AY203" s="13" t="s">
        <v>228</v>
      </c>
      <c r="BE203" s="130">
        <f t="shared" si="34"/>
        <v>0</v>
      </c>
      <c r="BF203" s="130">
        <f t="shared" si="35"/>
        <v>8.16</v>
      </c>
      <c r="BG203" s="130">
        <f t="shared" si="36"/>
        <v>0</v>
      </c>
      <c r="BH203" s="130">
        <f t="shared" si="37"/>
        <v>0</v>
      </c>
      <c r="BI203" s="130">
        <f t="shared" si="38"/>
        <v>0</v>
      </c>
      <c r="BJ203" s="13" t="s">
        <v>76</v>
      </c>
      <c r="BK203" s="130">
        <f t="shared" si="39"/>
        <v>8.16</v>
      </c>
      <c r="BL203" s="13" t="s">
        <v>235</v>
      </c>
      <c r="BM203" s="129" t="s">
        <v>486</v>
      </c>
    </row>
    <row r="204" spans="2:65" s="1" customFormat="1" ht="16.5" customHeight="1" x14ac:dyDescent="0.2">
      <c r="B204" s="118"/>
      <c r="C204" s="119" t="s">
        <v>487</v>
      </c>
      <c r="D204" s="119" t="s">
        <v>231</v>
      </c>
      <c r="E204" s="120" t="s">
        <v>2892</v>
      </c>
      <c r="F204" s="121" t="s">
        <v>2893</v>
      </c>
      <c r="G204" s="122" t="s">
        <v>292</v>
      </c>
      <c r="H204" s="123">
        <v>35</v>
      </c>
      <c r="I204" s="124">
        <v>2.14</v>
      </c>
      <c r="J204" s="124">
        <f t="shared" si="30"/>
        <v>74.900000000000006</v>
      </c>
      <c r="K204" s="121" t="s">
        <v>1</v>
      </c>
      <c r="L204" s="24"/>
      <c r="M204" s="125" t="s">
        <v>1</v>
      </c>
      <c r="N204" s="126" t="s">
        <v>32</v>
      </c>
      <c r="O204" s="127">
        <v>0</v>
      </c>
      <c r="P204" s="127">
        <f t="shared" si="31"/>
        <v>0</v>
      </c>
      <c r="Q204" s="127">
        <v>0</v>
      </c>
      <c r="R204" s="127">
        <f t="shared" si="32"/>
        <v>0</v>
      </c>
      <c r="S204" s="127">
        <v>0</v>
      </c>
      <c r="T204" s="128">
        <f t="shared" si="33"/>
        <v>0</v>
      </c>
      <c r="AR204" s="129" t="s">
        <v>235</v>
      </c>
      <c r="AT204" s="129" t="s">
        <v>231</v>
      </c>
      <c r="AU204" s="129" t="s">
        <v>76</v>
      </c>
      <c r="AY204" s="13" t="s">
        <v>228</v>
      </c>
      <c r="BE204" s="130">
        <f t="shared" si="34"/>
        <v>0</v>
      </c>
      <c r="BF204" s="130">
        <f t="shared" si="35"/>
        <v>74.900000000000006</v>
      </c>
      <c r="BG204" s="130">
        <f t="shared" si="36"/>
        <v>0</v>
      </c>
      <c r="BH204" s="130">
        <f t="shared" si="37"/>
        <v>0</v>
      </c>
      <c r="BI204" s="130">
        <f t="shared" si="38"/>
        <v>0</v>
      </c>
      <c r="BJ204" s="13" t="s">
        <v>76</v>
      </c>
      <c r="BK204" s="130">
        <f t="shared" si="39"/>
        <v>74.900000000000006</v>
      </c>
      <c r="BL204" s="13" t="s">
        <v>235</v>
      </c>
      <c r="BM204" s="129" t="s">
        <v>490</v>
      </c>
    </row>
    <row r="205" spans="2:65" s="1" customFormat="1" ht="16.5" customHeight="1" x14ac:dyDescent="0.2">
      <c r="B205" s="118"/>
      <c r="C205" s="119" t="s">
        <v>361</v>
      </c>
      <c r="D205" s="119" t="s">
        <v>231</v>
      </c>
      <c r="E205" s="120" t="s">
        <v>2894</v>
      </c>
      <c r="F205" s="121" t="s">
        <v>2895</v>
      </c>
      <c r="G205" s="122" t="s">
        <v>292</v>
      </c>
      <c r="H205" s="123">
        <v>35</v>
      </c>
      <c r="I205" s="124">
        <v>1.34</v>
      </c>
      <c r="J205" s="124">
        <f t="shared" si="30"/>
        <v>46.9</v>
      </c>
      <c r="K205" s="121" t="s">
        <v>1</v>
      </c>
      <c r="L205" s="24"/>
      <c r="M205" s="125" t="s">
        <v>1</v>
      </c>
      <c r="N205" s="126" t="s">
        <v>32</v>
      </c>
      <c r="O205" s="127">
        <v>0</v>
      </c>
      <c r="P205" s="127">
        <f t="shared" si="31"/>
        <v>0</v>
      </c>
      <c r="Q205" s="127">
        <v>0</v>
      </c>
      <c r="R205" s="127">
        <f t="shared" si="32"/>
        <v>0</v>
      </c>
      <c r="S205" s="127">
        <v>0</v>
      </c>
      <c r="T205" s="128">
        <f t="shared" si="33"/>
        <v>0</v>
      </c>
      <c r="AR205" s="129" t="s">
        <v>235</v>
      </c>
      <c r="AT205" s="129" t="s">
        <v>231</v>
      </c>
      <c r="AU205" s="129" t="s">
        <v>76</v>
      </c>
      <c r="AY205" s="13" t="s">
        <v>228</v>
      </c>
      <c r="BE205" s="130">
        <f t="shared" si="34"/>
        <v>0</v>
      </c>
      <c r="BF205" s="130">
        <f t="shared" si="35"/>
        <v>46.9</v>
      </c>
      <c r="BG205" s="130">
        <f t="shared" si="36"/>
        <v>0</v>
      </c>
      <c r="BH205" s="130">
        <f t="shared" si="37"/>
        <v>0</v>
      </c>
      <c r="BI205" s="130">
        <f t="shared" si="38"/>
        <v>0</v>
      </c>
      <c r="BJ205" s="13" t="s">
        <v>76</v>
      </c>
      <c r="BK205" s="130">
        <f t="shared" si="39"/>
        <v>46.9</v>
      </c>
      <c r="BL205" s="13" t="s">
        <v>235</v>
      </c>
      <c r="BM205" s="129" t="s">
        <v>493</v>
      </c>
    </row>
    <row r="206" spans="2:65" s="1" customFormat="1" ht="16.5" customHeight="1" x14ac:dyDescent="0.2">
      <c r="B206" s="118"/>
      <c r="C206" s="119" t="s">
        <v>494</v>
      </c>
      <c r="D206" s="119" t="s">
        <v>231</v>
      </c>
      <c r="E206" s="120" t="s">
        <v>2896</v>
      </c>
      <c r="F206" s="121" t="s">
        <v>2897</v>
      </c>
      <c r="G206" s="122" t="s">
        <v>292</v>
      </c>
      <c r="H206" s="123">
        <v>70</v>
      </c>
      <c r="I206" s="124">
        <v>0.53</v>
      </c>
      <c r="J206" s="124">
        <f t="shared" si="30"/>
        <v>37.1</v>
      </c>
      <c r="K206" s="121" t="s">
        <v>1</v>
      </c>
      <c r="L206" s="24"/>
      <c r="M206" s="125" t="s">
        <v>1</v>
      </c>
      <c r="N206" s="126" t="s">
        <v>32</v>
      </c>
      <c r="O206" s="127">
        <v>0</v>
      </c>
      <c r="P206" s="127">
        <f t="shared" si="31"/>
        <v>0</v>
      </c>
      <c r="Q206" s="127">
        <v>0</v>
      </c>
      <c r="R206" s="127">
        <f t="shared" si="32"/>
        <v>0</v>
      </c>
      <c r="S206" s="127">
        <v>0</v>
      </c>
      <c r="T206" s="128">
        <f t="shared" si="33"/>
        <v>0</v>
      </c>
      <c r="AR206" s="129" t="s">
        <v>235</v>
      </c>
      <c r="AT206" s="129" t="s">
        <v>231</v>
      </c>
      <c r="AU206" s="129" t="s">
        <v>76</v>
      </c>
      <c r="AY206" s="13" t="s">
        <v>228</v>
      </c>
      <c r="BE206" s="130">
        <f t="shared" si="34"/>
        <v>0</v>
      </c>
      <c r="BF206" s="130">
        <f t="shared" si="35"/>
        <v>37.1</v>
      </c>
      <c r="BG206" s="130">
        <f t="shared" si="36"/>
        <v>0</v>
      </c>
      <c r="BH206" s="130">
        <f t="shared" si="37"/>
        <v>0</v>
      </c>
      <c r="BI206" s="130">
        <f t="shared" si="38"/>
        <v>0</v>
      </c>
      <c r="BJ206" s="13" t="s">
        <v>76</v>
      </c>
      <c r="BK206" s="130">
        <f t="shared" si="39"/>
        <v>37.1</v>
      </c>
      <c r="BL206" s="13" t="s">
        <v>235</v>
      </c>
      <c r="BM206" s="129" t="s">
        <v>497</v>
      </c>
    </row>
    <row r="207" spans="2:65" s="1" customFormat="1" ht="16.5" customHeight="1" x14ac:dyDescent="0.2">
      <c r="B207" s="118"/>
      <c r="C207" s="119" t="s">
        <v>365</v>
      </c>
      <c r="D207" s="119" t="s">
        <v>231</v>
      </c>
      <c r="E207" s="120" t="s">
        <v>4217</v>
      </c>
      <c r="F207" s="121" t="s">
        <v>2899</v>
      </c>
      <c r="G207" s="122" t="s">
        <v>243</v>
      </c>
      <c r="H207" s="123">
        <v>18</v>
      </c>
      <c r="I207" s="124">
        <v>0.46</v>
      </c>
      <c r="J207" s="124">
        <f t="shared" si="30"/>
        <v>8.2799999999999994</v>
      </c>
      <c r="K207" s="121" t="s">
        <v>1</v>
      </c>
      <c r="L207" s="24"/>
      <c r="M207" s="125" t="s">
        <v>1</v>
      </c>
      <c r="N207" s="126" t="s">
        <v>32</v>
      </c>
      <c r="O207" s="127">
        <v>0</v>
      </c>
      <c r="P207" s="127">
        <f t="shared" si="31"/>
        <v>0</v>
      </c>
      <c r="Q207" s="127">
        <v>0</v>
      </c>
      <c r="R207" s="127">
        <f t="shared" si="32"/>
        <v>0</v>
      </c>
      <c r="S207" s="127">
        <v>0</v>
      </c>
      <c r="T207" s="128">
        <f t="shared" si="33"/>
        <v>0</v>
      </c>
      <c r="AR207" s="129" t="s">
        <v>235</v>
      </c>
      <c r="AT207" s="129" t="s">
        <v>231</v>
      </c>
      <c r="AU207" s="129" t="s">
        <v>76</v>
      </c>
      <c r="AY207" s="13" t="s">
        <v>228</v>
      </c>
      <c r="BE207" s="130">
        <f t="shared" si="34"/>
        <v>0</v>
      </c>
      <c r="BF207" s="130">
        <f t="shared" si="35"/>
        <v>8.2799999999999994</v>
      </c>
      <c r="BG207" s="130">
        <f t="shared" si="36"/>
        <v>0</v>
      </c>
      <c r="BH207" s="130">
        <f t="shared" si="37"/>
        <v>0</v>
      </c>
      <c r="BI207" s="130">
        <f t="shared" si="38"/>
        <v>0</v>
      </c>
      <c r="BJ207" s="13" t="s">
        <v>76</v>
      </c>
      <c r="BK207" s="130">
        <f t="shared" si="39"/>
        <v>8.2799999999999994</v>
      </c>
      <c r="BL207" s="13" t="s">
        <v>235</v>
      </c>
      <c r="BM207" s="129" t="s">
        <v>500</v>
      </c>
    </row>
    <row r="208" spans="2:65" s="1" customFormat="1" ht="16.5" customHeight="1" x14ac:dyDescent="0.2">
      <c r="B208" s="118"/>
      <c r="C208" s="119" t="s">
        <v>501</v>
      </c>
      <c r="D208" s="119" t="s">
        <v>231</v>
      </c>
      <c r="E208" s="120" t="s">
        <v>4218</v>
      </c>
      <c r="F208" s="121" t="s">
        <v>2901</v>
      </c>
      <c r="G208" s="122" t="s">
        <v>243</v>
      </c>
      <c r="H208" s="123">
        <v>18</v>
      </c>
      <c r="I208" s="124">
        <v>0.44</v>
      </c>
      <c r="J208" s="124">
        <f t="shared" si="30"/>
        <v>7.92</v>
      </c>
      <c r="K208" s="121" t="s">
        <v>1</v>
      </c>
      <c r="L208" s="24"/>
      <c r="M208" s="125" t="s">
        <v>1</v>
      </c>
      <c r="N208" s="126" t="s">
        <v>32</v>
      </c>
      <c r="O208" s="127">
        <v>0</v>
      </c>
      <c r="P208" s="127">
        <f t="shared" si="31"/>
        <v>0</v>
      </c>
      <c r="Q208" s="127">
        <v>0</v>
      </c>
      <c r="R208" s="127">
        <f t="shared" si="32"/>
        <v>0</v>
      </c>
      <c r="S208" s="127">
        <v>0</v>
      </c>
      <c r="T208" s="128">
        <f t="shared" si="33"/>
        <v>0</v>
      </c>
      <c r="AR208" s="129" t="s">
        <v>235</v>
      </c>
      <c r="AT208" s="129" t="s">
        <v>231</v>
      </c>
      <c r="AU208" s="129" t="s">
        <v>76</v>
      </c>
      <c r="AY208" s="13" t="s">
        <v>228</v>
      </c>
      <c r="BE208" s="130">
        <f t="shared" si="34"/>
        <v>0</v>
      </c>
      <c r="BF208" s="130">
        <f t="shared" si="35"/>
        <v>7.92</v>
      </c>
      <c r="BG208" s="130">
        <f t="shared" si="36"/>
        <v>0</v>
      </c>
      <c r="BH208" s="130">
        <f t="shared" si="37"/>
        <v>0</v>
      </c>
      <c r="BI208" s="130">
        <f t="shared" si="38"/>
        <v>0</v>
      </c>
      <c r="BJ208" s="13" t="s">
        <v>76</v>
      </c>
      <c r="BK208" s="130">
        <f t="shared" si="39"/>
        <v>7.92</v>
      </c>
      <c r="BL208" s="13" t="s">
        <v>235</v>
      </c>
      <c r="BM208" s="129" t="s">
        <v>504</v>
      </c>
    </row>
    <row r="209" spans="2:65" s="1" customFormat="1" ht="16.5" customHeight="1" x14ac:dyDescent="0.2">
      <c r="B209" s="118"/>
      <c r="C209" s="119" t="s">
        <v>368</v>
      </c>
      <c r="D209" s="119" t="s">
        <v>231</v>
      </c>
      <c r="E209" s="120" t="s">
        <v>4219</v>
      </c>
      <c r="F209" s="121" t="s">
        <v>2903</v>
      </c>
      <c r="G209" s="122" t="s">
        <v>243</v>
      </c>
      <c r="H209" s="123">
        <v>35</v>
      </c>
      <c r="I209" s="124">
        <v>0.34</v>
      </c>
      <c r="J209" s="124">
        <f t="shared" si="30"/>
        <v>11.9</v>
      </c>
      <c r="K209" s="121" t="s">
        <v>1</v>
      </c>
      <c r="L209" s="24"/>
      <c r="M209" s="125" t="s">
        <v>1</v>
      </c>
      <c r="N209" s="126" t="s">
        <v>32</v>
      </c>
      <c r="O209" s="127">
        <v>0</v>
      </c>
      <c r="P209" s="127">
        <f t="shared" si="31"/>
        <v>0</v>
      </c>
      <c r="Q209" s="127">
        <v>0</v>
      </c>
      <c r="R209" s="127">
        <f t="shared" si="32"/>
        <v>0</v>
      </c>
      <c r="S209" s="127">
        <v>0</v>
      </c>
      <c r="T209" s="128">
        <f t="shared" si="33"/>
        <v>0</v>
      </c>
      <c r="AR209" s="129" t="s">
        <v>235</v>
      </c>
      <c r="AT209" s="129" t="s">
        <v>231</v>
      </c>
      <c r="AU209" s="129" t="s">
        <v>76</v>
      </c>
      <c r="AY209" s="13" t="s">
        <v>228</v>
      </c>
      <c r="BE209" s="130">
        <f t="shared" si="34"/>
        <v>0</v>
      </c>
      <c r="BF209" s="130">
        <f t="shared" si="35"/>
        <v>11.9</v>
      </c>
      <c r="BG209" s="130">
        <f t="shared" si="36"/>
        <v>0</v>
      </c>
      <c r="BH209" s="130">
        <f t="shared" si="37"/>
        <v>0</v>
      </c>
      <c r="BI209" s="130">
        <f t="shared" si="38"/>
        <v>0</v>
      </c>
      <c r="BJ209" s="13" t="s">
        <v>76</v>
      </c>
      <c r="BK209" s="130">
        <f t="shared" si="39"/>
        <v>11.9</v>
      </c>
      <c r="BL209" s="13" t="s">
        <v>235</v>
      </c>
      <c r="BM209" s="129" t="s">
        <v>507</v>
      </c>
    </row>
    <row r="210" spans="2:65" s="1" customFormat="1" ht="16.5" customHeight="1" x14ac:dyDescent="0.2">
      <c r="B210" s="118"/>
      <c r="C210" s="119" t="s">
        <v>508</v>
      </c>
      <c r="D210" s="119" t="s">
        <v>231</v>
      </c>
      <c r="E210" s="120" t="s">
        <v>4220</v>
      </c>
      <c r="F210" s="121" t="s">
        <v>2905</v>
      </c>
      <c r="G210" s="122" t="s">
        <v>243</v>
      </c>
      <c r="H210" s="123">
        <v>14</v>
      </c>
      <c r="I210" s="124">
        <v>0.67</v>
      </c>
      <c r="J210" s="124">
        <f t="shared" si="30"/>
        <v>9.3800000000000008</v>
      </c>
      <c r="K210" s="121" t="s">
        <v>1</v>
      </c>
      <c r="L210" s="24"/>
      <c r="M210" s="125" t="s">
        <v>1</v>
      </c>
      <c r="N210" s="126" t="s">
        <v>32</v>
      </c>
      <c r="O210" s="127">
        <v>0</v>
      </c>
      <c r="P210" s="127">
        <f t="shared" si="31"/>
        <v>0</v>
      </c>
      <c r="Q210" s="127">
        <v>0</v>
      </c>
      <c r="R210" s="127">
        <f t="shared" si="32"/>
        <v>0</v>
      </c>
      <c r="S210" s="127">
        <v>0</v>
      </c>
      <c r="T210" s="128">
        <f t="shared" si="33"/>
        <v>0</v>
      </c>
      <c r="AR210" s="129" t="s">
        <v>235</v>
      </c>
      <c r="AT210" s="129" t="s">
        <v>231</v>
      </c>
      <c r="AU210" s="129" t="s">
        <v>76</v>
      </c>
      <c r="AY210" s="13" t="s">
        <v>228</v>
      </c>
      <c r="BE210" s="130">
        <f t="shared" si="34"/>
        <v>0</v>
      </c>
      <c r="BF210" s="130">
        <f t="shared" si="35"/>
        <v>9.3800000000000008</v>
      </c>
      <c r="BG210" s="130">
        <f t="shared" si="36"/>
        <v>0</v>
      </c>
      <c r="BH210" s="130">
        <f t="shared" si="37"/>
        <v>0</v>
      </c>
      <c r="BI210" s="130">
        <f t="shared" si="38"/>
        <v>0</v>
      </c>
      <c r="BJ210" s="13" t="s">
        <v>76</v>
      </c>
      <c r="BK210" s="130">
        <f t="shared" si="39"/>
        <v>9.3800000000000008</v>
      </c>
      <c r="BL210" s="13" t="s">
        <v>235</v>
      </c>
      <c r="BM210" s="129" t="s">
        <v>511</v>
      </c>
    </row>
    <row r="211" spans="2:65" s="1" customFormat="1" ht="16.5" customHeight="1" x14ac:dyDescent="0.2">
      <c r="B211" s="118"/>
      <c r="C211" s="119" t="s">
        <v>372</v>
      </c>
      <c r="D211" s="119" t="s">
        <v>231</v>
      </c>
      <c r="E211" s="120" t="s">
        <v>4221</v>
      </c>
      <c r="F211" s="121" t="s">
        <v>2907</v>
      </c>
      <c r="G211" s="122" t="s">
        <v>1194</v>
      </c>
      <c r="H211" s="123">
        <v>0.4</v>
      </c>
      <c r="I211" s="124">
        <v>13.35</v>
      </c>
      <c r="J211" s="124">
        <f t="shared" si="30"/>
        <v>5.34</v>
      </c>
      <c r="K211" s="121" t="s">
        <v>1</v>
      </c>
      <c r="L211" s="24"/>
      <c r="M211" s="125" t="s">
        <v>1</v>
      </c>
      <c r="N211" s="126" t="s">
        <v>32</v>
      </c>
      <c r="O211" s="127">
        <v>0</v>
      </c>
      <c r="P211" s="127">
        <f t="shared" si="31"/>
        <v>0</v>
      </c>
      <c r="Q211" s="127">
        <v>0</v>
      </c>
      <c r="R211" s="127">
        <f t="shared" si="32"/>
        <v>0</v>
      </c>
      <c r="S211" s="127">
        <v>0</v>
      </c>
      <c r="T211" s="128">
        <f t="shared" si="33"/>
        <v>0</v>
      </c>
      <c r="AR211" s="129" t="s">
        <v>235</v>
      </c>
      <c r="AT211" s="129" t="s">
        <v>231</v>
      </c>
      <c r="AU211" s="129" t="s">
        <v>76</v>
      </c>
      <c r="AY211" s="13" t="s">
        <v>228</v>
      </c>
      <c r="BE211" s="130">
        <f t="shared" si="34"/>
        <v>0</v>
      </c>
      <c r="BF211" s="130">
        <f t="shared" si="35"/>
        <v>5.34</v>
      </c>
      <c r="BG211" s="130">
        <f t="shared" si="36"/>
        <v>0</v>
      </c>
      <c r="BH211" s="130">
        <f t="shared" si="37"/>
        <v>0</v>
      </c>
      <c r="BI211" s="130">
        <f t="shared" si="38"/>
        <v>0</v>
      </c>
      <c r="BJ211" s="13" t="s">
        <v>76</v>
      </c>
      <c r="BK211" s="130">
        <f t="shared" si="39"/>
        <v>5.34</v>
      </c>
      <c r="BL211" s="13" t="s">
        <v>235</v>
      </c>
      <c r="BM211" s="129" t="s">
        <v>514</v>
      </c>
    </row>
    <row r="212" spans="2:65" s="1" customFormat="1" ht="16.5" customHeight="1" x14ac:dyDescent="0.2">
      <c r="B212" s="118"/>
      <c r="C212" s="119" t="s">
        <v>515</v>
      </c>
      <c r="D212" s="119" t="s">
        <v>231</v>
      </c>
      <c r="E212" s="120" t="s">
        <v>2908</v>
      </c>
      <c r="F212" s="121" t="s">
        <v>2909</v>
      </c>
      <c r="G212" s="122" t="s">
        <v>1035</v>
      </c>
      <c r="H212" s="123">
        <v>26</v>
      </c>
      <c r="I212" s="124">
        <v>1.47</v>
      </c>
      <c r="J212" s="124">
        <f t="shared" si="30"/>
        <v>38.22</v>
      </c>
      <c r="K212" s="121" t="s">
        <v>1</v>
      </c>
      <c r="L212" s="24"/>
      <c r="M212" s="125" t="s">
        <v>1</v>
      </c>
      <c r="N212" s="126" t="s">
        <v>32</v>
      </c>
      <c r="O212" s="127">
        <v>0</v>
      </c>
      <c r="P212" s="127">
        <f t="shared" si="31"/>
        <v>0</v>
      </c>
      <c r="Q212" s="127">
        <v>0</v>
      </c>
      <c r="R212" s="127">
        <f t="shared" si="32"/>
        <v>0</v>
      </c>
      <c r="S212" s="127">
        <v>0</v>
      </c>
      <c r="T212" s="128">
        <f t="shared" si="33"/>
        <v>0</v>
      </c>
      <c r="AR212" s="129" t="s">
        <v>235</v>
      </c>
      <c r="AT212" s="129" t="s">
        <v>231</v>
      </c>
      <c r="AU212" s="129" t="s">
        <v>76</v>
      </c>
      <c r="AY212" s="13" t="s">
        <v>228</v>
      </c>
      <c r="BE212" s="130">
        <f t="shared" si="34"/>
        <v>0</v>
      </c>
      <c r="BF212" s="130">
        <f t="shared" si="35"/>
        <v>38.22</v>
      </c>
      <c r="BG212" s="130">
        <f t="shared" si="36"/>
        <v>0</v>
      </c>
      <c r="BH212" s="130">
        <f t="shared" si="37"/>
        <v>0</v>
      </c>
      <c r="BI212" s="130">
        <f t="shared" si="38"/>
        <v>0</v>
      </c>
      <c r="BJ212" s="13" t="s">
        <v>76</v>
      </c>
      <c r="BK212" s="130">
        <f t="shared" si="39"/>
        <v>38.22</v>
      </c>
      <c r="BL212" s="13" t="s">
        <v>235</v>
      </c>
      <c r="BM212" s="129" t="s">
        <v>518</v>
      </c>
    </row>
    <row r="213" spans="2:65" s="1" customFormat="1" ht="24" customHeight="1" x14ac:dyDescent="0.2">
      <c r="B213" s="118"/>
      <c r="C213" s="119" t="s">
        <v>375</v>
      </c>
      <c r="D213" s="119" t="s">
        <v>231</v>
      </c>
      <c r="E213" s="120" t="s">
        <v>4222</v>
      </c>
      <c r="F213" s="121" t="s">
        <v>2911</v>
      </c>
      <c r="G213" s="122" t="s">
        <v>243</v>
      </c>
      <c r="H213" s="123">
        <v>64</v>
      </c>
      <c r="I213" s="124">
        <v>1.6</v>
      </c>
      <c r="J213" s="124">
        <f t="shared" si="30"/>
        <v>102.4</v>
      </c>
      <c r="K213" s="121" t="s">
        <v>1</v>
      </c>
      <c r="L213" s="24"/>
      <c r="M213" s="125" t="s">
        <v>1</v>
      </c>
      <c r="N213" s="126" t="s">
        <v>32</v>
      </c>
      <c r="O213" s="127">
        <v>0</v>
      </c>
      <c r="P213" s="127">
        <f t="shared" si="31"/>
        <v>0</v>
      </c>
      <c r="Q213" s="127">
        <v>0</v>
      </c>
      <c r="R213" s="127">
        <f t="shared" si="32"/>
        <v>0</v>
      </c>
      <c r="S213" s="127">
        <v>0</v>
      </c>
      <c r="T213" s="128">
        <f t="shared" si="33"/>
        <v>0</v>
      </c>
      <c r="AR213" s="129" t="s">
        <v>235</v>
      </c>
      <c r="AT213" s="129" t="s">
        <v>231</v>
      </c>
      <c r="AU213" s="129" t="s">
        <v>76</v>
      </c>
      <c r="AY213" s="13" t="s">
        <v>228</v>
      </c>
      <c r="BE213" s="130">
        <f t="shared" si="34"/>
        <v>0</v>
      </c>
      <c r="BF213" s="130">
        <f t="shared" si="35"/>
        <v>102.4</v>
      </c>
      <c r="BG213" s="130">
        <f t="shared" si="36"/>
        <v>0</v>
      </c>
      <c r="BH213" s="130">
        <f t="shared" si="37"/>
        <v>0</v>
      </c>
      <c r="BI213" s="130">
        <f t="shared" si="38"/>
        <v>0</v>
      </c>
      <c r="BJ213" s="13" t="s">
        <v>76</v>
      </c>
      <c r="BK213" s="130">
        <f t="shared" si="39"/>
        <v>102.4</v>
      </c>
      <c r="BL213" s="13" t="s">
        <v>235</v>
      </c>
      <c r="BM213" s="129" t="s">
        <v>521</v>
      </c>
    </row>
    <row r="214" spans="2:65" s="1" customFormat="1" ht="24" customHeight="1" x14ac:dyDescent="0.2">
      <c r="B214" s="118"/>
      <c r="C214" s="119" t="s">
        <v>522</v>
      </c>
      <c r="D214" s="119" t="s">
        <v>231</v>
      </c>
      <c r="E214" s="120" t="s">
        <v>4223</v>
      </c>
      <c r="F214" s="121" t="s">
        <v>2913</v>
      </c>
      <c r="G214" s="122" t="s">
        <v>243</v>
      </c>
      <c r="H214" s="123">
        <v>16</v>
      </c>
      <c r="I214" s="124">
        <v>0.59</v>
      </c>
      <c r="J214" s="124">
        <f t="shared" si="30"/>
        <v>9.44</v>
      </c>
      <c r="K214" s="121" t="s">
        <v>1</v>
      </c>
      <c r="L214" s="24"/>
      <c r="M214" s="125" t="s">
        <v>1</v>
      </c>
      <c r="N214" s="126" t="s">
        <v>32</v>
      </c>
      <c r="O214" s="127">
        <v>0</v>
      </c>
      <c r="P214" s="127">
        <f t="shared" si="31"/>
        <v>0</v>
      </c>
      <c r="Q214" s="127">
        <v>0</v>
      </c>
      <c r="R214" s="127">
        <f t="shared" si="32"/>
        <v>0</v>
      </c>
      <c r="S214" s="127">
        <v>0</v>
      </c>
      <c r="T214" s="128">
        <f t="shared" si="33"/>
        <v>0</v>
      </c>
      <c r="AR214" s="129" t="s">
        <v>235</v>
      </c>
      <c r="AT214" s="129" t="s">
        <v>231</v>
      </c>
      <c r="AU214" s="129" t="s">
        <v>76</v>
      </c>
      <c r="AY214" s="13" t="s">
        <v>228</v>
      </c>
      <c r="BE214" s="130">
        <f t="shared" si="34"/>
        <v>0</v>
      </c>
      <c r="BF214" s="130">
        <f t="shared" si="35"/>
        <v>9.44</v>
      </c>
      <c r="BG214" s="130">
        <f t="shared" si="36"/>
        <v>0</v>
      </c>
      <c r="BH214" s="130">
        <f t="shared" si="37"/>
        <v>0</v>
      </c>
      <c r="BI214" s="130">
        <f t="shared" si="38"/>
        <v>0</v>
      </c>
      <c r="BJ214" s="13" t="s">
        <v>76</v>
      </c>
      <c r="BK214" s="130">
        <f t="shared" si="39"/>
        <v>9.44</v>
      </c>
      <c r="BL214" s="13" t="s">
        <v>235</v>
      </c>
      <c r="BM214" s="129" t="s">
        <v>525</v>
      </c>
    </row>
    <row r="215" spans="2:65" s="1" customFormat="1" ht="16.5" customHeight="1" x14ac:dyDescent="0.2">
      <c r="B215" s="118"/>
      <c r="C215" s="119" t="s">
        <v>379</v>
      </c>
      <c r="D215" s="119" t="s">
        <v>231</v>
      </c>
      <c r="E215" s="120" t="s">
        <v>4224</v>
      </c>
      <c r="F215" s="121" t="s">
        <v>2915</v>
      </c>
      <c r="G215" s="122" t="s">
        <v>243</v>
      </c>
      <c r="H215" s="123">
        <v>16</v>
      </c>
      <c r="I215" s="124">
        <v>0.8</v>
      </c>
      <c r="J215" s="124">
        <f t="shared" si="30"/>
        <v>12.8</v>
      </c>
      <c r="K215" s="121" t="s">
        <v>1</v>
      </c>
      <c r="L215" s="24"/>
      <c r="M215" s="125" t="s">
        <v>1</v>
      </c>
      <c r="N215" s="126" t="s">
        <v>32</v>
      </c>
      <c r="O215" s="127">
        <v>0</v>
      </c>
      <c r="P215" s="127">
        <f t="shared" si="31"/>
        <v>0</v>
      </c>
      <c r="Q215" s="127">
        <v>0</v>
      </c>
      <c r="R215" s="127">
        <f t="shared" si="32"/>
        <v>0</v>
      </c>
      <c r="S215" s="127">
        <v>0</v>
      </c>
      <c r="T215" s="128">
        <f t="shared" si="33"/>
        <v>0</v>
      </c>
      <c r="AR215" s="129" t="s">
        <v>235</v>
      </c>
      <c r="AT215" s="129" t="s">
        <v>231</v>
      </c>
      <c r="AU215" s="129" t="s">
        <v>76</v>
      </c>
      <c r="AY215" s="13" t="s">
        <v>228</v>
      </c>
      <c r="BE215" s="130">
        <f t="shared" si="34"/>
        <v>0</v>
      </c>
      <c r="BF215" s="130">
        <f t="shared" si="35"/>
        <v>12.8</v>
      </c>
      <c r="BG215" s="130">
        <f t="shared" si="36"/>
        <v>0</v>
      </c>
      <c r="BH215" s="130">
        <f t="shared" si="37"/>
        <v>0</v>
      </c>
      <c r="BI215" s="130">
        <f t="shared" si="38"/>
        <v>0</v>
      </c>
      <c r="BJ215" s="13" t="s">
        <v>76</v>
      </c>
      <c r="BK215" s="130">
        <f t="shared" si="39"/>
        <v>12.8</v>
      </c>
      <c r="BL215" s="13" t="s">
        <v>235</v>
      </c>
      <c r="BM215" s="129" t="s">
        <v>528</v>
      </c>
    </row>
    <row r="216" spans="2:65" s="1" customFormat="1" ht="16.5" customHeight="1" x14ac:dyDescent="0.2">
      <c r="B216" s="118"/>
      <c r="C216" s="119" t="s">
        <v>529</v>
      </c>
      <c r="D216" s="119" t="s">
        <v>231</v>
      </c>
      <c r="E216" s="120" t="s">
        <v>2916</v>
      </c>
      <c r="F216" s="121" t="s">
        <v>2917</v>
      </c>
      <c r="G216" s="122" t="s">
        <v>284</v>
      </c>
      <c r="H216" s="123">
        <v>1</v>
      </c>
      <c r="I216" s="124">
        <v>133.52000000000001</v>
      </c>
      <c r="J216" s="124">
        <f t="shared" si="30"/>
        <v>133.52000000000001</v>
      </c>
      <c r="K216" s="121" t="s">
        <v>1</v>
      </c>
      <c r="L216" s="24"/>
      <c r="M216" s="125" t="s">
        <v>1</v>
      </c>
      <c r="N216" s="126" t="s">
        <v>32</v>
      </c>
      <c r="O216" s="127">
        <v>0</v>
      </c>
      <c r="P216" s="127">
        <f t="shared" si="31"/>
        <v>0</v>
      </c>
      <c r="Q216" s="127">
        <v>0</v>
      </c>
      <c r="R216" s="127">
        <f t="shared" si="32"/>
        <v>0</v>
      </c>
      <c r="S216" s="127">
        <v>0</v>
      </c>
      <c r="T216" s="128">
        <f t="shared" si="33"/>
        <v>0</v>
      </c>
      <c r="AR216" s="129" t="s">
        <v>235</v>
      </c>
      <c r="AT216" s="129" t="s">
        <v>231</v>
      </c>
      <c r="AU216" s="129" t="s">
        <v>76</v>
      </c>
      <c r="AY216" s="13" t="s">
        <v>228</v>
      </c>
      <c r="BE216" s="130">
        <f t="shared" si="34"/>
        <v>0</v>
      </c>
      <c r="BF216" s="130">
        <f t="shared" si="35"/>
        <v>133.52000000000001</v>
      </c>
      <c r="BG216" s="130">
        <f t="shared" si="36"/>
        <v>0</v>
      </c>
      <c r="BH216" s="130">
        <f t="shared" si="37"/>
        <v>0</v>
      </c>
      <c r="BI216" s="130">
        <f t="shared" si="38"/>
        <v>0</v>
      </c>
      <c r="BJ216" s="13" t="s">
        <v>76</v>
      </c>
      <c r="BK216" s="130">
        <f t="shared" si="39"/>
        <v>133.52000000000001</v>
      </c>
      <c r="BL216" s="13" t="s">
        <v>235</v>
      </c>
      <c r="BM216" s="129" t="s">
        <v>532</v>
      </c>
    </row>
    <row r="217" spans="2:65" s="1" customFormat="1" ht="16.5" customHeight="1" x14ac:dyDescent="0.2">
      <c r="B217" s="118"/>
      <c r="C217" s="119" t="s">
        <v>382</v>
      </c>
      <c r="D217" s="119" t="s">
        <v>231</v>
      </c>
      <c r="E217" s="120" t="s">
        <v>4225</v>
      </c>
      <c r="F217" s="121" t="s">
        <v>4226</v>
      </c>
      <c r="G217" s="122" t="s">
        <v>284</v>
      </c>
      <c r="H217" s="123">
        <v>2</v>
      </c>
      <c r="I217" s="124">
        <v>66.760000000000005</v>
      </c>
      <c r="J217" s="124">
        <f t="shared" si="30"/>
        <v>133.52000000000001</v>
      </c>
      <c r="K217" s="121" t="s">
        <v>1</v>
      </c>
      <c r="L217" s="24"/>
      <c r="M217" s="125" t="s">
        <v>1</v>
      </c>
      <c r="N217" s="126" t="s">
        <v>32</v>
      </c>
      <c r="O217" s="127">
        <v>0</v>
      </c>
      <c r="P217" s="127">
        <f t="shared" si="31"/>
        <v>0</v>
      </c>
      <c r="Q217" s="127">
        <v>0</v>
      </c>
      <c r="R217" s="127">
        <f t="shared" si="32"/>
        <v>0</v>
      </c>
      <c r="S217" s="127">
        <v>0</v>
      </c>
      <c r="T217" s="128">
        <f t="shared" si="33"/>
        <v>0</v>
      </c>
      <c r="AR217" s="129" t="s">
        <v>235</v>
      </c>
      <c r="AT217" s="129" t="s">
        <v>231</v>
      </c>
      <c r="AU217" s="129" t="s">
        <v>76</v>
      </c>
      <c r="AY217" s="13" t="s">
        <v>228</v>
      </c>
      <c r="BE217" s="130">
        <f t="shared" si="34"/>
        <v>0</v>
      </c>
      <c r="BF217" s="130">
        <f t="shared" si="35"/>
        <v>133.52000000000001</v>
      </c>
      <c r="BG217" s="130">
        <f t="shared" si="36"/>
        <v>0</v>
      </c>
      <c r="BH217" s="130">
        <f t="shared" si="37"/>
        <v>0</v>
      </c>
      <c r="BI217" s="130">
        <f t="shared" si="38"/>
        <v>0</v>
      </c>
      <c r="BJ217" s="13" t="s">
        <v>76</v>
      </c>
      <c r="BK217" s="130">
        <f t="shared" si="39"/>
        <v>133.52000000000001</v>
      </c>
      <c r="BL217" s="13" t="s">
        <v>235</v>
      </c>
      <c r="BM217" s="129" t="s">
        <v>535</v>
      </c>
    </row>
    <row r="218" spans="2:65" s="1" customFormat="1" ht="16.5" customHeight="1" x14ac:dyDescent="0.2">
      <c r="B218" s="118"/>
      <c r="C218" s="119" t="s">
        <v>536</v>
      </c>
      <c r="D218" s="119" t="s">
        <v>231</v>
      </c>
      <c r="E218" s="120" t="s">
        <v>2920</v>
      </c>
      <c r="F218" s="121" t="s">
        <v>2921</v>
      </c>
      <c r="G218" s="122" t="s">
        <v>1035</v>
      </c>
      <c r="H218" s="123">
        <v>140</v>
      </c>
      <c r="I218" s="124">
        <v>2.14</v>
      </c>
      <c r="J218" s="124">
        <f t="shared" si="30"/>
        <v>299.60000000000002</v>
      </c>
      <c r="K218" s="121" t="s">
        <v>1</v>
      </c>
      <c r="L218" s="24"/>
      <c r="M218" s="125" t="s">
        <v>1</v>
      </c>
      <c r="N218" s="126" t="s">
        <v>32</v>
      </c>
      <c r="O218" s="127">
        <v>0</v>
      </c>
      <c r="P218" s="127">
        <f t="shared" si="31"/>
        <v>0</v>
      </c>
      <c r="Q218" s="127">
        <v>0</v>
      </c>
      <c r="R218" s="127">
        <f t="shared" si="32"/>
        <v>0</v>
      </c>
      <c r="S218" s="127">
        <v>0</v>
      </c>
      <c r="T218" s="128">
        <f t="shared" si="33"/>
        <v>0</v>
      </c>
      <c r="AR218" s="129" t="s">
        <v>235</v>
      </c>
      <c r="AT218" s="129" t="s">
        <v>231</v>
      </c>
      <c r="AU218" s="129" t="s">
        <v>76</v>
      </c>
      <c r="AY218" s="13" t="s">
        <v>228</v>
      </c>
      <c r="BE218" s="130">
        <f t="shared" si="34"/>
        <v>0</v>
      </c>
      <c r="BF218" s="130">
        <f t="shared" si="35"/>
        <v>299.60000000000002</v>
      </c>
      <c r="BG218" s="130">
        <f t="shared" si="36"/>
        <v>0</v>
      </c>
      <c r="BH218" s="130">
        <f t="shared" si="37"/>
        <v>0</v>
      </c>
      <c r="BI218" s="130">
        <f t="shared" si="38"/>
        <v>0</v>
      </c>
      <c r="BJ218" s="13" t="s">
        <v>76</v>
      </c>
      <c r="BK218" s="130">
        <f t="shared" si="39"/>
        <v>299.60000000000002</v>
      </c>
      <c r="BL218" s="13" t="s">
        <v>235</v>
      </c>
      <c r="BM218" s="129" t="s">
        <v>539</v>
      </c>
    </row>
    <row r="219" spans="2:65" s="1" customFormat="1" ht="16.5" customHeight="1" x14ac:dyDescent="0.2">
      <c r="B219" s="118"/>
      <c r="C219" s="119" t="s">
        <v>386</v>
      </c>
      <c r="D219" s="119" t="s">
        <v>231</v>
      </c>
      <c r="E219" s="120" t="s">
        <v>2922</v>
      </c>
      <c r="F219" s="121" t="s">
        <v>2923</v>
      </c>
      <c r="G219" s="122" t="s">
        <v>570</v>
      </c>
      <c r="H219" s="123">
        <v>2</v>
      </c>
      <c r="I219" s="124">
        <v>56.89</v>
      </c>
      <c r="J219" s="124">
        <f t="shared" si="30"/>
        <v>113.78</v>
      </c>
      <c r="K219" s="121" t="s">
        <v>1</v>
      </c>
      <c r="L219" s="24"/>
      <c r="M219" s="125" t="s">
        <v>1</v>
      </c>
      <c r="N219" s="126" t="s">
        <v>32</v>
      </c>
      <c r="O219" s="127">
        <v>0</v>
      </c>
      <c r="P219" s="127">
        <f t="shared" si="31"/>
        <v>0</v>
      </c>
      <c r="Q219" s="127">
        <v>0</v>
      </c>
      <c r="R219" s="127">
        <f t="shared" si="32"/>
        <v>0</v>
      </c>
      <c r="S219" s="127">
        <v>0</v>
      </c>
      <c r="T219" s="128">
        <f t="shared" si="33"/>
        <v>0</v>
      </c>
      <c r="AR219" s="129" t="s">
        <v>235</v>
      </c>
      <c r="AT219" s="129" t="s">
        <v>231</v>
      </c>
      <c r="AU219" s="129" t="s">
        <v>76</v>
      </c>
      <c r="AY219" s="13" t="s">
        <v>228</v>
      </c>
      <c r="BE219" s="130">
        <f t="shared" si="34"/>
        <v>0</v>
      </c>
      <c r="BF219" s="130">
        <f t="shared" si="35"/>
        <v>113.78</v>
      </c>
      <c r="BG219" s="130">
        <f t="shared" si="36"/>
        <v>0</v>
      </c>
      <c r="BH219" s="130">
        <f t="shared" si="37"/>
        <v>0</v>
      </c>
      <c r="BI219" s="130">
        <f t="shared" si="38"/>
        <v>0</v>
      </c>
      <c r="BJ219" s="13" t="s">
        <v>76</v>
      </c>
      <c r="BK219" s="130">
        <f t="shared" si="39"/>
        <v>113.78</v>
      </c>
      <c r="BL219" s="13" t="s">
        <v>235</v>
      </c>
      <c r="BM219" s="129" t="s">
        <v>542</v>
      </c>
    </row>
    <row r="220" spans="2:65" s="11" customFormat="1" ht="22.95" customHeight="1" x14ac:dyDescent="0.25">
      <c r="B220" s="106"/>
      <c r="D220" s="107" t="s">
        <v>57</v>
      </c>
      <c r="E220" s="116" t="s">
        <v>1269</v>
      </c>
      <c r="F220" s="116" t="s">
        <v>2924</v>
      </c>
      <c r="J220" s="117">
        <f>BK220</f>
        <v>1404.8899999999999</v>
      </c>
      <c r="L220" s="106"/>
      <c r="M220" s="110"/>
      <c r="N220" s="111"/>
      <c r="O220" s="111"/>
      <c r="P220" s="112">
        <f>SUM(P221:P224)</f>
        <v>0</v>
      </c>
      <c r="Q220" s="111"/>
      <c r="R220" s="112">
        <f>SUM(R221:R224)</f>
        <v>0</v>
      </c>
      <c r="S220" s="111"/>
      <c r="T220" s="113">
        <f>SUM(T221:T224)</f>
        <v>0</v>
      </c>
      <c r="AR220" s="107" t="s">
        <v>63</v>
      </c>
      <c r="AT220" s="114" t="s">
        <v>57</v>
      </c>
      <c r="AU220" s="114" t="s">
        <v>63</v>
      </c>
      <c r="AY220" s="107" t="s">
        <v>228</v>
      </c>
      <c r="BK220" s="115">
        <f>SUM(BK221:BK224)</f>
        <v>1404.8899999999999</v>
      </c>
    </row>
    <row r="221" spans="2:65" s="1" customFormat="1" ht="16.5" customHeight="1" x14ac:dyDescent="0.2">
      <c r="B221" s="118"/>
      <c r="C221" s="119" t="s">
        <v>543</v>
      </c>
      <c r="D221" s="119" t="s">
        <v>231</v>
      </c>
      <c r="E221" s="120" t="s">
        <v>2843</v>
      </c>
      <c r="F221" s="121" t="s">
        <v>2844</v>
      </c>
      <c r="G221" s="122" t="s">
        <v>570</v>
      </c>
      <c r="H221" s="123">
        <v>70</v>
      </c>
      <c r="I221" s="124">
        <v>4.6399999999999997</v>
      </c>
      <c r="J221" s="124">
        <f>ROUND(I221*H221,2)</f>
        <v>324.8</v>
      </c>
      <c r="K221" s="121" t="s">
        <v>1</v>
      </c>
      <c r="L221" s="24"/>
      <c r="M221" s="125" t="s">
        <v>1</v>
      </c>
      <c r="N221" s="126" t="s">
        <v>32</v>
      </c>
      <c r="O221" s="127">
        <v>0</v>
      </c>
      <c r="P221" s="127">
        <f>O221*H221</f>
        <v>0</v>
      </c>
      <c r="Q221" s="127">
        <v>0</v>
      </c>
      <c r="R221" s="127">
        <f>Q221*H221</f>
        <v>0</v>
      </c>
      <c r="S221" s="127">
        <v>0</v>
      </c>
      <c r="T221" s="128">
        <f>S221*H221</f>
        <v>0</v>
      </c>
      <c r="AR221" s="129" t="s">
        <v>235</v>
      </c>
      <c r="AT221" s="129" t="s">
        <v>231</v>
      </c>
      <c r="AU221" s="129" t="s">
        <v>76</v>
      </c>
      <c r="AY221" s="13" t="s">
        <v>228</v>
      </c>
      <c r="BE221" s="130">
        <f>IF(N221="základná",J221,0)</f>
        <v>0</v>
      </c>
      <c r="BF221" s="130">
        <f>IF(N221="znížená",J221,0)</f>
        <v>324.8</v>
      </c>
      <c r="BG221" s="130">
        <f>IF(N221="zákl. prenesená",J221,0)</f>
        <v>0</v>
      </c>
      <c r="BH221" s="130">
        <f>IF(N221="zníž. prenesená",J221,0)</f>
        <v>0</v>
      </c>
      <c r="BI221" s="130">
        <f>IF(N221="nulová",J221,0)</f>
        <v>0</v>
      </c>
      <c r="BJ221" s="13" t="s">
        <v>76</v>
      </c>
      <c r="BK221" s="130">
        <f>ROUND(I221*H221,2)</f>
        <v>324.8</v>
      </c>
      <c r="BL221" s="13" t="s">
        <v>235</v>
      </c>
      <c r="BM221" s="129" t="s">
        <v>546</v>
      </c>
    </row>
    <row r="222" spans="2:65" s="1" customFormat="1" ht="16.5" customHeight="1" x14ac:dyDescent="0.2">
      <c r="B222" s="118"/>
      <c r="C222" s="119" t="s">
        <v>389</v>
      </c>
      <c r="D222" s="119" t="s">
        <v>231</v>
      </c>
      <c r="E222" s="120" t="s">
        <v>2925</v>
      </c>
      <c r="F222" s="121" t="s">
        <v>2926</v>
      </c>
      <c r="G222" s="122" t="s">
        <v>570</v>
      </c>
      <c r="H222" s="123">
        <v>70</v>
      </c>
      <c r="I222" s="124">
        <v>3.48</v>
      </c>
      <c r="J222" s="124">
        <f>ROUND(I222*H222,2)</f>
        <v>243.6</v>
      </c>
      <c r="K222" s="121" t="s">
        <v>1</v>
      </c>
      <c r="L222" s="24"/>
      <c r="M222" s="125" t="s">
        <v>1</v>
      </c>
      <c r="N222" s="126" t="s">
        <v>32</v>
      </c>
      <c r="O222" s="127">
        <v>0</v>
      </c>
      <c r="P222" s="127">
        <f>O222*H222</f>
        <v>0</v>
      </c>
      <c r="Q222" s="127">
        <v>0</v>
      </c>
      <c r="R222" s="127">
        <f>Q222*H222</f>
        <v>0</v>
      </c>
      <c r="S222" s="127">
        <v>0</v>
      </c>
      <c r="T222" s="128">
        <f>S222*H222</f>
        <v>0</v>
      </c>
      <c r="AR222" s="129" t="s">
        <v>235</v>
      </c>
      <c r="AT222" s="129" t="s">
        <v>231</v>
      </c>
      <c r="AU222" s="129" t="s">
        <v>76</v>
      </c>
      <c r="AY222" s="13" t="s">
        <v>228</v>
      </c>
      <c r="BE222" s="130">
        <f>IF(N222="základná",J222,0)</f>
        <v>0</v>
      </c>
      <c r="BF222" s="130">
        <f>IF(N222="znížená",J222,0)</f>
        <v>243.6</v>
      </c>
      <c r="BG222" s="130">
        <f>IF(N222="zákl. prenesená",J222,0)</f>
        <v>0</v>
      </c>
      <c r="BH222" s="130">
        <f>IF(N222="zníž. prenesená",J222,0)</f>
        <v>0</v>
      </c>
      <c r="BI222" s="130">
        <f>IF(N222="nulová",J222,0)</f>
        <v>0</v>
      </c>
      <c r="BJ222" s="13" t="s">
        <v>76</v>
      </c>
      <c r="BK222" s="130">
        <f>ROUND(I222*H222,2)</f>
        <v>243.6</v>
      </c>
      <c r="BL222" s="13" t="s">
        <v>235</v>
      </c>
      <c r="BM222" s="129" t="s">
        <v>549</v>
      </c>
    </row>
    <row r="223" spans="2:65" s="1" customFormat="1" ht="16.5" customHeight="1" x14ac:dyDescent="0.2">
      <c r="B223" s="118"/>
      <c r="C223" s="119" t="s">
        <v>552</v>
      </c>
      <c r="D223" s="119" t="s">
        <v>231</v>
      </c>
      <c r="E223" s="120" t="s">
        <v>2927</v>
      </c>
      <c r="F223" s="121" t="s">
        <v>2928</v>
      </c>
      <c r="G223" s="122" t="s">
        <v>570</v>
      </c>
      <c r="H223" s="123">
        <v>54</v>
      </c>
      <c r="I223" s="124">
        <v>5.81</v>
      </c>
      <c r="J223" s="124">
        <f>ROUND(I223*H223,2)</f>
        <v>313.74</v>
      </c>
      <c r="K223" s="121" t="s">
        <v>1</v>
      </c>
      <c r="L223" s="24"/>
      <c r="M223" s="125" t="s">
        <v>1</v>
      </c>
      <c r="N223" s="126" t="s">
        <v>32</v>
      </c>
      <c r="O223" s="127">
        <v>0</v>
      </c>
      <c r="P223" s="127">
        <f>O223*H223</f>
        <v>0</v>
      </c>
      <c r="Q223" s="127">
        <v>0</v>
      </c>
      <c r="R223" s="127">
        <f>Q223*H223</f>
        <v>0</v>
      </c>
      <c r="S223" s="127">
        <v>0</v>
      </c>
      <c r="T223" s="128">
        <f>S223*H223</f>
        <v>0</v>
      </c>
      <c r="AR223" s="129" t="s">
        <v>235</v>
      </c>
      <c r="AT223" s="129" t="s">
        <v>231</v>
      </c>
      <c r="AU223" s="129" t="s">
        <v>76</v>
      </c>
      <c r="AY223" s="13" t="s">
        <v>228</v>
      </c>
      <c r="BE223" s="130">
        <f>IF(N223="základná",J223,0)</f>
        <v>0</v>
      </c>
      <c r="BF223" s="130">
        <f>IF(N223="znížená",J223,0)</f>
        <v>313.74</v>
      </c>
      <c r="BG223" s="130">
        <f>IF(N223="zákl. prenesená",J223,0)</f>
        <v>0</v>
      </c>
      <c r="BH223" s="130">
        <f>IF(N223="zníž. prenesená",J223,0)</f>
        <v>0</v>
      </c>
      <c r="BI223" s="130">
        <f>IF(N223="nulová",J223,0)</f>
        <v>0</v>
      </c>
      <c r="BJ223" s="13" t="s">
        <v>76</v>
      </c>
      <c r="BK223" s="130">
        <f>ROUND(I223*H223,2)</f>
        <v>313.74</v>
      </c>
      <c r="BL223" s="13" t="s">
        <v>235</v>
      </c>
      <c r="BM223" s="129" t="s">
        <v>555</v>
      </c>
    </row>
    <row r="224" spans="2:65" s="1" customFormat="1" ht="16.5" customHeight="1" x14ac:dyDescent="0.2">
      <c r="B224" s="118"/>
      <c r="C224" s="119" t="s">
        <v>393</v>
      </c>
      <c r="D224" s="119" t="s">
        <v>231</v>
      </c>
      <c r="E224" s="120" t="s">
        <v>2845</v>
      </c>
      <c r="F224" s="121" t="s">
        <v>2846</v>
      </c>
      <c r="G224" s="122" t="s">
        <v>570</v>
      </c>
      <c r="H224" s="123">
        <v>75</v>
      </c>
      <c r="I224" s="124">
        <v>6.97</v>
      </c>
      <c r="J224" s="124">
        <f>ROUND(I224*H224,2)</f>
        <v>522.75</v>
      </c>
      <c r="K224" s="121" t="s">
        <v>1</v>
      </c>
      <c r="L224" s="24"/>
      <c r="M224" s="140" t="s">
        <v>1</v>
      </c>
      <c r="N224" s="141" t="s">
        <v>32</v>
      </c>
      <c r="O224" s="142">
        <v>0</v>
      </c>
      <c r="P224" s="142">
        <f>O224*H224</f>
        <v>0</v>
      </c>
      <c r="Q224" s="142">
        <v>0</v>
      </c>
      <c r="R224" s="142">
        <f>Q224*H224</f>
        <v>0</v>
      </c>
      <c r="S224" s="142">
        <v>0</v>
      </c>
      <c r="T224" s="143">
        <f>S224*H224</f>
        <v>0</v>
      </c>
      <c r="AR224" s="129" t="s">
        <v>235</v>
      </c>
      <c r="AT224" s="129" t="s">
        <v>231</v>
      </c>
      <c r="AU224" s="129" t="s">
        <v>76</v>
      </c>
      <c r="AY224" s="13" t="s">
        <v>228</v>
      </c>
      <c r="BE224" s="130">
        <f>IF(N224="základná",J224,0)</f>
        <v>0</v>
      </c>
      <c r="BF224" s="130">
        <f>IF(N224="znížená",J224,0)</f>
        <v>522.75</v>
      </c>
      <c r="BG224" s="130">
        <f>IF(N224="zákl. prenesená",J224,0)</f>
        <v>0</v>
      </c>
      <c r="BH224" s="130">
        <f>IF(N224="zníž. prenesená",J224,0)</f>
        <v>0</v>
      </c>
      <c r="BI224" s="130">
        <f>IF(N224="nulová",J224,0)</f>
        <v>0</v>
      </c>
      <c r="BJ224" s="13" t="s">
        <v>76</v>
      </c>
      <c r="BK224" s="130">
        <f>ROUND(I224*H224,2)</f>
        <v>522.75</v>
      </c>
      <c r="BL224" s="13" t="s">
        <v>235</v>
      </c>
      <c r="BM224" s="129" t="s">
        <v>562</v>
      </c>
    </row>
    <row r="225" spans="2:12" s="1" customFormat="1" ht="7.05" customHeight="1" x14ac:dyDescent="0.2">
      <c r="B225" s="33"/>
      <c r="C225" s="34"/>
      <c r="D225" s="34"/>
      <c r="E225" s="34"/>
      <c r="F225" s="34"/>
      <c r="G225" s="34"/>
      <c r="H225" s="34"/>
      <c r="I225" s="34"/>
      <c r="J225" s="34"/>
      <c r="K225" s="34"/>
      <c r="L225" s="24"/>
    </row>
  </sheetData>
  <autoFilter ref="C124:K224" xr:uid="{00000000-0009-0000-0000-00001A000000}"/>
  <mergeCells count="14">
    <mergeCell ref="E87:H87"/>
    <mergeCell ref="E115:H115"/>
    <mergeCell ref="E117:H117"/>
    <mergeCell ref="L2:V2"/>
    <mergeCell ref="E9:H9"/>
    <mergeCell ref="E18:H18"/>
    <mergeCell ref="E27:H27"/>
    <mergeCell ref="E85:H85"/>
    <mergeCell ref="C4:J4"/>
    <mergeCell ref="F6:J7"/>
    <mergeCell ref="C82:J82"/>
    <mergeCell ref="E84:J84"/>
    <mergeCell ref="B112:J112"/>
    <mergeCell ref="E114:J114"/>
  </mergeCells>
  <pageMargins left="0.39374999999999999" right="0.39374999999999999" top="0.39374999999999999" bottom="0.39374999999999999" header="0" footer="0"/>
  <pageSetup paperSize="9" scale="89" fitToHeight="100" orientation="portrait" blackAndWhite="1" r:id="rId1"/>
  <headerFooter>
    <oddFooter>&amp;CStrana &amp;P z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BM205"/>
  <sheetViews>
    <sheetView showGridLines="0" topLeftCell="A125" zoomScale="80" zoomScaleNormal="80" workbookViewId="0">
      <selection activeCell="F91" sqref="F91:F92"/>
    </sheetView>
  </sheetViews>
  <sheetFormatPr defaultColWidth="8.7109375" defaultRowHeight="10.199999999999999" x14ac:dyDescent="0.2"/>
  <cols>
    <col min="1" max="1" width="8.28515625" customWidth="1"/>
    <col min="2" max="2" width="1.7109375" customWidth="1"/>
    <col min="3" max="4" width="4.28515625" customWidth="1"/>
    <col min="5" max="5" width="17.28515625" customWidth="1"/>
    <col min="6" max="6" width="50.7109375" customWidth="1"/>
    <col min="7" max="7" width="7" customWidth="1"/>
    <col min="8" max="8" width="11.42578125" customWidth="1"/>
    <col min="9" max="10" width="20.28515625" customWidth="1"/>
    <col min="11" max="11" width="20.28515625" hidden="1" customWidth="1"/>
    <col min="12" max="12" width="9.28515625" customWidth="1"/>
    <col min="13" max="13" width="10.7109375" hidden="1" customWidth="1"/>
    <col min="14" max="14" width="9.28515625" hidden="1"/>
    <col min="15" max="20" width="14.28515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1" spans="1:46" x14ac:dyDescent="0.2">
      <c r="A1" s="73"/>
    </row>
    <row r="2" spans="1:46" ht="37.049999999999997" customHeight="1" x14ac:dyDescent="0.2">
      <c r="L2" s="1227" t="s">
        <v>5</v>
      </c>
      <c r="M2" s="1225"/>
      <c r="N2" s="1225"/>
      <c r="O2" s="1225"/>
      <c r="P2" s="1225"/>
      <c r="Q2" s="1225"/>
      <c r="R2" s="1225"/>
      <c r="S2" s="1225"/>
      <c r="T2" s="1225"/>
      <c r="U2" s="1225"/>
      <c r="V2" s="1225"/>
      <c r="AT2" s="13" t="s">
        <v>141</v>
      </c>
    </row>
    <row r="3" spans="1:46" ht="7.05" customHeight="1" x14ac:dyDescent="0.2">
      <c r="B3" s="14"/>
      <c r="C3" s="1257" t="s">
        <v>185</v>
      </c>
      <c r="D3" s="1257"/>
      <c r="E3" s="1257"/>
      <c r="F3" s="1257"/>
      <c r="G3" s="1257"/>
      <c r="H3" s="1257"/>
      <c r="I3" s="1257"/>
      <c r="J3" s="1257"/>
      <c r="K3" s="15"/>
      <c r="L3" s="16"/>
      <c r="AT3" s="13" t="s">
        <v>58</v>
      </c>
    </row>
    <row r="4" spans="1:46" ht="25.05" customHeight="1" x14ac:dyDescent="0.2">
      <c r="B4" s="16"/>
      <c r="C4" s="1165"/>
      <c r="D4" s="1165"/>
      <c r="E4" s="1165"/>
      <c r="F4" s="1165"/>
      <c r="G4" s="1165"/>
      <c r="H4" s="1165"/>
      <c r="I4" s="1165"/>
      <c r="J4" s="1165"/>
      <c r="L4" s="16"/>
      <c r="M4" s="74" t="s">
        <v>9</v>
      </c>
      <c r="AT4" s="13" t="s">
        <v>3</v>
      </c>
    </row>
    <row r="5" spans="1:46" ht="7.05" customHeight="1" x14ac:dyDescent="0.2">
      <c r="B5" s="16"/>
      <c r="L5" s="16"/>
    </row>
    <row r="6" spans="1:46" ht="12" customHeight="1" x14ac:dyDescent="0.2">
      <c r="B6" s="16"/>
      <c r="D6" s="548" t="s">
        <v>12</v>
      </c>
      <c r="F6" s="1254" t="s">
        <v>6176</v>
      </c>
      <c r="G6" s="1254"/>
      <c r="H6" s="1254"/>
      <c r="I6" s="1254"/>
      <c r="J6" s="1254"/>
      <c r="L6" s="16"/>
    </row>
    <row r="7" spans="1:46" ht="24" customHeight="1" x14ac:dyDescent="0.2">
      <c r="B7" s="16"/>
      <c r="D7" s="527"/>
      <c r="E7" s="531"/>
      <c r="F7" s="1254"/>
      <c r="G7" s="1254"/>
      <c r="H7" s="1254"/>
      <c r="I7" s="1254"/>
      <c r="J7" s="1254"/>
      <c r="L7" s="16"/>
    </row>
    <row r="8" spans="1:46" s="1" customFormat="1" ht="12" customHeight="1" x14ac:dyDescent="0.2">
      <c r="B8" s="24"/>
      <c r="D8" s="549" t="s">
        <v>186</v>
      </c>
      <c r="F8" s="532" t="s">
        <v>4227</v>
      </c>
      <c r="L8" s="24"/>
    </row>
    <row r="9" spans="1:46" s="1" customFormat="1" ht="37.049999999999997" customHeight="1" x14ac:dyDescent="0.2">
      <c r="B9" s="24"/>
      <c r="D9" s="521"/>
      <c r="E9" s="1251"/>
      <c r="F9" s="1252"/>
      <c r="G9" s="1252"/>
      <c r="H9" s="1252"/>
      <c r="L9" s="24"/>
    </row>
    <row r="10" spans="1:46" s="1" customFormat="1" x14ac:dyDescent="0.2">
      <c r="B10" s="24"/>
      <c r="D10" s="521"/>
      <c r="L10" s="24"/>
    </row>
    <row r="11" spans="1:46" s="1" customFormat="1" ht="12" customHeight="1" x14ac:dyDescent="0.2">
      <c r="B11" s="24"/>
      <c r="D11" s="528" t="s">
        <v>13</v>
      </c>
      <c r="F11" s="19" t="s">
        <v>1</v>
      </c>
      <c r="I11" s="528" t="s">
        <v>14</v>
      </c>
      <c r="J11" s="19" t="s">
        <v>1</v>
      </c>
      <c r="L11" s="24"/>
    </row>
    <row r="12" spans="1:46" s="1" customFormat="1" ht="12" customHeight="1" x14ac:dyDescent="0.2">
      <c r="B12" s="24"/>
      <c r="D12" s="528" t="s">
        <v>15</v>
      </c>
      <c r="F12" s="520" t="s">
        <v>6173</v>
      </c>
      <c r="I12" s="528" t="s">
        <v>17</v>
      </c>
      <c r="J12" s="39"/>
      <c r="L12" s="24"/>
    </row>
    <row r="13" spans="1:46" s="1" customFormat="1" ht="10.95" customHeight="1" x14ac:dyDescent="0.2">
      <c r="B13" s="24"/>
      <c r="D13" s="521"/>
      <c r="F13" s="521"/>
      <c r="I13" s="521"/>
      <c r="L13" s="24"/>
    </row>
    <row r="14" spans="1:46" s="1" customFormat="1" ht="12" customHeight="1" x14ac:dyDescent="0.2">
      <c r="B14" s="24"/>
      <c r="D14" s="528" t="s">
        <v>18</v>
      </c>
      <c r="F14" s="529" t="s">
        <v>6175</v>
      </c>
      <c r="I14" s="528" t="s">
        <v>19</v>
      </c>
      <c r="J14" s="19" t="str">
        <f>IF('Rekapitulácia stavby'!AN10="","",'Rekapitulácia stavby'!AN10)</f>
        <v/>
      </c>
      <c r="L14" s="24"/>
    </row>
    <row r="15" spans="1:46" s="1" customFormat="1" ht="18" customHeight="1" x14ac:dyDescent="0.2">
      <c r="B15" s="24"/>
      <c r="D15" s="521"/>
      <c r="E15" s="19" t="str">
        <f>IF('Rekapitulácia stavby'!E11="","",'Rekapitulácia stavby'!E11)</f>
        <v/>
      </c>
      <c r="F15" s="521"/>
      <c r="I15" s="528" t="s">
        <v>20</v>
      </c>
      <c r="J15" s="19" t="str">
        <f>IF('Rekapitulácia stavby'!AN11="","",'Rekapitulácia stavby'!AN11)</f>
        <v/>
      </c>
      <c r="L15" s="24"/>
    </row>
    <row r="16" spans="1:46" s="1" customFormat="1" ht="7.05" customHeight="1" x14ac:dyDescent="0.2">
      <c r="B16" s="24"/>
      <c r="D16" s="521"/>
      <c r="F16" s="521"/>
      <c r="I16" s="521"/>
      <c r="L16" s="24"/>
    </row>
    <row r="17" spans="2:12" s="1" customFormat="1" ht="12" customHeight="1" x14ac:dyDescent="0.2">
      <c r="B17" s="24"/>
      <c r="D17" s="528" t="s">
        <v>21</v>
      </c>
      <c r="F17" s="529" t="s">
        <v>5202</v>
      </c>
      <c r="I17" s="528" t="s">
        <v>19</v>
      </c>
      <c r="J17" s="19"/>
      <c r="L17" s="24"/>
    </row>
    <row r="18" spans="2:12" s="1" customFormat="1" ht="18" customHeight="1" x14ac:dyDescent="0.2">
      <c r="B18" s="24"/>
      <c r="D18" s="521"/>
      <c r="E18" s="1161"/>
      <c r="F18" s="1161"/>
      <c r="G18" s="1161"/>
      <c r="H18" s="1161"/>
      <c r="I18" s="528" t="s">
        <v>20</v>
      </c>
      <c r="J18" s="19" t="str">
        <f>'Rekapitulácia stavby'!AN14</f>
        <v/>
      </c>
      <c r="L18" s="24"/>
    </row>
    <row r="19" spans="2:12" s="1" customFormat="1" ht="7.05" customHeight="1" x14ac:dyDescent="0.2">
      <c r="B19" s="24"/>
      <c r="D19" s="521"/>
      <c r="I19" s="521"/>
      <c r="L19" s="24"/>
    </row>
    <row r="20" spans="2:12" s="1" customFormat="1" ht="12" customHeight="1" x14ac:dyDescent="0.2">
      <c r="B20" s="24"/>
      <c r="D20" s="528" t="s">
        <v>22</v>
      </c>
      <c r="I20" s="528" t="s">
        <v>19</v>
      </c>
      <c r="J20" s="19" t="str">
        <f>IF('Rekapitulácia stavby'!AN16="","",'Rekapitulácia stavby'!AN16)</f>
        <v/>
      </c>
      <c r="L20" s="24"/>
    </row>
    <row r="21" spans="2:12" s="1" customFormat="1" ht="18" customHeight="1" x14ac:dyDescent="0.2">
      <c r="B21" s="24"/>
      <c r="D21" s="521"/>
      <c r="E21" s="19" t="str">
        <f>IF('Rekapitulácia stavby'!E17="","",'Rekapitulácia stavby'!E17)</f>
        <v xml:space="preserve"> </v>
      </c>
      <c r="I21" s="528" t="s">
        <v>20</v>
      </c>
      <c r="J21" s="19" t="str">
        <f>IF('Rekapitulácia stavby'!AN17="","",'Rekapitulácia stavby'!AN17)</f>
        <v/>
      </c>
      <c r="L21" s="24"/>
    </row>
    <row r="22" spans="2:12" s="1" customFormat="1" ht="7.05" customHeight="1" x14ac:dyDescent="0.2">
      <c r="B22" s="24"/>
      <c r="D22" s="521"/>
      <c r="I22" s="521"/>
      <c r="L22" s="24"/>
    </row>
    <row r="23" spans="2:12" s="1" customFormat="1" ht="12" customHeight="1" x14ac:dyDescent="0.2">
      <c r="B23" s="24"/>
      <c r="D23" s="528" t="s">
        <v>24</v>
      </c>
      <c r="I23" s="528" t="s">
        <v>19</v>
      </c>
      <c r="J23" s="19" t="str">
        <f>IF('Rekapitulácia stavby'!AN19="","",'Rekapitulácia stavby'!AN19)</f>
        <v/>
      </c>
      <c r="L23" s="24"/>
    </row>
    <row r="24" spans="2:12" s="1" customFormat="1" ht="18" customHeight="1" x14ac:dyDescent="0.2">
      <c r="B24" s="24"/>
      <c r="D24" s="521"/>
      <c r="E24" s="19" t="str">
        <f>IF('Rekapitulácia stavby'!E20="","",'Rekapitulácia stavby'!E20)</f>
        <v xml:space="preserve"> </v>
      </c>
      <c r="I24" s="528" t="s">
        <v>20</v>
      </c>
      <c r="J24" s="19" t="str">
        <f>IF('Rekapitulácia stavby'!AN20="","",'Rekapitulácia stavby'!AN20)</f>
        <v/>
      </c>
      <c r="L24" s="24"/>
    </row>
    <row r="25" spans="2:12" s="1" customFormat="1" ht="7.05" customHeight="1" x14ac:dyDescent="0.2">
      <c r="B25" s="24"/>
      <c r="D25" s="521"/>
      <c r="L25" s="24"/>
    </row>
    <row r="26" spans="2:12" s="1" customFormat="1" ht="12" customHeight="1" x14ac:dyDescent="0.2">
      <c r="B26" s="24"/>
      <c r="D26" s="528" t="s">
        <v>25</v>
      </c>
      <c r="L26" s="24"/>
    </row>
    <row r="27" spans="2:12" s="7" customFormat="1" ht="16.5" customHeight="1" x14ac:dyDescent="0.2">
      <c r="B27" s="75"/>
      <c r="E27" s="1228" t="s">
        <v>1</v>
      </c>
      <c r="F27" s="1228"/>
      <c r="G27" s="1228"/>
      <c r="H27" s="1228"/>
      <c r="L27" s="75"/>
    </row>
    <row r="28" spans="2:12" s="1" customFormat="1" ht="7.05" customHeight="1" x14ac:dyDescent="0.2">
      <c r="B28" s="24"/>
      <c r="L28" s="24"/>
    </row>
    <row r="29" spans="2:12" s="1" customFormat="1" ht="7.05" customHeight="1" x14ac:dyDescent="0.2">
      <c r="B29" s="24"/>
      <c r="D29" s="40"/>
      <c r="E29" s="40"/>
      <c r="F29" s="40"/>
      <c r="G29" s="40"/>
      <c r="H29" s="40"/>
      <c r="I29" s="40"/>
      <c r="J29" s="40"/>
      <c r="K29" s="40"/>
      <c r="L29" s="24"/>
    </row>
    <row r="30" spans="2:12" s="1" customFormat="1" ht="25.2" customHeight="1" x14ac:dyDescent="0.2">
      <c r="B30" s="24"/>
      <c r="D30" s="76" t="s">
        <v>26</v>
      </c>
      <c r="J30" s="53">
        <f>ROUND(J125, 2)</f>
        <v>26380.06</v>
      </c>
      <c r="L30" s="24"/>
    </row>
    <row r="31" spans="2:12" s="1" customFormat="1" ht="7.05" customHeight="1" x14ac:dyDescent="0.2">
      <c r="B31" s="24"/>
      <c r="D31" s="40"/>
      <c r="E31" s="40"/>
      <c r="F31" s="40"/>
      <c r="G31" s="40"/>
      <c r="H31" s="40"/>
      <c r="I31" s="40"/>
      <c r="J31" s="40"/>
      <c r="K31" s="40"/>
      <c r="L31" s="24"/>
    </row>
    <row r="32" spans="2:12" s="1" customFormat="1" ht="14.55" customHeight="1" x14ac:dyDescent="0.2">
      <c r="B32" s="24"/>
      <c r="D32" s="521"/>
      <c r="E32" s="521"/>
      <c r="F32" s="534" t="s">
        <v>28</v>
      </c>
      <c r="G32" s="521"/>
      <c r="H32" s="521"/>
      <c r="I32" s="534" t="s">
        <v>27</v>
      </c>
      <c r="J32" s="534" t="s">
        <v>29</v>
      </c>
      <c r="L32" s="24"/>
    </row>
    <row r="33" spans="2:12" s="1" customFormat="1" ht="14.55" customHeight="1" x14ac:dyDescent="0.2">
      <c r="B33" s="24"/>
      <c r="D33" s="13" t="s">
        <v>30</v>
      </c>
      <c r="E33" s="528" t="s">
        <v>31</v>
      </c>
      <c r="F33" s="398">
        <f>ROUND((SUM(BE125:BE204)),  2)</f>
        <v>0</v>
      </c>
      <c r="G33" s="521"/>
      <c r="H33" s="521"/>
      <c r="I33" s="535">
        <v>0.2</v>
      </c>
      <c r="J33" s="398">
        <f>ROUND(((SUM(BE125:BE204))*I33),  2)</f>
        <v>0</v>
      </c>
      <c r="L33" s="24"/>
    </row>
    <row r="34" spans="2:12" s="1" customFormat="1" ht="14.55" customHeight="1" x14ac:dyDescent="0.2">
      <c r="B34" s="24"/>
      <c r="D34" s="521"/>
      <c r="E34" s="528" t="s">
        <v>32</v>
      </c>
      <c r="F34" s="398">
        <f>ROUND((SUM(BF125:BF204)),  2)</f>
        <v>26380.06</v>
      </c>
      <c r="G34" s="521"/>
      <c r="H34" s="521"/>
      <c r="I34" s="535">
        <v>0.2</v>
      </c>
      <c r="J34" s="398">
        <f>ROUND(((SUM(BF125:BF204))*I34),  2)</f>
        <v>5276.01</v>
      </c>
      <c r="L34" s="24"/>
    </row>
    <row r="35" spans="2:12" s="1" customFormat="1" ht="14.55" hidden="1" customHeight="1" x14ac:dyDescent="0.2">
      <c r="B35" s="24"/>
      <c r="E35" s="21" t="s">
        <v>33</v>
      </c>
      <c r="F35" s="78">
        <f>ROUND((SUM(BG125:BG204)),  2)</f>
        <v>0</v>
      </c>
      <c r="I35" s="79">
        <v>0.2</v>
      </c>
      <c r="J35" s="78">
        <f>0</f>
        <v>0</v>
      </c>
      <c r="L35" s="24"/>
    </row>
    <row r="36" spans="2:12" s="1" customFormat="1" ht="14.55" hidden="1" customHeight="1" x14ac:dyDescent="0.2">
      <c r="B36" s="24"/>
      <c r="E36" s="21" t="s">
        <v>34</v>
      </c>
      <c r="F36" s="78">
        <f>ROUND((SUM(BH125:BH204)),  2)</f>
        <v>0</v>
      </c>
      <c r="I36" s="79">
        <v>0.2</v>
      </c>
      <c r="J36" s="78">
        <f>0</f>
        <v>0</v>
      </c>
      <c r="L36" s="24"/>
    </row>
    <row r="37" spans="2:12" s="1" customFormat="1" ht="14.55" hidden="1" customHeight="1" x14ac:dyDescent="0.2">
      <c r="B37" s="24"/>
      <c r="E37" s="21" t="s">
        <v>35</v>
      </c>
      <c r="F37" s="78">
        <f>ROUND((SUM(BI125:BI204)),  2)</f>
        <v>0</v>
      </c>
      <c r="I37" s="79">
        <v>0</v>
      </c>
      <c r="J37" s="78">
        <f>0</f>
        <v>0</v>
      </c>
      <c r="L37" s="24"/>
    </row>
    <row r="38" spans="2:12" s="1" customFormat="1" ht="7.05" customHeight="1" x14ac:dyDescent="0.2">
      <c r="B38" s="24"/>
      <c r="L38" s="24"/>
    </row>
    <row r="39" spans="2:12" s="1" customFormat="1" ht="25.2" customHeight="1" x14ac:dyDescent="0.2">
      <c r="B39" s="24"/>
      <c r="C39" s="80"/>
      <c r="D39" s="81" t="s">
        <v>36</v>
      </c>
      <c r="E39" s="44"/>
      <c r="F39" s="44"/>
      <c r="G39" s="82" t="s">
        <v>37</v>
      </c>
      <c r="H39" s="83" t="s">
        <v>38</v>
      </c>
      <c r="I39" s="44"/>
      <c r="J39" s="84">
        <f>SUM(J30:J37)</f>
        <v>31656.07</v>
      </c>
      <c r="K39" s="85"/>
      <c r="L39" s="24"/>
    </row>
    <row r="40" spans="2:12" s="1" customFormat="1" ht="14.55" customHeight="1" x14ac:dyDescent="0.2">
      <c r="B40" s="24"/>
      <c r="L40" s="24"/>
    </row>
    <row r="41" spans="2:12" ht="14.55" customHeight="1" x14ac:dyDescent="0.2">
      <c r="B41" s="16"/>
      <c r="L41" s="16"/>
    </row>
    <row r="42" spans="2:12" ht="14.55" customHeight="1" x14ac:dyDescent="0.2">
      <c r="B42" s="16"/>
      <c r="L42" s="16"/>
    </row>
    <row r="43" spans="2:12" ht="14.55" customHeight="1" x14ac:dyDescent="0.2">
      <c r="B43" s="16"/>
      <c r="L43" s="16"/>
    </row>
    <row r="44" spans="2:12" ht="14.55" customHeight="1" x14ac:dyDescent="0.2">
      <c r="B44" s="16"/>
      <c r="L44" s="16"/>
    </row>
    <row r="45" spans="2:12" ht="14.55" customHeight="1" x14ac:dyDescent="0.2">
      <c r="B45" s="16"/>
      <c r="L45" s="16"/>
    </row>
    <row r="46" spans="2:12" ht="14.55" customHeight="1" x14ac:dyDescent="0.2">
      <c r="B46" s="16"/>
      <c r="L46" s="16"/>
    </row>
    <row r="47" spans="2:12" ht="14.55" customHeight="1" x14ac:dyDescent="0.2">
      <c r="B47" s="16"/>
      <c r="L47" s="16"/>
    </row>
    <row r="48" spans="2:12" ht="14.55" customHeight="1" x14ac:dyDescent="0.2">
      <c r="B48" s="16"/>
      <c r="L48" s="16"/>
    </row>
    <row r="49" spans="2:12" ht="14.55" customHeight="1" x14ac:dyDescent="0.2">
      <c r="B49" s="16"/>
      <c r="D49" s="156"/>
      <c r="E49" s="156"/>
      <c r="F49" s="156"/>
      <c r="G49" s="156"/>
      <c r="H49" s="156"/>
      <c r="I49" s="156"/>
      <c r="J49" s="156"/>
      <c r="L49" s="16"/>
    </row>
    <row r="50" spans="2:12" s="1" customFormat="1" ht="14.55" customHeight="1" x14ac:dyDescent="0.2">
      <c r="B50" s="24"/>
      <c r="D50" s="530"/>
      <c r="E50" s="523"/>
      <c r="F50" s="523"/>
      <c r="G50" s="530"/>
      <c r="H50" s="523"/>
      <c r="I50" s="523"/>
      <c r="J50" s="523"/>
      <c r="K50" s="32"/>
      <c r="L50" s="24"/>
    </row>
    <row r="51" spans="2:12" x14ac:dyDescent="0.2">
      <c r="B51" s="16"/>
      <c r="D51" s="156"/>
      <c r="E51" s="156"/>
      <c r="F51" s="156"/>
      <c r="G51" s="156"/>
      <c r="H51" s="156"/>
      <c r="I51" s="156"/>
      <c r="J51" s="156"/>
      <c r="L51" s="16"/>
    </row>
    <row r="52" spans="2:12" x14ac:dyDescent="0.2">
      <c r="B52" s="16"/>
      <c r="D52" s="156"/>
      <c r="E52" s="156"/>
      <c r="F52" s="156"/>
      <c r="G52" s="156"/>
      <c r="H52" s="156"/>
      <c r="I52" s="156"/>
      <c r="J52" s="156"/>
      <c r="L52" s="16"/>
    </row>
    <row r="53" spans="2:12" x14ac:dyDescent="0.2">
      <c r="B53" s="16"/>
      <c r="D53" s="156"/>
      <c r="E53" s="156"/>
      <c r="F53" s="156"/>
      <c r="G53" s="156"/>
      <c r="H53" s="156"/>
      <c r="I53" s="156"/>
      <c r="J53" s="156"/>
      <c r="L53" s="16"/>
    </row>
    <row r="54" spans="2:12" x14ac:dyDescent="0.2">
      <c r="B54" s="16"/>
      <c r="D54" s="156"/>
      <c r="E54" s="156"/>
      <c r="F54" s="156"/>
      <c r="G54" s="156"/>
      <c r="H54" s="156"/>
      <c r="I54" s="156"/>
      <c r="J54" s="156"/>
      <c r="L54" s="16"/>
    </row>
    <row r="55" spans="2:12" x14ac:dyDescent="0.2">
      <c r="B55" s="16"/>
      <c r="D55" s="156"/>
      <c r="E55" s="156"/>
      <c r="F55" s="156"/>
      <c r="G55" s="156"/>
      <c r="H55" s="156"/>
      <c r="I55" s="156"/>
      <c r="J55" s="156"/>
      <c r="L55" s="16"/>
    </row>
    <row r="56" spans="2:12" x14ac:dyDescent="0.2">
      <c r="B56" s="16"/>
      <c r="D56" s="156"/>
      <c r="E56" s="156"/>
      <c r="F56" s="156"/>
      <c r="G56" s="156"/>
      <c r="H56" s="156"/>
      <c r="I56" s="156"/>
      <c r="J56" s="156"/>
      <c r="L56" s="16"/>
    </row>
    <row r="57" spans="2:12" x14ac:dyDescent="0.2">
      <c r="B57" s="16"/>
      <c r="D57" s="156"/>
      <c r="E57" s="156"/>
      <c r="F57" s="156"/>
      <c r="G57" s="156"/>
      <c r="H57" s="156"/>
      <c r="I57" s="156"/>
      <c r="J57" s="156"/>
      <c r="L57" s="16"/>
    </row>
    <row r="58" spans="2:12" x14ac:dyDescent="0.2">
      <c r="B58" s="16"/>
      <c r="D58" s="156"/>
      <c r="E58" s="156"/>
      <c r="F58" s="156"/>
      <c r="G58" s="156"/>
      <c r="H58" s="156"/>
      <c r="I58" s="156"/>
      <c r="J58" s="156"/>
      <c r="L58" s="16"/>
    </row>
    <row r="59" spans="2:12" x14ac:dyDescent="0.2">
      <c r="B59" s="16"/>
      <c r="D59" s="156"/>
      <c r="E59" s="156"/>
      <c r="F59" s="156"/>
      <c r="G59" s="156"/>
      <c r="H59" s="156"/>
      <c r="I59" s="156"/>
      <c r="J59" s="156"/>
      <c r="L59" s="16"/>
    </row>
    <row r="60" spans="2:12" x14ac:dyDescent="0.2">
      <c r="B60" s="16"/>
      <c r="D60" s="156"/>
      <c r="E60" s="156"/>
      <c r="F60" s="156"/>
      <c r="G60" s="156"/>
      <c r="H60" s="156"/>
      <c r="I60" s="156"/>
      <c r="J60" s="156"/>
      <c r="L60" s="16"/>
    </row>
    <row r="61" spans="2:12" s="1" customFormat="1" ht="13.2" x14ac:dyDescent="0.2">
      <c r="B61" s="24"/>
      <c r="D61" s="522"/>
      <c r="E61" s="523"/>
      <c r="F61" s="536"/>
      <c r="G61" s="522"/>
      <c r="H61" s="523"/>
      <c r="I61" s="523"/>
      <c r="J61" s="169"/>
      <c r="K61" s="26"/>
      <c r="L61" s="24"/>
    </row>
    <row r="62" spans="2:12" x14ac:dyDescent="0.2">
      <c r="B62" s="16"/>
      <c r="D62" s="156"/>
      <c r="E62" s="156"/>
      <c r="F62" s="156"/>
      <c r="G62" s="156"/>
      <c r="H62" s="156"/>
      <c r="I62" s="156"/>
      <c r="J62" s="156"/>
      <c r="L62" s="16"/>
    </row>
    <row r="63" spans="2:12" x14ac:dyDescent="0.2">
      <c r="B63" s="16"/>
      <c r="D63" s="156"/>
      <c r="E63" s="156"/>
      <c r="F63" s="156"/>
      <c r="G63" s="156"/>
      <c r="H63" s="156"/>
      <c r="I63" s="156"/>
      <c r="J63" s="156"/>
      <c r="L63" s="16"/>
    </row>
    <row r="64" spans="2:12" x14ac:dyDescent="0.2">
      <c r="B64" s="16"/>
      <c r="D64" s="156"/>
      <c r="E64" s="156"/>
      <c r="F64" s="156"/>
      <c r="G64" s="156"/>
      <c r="H64" s="156"/>
      <c r="I64" s="156"/>
      <c r="J64" s="156"/>
      <c r="L64" s="16"/>
    </row>
    <row r="65" spans="2:12" s="1" customFormat="1" ht="13.2" x14ac:dyDescent="0.2">
      <c r="B65" s="24"/>
      <c r="D65" s="530"/>
      <c r="E65" s="523"/>
      <c r="F65" s="523"/>
      <c r="G65" s="530"/>
      <c r="H65" s="523"/>
      <c r="I65" s="523"/>
      <c r="J65" s="523"/>
      <c r="K65" s="32"/>
      <c r="L65" s="24"/>
    </row>
    <row r="66" spans="2:12" x14ac:dyDescent="0.2">
      <c r="B66" s="16"/>
      <c r="D66" s="156"/>
      <c r="E66" s="156"/>
      <c r="F66" s="156"/>
      <c r="G66" s="156"/>
      <c r="H66" s="156"/>
      <c r="I66" s="156"/>
      <c r="J66" s="156"/>
      <c r="L66" s="16"/>
    </row>
    <row r="67" spans="2:12" x14ac:dyDescent="0.2">
      <c r="B67" s="16"/>
      <c r="D67" s="156"/>
      <c r="E67" s="156"/>
      <c r="F67" s="156"/>
      <c r="G67" s="156"/>
      <c r="H67" s="156"/>
      <c r="I67" s="156"/>
      <c r="J67" s="156"/>
      <c r="L67" s="16"/>
    </row>
    <row r="68" spans="2:12" x14ac:dyDescent="0.2">
      <c r="B68" s="16"/>
      <c r="D68" s="156"/>
      <c r="E68" s="156"/>
      <c r="F68" s="156"/>
      <c r="G68" s="156"/>
      <c r="H68" s="156"/>
      <c r="I68" s="156"/>
      <c r="J68" s="156"/>
      <c r="L68" s="16"/>
    </row>
    <row r="69" spans="2:12" x14ac:dyDescent="0.2">
      <c r="B69" s="16"/>
      <c r="D69" s="156"/>
      <c r="E69" s="156"/>
      <c r="F69" s="156"/>
      <c r="G69" s="156"/>
      <c r="H69" s="156"/>
      <c r="I69" s="156"/>
      <c r="J69" s="156"/>
      <c r="L69" s="16"/>
    </row>
    <row r="70" spans="2:12" x14ac:dyDescent="0.2">
      <c r="B70" s="16"/>
      <c r="D70" s="156"/>
      <c r="E70" s="156"/>
      <c r="F70" s="156"/>
      <c r="G70" s="156"/>
      <c r="H70" s="156"/>
      <c r="I70" s="156"/>
      <c r="J70" s="156"/>
      <c r="L70" s="16"/>
    </row>
    <row r="71" spans="2:12" x14ac:dyDescent="0.2">
      <c r="B71" s="16"/>
      <c r="D71" s="156"/>
      <c r="E71" s="156"/>
      <c r="F71" s="156"/>
      <c r="G71" s="156"/>
      <c r="H71" s="156"/>
      <c r="I71" s="156"/>
      <c r="J71" s="156"/>
      <c r="L71" s="16"/>
    </row>
    <row r="72" spans="2:12" x14ac:dyDescent="0.2">
      <c r="B72" s="16"/>
      <c r="D72" s="156"/>
      <c r="E72" s="156"/>
      <c r="F72" s="156"/>
      <c r="G72" s="156"/>
      <c r="H72" s="156"/>
      <c r="I72" s="156"/>
      <c r="J72" s="156"/>
      <c r="L72" s="16"/>
    </row>
    <row r="73" spans="2:12" x14ac:dyDescent="0.2">
      <c r="B73" s="16"/>
      <c r="D73" s="156"/>
      <c r="E73" s="156"/>
      <c r="F73" s="156"/>
      <c r="G73" s="156"/>
      <c r="H73" s="156"/>
      <c r="I73" s="156"/>
      <c r="J73" s="156"/>
      <c r="L73" s="16"/>
    </row>
    <row r="74" spans="2:12" x14ac:dyDescent="0.2">
      <c r="B74" s="16"/>
      <c r="D74" s="156"/>
      <c r="E74" s="156"/>
      <c r="F74" s="156"/>
      <c r="G74" s="156"/>
      <c r="H74" s="156"/>
      <c r="I74" s="156"/>
      <c r="J74" s="156"/>
      <c r="L74" s="16"/>
    </row>
    <row r="75" spans="2:12" x14ac:dyDescent="0.2">
      <c r="B75" s="16"/>
      <c r="D75" s="156"/>
      <c r="E75" s="156"/>
      <c r="F75" s="156"/>
      <c r="G75" s="156"/>
      <c r="H75" s="156"/>
      <c r="I75" s="156"/>
      <c r="J75" s="156"/>
      <c r="L75" s="16"/>
    </row>
    <row r="76" spans="2:12" s="1" customFormat="1" ht="13.2" x14ac:dyDescent="0.2">
      <c r="B76" s="24"/>
      <c r="D76" s="522"/>
      <c r="E76" s="523"/>
      <c r="F76" s="536"/>
      <c r="G76" s="522"/>
      <c r="H76" s="523"/>
      <c r="I76" s="523"/>
      <c r="J76" s="169"/>
      <c r="K76" s="26"/>
      <c r="L76" s="24"/>
    </row>
    <row r="77" spans="2:12" s="1" customFormat="1" ht="14.55" customHeight="1" x14ac:dyDescent="0.2">
      <c r="B77" s="33"/>
      <c r="C77" s="34"/>
      <c r="D77" s="34"/>
      <c r="E77" s="34"/>
      <c r="F77" s="34"/>
      <c r="G77" s="34"/>
      <c r="H77" s="34"/>
      <c r="I77" s="34"/>
      <c r="J77" s="34"/>
      <c r="K77" s="34"/>
      <c r="L77" s="24"/>
    </row>
    <row r="81" spans="2:47" s="1" customFormat="1" ht="7.05" customHeight="1" x14ac:dyDescent="0.2">
      <c r="B81" s="35"/>
      <c r="C81" s="36"/>
      <c r="D81" s="36"/>
      <c r="E81" s="36"/>
      <c r="F81" s="36"/>
      <c r="G81" s="36"/>
      <c r="H81" s="36"/>
      <c r="I81" s="36"/>
      <c r="J81" s="36"/>
      <c r="K81" s="36"/>
      <c r="L81" s="24"/>
    </row>
    <row r="82" spans="2:47" s="1" customFormat="1" ht="25.05" customHeight="1" x14ac:dyDescent="0.2">
      <c r="B82" s="24"/>
      <c r="C82" s="1165" t="s">
        <v>188</v>
      </c>
      <c r="D82" s="1165"/>
      <c r="E82" s="1165"/>
      <c r="F82" s="1165"/>
      <c r="G82" s="1165"/>
      <c r="H82" s="1165"/>
      <c r="I82" s="1165"/>
      <c r="J82" s="1165"/>
      <c r="L82" s="24"/>
    </row>
    <row r="83" spans="2:47" s="1" customFormat="1" ht="7.05" customHeight="1" x14ac:dyDescent="0.2">
      <c r="B83" s="24"/>
      <c r="L83" s="24"/>
    </row>
    <row r="84" spans="2:47" s="1" customFormat="1" ht="12" customHeight="1" x14ac:dyDescent="0.2">
      <c r="B84" s="24"/>
      <c r="C84" s="528" t="s">
        <v>12</v>
      </c>
      <c r="E84" s="1242" t="s">
        <v>6177</v>
      </c>
      <c r="F84" s="1242"/>
      <c r="G84" s="1242"/>
      <c r="H84" s="1242"/>
      <c r="I84" s="1242"/>
      <c r="J84" s="1242"/>
      <c r="L84" s="24"/>
    </row>
    <row r="85" spans="2:47" s="1" customFormat="1" ht="22.95" customHeight="1" x14ac:dyDescent="0.2">
      <c r="B85" s="24"/>
      <c r="C85" s="521"/>
      <c r="E85" s="1243"/>
      <c r="F85" s="1244"/>
      <c r="G85" s="1244"/>
      <c r="H85" s="1244"/>
      <c r="L85" s="24"/>
    </row>
    <row r="86" spans="2:47" s="1" customFormat="1" ht="12" customHeight="1" x14ac:dyDescent="0.2">
      <c r="B86" s="24"/>
      <c r="C86" s="528" t="s">
        <v>186</v>
      </c>
      <c r="F86" s="532" t="s">
        <v>4227</v>
      </c>
      <c r="L86" s="24"/>
    </row>
    <row r="87" spans="2:47" s="1" customFormat="1" ht="16.5" customHeight="1" x14ac:dyDescent="0.2">
      <c r="B87" s="24"/>
      <c r="C87" s="521"/>
      <c r="E87" s="1251"/>
      <c r="F87" s="1252"/>
      <c r="G87" s="1252"/>
      <c r="H87" s="1252"/>
      <c r="L87" s="24"/>
    </row>
    <row r="88" spans="2:47" s="1" customFormat="1" ht="7.05" customHeight="1" x14ac:dyDescent="0.2">
      <c r="B88" s="24"/>
      <c r="C88" s="521"/>
      <c r="L88" s="24"/>
    </row>
    <row r="89" spans="2:47" s="1" customFormat="1" ht="12" customHeight="1" x14ac:dyDescent="0.2">
      <c r="B89" s="24"/>
      <c r="C89" s="528" t="s">
        <v>15</v>
      </c>
      <c r="F89" s="19" t="str">
        <f>F12</f>
        <v>Kuzmányho nábrežie 28, 960 01 Zvolen</v>
      </c>
      <c r="I89" s="528" t="s">
        <v>17</v>
      </c>
      <c r="J89" s="39" t="str">
        <f>IF(J12="","",J12)</f>
        <v/>
      </c>
      <c r="L89" s="24"/>
    </row>
    <row r="90" spans="2:47" s="1" customFormat="1" ht="7.05" customHeight="1" x14ac:dyDescent="0.2">
      <c r="B90" s="24"/>
      <c r="C90" s="521"/>
      <c r="I90" s="521"/>
      <c r="L90" s="24"/>
    </row>
    <row r="91" spans="2:47" s="1" customFormat="1" ht="15.3" customHeight="1" x14ac:dyDescent="0.2">
      <c r="B91" s="24"/>
      <c r="C91" s="528" t="s">
        <v>18</v>
      </c>
      <c r="F91" s="529" t="s">
        <v>6175</v>
      </c>
      <c r="I91" s="528" t="s">
        <v>22</v>
      </c>
      <c r="J91" s="22" t="str">
        <f>E21</f>
        <v xml:space="preserve"> </v>
      </c>
      <c r="L91" s="24"/>
    </row>
    <row r="92" spans="2:47" s="1" customFormat="1" ht="15.3" customHeight="1" x14ac:dyDescent="0.2">
      <c r="B92" s="24"/>
      <c r="C92" s="528" t="s">
        <v>21</v>
      </c>
      <c r="F92" s="529" t="s">
        <v>5202</v>
      </c>
      <c r="I92" s="528" t="s">
        <v>24</v>
      </c>
      <c r="J92" s="22" t="str">
        <f>E24</f>
        <v xml:space="preserve"> </v>
      </c>
      <c r="L92" s="24"/>
    </row>
    <row r="93" spans="2:47" s="1" customFormat="1" ht="10.199999999999999" customHeight="1" x14ac:dyDescent="0.2">
      <c r="B93" s="24"/>
      <c r="L93" s="24"/>
    </row>
    <row r="94" spans="2:47" s="1" customFormat="1" ht="29.25" customHeight="1" x14ac:dyDescent="0.2">
      <c r="B94" s="24"/>
      <c r="C94" s="86" t="s">
        <v>189</v>
      </c>
      <c r="D94" s="80"/>
      <c r="E94" s="80"/>
      <c r="F94" s="80"/>
      <c r="G94" s="80"/>
      <c r="H94" s="80"/>
      <c r="I94" s="80"/>
      <c r="J94" s="87" t="s">
        <v>190</v>
      </c>
      <c r="K94" s="80"/>
      <c r="L94" s="24"/>
    </row>
    <row r="95" spans="2:47" s="1" customFormat="1" ht="10.199999999999999" customHeight="1" x14ac:dyDescent="0.2">
      <c r="B95" s="24"/>
      <c r="L95" s="24"/>
    </row>
    <row r="96" spans="2:47" s="1" customFormat="1" ht="22.95" customHeight="1" x14ac:dyDescent="0.2">
      <c r="B96" s="24"/>
      <c r="C96" s="88" t="s">
        <v>191</v>
      </c>
      <c r="J96" s="53">
        <f>J125</f>
        <v>26380.06</v>
      </c>
      <c r="L96" s="24"/>
      <c r="AU96" s="13" t="s">
        <v>192</v>
      </c>
    </row>
    <row r="97" spans="2:12" s="8" customFormat="1" ht="25.05" customHeight="1" x14ac:dyDescent="0.2">
      <c r="B97" s="89"/>
      <c r="D97" s="90" t="s">
        <v>4228</v>
      </c>
      <c r="E97" s="91"/>
      <c r="F97" s="91"/>
      <c r="G97" s="91"/>
      <c r="H97" s="91"/>
      <c r="I97" s="91"/>
      <c r="J97" s="92">
        <f>J126</f>
        <v>0</v>
      </c>
      <c r="L97" s="89"/>
    </row>
    <row r="98" spans="2:12" s="8" customFormat="1" ht="25.05" customHeight="1" x14ac:dyDescent="0.2">
      <c r="B98" s="89"/>
      <c r="D98" s="90" t="s">
        <v>2931</v>
      </c>
      <c r="E98" s="91"/>
      <c r="F98" s="91"/>
      <c r="G98" s="91"/>
      <c r="H98" s="91"/>
      <c r="I98" s="91"/>
      <c r="J98" s="92">
        <f>J127</f>
        <v>26380.06</v>
      </c>
      <c r="L98" s="89"/>
    </row>
    <row r="99" spans="2:12" s="9" customFormat="1" ht="19.95" customHeight="1" x14ac:dyDescent="0.2">
      <c r="B99" s="93"/>
      <c r="D99" s="94" t="s">
        <v>2932</v>
      </c>
      <c r="E99" s="95"/>
      <c r="F99" s="95"/>
      <c r="G99" s="95"/>
      <c r="H99" s="95"/>
      <c r="I99" s="95"/>
      <c r="J99" s="96">
        <f>J128</f>
        <v>12756.82</v>
      </c>
      <c r="L99" s="93"/>
    </row>
    <row r="100" spans="2:12" s="9" customFormat="1" ht="19.95" customHeight="1" x14ac:dyDescent="0.2">
      <c r="B100" s="93"/>
      <c r="D100" s="94" t="s">
        <v>4229</v>
      </c>
      <c r="E100" s="95"/>
      <c r="F100" s="95"/>
      <c r="G100" s="95"/>
      <c r="H100" s="95"/>
      <c r="I100" s="95"/>
      <c r="J100" s="96">
        <f>J145</f>
        <v>3223.17</v>
      </c>
      <c r="L100" s="93"/>
    </row>
    <row r="101" spans="2:12" s="9" customFormat="1" ht="19.95" customHeight="1" x14ac:dyDescent="0.2">
      <c r="B101" s="93"/>
      <c r="D101" s="94" t="s">
        <v>4230</v>
      </c>
      <c r="E101" s="95"/>
      <c r="F101" s="95"/>
      <c r="G101" s="95"/>
      <c r="H101" s="95"/>
      <c r="I101" s="95"/>
      <c r="J101" s="96">
        <f>J158</f>
        <v>4495.3799999999992</v>
      </c>
      <c r="L101" s="93"/>
    </row>
    <row r="102" spans="2:12" s="9" customFormat="1" ht="19.95" customHeight="1" x14ac:dyDescent="0.2">
      <c r="B102" s="93"/>
      <c r="D102" s="94" t="s">
        <v>4231</v>
      </c>
      <c r="E102" s="95"/>
      <c r="F102" s="95"/>
      <c r="G102" s="95"/>
      <c r="H102" s="95"/>
      <c r="I102" s="95"/>
      <c r="J102" s="96">
        <f>J176</f>
        <v>5047.3900000000003</v>
      </c>
      <c r="L102" s="93"/>
    </row>
    <row r="103" spans="2:12" s="9" customFormat="1" ht="19.95" customHeight="1" x14ac:dyDescent="0.2">
      <c r="B103" s="93"/>
      <c r="D103" s="94" t="s">
        <v>4232</v>
      </c>
      <c r="E103" s="95"/>
      <c r="F103" s="95"/>
      <c r="G103" s="95"/>
      <c r="H103" s="95"/>
      <c r="I103" s="95"/>
      <c r="J103" s="96">
        <f>J191</f>
        <v>258.43</v>
      </c>
      <c r="L103" s="93"/>
    </row>
    <row r="104" spans="2:12" s="9" customFormat="1" ht="19.95" customHeight="1" x14ac:dyDescent="0.2">
      <c r="B104" s="93"/>
      <c r="D104" s="94" t="s">
        <v>4233</v>
      </c>
      <c r="E104" s="95"/>
      <c r="F104" s="95"/>
      <c r="G104" s="95"/>
      <c r="H104" s="95"/>
      <c r="I104" s="95"/>
      <c r="J104" s="96">
        <f>J195</f>
        <v>413.24</v>
      </c>
      <c r="L104" s="93"/>
    </row>
    <row r="105" spans="2:12" s="9" customFormat="1" ht="19.95" customHeight="1" x14ac:dyDescent="0.2">
      <c r="B105" s="93"/>
      <c r="D105" s="94" t="s">
        <v>4234</v>
      </c>
      <c r="E105" s="95"/>
      <c r="F105" s="95"/>
      <c r="G105" s="95"/>
      <c r="H105" s="95"/>
      <c r="I105" s="95"/>
      <c r="J105" s="96">
        <f>J200</f>
        <v>185.63</v>
      </c>
      <c r="L105" s="93"/>
    </row>
    <row r="106" spans="2:12" s="1" customFormat="1" ht="21.75" customHeight="1" x14ac:dyDescent="0.2">
      <c r="B106" s="24"/>
      <c r="L106" s="24"/>
    </row>
    <row r="107" spans="2:12" s="1" customFormat="1" ht="7.05" customHeight="1" x14ac:dyDescent="0.2">
      <c r="B107" s="33"/>
      <c r="C107" s="34"/>
      <c r="D107" s="34"/>
      <c r="E107" s="34"/>
      <c r="F107" s="34"/>
      <c r="G107" s="34"/>
      <c r="H107" s="34"/>
      <c r="I107" s="34"/>
      <c r="J107" s="34"/>
      <c r="K107" s="34"/>
      <c r="L107" s="24"/>
    </row>
    <row r="111" spans="2:12" s="1" customFormat="1" ht="7.05" customHeight="1" x14ac:dyDescent="0.2">
      <c r="B111" s="35"/>
      <c r="C111" s="36"/>
      <c r="D111" s="36"/>
      <c r="E111" s="36"/>
      <c r="F111" s="36"/>
      <c r="G111" s="36"/>
      <c r="H111" s="36"/>
      <c r="I111" s="36"/>
      <c r="J111" s="36"/>
      <c r="K111" s="36"/>
      <c r="L111" s="24"/>
    </row>
    <row r="112" spans="2:12" s="1" customFormat="1" ht="25.05" customHeight="1" x14ac:dyDescent="0.2">
      <c r="B112" s="24"/>
      <c r="C112" s="1165" t="s">
        <v>214</v>
      </c>
      <c r="D112" s="1165"/>
      <c r="E112" s="1165"/>
      <c r="F112" s="1165"/>
      <c r="G112" s="1165"/>
      <c r="H112" s="1165"/>
      <c r="I112" s="1165"/>
      <c r="J112" s="1165"/>
      <c r="L112" s="24"/>
    </row>
    <row r="113" spans="2:63" s="1" customFormat="1" ht="7.05" customHeight="1" x14ac:dyDescent="0.2">
      <c r="B113" s="24"/>
      <c r="L113" s="24"/>
    </row>
    <row r="114" spans="2:63" s="1" customFormat="1" ht="12" customHeight="1" x14ac:dyDescent="0.2">
      <c r="B114" s="24"/>
      <c r="C114" s="528" t="s">
        <v>12</v>
      </c>
      <c r="E114" s="1242" t="s">
        <v>6177</v>
      </c>
      <c r="F114" s="1242"/>
      <c r="G114" s="1242"/>
      <c r="H114" s="1242"/>
      <c r="I114" s="1242"/>
      <c r="J114" s="1242"/>
      <c r="L114" s="24"/>
    </row>
    <row r="115" spans="2:63" s="1" customFormat="1" ht="23.55" customHeight="1" x14ac:dyDescent="0.2">
      <c r="B115" s="24"/>
      <c r="C115" s="521"/>
      <c r="E115" s="1243"/>
      <c r="F115" s="1244"/>
      <c r="G115" s="1244"/>
      <c r="H115" s="1244"/>
      <c r="L115" s="24"/>
    </row>
    <row r="116" spans="2:63" s="1" customFormat="1" ht="12" customHeight="1" x14ac:dyDescent="0.2">
      <c r="B116" s="24"/>
      <c r="C116" s="528" t="s">
        <v>186</v>
      </c>
      <c r="F116" s="532" t="s">
        <v>4227</v>
      </c>
      <c r="L116" s="24"/>
    </row>
    <row r="117" spans="2:63" s="1" customFormat="1" ht="16.5" customHeight="1" x14ac:dyDescent="0.2">
      <c r="B117" s="24"/>
      <c r="C117" s="521"/>
      <c r="E117" s="1251"/>
      <c r="F117" s="1252"/>
      <c r="G117" s="1252"/>
      <c r="H117" s="1252"/>
      <c r="L117" s="24"/>
    </row>
    <row r="118" spans="2:63" s="1" customFormat="1" ht="7.05" customHeight="1" x14ac:dyDescent="0.2">
      <c r="B118" s="24"/>
      <c r="C118" s="521"/>
      <c r="L118" s="24"/>
    </row>
    <row r="119" spans="2:63" s="1" customFormat="1" ht="12" customHeight="1" x14ac:dyDescent="0.2">
      <c r="B119" s="24"/>
      <c r="C119" s="528" t="s">
        <v>15</v>
      </c>
      <c r="F119" s="19" t="str">
        <f>F12</f>
        <v>Kuzmányho nábrežie 28, 960 01 Zvolen</v>
      </c>
      <c r="I119" s="528" t="s">
        <v>17</v>
      </c>
      <c r="J119" s="39" t="str">
        <f>IF(J12="","",J12)</f>
        <v/>
      </c>
      <c r="L119" s="24"/>
    </row>
    <row r="120" spans="2:63" s="1" customFormat="1" ht="7.05" customHeight="1" x14ac:dyDescent="0.2">
      <c r="B120" s="24"/>
      <c r="C120" s="521"/>
      <c r="I120" s="521"/>
      <c r="L120" s="24"/>
    </row>
    <row r="121" spans="2:63" s="1" customFormat="1" ht="15.3" customHeight="1" x14ac:dyDescent="0.2">
      <c r="B121" s="24"/>
      <c r="C121" s="528" t="s">
        <v>18</v>
      </c>
      <c r="F121" s="529" t="s">
        <v>6175</v>
      </c>
      <c r="I121" s="528" t="s">
        <v>22</v>
      </c>
      <c r="J121" s="22" t="str">
        <f>E21</f>
        <v xml:space="preserve"> </v>
      </c>
      <c r="L121" s="24"/>
    </row>
    <row r="122" spans="2:63" s="1" customFormat="1" ht="15.3" customHeight="1" x14ac:dyDescent="0.2">
      <c r="B122" s="24"/>
      <c r="C122" s="528" t="s">
        <v>21</v>
      </c>
      <c r="F122" s="529" t="s">
        <v>5202</v>
      </c>
      <c r="I122" s="528" t="s">
        <v>24</v>
      </c>
      <c r="J122" s="22" t="str">
        <f>E24</f>
        <v xml:space="preserve"> </v>
      </c>
      <c r="L122" s="24"/>
    </row>
    <row r="123" spans="2:63" s="1" customFormat="1" ht="10.199999999999999" customHeight="1" x14ac:dyDescent="0.2">
      <c r="B123" s="24"/>
      <c r="L123" s="24"/>
    </row>
    <row r="124" spans="2:63" s="10" customFormat="1" ht="29.25" customHeight="1" x14ac:dyDescent="0.2">
      <c r="B124" s="97"/>
      <c r="C124" s="98" t="s">
        <v>215</v>
      </c>
      <c r="D124" s="99" t="s">
        <v>43</v>
      </c>
      <c r="E124" s="99" t="s">
        <v>41</v>
      </c>
      <c r="F124" s="99" t="s">
        <v>42</v>
      </c>
      <c r="G124" s="99" t="s">
        <v>216</v>
      </c>
      <c r="H124" s="99" t="s">
        <v>217</v>
      </c>
      <c r="I124" s="99" t="s">
        <v>218</v>
      </c>
      <c r="J124" s="100" t="s">
        <v>190</v>
      </c>
      <c r="K124" s="101" t="s">
        <v>219</v>
      </c>
      <c r="L124" s="97"/>
      <c r="M124" s="46" t="s">
        <v>1</v>
      </c>
      <c r="N124" s="47" t="s">
        <v>30</v>
      </c>
      <c r="O124" s="47" t="s">
        <v>220</v>
      </c>
      <c r="P124" s="47" t="s">
        <v>221</v>
      </c>
      <c r="Q124" s="47" t="s">
        <v>222</v>
      </c>
      <c r="R124" s="47" t="s">
        <v>223</v>
      </c>
      <c r="S124" s="47" t="s">
        <v>224</v>
      </c>
      <c r="T124" s="48" t="s">
        <v>225</v>
      </c>
    </row>
    <row r="125" spans="2:63" s="1" customFormat="1" ht="22.95" customHeight="1" x14ac:dyDescent="0.3">
      <c r="B125" s="24"/>
      <c r="C125" s="51" t="s">
        <v>191</v>
      </c>
      <c r="J125" s="102">
        <f>BK125</f>
        <v>26380.06</v>
      </c>
      <c r="L125" s="24"/>
      <c r="M125" s="49"/>
      <c r="N125" s="40"/>
      <c r="O125" s="40"/>
      <c r="P125" s="103">
        <f>P126+P127</f>
        <v>0</v>
      </c>
      <c r="Q125" s="40"/>
      <c r="R125" s="103">
        <f>R126+R127</f>
        <v>0</v>
      </c>
      <c r="S125" s="40"/>
      <c r="T125" s="104">
        <f>T126+T127</f>
        <v>0</v>
      </c>
      <c r="AT125" s="13" t="s">
        <v>57</v>
      </c>
      <c r="AU125" s="13" t="s">
        <v>192</v>
      </c>
      <c r="BK125" s="105">
        <f>BK126+BK127</f>
        <v>26380.06</v>
      </c>
    </row>
    <row r="126" spans="2:63" s="11" customFormat="1" ht="25.95" customHeight="1" x14ac:dyDescent="0.25">
      <c r="B126" s="106"/>
      <c r="D126" s="107" t="s">
        <v>57</v>
      </c>
      <c r="E126" s="108" t="s">
        <v>4235</v>
      </c>
      <c r="F126" s="108" t="s">
        <v>2940</v>
      </c>
      <c r="J126" s="109">
        <f>BK126</f>
        <v>0</v>
      </c>
      <c r="L126" s="106"/>
      <c r="M126" s="110"/>
      <c r="N126" s="111"/>
      <c r="O126" s="111"/>
      <c r="P126" s="112">
        <v>0</v>
      </c>
      <c r="Q126" s="111"/>
      <c r="R126" s="112">
        <v>0</v>
      </c>
      <c r="S126" s="111"/>
      <c r="T126" s="113">
        <v>0</v>
      </c>
      <c r="AR126" s="107" t="s">
        <v>63</v>
      </c>
      <c r="AT126" s="114" t="s">
        <v>57</v>
      </c>
      <c r="AU126" s="114" t="s">
        <v>58</v>
      </c>
      <c r="AY126" s="107" t="s">
        <v>228</v>
      </c>
      <c r="BK126" s="115">
        <v>0</v>
      </c>
    </row>
    <row r="127" spans="2:63" s="11" customFormat="1" ht="25.95" customHeight="1" x14ac:dyDescent="0.25">
      <c r="B127" s="106"/>
      <c r="D127" s="107" t="s">
        <v>57</v>
      </c>
      <c r="E127" s="108" t="s">
        <v>1201</v>
      </c>
      <c r="F127" s="108" t="s">
        <v>2941</v>
      </c>
      <c r="J127" s="109">
        <f>BK127</f>
        <v>26380.06</v>
      </c>
      <c r="L127" s="106"/>
      <c r="M127" s="110"/>
      <c r="N127" s="111"/>
      <c r="O127" s="111"/>
      <c r="P127" s="112">
        <f>P128+P145+P158+P176+P191+P195+P200</f>
        <v>0</v>
      </c>
      <c r="Q127" s="111"/>
      <c r="R127" s="112">
        <f>R128+R145+R158+R176+R191+R195+R200</f>
        <v>0</v>
      </c>
      <c r="S127" s="111"/>
      <c r="T127" s="113">
        <f>T128+T145+T158+T176+T191+T195+T200</f>
        <v>0</v>
      </c>
      <c r="AR127" s="107" t="s">
        <v>63</v>
      </c>
      <c r="AT127" s="114" t="s">
        <v>57</v>
      </c>
      <c r="AU127" s="114" t="s">
        <v>58</v>
      </c>
      <c r="AY127" s="107" t="s">
        <v>228</v>
      </c>
      <c r="BK127" s="115">
        <f>BK128+BK145+BK158+BK176+BK191+BK195+BK200</f>
        <v>26380.06</v>
      </c>
    </row>
    <row r="128" spans="2:63" s="11" customFormat="1" ht="22.95" customHeight="1" x14ac:dyDescent="0.25">
      <c r="B128" s="106"/>
      <c r="D128" s="107" t="s">
        <v>57</v>
      </c>
      <c r="E128" s="116" t="s">
        <v>1211</v>
      </c>
      <c r="F128" s="116" t="s">
        <v>2942</v>
      </c>
      <c r="J128" s="117">
        <f>BK128</f>
        <v>12756.82</v>
      </c>
      <c r="L128" s="106"/>
      <c r="M128" s="110"/>
      <c r="N128" s="111"/>
      <c r="O128" s="111"/>
      <c r="P128" s="112">
        <f>SUM(P129:P144)</f>
        <v>0</v>
      </c>
      <c r="Q128" s="111"/>
      <c r="R128" s="112">
        <f>SUM(R129:R144)</f>
        <v>0</v>
      </c>
      <c r="S128" s="111"/>
      <c r="T128" s="113">
        <f>SUM(T129:T144)</f>
        <v>0</v>
      </c>
      <c r="AR128" s="107" t="s">
        <v>63</v>
      </c>
      <c r="AT128" s="114" t="s">
        <v>57</v>
      </c>
      <c r="AU128" s="114" t="s">
        <v>63</v>
      </c>
      <c r="AY128" s="107" t="s">
        <v>228</v>
      </c>
      <c r="BK128" s="115">
        <f>SUM(BK129:BK144)</f>
        <v>12756.82</v>
      </c>
    </row>
    <row r="129" spans="2:65" s="1" customFormat="1" ht="24" customHeight="1" x14ac:dyDescent="0.2">
      <c r="B129" s="118"/>
      <c r="C129" s="119" t="s">
        <v>63</v>
      </c>
      <c r="D129" s="119" t="s">
        <v>231</v>
      </c>
      <c r="E129" s="120" t="s">
        <v>2943</v>
      </c>
      <c r="F129" s="121" t="s">
        <v>2944</v>
      </c>
      <c r="G129" s="122" t="s">
        <v>1194</v>
      </c>
      <c r="H129" s="123">
        <v>4</v>
      </c>
      <c r="I129" s="124">
        <v>40.229999999999997</v>
      </c>
      <c r="J129" s="124">
        <f t="shared" ref="J129:J144" si="0">ROUND(I129*H129,2)</f>
        <v>160.91999999999999</v>
      </c>
      <c r="K129" s="121" t="s">
        <v>1</v>
      </c>
      <c r="L129" s="24"/>
      <c r="M129" s="125" t="s">
        <v>1</v>
      </c>
      <c r="N129" s="126" t="s">
        <v>32</v>
      </c>
      <c r="O129" s="127">
        <v>0</v>
      </c>
      <c r="P129" s="127">
        <f t="shared" ref="P129:P144" si="1">O129*H129</f>
        <v>0</v>
      </c>
      <c r="Q129" s="127">
        <v>0</v>
      </c>
      <c r="R129" s="127">
        <f t="shared" ref="R129:R144" si="2">Q129*H129</f>
        <v>0</v>
      </c>
      <c r="S129" s="127">
        <v>0</v>
      </c>
      <c r="T129" s="128">
        <f t="shared" ref="T129:T144" si="3">S129*H129</f>
        <v>0</v>
      </c>
      <c r="AR129" s="129" t="s">
        <v>235</v>
      </c>
      <c r="AT129" s="129" t="s">
        <v>231</v>
      </c>
      <c r="AU129" s="129" t="s">
        <v>76</v>
      </c>
      <c r="AY129" s="13" t="s">
        <v>228</v>
      </c>
      <c r="BE129" s="130">
        <f t="shared" ref="BE129:BE144" si="4">IF(N129="základná",J129,0)</f>
        <v>0</v>
      </c>
      <c r="BF129" s="130">
        <f t="shared" ref="BF129:BF144" si="5">IF(N129="znížená",J129,0)</f>
        <v>160.91999999999999</v>
      </c>
      <c r="BG129" s="130">
        <f t="shared" ref="BG129:BG144" si="6">IF(N129="zákl. prenesená",J129,0)</f>
        <v>0</v>
      </c>
      <c r="BH129" s="130">
        <f t="shared" ref="BH129:BH144" si="7">IF(N129="zníž. prenesená",J129,0)</f>
        <v>0</v>
      </c>
      <c r="BI129" s="130">
        <f t="shared" ref="BI129:BI144" si="8">IF(N129="nulová",J129,0)</f>
        <v>0</v>
      </c>
      <c r="BJ129" s="13" t="s">
        <v>76</v>
      </c>
      <c r="BK129" s="130">
        <f t="shared" ref="BK129:BK144" si="9">ROUND(I129*H129,2)</f>
        <v>160.91999999999999</v>
      </c>
      <c r="BL129" s="13" t="s">
        <v>235</v>
      </c>
      <c r="BM129" s="129" t="s">
        <v>76</v>
      </c>
    </row>
    <row r="130" spans="2:65" s="1" customFormat="1" ht="24" customHeight="1" x14ac:dyDescent="0.2">
      <c r="B130" s="118"/>
      <c r="C130" s="119" t="s">
        <v>76</v>
      </c>
      <c r="D130" s="119" t="s">
        <v>231</v>
      </c>
      <c r="E130" s="120" t="s">
        <v>2945</v>
      </c>
      <c r="F130" s="121" t="s">
        <v>2946</v>
      </c>
      <c r="G130" s="122" t="s">
        <v>1194</v>
      </c>
      <c r="H130" s="123">
        <v>1</v>
      </c>
      <c r="I130" s="124">
        <v>38.479999999999997</v>
      </c>
      <c r="J130" s="124">
        <f t="shared" si="0"/>
        <v>38.479999999999997</v>
      </c>
      <c r="K130" s="121" t="s">
        <v>1</v>
      </c>
      <c r="L130" s="24"/>
      <c r="M130" s="125" t="s">
        <v>1</v>
      </c>
      <c r="N130" s="126" t="s">
        <v>32</v>
      </c>
      <c r="O130" s="127">
        <v>0</v>
      </c>
      <c r="P130" s="127">
        <f t="shared" si="1"/>
        <v>0</v>
      </c>
      <c r="Q130" s="127">
        <v>0</v>
      </c>
      <c r="R130" s="127">
        <f t="shared" si="2"/>
        <v>0</v>
      </c>
      <c r="S130" s="127">
        <v>0</v>
      </c>
      <c r="T130" s="128">
        <f t="shared" si="3"/>
        <v>0</v>
      </c>
      <c r="AR130" s="129" t="s">
        <v>235</v>
      </c>
      <c r="AT130" s="129" t="s">
        <v>231</v>
      </c>
      <c r="AU130" s="129" t="s">
        <v>76</v>
      </c>
      <c r="AY130" s="13" t="s">
        <v>228</v>
      </c>
      <c r="BE130" s="130">
        <f t="shared" si="4"/>
        <v>0</v>
      </c>
      <c r="BF130" s="130">
        <f t="shared" si="5"/>
        <v>38.479999999999997</v>
      </c>
      <c r="BG130" s="130">
        <f t="shared" si="6"/>
        <v>0</v>
      </c>
      <c r="BH130" s="130">
        <f t="shared" si="7"/>
        <v>0</v>
      </c>
      <c r="BI130" s="130">
        <f t="shared" si="8"/>
        <v>0</v>
      </c>
      <c r="BJ130" s="13" t="s">
        <v>76</v>
      </c>
      <c r="BK130" s="130">
        <f t="shared" si="9"/>
        <v>38.479999999999997</v>
      </c>
      <c r="BL130" s="13" t="s">
        <v>235</v>
      </c>
      <c r="BM130" s="129" t="s">
        <v>235</v>
      </c>
    </row>
    <row r="131" spans="2:65" s="1" customFormat="1" ht="24" customHeight="1" x14ac:dyDescent="0.2">
      <c r="B131" s="118"/>
      <c r="C131" s="119" t="s">
        <v>229</v>
      </c>
      <c r="D131" s="119" t="s">
        <v>231</v>
      </c>
      <c r="E131" s="120" t="s">
        <v>2947</v>
      </c>
      <c r="F131" s="121" t="s">
        <v>2948</v>
      </c>
      <c r="G131" s="122" t="s">
        <v>1194</v>
      </c>
      <c r="H131" s="123">
        <v>1</v>
      </c>
      <c r="I131" s="124">
        <v>97.92</v>
      </c>
      <c r="J131" s="124">
        <f t="shared" si="0"/>
        <v>97.92</v>
      </c>
      <c r="K131" s="121" t="s">
        <v>1</v>
      </c>
      <c r="L131" s="24"/>
      <c r="M131" s="125" t="s">
        <v>1</v>
      </c>
      <c r="N131" s="126" t="s">
        <v>32</v>
      </c>
      <c r="O131" s="127">
        <v>0</v>
      </c>
      <c r="P131" s="127">
        <f t="shared" si="1"/>
        <v>0</v>
      </c>
      <c r="Q131" s="127">
        <v>0</v>
      </c>
      <c r="R131" s="127">
        <f t="shared" si="2"/>
        <v>0</v>
      </c>
      <c r="S131" s="127">
        <v>0</v>
      </c>
      <c r="T131" s="128">
        <f t="shared" si="3"/>
        <v>0</v>
      </c>
      <c r="AR131" s="129" t="s">
        <v>235</v>
      </c>
      <c r="AT131" s="129" t="s">
        <v>231</v>
      </c>
      <c r="AU131" s="129" t="s">
        <v>76</v>
      </c>
      <c r="AY131" s="13" t="s">
        <v>228</v>
      </c>
      <c r="BE131" s="130">
        <f t="shared" si="4"/>
        <v>0</v>
      </c>
      <c r="BF131" s="130">
        <f t="shared" si="5"/>
        <v>97.92</v>
      </c>
      <c r="BG131" s="130">
        <f t="shared" si="6"/>
        <v>0</v>
      </c>
      <c r="BH131" s="130">
        <f t="shared" si="7"/>
        <v>0</v>
      </c>
      <c r="BI131" s="130">
        <f t="shared" si="8"/>
        <v>0</v>
      </c>
      <c r="BJ131" s="13" t="s">
        <v>76</v>
      </c>
      <c r="BK131" s="130">
        <f t="shared" si="9"/>
        <v>97.92</v>
      </c>
      <c r="BL131" s="13" t="s">
        <v>235</v>
      </c>
      <c r="BM131" s="129" t="s">
        <v>240</v>
      </c>
    </row>
    <row r="132" spans="2:65" s="1" customFormat="1" ht="24" customHeight="1" x14ac:dyDescent="0.2">
      <c r="B132" s="118"/>
      <c r="C132" s="119" t="s">
        <v>235</v>
      </c>
      <c r="D132" s="119" t="s">
        <v>231</v>
      </c>
      <c r="E132" s="120" t="s">
        <v>2949</v>
      </c>
      <c r="F132" s="121" t="s">
        <v>2950</v>
      </c>
      <c r="G132" s="122" t="s">
        <v>1194</v>
      </c>
      <c r="H132" s="123">
        <v>1</v>
      </c>
      <c r="I132" s="124">
        <v>145.35</v>
      </c>
      <c r="J132" s="124">
        <f t="shared" si="0"/>
        <v>145.35</v>
      </c>
      <c r="K132" s="121" t="s">
        <v>1</v>
      </c>
      <c r="L132" s="24"/>
      <c r="M132" s="125" t="s">
        <v>1</v>
      </c>
      <c r="N132" s="126" t="s">
        <v>32</v>
      </c>
      <c r="O132" s="127">
        <v>0</v>
      </c>
      <c r="P132" s="127">
        <f t="shared" si="1"/>
        <v>0</v>
      </c>
      <c r="Q132" s="127">
        <v>0</v>
      </c>
      <c r="R132" s="127">
        <f t="shared" si="2"/>
        <v>0</v>
      </c>
      <c r="S132" s="127">
        <v>0</v>
      </c>
      <c r="T132" s="128">
        <f t="shared" si="3"/>
        <v>0</v>
      </c>
      <c r="AR132" s="129" t="s">
        <v>235</v>
      </c>
      <c r="AT132" s="129" t="s">
        <v>231</v>
      </c>
      <c r="AU132" s="129" t="s">
        <v>76</v>
      </c>
      <c r="AY132" s="13" t="s">
        <v>228</v>
      </c>
      <c r="BE132" s="130">
        <f t="shared" si="4"/>
        <v>0</v>
      </c>
      <c r="BF132" s="130">
        <f t="shared" si="5"/>
        <v>145.35</v>
      </c>
      <c r="BG132" s="130">
        <f t="shared" si="6"/>
        <v>0</v>
      </c>
      <c r="BH132" s="130">
        <f t="shared" si="7"/>
        <v>0</v>
      </c>
      <c r="BI132" s="130">
        <f t="shared" si="8"/>
        <v>0</v>
      </c>
      <c r="BJ132" s="13" t="s">
        <v>76</v>
      </c>
      <c r="BK132" s="130">
        <f t="shared" si="9"/>
        <v>145.35</v>
      </c>
      <c r="BL132" s="13" t="s">
        <v>235</v>
      </c>
      <c r="BM132" s="129" t="s">
        <v>244</v>
      </c>
    </row>
    <row r="133" spans="2:65" s="1" customFormat="1" ht="24" customHeight="1" x14ac:dyDescent="0.2">
      <c r="B133" s="118"/>
      <c r="C133" s="119" t="s">
        <v>245</v>
      </c>
      <c r="D133" s="119" t="s">
        <v>231</v>
      </c>
      <c r="E133" s="120" t="s">
        <v>2951</v>
      </c>
      <c r="F133" s="121" t="s">
        <v>2952</v>
      </c>
      <c r="G133" s="122" t="s">
        <v>1194</v>
      </c>
      <c r="H133" s="123">
        <v>9</v>
      </c>
      <c r="I133" s="124">
        <v>42.62</v>
      </c>
      <c r="J133" s="124">
        <f t="shared" si="0"/>
        <v>383.58</v>
      </c>
      <c r="K133" s="121" t="s">
        <v>1</v>
      </c>
      <c r="L133" s="24"/>
      <c r="M133" s="125" t="s">
        <v>1</v>
      </c>
      <c r="N133" s="126" t="s">
        <v>32</v>
      </c>
      <c r="O133" s="127">
        <v>0</v>
      </c>
      <c r="P133" s="127">
        <f t="shared" si="1"/>
        <v>0</v>
      </c>
      <c r="Q133" s="127">
        <v>0</v>
      </c>
      <c r="R133" s="127">
        <f t="shared" si="2"/>
        <v>0</v>
      </c>
      <c r="S133" s="127">
        <v>0</v>
      </c>
      <c r="T133" s="128">
        <f t="shared" si="3"/>
        <v>0</v>
      </c>
      <c r="AR133" s="129" t="s">
        <v>235</v>
      </c>
      <c r="AT133" s="129" t="s">
        <v>231</v>
      </c>
      <c r="AU133" s="129" t="s">
        <v>76</v>
      </c>
      <c r="AY133" s="13" t="s">
        <v>228</v>
      </c>
      <c r="BE133" s="130">
        <f t="shared" si="4"/>
        <v>0</v>
      </c>
      <c r="BF133" s="130">
        <f t="shared" si="5"/>
        <v>383.58</v>
      </c>
      <c r="BG133" s="130">
        <f t="shared" si="6"/>
        <v>0</v>
      </c>
      <c r="BH133" s="130">
        <f t="shared" si="7"/>
        <v>0</v>
      </c>
      <c r="BI133" s="130">
        <f t="shared" si="8"/>
        <v>0</v>
      </c>
      <c r="BJ133" s="13" t="s">
        <v>76</v>
      </c>
      <c r="BK133" s="130">
        <f t="shared" si="9"/>
        <v>383.58</v>
      </c>
      <c r="BL133" s="13" t="s">
        <v>235</v>
      </c>
      <c r="BM133" s="129" t="s">
        <v>248</v>
      </c>
    </row>
    <row r="134" spans="2:65" s="1" customFormat="1" ht="24" customHeight="1" x14ac:dyDescent="0.2">
      <c r="B134" s="118"/>
      <c r="C134" s="119" t="s">
        <v>240</v>
      </c>
      <c r="D134" s="119" t="s">
        <v>231</v>
      </c>
      <c r="E134" s="120" t="s">
        <v>4236</v>
      </c>
      <c r="F134" s="121" t="s">
        <v>4237</v>
      </c>
      <c r="G134" s="122" t="s">
        <v>1194</v>
      </c>
      <c r="H134" s="123">
        <v>0</v>
      </c>
      <c r="I134" s="124">
        <v>176.04</v>
      </c>
      <c r="J134" s="124">
        <f t="shared" si="0"/>
        <v>0</v>
      </c>
      <c r="K134" s="121" t="s">
        <v>1</v>
      </c>
      <c r="L134" s="24"/>
      <c r="M134" s="125" t="s">
        <v>1</v>
      </c>
      <c r="N134" s="126" t="s">
        <v>32</v>
      </c>
      <c r="O134" s="127">
        <v>0</v>
      </c>
      <c r="P134" s="127">
        <f t="shared" si="1"/>
        <v>0</v>
      </c>
      <c r="Q134" s="127">
        <v>0</v>
      </c>
      <c r="R134" s="127">
        <f t="shared" si="2"/>
        <v>0</v>
      </c>
      <c r="S134" s="127">
        <v>0</v>
      </c>
      <c r="T134" s="128">
        <f t="shared" si="3"/>
        <v>0</v>
      </c>
      <c r="AR134" s="129" t="s">
        <v>235</v>
      </c>
      <c r="AT134" s="129" t="s">
        <v>231</v>
      </c>
      <c r="AU134" s="129" t="s">
        <v>76</v>
      </c>
      <c r="AY134" s="13" t="s">
        <v>228</v>
      </c>
      <c r="BE134" s="130">
        <f t="shared" si="4"/>
        <v>0</v>
      </c>
      <c r="BF134" s="130">
        <f t="shared" si="5"/>
        <v>0</v>
      </c>
      <c r="BG134" s="130">
        <f t="shared" si="6"/>
        <v>0</v>
      </c>
      <c r="BH134" s="130">
        <f t="shared" si="7"/>
        <v>0</v>
      </c>
      <c r="BI134" s="130">
        <f t="shared" si="8"/>
        <v>0</v>
      </c>
      <c r="BJ134" s="13" t="s">
        <v>76</v>
      </c>
      <c r="BK134" s="130">
        <f t="shared" si="9"/>
        <v>0</v>
      </c>
      <c r="BL134" s="13" t="s">
        <v>235</v>
      </c>
      <c r="BM134" s="129" t="s">
        <v>251</v>
      </c>
    </row>
    <row r="135" spans="2:65" s="1" customFormat="1" ht="24" customHeight="1" x14ac:dyDescent="0.2">
      <c r="B135" s="118"/>
      <c r="C135" s="119" t="s">
        <v>252</v>
      </c>
      <c r="D135" s="119" t="s">
        <v>231</v>
      </c>
      <c r="E135" s="120" t="s">
        <v>2953</v>
      </c>
      <c r="F135" s="121" t="s">
        <v>2954</v>
      </c>
      <c r="G135" s="122" t="s">
        <v>1194</v>
      </c>
      <c r="H135" s="123">
        <v>2</v>
      </c>
      <c r="I135" s="124">
        <v>176.04</v>
      </c>
      <c r="J135" s="124">
        <f t="shared" si="0"/>
        <v>352.08</v>
      </c>
      <c r="K135" s="121" t="s">
        <v>1</v>
      </c>
      <c r="L135" s="24"/>
      <c r="M135" s="125" t="s">
        <v>1</v>
      </c>
      <c r="N135" s="126" t="s">
        <v>32</v>
      </c>
      <c r="O135" s="127">
        <v>0</v>
      </c>
      <c r="P135" s="127">
        <f t="shared" si="1"/>
        <v>0</v>
      </c>
      <c r="Q135" s="127">
        <v>0</v>
      </c>
      <c r="R135" s="127">
        <f t="shared" si="2"/>
        <v>0</v>
      </c>
      <c r="S135" s="127">
        <v>0</v>
      </c>
      <c r="T135" s="128">
        <f t="shared" si="3"/>
        <v>0</v>
      </c>
      <c r="AR135" s="129" t="s">
        <v>235</v>
      </c>
      <c r="AT135" s="129" t="s">
        <v>231</v>
      </c>
      <c r="AU135" s="129" t="s">
        <v>76</v>
      </c>
      <c r="AY135" s="13" t="s">
        <v>228</v>
      </c>
      <c r="BE135" s="130">
        <f t="shared" si="4"/>
        <v>0</v>
      </c>
      <c r="BF135" s="130">
        <f t="shared" si="5"/>
        <v>352.08</v>
      </c>
      <c r="BG135" s="130">
        <f t="shared" si="6"/>
        <v>0</v>
      </c>
      <c r="BH135" s="130">
        <f t="shared" si="7"/>
        <v>0</v>
      </c>
      <c r="BI135" s="130">
        <f t="shared" si="8"/>
        <v>0</v>
      </c>
      <c r="BJ135" s="13" t="s">
        <v>76</v>
      </c>
      <c r="BK135" s="130">
        <f t="shared" si="9"/>
        <v>352.08</v>
      </c>
      <c r="BL135" s="13" t="s">
        <v>235</v>
      </c>
      <c r="BM135" s="129" t="s">
        <v>255</v>
      </c>
    </row>
    <row r="136" spans="2:65" s="1" customFormat="1" ht="16.5" customHeight="1" x14ac:dyDescent="0.2">
      <c r="B136" s="118"/>
      <c r="C136" s="119" t="s">
        <v>244</v>
      </c>
      <c r="D136" s="119" t="s">
        <v>231</v>
      </c>
      <c r="E136" s="120" t="s">
        <v>2955</v>
      </c>
      <c r="F136" s="121" t="s">
        <v>2956</v>
      </c>
      <c r="G136" s="122" t="s">
        <v>1194</v>
      </c>
      <c r="H136" s="123">
        <v>5</v>
      </c>
      <c r="I136" s="124">
        <v>176.81</v>
      </c>
      <c r="J136" s="124">
        <f t="shared" si="0"/>
        <v>884.05</v>
      </c>
      <c r="K136" s="121" t="s">
        <v>1</v>
      </c>
      <c r="L136" s="24"/>
      <c r="M136" s="125" t="s">
        <v>1</v>
      </c>
      <c r="N136" s="126" t="s">
        <v>32</v>
      </c>
      <c r="O136" s="127">
        <v>0</v>
      </c>
      <c r="P136" s="127">
        <f t="shared" si="1"/>
        <v>0</v>
      </c>
      <c r="Q136" s="127">
        <v>0</v>
      </c>
      <c r="R136" s="127">
        <f t="shared" si="2"/>
        <v>0</v>
      </c>
      <c r="S136" s="127">
        <v>0</v>
      </c>
      <c r="T136" s="128">
        <f t="shared" si="3"/>
        <v>0</v>
      </c>
      <c r="AR136" s="129" t="s">
        <v>235</v>
      </c>
      <c r="AT136" s="129" t="s">
        <v>231</v>
      </c>
      <c r="AU136" s="129" t="s">
        <v>76</v>
      </c>
      <c r="AY136" s="13" t="s">
        <v>228</v>
      </c>
      <c r="BE136" s="130">
        <f t="shared" si="4"/>
        <v>0</v>
      </c>
      <c r="BF136" s="130">
        <f t="shared" si="5"/>
        <v>884.05</v>
      </c>
      <c r="BG136" s="130">
        <f t="shared" si="6"/>
        <v>0</v>
      </c>
      <c r="BH136" s="130">
        <f t="shared" si="7"/>
        <v>0</v>
      </c>
      <c r="BI136" s="130">
        <f t="shared" si="8"/>
        <v>0</v>
      </c>
      <c r="BJ136" s="13" t="s">
        <v>76</v>
      </c>
      <c r="BK136" s="130">
        <f t="shared" si="9"/>
        <v>884.05</v>
      </c>
      <c r="BL136" s="13" t="s">
        <v>235</v>
      </c>
      <c r="BM136" s="129" t="s">
        <v>258</v>
      </c>
    </row>
    <row r="137" spans="2:65" s="1" customFormat="1" ht="24" customHeight="1" x14ac:dyDescent="0.2">
      <c r="B137" s="118"/>
      <c r="C137" s="119" t="s">
        <v>259</v>
      </c>
      <c r="D137" s="119" t="s">
        <v>231</v>
      </c>
      <c r="E137" s="120" t="s">
        <v>2957</v>
      </c>
      <c r="F137" s="121" t="s">
        <v>2958</v>
      </c>
      <c r="G137" s="122" t="s">
        <v>1194</v>
      </c>
      <c r="H137" s="123">
        <v>1</v>
      </c>
      <c r="I137" s="124">
        <v>202.71</v>
      </c>
      <c r="J137" s="124">
        <f t="shared" si="0"/>
        <v>202.71</v>
      </c>
      <c r="K137" s="121" t="s">
        <v>1</v>
      </c>
      <c r="L137" s="24"/>
      <c r="M137" s="125" t="s">
        <v>1</v>
      </c>
      <c r="N137" s="126" t="s">
        <v>32</v>
      </c>
      <c r="O137" s="127">
        <v>0</v>
      </c>
      <c r="P137" s="127">
        <f t="shared" si="1"/>
        <v>0</v>
      </c>
      <c r="Q137" s="127">
        <v>0</v>
      </c>
      <c r="R137" s="127">
        <f t="shared" si="2"/>
        <v>0</v>
      </c>
      <c r="S137" s="127">
        <v>0</v>
      </c>
      <c r="T137" s="128">
        <f t="shared" si="3"/>
        <v>0</v>
      </c>
      <c r="AR137" s="129" t="s">
        <v>235</v>
      </c>
      <c r="AT137" s="129" t="s">
        <v>231</v>
      </c>
      <c r="AU137" s="129" t="s">
        <v>76</v>
      </c>
      <c r="AY137" s="13" t="s">
        <v>228</v>
      </c>
      <c r="BE137" s="130">
        <f t="shared" si="4"/>
        <v>0</v>
      </c>
      <c r="BF137" s="130">
        <f t="shared" si="5"/>
        <v>202.71</v>
      </c>
      <c r="BG137" s="130">
        <f t="shared" si="6"/>
        <v>0</v>
      </c>
      <c r="BH137" s="130">
        <f t="shared" si="7"/>
        <v>0</v>
      </c>
      <c r="BI137" s="130">
        <f t="shared" si="8"/>
        <v>0</v>
      </c>
      <c r="BJ137" s="13" t="s">
        <v>76</v>
      </c>
      <c r="BK137" s="130">
        <f t="shared" si="9"/>
        <v>202.71</v>
      </c>
      <c r="BL137" s="13" t="s">
        <v>235</v>
      </c>
      <c r="BM137" s="129" t="s">
        <v>262</v>
      </c>
    </row>
    <row r="138" spans="2:65" s="1" customFormat="1" ht="24" customHeight="1" x14ac:dyDescent="0.2">
      <c r="B138" s="118"/>
      <c r="C138" s="119" t="s">
        <v>248</v>
      </c>
      <c r="D138" s="119" t="s">
        <v>231</v>
      </c>
      <c r="E138" s="120" t="s">
        <v>2959</v>
      </c>
      <c r="F138" s="121" t="s">
        <v>2960</v>
      </c>
      <c r="G138" s="122" t="s">
        <v>1194</v>
      </c>
      <c r="H138" s="123">
        <v>1</v>
      </c>
      <c r="I138" s="124">
        <v>58.05</v>
      </c>
      <c r="J138" s="124">
        <f t="shared" si="0"/>
        <v>58.05</v>
      </c>
      <c r="K138" s="121" t="s">
        <v>1</v>
      </c>
      <c r="L138" s="24"/>
      <c r="M138" s="125" t="s">
        <v>1</v>
      </c>
      <c r="N138" s="126" t="s">
        <v>32</v>
      </c>
      <c r="O138" s="127">
        <v>0</v>
      </c>
      <c r="P138" s="127">
        <f t="shared" si="1"/>
        <v>0</v>
      </c>
      <c r="Q138" s="127">
        <v>0</v>
      </c>
      <c r="R138" s="127">
        <f t="shared" si="2"/>
        <v>0</v>
      </c>
      <c r="S138" s="127">
        <v>0</v>
      </c>
      <c r="T138" s="128">
        <f t="shared" si="3"/>
        <v>0</v>
      </c>
      <c r="AR138" s="129" t="s">
        <v>235</v>
      </c>
      <c r="AT138" s="129" t="s">
        <v>231</v>
      </c>
      <c r="AU138" s="129" t="s">
        <v>76</v>
      </c>
      <c r="AY138" s="13" t="s">
        <v>228</v>
      </c>
      <c r="BE138" s="130">
        <f t="shared" si="4"/>
        <v>0</v>
      </c>
      <c r="BF138" s="130">
        <f t="shared" si="5"/>
        <v>58.05</v>
      </c>
      <c r="BG138" s="130">
        <f t="shared" si="6"/>
        <v>0</v>
      </c>
      <c r="BH138" s="130">
        <f t="shared" si="7"/>
        <v>0</v>
      </c>
      <c r="BI138" s="130">
        <f t="shared" si="8"/>
        <v>0</v>
      </c>
      <c r="BJ138" s="13" t="s">
        <v>76</v>
      </c>
      <c r="BK138" s="130">
        <f t="shared" si="9"/>
        <v>58.05</v>
      </c>
      <c r="BL138" s="13" t="s">
        <v>235</v>
      </c>
      <c r="BM138" s="129" t="s">
        <v>7</v>
      </c>
    </row>
    <row r="139" spans="2:65" s="1" customFormat="1" ht="24" customHeight="1" x14ac:dyDescent="0.2">
      <c r="B139" s="118"/>
      <c r="C139" s="119" t="s">
        <v>265</v>
      </c>
      <c r="D139" s="119" t="s">
        <v>231</v>
      </c>
      <c r="E139" s="120" t="s">
        <v>4238</v>
      </c>
      <c r="F139" s="121" t="s">
        <v>4239</v>
      </c>
      <c r="G139" s="122" t="s">
        <v>1194</v>
      </c>
      <c r="H139" s="123">
        <v>1</v>
      </c>
      <c r="I139" s="124">
        <v>2786.4</v>
      </c>
      <c r="J139" s="124">
        <f t="shared" si="0"/>
        <v>2786.4</v>
      </c>
      <c r="K139" s="121" t="s">
        <v>1</v>
      </c>
      <c r="L139" s="24"/>
      <c r="M139" s="125" t="s">
        <v>1</v>
      </c>
      <c r="N139" s="126" t="s">
        <v>32</v>
      </c>
      <c r="O139" s="127">
        <v>0</v>
      </c>
      <c r="P139" s="127">
        <f t="shared" si="1"/>
        <v>0</v>
      </c>
      <c r="Q139" s="127">
        <v>0</v>
      </c>
      <c r="R139" s="127">
        <f t="shared" si="2"/>
        <v>0</v>
      </c>
      <c r="S139" s="127">
        <v>0</v>
      </c>
      <c r="T139" s="128">
        <f t="shared" si="3"/>
        <v>0</v>
      </c>
      <c r="AR139" s="129" t="s">
        <v>235</v>
      </c>
      <c r="AT139" s="129" t="s">
        <v>231</v>
      </c>
      <c r="AU139" s="129" t="s">
        <v>76</v>
      </c>
      <c r="AY139" s="13" t="s">
        <v>228</v>
      </c>
      <c r="BE139" s="130">
        <f t="shared" si="4"/>
        <v>0</v>
      </c>
      <c r="BF139" s="130">
        <f t="shared" si="5"/>
        <v>2786.4</v>
      </c>
      <c r="BG139" s="130">
        <f t="shared" si="6"/>
        <v>0</v>
      </c>
      <c r="BH139" s="130">
        <f t="shared" si="7"/>
        <v>0</v>
      </c>
      <c r="BI139" s="130">
        <f t="shared" si="8"/>
        <v>0</v>
      </c>
      <c r="BJ139" s="13" t="s">
        <v>76</v>
      </c>
      <c r="BK139" s="130">
        <f t="shared" si="9"/>
        <v>2786.4</v>
      </c>
      <c r="BL139" s="13" t="s">
        <v>235</v>
      </c>
      <c r="BM139" s="129" t="s">
        <v>268</v>
      </c>
    </row>
    <row r="140" spans="2:65" s="1" customFormat="1" ht="36" customHeight="1" x14ac:dyDescent="0.2">
      <c r="B140" s="118"/>
      <c r="C140" s="119" t="s">
        <v>251</v>
      </c>
      <c r="D140" s="119" t="s">
        <v>231</v>
      </c>
      <c r="E140" s="120" t="s">
        <v>4240</v>
      </c>
      <c r="F140" s="121" t="s">
        <v>4241</v>
      </c>
      <c r="G140" s="122" t="s">
        <v>1194</v>
      </c>
      <c r="H140" s="123">
        <v>1</v>
      </c>
      <c r="I140" s="124">
        <v>6849.9</v>
      </c>
      <c r="J140" s="124">
        <f t="shared" si="0"/>
        <v>6849.9</v>
      </c>
      <c r="K140" s="121" t="s">
        <v>1</v>
      </c>
      <c r="L140" s="24"/>
      <c r="M140" s="125" t="s">
        <v>1</v>
      </c>
      <c r="N140" s="126" t="s">
        <v>32</v>
      </c>
      <c r="O140" s="127">
        <v>0</v>
      </c>
      <c r="P140" s="127">
        <f t="shared" si="1"/>
        <v>0</v>
      </c>
      <c r="Q140" s="127">
        <v>0</v>
      </c>
      <c r="R140" s="127">
        <f t="shared" si="2"/>
        <v>0</v>
      </c>
      <c r="S140" s="127">
        <v>0</v>
      </c>
      <c r="T140" s="128">
        <f t="shared" si="3"/>
        <v>0</v>
      </c>
      <c r="AR140" s="129" t="s">
        <v>235</v>
      </c>
      <c r="AT140" s="129" t="s">
        <v>231</v>
      </c>
      <c r="AU140" s="129" t="s">
        <v>76</v>
      </c>
      <c r="AY140" s="13" t="s">
        <v>228</v>
      </c>
      <c r="BE140" s="130">
        <f t="shared" si="4"/>
        <v>0</v>
      </c>
      <c r="BF140" s="130">
        <f t="shared" si="5"/>
        <v>6849.9</v>
      </c>
      <c r="BG140" s="130">
        <f t="shared" si="6"/>
        <v>0</v>
      </c>
      <c r="BH140" s="130">
        <f t="shared" si="7"/>
        <v>0</v>
      </c>
      <c r="BI140" s="130">
        <f t="shared" si="8"/>
        <v>0</v>
      </c>
      <c r="BJ140" s="13" t="s">
        <v>76</v>
      </c>
      <c r="BK140" s="130">
        <f t="shared" si="9"/>
        <v>6849.9</v>
      </c>
      <c r="BL140" s="13" t="s">
        <v>235</v>
      </c>
      <c r="BM140" s="129" t="s">
        <v>272</v>
      </c>
    </row>
    <row r="141" spans="2:65" s="1" customFormat="1" ht="16.5" customHeight="1" x14ac:dyDescent="0.2">
      <c r="B141" s="118"/>
      <c r="C141" s="119" t="s">
        <v>273</v>
      </c>
      <c r="D141" s="119" t="s">
        <v>231</v>
      </c>
      <c r="E141" s="120" t="s">
        <v>2965</v>
      </c>
      <c r="F141" s="121" t="s">
        <v>2966</v>
      </c>
      <c r="G141" s="122" t="s">
        <v>1194</v>
      </c>
      <c r="H141" s="123">
        <v>2</v>
      </c>
      <c r="I141" s="124">
        <v>183.44</v>
      </c>
      <c r="J141" s="124">
        <f t="shared" si="0"/>
        <v>366.88</v>
      </c>
      <c r="K141" s="121" t="s">
        <v>1</v>
      </c>
      <c r="L141" s="24"/>
      <c r="M141" s="125" t="s">
        <v>1</v>
      </c>
      <c r="N141" s="126" t="s">
        <v>32</v>
      </c>
      <c r="O141" s="127">
        <v>0</v>
      </c>
      <c r="P141" s="127">
        <f t="shared" si="1"/>
        <v>0</v>
      </c>
      <c r="Q141" s="127">
        <v>0</v>
      </c>
      <c r="R141" s="127">
        <f t="shared" si="2"/>
        <v>0</v>
      </c>
      <c r="S141" s="127">
        <v>0</v>
      </c>
      <c r="T141" s="128">
        <f t="shared" si="3"/>
        <v>0</v>
      </c>
      <c r="AR141" s="129" t="s">
        <v>235</v>
      </c>
      <c r="AT141" s="129" t="s">
        <v>231</v>
      </c>
      <c r="AU141" s="129" t="s">
        <v>76</v>
      </c>
      <c r="AY141" s="13" t="s">
        <v>228</v>
      </c>
      <c r="BE141" s="130">
        <f t="shared" si="4"/>
        <v>0</v>
      </c>
      <c r="BF141" s="130">
        <f t="shared" si="5"/>
        <v>366.88</v>
      </c>
      <c r="BG141" s="130">
        <f t="shared" si="6"/>
        <v>0</v>
      </c>
      <c r="BH141" s="130">
        <f t="shared" si="7"/>
        <v>0</v>
      </c>
      <c r="BI141" s="130">
        <f t="shared" si="8"/>
        <v>0</v>
      </c>
      <c r="BJ141" s="13" t="s">
        <v>76</v>
      </c>
      <c r="BK141" s="130">
        <f t="shared" si="9"/>
        <v>366.88</v>
      </c>
      <c r="BL141" s="13" t="s">
        <v>235</v>
      </c>
      <c r="BM141" s="129" t="s">
        <v>276</v>
      </c>
    </row>
    <row r="142" spans="2:65" s="1" customFormat="1" ht="16.5" customHeight="1" x14ac:dyDescent="0.2">
      <c r="B142" s="118"/>
      <c r="C142" s="119" t="s">
        <v>255</v>
      </c>
      <c r="D142" s="119" t="s">
        <v>231</v>
      </c>
      <c r="E142" s="120" t="s">
        <v>2967</v>
      </c>
      <c r="F142" s="121" t="s">
        <v>2968</v>
      </c>
      <c r="G142" s="122" t="s">
        <v>1194</v>
      </c>
      <c r="H142" s="123">
        <v>13</v>
      </c>
      <c r="I142" s="124">
        <v>4.18</v>
      </c>
      <c r="J142" s="124">
        <f t="shared" si="0"/>
        <v>54.34</v>
      </c>
      <c r="K142" s="121" t="s">
        <v>1</v>
      </c>
      <c r="L142" s="24"/>
      <c r="M142" s="125" t="s">
        <v>1</v>
      </c>
      <c r="N142" s="126" t="s">
        <v>32</v>
      </c>
      <c r="O142" s="127">
        <v>0</v>
      </c>
      <c r="P142" s="127">
        <f t="shared" si="1"/>
        <v>0</v>
      </c>
      <c r="Q142" s="127">
        <v>0</v>
      </c>
      <c r="R142" s="127">
        <f t="shared" si="2"/>
        <v>0</v>
      </c>
      <c r="S142" s="127">
        <v>0</v>
      </c>
      <c r="T142" s="128">
        <f t="shared" si="3"/>
        <v>0</v>
      </c>
      <c r="AR142" s="129" t="s">
        <v>235</v>
      </c>
      <c r="AT142" s="129" t="s">
        <v>231</v>
      </c>
      <c r="AU142" s="129" t="s">
        <v>76</v>
      </c>
      <c r="AY142" s="13" t="s">
        <v>228</v>
      </c>
      <c r="BE142" s="130">
        <f t="shared" si="4"/>
        <v>0</v>
      </c>
      <c r="BF142" s="130">
        <f t="shared" si="5"/>
        <v>54.34</v>
      </c>
      <c r="BG142" s="130">
        <f t="shared" si="6"/>
        <v>0</v>
      </c>
      <c r="BH142" s="130">
        <f t="shared" si="7"/>
        <v>0</v>
      </c>
      <c r="BI142" s="130">
        <f t="shared" si="8"/>
        <v>0</v>
      </c>
      <c r="BJ142" s="13" t="s">
        <v>76</v>
      </c>
      <c r="BK142" s="130">
        <f t="shared" si="9"/>
        <v>54.34</v>
      </c>
      <c r="BL142" s="13" t="s">
        <v>235</v>
      </c>
      <c r="BM142" s="129" t="s">
        <v>280</v>
      </c>
    </row>
    <row r="143" spans="2:65" s="1" customFormat="1" ht="16.5" customHeight="1" x14ac:dyDescent="0.2">
      <c r="B143" s="118"/>
      <c r="C143" s="119" t="s">
        <v>281</v>
      </c>
      <c r="D143" s="119" t="s">
        <v>231</v>
      </c>
      <c r="E143" s="120" t="s">
        <v>2969</v>
      </c>
      <c r="F143" s="121" t="s">
        <v>2970</v>
      </c>
      <c r="G143" s="122" t="s">
        <v>1194</v>
      </c>
      <c r="H143" s="123">
        <v>1</v>
      </c>
      <c r="I143" s="124">
        <v>189.24</v>
      </c>
      <c r="J143" s="124">
        <f t="shared" si="0"/>
        <v>189.24</v>
      </c>
      <c r="K143" s="121" t="s">
        <v>1</v>
      </c>
      <c r="L143" s="24"/>
      <c r="M143" s="125" t="s">
        <v>1</v>
      </c>
      <c r="N143" s="126" t="s">
        <v>32</v>
      </c>
      <c r="O143" s="127">
        <v>0</v>
      </c>
      <c r="P143" s="127">
        <f t="shared" si="1"/>
        <v>0</v>
      </c>
      <c r="Q143" s="127">
        <v>0</v>
      </c>
      <c r="R143" s="127">
        <f t="shared" si="2"/>
        <v>0</v>
      </c>
      <c r="S143" s="127">
        <v>0</v>
      </c>
      <c r="T143" s="128">
        <f t="shared" si="3"/>
        <v>0</v>
      </c>
      <c r="AR143" s="129" t="s">
        <v>235</v>
      </c>
      <c r="AT143" s="129" t="s">
        <v>231</v>
      </c>
      <c r="AU143" s="129" t="s">
        <v>76</v>
      </c>
      <c r="AY143" s="13" t="s">
        <v>228</v>
      </c>
      <c r="BE143" s="130">
        <f t="shared" si="4"/>
        <v>0</v>
      </c>
      <c r="BF143" s="130">
        <f t="shared" si="5"/>
        <v>189.24</v>
      </c>
      <c r="BG143" s="130">
        <f t="shared" si="6"/>
        <v>0</v>
      </c>
      <c r="BH143" s="130">
        <f t="shared" si="7"/>
        <v>0</v>
      </c>
      <c r="BI143" s="130">
        <f t="shared" si="8"/>
        <v>0</v>
      </c>
      <c r="BJ143" s="13" t="s">
        <v>76</v>
      </c>
      <c r="BK143" s="130">
        <f t="shared" si="9"/>
        <v>189.24</v>
      </c>
      <c r="BL143" s="13" t="s">
        <v>235</v>
      </c>
      <c r="BM143" s="129" t="s">
        <v>285</v>
      </c>
    </row>
    <row r="144" spans="2:65" s="1" customFormat="1" ht="16.5" customHeight="1" x14ac:dyDescent="0.2">
      <c r="B144" s="118"/>
      <c r="C144" s="119" t="s">
        <v>258</v>
      </c>
      <c r="D144" s="119" t="s">
        <v>231</v>
      </c>
      <c r="E144" s="120" t="s">
        <v>2971</v>
      </c>
      <c r="F144" s="121" t="s">
        <v>2972</v>
      </c>
      <c r="G144" s="122" t="s">
        <v>1194</v>
      </c>
      <c r="H144" s="123">
        <v>1</v>
      </c>
      <c r="I144" s="124">
        <v>186.92</v>
      </c>
      <c r="J144" s="124">
        <f t="shared" si="0"/>
        <v>186.92</v>
      </c>
      <c r="K144" s="121" t="s">
        <v>1</v>
      </c>
      <c r="L144" s="24"/>
      <c r="M144" s="125" t="s">
        <v>1</v>
      </c>
      <c r="N144" s="126" t="s">
        <v>32</v>
      </c>
      <c r="O144" s="127">
        <v>0</v>
      </c>
      <c r="P144" s="127">
        <f t="shared" si="1"/>
        <v>0</v>
      </c>
      <c r="Q144" s="127">
        <v>0</v>
      </c>
      <c r="R144" s="127">
        <f t="shared" si="2"/>
        <v>0</v>
      </c>
      <c r="S144" s="127">
        <v>0</v>
      </c>
      <c r="T144" s="128">
        <f t="shared" si="3"/>
        <v>0</v>
      </c>
      <c r="AR144" s="129" t="s">
        <v>235</v>
      </c>
      <c r="AT144" s="129" t="s">
        <v>231</v>
      </c>
      <c r="AU144" s="129" t="s">
        <v>76</v>
      </c>
      <c r="AY144" s="13" t="s">
        <v>228</v>
      </c>
      <c r="BE144" s="130">
        <f t="shared" si="4"/>
        <v>0</v>
      </c>
      <c r="BF144" s="130">
        <f t="shared" si="5"/>
        <v>186.92</v>
      </c>
      <c r="BG144" s="130">
        <f t="shared" si="6"/>
        <v>0</v>
      </c>
      <c r="BH144" s="130">
        <f t="shared" si="7"/>
        <v>0</v>
      </c>
      <c r="BI144" s="130">
        <f t="shared" si="8"/>
        <v>0</v>
      </c>
      <c r="BJ144" s="13" t="s">
        <v>76</v>
      </c>
      <c r="BK144" s="130">
        <f t="shared" si="9"/>
        <v>186.92</v>
      </c>
      <c r="BL144" s="13" t="s">
        <v>235</v>
      </c>
      <c r="BM144" s="129" t="s">
        <v>288</v>
      </c>
    </row>
    <row r="145" spans="2:65" s="11" customFormat="1" ht="22.95" customHeight="1" x14ac:dyDescent="0.25">
      <c r="B145" s="106"/>
      <c r="D145" s="107" t="s">
        <v>57</v>
      </c>
      <c r="E145" s="116" t="s">
        <v>1227</v>
      </c>
      <c r="F145" s="116" t="s">
        <v>2973</v>
      </c>
      <c r="J145" s="117">
        <f>BK145</f>
        <v>3223.17</v>
      </c>
      <c r="L145" s="106"/>
      <c r="M145" s="110"/>
      <c r="N145" s="111"/>
      <c r="O145" s="111"/>
      <c r="P145" s="112">
        <f>SUM(P146:P157)</f>
        <v>0</v>
      </c>
      <c r="Q145" s="111"/>
      <c r="R145" s="112">
        <f>SUM(R146:R157)</f>
        <v>0</v>
      </c>
      <c r="S145" s="111"/>
      <c r="T145" s="113">
        <f>SUM(T146:T157)</f>
        <v>0</v>
      </c>
      <c r="AR145" s="107" t="s">
        <v>63</v>
      </c>
      <c r="AT145" s="114" t="s">
        <v>57</v>
      </c>
      <c r="AU145" s="114" t="s">
        <v>63</v>
      </c>
      <c r="AY145" s="107" t="s">
        <v>228</v>
      </c>
      <c r="BK145" s="115">
        <f>SUM(BK146:BK157)</f>
        <v>3223.17</v>
      </c>
    </row>
    <row r="146" spans="2:65" s="1" customFormat="1" ht="16.5" customHeight="1" x14ac:dyDescent="0.2">
      <c r="B146" s="118"/>
      <c r="C146" s="119" t="s">
        <v>289</v>
      </c>
      <c r="D146" s="119" t="s">
        <v>231</v>
      </c>
      <c r="E146" s="120" t="s">
        <v>2974</v>
      </c>
      <c r="F146" s="121" t="s">
        <v>2975</v>
      </c>
      <c r="G146" s="122" t="s">
        <v>1194</v>
      </c>
      <c r="H146" s="123">
        <v>6</v>
      </c>
      <c r="I146" s="124">
        <v>8.36</v>
      </c>
      <c r="J146" s="124">
        <f t="shared" ref="J146:J157" si="10">ROUND(I146*H146,2)</f>
        <v>50.16</v>
      </c>
      <c r="K146" s="121" t="s">
        <v>1</v>
      </c>
      <c r="L146" s="24"/>
      <c r="M146" s="125" t="s">
        <v>1</v>
      </c>
      <c r="N146" s="126" t="s">
        <v>32</v>
      </c>
      <c r="O146" s="127">
        <v>0</v>
      </c>
      <c r="P146" s="127">
        <f t="shared" ref="P146:P157" si="11">O146*H146</f>
        <v>0</v>
      </c>
      <c r="Q146" s="127">
        <v>0</v>
      </c>
      <c r="R146" s="127">
        <f t="shared" ref="R146:R157" si="12">Q146*H146</f>
        <v>0</v>
      </c>
      <c r="S146" s="127">
        <v>0</v>
      </c>
      <c r="T146" s="128">
        <f t="shared" ref="T146:T157" si="13">S146*H146</f>
        <v>0</v>
      </c>
      <c r="AR146" s="129" t="s">
        <v>235</v>
      </c>
      <c r="AT146" s="129" t="s">
        <v>231</v>
      </c>
      <c r="AU146" s="129" t="s">
        <v>76</v>
      </c>
      <c r="AY146" s="13" t="s">
        <v>228</v>
      </c>
      <c r="BE146" s="130">
        <f t="shared" ref="BE146:BE157" si="14">IF(N146="základná",J146,0)</f>
        <v>0</v>
      </c>
      <c r="BF146" s="130">
        <f t="shared" ref="BF146:BF157" si="15">IF(N146="znížená",J146,0)</f>
        <v>50.16</v>
      </c>
      <c r="BG146" s="130">
        <f t="shared" ref="BG146:BG157" si="16">IF(N146="zákl. prenesená",J146,0)</f>
        <v>0</v>
      </c>
      <c r="BH146" s="130">
        <f t="shared" ref="BH146:BH157" si="17">IF(N146="zníž. prenesená",J146,0)</f>
        <v>0</v>
      </c>
      <c r="BI146" s="130">
        <f t="shared" ref="BI146:BI157" si="18">IF(N146="nulová",J146,0)</f>
        <v>0</v>
      </c>
      <c r="BJ146" s="13" t="s">
        <v>76</v>
      </c>
      <c r="BK146" s="130">
        <f t="shared" ref="BK146:BK157" si="19">ROUND(I146*H146,2)</f>
        <v>50.16</v>
      </c>
      <c r="BL146" s="13" t="s">
        <v>235</v>
      </c>
      <c r="BM146" s="129" t="s">
        <v>293</v>
      </c>
    </row>
    <row r="147" spans="2:65" s="1" customFormat="1" ht="16.5" customHeight="1" x14ac:dyDescent="0.2">
      <c r="B147" s="118"/>
      <c r="C147" s="119" t="s">
        <v>262</v>
      </c>
      <c r="D147" s="119" t="s">
        <v>231</v>
      </c>
      <c r="E147" s="120" t="s">
        <v>4242</v>
      </c>
      <c r="F147" s="121" t="s">
        <v>4243</v>
      </c>
      <c r="G147" s="122" t="s">
        <v>1194</v>
      </c>
      <c r="H147" s="123">
        <v>10</v>
      </c>
      <c r="I147" s="124">
        <v>11.15</v>
      </c>
      <c r="J147" s="124">
        <f t="shared" si="10"/>
        <v>111.5</v>
      </c>
      <c r="K147" s="121" t="s">
        <v>1</v>
      </c>
      <c r="L147" s="24"/>
      <c r="M147" s="125" t="s">
        <v>1</v>
      </c>
      <c r="N147" s="126" t="s">
        <v>32</v>
      </c>
      <c r="O147" s="127">
        <v>0</v>
      </c>
      <c r="P147" s="127">
        <f t="shared" si="11"/>
        <v>0</v>
      </c>
      <c r="Q147" s="127">
        <v>0</v>
      </c>
      <c r="R147" s="127">
        <f t="shared" si="12"/>
        <v>0</v>
      </c>
      <c r="S147" s="127">
        <v>0</v>
      </c>
      <c r="T147" s="128">
        <f t="shared" si="13"/>
        <v>0</v>
      </c>
      <c r="AR147" s="129" t="s">
        <v>235</v>
      </c>
      <c r="AT147" s="129" t="s">
        <v>231</v>
      </c>
      <c r="AU147" s="129" t="s">
        <v>76</v>
      </c>
      <c r="AY147" s="13" t="s">
        <v>228</v>
      </c>
      <c r="BE147" s="130">
        <f t="shared" si="14"/>
        <v>0</v>
      </c>
      <c r="BF147" s="130">
        <f t="shared" si="15"/>
        <v>111.5</v>
      </c>
      <c r="BG147" s="130">
        <f t="shared" si="16"/>
        <v>0</v>
      </c>
      <c r="BH147" s="130">
        <f t="shared" si="17"/>
        <v>0</v>
      </c>
      <c r="BI147" s="130">
        <f t="shared" si="18"/>
        <v>0</v>
      </c>
      <c r="BJ147" s="13" t="s">
        <v>76</v>
      </c>
      <c r="BK147" s="130">
        <f t="shared" si="19"/>
        <v>111.5</v>
      </c>
      <c r="BL147" s="13" t="s">
        <v>235</v>
      </c>
      <c r="BM147" s="129" t="s">
        <v>296</v>
      </c>
    </row>
    <row r="148" spans="2:65" s="1" customFormat="1" ht="16.5" customHeight="1" x14ac:dyDescent="0.2">
      <c r="B148" s="118"/>
      <c r="C148" s="119" t="s">
        <v>297</v>
      </c>
      <c r="D148" s="119" t="s">
        <v>231</v>
      </c>
      <c r="E148" s="120" t="s">
        <v>2978</v>
      </c>
      <c r="F148" s="121" t="s">
        <v>2979</v>
      </c>
      <c r="G148" s="122" t="s">
        <v>1194</v>
      </c>
      <c r="H148" s="123">
        <v>2</v>
      </c>
      <c r="I148" s="124">
        <v>11.15</v>
      </c>
      <c r="J148" s="124">
        <f t="shared" si="10"/>
        <v>22.3</v>
      </c>
      <c r="K148" s="121" t="s">
        <v>1</v>
      </c>
      <c r="L148" s="24"/>
      <c r="M148" s="125" t="s">
        <v>1</v>
      </c>
      <c r="N148" s="126" t="s">
        <v>32</v>
      </c>
      <c r="O148" s="127">
        <v>0</v>
      </c>
      <c r="P148" s="127">
        <f t="shared" si="11"/>
        <v>0</v>
      </c>
      <c r="Q148" s="127">
        <v>0</v>
      </c>
      <c r="R148" s="127">
        <f t="shared" si="12"/>
        <v>0</v>
      </c>
      <c r="S148" s="127">
        <v>0</v>
      </c>
      <c r="T148" s="128">
        <f t="shared" si="13"/>
        <v>0</v>
      </c>
      <c r="AR148" s="129" t="s">
        <v>235</v>
      </c>
      <c r="AT148" s="129" t="s">
        <v>231</v>
      </c>
      <c r="AU148" s="129" t="s">
        <v>76</v>
      </c>
      <c r="AY148" s="13" t="s">
        <v>228</v>
      </c>
      <c r="BE148" s="130">
        <f t="shared" si="14"/>
        <v>0</v>
      </c>
      <c r="BF148" s="130">
        <f t="shared" si="15"/>
        <v>22.3</v>
      </c>
      <c r="BG148" s="130">
        <f t="shared" si="16"/>
        <v>0</v>
      </c>
      <c r="BH148" s="130">
        <f t="shared" si="17"/>
        <v>0</v>
      </c>
      <c r="BI148" s="130">
        <f t="shared" si="18"/>
        <v>0</v>
      </c>
      <c r="BJ148" s="13" t="s">
        <v>76</v>
      </c>
      <c r="BK148" s="130">
        <f t="shared" si="19"/>
        <v>22.3</v>
      </c>
      <c r="BL148" s="13" t="s">
        <v>235</v>
      </c>
      <c r="BM148" s="129" t="s">
        <v>300</v>
      </c>
    </row>
    <row r="149" spans="2:65" s="1" customFormat="1" ht="16.5" customHeight="1" x14ac:dyDescent="0.2">
      <c r="B149" s="118"/>
      <c r="C149" s="119" t="s">
        <v>7</v>
      </c>
      <c r="D149" s="119" t="s">
        <v>231</v>
      </c>
      <c r="E149" s="120" t="s">
        <v>2980</v>
      </c>
      <c r="F149" s="121" t="s">
        <v>2981</v>
      </c>
      <c r="G149" s="122" t="s">
        <v>1194</v>
      </c>
      <c r="H149" s="123">
        <v>6</v>
      </c>
      <c r="I149" s="124">
        <v>20.9</v>
      </c>
      <c r="J149" s="124">
        <f t="shared" si="10"/>
        <v>125.4</v>
      </c>
      <c r="K149" s="121" t="s">
        <v>1</v>
      </c>
      <c r="L149" s="24"/>
      <c r="M149" s="125" t="s">
        <v>1</v>
      </c>
      <c r="N149" s="126" t="s">
        <v>32</v>
      </c>
      <c r="O149" s="127">
        <v>0</v>
      </c>
      <c r="P149" s="127">
        <f t="shared" si="11"/>
        <v>0</v>
      </c>
      <c r="Q149" s="127">
        <v>0</v>
      </c>
      <c r="R149" s="127">
        <f t="shared" si="12"/>
        <v>0</v>
      </c>
      <c r="S149" s="127">
        <v>0</v>
      </c>
      <c r="T149" s="128">
        <f t="shared" si="13"/>
        <v>0</v>
      </c>
      <c r="AR149" s="129" t="s">
        <v>235</v>
      </c>
      <c r="AT149" s="129" t="s">
        <v>231</v>
      </c>
      <c r="AU149" s="129" t="s">
        <v>76</v>
      </c>
      <c r="AY149" s="13" t="s">
        <v>228</v>
      </c>
      <c r="BE149" s="130">
        <f t="shared" si="14"/>
        <v>0</v>
      </c>
      <c r="BF149" s="130">
        <f t="shared" si="15"/>
        <v>125.4</v>
      </c>
      <c r="BG149" s="130">
        <f t="shared" si="16"/>
        <v>0</v>
      </c>
      <c r="BH149" s="130">
        <f t="shared" si="17"/>
        <v>0</v>
      </c>
      <c r="BI149" s="130">
        <f t="shared" si="18"/>
        <v>0</v>
      </c>
      <c r="BJ149" s="13" t="s">
        <v>76</v>
      </c>
      <c r="BK149" s="130">
        <f t="shared" si="19"/>
        <v>125.4</v>
      </c>
      <c r="BL149" s="13" t="s">
        <v>235</v>
      </c>
      <c r="BM149" s="129" t="s">
        <v>303</v>
      </c>
    </row>
    <row r="150" spans="2:65" s="1" customFormat="1" ht="16.5" customHeight="1" x14ac:dyDescent="0.2">
      <c r="B150" s="118"/>
      <c r="C150" s="119" t="s">
        <v>305</v>
      </c>
      <c r="D150" s="119" t="s">
        <v>231</v>
      </c>
      <c r="E150" s="120" t="s">
        <v>2982</v>
      </c>
      <c r="F150" s="121" t="s">
        <v>2983</v>
      </c>
      <c r="G150" s="122" t="s">
        <v>1194</v>
      </c>
      <c r="H150" s="123">
        <v>2</v>
      </c>
      <c r="I150" s="124">
        <v>11.61</v>
      </c>
      <c r="J150" s="124">
        <f t="shared" si="10"/>
        <v>23.22</v>
      </c>
      <c r="K150" s="121" t="s">
        <v>1</v>
      </c>
      <c r="L150" s="24"/>
      <c r="M150" s="125" t="s">
        <v>1</v>
      </c>
      <c r="N150" s="126" t="s">
        <v>32</v>
      </c>
      <c r="O150" s="127">
        <v>0</v>
      </c>
      <c r="P150" s="127">
        <f t="shared" si="11"/>
        <v>0</v>
      </c>
      <c r="Q150" s="127">
        <v>0</v>
      </c>
      <c r="R150" s="127">
        <f t="shared" si="12"/>
        <v>0</v>
      </c>
      <c r="S150" s="127">
        <v>0</v>
      </c>
      <c r="T150" s="128">
        <f t="shared" si="13"/>
        <v>0</v>
      </c>
      <c r="AR150" s="129" t="s">
        <v>235</v>
      </c>
      <c r="AT150" s="129" t="s">
        <v>231</v>
      </c>
      <c r="AU150" s="129" t="s">
        <v>76</v>
      </c>
      <c r="AY150" s="13" t="s">
        <v>228</v>
      </c>
      <c r="BE150" s="130">
        <f t="shared" si="14"/>
        <v>0</v>
      </c>
      <c r="BF150" s="130">
        <f t="shared" si="15"/>
        <v>23.22</v>
      </c>
      <c r="BG150" s="130">
        <f t="shared" si="16"/>
        <v>0</v>
      </c>
      <c r="BH150" s="130">
        <f t="shared" si="17"/>
        <v>0</v>
      </c>
      <c r="BI150" s="130">
        <f t="shared" si="18"/>
        <v>0</v>
      </c>
      <c r="BJ150" s="13" t="s">
        <v>76</v>
      </c>
      <c r="BK150" s="130">
        <f t="shared" si="19"/>
        <v>23.22</v>
      </c>
      <c r="BL150" s="13" t="s">
        <v>235</v>
      </c>
      <c r="BM150" s="129" t="s">
        <v>308</v>
      </c>
    </row>
    <row r="151" spans="2:65" s="1" customFormat="1" ht="16.5" customHeight="1" x14ac:dyDescent="0.2">
      <c r="B151" s="118"/>
      <c r="C151" s="119" t="s">
        <v>268</v>
      </c>
      <c r="D151" s="119" t="s">
        <v>231</v>
      </c>
      <c r="E151" s="120" t="s">
        <v>2984</v>
      </c>
      <c r="F151" s="121" t="s">
        <v>2985</v>
      </c>
      <c r="G151" s="122" t="s">
        <v>1194</v>
      </c>
      <c r="H151" s="123">
        <v>1</v>
      </c>
      <c r="I151" s="124">
        <v>11.61</v>
      </c>
      <c r="J151" s="124">
        <f t="shared" si="10"/>
        <v>11.61</v>
      </c>
      <c r="K151" s="121" t="s">
        <v>1</v>
      </c>
      <c r="L151" s="24"/>
      <c r="M151" s="125" t="s">
        <v>1</v>
      </c>
      <c r="N151" s="126" t="s">
        <v>32</v>
      </c>
      <c r="O151" s="127">
        <v>0</v>
      </c>
      <c r="P151" s="127">
        <f t="shared" si="11"/>
        <v>0</v>
      </c>
      <c r="Q151" s="127">
        <v>0</v>
      </c>
      <c r="R151" s="127">
        <f t="shared" si="12"/>
        <v>0</v>
      </c>
      <c r="S151" s="127">
        <v>0</v>
      </c>
      <c r="T151" s="128">
        <f t="shared" si="13"/>
        <v>0</v>
      </c>
      <c r="AR151" s="129" t="s">
        <v>235</v>
      </c>
      <c r="AT151" s="129" t="s">
        <v>231</v>
      </c>
      <c r="AU151" s="129" t="s">
        <v>76</v>
      </c>
      <c r="AY151" s="13" t="s">
        <v>228</v>
      </c>
      <c r="BE151" s="130">
        <f t="shared" si="14"/>
        <v>0</v>
      </c>
      <c r="BF151" s="130">
        <f t="shared" si="15"/>
        <v>11.61</v>
      </c>
      <c r="BG151" s="130">
        <f t="shared" si="16"/>
        <v>0</v>
      </c>
      <c r="BH151" s="130">
        <f t="shared" si="17"/>
        <v>0</v>
      </c>
      <c r="BI151" s="130">
        <f t="shared" si="18"/>
        <v>0</v>
      </c>
      <c r="BJ151" s="13" t="s">
        <v>76</v>
      </c>
      <c r="BK151" s="130">
        <f t="shared" si="19"/>
        <v>11.61</v>
      </c>
      <c r="BL151" s="13" t="s">
        <v>235</v>
      </c>
      <c r="BM151" s="129" t="s">
        <v>312</v>
      </c>
    </row>
    <row r="152" spans="2:65" s="1" customFormat="1" ht="16.5" customHeight="1" x14ac:dyDescent="0.2">
      <c r="B152" s="118"/>
      <c r="C152" s="119" t="s">
        <v>313</v>
      </c>
      <c r="D152" s="119" t="s">
        <v>231</v>
      </c>
      <c r="E152" s="120" t="s">
        <v>2986</v>
      </c>
      <c r="F152" s="121" t="s">
        <v>2987</v>
      </c>
      <c r="G152" s="122" t="s">
        <v>1194</v>
      </c>
      <c r="H152" s="123">
        <v>1</v>
      </c>
      <c r="I152" s="124">
        <v>118.42</v>
      </c>
      <c r="J152" s="124">
        <f t="shared" si="10"/>
        <v>118.42</v>
      </c>
      <c r="K152" s="121" t="s">
        <v>1</v>
      </c>
      <c r="L152" s="24"/>
      <c r="M152" s="125" t="s">
        <v>1</v>
      </c>
      <c r="N152" s="126" t="s">
        <v>32</v>
      </c>
      <c r="O152" s="127">
        <v>0</v>
      </c>
      <c r="P152" s="127">
        <f t="shared" si="11"/>
        <v>0</v>
      </c>
      <c r="Q152" s="127">
        <v>0</v>
      </c>
      <c r="R152" s="127">
        <f t="shared" si="12"/>
        <v>0</v>
      </c>
      <c r="S152" s="127">
        <v>0</v>
      </c>
      <c r="T152" s="128">
        <f t="shared" si="13"/>
        <v>0</v>
      </c>
      <c r="AR152" s="129" t="s">
        <v>235</v>
      </c>
      <c r="AT152" s="129" t="s">
        <v>231</v>
      </c>
      <c r="AU152" s="129" t="s">
        <v>76</v>
      </c>
      <c r="AY152" s="13" t="s">
        <v>228</v>
      </c>
      <c r="BE152" s="130">
        <f t="shared" si="14"/>
        <v>0</v>
      </c>
      <c r="BF152" s="130">
        <f t="shared" si="15"/>
        <v>118.42</v>
      </c>
      <c r="BG152" s="130">
        <f t="shared" si="16"/>
        <v>0</v>
      </c>
      <c r="BH152" s="130">
        <f t="shared" si="17"/>
        <v>0</v>
      </c>
      <c r="BI152" s="130">
        <f t="shared" si="18"/>
        <v>0</v>
      </c>
      <c r="BJ152" s="13" t="s">
        <v>76</v>
      </c>
      <c r="BK152" s="130">
        <f t="shared" si="19"/>
        <v>118.42</v>
      </c>
      <c r="BL152" s="13" t="s">
        <v>235</v>
      </c>
      <c r="BM152" s="129" t="s">
        <v>316</v>
      </c>
    </row>
    <row r="153" spans="2:65" s="1" customFormat="1" ht="16.5" customHeight="1" x14ac:dyDescent="0.2">
      <c r="B153" s="118"/>
      <c r="C153" s="119" t="s">
        <v>272</v>
      </c>
      <c r="D153" s="119" t="s">
        <v>231</v>
      </c>
      <c r="E153" s="120" t="s">
        <v>2988</v>
      </c>
      <c r="F153" s="121" t="s">
        <v>2989</v>
      </c>
      <c r="G153" s="122" t="s">
        <v>1194</v>
      </c>
      <c r="H153" s="123">
        <v>2</v>
      </c>
      <c r="I153" s="124">
        <v>40.64</v>
      </c>
      <c r="J153" s="124">
        <f t="shared" si="10"/>
        <v>81.28</v>
      </c>
      <c r="K153" s="121" t="s">
        <v>1</v>
      </c>
      <c r="L153" s="24"/>
      <c r="M153" s="125" t="s">
        <v>1</v>
      </c>
      <c r="N153" s="126" t="s">
        <v>32</v>
      </c>
      <c r="O153" s="127">
        <v>0</v>
      </c>
      <c r="P153" s="127">
        <f t="shared" si="11"/>
        <v>0</v>
      </c>
      <c r="Q153" s="127">
        <v>0</v>
      </c>
      <c r="R153" s="127">
        <f t="shared" si="12"/>
        <v>0</v>
      </c>
      <c r="S153" s="127">
        <v>0</v>
      </c>
      <c r="T153" s="128">
        <f t="shared" si="13"/>
        <v>0</v>
      </c>
      <c r="AR153" s="129" t="s">
        <v>235</v>
      </c>
      <c r="AT153" s="129" t="s">
        <v>231</v>
      </c>
      <c r="AU153" s="129" t="s">
        <v>76</v>
      </c>
      <c r="AY153" s="13" t="s">
        <v>228</v>
      </c>
      <c r="BE153" s="130">
        <f t="shared" si="14"/>
        <v>0</v>
      </c>
      <c r="BF153" s="130">
        <f t="shared" si="15"/>
        <v>81.28</v>
      </c>
      <c r="BG153" s="130">
        <f t="shared" si="16"/>
        <v>0</v>
      </c>
      <c r="BH153" s="130">
        <f t="shared" si="17"/>
        <v>0</v>
      </c>
      <c r="BI153" s="130">
        <f t="shared" si="18"/>
        <v>0</v>
      </c>
      <c r="BJ153" s="13" t="s">
        <v>76</v>
      </c>
      <c r="BK153" s="130">
        <f t="shared" si="19"/>
        <v>81.28</v>
      </c>
      <c r="BL153" s="13" t="s">
        <v>235</v>
      </c>
      <c r="BM153" s="129" t="s">
        <v>319</v>
      </c>
    </row>
    <row r="154" spans="2:65" s="1" customFormat="1" ht="16.5" customHeight="1" x14ac:dyDescent="0.2">
      <c r="B154" s="118"/>
      <c r="C154" s="119" t="s">
        <v>320</v>
      </c>
      <c r="D154" s="119" t="s">
        <v>231</v>
      </c>
      <c r="E154" s="120" t="s">
        <v>2990</v>
      </c>
      <c r="F154" s="121" t="s">
        <v>2991</v>
      </c>
      <c r="G154" s="122" t="s">
        <v>1194</v>
      </c>
      <c r="H154" s="123">
        <v>13</v>
      </c>
      <c r="I154" s="124">
        <v>1.74</v>
      </c>
      <c r="J154" s="124">
        <f t="shared" si="10"/>
        <v>22.62</v>
      </c>
      <c r="K154" s="121" t="s">
        <v>1</v>
      </c>
      <c r="L154" s="24"/>
      <c r="M154" s="125" t="s">
        <v>1</v>
      </c>
      <c r="N154" s="126" t="s">
        <v>32</v>
      </c>
      <c r="O154" s="127">
        <v>0</v>
      </c>
      <c r="P154" s="127">
        <f t="shared" si="11"/>
        <v>0</v>
      </c>
      <c r="Q154" s="127">
        <v>0</v>
      </c>
      <c r="R154" s="127">
        <f t="shared" si="12"/>
        <v>0</v>
      </c>
      <c r="S154" s="127">
        <v>0</v>
      </c>
      <c r="T154" s="128">
        <f t="shared" si="13"/>
        <v>0</v>
      </c>
      <c r="AR154" s="129" t="s">
        <v>235</v>
      </c>
      <c r="AT154" s="129" t="s">
        <v>231</v>
      </c>
      <c r="AU154" s="129" t="s">
        <v>76</v>
      </c>
      <c r="AY154" s="13" t="s">
        <v>228</v>
      </c>
      <c r="BE154" s="130">
        <f t="shared" si="14"/>
        <v>0</v>
      </c>
      <c r="BF154" s="130">
        <f t="shared" si="15"/>
        <v>22.62</v>
      </c>
      <c r="BG154" s="130">
        <f t="shared" si="16"/>
        <v>0</v>
      </c>
      <c r="BH154" s="130">
        <f t="shared" si="17"/>
        <v>0</v>
      </c>
      <c r="BI154" s="130">
        <f t="shared" si="18"/>
        <v>0</v>
      </c>
      <c r="BJ154" s="13" t="s">
        <v>76</v>
      </c>
      <c r="BK154" s="130">
        <f t="shared" si="19"/>
        <v>22.62</v>
      </c>
      <c r="BL154" s="13" t="s">
        <v>235</v>
      </c>
      <c r="BM154" s="129" t="s">
        <v>323</v>
      </c>
    </row>
    <row r="155" spans="2:65" s="1" customFormat="1" ht="36" customHeight="1" x14ac:dyDescent="0.2">
      <c r="B155" s="118"/>
      <c r="C155" s="119" t="s">
        <v>276</v>
      </c>
      <c r="D155" s="119" t="s">
        <v>231</v>
      </c>
      <c r="E155" s="120" t="s">
        <v>2992</v>
      </c>
      <c r="F155" s="121" t="s">
        <v>2993</v>
      </c>
      <c r="G155" s="122" t="s">
        <v>1112</v>
      </c>
      <c r="H155" s="123">
        <v>40</v>
      </c>
      <c r="I155" s="124">
        <v>30.19</v>
      </c>
      <c r="J155" s="124">
        <f t="shared" si="10"/>
        <v>1207.5999999999999</v>
      </c>
      <c r="K155" s="121" t="s">
        <v>1</v>
      </c>
      <c r="L155" s="24"/>
      <c r="M155" s="125" t="s">
        <v>1</v>
      </c>
      <c r="N155" s="126" t="s">
        <v>32</v>
      </c>
      <c r="O155" s="127">
        <v>0</v>
      </c>
      <c r="P155" s="127">
        <f t="shared" si="11"/>
        <v>0</v>
      </c>
      <c r="Q155" s="127">
        <v>0</v>
      </c>
      <c r="R155" s="127">
        <f t="shared" si="12"/>
        <v>0</v>
      </c>
      <c r="S155" s="127">
        <v>0</v>
      </c>
      <c r="T155" s="128">
        <f t="shared" si="13"/>
        <v>0</v>
      </c>
      <c r="AR155" s="129" t="s">
        <v>235</v>
      </c>
      <c r="AT155" s="129" t="s">
        <v>231</v>
      </c>
      <c r="AU155" s="129" t="s">
        <v>76</v>
      </c>
      <c r="AY155" s="13" t="s">
        <v>228</v>
      </c>
      <c r="BE155" s="130">
        <f t="shared" si="14"/>
        <v>0</v>
      </c>
      <c r="BF155" s="130">
        <f t="shared" si="15"/>
        <v>1207.5999999999999</v>
      </c>
      <c r="BG155" s="130">
        <f t="shared" si="16"/>
        <v>0</v>
      </c>
      <c r="BH155" s="130">
        <f t="shared" si="17"/>
        <v>0</v>
      </c>
      <c r="BI155" s="130">
        <f t="shared" si="18"/>
        <v>0</v>
      </c>
      <c r="BJ155" s="13" t="s">
        <v>76</v>
      </c>
      <c r="BK155" s="130">
        <f t="shared" si="19"/>
        <v>1207.5999999999999</v>
      </c>
      <c r="BL155" s="13" t="s">
        <v>235</v>
      </c>
      <c r="BM155" s="129" t="s">
        <v>326</v>
      </c>
    </row>
    <row r="156" spans="2:65" s="1" customFormat="1" ht="16.5" customHeight="1" x14ac:dyDescent="0.2">
      <c r="B156" s="118"/>
      <c r="C156" s="119" t="s">
        <v>327</v>
      </c>
      <c r="D156" s="119" t="s">
        <v>231</v>
      </c>
      <c r="E156" s="120" t="s">
        <v>2836</v>
      </c>
      <c r="F156" s="121" t="s">
        <v>2837</v>
      </c>
      <c r="G156" s="122" t="s">
        <v>1194</v>
      </c>
      <c r="H156" s="123">
        <v>1</v>
      </c>
      <c r="I156" s="124">
        <v>482.98</v>
      </c>
      <c r="J156" s="124">
        <f t="shared" si="10"/>
        <v>482.98</v>
      </c>
      <c r="K156" s="121" t="s">
        <v>1</v>
      </c>
      <c r="L156" s="24"/>
      <c r="M156" s="125" t="s">
        <v>1</v>
      </c>
      <c r="N156" s="126" t="s">
        <v>32</v>
      </c>
      <c r="O156" s="127">
        <v>0</v>
      </c>
      <c r="P156" s="127">
        <f t="shared" si="11"/>
        <v>0</v>
      </c>
      <c r="Q156" s="127">
        <v>0</v>
      </c>
      <c r="R156" s="127">
        <f t="shared" si="12"/>
        <v>0</v>
      </c>
      <c r="S156" s="127">
        <v>0</v>
      </c>
      <c r="T156" s="128">
        <f t="shared" si="13"/>
        <v>0</v>
      </c>
      <c r="AR156" s="129" t="s">
        <v>235</v>
      </c>
      <c r="AT156" s="129" t="s">
        <v>231</v>
      </c>
      <c r="AU156" s="129" t="s">
        <v>76</v>
      </c>
      <c r="AY156" s="13" t="s">
        <v>228</v>
      </c>
      <c r="BE156" s="130">
        <f t="shared" si="14"/>
        <v>0</v>
      </c>
      <c r="BF156" s="130">
        <f t="shared" si="15"/>
        <v>482.98</v>
      </c>
      <c r="BG156" s="130">
        <f t="shared" si="16"/>
        <v>0</v>
      </c>
      <c r="BH156" s="130">
        <f t="shared" si="17"/>
        <v>0</v>
      </c>
      <c r="BI156" s="130">
        <f t="shared" si="18"/>
        <v>0</v>
      </c>
      <c r="BJ156" s="13" t="s">
        <v>76</v>
      </c>
      <c r="BK156" s="130">
        <f t="shared" si="19"/>
        <v>482.98</v>
      </c>
      <c r="BL156" s="13" t="s">
        <v>235</v>
      </c>
      <c r="BM156" s="129" t="s">
        <v>330</v>
      </c>
    </row>
    <row r="157" spans="2:65" s="1" customFormat="1" ht="24" customHeight="1" x14ac:dyDescent="0.2">
      <c r="B157" s="118"/>
      <c r="C157" s="119" t="s">
        <v>280</v>
      </c>
      <c r="D157" s="119" t="s">
        <v>231</v>
      </c>
      <c r="E157" s="120" t="s">
        <v>2838</v>
      </c>
      <c r="F157" s="121" t="s">
        <v>2839</v>
      </c>
      <c r="G157" s="122" t="s">
        <v>1112</v>
      </c>
      <c r="H157" s="123">
        <v>32</v>
      </c>
      <c r="I157" s="124">
        <v>30.19</v>
      </c>
      <c r="J157" s="124">
        <f t="shared" si="10"/>
        <v>966.08</v>
      </c>
      <c r="K157" s="121" t="s">
        <v>1</v>
      </c>
      <c r="L157" s="24"/>
      <c r="M157" s="125" t="s">
        <v>1</v>
      </c>
      <c r="N157" s="126" t="s">
        <v>32</v>
      </c>
      <c r="O157" s="127">
        <v>0</v>
      </c>
      <c r="P157" s="127">
        <f t="shared" si="11"/>
        <v>0</v>
      </c>
      <c r="Q157" s="127">
        <v>0</v>
      </c>
      <c r="R157" s="127">
        <f t="shared" si="12"/>
        <v>0</v>
      </c>
      <c r="S157" s="127">
        <v>0</v>
      </c>
      <c r="T157" s="128">
        <f t="shared" si="13"/>
        <v>0</v>
      </c>
      <c r="AR157" s="129" t="s">
        <v>235</v>
      </c>
      <c r="AT157" s="129" t="s">
        <v>231</v>
      </c>
      <c r="AU157" s="129" t="s">
        <v>76</v>
      </c>
      <c r="AY157" s="13" t="s">
        <v>228</v>
      </c>
      <c r="BE157" s="130">
        <f t="shared" si="14"/>
        <v>0</v>
      </c>
      <c r="BF157" s="130">
        <f t="shared" si="15"/>
        <v>966.08</v>
      </c>
      <c r="BG157" s="130">
        <f t="shared" si="16"/>
        <v>0</v>
      </c>
      <c r="BH157" s="130">
        <f t="shared" si="17"/>
        <v>0</v>
      </c>
      <c r="BI157" s="130">
        <f t="shared" si="18"/>
        <v>0</v>
      </c>
      <c r="BJ157" s="13" t="s">
        <v>76</v>
      </c>
      <c r="BK157" s="130">
        <f t="shared" si="19"/>
        <v>966.08</v>
      </c>
      <c r="BL157" s="13" t="s">
        <v>235</v>
      </c>
      <c r="BM157" s="129" t="s">
        <v>333</v>
      </c>
    </row>
    <row r="158" spans="2:65" s="11" customFormat="1" ht="22.95" customHeight="1" x14ac:dyDescent="0.25">
      <c r="B158" s="106"/>
      <c r="D158" s="107" t="s">
        <v>57</v>
      </c>
      <c r="E158" s="116" t="s">
        <v>1240</v>
      </c>
      <c r="F158" s="116" t="s">
        <v>2994</v>
      </c>
      <c r="J158" s="117">
        <f>BK158</f>
        <v>4495.3799999999992</v>
      </c>
      <c r="L158" s="106"/>
      <c r="M158" s="110"/>
      <c r="N158" s="111"/>
      <c r="O158" s="111"/>
      <c r="P158" s="112">
        <f>SUM(P159:P175)</f>
        <v>0</v>
      </c>
      <c r="Q158" s="111"/>
      <c r="R158" s="112">
        <f>SUM(R159:R175)</f>
        <v>0</v>
      </c>
      <c r="S158" s="111"/>
      <c r="T158" s="113">
        <f>SUM(T159:T175)</f>
        <v>0</v>
      </c>
      <c r="AR158" s="107" t="s">
        <v>63</v>
      </c>
      <c r="AT158" s="114" t="s">
        <v>57</v>
      </c>
      <c r="AU158" s="114" t="s">
        <v>63</v>
      </c>
      <c r="AY158" s="107" t="s">
        <v>228</v>
      </c>
      <c r="BK158" s="115">
        <f>SUM(BK159:BK175)</f>
        <v>4495.3799999999992</v>
      </c>
    </row>
    <row r="159" spans="2:65" s="1" customFormat="1" ht="16.5" customHeight="1" x14ac:dyDescent="0.2">
      <c r="B159" s="118"/>
      <c r="C159" s="119" t="s">
        <v>334</v>
      </c>
      <c r="D159" s="119" t="s">
        <v>231</v>
      </c>
      <c r="E159" s="120" t="s">
        <v>2995</v>
      </c>
      <c r="F159" s="121" t="s">
        <v>2996</v>
      </c>
      <c r="G159" s="122" t="s">
        <v>1194</v>
      </c>
      <c r="H159" s="123">
        <v>1</v>
      </c>
      <c r="I159" s="124">
        <v>928.8</v>
      </c>
      <c r="J159" s="124">
        <f t="shared" ref="J159:J175" si="20">ROUND(I159*H159,2)</f>
        <v>928.8</v>
      </c>
      <c r="K159" s="121" t="s">
        <v>1</v>
      </c>
      <c r="L159" s="24"/>
      <c r="M159" s="125" t="s">
        <v>1</v>
      </c>
      <c r="N159" s="126" t="s">
        <v>32</v>
      </c>
      <c r="O159" s="127">
        <v>0</v>
      </c>
      <c r="P159" s="127">
        <f t="shared" ref="P159:P175" si="21">O159*H159</f>
        <v>0</v>
      </c>
      <c r="Q159" s="127">
        <v>0</v>
      </c>
      <c r="R159" s="127">
        <f t="shared" ref="R159:R175" si="22">Q159*H159</f>
        <v>0</v>
      </c>
      <c r="S159" s="127">
        <v>0</v>
      </c>
      <c r="T159" s="128">
        <f t="shared" ref="T159:T175" si="23">S159*H159</f>
        <v>0</v>
      </c>
      <c r="AR159" s="129" t="s">
        <v>235</v>
      </c>
      <c r="AT159" s="129" t="s">
        <v>231</v>
      </c>
      <c r="AU159" s="129" t="s">
        <v>76</v>
      </c>
      <c r="AY159" s="13" t="s">
        <v>228</v>
      </c>
      <c r="BE159" s="130">
        <f t="shared" ref="BE159:BE175" si="24">IF(N159="základná",J159,0)</f>
        <v>0</v>
      </c>
      <c r="BF159" s="130">
        <f t="shared" ref="BF159:BF175" si="25">IF(N159="znížená",J159,0)</f>
        <v>928.8</v>
      </c>
      <c r="BG159" s="130">
        <f t="shared" ref="BG159:BG175" si="26">IF(N159="zákl. prenesená",J159,0)</f>
        <v>0</v>
      </c>
      <c r="BH159" s="130">
        <f t="shared" ref="BH159:BH175" si="27">IF(N159="zníž. prenesená",J159,0)</f>
        <v>0</v>
      </c>
      <c r="BI159" s="130">
        <f t="shared" ref="BI159:BI175" si="28">IF(N159="nulová",J159,0)</f>
        <v>0</v>
      </c>
      <c r="BJ159" s="13" t="s">
        <v>76</v>
      </c>
      <c r="BK159" s="130">
        <f t="shared" ref="BK159:BK175" si="29">ROUND(I159*H159,2)</f>
        <v>928.8</v>
      </c>
      <c r="BL159" s="13" t="s">
        <v>235</v>
      </c>
      <c r="BM159" s="129" t="s">
        <v>337</v>
      </c>
    </row>
    <row r="160" spans="2:65" s="1" customFormat="1" ht="16.5" customHeight="1" x14ac:dyDescent="0.2">
      <c r="B160" s="118"/>
      <c r="C160" s="119" t="s">
        <v>285</v>
      </c>
      <c r="D160" s="119" t="s">
        <v>231</v>
      </c>
      <c r="E160" s="120" t="s">
        <v>2997</v>
      </c>
      <c r="F160" s="121" t="s">
        <v>2998</v>
      </c>
      <c r="G160" s="122" t="s">
        <v>292</v>
      </c>
      <c r="H160" s="123">
        <v>1540</v>
      </c>
      <c r="I160" s="124">
        <v>0.45</v>
      </c>
      <c r="J160" s="124">
        <f t="shared" si="20"/>
        <v>693</v>
      </c>
      <c r="K160" s="121" t="s">
        <v>1</v>
      </c>
      <c r="L160" s="24"/>
      <c r="M160" s="125" t="s">
        <v>1</v>
      </c>
      <c r="N160" s="126" t="s">
        <v>32</v>
      </c>
      <c r="O160" s="127">
        <v>0</v>
      </c>
      <c r="P160" s="127">
        <f t="shared" si="21"/>
        <v>0</v>
      </c>
      <c r="Q160" s="127">
        <v>0</v>
      </c>
      <c r="R160" s="127">
        <f t="shared" si="22"/>
        <v>0</v>
      </c>
      <c r="S160" s="127">
        <v>0</v>
      </c>
      <c r="T160" s="128">
        <f t="shared" si="23"/>
        <v>0</v>
      </c>
      <c r="AR160" s="129" t="s">
        <v>235</v>
      </c>
      <c r="AT160" s="129" t="s">
        <v>231</v>
      </c>
      <c r="AU160" s="129" t="s">
        <v>76</v>
      </c>
      <c r="AY160" s="13" t="s">
        <v>228</v>
      </c>
      <c r="BE160" s="130">
        <f t="shared" si="24"/>
        <v>0</v>
      </c>
      <c r="BF160" s="130">
        <f t="shared" si="25"/>
        <v>693</v>
      </c>
      <c r="BG160" s="130">
        <f t="shared" si="26"/>
        <v>0</v>
      </c>
      <c r="BH160" s="130">
        <f t="shared" si="27"/>
        <v>0</v>
      </c>
      <c r="BI160" s="130">
        <f t="shared" si="28"/>
        <v>0</v>
      </c>
      <c r="BJ160" s="13" t="s">
        <v>76</v>
      </c>
      <c r="BK160" s="130">
        <f t="shared" si="29"/>
        <v>693</v>
      </c>
      <c r="BL160" s="13" t="s">
        <v>235</v>
      </c>
      <c r="BM160" s="129" t="s">
        <v>340</v>
      </c>
    </row>
    <row r="161" spans="2:65" s="1" customFormat="1" ht="16.5" customHeight="1" x14ac:dyDescent="0.2">
      <c r="B161" s="118"/>
      <c r="C161" s="119" t="s">
        <v>341</v>
      </c>
      <c r="D161" s="119" t="s">
        <v>231</v>
      </c>
      <c r="E161" s="120" t="s">
        <v>2999</v>
      </c>
      <c r="F161" s="121" t="s">
        <v>3000</v>
      </c>
      <c r="G161" s="122" t="s">
        <v>292</v>
      </c>
      <c r="H161" s="123">
        <v>260</v>
      </c>
      <c r="I161" s="124">
        <v>0.57999999999999996</v>
      </c>
      <c r="J161" s="124">
        <f t="shared" si="20"/>
        <v>150.80000000000001</v>
      </c>
      <c r="K161" s="121" t="s">
        <v>1</v>
      </c>
      <c r="L161" s="24"/>
      <c r="M161" s="125" t="s">
        <v>1</v>
      </c>
      <c r="N161" s="126" t="s">
        <v>32</v>
      </c>
      <c r="O161" s="127">
        <v>0</v>
      </c>
      <c r="P161" s="127">
        <f t="shared" si="21"/>
        <v>0</v>
      </c>
      <c r="Q161" s="127">
        <v>0</v>
      </c>
      <c r="R161" s="127">
        <f t="shared" si="22"/>
        <v>0</v>
      </c>
      <c r="S161" s="127">
        <v>0</v>
      </c>
      <c r="T161" s="128">
        <f t="shared" si="23"/>
        <v>0</v>
      </c>
      <c r="AR161" s="129" t="s">
        <v>235</v>
      </c>
      <c r="AT161" s="129" t="s">
        <v>231</v>
      </c>
      <c r="AU161" s="129" t="s">
        <v>76</v>
      </c>
      <c r="AY161" s="13" t="s">
        <v>228</v>
      </c>
      <c r="BE161" s="130">
        <f t="shared" si="24"/>
        <v>0</v>
      </c>
      <c r="BF161" s="130">
        <f t="shared" si="25"/>
        <v>150.80000000000001</v>
      </c>
      <c r="BG161" s="130">
        <f t="shared" si="26"/>
        <v>0</v>
      </c>
      <c r="BH161" s="130">
        <f t="shared" si="27"/>
        <v>0</v>
      </c>
      <c r="BI161" s="130">
        <f t="shared" si="28"/>
        <v>0</v>
      </c>
      <c r="BJ161" s="13" t="s">
        <v>76</v>
      </c>
      <c r="BK161" s="130">
        <f t="shared" si="29"/>
        <v>150.80000000000001</v>
      </c>
      <c r="BL161" s="13" t="s">
        <v>235</v>
      </c>
      <c r="BM161" s="129" t="s">
        <v>344</v>
      </c>
    </row>
    <row r="162" spans="2:65" s="1" customFormat="1" ht="16.5" customHeight="1" x14ac:dyDescent="0.2">
      <c r="B162" s="118"/>
      <c r="C162" s="119" t="s">
        <v>288</v>
      </c>
      <c r="D162" s="119" t="s">
        <v>231</v>
      </c>
      <c r="E162" s="120" t="s">
        <v>3001</v>
      </c>
      <c r="F162" s="121" t="s">
        <v>3002</v>
      </c>
      <c r="G162" s="122" t="s">
        <v>292</v>
      </c>
      <c r="H162" s="123">
        <v>340</v>
      </c>
      <c r="I162" s="124">
        <v>0.7</v>
      </c>
      <c r="J162" s="124">
        <f t="shared" si="20"/>
        <v>238</v>
      </c>
      <c r="K162" s="121" t="s">
        <v>1</v>
      </c>
      <c r="L162" s="24"/>
      <c r="M162" s="125" t="s">
        <v>1</v>
      </c>
      <c r="N162" s="126" t="s">
        <v>32</v>
      </c>
      <c r="O162" s="127">
        <v>0</v>
      </c>
      <c r="P162" s="127">
        <f t="shared" si="21"/>
        <v>0</v>
      </c>
      <c r="Q162" s="127">
        <v>0</v>
      </c>
      <c r="R162" s="127">
        <f t="shared" si="22"/>
        <v>0</v>
      </c>
      <c r="S162" s="127">
        <v>0</v>
      </c>
      <c r="T162" s="128">
        <f t="shared" si="23"/>
        <v>0</v>
      </c>
      <c r="AR162" s="129" t="s">
        <v>235</v>
      </c>
      <c r="AT162" s="129" t="s">
        <v>231</v>
      </c>
      <c r="AU162" s="129" t="s">
        <v>76</v>
      </c>
      <c r="AY162" s="13" t="s">
        <v>228</v>
      </c>
      <c r="BE162" s="130">
        <f t="shared" si="24"/>
        <v>0</v>
      </c>
      <c r="BF162" s="130">
        <f t="shared" si="25"/>
        <v>238</v>
      </c>
      <c r="BG162" s="130">
        <f t="shared" si="26"/>
        <v>0</v>
      </c>
      <c r="BH162" s="130">
        <f t="shared" si="27"/>
        <v>0</v>
      </c>
      <c r="BI162" s="130">
        <f t="shared" si="28"/>
        <v>0</v>
      </c>
      <c r="BJ162" s="13" t="s">
        <v>76</v>
      </c>
      <c r="BK162" s="130">
        <f t="shared" si="29"/>
        <v>238</v>
      </c>
      <c r="BL162" s="13" t="s">
        <v>235</v>
      </c>
      <c r="BM162" s="129" t="s">
        <v>347</v>
      </c>
    </row>
    <row r="163" spans="2:65" s="1" customFormat="1" ht="16.5" customHeight="1" x14ac:dyDescent="0.2">
      <c r="B163" s="118"/>
      <c r="C163" s="119" t="s">
        <v>348</v>
      </c>
      <c r="D163" s="119" t="s">
        <v>231</v>
      </c>
      <c r="E163" s="120" t="s">
        <v>3003</v>
      </c>
      <c r="F163" s="121" t="s">
        <v>3004</v>
      </c>
      <c r="G163" s="122" t="s">
        <v>292</v>
      </c>
      <c r="H163" s="123">
        <v>20</v>
      </c>
      <c r="I163" s="124">
        <v>0.86</v>
      </c>
      <c r="J163" s="124">
        <f t="shared" si="20"/>
        <v>17.2</v>
      </c>
      <c r="K163" s="121" t="s">
        <v>1</v>
      </c>
      <c r="L163" s="24"/>
      <c r="M163" s="125" t="s">
        <v>1</v>
      </c>
      <c r="N163" s="126" t="s">
        <v>32</v>
      </c>
      <c r="O163" s="127">
        <v>0</v>
      </c>
      <c r="P163" s="127">
        <f t="shared" si="21"/>
        <v>0</v>
      </c>
      <c r="Q163" s="127">
        <v>0</v>
      </c>
      <c r="R163" s="127">
        <f t="shared" si="22"/>
        <v>0</v>
      </c>
      <c r="S163" s="127">
        <v>0</v>
      </c>
      <c r="T163" s="128">
        <f t="shared" si="23"/>
        <v>0</v>
      </c>
      <c r="AR163" s="129" t="s">
        <v>235</v>
      </c>
      <c r="AT163" s="129" t="s">
        <v>231</v>
      </c>
      <c r="AU163" s="129" t="s">
        <v>76</v>
      </c>
      <c r="AY163" s="13" t="s">
        <v>228</v>
      </c>
      <c r="BE163" s="130">
        <f t="shared" si="24"/>
        <v>0</v>
      </c>
      <c r="BF163" s="130">
        <f t="shared" si="25"/>
        <v>17.2</v>
      </c>
      <c r="BG163" s="130">
        <f t="shared" si="26"/>
        <v>0</v>
      </c>
      <c r="BH163" s="130">
        <f t="shared" si="27"/>
        <v>0</v>
      </c>
      <c r="BI163" s="130">
        <f t="shared" si="28"/>
        <v>0</v>
      </c>
      <c r="BJ163" s="13" t="s">
        <v>76</v>
      </c>
      <c r="BK163" s="130">
        <f t="shared" si="29"/>
        <v>17.2</v>
      </c>
      <c r="BL163" s="13" t="s">
        <v>235</v>
      </c>
      <c r="BM163" s="129" t="s">
        <v>351</v>
      </c>
    </row>
    <row r="164" spans="2:65" s="1" customFormat="1" ht="16.5" customHeight="1" x14ac:dyDescent="0.2">
      <c r="B164" s="118"/>
      <c r="C164" s="119" t="s">
        <v>293</v>
      </c>
      <c r="D164" s="119" t="s">
        <v>231</v>
      </c>
      <c r="E164" s="120" t="s">
        <v>3005</v>
      </c>
      <c r="F164" s="121" t="s">
        <v>3006</v>
      </c>
      <c r="G164" s="122" t="s">
        <v>292</v>
      </c>
      <c r="H164" s="123">
        <v>240</v>
      </c>
      <c r="I164" s="124">
        <v>0.09</v>
      </c>
      <c r="J164" s="124">
        <f t="shared" si="20"/>
        <v>21.6</v>
      </c>
      <c r="K164" s="121" t="s">
        <v>1</v>
      </c>
      <c r="L164" s="24"/>
      <c r="M164" s="125" t="s">
        <v>1</v>
      </c>
      <c r="N164" s="126" t="s">
        <v>32</v>
      </c>
      <c r="O164" s="127">
        <v>0</v>
      </c>
      <c r="P164" s="127">
        <f t="shared" si="21"/>
        <v>0</v>
      </c>
      <c r="Q164" s="127">
        <v>0</v>
      </c>
      <c r="R164" s="127">
        <f t="shared" si="22"/>
        <v>0</v>
      </c>
      <c r="S164" s="127">
        <v>0</v>
      </c>
      <c r="T164" s="128">
        <f t="shared" si="23"/>
        <v>0</v>
      </c>
      <c r="AR164" s="129" t="s">
        <v>235</v>
      </c>
      <c r="AT164" s="129" t="s">
        <v>231</v>
      </c>
      <c r="AU164" s="129" t="s">
        <v>76</v>
      </c>
      <c r="AY164" s="13" t="s">
        <v>228</v>
      </c>
      <c r="BE164" s="130">
        <f t="shared" si="24"/>
        <v>0</v>
      </c>
      <c r="BF164" s="130">
        <f t="shared" si="25"/>
        <v>21.6</v>
      </c>
      <c r="BG164" s="130">
        <f t="shared" si="26"/>
        <v>0</v>
      </c>
      <c r="BH164" s="130">
        <f t="shared" si="27"/>
        <v>0</v>
      </c>
      <c r="BI164" s="130">
        <f t="shared" si="28"/>
        <v>0</v>
      </c>
      <c r="BJ164" s="13" t="s">
        <v>76</v>
      </c>
      <c r="BK164" s="130">
        <f t="shared" si="29"/>
        <v>21.6</v>
      </c>
      <c r="BL164" s="13" t="s">
        <v>235</v>
      </c>
      <c r="BM164" s="129" t="s">
        <v>354</v>
      </c>
    </row>
    <row r="165" spans="2:65" s="1" customFormat="1" ht="16.5" customHeight="1" x14ac:dyDescent="0.2">
      <c r="B165" s="118"/>
      <c r="C165" s="119" t="s">
        <v>355</v>
      </c>
      <c r="D165" s="119" t="s">
        <v>231</v>
      </c>
      <c r="E165" s="120" t="s">
        <v>3007</v>
      </c>
      <c r="F165" s="121" t="s">
        <v>3008</v>
      </c>
      <c r="G165" s="122" t="s">
        <v>292</v>
      </c>
      <c r="H165" s="123">
        <v>20</v>
      </c>
      <c r="I165" s="124">
        <v>0.23</v>
      </c>
      <c r="J165" s="124">
        <f t="shared" si="20"/>
        <v>4.5999999999999996</v>
      </c>
      <c r="K165" s="121" t="s">
        <v>1</v>
      </c>
      <c r="L165" s="24"/>
      <c r="M165" s="125" t="s">
        <v>1</v>
      </c>
      <c r="N165" s="126" t="s">
        <v>32</v>
      </c>
      <c r="O165" s="127">
        <v>0</v>
      </c>
      <c r="P165" s="127">
        <f t="shared" si="21"/>
        <v>0</v>
      </c>
      <c r="Q165" s="127">
        <v>0</v>
      </c>
      <c r="R165" s="127">
        <f t="shared" si="22"/>
        <v>0</v>
      </c>
      <c r="S165" s="127">
        <v>0</v>
      </c>
      <c r="T165" s="128">
        <f t="shared" si="23"/>
        <v>0</v>
      </c>
      <c r="AR165" s="129" t="s">
        <v>235</v>
      </c>
      <c r="AT165" s="129" t="s">
        <v>231</v>
      </c>
      <c r="AU165" s="129" t="s">
        <v>76</v>
      </c>
      <c r="AY165" s="13" t="s">
        <v>228</v>
      </c>
      <c r="BE165" s="130">
        <f t="shared" si="24"/>
        <v>0</v>
      </c>
      <c r="BF165" s="130">
        <f t="shared" si="25"/>
        <v>4.5999999999999996</v>
      </c>
      <c r="BG165" s="130">
        <f t="shared" si="26"/>
        <v>0</v>
      </c>
      <c r="BH165" s="130">
        <f t="shared" si="27"/>
        <v>0</v>
      </c>
      <c r="BI165" s="130">
        <f t="shared" si="28"/>
        <v>0</v>
      </c>
      <c r="BJ165" s="13" t="s">
        <v>76</v>
      </c>
      <c r="BK165" s="130">
        <f t="shared" si="29"/>
        <v>4.5999999999999996</v>
      </c>
      <c r="BL165" s="13" t="s">
        <v>235</v>
      </c>
      <c r="BM165" s="129" t="s">
        <v>358</v>
      </c>
    </row>
    <row r="166" spans="2:65" s="1" customFormat="1" ht="16.5" customHeight="1" x14ac:dyDescent="0.2">
      <c r="B166" s="118"/>
      <c r="C166" s="119" t="s">
        <v>296</v>
      </c>
      <c r="D166" s="119" t="s">
        <v>231</v>
      </c>
      <c r="E166" s="120" t="s">
        <v>3009</v>
      </c>
      <c r="F166" s="121" t="s">
        <v>3010</v>
      </c>
      <c r="G166" s="122" t="s">
        <v>292</v>
      </c>
      <c r="H166" s="123">
        <v>38</v>
      </c>
      <c r="I166" s="124">
        <v>0.49</v>
      </c>
      <c r="J166" s="124">
        <f t="shared" si="20"/>
        <v>18.62</v>
      </c>
      <c r="K166" s="121" t="s">
        <v>1</v>
      </c>
      <c r="L166" s="24"/>
      <c r="M166" s="125" t="s">
        <v>1</v>
      </c>
      <c r="N166" s="126" t="s">
        <v>32</v>
      </c>
      <c r="O166" s="127">
        <v>0</v>
      </c>
      <c r="P166" s="127">
        <f t="shared" si="21"/>
        <v>0</v>
      </c>
      <c r="Q166" s="127">
        <v>0</v>
      </c>
      <c r="R166" s="127">
        <f t="shared" si="22"/>
        <v>0</v>
      </c>
      <c r="S166" s="127">
        <v>0</v>
      </c>
      <c r="T166" s="128">
        <f t="shared" si="23"/>
        <v>0</v>
      </c>
      <c r="AR166" s="129" t="s">
        <v>235</v>
      </c>
      <c r="AT166" s="129" t="s">
        <v>231</v>
      </c>
      <c r="AU166" s="129" t="s">
        <v>76</v>
      </c>
      <c r="AY166" s="13" t="s">
        <v>228</v>
      </c>
      <c r="BE166" s="130">
        <f t="shared" si="24"/>
        <v>0</v>
      </c>
      <c r="BF166" s="130">
        <f t="shared" si="25"/>
        <v>18.62</v>
      </c>
      <c r="BG166" s="130">
        <f t="shared" si="26"/>
        <v>0</v>
      </c>
      <c r="BH166" s="130">
        <f t="shared" si="27"/>
        <v>0</v>
      </c>
      <c r="BI166" s="130">
        <f t="shared" si="28"/>
        <v>0</v>
      </c>
      <c r="BJ166" s="13" t="s">
        <v>76</v>
      </c>
      <c r="BK166" s="130">
        <f t="shared" si="29"/>
        <v>18.62</v>
      </c>
      <c r="BL166" s="13" t="s">
        <v>235</v>
      </c>
      <c r="BM166" s="129" t="s">
        <v>361</v>
      </c>
    </row>
    <row r="167" spans="2:65" s="1" customFormat="1" ht="16.5" customHeight="1" x14ac:dyDescent="0.2">
      <c r="B167" s="118"/>
      <c r="C167" s="119" t="s">
        <v>362</v>
      </c>
      <c r="D167" s="119" t="s">
        <v>231</v>
      </c>
      <c r="E167" s="120" t="s">
        <v>3011</v>
      </c>
      <c r="F167" s="121" t="s">
        <v>3012</v>
      </c>
      <c r="G167" s="122" t="s">
        <v>292</v>
      </c>
      <c r="H167" s="123">
        <v>150</v>
      </c>
      <c r="I167" s="124">
        <v>0.51</v>
      </c>
      <c r="J167" s="124">
        <f t="shared" si="20"/>
        <v>76.5</v>
      </c>
      <c r="K167" s="121" t="s">
        <v>1</v>
      </c>
      <c r="L167" s="24"/>
      <c r="M167" s="125" t="s">
        <v>1</v>
      </c>
      <c r="N167" s="126" t="s">
        <v>32</v>
      </c>
      <c r="O167" s="127">
        <v>0</v>
      </c>
      <c r="P167" s="127">
        <f t="shared" si="21"/>
        <v>0</v>
      </c>
      <c r="Q167" s="127">
        <v>0</v>
      </c>
      <c r="R167" s="127">
        <f t="shared" si="22"/>
        <v>0</v>
      </c>
      <c r="S167" s="127">
        <v>0</v>
      </c>
      <c r="T167" s="128">
        <f t="shared" si="23"/>
        <v>0</v>
      </c>
      <c r="AR167" s="129" t="s">
        <v>235</v>
      </c>
      <c r="AT167" s="129" t="s">
        <v>231</v>
      </c>
      <c r="AU167" s="129" t="s">
        <v>76</v>
      </c>
      <c r="AY167" s="13" t="s">
        <v>228</v>
      </c>
      <c r="BE167" s="130">
        <f t="shared" si="24"/>
        <v>0</v>
      </c>
      <c r="BF167" s="130">
        <f t="shared" si="25"/>
        <v>76.5</v>
      </c>
      <c r="BG167" s="130">
        <f t="shared" si="26"/>
        <v>0</v>
      </c>
      <c r="BH167" s="130">
        <f t="shared" si="27"/>
        <v>0</v>
      </c>
      <c r="BI167" s="130">
        <f t="shared" si="28"/>
        <v>0</v>
      </c>
      <c r="BJ167" s="13" t="s">
        <v>76</v>
      </c>
      <c r="BK167" s="130">
        <f t="shared" si="29"/>
        <v>76.5</v>
      </c>
      <c r="BL167" s="13" t="s">
        <v>235</v>
      </c>
      <c r="BM167" s="129" t="s">
        <v>365</v>
      </c>
    </row>
    <row r="168" spans="2:65" s="1" customFormat="1" ht="16.5" customHeight="1" x14ac:dyDescent="0.2">
      <c r="B168" s="118"/>
      <c r="C168" s="119" t="s">
        <v>300</v>
      </c>
      <c r="D168" s="119" t="s">
        <v>231</v>
      </c>
      <c r="E168" s="120" t="s">
        <v>3013</v>
      </c>
      <c r="F168" s="121" t="s">
        <v>3014</v>
      </c>
      <c r="G168" s="122" t="s">
        <v>292</v>
      </c>
      <c r="H168" s="123">
        <v>120</v>
      </c>
      <c r="I168" s="124">
        <v>0.68</v>
      </c>
      <c r="J168" s="124">
        <f t="shared" si="20"/>
        <v>81.599999999999994</v>
      </c>
      <c r="K168" s="121" t="s">
        <v>1</v>
      </c>
      <c r="L168" s="24"/>
      <c r="M168" s="125" t="s">
        <v>1</v>
      </c>
      <c r="N168" s="126" t="s">
        <v>32</v>
      </c>
      <c r="O168" s="127">
        <v>0</v>
      </c>
      <c r="P168" s="127">
        <f t="shared" si="21"/>
        <v>0</v>
      </c>
      <c r="Q168" s="127">
        <v>0</v>
      </c>
      <c r="R168" s="127">
        <f t="shared" si="22"/>
        <v>0</v>
      </c>
      <c r="S168" s="127">
        <v>0</v>
      </c>
      <c r="T168" s="128">
        <f t="shared" si="23"/>
        <v>0</v>
      </c>
      <c r="AR168" s="129" t="s">
        <v>235</v>
      </c>
      <c r="AT168" s="129" t="s">
        <v>231</v>
      </c>
      <c r="AU168" s="129" t="s">
        <v>76</v>
      </c>
      <c r="AY168" s="13" t="s">
        <v>228</v>
      </c>
      <c r="BE168" s="130">
        <f t="shared" si="24"/>
        <v>0</v>
      </c>
      <c r="BF168" s="130">
        <f t="shared" si="25"/>
        <v>81.599999999999994</v>
      </c>
      <c r="BG168" s="130">
        <f t="shared" si="26"/>
        <v>0</v>
      </c>
      <c r="BH168" s="130">
        <f t="shared" si="27"/>
        <v>0</v>
      </c>
      <c r="BI168" s="130">
        <f t="shared" si="28"/>
        <v>0</v>
      </c>
      <c r="BJ168" s="13" t="s">
        <v>76</v>
      </c>
      <c r="BK168" s="130">
        <f t="shared" si="29"/>
        <v>81.599999999999994</v>
      </c>
      <c r="BL168" s="13" t="s">
        <v>235</v>
      </c>
      <c r="BM168" s="129" t="s">
        <v>368</v>
      </c>
    </row>
    <row r="169" spans="2:65" s="1" customFormat="1" ht="36" customHeight="1" x14ac:dyDescent="0.2">
      <c r="B169" s="118"/>
      <c r="C169" s="119" t="s">
        <v>369</v>
      </c>
      <c r="D169" s="119" t="s">
        <v>231</v>
      </c>
      <c r="E169" s="120" t="s">
        <v>3015</v>
      </c>
      <c r="F169" s="121" t="s">
        <v>3016</v>
      </c>
      <c r="G169" s="122" t="s">
        <v>292</v>
      </c>
      <c r="H169" s="123">
        <v>40</v>
      </c>
      <c r="I169" s="124">
        <v>10.66</v>
      </c>
      <c r="J169" s="124">
        <f t="shared" si="20"/>
        <v>426.4</v>
      </c>
      <c r="K169" s="121" t="s">
        <v>1</v>
      </c>
      <c r="L169" s="24"/>
      <c r="M169" s="125" t="s">
        <v>1</v>
      </c>
      <c r="N169" s="126" t="s">
        <v>32</v>
      </c>
      <c r="O169" s="127">
        <v>0</v>
      </c>
      <c r="P169" s="127">
        <f t="shared" si="21"/>
        <v>0</v>
      </c>
      <c r="Q169" s="127">
        <v>0</v>
      </c>
      <c r="R169" s="127">
        <f t="shared" si="22"/>
        <v>0</v>
      </c>
      <c r="S169" s="127">
        <v>0</v>
      </c>
      <c r="T169" s="128">
        <f t="shared" si="23"/>
        <v>0</v>
      </c>
      <c r="AR169" s="129" t="s">
        <v>235</v>
      </c>
      <c r="AT169" s="129" t="s">
        <v>231</v>
      </c>
      <c r="AU169" s="129" t="s">
        <v>76</v>
      </c>
      <c r="AY169" s="13" t="s">
        <v>228</v>
      </c>
      <c r="BE169" s="130">
        <f t="shared" si="24"/>
        <v>0</v>
      </c>
      <c r="BF169" s="130">
        <f t="shared" si="25"/>
        <v>426.4</v>
      </c>
      <c r="BG169" s="130">
        <f t="shared" si="26"/>
        <v>0</v>
      </c>
      <c r="BH169" s="130">
        <f t="shared" si="27"/>
        <v>0</v>
      </c>
      <c r="BI169" s="130">
        <f t="shared" si="28"/>
        <v>0</v>
      </c>
      <c r="BJ169" s="13" t="s">
        <v>76</v>
      </c>
      <c r="BK169" s="130">
        <f t="shared" si="29"/>
        <v>426.4</v>
      </c>
      <c r="BL169" s="13" t="s">
        <v>235</v>
      </c>
      <c r="BM169" s="129" t="s">
        <v>372</v>
      </c>
    </row>
    <row r="170" spans="2:65" s="1" customFormat="1" ht="36" customHeight="1" x14ac:dyDescent="0.2">
      <c r="B170" s="118"/>
      <c r="C170" s="119" t="s">
        <v>303</v>
      </c>
      <c r="D170" s="119" t="s">
        <v>231</v>
      </c>
      <c r="E170" s="120" t="s">
        <v>3017</v>
      </c>
      <c r="F170" s="121" t="s">
        <v>3018</v>
      </c>
      <c r="G170" s="122" t="s">
        <v>292</v>
      </c>
      <c r="H170" s="123">
        <v>20</v>
      </c>
      <c r="I170" s="124">
        <v>12.11</v>
      </c>
      <c r="J170" s="124">
        <f t="shared" si="20"/>
        <v>242.2</v>
      </c>
      <c r="K170" s="121" t="s">
        <v>1</v>
      </c>
      <c r="L170" s="24"/>
      <c r="M170" s="125" t="s">
        <v>1</v>
      </c>
      <c r="N170" s="126" t="s">
        <v>32</v>
      </c>
      <c r="O170" s="127">
        <v>0</v>
      </c>
      <c r="P170" s="127">
        <f t="shared" si="21"/>
        <v>0</v>
      </c>
      <c r="Q170" s="127">
        <v>0</v>
      </c>
      <c r="R170" s="127">
        <f t="shared" si="22"/>
        <v>0</v>
      </c>
      <c r="S170" s="127">
        <v>0</v>
      </c>
      <c r="T170" s="128">
        <f t="shared" si="23"/>
        <v>0</v>
      </c>
      <c r="AR170" s="129" t="s">
        <v>235</v>
      </c>
      <c r="AT170" s="129" t="s">
        <v>231</v>
      </c>
      <c r="AU170" s="129" t="s">
        <v>76</v>
      </c>
      <c r="AY170" s="13" t="s">
        <v>228</v>
      </c>
      <c r="BE170" s="130">
        <f t="shared" si="24"/>
        <v>0</v>
      </c>
      <c r="BF170" s="130">
        <f t="shared" si="25"/>
        <v>242.2</v>
      </c>
      <c r="BG170" s="130">
        <f t="shared" si="26"/>
        <v>0</v>
      </c>
      <c r="BH170" s="130">
        <f t="shared" si="27"/>
        <v>0</v>
      </c>
      <c r="BI170" s="130">
        <f t="shared" si="28"/>
        <v>0</v>
      </c>
      <c r="BJ170" s="13" t="s">
        <v>76</v>
      </c>
      <c r="BK170" s="130">
        <f t="shared" si="29"/>
        <v>242.2</v>
      </c>
      <c r="BL170" s="13" t="s">
        <v>235</v>
      </c>
      <c r="BM170" s="129" t="s">
        <v>375</v>
      </c>
    </row>
    <row r="171" spans="2:65" s="1" customFormat="1" ht="16.5" customHeight="1" x14ac:dyDescent="0.2">
      <c r="B171" s="118"/>
      <c r="C171" s="119" t="s">
        <v>376</v>
      </c>
      <c r="D171" s="119" t="s">
        <v>231</v>
      </c>
      <c r="E171" s="120" t="s">
        <v>3019</v>
      </c>
      <c r="F171" s="121" t="s">
        <v>3020</v>
      </c>
      <c r="G171" s="122" t="s">
        <v>284</v>
      </c>
      <c r="H171" s="123">
        <v>1</v>
      </c>
      <c r="I171" s="124">
        <v>57.4</v>
      </c>
      <c r="J171" s="124">
        <f t="shared" si="20"/>
        <v>57.4</v>
      </c>
      <c r="K171" s="121" t="s">
        <v>1</v>
      </c>
      <c r="L171" s="24"/>
      <c r="M171" s="125" t="s">
        <v>1</v>
      </c>
      <c r="N171" s="126" t="s">
        <v>32</v>
      </c>
      <c r="O171" s="127">
        <v>0</v>
      </c>
      <c r="P171" s="127">
        <f t="shared" si="21"/>
        <v>0</v>
      </c>
      <c r="Q171" s="127">
        <v>0</v>
      </c>
      <c r="R171" s="127">
        <f t="shared" si="22"/>
        <v>0</v>
      </c>
      <c r="S171" s="127">
        <v>0</v>
      </c>
      <c r="T171" s="128">
        <f t="shared" si="23"/>
        <v>0</v>
      </c>
      <c r="AR171" s="129" t="s">
        <v>235</v>
      </c>
      <c r="AT171" s="129" t="s">
        <v>231</v>
      </c>
      <c r="AU171" s="129" t="s">
        <v>76</v>
      </c>
      <c r="AY171" s="13" t="s">
        <v>228</v>
      </c>
      <c r="BE171" s="130">
        <f t="shared" si="24"/>
        <v>0</v>
      </c>
      <c r="BF171" s="130">
        <f t="shared" si="25"/>
        <v>57.4</v>
      </c>
      <c r="BG171" s="130">
        <f t="shared" si="26"/>
        <v>0</v>
      </c>
      <c r="BH171" s="130">
        <f t="shared" si="27"/>
        <v>0</v>
      </c>
      <c r="BI171" s="130">
        <f t="shared" si="28"/>
        <v>0</v>
      </c>
      <c r="BJ171" s="13" t="s">
        <v>76</v>
      </c>
      <c r="BK171" s="130">
        <f t="shared" si="29"/>
        <v>57.4</v>
      </c>
      <c r="BL171" s="13" t="s">
        <v>235</v>
      </c>
      <c r="BM171" s="129" t="s">
        <v>379</v>
      </c>
    </row>
    <row r="172" spans="2:65" s="1" customFormat="1" ht="16.5" customHeight="1" x14ac:dyDescent="0.2">
      <c r="B172" s="118"/>
      <c r="C172" s="119" t="s">
        <v>308</v>
      </c>
      <c r="D172" s="119" t="s">
        <v>231</v>
      </c>
      <c r="E172" s="120" t="s">
        <v>3021</v>
      </c>
      <c r="F172" s="121" t="s">
        <v>3022</v>
      </c>
      <c r="G172" s="122" t="s">
        <v>1194</v>
      </c>
      <c r="H172" s="123">
        <v>1</v>
      </c>
      <c r="I172" s="124">
        <v>90.56</v>
      </c>
      <c r="J172" s="124">
        <f t="shared" si="20"/>
        <v>90.56</v>
      </c>
      <c r="K172" s="121" t="s">
        <v>1</v>
      </c>
      <c r="L172" s="24"/>
      <c r="M172" s="125" t="s">
        <v>1</v>
      </c>
      <c r="N172" s="126" t="s">
        <v>32</v>
      </c>
      <c r="O172" s="127">
        <v>0</v>
      </c>
      <c r="P172" s="127">
        <f t="shared" si="21"/>
        <v>0</v>
      </c>
      <c r="Q172" s="127">
        <v>0</v>
      </c>
      <c r="R172" s="127">
        <f t="shared" si="22"/>
        <v>0</v>
      </c>
      <c r="S172" s="127">
        <v>0</v>
      </c>
      <c r="T172" s="128">
        <f t="shared" si="23"/>
        <v>0</v>
      </c>
      <c r="AR172" s="129" t="s">
        <v>235</v>
      </c>
      <c r="AT172" s="129" t="s">
        <v>231</v>
      </c>
      <c r="AU172" s="129" t="s">
        <v>76</v>
      </c>
      <c r="AY172" s="13" t="s">
        <v>228</v>
      </c>
      <c r="BE172" s="130">
        <f t="shared" si="24"/>
        <v>0</v>
      </c>
      <c r="BF172" s="130">
        <f t="shared" si="25"/>
        <v>90.56</v>
      </c>
      <c r="BG172" s="130">
        <f t="shared" si="26"/>
        <v>0</v>
      </c>
      <c r="BH172" s="130">
        <f t="shared" si="27"/>
        <v>0</v>
      </c>
      <c r="BI172" s="130">
        <f t="shared" si="28"/>
        <v>0</v>
      </c>
      <c r="BJ172" s="13" t="s">
        <v>76</v>
      </c>
      <c r="BK172" s="130">
        <f t="shared" si="29"/>
        <v>90.56</v>
      </c>
      <c r="BL172" s="13" t="s">
        <v>235</v>
      </c>
      <c r="BM172" s="129" t="s">
        <v>382</v>
      </c>
    </row>
    <row r="173" spans="2:65" s="1" customFormat="1" ht="16.5" customHeight="1" x14ac:dyDescent="0.2">
      <c r="B173" s="118"/>
      <c r="C173" s="119" t="s">
        <v>383</v>
      </c>
      <c r="D173" s="119" t="s">
        <v>231</v>
      </c>
      <c r="E173" s="120" t="s">
        <v>3023</v>
      </c>
      <c r="F173" s="121" t="s">
        <v>3024</v>
      </c>
      <c r="G173" s="122" t="s">
        <v>292</v>
      </c>
      <c r="H173" s="123">
        <v>40</v>
      </c>
      <c r="I173" s="124">
        <v>2.79</v>
      </c>
      <c r="J173" s="124">
        <f t="shared" si="20"/>
        <v>111.6</v>
      </c>
      <c r="K173" s="121" t="s">
        <v>1</v>
      </c>
      <c r="L173" s="24"/>
      <c r="M173" s="125" t="s">
        <v>1</v>
      </c>
      <c r="N173" s="126" t="s">
        <v>32</v>
      </c>
      <c r="O173" s="127">
        <v>0</v>
      </c>
      <c r="P173" s="127">
        <f t="shared" si="21"/>
        <v>0</v>
      </c>
      <c r="Q173" s="127">
        <v>0</v>
      </c>
      <c r="R173" s="127">
        <f t="shared" si="22"/>
        <v>0</v>
      </c>
      <c r="S173" s="127">
        <v>0</v>
      </c>
      <c r="T173" s="128">
        <f t="shared" si="23"/>
        <v>0</v>
      </c>
      <c r="AR173" s="129" t="s">
        <v>235</v>
      </c>
      <c r="AT173" s="129" t="s">
        <v>231</v>
      </c>
      <c r="AU173" s="129" t="s">
        <v>76</v>
      </c>
      <c r="AY173" s="13" t="s">
        <v>228</v>
      </c>
      <c r="BE173" s="130">
        <f t="shared" si="24"/>
        <v>0</v>
      </c>
      <c r="BF173" s="130">
        <f t="shared" si="25"/>
        <v>111.6</v>
      </c>
      <c r="BG173" s="130">
        <f t="shared" si="26"/>
        <v>0</v>
      </c>
      <c r="BH173" s="130">
        <f t="shared" si="27"/>
        <v>0</v>
      </c>
      <c r="BI173" s="130">
        <f t="shared" si="28"/>
        <v>0</v>
      </c>
      <c r="BJ173" s="13" t="s">
        <v>76</v>
      </c>
      <c r="BK173" s="130">
        <f t="shared" si="29"/>
        <v>111.6</v>
      </c>
      <c r="BL173" s="13" t="s">
        <v>235</v>
      </c>
      <c r="BM173" s="129" t="s">
        <v>386</v>
      </c>
    </row>
    <row r="174" spans="2:65" s="1" customFormat="1" ht="16.5" customHeight="1" x14ac:dyDescent="0.2">
      <c r="B174" s="118"/>
      <c r="C174" s="119" t="s">
        <v>312</v>
      </c>
      <c r="D174" s="119" t="s">
        <v>231</v>
      </c>
      <c r="E174" s="120" t="s">
        <v>3025</v>
      </c>
      <c r="F174" s="121" t="s">
        <v>3026</v>
      </c>
      <c r="G174" s="122" t="s">
        <v>292</v>
      </c>
      <c r="H174" s="123">
        <v>120</v>
      </c>
      <c r="I174" s="124">
        <v>0.7</v>
      </c>
      <c r="J174" s="124">
        <f t="shared" si="20"/>
        <v>84</v>
      </c>
      <c r="K174" s="121" t="s">
        <v>1</v>
      </c>
      <c r="L174" s="24"/>
      <c r="M174" s="125" t="s">
        <v>1</v>
      </c>
      <c r="N174" s="126" t="s">
        <v>32</v>
      </c>
      <c r="O174" s="127">
        <v>0</v>
      </c>
      <c r="P174" s="127">
        <f t="shared" si="21"/>
        <v>0</v>
      </c>
      <c r="Q174" s="127">
        <v>0</v>
      </c>
      <c r="R174" s="127">
        <f t="shared" si="22"/>
        <v>0</v>
      </c>
      <c r="S174" s="127">
        <v>0</v>
      </c>
      <c r="T174" s="128">
        <f t="shared" si="23"/>
        <v>0</v>
      </c>
      <c r="AR174" s="129" t="s">
        <v>235</v>
      </c>
      <c r="AT174" s="129" t="s">
        <v>231</v>
      </c>
      <c r="AU174" s="129" t="s">
        <v>76</v>
      </c>
      <c r="AY174" s="13" t="s">
        <v>228</v>
      </c>
      <c r="BE174" s="130">
        <f t="shared" si="24"/>
        <v>0</v>
      </c>
      <c r="BF174" s="130">
        <f t="shared" si="25"/>
        <v>84</v>
      </c>
      <c r="BG174" s="130">
        <f t="shared" si="26"/>
        <v>0</v>
      </c>
      <c r="BH174" s="130">
        <f t="shared" si="27"/>
        <v>0</v>
      </c>
      <c r="BI174" s="130">
        <f t="shared" si="28"/>
        <v>0</v>
      </c>
      <c r="BJ174" s="13" t="s">
        <v>76</v>
      </c>
      <c r="BK174" s="130">
        <f t="shared" si="29"/>
        <v>84</v>
      </c>
      <c r="BL174" s="13" t="s">
        <v>235</v>
      </c>
      <c r="BM174" s="129" t="s">
        <v>389</v>
      </c>
    </row>
    <row r="175" spans="2:65" s="1" customFormat="1" ht="36" customHeight="1" x14ac:dyDescent="0.2">
      <c r="B175" s="118"/>
      <c r="C175" s="119" t="s">
        <v>390</v>
      </c>
      <c r="D175" s="119" t="s">
        <v>231</v>
      </c>
      <c r="E175" s="120" t="s">
        <v>4244</v>
      </c>
      <c r="F175" s="121" t="s">
        <v>4245</v>
      </c>
      <c r="G175" s="122" t="s">
        <v>292</v>
      </c>
      <c r="H175" s="123">
        <v>50</v>
      </c>
      <c r="I175" s="124">
        <v>25.05</v>
      </c>
      <c r="J175" s="124">
        <f t="shared" si="20"/>
        <v>1252.5</v>
      </c>
      <c r="K175" s="121" t="s">
        <v>1</v>
      </c>
      <c r="L175" s="24"/>
      <c r="M175" s="125" t="s">
        <v>1</v>
      </c>
      <c r="N175" s="126" t="s">
        <v>32</v>
      </c>
      <c r="O175" s="127">
        <v>0</v>
      </c>
      <c r="P175" s="127">
        <f t="shared" si="21"/>
        <v>0</v>
      </c>
      <c r="Q175" s="127">
        <v>0</v>
      </c>
      <c r="R175" s="127">
        <f t="shared" si="22"/>
        <v>0</v>
      </c>
      <c r="S175" s="127">
        <v>0</v>
      </c>
      <c r="T175" s="128">
        <f t="shared" si="23"/>
        <v>0</v>
      </c>
      <c r="AR175" s="129" t="s">
        <v>235</v>
      </c>
      <c r="AT175" s="129" t="s">
        <v>231</v>
      </c>
      <c r="AU175" s="129" t="s">
        <v>76</v>
      </c>
      <c r="AY175" s="13" t="s">
        <v>228</v>
      </c>
      <c r="BE175" s="130">
        <f t="shared" si="24"/>
        <v>0</v>
      </c>
      <c r="BF175" s="130">
        <f t="shared" si="25"/>
        <v>1252.5</v>
      </c>
      <c r="BG175" s="130">
        <f t="shared" si="26"/>
        <v>0</v>
      </c>
      <c r="BH175" s="130">
        <f t="shared" si="27"/>
        <v>0</v>
      </c>
      <c r="BI175" s="130">
        <f t="shared" si="28"/>
        <v>0</v>
      </c>
      <c r="BJ175" s="13" t="s">
        <v>76</v>
      </c>
      <c r="BK175" s="130">
        <f t="shared" si="29"/>
        <v>1252.5</v>
      </c>
      <c r="BL175" s="13" t="s">
        <v>235</v>
      </c>
      <c r="BM175" s="129" t="s">
        <v>393</v>
      </c>
    </row>
    <row r="176" spans="2:65" s="11" customFormat="1" ht="22.95" customHeight="1" x14ac:dyDescent="0.25">
      <c r="B176" s="106"/>
      <c r="D176" s="107" t="s">
        <v>57</v>
      </c>
      <c r="E176" s="116" t="s">
        <v>1247</v>
      </c>
      <c r="F176" s="116" t="s">
        <v>3027</v>
      </c>
      <c r="J176" s="117">
        <f>BK176</f>
        <v>5047.3900000000003</v>
      </c>
      <c r="L176" s="106"/>
      <c r="M176" s="110"/>
      <c r="N176" s="111"/>
      <c r="O176" s="111"/>
      <c r="P176" s="112">
        <f>SUM(P177:P190)</f>
        <v>0</v>
      </c>
      <c r="Q176" s="111"/>
      <c r="R176" s="112">
        <f>SUM(R177:R190)</f>
        <v>0</v>
      </c>
      <c r="S176" s="111"/>
      <c r="T176" s="113">
        <f>SUM(T177:T190)</f>
        <v>0</v>
      </c>
      <c r="AR176" s="107" t="s">
        <v>63</v>
      </c>
      <c r="AT176" s="114" t="s">
        <v>57</v>
      </c>
      <c r="AU176" s="114" t="s">
        <v>63</v>
      </c>
      <c r="AY176" s="107" t="s">
        <v>228</v>
      </c>
      <c r="BK176" s="115">
        <f>SUM(BK177:BK190)</f>
        <v>5047.3900000000003</v>
      </c>
    </row>
    <row r="177" spans="2:65" s="1" customFormat="1" ht="16.5" customHeight="1" x14ac:dyDescent="0.2">
      <c r="B177" s="118"/>
      <c r="C177" s="119" t="s">
        <v>316</v>
      </c>
      <c r="D177" s="119" t="s">
        <v>231</v>
      </c>
      <c r="E177" s="120" t="s">
        <v>3028</v>
      </c>
      <c r="F177" s="121" t="s">
        <v>3029</v>
      </c>
      <c r="G177" s="122" t="s">
        <v>1194</v>
      </c>
      <c r="H177" s="123">
        <v>1</v>
      </c>
      <c r="I177" s="124">
        <v>104.49</v>
      </c>
      <c r="J177" s="124">
        <f t="shared" ref="J177:J190" si="30">ROUND(I177*H177,2)</f>
        <v>104.49</v>
      </c>
      <c r="K177" s="121" t="s">
        <v>1</v>
      </c>
      <c r="L177" s="24"/>
      <c r="M177" s="125" t="s">
        <v>1</v>
      </c>
      <c r="N177" s="126" t="s">
        <v>32</v>
      </c>
      <c r="O177" s="127">
        <v>0</v>
      </c>
      <c r="P177" s="127">
        <f t="shared" ref="P177:P190" si="31">O177*H177</f>
        <v>0</v>
      </c>
      <c r="Q177" s="127">
        <v>0</v>
      </c>
      <c r="R177" s="127">
        <f t="shared" ref="R177:R190" si="32">Q177*H177</f>
        <v>0</v>
      </c>
      <c r="S177" s="127">
        <v>0</v>
      </c>
      <c r="T177" s="128">
        <f t="shared" ref="T177:T190" si="33">S177*H177</f>
        <v>0</v>
      </c>
      <c r="AR177" s="129" t="s">
        <v>235</v>
      </c>
      <c r="AT177" s="129" t="s">
        <v>231</v>
      </c>
      <c r="AU177" s="129" t="s">
        <v>76</v>
      </c>
      <c r="AY177" s="13" t="s">
        <v>228</v>
      </c>
      <c r="BE177" s="130">
        <f t="shared" ref="BE177:BE190" si="34">IF(N177="základná",J177,0)</f>
        <v>0</v>
      </c>
      <c r="BF177" s="130">
        <f t="shared" ref="BF177:BF190" si="35">IF(N177="znížená",J177,0)</f>
        <v>104.49</v>
      </c>
      <c r="BG177" s="130">
        <f t="shared" ref="BG177:BG190" si="36">IF(N177="zákl. prenesená",J177,0)</f>
        <v>0</v>
      </c>
      <c r="BH177" s="130">
        <f t="shared" ref="BH177:BH190" si="37">IF(N177="zníž. prenesená",J177,0)</f>
        <v>0</v>
      </c>
      <c r="BI177" s="130">
        <f t="shared" ref="BI177:BI190" si="38">IF(N177="nulová",J177,0)</f>
        <v>0</v>
      </c>
      <c r="BJ177" s="13" t="s">
        <v>76</v>
      </c>
      <c r="BK177" s="130">
        <f t="shared" ref="BK177:BK190" si="39">ROUND(I177*H177,2)</f>
        <v>104.49</v>
      </c>
      <c r="BL177" s="13" t="s">
        <v>235</v>
      </c>
      <c r="BM177" s="129" t="s">
        <v>396</v>
      </c>
    </row>
    <row r="178" spans="2:65" s="1" customFormat="1" ht="16.5" customHeight="1" x14ac:dyDescent="0.2">
      <c r="B178" s="118"/>
      <c r="C178" s="119" t="s">
        <v>397</v>
      </c>
      <c r="D178" s="119" t="s">
        <v>231</v>
      </c>
      <c r="E178" s="120" t="s">
        <v>3030</v>
      </c>
      <c r="F178" s="121" t="s">
        <v>3031</v>
      </c>
      <c r="G178" s="122" t="s">
        <v>292</v>
      </c>
      <c r="H178" s="123">
        <v>2140</v>
      </c>
      <c r="I178" s="124">
        <v>0.96</v>
      </c>
      <c r="J178" s="124">
        <f t="shared" si="30"/>
        <v>2054.4</v>
      </c>
      <c r="K178" s="121" t="s">
        <v>1</v>
      </c>
      <c r="L178" s="24"/>
      <c r="M178" s="125" t="s">
        <v>1</v>
      </c>
      <c r="N178" s="126" t="s">
        <v>32</v>
      </c>
      <c r="O178" s="127">
        <v>0</v>
      </c>
      <c r="P178" s="127">
        <f t="shared" si="31"/>
        <v>0</v>
      </c>
      <c r="Q178" s="127">
        <v>0</v>
      </c>
      <c r="R178" s="127">
        <f t="shared" si="32"/>
        <v>0</v>
      </c>
      <c r="S178" s="127">
        <v>0</v>
      </c>
      <c r="T178" s="128">
        <f t="shared" si="33"/>
        <v>0</v>
      </c>
      <c r="AR178" s="129" t="s">
        <v>235</v>
      </c>
      <c r="AT178" s="129" t="s">
        <v>231</v>
      </c>
      <c r="AU178" s="129" t="s">
        <v>76</v>
      </c>
      <c r="AY178" s="13" t="s">
        <v>228</v>
      </c>
      <c r="BE178" s="130">
        <f t="shared" si="34"/>
        <v>0</v>
      </c>
      <c r="BF178" s="130">
        <f t="shared" si="35"/>
        <v>2054.4</v>
      </c>
      <c r="BG178" s="130">
        <f t="shared" si="36"/>
        <v>0</v>
      </c>
      <c r="BH178" s="130">
        <f t="shared" si="37"/>
        <v>0</v>
      </c>
      <c r="BI178" s="130">
        <f t="shared" si="38"/>
        <v>0</v>
      </c>
      <c r="BJ178" s="13" t="s">
        <v>76</v>
      </c>
      <c r="BK178" s="130">
        <f t="shared" si="39"/>
        <v>2054.4</v>
      </c>
      <c r="BL178" s="13" t="s">
        <v>235</v>
      </c>
      <c r="BM178" s="129" t="s">
        <v>400</v>
      </c>
    </row>
    <row r="179" spans="2:65" s="1" customFormat="1" ht="16.5" customHeight="1" x14ac:dyDescent="0.2">
      <c r="B179" s="118"/>
      <c r="C179" s="119" t="s">
        <v>319</v>
      </c>
      <c r="D179" s="119" t="s">
        <v>231</v>
      </c>
      <c r="E179" s="120" t="s">
        <v>3032</v>
      </c>
      <c r="F179" s="121" t="s">
        <v>3033</v>
      </c>
      <c r="G179" s="122" t="s">
        <v>292</v>
      </c>
      <c r="H179" s="123">
        <v>20</v>
      </c>
      <c r="I179" s="124">
        <v>1.24</v>
      </c>
      <c r="J179" s="124">
        <f t="shared" si="30"/>
        <v>24.8</v>
      </c>
      <c r="K179" s="121" t="s">
        <v>1</v>
      </c>
      <c r="L179" s="24"/>
      <c r="M179" s="125" t="s">
        <v>1</v>
      </c>
      <c r="N179" s="126" t="s">
        <v>32</v>
      </c>
      <c r="O179" s="127">
        <v>0</v>
      </c>
      <c r="P179" s="127">
        <f t="shared" si="31"/>
        <v>0</v>
      </c>
      <c r="Q179" s="127">
        <v>0</v>
      </c>
      <c r="R179" s="127">
        <f t="shared" si="32"/>
        <v>0</v>
      </c>
      <c r="S179" s="127">
        <v>0</v>
      </c>
      <c r="T179" s="128">
        <f t="shared" si="33"/>
        <v>0</v>
      </c>
      <c r="AR179" s="129" t="s">
        <v>235</v>
      </c>
      <c r="AT179" s="129" t="s">
        <v>231</v>
      </c>
      <c r="AU179" s="129" t="s">
        <v>76</v>
      </c>
      <c r="AY179" s="13" t="s">
        <v>228</v>
      </c>
      <c r="BE179" s="130">
        <f t="shared" si="34"/>
        <v>0</v>
      </c>
      <c r="BF179" s="130">
        <f t="shared" si="35"/>
        <v>24.8</v>
      </c>
      <c r="BG179" s="130">
        <f t="shared" si="36"/>
        <v>0</v>
      </c>
      <c r="BH179" s="130">
        <f t="shared" si="37"/>
        <v>0</v>
      </c>
      <c r="BI179" s="130">
        <f t="shared" si="38"/>
        <v>0</v>
      </c>
      <c r="BJ179" s="13" t="s">
        <v>76</v>
      </c>
      <c r="BK179" s="130">
        <f t="shared" si="39"/>
        <v>24.8</v>
      </c>
      <c r="BL179" s="13" t="s">
        <v>235</v>
      </c>
      <c r="BM179" s="129" t="s">
        <v>404</v>
      </c>
    </row>
    <row r="180" spans="2:65" s="1" customFormat="1" ht="16.5" customHeight="1" x14ac:dyDescent="0.2">
      <c r="B180" s="118"/>
      <c r="C180" s="119" t="s">
        <v>407</v>
      </c>
      <c r="D180" s="119" t="s">
        <v>231</v>
      </c>
      <c r="E180" s="120" t="s">
        <v>3034</v>
      </c>
      <c r="F180" s="121" t="s">
        <v>3035</v>
      </c>
      <c r="G180" s="122" t="s">
        <v>292</v>
      </c>
      <c r="H180" s="123">
        <v>298</v>
      </c>
      <c r="I180" s="124">
        <v>0.68</v>
      </c>
      <c r="J180" s="124">
        <f t="shared" si="30"/>
        <v>202.64</v>
      </c>
      <c r="K180" s="121" t="s">
        <v>1</v>
      </c>
      <c r="L180" s="24"/>
      <c r="M180" s="125" t="s">
        <v>1</v>
      </c>
      <c r="N180" s="126" t="s">
        <v>32</v>
      </c>
      <c r="O180" s="127">
        <v>0</v>
      </c>
      <c r="P180" s="127">
        <f t="shared" si="31"/>
        <v>0</v>
      </c>
      <c r="Q180" s="127">
        <v>0</v>
      </c>
      <c r="R180" s="127">
        <f t="shared" si="32"/>
        <v>0</v>
      </c>
      <c r="S180" s="127">
        <v>0</v>
      </c>
      <c r="T180" s="128">
        <f t="shared" si="33"/>
        <v>0</v>
      </c>
      <c r="AR180" s="129" t="s">
        <v>235</v>
      </c>
      <c r="AT180" s="129" t="s">
        <v>231</v>
      </c>
      <c r="AU180" s="129" t="s">
        <v>76</v>
      </c>
      <c r="AY180" s="13" t="s">
        <v>228</v>
      </c>
      <c r="BE180" s="130">
        <f t="shared" si="34"/>
        <v>0</v>
      </c>
      <c r="BF180" s="130">
        <f t="shared" si="35"/>
        <v>202.64</v>
      </c>
      <c r="BG180" s="130">
        <f t="shared" si="36"/>
        <v>0</v>
      </c>
      <c r="BH180" s="130">
        <f t="shared" si="37"/>
        <v>0</v>
      </c>
      <c r="BI180" s="130">
        <f t="shared" si="38"/>
        <v>0</v>
      </c>
      <c r="BJ180" s="13" t="s">
        <v>76</v>
      </c>
      <c r="BK180" s="130">
        <f t="shared" si="39"/>
        <v>202.64</v>
      </c>
      <c r="BL180" s="13" t="s">
        <v>235</v>
      </c>
      <c r="BM180" s="129" t="s">
        <v>410</v>
      </c>
    </row>
    <row r="181" spans="2:65" s="1" customFormat="1" ht="16.5" customHeight="1" x14ac:dyDescent="0.2">
      <c r="B181" s="118"/>
      <c r="C181" s="119" t="s">
        <v>323</v>
      </c>
      <c r="D181" s="119" t="s">
        <v>231</v>
      </c>
      <c r="E181" s="120" t="s">
        <v>3036</v>
      </c>
      <c r="F181" s="121" t="s">
        <v>3037</v>
      </c>
      <c r="G181" s="122" t="s">
        <v>292</v>
      </c>
      <c r="H181" s="123">
        <v>150</v>
      </c>
      <c r="I181" s="124">
        <v>1.46</v>
      </c>
      <c r="J181" s="124">
        <f t="shared" si="30"/>
        <v>219</v>
      </c>
      <c r="K181" s="121" t="s">
        <v>1</v>
      </c>
      <c r="L181" s="24"/>
      <c r="M181" s="125" t="s">
        <v>1</v>
      </c>
      <c r="N181" s="126" t="s">
        <v>32</v>
      </c>
      <c r="O181" s="127">
        <v>0</v>
      </c>
      <c r="P181" s="127">
        <f t="shared" si="31"/>
        <v>0</v>
      </c>
      <c r="Q181" s="127">
        <v>0</v>
      </c>
      <c r="R181" s="127">
        <f t="shared" si="32"/>
        <v>0</v>
      </c>
      <c r="S181" s="127">
        <v>0</v>
      </c>
      <c r="T181" s="128">
        <f t="shared" si="33"/>
        <v>0</v>
      </c>
      <c r="AR181" s="129" t="s">
        <v>235</v>
      </c>
      <c r="AT181" s="129" t="s">
        <v>231</v>
      </c>
      <c r="AU181" s="129" t="s">
        <v>76</v>
      </c>
      <c r="AY181" s="13" t="s">
        <v>228</v>
      </c>
      <c r="BE181" s="130">
        <f t="shared" si="34"/>
        <v>0</v>
      </c>
      <c r="BF181" s="130">
        <f t="shared" si="35"/>
        <v>219</v>
      </c>
      <c r="BG181" s="130">
        <f t="shared" si="36"/>
        <v>0</v>
      </c>
      <c r="BH181" s="130">
        <f t="shared" si="37"/>
        <v>0</v>
      </c>
      <c r="BI181" s="130">
        <f t="shared" si="38"/>
        <v>0</v>
      </c>
      <c r="BJ181" s="13" t="s">
        <v>76</v>
      </c>
      <c r="BK181" s="130">
        <f t="shared" si="39"/>
        <v>219</v>
      </c>
      <c r="BL181" s="13" t="s">
        <v>235</v>
      </c>
      <c r="BM181" s="129" t="s">
        <v>414</v>
      </c>
    </row>
    <row r="182" spans="2:65" s="1" customFormat="1" ht="16.5" customHeight="1" x14ac:dyDescent="0.2">
      <c r="B182" s="118"/>
      <c r="C182" s="119" t="s">
        <v>415</v>
      </c>
      <c r="D182" s="119" t="s">
        <v>231</v>
      </c>
      <c r="E182" s="120" t="s">
        <v>3038</v>
      </c>
      <c r="F182" s="121" t="s">
        <v>3039</v>
      </c>
      <c r="G182" s="122" t="s">
        <v>292</v>
      </c>
      <c r="H182" s="123">
        <v>120</v>
      </c>
      <c r="I182" s="124">
        <v>1.6</v>
      </c>
      <c r="J182" s="124">
        <f t="shared" si="30"/>
        <v>192</v>
      </c>
      <c r="K182" s="121" t="s">
        <v>1</v>
      </c>
      <c r="L182" s="24"/>
      <c r="M182" s="125" t="s">
        <v>1</v>
      </c>
      <c r="N182" s="126" t="s">
        <v>32</v>
      </c>
      <c r="O182" s="127">
        <v>0</v>
      </c>
      <c r="P182" s="127">
        <f t="shared" si="31"/>
        <v>0</v>
      </c>
      <c r="Q182" s="127">
        <v>0</v>
      </c>
      <c r="R182" s="127">
        <f t="shared" si="32"/>
        <v>0</v>
      </c>
      <c r="S182" s="127">
        <v>0</v>
      </c>
      <c r="T182" s="128">
        <f t="shared" si="33"/>
        <v>0</v>
      </c>
      <c r="AR182" s="129" t="s">
        <v>235</v>
      </c>
      <c r="AT182" s="129" t="s">
        <v>231</v>
      </c>
      <c r="AU182" s="129" t="s">
        <v>76</v>
      </c>
      <c r="AY182" s="13" t="s">
        <v>228</v>
      </c>
      <c r="BE182" s="130">
        <f t="shared" si="34"/>
        <v>0</v>
      </c>
      <c r="BF182" s="130">
        <f t="shared" si="35"/>
        <v>192</v>
      </c>
      <c r="BG182" s="130">
        <f t="shared" si="36"/>
        <v>0</v>
      </c>
      <c r="BH182" s="130">
        <f t="shared" si="37"/>
        <v>0</v>
      </c>
      <c r="BI182" s="130">
        <f t="shared" si="38"/>
        <v>0</v>
      </c>
      <c r="BJ182" s="13" t="s">
        <v>76</v>
      </c>
      <c r="BK182" s="130">
        <f t="shared" si="39"/>
        <v>192</v>
      </c>
      <c r="BL182" s="13" t="s">
        <v>235</v>
      </c>
      <c r="BM182" s="129" t="s">
        <v>418</v>
      </c>
    </row>
    <row r="183" spans="2:65" s="1" customFormat="1" ht="16.5" customHeight="1" x14ac:dyDescent="0.2">
      <c r="B183" s="118"/>
      <c r="C183" s="119" t="s">
        <v>326</v>
      </c>
      <c r="D183" s="119" t="s">
        <v>231</v>
      </c>
      <c r="E183" s="120" t="s">
        <v>3040</v>
      </c>
      <c r="F183" s="121" t="s">
        <v>3041</v>
      </c>
      <c r="G183" s="122" t="s">
        <v>292</v>
      </c>
      <c r="H183" s="123">
        <v>40</v>
      </c>
      <c r="I183" s="124">
        <v>10.86</v>
      </c>
      <c r="J183" s="124">
        <f t="shared" si="30"/>
        <v>434.4</v>
      </c>
      <c r="K183" s="121" t="s">
        <v>1</v>
      </c>
      <c r="L183" s="24"/>
      <c r="M183" s="125" t="s">
        <v>1</v>
      </c>
      <c r="N183" s="126" t="s">
        <v>32</v>
      </c>
      <c r="O183" s="127">
        <v>0</v>
      </c>
      <c r="P183" s="127">
        <f t="shared" si="31"/>
        <v>0</v>
      </c>
      <c r="Q183" s="127">
        <v>0</v>
      </c>
      <c r="R183" s="127">
        <f t="shared" si="32"/>
        <v>0</v>
      </c>
      <c r="S183" s="127">
        <v>0</v>
      </c>
      <c r="T183" s="128">
        <f t="shared" si="33"/>
        <v>0</v>
      </c>
      <c r="AR183" s="129" t="s">
        <v>235</v>
      </c>
      <c r="AT183" s="129" t="s">
        <v>231</v>
      </c>
      <c r="AU183" s="129" t="s">
        <v>76</v>
      </c>
      <c r="AY183" s="13" t="s">
        <v>228</v>
      </c>
      <c r="BE183" s="130">
        <f t="shared" si="34"/>
        <v>0</v>
      </c>
      <c r="BF183" s="130">
        <f t="shared" si="35"/>
        <v>434.4</v>
      </c>
      <c r="BG183" s="130">
        <f t="shared" si="36"/>
        <v>0</v>
      </c>
      <c r="BH183" s="130">
        <f t="shared" si="37"/>
        <v>0</v>
      </c>
      <c r="BI183" s="130">
        <f t="shared" si="38"/>
        <v>0</v>
      </c>
      <c r="BJ183" s="13" t="s">
        <v>76</v>
      </c>
      <c r="BK183" s="130">
        <f t="shared" si="39"/>
        <v>434.4</v>
      </c>
      <c r="BL183" s="13" t="s">
        <v>235</v>
      </c>
      <c r="BM183" s="129" t="s">
        <v>421</v>
      </c>
    </row>
    <row r="184" spans="2:65" s="1" customFormat="1" ht="16.5" customHeight="1" x14ac:dyDescent="0.2">
      <c r="B184" s="118"/>
      <c r="C184" s="119" t="s">
        <v>422</v>
      </c>
      <c r="D184" s="119" t="s">
        <v>231</v>
      </c>
      <c r="E184" s="120" t="s">
        <v>3042</v>
      </c>
      <c r="F184" s="121" t="s">
        <v>3043</v>
      </c>
      <c r="G184" s="122" t="s">
        <v>292</v>
      </c>
      <c r="H184" s="123">
        <v>20</v>
      </c>
      <c r="I184" s="124">
        <v>12.05</v>
      </c>
      <c r="J184" s="124">
        <f t="shared" si="30"/>
        <v>241</v>
      </c>
      <c r="K184" s="121" t="s">
        <v>1</v>
      </c>
      <c r="L184" s="24"/>
      <c r="M184" s="125" t="s">
        <v>1</v>
      </c>
      <c r="N184" s="126" t="s">
        <v>32</v>
      </c>
      <c r="O184" s="127">
        <v>0</v>
      </c>
      <c r="P184" s="127">
        <f t="shared" si="31"/>
        <v>0</v>
      </c>
      <c r="Q184" s="127">
        <v>0</v>
      </c>
      <c r="R184" s="127">
        <f t="shared" si="32"/>
        <v>0</v>
      </c>
      <c r="S184" s="127">
        <v>0</v>
      </c>
      <c r="T184" s="128">
        <f t="shared" si="33"/>
        <v>0</v>
      </c>
      <c r="AR184" s="129" t="s">
        <v>235</v>
      </c>
      <c r="AT184" s="129" t="s">
        <v>231</v>
      </c>
      <c r="AU184" s="129" t="s">
        <v>76</v>
      </c>
      <c r="AY184" s="13" t="s">
        <v>228</v>
      </c>
      <c r="BE184" s="130">
        <f t="shared" si="34"/>
        <v>0</v>
      </c>
      <c r="BF184" s="130">
        <f t="shared" si="35"/>
        <v>241</v>
      </c>
      <c r="BG184" s="130">
        <f t="shared" si="36"/>
        <v>0</v>
      </c>
      <c r="BH184" s="130">
        <f t="shared" si="37"/>
        <v>0</v>
      </c>
      <c r="BI184" s="130">
        <f t="shared" si="38"/>
        <v>0</v>
      </c>
      <c r="BJ184" s="13" t="s">
        <v>76</v>
      </c>
      <c r="BK184" s="130">
        <f t="shared" si="39"/>
        <v>241</v>
      </c>
      <c r="BL184" s="13" t="s">
        <v>235</v>
      </c>
      <c r="BM184" s="129" t="s">
        <v>425</v>
      </c>
    </row>
    <row r="185" spans="2:65" s="1" customFormat="1" ht="16.5" customHeight="1" x14ac:dyDescent="0.2">
      <c r="B185" s="118"/>
      <c r="C185" s="119" t="s">
        <v>330</v>
      </c>
      <c r="D185" s="119" t="s">
        <v>231</v>
      </c>
      <c r="E185" s="120" t="s">
        <v>3044</v>
      </c>
      <c r="F185" s="121" t="s">
        <v>3045</v>
      </c>
      <c r="G185" s="122" t="s">
        <v>1194</v>
      </c>
      <c r="H185" s="123">
        <v>80</v>
      </c>
      <c r="I185" s="124">
        <v>8.2799999999999994</v>
      </c>
      <c r="J185" s="124">
        <f t="shared" si="30"/>
        <v>662.4</v>
      </c>
      <c r="K185" s="121" t="s">
        <v>1</v>
      </c>
      <c r="L185" s="24"/>
      <c r="M185" s="125" t="s">
        <v>1</v>
      </c>
      <c r="N185" s="126" t="s">
        <v>32</v>
      </c>
      <c r="O185" s="127">
        <v>0</v>
      </c>
      <c r="P185" s="127">
        <f t="shared" si="31"/>
        <v>0</v>
      </c>
      <c r="Q185" s="127">
        <v>0</v>
      </c>
      <c r="R185" s="127">
        <f t="shared" si="32"/>
        <v>0</v>
      </c>
      <c r="S185" s="127">
        <v>0</v>
      </c>
      <c r="T185" s="128">
        <f t="shared" si="33"/>
        <v>0</v>
      </c>
      <c r="AR185" s="129" t="s">
        <v>235</v>
      </c>
      <c r="AT185" s="129" t="s">
        <v>231</v>
      </c>
      <c r="AU185" s="129" t="s">
        <v>76</v>
      </c>
      <c r="AY185" s="13" t="s">
        <v>228</v>
      </c>
      <c r="BE185" s="130">
        <f t="shared" si="34"/>
        <v>0</v>
      </c>
      <c r="BF185" s="130">
        <f t="shared" si="35"/>
        <v>662.4</v>
      </c>
      <c r="BG185" s="130">
        <f t="shared" si="36"/>
        <v>0</v>
      </c>
      <c r="BH185" s="130">
        <f t="shared" si="37"/>
        <v>0</v>
      </c>
      <c r="BI185" s="130">
        <f t="shared" si="38"/>
        <v>0</v>
      </c>
      <c r="BJ185" s="13" t="s">
        <v>76</v>
      </c>
      <c r="BK185" s="130">
        <f t="shared" si="39"/>
        <v>662.4</v>
      </c>
      <c r="BL185" s="13" t="s">
        <v>235</v>
      </c>
      <c r="BM185" s="129" t="s">
        <v>428</v>
      </c>
    </row>
    <row r="186" spans="2:65" s="1" customFormat="1" ht="16.5" customHeight="1" x14ac:dyDescent="0.2">
      <c r="B186" s="118"/>
      <c r="C186" s="119" t="s">
        <v>429</v>
      </c>
      <c r="D186" s="119" t="s">
        <v>231</v>
      </c>
      <c r="E186" s="120" t="s">
        <v>3046</v>
      </c>
      <c r="F186" s="121" t="s">
        <v>3047</v>
      </c>
      <c r="G186" s="122" t="s">
        <v>1194</v>
      </c>
      <c r="H186" s="123">
        <v>1</v>
      </c>
      <c r="I186" s="124">
        <v>90.56</v>
      </c>
      <c r="J186" s="124">
        <f t="shared" si="30"/>
        <v>90.56</v>
      </c>
      <c r="K186" s="121" t="s">
        <v>1</v>
      </c>
      <c r="L186" s="24"/>
      <c r="M186" s="125" t="s">
        <v>1</v>
      </c>
      <c r="N186" s="126" t="s">
        <v>32</v>
      </c>
      <c r="O186" s="127">
        <v>0</v>
      </c>
      <c r="P186" s="127">
        <f t="shared" si="31"/>
        <v>0</v>
      </c>
      <c r="Q186" s="127">
        <v>0</v>
      </c>
      <c r="R186" s="127">
        <f t="shared" si="32"/>
        <v>0</v>
      </c>
      <c r="S186" s="127">
        <v>0</v>
      </c>
      <c r="T186" s="128">
        <f t="shared" si="33"/>
        <v>0</v>
      </c>
      <c r="AR186" s="129" t="s">
        <v>235</v>
      </c>
      <c r="AT186" s="129" t="s">
        <v>231</v>
      </c>
      <c r="AU186" s="129" t="s">
        <v>76</v>
      </c>
      <c r="AY186" s="13" t="s">
        <v>228</v>
      </c>
      <c r="BE186" s="130">
        <f t="shared" si="34"/>
        <v>0</v>
      </c>
      <c r="BF186" s="130">
        <f t="shared" si="35"/>
        <v>90.56</v>
      </c>
      <c r="BG186" s="130">
        <f t="shared" si="36"/>
        <v>0</v>
      </c>
      <c r="BH186" s="130">
        <f t="shared" si="37"/>
        <v>0</v>
      </c>
      <c r="BI186" s="130">
        <f t="shared" si="38"/>
        <v>0</v>
      </c>
      <c r="BJ186" s="13" t="s">
        <v>76</v>
      </c>
      <c r="BK186" s="130">
        <f t="shared" si="39"/>
        <v>90.56</v>
      </c>
      <c r="BL186" s="13" t="s">
        <v>235</v>
      </c>
      <c r="BM186" s="129" t="s">
        <v>432</v>
      </c>
    </row>
    <row r="187" spans="2:65" s="1" customFormat="1" ht="16.5" customHeight="1" x14ac:dyDescent="0.2">
      <c r="B187" s="118"/>
      <c r="C187" s="119" t="s">
        <v>333</v>
      </c>
      <c r="D187" s="119" t="s">
        <v>231</v>
      </c>
      <c r="E187" s="120" t="s">
        <v>3048</v>
      </c>
      <c r="F187" s="121" t="s">
        <v>3049</v>
      </c>
      <c r="G187" s="122" t="s">
        <v>292</v>
      </c>
      <c r="H187" s="123">
        <v>40</v>
      </c>
      <c r="I187" s="124">
        <v>2.0499999999999998</v>
      </c>
      <c r="J187" s="124">
        <f t="shared" si="30"/>
        <v>82</v>
      </c>
      <c r="K187" s="121" t="s">
        <v>1</v>
      </c>
      <c r="L187" s="24"/>
      <c r="M187" s="125" t="s">
        <v>1</v>
      </c>
      <c r="N187" s="126" t="s">
        <v>32</v>
      </c>
      <c r="O187" s="127">
        <v>0</v>
      </c>
      <c r="P187" s="127">
        <f t="shared" si="31"/>
        <v>0</v>
      </c>
      <c r="Q187" s="127">
        <v>0</v>
      </c>
      <c r="R187" s="127">
        <f t="shared" si="32"/>
        <v>0</v>
      </c>
      <c r="S187" s="127">
        <v>0</v>
      </c>
      <c r="T187" s="128">
        <f t="shared" si="33"/>
        <v>0</v>
      </c>
      <c r="AR187" s="129" t="s">
        <v>235</v>
      </c>
      <c r="AT187" s="129" t="s">
        <v>231</v>
      </c>
      <c r="AU187" s="129" t="s">
        <v>76</v>
      </c>
      <c r="AY187" s="13" t="s">
        <v>228</v>
      </c>
      <c r="BE187" s="130">
        <f t="shared" si="34"/>
        <v>0</v>
      </c>
      <c r="BF187" s="130">
        <f t="shared" si="35"/>
        <v>82</v>
      </c>
      <c r="BG187" s="130">
        <f t="shared" si="36"/>
        <v>0</v>
      </c>
      <c r="BH187" s="130">
        <f t="shared" si="37"/>
        <v>0</v>
      </c>
      <c r="BI187" s="130">
        <f t="shared" si="38"/>
        <v>0</v>
      </c>
      <c r="BJ187" s="13" t="s">
        <v>76</v>
      </c>
      <c r="BK187" s="130">
        <f t="shared" si="39"/>
        <v>82</v>
      </c>
      <c r="BL187" s="13" t="s">
        <v>235</v>
      </c>
      <c r="BM187" s="129" t="s">
        <v>435</v>
      </c>
    </row>
    <row r="188" spans="2:65" s="1" customFormat="1" ht="16.5" customHeight="1" x14ac:dyDescent="0.2">
      <c r="B188" s="118"/>
      <c r="C188" s="119" t="s">
        <v>438</v>
      </c>
      <c r="D188" s="119" t="s">
        <v>231</v>
      </c>
      <c r="E188" s="120" t="s">
        <v>4246</v>
      </c>
      <c r="F188" s="121" t="s">
        <v>4247</v>
      </c>
      <c r="G188" s="122" t="s">
        <v>292</v>
      </c>
      <c r="H188" s="123">
        <v>50</v>
      </c>
      <c r="I188" s="124">
        <v>11.61</v>
      </c>
      <c r="J188" s="124">
        <f t="shared" si="30"/>
        <v>580.5</v>
      </c>
      <c r="K188" s="121" t="s">
        <v>1</v>
      </c>
      <c r="L188" s="24"/>
      <c r="M188" s="125" t="s">
        <v>1</v>
      </c>
      <c r="N188" s="126" t="s">
        <v>32</v>
      </c>
      <c r="O188" s="127">
        <v>0</v>
      </c>
      <c r="P188" s="127">
        <f t="shared" si="31"/>
        <v>0</v>
      </c>
      <c r="Q188" s="127">
        <v>0</v>
      </c>
      <c r="R188" s="127">
        <f t="shared" si="32"/>
        <v>0</v>
      </c>
      <c r="S188" s="127">
        <v>0</v>
      </c>
      <c r="T188" s="128">
        <f t="shared" si="33"/>
        <v>0</v>
      </c>
      <c r="AR188" s="129" t="s">
        <v>235</v>
      </c>
      <c r="AT188" s="129" t="s">
        <v>231</v>
      </c>
      <c r="AU188" s="129" t="s">
        <v>76</v>
      </c>
      <c r="AY188" s="13" t="s">
        <v>228</v>
      </c>
      <c r="BE188" s="130">
        <f t="shared" si="34"/>
        <v>0</v>
      </c>
      <c r="BF188" s="130">
        <f t="shared" si="35"/>
        <v>580.5</v>
      </c>
      <c r="BG188" s="130">
        <f t="shared" si="36"/>
        <v>0</v>
      </c>
      <c r="BH188" s="130">
        <f t="shared" si="37"/>
        <v>0</v>
      </c>
      <c r="BI188" s="130">
        <f t="shared" si="38"/>
        <v>0</v>
      </c>
      <c r="BJ188" s="13" t="s">
        <v>76</v>
      </c>
      <c r="BK188" s="130">
        <f t="shared" si="39"/>
        <v>580.5</v>
      </c>
      <c r="BL188" s="13" t="s">
        <v>235</v>
      </c>
      <c r="BM188" s="129" t="s">
        <v>441</v>
      </c>
    </row>
    <row r="189" spans="2:65" s="1" customFormat="1" ht="16.5" customHeight="1" x14ac:dyDescent="0.2">
      <c r="B189" s="118"/>
      <c r="C189" s="119" t="s">
        <v>337</v>
      </c>
      <c r="D189" s="119" t="s">
        <v>231</v>
      </c>
      <c r="E189" s="120" t="s">
        <v>3050</v>
      </c>
      <c r="F189" s="121" t="s">
        <v>3051</v>
      </c>
      <c r="G189" s="122" t="s">
        <v>292</v>
      </c>
      <c r="H189" s="123">
        <v>120</v>
      </c>
      <c r="I189" s="124">
        <v>0.7</v>
      </c>
      <c r="J189" s="124">
        <f t="shared" si="30"/>
        <v>84</v>
      </c>
      <c r="K189" s="121" t="s">
        <v>1</v>
      </c>
      <c r="L189" s="24"/>
      <c r="M189" s="125" t="s">
        <v>1</v>
      </c>
      <c r="N189" s="126" t="s">
        <v>32</v>
      </c>
      <c r="O189" s="127">
        <v>0</v>
      </c>
      <c r="P189" s="127">
        <f t="shared" si="31"/>
        <v>0</v>
      </c>
      <c r="Q189" s="127">
        <v>0</v>
      </c>
      <c r="R189" s="127">
        <f t="shared" si="32"/>
        <v>0</v>
      </c>
      <c r="S189" s="127">
        <v>0</v>
      </c>
      <c r="T189" s="128">
        <f t="shared" si="33"/>
        <v>0</v>
      </c>
      <c r="AR189" s="129" t="s">
        <v>235</v>
      </c>
      <c r="AT189" s="129" t="s">
        <v>231</v>
      </c>
      <c r="AU189" s="129" t="s">
        <v>76</v>
      </c>
      <c r="AY189" s="13" t="s">
        <v>228</v>
      </c>
      <c r="BE189" s="130">
        <f t="shared" si="34"/>
        <v>0</v>
      </c>
      <c r="BF189" s="130">
        <f t="shared" si="35"/>
        <v>84</v>
      </c>
      <c r="BG189" s="130">
        <f t="shared" si="36"/>
        <v>0</v>
      </c>
      <c r="BH189" s="130">
        <f t="shared" si="37"/>
        <v>0</v>
      </c>
      <c r="BI189" s="130">
        <f t="shared" si="38"/>
        <v>0</v>
      </c>
      <c r="BJ189" s="13" t="s">
        <v>76</v>
      </c>
      <c r="BK189" s="130">
        <f t="shared" si="39"/>
        <v>84</v>
      </c>
      <c r="BL189" s="13" t="s">
        <v>235</v>
      </c>
      <c r="BM189" s="129" t="s">
        <v>444</v>
      </c>
    </row>
    <row r="190" spans="2:65" s="1" customFormat="1" ht="16.5" customHeight="1" x14ac:dyDescent="0.2">
      <c r="B190" s="118"/>
      <c r="C190" s="119" t="s">
        <v>445</v>
      </c>
      <c r="D190" s="119" t="s">
        <v>231</v>
      </c>
      <c r="E190" s="120" t="s">
        <v>3052</v>
      </c>
      <c r="F190" s="121" t="s">
        <v>3053</v>
      </c>
      <c r="G190" s="122" t="s">
        <v>292</v>
      </c>
      <c r="H190" s="123">
        <v>20</v>
      </c>
      <c r="I190" s="124">
        <v>3.76</v>
      </c>
      <c r="J190" s="124">
        <f t="shared" si="30"/>
        <v>75.2</v>
      </c>
      <c r="K190" s="121" t="s">
        <v>1</v>
      </c>
      <c r="L190" s="24"/>
      <c r="M190" s="125" t="s">
        <v>1</v>
      </c>
      <c r="N190" s="126" t="s">
        <v>32</v>
      </c>
      <c r="O190" s="127">
        <v>0</v>
      </c>
      <c r="P190" s="127">
        <f t="shared" si="31"/>
        <v>0</v>
      </c>
      <c r="Q190" s="127">
        <v>0</v>
      </c>
      <c r="R190" s="127">
        <f t="shared" si="32"/>
        <v>0</v>
      </c>
      <c r="S190" s="127">
        <v>0</v>
      </c>
      <c r="T190" s="128">
        <f t="shared" si="33"/>
        <v>0</v>
      </c>
      <c r="AR190" s="129" t="s">
        <v>235</v>
      </c>
      <c r="AT190" s="129" t="s">
        <v>231</v>
      </c>
      <c r="AU190" s="129" t="s">
        <v>76</v>
      </c>
      <c r="AY190" s="13" t="s">
        <v>228</v>
      </c>
      <c r="BE190" s="130">
        <f t="shared" si="34"/>
        <v>0</v>
      </c>
      <c r="BF190" s="130">
        <f t="shared" si="35"/>
        <v>75.2</v>
      </c>
      <c r="BG190" s="130">
        <f t="shared" si="36"/>
        <v>0</v>
      </c>
      <c r="BH190" s="130">
        <f t="shared" si="37"/>
        <v>0</v>
      </c>
      <c r="BI190" s="130">
        <f t="shared" si="38"/>
        <v>0</v>
      </c>
      <c r="BJ190" s="13" t="s">
        <v>76</v>
      </c>
      <c r="BK190" s="130">
        <f t="shared" si="39"/>
        <v>75.2</v>
      </c>
      <c r="BL190" s="13" t="s">
        <v>235</v>
      </c>
      <c r="BM190" s="129" t="s">
        <v>448</v>
      </c>
    </row>
    <row r="191" spans="2:65" s="11" customFormat="1" ht="22.95" customHeight="1" x14ac:dyDescent="0.25">
      <c r="B191" s="106"/>
      <c r="D191" s="107" t="s">
        <v>57</v>
      </c>
      <c r="E191" s="116" t="s">
        <v>1252</v>
      </c>
      <c r="F191" s="116" t="s">
        <v>3054</v>
      </c>
      <c r="J191" s="117">
        <f>BK191</f>
        <v>258.43</v>
      </c>
      <c r="L191" s="106"/>
      <c r="M191" s="110"/>
      <c r="N191" s="111"/>
      <c r="O191" s="111"/>
      <c r="P191" s="112">
        <f>SUM(P192:P194)</f>
        <v>0</v>
      </c>
      <c r="Q191" s="111"/>
      <c r="R191" s="112">
        <f>SUM(R192:R194)</f>
        <v>0</v>
      </c>
      <c r="S191" s="111"/>
      <c r="T191" s="113">
        <f>SUM(T192:T194)</f>
        <v>0</v>
      </c>
      <c r="AR191" s="107" t="s">
        <v>63</v>
      </c>
      <c r="AT191" s="114" t="s">
        <v>57</v>
      </c>
      <c r="AU191" s="114" t="s">
        <v>63</v>
      </c>
      <c r="AY191" s="107" t="s">
        <v>228</v>
      </c>
      <c r="BK191" s="115">
        <f>SUM(BK192:BK194)</f>
        <v>258.43</v>
      </c>
    </row>
    <row r="192" spans="2:65" s="1" customFormat="1" ht="16.5" customHeight="1" x14ac:dyDescent="0.2">
      <c r="B192" s="118"/>
      <c r="C192" s="119" t="s">
        <v>340</v>
      </c>
      <c r="D192" s="119" t="s">
        <v>231</v>
      </c>
      <c r="E192" s="120" t="s">
        <v>3055</v>
      </c>
      <c r="F192" s="121" t="s">
        <v>3056</v>
      </c>
      <c r="G192" s="122" t="s">
        <v>570</v>
      </c>
      <c r="H192" s="123">
        <v>1</v>
      </c>
      <c r="I192" s="124">
        <v>87.77</v>
      </c>
      <c r="J192" s="124">
        <f>ROUND(I192*H192,2)</f>
        <v>87.77</v>
      </c>
      <c r="K192" s="121" t="s">
        <v>1</v>
      </c>
      <c r="L192" s="24"/>
      <c r="M192" s="125" t="s">
        <v>1</v>
      </c>
      <c r="N192" s="126" t="s">
        <v>32</v>
      </c>
      <c r="O192" s="127">
        <v>0</v>
      </c>
      <c r="P192" s="127">
        <f>O192*H192</f>
        <v>0</v>
      </c>
      <c r="Q192" s="127">
        <v>0</v>
      </c>
      <c r="R192" s="127">
        <f>Q192*H192</f>
        <v>0</v>
      </c>
      <c r="S192" s="127">
        <v>0</v>
      </c>
      <c r="T192" s="128">
        <f>S192*H192</f>
        <v>0</v>
      </c>
      <c r="AR192" s="129" t="s">
        <v>235</v>
      </c>
      <c r="AT192" s="129" t="s">
        <v>231</v>
      </c>
      <c r="AU192" s="129" t="s">
        <v>76</v>
      </c>
      <c r="AY192" s="13" t="s">
        <v>228</v>
      </c>
      <c r="BE192" s="130">
        <f>IF(N192="základná",J192,0)</f>
        <v>0</v>
      </c>
      <c r="BF192" s="130">
        <f>IF(N192="znížená",J192,0)</f>
        <v>87.77</v>
      </c>
      <c r="BG192" s="130">
        <f>IF(N192="zákl. prenesená",J192,0)</f>
        <v>0</v>
      </c>
      <c r="BH192" s="130">
        <f>IF(N192="zníž. prenesená",J192,0)</f>
        <v>0</v>
      </c>
      <c r="BI192" s="130">
        <f>IF(N192="nulová",J192,0)</f>
        <v>0</v>
      </c>
      <c r="BJ192" s="13" t="s">
        <v>76</v>
      </c>
      <c r="BK192" s="130">
        <f>ROUND(I192*H192,2)</f>
        <v>87.77</v>
      </c>
      <c r="BL192" s="13" t="s">
        <v>235</v>
      </c>
      <c r="BM192" s="129" t="s">
        <v>451</v>
      </c>
    </row>
    <row r="193" spans="2:65" s="1" customFormat="1" ht="16.5" customHeight="1" x14ac:dyDescent="0.2">
      <c r="B193" s="118"/>
      <c r="C193" s="119" t="s">
        <v>452</v>
      </c>
      <c r="D193" s="119" t="s">
        <v>231</v>
      </c>
      <c r="E193" s="120" t="s">
        <v>3057</v>
      </c>
      <c r="F193" s="121" t="s">
        <v>3058</v>
      </c>
      <c r="G193" s="122" t="s">
        <v>570</v>
      </c>
      <c r="H193" s="123">
        <v>1</v>
      </c>
      <c r="I193" s="124">
        <v>24.38</v>
      </c>
      <c r="J193" s="124">
        <f>ROUND(I193*H193,2)</f>
        <v>24.38</v>
      </c>
      <c r="K193" s="121" t="s">
        <v>1</v>
      </c>
      <c r="L193" s="24"/>
      <c r="M193" s="125" t="s">
        <v>1</v>
      </c>
      <c r="N193" s="126" t="s">
        <v>32</v>
      </c>
      <c r="O193" s="127">
        <v>0</v>
      </c>
      <c r="P193" s="127">
        <f>O193*H193</f>
        <v>0</v>
      </c>
      <c r="Q193" s="127">
        <v>0</v>
      </c>
      <c r="R193" s="127">
        <f>Q193*H193</f>
        <v>0</v>
      </c>
      <c r="S193" s="127">
        <v>0</v>
      </c>
      <c r="T193" s="128">
        <f>S193*H193</f>
        <v>0</v>
      </c>
      <c r="AR193" s="129" t="s">
        <v>235</v>
      </c>
      <c r="AT193" s="129" t="s">
        <v>231</v>
      </c>
      <c r="AU193" s="129" t="s">
        <v>76</v>
      </c>
      <c r="AY193" s="13" t="s">
        <v>228</v>
      </c>
      <c r="BE193" s="130">
        <f>IF(N193="základná",J193,0)</f>
        <v>0</v>
      </c>
      <c r="BF193" s="130">
        <f>IF(N193="znížená",J193,0)</f>
        <v>24.38</v>
      </c>
      <c r="BG193" s="130">
        <f>IF(N193="zákl. prenesená",J193,0)</f>
        <v>0</v>
      </c>
      <c r="BH193" s="130">
        <f>IF(N193="zníž. prenesená",J193,0)</f>
        <v>0</v>
      </c>
      <c r="BI193" s="130">
        <f>IF(N193="nulová",J193,0)</f>
        <v>0</v>
      </c>
      <c r="BJ193" s="13" t="s">
        <v>76</v>
      </c>
      <c r="BK193" s="130">
        <f>ROUND(I193*H193,2)</f>
        <v>24.38</v>
      </c>
      <c r="BL193" s="13" t="s">
        <v>235</v>
      </c>
      <c r="BM193" s="129" t="s">
        <v>455</v>
      </c>
    </row>
    <row r="194" spans="2:65" s="1" customFormat="1" ht="16.5" customHeight="1" x14ac:dyDescent="0.2">
      <c r="B194" s="118"/>
      <c r="C194" s="119" t="s">
        <v>344</v>
      </c>
      <c r="D194" s="119" t="s">
        <v>231</v>
      </c>
      <c r="E194" s="120" t="s">
        <v>3059</v>
      </c>
      <c r="F194" s="121" t="s">
        <v>3060</v>
      </c>
      <c r="G194" s="122" t="s">
        <v>570</v>
      </c>
      <c r="H194" s="123">
        <v>1</v>
      </c>
      <c r="I194" s="124">
        <v>146.28</v>
      </c>
      <c r="J194" s="124">
        <f>ROUND(I194*H194,2)</f>
        <v>146.28</v>
      </c>
      <c r="K194" s="121" t="s">
        <v>1</v>
      </c>
      <c r="L194" s="24"/>
      <c r="M194" s="125" t="s">
        <v>1</v>
      </c>
      <c r="N194" s="126" t="s">
        <v>32</v>
      </c>
      <c r="O194" s="127">
        <v>0</v>
      </c>
      <c r="P194" s="127">
        <f>O194*H194</f>
        <v>0</v>
      </c>
      <c r="Q194" s="127">
        <v>0</v>
      </c>
      <c r="R194" s="127">
        <f>Q194*H194</f>
        <v>0</v>
      </c>
      <c r="S194" s="127">
        <v>0</v>
      </c>
      <c r="T194" s="128">
        <f>S194*H194</f>
        <v>0</v>
      </c>
      <c r="AR194" s="129" t="s">
        <v>235</v>
      </c>
      <c r="AT194" s="129" t="s">
        <v>231</v>
      </c>
      <c r="AU194" s="129" t="s">
        <v>76</v>
      </c>
      <c r="AY194" s="13" t="s">
        <v>228</v>
      </c>
      <c r="BE194" s="130">
        <f>IF(N194="základná",J194,0)</f>
        <v>0</v>
      </c>
      <c r="BF194" s="130">
        <f>IF(N194="znížená",J194,0)</f>
        <v>146.28</v>
      </c>
      <c r="BG194" s="130">
        <f>IF(N194="zákl. prenesená",J194,0)</f>
        <v>0</v>
      </c>
      <c r="BH194" s="130">
        <f>IF(N194="zníž. prenesená",J194,0)</f>
        <v>0</v>
      </c>
      <c r="BI194" s="130">
        <f>IF(N194="nulová",J194,0)</f>
        <v>0</v>
      </c>
      <c r="BJ194" s="13" t="s">
        <v>76</v>
      </c>
      <c r="BK194" s="130">
        <f>ROUND(I194*H194,2)</f>
        <v>146.28</v>
      </c>
      <c r="BL194" s="13" t="s">
        <v>235</v>
      </c>
      <c r="BM194" s="129" t="s">
        <v>458</v>
      </c>
    </row>
    <row r="195" spans="2:65" s="11" customFormat="1" ht="22.95" customHeight="1" x14ac:dyDescent="0.25">
      <c r="B195" s="106"/>
      <c r="D195" s="107" t="s">
        <v>57</v>
      </c>
      <c r="E195" s="116" t="s">
        <v>1269</v>
      </c>
      <c r="F195" s="116" t="s">
        <v>3061</v>
      </c>
      <c r="J195" s="117">
        <f>BK195</f>
        <v>413.24</v>
      </c>
      <c r="L195" s="106"/>
      <c r="M195" s="110"/>
      <c r="N195" s="111"/>
      <c r="O195" s="111"/>
      <c r="P195" s="112">
        <f>SUM(P196:P199)</f>
        <v>0</v>
      </c>
      <c r="Q195" s="111"/>
      <c r="R195" s="112">
        <f>SUM(R196:R199)</f>
        <v>0</v>
      </c>
      <c r="S195" s="111"/>
      <c r="T195" s="113">
        <f>SUM(T196:T199)</f>
        <v>0</v>
      </c>
      <c r="AR195" s="107" t="s">
        <v>63</v>
      </c>
      <c r="AT195" s="114" t="s">
        <v>57</v>
      </c>
      <c r="AU195" s="114" t="s">
        <v>63</v>
      </c>
      <c r="AY195" s="107" t="s">
        <v>228</v>
      </c>
      <c r="BK195" s="115">
        <f>SUM(BK196:BK199)</f>
        <v>413.24</v>
      </c>
    </row>
    <row r="196" spans="2:65" s="1" customFormat="1" ht="16.5" customHeight="1" x14ac:dyDescent="0.2">
      <c r="B196" s="118"/>
      <c r="C196" s="119" t="s">
        <v>459</v>
      </c>
      <c r="D196" s="119" t="s">
        <v>231</v>
      </c>
      <c r="E196" s="120" t="s">
        <v>3062</v>
      </c>
      <c r="F196" s="121" t="s">
        <v>3063</v>
      </c>
      <c r="G196" s="122" t="s">
        <v>570</v>
      </c>
      <c r="H196" s="123">
        <v>1</v>
      </c>
      <c r="I196" s="124">
        <v>92.64</v>
      </c>
      <c r="J196" s="124">
        <f>ROUND(I196*H196,2)</f>
        <v>92.64</v>
      </c>
      <c r="K196" s="121" t="s">
        <v>1</v>
      </c>
      <c r="L196" s="24"/>
      <c r="M196" s="125" t="s">
        <v>1</v>
      </c>
      <c r="N196" s="126" t="s">
        <v>32</v>
      </c>
      <c r="O196" s="127">
        <v>0</v>
      </c>
      <c r="P196" s="127">
        <f>O196*H196</f>
        <v>0</v>
      </c>
      <c r="Q196" s="127">
        <v>0</v>
      </c>
      <c r="R196" s="127">
        <f>Q196*H196</f>
        <v>0</v>
      </c>
      <c r="S196" s="127">
        <v>0</v>
      </c>
      <c r="T196" s="128">
        <f>S196*H196</f>
        <v>0</v>
      </c>
      <c r="AR196" s="129" t="s">
        <v>235</v>
      </c>
      <c r="AT196" s="129" t="s">
        <v>231</v>
      </c>
      <c r="AU196" s="129" t="s">
        <v>76</v>
      </c>
      <c r="AY196" s="13" t="s">
        <v>228</v>
      </c>
      <c r="BE196" s="130">
        <f>IF(N196="základná",J196,0)</f>
        <v>0</v>
      </c>
      <c r="BF196" s="130">
        <f>IF(N196="znížená",J196,0)</f>
        <v>92.64</v>
      </c>
      <c r="BG196" s="130">
        <f>IF(N196="zákl. prenesená",J196,0)</f>
        <v>0</v>
      </c>
      <c r="BH196" s="130">
        <f>IF(N196="zníž. prenesená",J196,0)</f>
        <v>0</v>
      </c>
      <c r="BI196" s="130">
        <f>IF(N196="nulová",J196,0)</f>
        <v>0</v>
      </c>
      <c r="BJ196" s="13" t="s">
        <v>76</v>
      </c>
      <c r="BK196" s="130">
        <f>ROUND(I196*H196,2)</f>
        <v>92.64</v>
      </c>
      <c r="BL196" s="13" t="s">
        <v>235</v>
      </c>
      <c r="BM196" s="129" t="s">
        <v>462</v>
      </c>
    </row>
    <row r="197" spans="2:65" s="1" customFormat="1" ht="16.5" customHeight="1" x14ac:dyDescent="0.2">
      <c r="B197" s="118"/>
      <c r="C197" s="119" t="s">
        <v>347</v>
      </c>
      <c r="D197" s="119" t="s">
        <v>231</v>
      </c>
      <c r="E197" s="120" t="s">
        <v>3064</v>
      </c>
      <c r="F197" s="121" t="s">
        <v>3065</v>
      </c>
      <c r="G197" s="122" t="s">
        <v>570</v>
      </c>
      <c r="H197" s="123">
        <v>1</v>
      </c>
      <c r="I197" s="124">
        <v>76.8</v>
      </c>
      <c r="J197" s="124">
        <f>ROUND(I197*H197,2)</f>
        <v>76.8</v>
      </c>
      <c r="K197" s="121" t="s">
        <v>1</v>
      </c>
      <c r="L197" s="24"/>
      <c r="M197" s="125" t="s">
        <v>1</v>
      </c>
      <c r="N197" s="126" t="s">
        <v>32</v>
      </c>
      <c r="O197" s="127">
        <v>0</v>
      </c>
      <c r="P197" s="127">
        <f>O197*H197</f>
        <v>0</v>
      </c>
      <c r="Q197" s="127">
        <v>0</v>
      </c>
      <c r="R197" s="127">
        <f>Q197*H197</f>
        <v>0</v>
      </c>
      <c r="S197" s="127">
        <v>0</v>
      </c>
      <c r="T197" s="128">
        <f>S197*H197</f>
        <v>0</v>
      </c>
      <c r="AR197" s="129" t="s">
        <v>235</v>
      </c>
      <c r="AT197" s="129" t="s">
        <v>231</v>
      </c>
      <c r="AU197" s="129" t="s">
        <v>76</v>
      </c>
      <c r="AY197" s="13" t="s">
        <v>228</v>
      </c>
      <c r="BE197" s="130">
        <f>IF(N197="základná",J197,0)</f>
        <v>0</v>
      </c>
      <c r="BF197" s="130">
        <f>IF(N197="znížená",J197,0)</f>
        <v>76.8</v>
      </c>
      <c r="BG197" s="130">
        <f>IF(N197="zákl. prenesená",J197,0)</f>
        <v>0</v>
      </c>
      <c r="BH197" s="130">
        <f>IF(N197="zníž. prenesená",J197,0)</f>
        <v>0</v>
      </c>
      <c r="BI197" s="130">
        <f>IF(N197="nulová",J197,0)</f>
        <v>0</v>
      </c>
      <c r="BJ197" s="13" t="s">
        <v>76</v>
      </c>
      <c r="BK197" s="130">
        <f>ROUND(I197*H197,2)</f>
        <v>76.8</v>
      </c>
      <c r="BL197" s="13" t="s">
        <v>235</v>
      </c>
      <c r="BM197" s="129" t="s">
        <v>465</v>
      </c>
    </row>
    <row r="198" spans="2:65" s="1" customFormat="1" ht="16.5" customHeight="1" x14ac:dyDescent="0.2">
      <c r="B198" s="118"/>
      <c r="C198" s="119" t="s">
        <v>466</v>
      </c>
      <c r="D198" s="119" t="s">
        <v>231</v>
      </c>
      <c r="E198" s="120" t="s">
        <v>3066</v>
      </c>
      <c r="F198" s="121" t="s">
        <v>3067</v>
      </c>
      <c r="G198" s="122" t="s">
        <v>570</v>
      </c>
      <c r="H198" s="123">
        <v>1</v>
      </c>
      <c r="I198" s="124">
        <v>121.9</v>
      </c>
      <c r="J198" s="124">
        <f>ROUND(I198*H198,2)</f>
        <v>121.9</v>
      </c>
      <c r="K198" s="121" t="s">
        <v>1</v>
      </c>
      <c r="L198" s="24"/>
      <c r="M198" s="125" t="s">
        <v>1</v>
      </c>
      <c r="N198" s="126" t="s">
        <v>32</v>
      </c>
      <c r="O198" s="127">
        <v>0</v>
      </c>
      <c r="P198" s="127">
        <f>O198*H198</f>
        <v>0</v>
      </c>
      <c r="Q198" s="127">
        <v>0</v>
      </c>
      <c r="R198" s="127">
        <f>Q198*H198</f>
        <v>0</v>
      </c>
      <c r="S198" s="127">
        <v>0</v>
      </c>
      <c r="T198" s="128">
        <f>S198*H198</f>
        <v>0</v>
      </c>
      <c r="AR198" s="129" t="s">
        <v>235</v>
      </c>
      <c r="AT198" s="129" t="s">
        <v>231</v>
      </c>
      <c r="AU198" s="129" t="s">
        <v>76</v>
      </c>
      <c r="AY198" s="13" t="s">
        <v>228</v>
      </c>
      <c r="BE198" s="130">
        <f>IF(N198="základná",J198,0)</f>
        <v>0</v>
      </c>
      <c r="BF198" s="130">
        <f>IF(N198="znížená",J198,0)</f>
        <v>121.9</v>
      </c>
      <c r="BG198" s="130">
        <f>IF(N198="zákl. prenesená",J198,0)</f>
        <v>0</v>
      </c>
      <c r="BH198" s="130">
        <f>IF(N198="zníž. prenesená",J198,0)</f>
        <v>0</v>
      </c>
      <c r="BI198" s="130">
        <f>IF(N198="nulová",J198,0)</f>
        <v>0</v>
      </c>
      <c r="BJ198" s="13" t="s">
        <v>76</v>
      </c>
      <c r="BK198" s="130">
        <f>ROUND(I198*H198,2)</f>
        <v>121.9</v>
      </c>
      <c r="BL198" s="13" t="s">
        <v>235</v>
      </c>
      <c r="BM198" s="129" t="s">
        <v>469</v>
      </c>
    </row>
    <row r="199" spans="2:65" s="1" customFormat="1" ht="16.5" customHeight="1" x14ac:dyDescent="0.2">
      <c r="B199" s="118"/>
      <c r="C199" s="119" t="s">
        <v>351</v>
      </c>
      <c r="D199" s="119" t="s">
        <v>231</v>
      </c>
      <c r="E199" s="120" t="s">
        <v>3068</v>
      </c>
      <c r="F199" s="121" t="s">
        <v>3069</v>
      </c>
      <c r="G199" s="122" t="s">
        <v>570</v>
      </c>
      <c r="H199" s="123">
        <v>1</v>
      </c>
      <c r="I199" s="124">
        <v>121.9</v>
      </c>
      <c r="J199" s="124">
        <f>ROUND(I199*H199,2)</f>
        <v>121.9</v>
      </c>
      <c r="K199" s="121" t="s">
        <v>1</v>
      </c>
      <c r="L199" s="24"/>
      <c r="M199" s="125" t="s">
        <v>1</v>
      </c>
      <c r="N199" s="126" t="s">
        <v>32</v>
      </c>
      <c r="O199" s="127">
        <v>0</v>
      </c>
      <c r="P199" s="127">
        <f>O199*H199</f>
        <v>0</v>
      </c>
      <c r="Q199" s="127">
        <v>0</v>
      </c>
      <c r="R199" s="127">
        <f>Q199*H199</f>
        <v>0</v>
      </c>
      <c r="S199" s="127">
        <v>0</v>
      </c>
      <c r="T199" s="128">
        <f>S199*H199</f>
        <v>0</v>
      </c>
      <c r="AR199" s="129" t="s">
        <v>235</v>
      </c>
      <c r="AT199" s="129" t="s">
        <v>231</v>
      </c>
      <c r="AU199" s="129" t="s">
        <v>76</v>
      </c>
      <c r="AY199" s="13" t="s">
        <v>228</v>
      </c>
      <c r="BE199" s="130">
        <f>IF(N199="základná",J199,0)</f>
        <v>0</v>
      </c>
      <c r="BF199" s="130">
        <f>IF(N199="znížená",J199,0)</f>
        <v>121.9</v>
      </c>
      <c r="BG199" s="130">
        <f>IF(N199="zákl. prenesená",J199,0)</f>
        <v>0</v>
      </c>
      <c r="BH199" s="130">
        <f>IF(N199="zníž. prenesená",J199,0)</f>
        <v>0</v>
      </c>
      <c r="BI199" s="130">
        <f>IF(N199="nulová",J199,0)</f>
        <v>0</v>
      </c>
      <c r="BJ199" s="13" t="s">
        <v>76</v>
      </c>
      <c r="BK199" s="130">
        <f>ROUND(I199*H199,2)</f>
        <v>121.9</v>
      </c>
      <c r="BL199" s="13" t="s">
        <v>235</v>
      </c>
      <c r="BM199" s="129" t="s">
        <v>472</v>
      </c>
    </row>
    <row r="200" spans="2:65" s="11" customFormat="1" ht="22.95" customHeight="1" x14ac:dyDescent="0.25">
      <c r="B200" s="106"/>
      <c r="D200" s="107" t="s">
        <v>57</v>
      </c>
      <c r="E200" s="116" t="s">
        <v>1943</v>
      </c>
      <c r="F200" s="116" t="s">
        <v>3070</v>
      </c>
      <c r="J200" s="117">
        <f>BK200</f>
        <v>185.63</v>
      </c>
      <c r="L200" s="106"/>
      <c r="M200" s="110"/>
      <c r="N200" s="111"/>
      <c r="O200" s="111"/>
      <c r="P200" s="112">
        <f>SUM(P201:P204)</f>
        <v>0</v>
      </c>
      <c r="Q200" s="111"/>
      <c r="R200" s="112">
        <f>SUM(R201:R204)</f>
        <v>0</v>
      </c>
      <c r="S200" s="111"/>
      <c r="T200" s="113">
        <f>SUM(T201:T204)</f>
        <v>0</v>
      </c>
      <c r="AR200" s="107" t="s">
        <v>63</v>
      </c>
      <c r="AT200" s="114" t="s">
        <v>57</v>
      </c>
      <c r="AU200" s="114" t="s">
        <v>63</v>
      </c>
      <c r="AY200" s="107" t="s">
        <v>228</v>
      </c>
      <c r="BK200" s="115">
        <f>SUM(BK201:BK204)</f>
        <v>185.63</v>
      </c>
    </row>
    <row r="201" spans="2:65" s="1" customFormat="1" ht="24" customHeight="1" x14ac:dyDescent="0.2">
      <c r="B201" s="118"/>
      <c r="C201" s="119" t="s">
        <v>473</v>
      </c>
      <c r="D201" s="119" t="s">
        <v>231</v>
      </c>
      <c r="E201" s="120" t="s">
        <v>3071</v>
      </c>
      <c r="F201" s="121" t="s">
        <v>3072</v>
      </c>
      <c r="G201" s="122" t="s">
        <v>284</v>
      </c>
      <c r="H201" s="123">
        <v>20</v>
      </c>
      <c r="I201" s="124">
        <v>3.48</v>
      </c>
      <c r="J201" s="124">
        <f>ROUND(I201*H201,2)</f>
        <v>69.599999999999994</v>
      </c>
      <c r="K201" s="121" t="s">
        <v>1</v>
      </c>
      <c r="L201" s="24"/>
      <c r="M201" s="125" t="s">
        <v>1</v>
      </c>
      <c r="N201" s="126" t="s">
        <v>32</v>
      </c>
      <c r="O201" s="127">
        <v>0</v>
      </c>
      <c r="P201" s="127">
        <f>O201*H201</f>
        <v>0</v>
      </c>
      <c r="Q201" s="127">
        <v>0</v>
      </c>
      <c r="R201" s="127">
        <f>Q201*H201</f>
        <v>0</v>
      </c>
      <c r="S201" s="127">
        <v>0</v>
      </c>
      <c r="T201" s="128">
        <f>S201*H201</f>
        <v>0</v>
      </c>
      <c r="AR201" s="129" t="s">
        <v>235</v>
      </c>
      <c r="AT201" s="129" t="s">
        <v>231</v>
      </c>
      <c r="AU201" s="129" t="s">
        <v>76</v>
      </c>
      <c r="AY201" s="13" t="s">
        <v>228</v>
      </c>
      <c r="BE201" s="130">
        <f>IF(N201="základná",J201,0)</f>
        <v>0</v>
      </c>
      <c r="BF201" s="130">
        <f>IF(N201="znížená",J201,0)</f>
        <v>69.599999999999994</v>
      </c>
      <c r="BG201" s="130">
        <f>IF(N201="zákl. prenesená",J201,0)</f>
        <v>0</v>
      </c>
      <c r="BH201" s="130">
        <f>IF(N201="zníž. prenesená",J201,0)</f>
        <v>0</v>
      </c>
      <c r="BI201" s="130">
        <f>IF(N201="nulová",J201,0)</f>
        <v>0</v>
      </c>
      <c r="BJ201" s="13" t="s">
        <v>76</v>
      </c>
      <c r="BK201" s="130">
        <f>ROUND(I201*H201,2)</f>
        <v>69.599999999999994</v>
      </c>
      <c r="BL201" s="13" t="s">
        <v>235</v>
      </c>
      <c r="BM201" s="129" t="s">
        <v>476</v>
      </c>
    </row>
    <row r="202" spans="2:65" s="1" customFormat="1" ht="24" customHeight="1" x14ac:dyDescent="0.2">
      <c r="B202" s="118"/>
      <c r="C202" s="119" t="s">
        <v>354</v>
      </c>
      <c r="D202" s="119" t="s">
        <v>231</v>
      </c>
      <c r="E202" s="120" t="s">
        <v>3073</v>
      </c>
      <c r="F202" s="121" t="s">
        <v>3074</v>
      </c>
      <c r="G202" s="122" t="s">
        <v>284</v>
      </c>
      <c r="H202" s="123">
        <v>20</v>
      </c>
      <c r="I202" s="124">
        <v>2.3199999999999998</v>
      </c>
      <c r="J202" s="124">
        <f>ROUND(I202*H202,2)</f>
        <v>46.4</v>
      </c>
      <c r="K202" s="121" t="s">
        <v>1</v>
      </c>
      <c r="L202" s="24"/>
      <c r="M202" s="125" t="s">
        <v>1</v>
      </c>
      <c r="N202" s="126" t="s">
        <v>32</v>
      </c>
      <c r="O202" s="127">
        <v>0</v>
      </c>
      <c r="P202" s="127">
        <f>O202*H202</f>
        <v>0</v>
      </c>
      <c r="Q202" s="127">
        <v>0</v>
      </c>
      <c r="R202" s="127">
        <f>Q202*H202</f>
        <v>0</v>
      </c>
      <c r="S202" s="127">
        <v>0</v>
      </c>
      <c r="T202" s="128">
        <f>S202*H202</f>
        <v>0</v>
      </c>
      <c r="AR202" s="129" t="s">
        <v>235</v>
      </c>
      <c r="AT202" s="129" t="s">
        <v>231</v>
      </c>
      <c r="AU202" s="129" t="s">
        <v>76</v>
      </c>
      <c r="AY202" s="13" t="s">
        <v>228</v>
      </c>
      <c r="BE202" s="130">
        <f>IF(N202="základná",J202,0)</f>
        <v>0</v>
      </c>
      <c r="BF202" s="130">
        <f>IF(N202="znížená",J202,0)</f>
        <v>46.4</v>
      </c>
      <c r="BG202" s="130">
        <f>IF(N202="zákl. prenesená",J202,0)</f>
        <v>0</v>
      </c>
      <c r="BH202" s="130">
        <f>IF(N202="zníž. prenesená",J202,0)</f>
        <v>0</v>
      </c>
      <c r="BI202" s="130">
        <f>IF(N202="nulová",J202,0)</f>
        <v>0</v>
      </c>
      <c r="BJ202" s="13" t="s">
        <v>76</v>
      </c>
      <c r="BK202" s="130">
        <f>ROUND(I202*H202,2)</f>
        <v>46.4</v>
      </c>
      <c r="BL202" s="13" t="s">
        <v>235</v>
      </c>
      <c r="BM202" s="129" t="s">
        <v>479</v>
      </c>
    </row>
    <row r="203" spans="2:65" s="1" customFormat="1" ht="24" customHeight="1" x14ac:dyDescent="0.2">
      <c r="B203" s="118"/>
      <c r="C203" s="119" t="s">
        <v>480</v>
      </c>
      <c r="D203" s="119" t="s">
        <v>231</v>
      </c>
      <c r="E203" s="120" t="s">
        <v>3075</v>
      </c>
      <c r="F203" s="121" t="s">
        <v>3076</v>
      </c>
      <c r="G203" s="122" t="s">
        <v>284</v>
      </c>
      <c r="H203" s="123">
        <v>20</v>
      </c>
      <c r="I203" s="124">
        <v>1.74</v>
      </c>
      <c r="J203" s="124">
        <f>ROUND(I203*H203,2)</f>
        <v>34.799999999999997</v>
      </c>
      <c r="K203" s="121" t="s">
        <v>1</v>
      </c>
      <c r="L203" s="24"/>
      <c r="M203" s="125" t="s">
        <v>1</v>
      </c>
      <c r="N203" s="126" t="s">
        <v>32</v>
      </c>
      <c r="O203" s="127">
        <v>0</v>
      </c>
      <c r="P203" s="127">
        <f>O203*H203</f>
        <v>0</v>
      </c>
      <c r="Q203" s="127">
        <v>0</v>
      </c>
      <c r="R203" s="127">
        <f>Q203*H203</f>
        <v>0</v>
      </c>
      <c r="S203" s="127">
        <v>0</v>
      </c>
      <c r="T203" s="128">
        <f>S203*H203</f>
        <v>0</v>
      </c>
      <c r="AR203" s="129" t="s">
        <v>235</v>
      </c>
      <c r="AT203" s="129" t="s">
        <v>231</v>
      </c>
      <c r="AU203" s="129" t="s">
        <v>76</v>
      </c>
      <c r="AY203" s="13" t="s">
        <v>228</v>
      </c>
      <c r="BE203" s="130">
        <f>IF(N203="základná",J203,0)</f>
        <v>0</v>
      </c>
      <c r="BF203" s="130">
        <f>IF(N203="znížená",J203,0)</f>
        <v>34.799999999999997</v>
      </c>
      <c r="BG203" s="130">
        <f>IF(N203="zákl. prenesená",J203,0)</f>
        <v>0</v>
      </c>
      <c r="BH203" s="130">
        <f>IF(N203="zníž. prenesená",J203,0)</f>
        <v>0</v>
      </c>
      <c r="BI203" s="130">
        <f>IF(N203="nulová",J203,0)</f>
        <v>0</v>
      </c>
      <c r="BJ203" s="13" t="s">
        <v>76</v>
      </c>
      <c r="BK203" s="130">
        <f>ROUND(I203*H203,2)</f>
        <v>34.799999999999997</v>
      </c>
      <c r="BL203" s="13" t="s">
        <v>235</v>
      </c>
      <c r="BM203" s="129" t="s">
        <v>483</v>
      </c>
    </row>
    <row r="204" spans="2:65" s="1" customFormat="1" ht="16.5" customHeight="1" x14ac:dyDescent="0.2">
      <c r="B204" s="118"/>
      <c r="C204" s="119" t="s">
        <v>358</v>
      </c>
      <c r="D204" s="119" t="s">
        <v>231</v>
      </c>
      <c r="E204" s="120" t="s">
        <v>3077</v>
      </c>
      <c r="F204" s="121" t="s">
        <v>3078</v>
      </c>
      <c r="G204" s="122" t="s">
        <v>271</v>
      </c>
      <c r="H204" s="123">
        <v>0.15</v>
      </c>
      <c r="I204" s="124">
        <v>232.2</v>
      </c>
      <c r="J204" s="124">
        <f>ROUND(I204*H204,2)</f>
        <v>34.83</v>
      </c>
      <c r="K204" s="121" t="s">
        <v>1</v>
      </c>
      <c r="L204" s="24"/>
      <c r="M204" s="140" t="s">
        <v>1</v>
      </c>
      <c r="N204" s="141" t="s">
        <v>32</v>
      </c>
      <c r="O204" s="142">
        <v>0</v>
      </c>
      <c r="P204" s="142">
        <f>O204*H204</f>
        <v>0</v>
      </c>
      <c r="Q204" s="142">
        <v>0</v>
      </c>
      <c r="R204" s="142">
        <f>Q204*H204</f>
        <v>0</v>
      </c>
      <c r="S204" s="142">
        <v>0</v>
      </c>
      <c r="T204" s="143">
        <f>S204*H204</f>
        <v>0</v>
      </c>
      <c r="AR204" s="129" t="s">
        <v>235</v>
      </c>
      <c r="AT204" s="129" t="s">
        <v>231</v>
      </c>
      <c r="AU204" s="129" t="s">
        <v>76</v>
      </c>
      <c r="AY204" s="13" t="s">
        <v>228</v>
      </c>
      <c r="BE204" s="130">
        <f>IF(N204="základná",J204,0)</f>
        <v>0</v>
      </c>
      <c r="BF204" s="130">
        <f>IF(N204="znížená",J204,0)</f>
        <v>34.83</v>
      </c>
      <c r="BG204" s="130">
        <f>IF(N204="zákl. prenesená",J204,0)</f>
        <v>0</v>
      </c>
      <c r="BH204" s="130">
        <f>IF(N204="zníž. prenesená",J204,0)</f>
        <v>0</v>
      </c>
      <c r="BI204" s="130">
        <f>IF(N204="nulová",J204,0)</f>
        <v>0</v>
      </c>
      <c r="BJ204" s="13" t="s">
        <v>76</v>
      </c>
      <c r="BK204" s="130">
        <f>ROUND(I204*H204,2)</f>
        <v>34.83</v>
      </c>
      <c r="BL204" s="13" t="s">
        <v>235</v>
      </c>
      <c r="BM204" s="129" t="s">
        <v>486</v>
      </c>
    </row>
    <row r="205" spans="2:65" s="1" customFormat="1" ht="7.05" customHeight="1" x14ac:dyDescent="0.2">
      <c r="B205" s="33"/>
      <c r="C205" s="34"/>
      <c r="D205" s="34"/>
      <c r="E205" s="34"/>
      <c r="F205" s="34"/>
      <c r="G205" s="34"/>
      <c r="H205" s="34"/>
      <c r="I205" s="34"/>
      <c r="J205" s="34"/>
      <c r="K205" s="34"/>
      <c r="L205" s="24"/>
    </row>
  </sheetData>
  <autoFilter ref="C124:K204" xr:uid="{00000000-0009-0000-0000-00001B000000}"/>
  <mergeCells count="14">
    <mergeCell ref="E87:H87"/>
    <mergeCell ref="E115:H115"/>
    <mergeCell ref="E117:H117"/>
    <mergeCell ref="L2:V2"/>
    <mergeCell ref="E9:H9"/>
    <mergeCell ref="E18:H18"/>
    <mergeCell ref="E27:H27"/>
    <mergeCell ref="E85:H85"/>
    <mergeCell ref="C3:J4"/>
    <mergeCell ref="F6:J7"/>
    <mergeCell ref="C82:J82"/>
    <mergeCell ref="E84:J84"/>
    <mergeCell ref="C112:J112"/>
    <mergeCell ref="E114:J114"/>
  </mergeCells>
  <pageMargins left="0.39374999999999999" right="0.39374999999999999" top="0.39374999999999999" bottom="0.39374999999999999" header="0" footer="0"/>
  <pageSetup paperSize="9" scale="89" fitToHeight="100" orientation="portrait" blackAndWhite="1" r:id="rId1"/>
  <headerFooter>
    <oddFooter>&amp;CStrana &amp;P z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pageSetUpPr fitToPage="1"/>
  </sheetPr>
  <dimension ref="A1:BM350"/>
  <sheetViews>
    <sheetView showGridLines="0" topLeftCell="F178" zoomScale="80" zoomScaleNormal="80" workbookViewId="0">
      <selection activeCell="AF96" sqref="AF96"/>
    </sheetView>
  </sheetViews>
  <sheetFormatPr defaultColWidth="8.7109375" defaultRowHeight="10.199999999999999" x14ac:dyDescent="0.2"/>
  <cols>
    <col min="1" max="1" width="8.28515625" customWidth="1"/>
    <col min="2" max="2" width="1.7109375" customWidth="1"/>
    <col min="3" max="4" width="4.28515625" customWidth="1"/>
    <col min="5" max="5" width="17.28515625" customWidth="1"/>
    <col min="6" max="6" width="50.7109375" customWidth="1"/>
    <col min="7" max="7" width="7" customWidth="1"/>
    <col min="8" max="8" width="11.42578125" customWidth="1"/>
    <col min="9" max="10" width="20.28515625" customWidth="1"/>
    <col min="11" max="11" width="20.28515625" hidden="1" customWidth="1"/>
    <col min="12" max="12" width="9.28515625" customWidth="1"/>
    <col min="13" max="13" width="10.7109375" hidden="1" customWidth="1"/>
    <col min="14" max="14" width="9.28515625" hidden="1"/>
    <col min="15" max="20" width="14.28515625" hidden="1" customWidth="1"/>
    <col min="21" max="21" width="16.28515625" hidden="1" customWidth="1"/>
    <col min="22" max="22" width="12.28515625" customWidth="1"/>
    <col min="23" max="23" width="1.7109375" style="635" customWidth="1"/>
    <col min="24" max="24" width="6.28515625" style="635" customWidth="1"/>
    <col min="25" max="25" width="4.28515625" style="635" customWidth="1"/>
    <col min="26" max="26" width="17.28515625" style="635" customWidth="1"/>
    <col min="27" max="27" width="50.7109375" style="635" customWidth="1"/>
    <col min="28" max="28" width="7" style="635" customWidth="1"/>
    <col min="29" max="29" width="11.42578125" style="635" customWidth="1"/>
    <col min="30" max="31" width="20.28515625" style="635" customWidth="1"/>
    <col min="32" max="32" width="18.42578125" customWidth="1"/>
    <col min="44" max="65" width="9.28515625" hidden="1"/>
  </cols>
  <sheetData>
    <row r="1" spans="1:46" x14ac:dyDescent="0.2">
      <c r="A1" s="73"/>
    </row>
    <row r="2" spans="1:46" ht="37.049999999999997" customHeight="1" x14ac:dyDescent="0.2">
      <c r="L2" s="1227" t="s">
        <v>5</v>
      </c>
      <c r="M2" s="1225"/>
      <c r="N2" s="1225"/>
      <c r="O2" s="1225"/>
      <c r="P2" s="1225"/>
      <c r="Q2" s="1225"/>
      <c r="R2" s="1225"/>
      <c r="S2" s="1225"/>
      <c r="T2" s="1225"/>
      <c r="U2" s="1225"/>
      <c r="V2" s="1225"/>
      <c r="AT2" s="13" t="s">
        <v>144</v>
      </c>
    </row>
    <row r="3" spans="1:46" ht="7.05" customHeight="1" x14ac:dyDescent="0.2">
      <c r="B3" s="14"/>
      <c r="C3" s="15"/>
      <c r="D3" s="15"/>
      <c r="E3" s="15"/>
      <c r="F3" s="15"/>
      <c r="G3" s="15"/>
      <c r="H3" s="15"/>
      <c r="I3" s="15"/>
      <c r="J3" s="15"/>
      <c r="K3" s="15"/>
      <c r="L3" s="16"/>
      <c r="W3" s="152"/>
      <c r="X3" s="153"/>
      <c r="Y3" s="153"/>
      <c r="Z3" s="153"/>
      <c r="AA3" s="153"/>
      <c r="AB3" s="153"/>
      <c r="AC3" s="153"/>
      <c r="AD3" s="153"/>
      <c r="AE3" s="154"/>
      <c r="AT3" s="13" t="s">
        <v>58</v>
      </c>
    </row>
    <row r="4" spans="1:46" ht="25.05" customHeight="1" x14ac:dyDescent="0.2">
      <c r="B4" s="16"/>
      <c r="C4" s="1165" t="s">
        <v>185</v>
      </c>
      <c r="D4" s="1165"/>
      <c r="E4" s="1165"/>
      <c r="F4" s="1165"/>
      <c r="G4" s="1165"/>
      <c r="H4" s="1165"/>
      <c r="I4" s="1165"/>
      <c r="J4" s="1165"/>
      <c r="L4" s="16"/>
      <c r="M4" s="74" t="s">
        <v>9</v>
      </c>
      <c r="W4" s="155"/>
      <c r="X4" s="1237" t="s">
        <v>185</v>
      </c>
      <c r="Y4" s="1237"/>
      <c r="Z4" s="1237"/>
      <c r="AA4" s="1237"/>
      <c r="AB4" s="1237"/>
      <c r="AC4" s="1237"/>
      <c r="AD4" s="1237"/>
      <c r="AE4" s="1238"/>
      <c r="AT4" s="13" t="s">
        <v>3</v>
      </c>
    </row>
    <row r="5" spans="1:46" ht="7.05" customHeight="1" x14ac:dyDescent="0.2">
      <c r="B5" s="16"/>
      <c r="L5" s="16"/>
      <c r="W5" s="155"/>
      <c r="X5" s="156"/>
      <c r="Y5" s="156"/>
      <c r="Z5" s="156"/>
      <c r="AA5" s="156"/>
      <c r="AB5" s="156"/>
      <c r="AC5" s="156"/>
      <c r="AD5" s="156"/>
      <c r="AE5" s="157"/>
    </row>
    <row r="6" spans="1:46" ht="12" customHeight="1" x14ac:dyDescent="0.2">
      <c r="B6" s="16"/>
      <c r="D6" s="548" t="s">
        <v>12</v>
      </c>
      <c r="F6" s="1254" t="s">
        <v>6176</v>
      </c>
      <c r="G6" s="1254"/>
      <c r="H6" s="1254"/>
      <c r="I6" s="1254"/>
      <c r="J6" s="1254"/>
      <c r="L6" s="16"/>
      <c r="W6" s="155"/>
      <c r="X6" s="156"/>
      <c r="Y6" s="541" t="s">
        <v>12</v>
      </c>
      <c r="Z6" s="156"/>
      <c r="AA6" s="1239" t="s">
        <v>6176</v>
      </c>
      <c r="AB6" s="1239"/>
      <c r="AC6" s="1239"/>
      <c r="AD6" s="1239"/>
      <c r="AE6" s="1240"/>
    </row>
    <row r="7" spans="1:46" ht="23.55" customHeight="1" x14ac:dyDescent="0.2">
      <c r="B7" s="16"/>
      <c r="D7" s="527"/>
      <c r="E7" s="531"/>
      <c r="F7" s="1254"/>
      <c r="G7" s="1254"/>
      <c r="H7" s="1254"/>
      <c r="I7" s="1254"/>
      <c r="J7" s="1254"/>
      <c r="L7" s="16"/>
      <c r="W7" s="155"/>
      <c r="X7" s="156"/>
      <c r="Y7" s="539"/>
      <c r="Z7" s="245"/>
      <c r="AA7" s="1239"/>
      <c r="AB7" s="1239"/>
      <c r="AC7" s="1239"/>
      <c r="AD7" s="1239"/>
      <c r="AE7" s="1240"/>
    </row>
    <row r="8" spans="1:46" s="1" customFormat="1" ht="12" customHeight="1" x14ac:dyDescent="0.2">
      <c r="B8" s="24"/>
      <c r="D8" s="549" t="s">
        <v>186</v>
      </c>
      <c r="F8" s="532" t="s">
        <v>4248</v>
      </c>
      <c r="L8" s="24"/>
      <c r="W8" s="158"/>
      <c r="X8" s="636"/>
      <c r="Y8" s="550" t="s">
        <v>186</v>
      </c>
      <c r="Z8" s="636"/>
      <c r="AA8" s="555" t="s">
        <v>4248</v>
      </c>
      <c r="AB8" s="636"/>
      <c r="AC8" s="636"/>
      <c r="AD8" s="636"/>
      <c r="AE8" s="159"/>
    </row>
    <row r="9" spans="1:46" s="1" customFormat="1" ht="37.049999999999997" customHeight="1" x14ac:dyDescent="0.2">
      <c r="B9" s="24"/>
      <c r="D9" s="521"/>
      <c r="E9" s="1251"/>
      <c r="F9" s="1252"/>
      <c r="G9" s="1252"/>
      <c r="H9" s="1252"/>
      <c r="L9" s="24"/>
      <c r="W9" s="158"/>
      <c r="X9" s="636"/>
      <c r="Y9" s="636"/>
      <c r="Z9" s="1245"/>
      <c r="AA9" s="1246"/>
      <c r="AB9" s="1246"/>
      <c r="AC9" s="1246"/>
      <c r="AD9" s="636"/>
      <c r="AE9" s="159"/>
    </row>
    <row r="10" spans="1:46" s="1" customFormat="1" x14ac:dyDescent="0.2">
      <c r="B10" s="24"/>
      <c r="D10" s="521"/>
      <c r="L10" s="24"/>
      <c r="W10" s="158"/>
      <c r="X10" s="636"/>
      <c r="Y10" s="636"/>
      <c r="Z10" s="636"/>
      <c r="AA10" s="636"/>
      <c r="AB10" s="636"/>
      <c r="AC10" s="636"/>
      <c r="AD10" s="636"/>
      <c r="AE10" s="159"/>
    </row>
    <row r="11" spans="1:46" s="1" customFormat="1" ht="12" customHeight="1" x14ac:dyDescent="0.2">
      <c r="B11" s="24"/>
      <c r="D11" s="528" t="s">
        <v>13</v>
      </c>
      <c r="F11" s="19" t="s">
        <v>1</v>
      </c>
      <c r="I11" s="528" t="s">
        <v>14</v>
      </c>
      <c r="J11" s="19" t="s">
        <v>1</v>
      </c>
      <c r="L11" s="24"/>
      <c r="W11" s="158"/>
      <c r="X11" s="636"/>
      <c r="Y11" s="639" t="s">
        <v>13</v>
      </c>
      <c r="Z11" s="636"/>
      <c r="AA11" s="640" t="s">
        <v>1</v>
      </c>
      <c r="AB11" s="636"/>
      <c r="AC11" s="636"/>
      <c r="AD11" s="639" t="s">
        <v>14</v>
      </c>
      <c r="AE11" s="161" t="s">
        <v>1</v>
      </c>
    </row>
    <row r="12" spans="1:46" s="1" customFormat="1" ht="12" customHeight="1" x14ac:dyDescent="0.2">
      <c r="B12" s="24"/>
      <c r="D12" s="528" t="s">
        <v>15</v>
      </c>
      <c r="F12" s="520" t="s">
        <v>6173</v>
      </c>
      <c r="I12" s="528" t="s">
        <v>17</v>
      </c>
      <c r="J12" s="39"/>
      <c r="L12" s="24"/>
      <c r="W12" s="158"/>
      <c r="X12" s="636"/>
      <c r="Y12" s="639" t="s">
        <v>15</v>
      </c>
      <c r="Z12" s="636"/>
      <c r="AA12" s="640" t="s">
        <v>6173</v>
      </c>
      <c r="AB12" s="636"/>
      <c r="AC12" s="636"/>
      <c r="AD12" s="639" t="s">
        <v>17</v>
      </c>
      <c r="AE12" s="162"/>
    </row>
    <row r="13" spans="1:46" s="1" customFormat="1" ht="10.95" customHeight="1" x14ac:dyDescent="0.2">
      <c r="B13" s="24"/>
      <c r="D13" s="521"/>
      <c r="F13" s="521"/>
      <c r="I13" s="521"/>
      <c r="L13" s="24"/>
      <c r="W13" s="158"/>
      <c r="X13" s="636"/>
      <c r="Y13" s="636"/>
      <c r="Z13" s="636"/>
      <c r="AA13" s="636"/>
      <c r="AB13" s="636"/>
      <c r="AC13" s="636"/>
      <c r="AD13" s="636"/>
      <c r="AE13" s="159"/>
    </row>
    <row r="14" spans="1:46" s="1" customFormat="1" ht="12" customHeight="1" x14ac:dyDescent="0.2">
      <c r="B14" s="24"/>
      <c r="D14" s="528" t="s">
        <v>18</v>
      </c>
      <c r="F14" s="529" t="s">
        <v>6175</v>
      </c>
      <c r="I14" s="528" t="s">
        <v>19</v>
      </c>
      <c r="J14" s="19" t="str">
        <f>IF('Rekapitulácia stavby'!AN10="","",'Rekapitulácia stavby'!AN10)</f>
        <v/>
      </c>
      <c r="L14" s="24"/>
      <c r="W14" s="158"/>
      <c r="X14" s="636"/>
      <c r="Y14" s="639" t="s">
        <v>18</v>
      </c>
      <c r="Z14" s="636"/>
      <c r="AA14" s="576" t="s">
        <v>6175</v>
      </c>
      <c r="AB14" s="636"/>
      <c r="AC14" s="636"/>
      <c r="AD14" s="639" t="s">
        <v>19</v>
      </c>
      <c r="AE14" s="161" t="str">
        <f>IF('Rekapitulácia stavby'!BI10="","",'Rekapitulácia stavby'!BI10)</f>
        <v/>
      </c>
    </row>
    <row r="15" spans="1:46" s="1" customFormat="1" ht="18" customHeight="1" x14ac:dyDescent="0.2">
      <c r="B15" s="24"/>
      <c r="D15" s="521"/>
      <c r="E15" s="19" t="str">
        <f>IF('Rekapitulácia stavby'!E11="","",'Rekapitulácia stavby'!E11)</f>
        <v/>
      </c>
      <c r="F15" s="521"/>
      <c r="I15" s="528" t="s">
        <v>20</v>
      </c>
      <c r="J15" s="19" t="str">
        <f>IF('Rekapitulácia stavby'!AN11="","",'Rekapitulácia stavby'!AN11)</f>
        <v/>
      </c>
      <c r="L15" s="24"/>
      <c r="W15" s="158"/>
      <c r="X15" s="636"/>
      <c r="Y15" s="636"/>
      <c r="Z15" s="640" t="str">
        <f>IF('Rekapitulácia stavby'!Z11="","",'Rekapitulácia stavby'!Z11)</f>
        <v/>
      </c>
      <c r="AA15" s="636"/>
      <c r="AB15" s="636"/>
      <c r="AC15" s="636"/>
      <c r="AD15" s="639" t="s">
        <v>20</v>
      </c>
      <c r="AE15" s="161" t="str">
        <f>IF('Rekapitulácia stavby'!BI11="","",'Rekapitulácia stavby'!BI11)</f>
        <v/>
      </c>
    </row>
    <row r="16" spans="1:46" s="1" customFormat="1" ht="7.05" customHeight="1" x14ac:dyDescent="0.2">
      <c r="B16" s="24"/>
      <c r="D16" s="521"/>
      <c r="F16" s="521"/>
      <c r="I16" s="521"/>
      <c r="L16" s="24"/>
      <c r="W16" s="158"/>
      <c r="X16" s="636"/>
      <c r="Y16" s="636"/>
      <c r="Z16" s="636"/>
      <c r="AA16" s="636"/>
      <c r="AB16" s="636"/>
      <c r="AC16" s="636"/>
      <c r="AD16" s="636"/>
      <c r="AE16" s="159"/>
    </row>
    <row r="17" spans="2:31" s="1" customFormat="1" ht="12" customHeight="1" x14ac:dyDescent="0.2">
      <c r="B17" s="24"/>
      <c r="D17" s="528" t="s">
        <v>21</v>
      </c>
      <c r="F17" s="529" t="s">
        <v>5202</v>
      </c>
      <c r="I17" s="528" t="s">
        <v>19</v>
      </c>
      <c r="J17" s="19"/>
      <c r="L17" s="24"/>
      <c r="W17" s="158"/>
      <c r="X17" s="636"/>
      <c r="Y17" s="639" t="s">
        <v>21</v>
      </c>
      <c r="Z17" s="636"/>
      <c r="AA17" s="576" t="s">
        <v>5202</v>
      </c>
      <c r="AB17" s="636"/>
      <c r="AC17" s="636"/>
      <c r="AD17" s="639" t="s">
        <v>19</v>
      </c>
      <c r="AE17" s="161"/>
    </row>
    <row r="18" spans="2:31" s="1" customFormat="1" ht="18" customHeight="1" x14ac:dyDescent="0.2">
      <c r="B18" s="24"/>
      <c r="D18" s="521"/>
      <c r="E18" s="1161"/>
      <c r="F18" s="1161"/>
      <c r="G18" s="1161"/>
      <c r="H18" s="1161"/>
      <c r="I18" s="528" t="s">
        <v>20</v>
      </c>
      <c r="J18" s="19" t="str">
        <f>'Rekapitulácia stavby'!AN14</f>
        <v/>
      </c>
      <c r="L18" s="24"/>
      <c r="W18" s="158"/>
      <c r="X18" s="636"/>
      <c r="Y18" s="636"/>
      <c r="Z18" s="1247"/>
      <c r="AA18" s="1247"/>
      <c r="AB18" s="1247"/>
      <c r="AC18" s="1247"/>
      <c r="AD18" s="639" t="s">
        <v>20</v>
      </c>
      <c r="AE18" s="161">
        <f>'Rekapitulácia stavby'!BI14</f>
        <v>0</v>
      </c>
    </row>
    <row r="19" spans="2:31" s="1" customFormat="1" ht="7.05" customHeight="1" x14ac:dyDescent="0.2">
      <c r="B19" s="24"/>
      <c r="D19" s="521"/>
      <c r="I19" s="521"/>
      <c r="L19" s="24"/>
      <c r="W19" s="158"/>
      <c r="X19" s="636"/>
      <c r="Y19" s="636"/>
      <c r="Z19" s="636"/>
      <c r="AA19" s="636"/>
      <c r="AB19" s="636"/>
      <c r="AC19" s="636"/>
      <c r="AD19" s="636"/>
      <c r="AE19" s="159"/>
    </row>
    <row r="20" spans="2:31" s="1" customFormat="1" ht="12" customHeight="1" x14ac:dyDescent="0.2">
      <c r="B20" s="24"/>
      <c r="D20" s="528" t="s">
        <v>22</v>
      </c>
      <c r="I20" s="528" t="s">
        <v>19</v>
      </c>
      <c r="J20" s="19" t="str">
        <f>IF('Rekapitulácia stavby'!AN16="","",'Rekapitulácia stavby'!AN16)</f>
        <v/>
      </c>
      <c r="L20" s="24"/>
      <c r="W20" s="158"/>
      <c r="X20" s="636"/>
      <c r="Y20" s="639" t="s">
        <v>22</v>
      </c>
      <c r="Z20" s="636"/>
      <c r="AA20" s="636"/>
      <c r="AB20" s="636"/>
      <c r="AC20" s="636"/>
      <c r="AD20" s="639" t="s">
        <v>19</v>
      </c>
      <c r="AE20" s="161" t="str">
        <f>IF('Rekapitulácia stavby'!BI16="","",'Rekapitulácia stavby'!BI16)</f>
        <v/>
      </c>
    </row>
    <row r="21" spans="2:31" s="1" customFormat="1" ht="18" customHeight="1" x14ac:dyDescent="0.2">
      <c r="B21" s="24"/>
      <c r="D21" s="521"/>
      <c r="E21" s="19" t="str">
        <f>IF('Rekapitulácia stavby'!E17="","",'Rekapitulácia stavby'!E17)</f>
        <v xml:space="preserve"> </v>
      </c>
      <c r="I21" s="528" t="s">
        <v>20</v>
      </c>
      <c r="J21" s="19" t="str">
        <f>IF('Rekapitulácia stavby'!AN17="","",'Rekapitulácia stavby'!AN17)</f>
        <v/>
      </c>
      <c r="L21" s="24"/>
      <c r="W21" s="158"/>
      <c r="X21" s="636"/>
      <c r="Y21" s="636"/>
      <c r="Z21" s="640" t="str">
        <f>IF('Rekapitulácia stavby'!Z17="","",'Rekapitulácia stavby'!Z17)</f>
        <v/>
      </c>
      <c r="AA21" s="636"/>
      <c r="AB21" s="636"/>
      <c r="AC21" s="636"/>
      <c r="AD21" s="639" t="s">
        <v>20</v>
      </c>
      <c r="AE21" s="161" t="str">
        <f>IF('Rekapitulácia stavby'!BI17="","",'Rekapitulácia stavby'!BI17)</f>
        <v/>
      </c>
    </row>
    <row r="22" spans="2:31" s="1" customFormat="1" ht="7.05" customHeight="1" x14ac:dyDescent="0.2">
      <c r="B22" s="24"/>
      <c r="D22" s="521"/>
      <c r="I22" s="521"/>
      <c r="L22" s="24"/>
      <c r="W22" s="158"/>
      <c r="X22" s="636"/>
      <c r="Y22" s="636"/>
      <c r="Z22" s="636"/>
      <c r="AA22" s="636"/>
      <c r="AB22" s="636"/>
      <c r="AC22" s="636"/>
      <c r="AD22" s="636"/>
      <c r="AE22" s="159"/>
    </row>
    <row r="23" spans="2:31" s="1" customFormat="1" ht="12" customHeight="1" x14ac:dyDescent="0.2">
      <c r="B23" s="24"/>
      <c r="D23" s="528" t="s">
        <v>24</v>
      </c>
      <c r="I23" s="528" t="s">
        <v>19</v>
      </c>
      <c r="J23" s="19" t="str">
        <f>IF('Rekapitulácia stavby'!AN19="","",'Rekapitulácia stavby'!AN19)</f>
        <v/>
      </c>
      <c r="L23" s="24"/>
      <c r="W23" s="158"/>
      <c r="X23" s="636"/>
      <c r="Y23" s="639" t="s">
        <v>24</v>
      </c>
      <c r="Z23" s="636"/>
      <c r="AA23" s="636"/>
      <c r="AB23" s="636"/>
      <c r="AC23" s="636"/>
      <c r="AD23" s="639" t="s">
        <v>19</v>
      </c>
      <c r="AE23" s="161" t="str">
        <f>IF('Rekapitulácia stavby'!BI19="","",'Rekapitulácia stavby'!BI19)</f>
        <v/>
      </c>
    </row>
    <row r="24" spans="2:31" s="1" customFormat="1" ht="18" customHeight="1" x14ac:dyDescent="0.2">
      <c r="B24" s="24"/>
      <c r="D24" s="521"/>
      <c r="E24" s="19" t="str">
        <f>IF('Rekapitulácia stavby'!E20="","",'Rekapitulácia stavby'!E20)</f>
        <v xml:space="preserve"> </v>
      </c>
      <c r="I24" s="528" t="s">
        <v>20</v>
      </c>
      <c r="J24" s="19" t="str">
        <f>IF('Rekapitulácia stavby'!AN20="","",'Rekapitulácia stavby'!AN20)</f>
        <v/>
      </c>
      <c r="L24" s="24"/>
      <c r="W24" s="158"/>
      <c r="X24" s="636"/>
      <c r="Y24" s="636"/>
      <c r="Z24" s="640" t="str">
        <f>IF('Rekapitulácia stavby'!Z20="","",'Rekapitulácia stavby'!Z20)</f>
        <v/>
      </c>
      <c r="AA24" s="636"/>
      <c r="AB24" s="636"/>
      <c r="AC24" s="636"/>
      <c r="AD24" s="639" t="s">
        <v>20</v>
      </c>
      <c r="AE24" s="161" t="str">
        <f>IF('Rekapitulácia stavby'!BI20="","",'Rekapitulácia stavby'!BI20)</f>
        <v/>
      </c>
    </row>
    <row r="25" spans="2:31" s="1" customFormat="1" ht="7.05" customHeight="1" x14ac:dyDescent="0.2">
      <c r="B25" s="24"/>
      <c r="D25" s="521"/>
      <c r="L25" s="24"/>
      <c r="W25" s="158"/>
      <c r="X25" s="636"/>
      <c r="Y25" s="636"/>
      <c r="Z25" s="636"/>
      <c r="AA25" s="636"/>
      <c r="AB25" s="636"/>
      <c r="AC25" s="636"/>
      <c r="AD25" s="636"/>
      <c r="AE25" s="159"/>
    </row>
    <row r="26" spans="2:31" s="1" customFormat="1" ht="12" customHeight="1" x14ac:dyDescent="0.2">
      <c r="B26" s="24"/>
      <c r="D26" s="528" t="s">
        <v>25</v>
      </c>
      <c r="L26" s="24"/>
      <c r="W26" s="158"/>
      <c r="X26" s="636"/>
      <c r="Y26" s="639" t="s">
        <v>25</v>
      </c>
      <c r="Z26" s="636"/>
      <c r="AA26" s="636"/>
      <c r="AB26" s="636"/>
      <c r="AC26" s="636"/>
      <c r="AD26" s="636"/>
      <c r="AE26" s="159"/>
    </row>
    <row r="27" spans="2:31" s="7" customFormat="1" ht="16.5" customHeight="1" x14ac:dyDescent="0.2">
      <c r="B27" s="75"/>
      <c r="E27" s="1228" t="s">
        <v>1</v>
      </c>
      <c r="F27" s="1228"/>
      <c r="G27" s="1228"/>
      <c r="H27" s="1228"/>
      <c r="L27" s="75"/>
      <c r="W27" s="163"/>
      <c r="X27" s="164"/>
      <c r="Y27" s="164"/>
      <c r="Z27" s="1248" t="s">
        <v>1</v>
      </c>
      <c r="AA27" s="1248"/>
      <c r="AB27" s="1248"/>
      <c r="AC27" s="1248"/>
      <c r="AD27" s="164"/>
      <c r="AE27" s="165"/>
    </row>
    <row r="28" spans="2:31" s="1" customFormat="1" ht="7.05" customHeight="1" x14ac:dyDescent="0.2">
      <c r="B28" s="24"/>
      <c r="L28" s="24"/>
      <c r="W28" s="158"/>
      <c r="X28" s="636"/>
      <c r="Y28" s="636"/>
      <c r="Z28" s="636"/>
      <c r="AA28" s="636"/>
      <c r="AB28" s="636"/>
      <c r="AC28" s="636"/>
      <c r="AD28" s="636"/>
      <c r="AE28" s="159"/>
    </row>
    <row r="29" spans="2:31" s="1" customFormat="1" ht="7.05" customHeight="1" x14ac:dyDescent="0.2">
      <c r="B29" s="24"/>
      <c r="D29" s="40"/>
      <c r="E29" s="40"/>
      <c r="F29" s="40"/>
      <c r="G29" s="40"/>
      <c r="H29" s="40"/>
      <c r="I29" s="40"/>
      <c r="J29" s="40"/>
      <c r="K29" s="40"/>
      <c r="L29" s="24"/>
      <c r="W29" s="158"/>
      <c r="X29" s="636"/>
      <c r="Y29" s="40"/>
      <c r="Z29" s="40"/>
      <c r="AA29" s="40"/>
      <c r="AB29" s="40"/>
      <c r="AC29" s="40"/>
      <c r="AD29" s="40"/>
      <c r="AE29" s="166"/>
    </row>
    <row r="30" spans="2:31" s="1" customFormat="1" ht="25.2" customHeight="1" x14ac:dyDescent="0.2">
      <c r="B30" s="24"/>
      <c r="D30" s="76" t="s">
        <v>26</v>
      </c>
      <c r="J30" s="53">
        <f>ROUND(J138, 2)</f>
        <v>133643.85</v>
      </c>
      <c r="L30" s="24"/>
      <c r="W30" s="158"/>
      <c r="X30" s="636"/>
      <c r="Y30" s="167" t="s">
        <v>26</v>
      </c>
      <c r="Z30" s="636"/>
      <c r="AA30" s="636"/>
      <c r="AB30" s="636"/>
      <c r="AC30" s="636"/>
      <c r="AD30" s="636"/>
      <c r="AE30" s="168">
        <f>ROUND(AE138, 2)</f>
        <v>188429.27</v>
      </c>
    </row>
    <row r="31" spans="2:31" s="1" customFormat="1" ht="7.05" customHeight="1" x14ac:dyDescent="0.2">
      <c r="B31" s="24"/>
      <c r="D31" s="40"/>
      <c r="E31" s="40"/>
      <c r="F31" s="40"/>
      <c r="G31" s="40"/>
      <c r="H31" s="40"/>
      <c r="I31" s="40"/>
      <c r="J31" s="40"/>
      <c r="K31" s="40"/>
      <c r="L31" s="24"/>
      <c r="W31" s="158"/>
      <c r="X31" s="636"/>
      <c r="Y31" s="40"/>
      <c r="Z31" s="40"/>
      <c r="AA31" s="40"/>
      <c r="AB31" s="40"/>
      <c r="AC31" s="40"/>
      <c r="AD31" s="40"/>
      <c r="AE31" s="166"/>
    </row>
    <row r="32" spans="2:31" s="1" customFormat="1" ht="14.55" customHeight="1" x14ac:dyDescent="0.2">
      <c r="B32" s="24"/>
      <c r="D32" s="521"/>
      <c r="E32" s="521"/>
      <c r="F32" s="534" t="s">
        <v>28</v>
      </c>
      <c r="G32" s="521"/>
      <c r="H32" s="521"/>
      <c r="I32" s="534" t="s">
        <v>27</v>
      </c>
      <c r="J32" s="534" t="s">
        <v>29</v>
      </c>
      <c r="L32" s="24"/>
      <c r="W32" s="158"/>
      <c r="X32" s="636"/>
      <c r="Y32" s="636"/>
      <c r="Z32" s="636"/>
      <c r="AA32" s="542" t="s">
        <v>28</v>
      </c>
      <c r="AB32" s="636"/>
      <c r="AC32" s="636"/>
      <c r="AD32" s="542" t="s">
        <v>27</v>
      </c>
      <c r="AE32" s="543" t="s">
        <v>29</v>
      </c>
    </row>
    <row r="33" spans="2:31" s="1" customFormat="1" ht="14.55" customHeight="1" x14ac:dyDescent="0.2">
      <c r="B33" s="24"/>
      <c r="D33" s="13" t="s">
        <v>30</v>
      </c>
      <c r="E33" s="528" t="s">
        <v>31</v>
      </c>
      <c r="F33" s="398">
        <f>ROUND((SUM(BE138:BE349)),  2)</f>
        <v>0</v>
      </c>
      <c r="G33" s="521"/>
      <c r="H33" s="521"/>
      <c r="I33" s="535">
        <v>0.2</v>
      </c>
      <c r="J33" s="398">
        <f>ROUND(((SUM(BE138:BE349))*I33),  2)</f>
        <v>0</v>
      </c>
      <c r="L33" s="24"/>
      <c r="W33" s="158"/>
      <c r="X33" s="636"/>
      <c r="Y33" s="544" t="s">
        <v>30</v>
      </c>
      <c r="Z33" s="639" t="s">
        <v>31</v>
      </c>
      <c r="AA33" s="545">
        <f>ROUND((SUM(BZ138:BZ349)),  2)</f>
        <v>0</v>
      </c>
      <c r="AB33" s="636"/>
      <c r="AC33" s="636"/>
      <c r="AD33" s="546">
        <v>0.2</v>
      </c>
      <c r="AE33" s="547">
        <f>ROUND(((SUM(BZ138:BZ349))*AD33),  2)</f>
        <v>0</v>
      </c>
    </row>
    <row r="34" spans="2:31" s="1" customFormat="1" ht="14.55" customHeight="1" x14ac:dyDescent="0.2">
      <c r="B34" s="24"/>
      <c r="D34" s="521"/>
      <c r="E34" s="528" t="s">
        <v>32</v>
      </c>
      <c r="F34" s="398">
        <f>ROUND((SUM(BF138:BF349)),  2)</f>
        <v>133643.85</v>
      </c>
      <c r="G34" s="521"/>
      <c r="H34" s="521"/>
      <c r="I34" s="535">
        <v>0.2</v>
      </c>
      <c r="J34" s="398">
        <f>ROUND(((SUM(BF138:BF349))*I34),  2)</f>
        <v>26728.77</v>
      </c>
      <c r="L34" s="24"/>
      <c r="W34" s="158"/>
      <c r="X34" s="636"/>
      <c r="Y34" s="636"/>
      <c r="Z34" s="639" t="s">
        <v>32</v>
      </c>
      <c r="AA34" s="545">
        <f>AE30</f>
        <v>188429.27</v>
      </c>
      <c r="AB34" s="636"/>
      <c r="AC34" s="636"/>
      <c r="AD34" s="546">
        <v>0.2</v>
      </c>
      <c r="AE34" s="547">
        <f>AA34*0.2</f>
        <v>37685.853999999999</v>
      </c>
    </row>
    <row r="35" spans="2:31" s="1" customFormat="1" ht="14.55" hidden="1" customHeight="1" x14ac:dyDescent="0.2">
      <c r="B35" s="24"/>
      <c r="E35" s="21" t="s">
        <v>33</v>
      </c>
      <c r="F35" s="78">
        <f>ROUND((SUM(BG138:BG349)),  2)</f>
        <v>0</v>
      </c>
      <c r="I35" s="79">
        <v>0.2</v>
      </c>
      <c r="J35" s="78">
        <f>0</f>
        <v>0</v>
      </c>
      <c r="L35" s="24"/>
      <c r="W35" s="158"/>
      <c r="X35" s="636"/>
      <c r="Y35" s="636"/>
      <c r="Z35" s="637" t="s">
        <v>33</v>
      </c>
      <c r="AA35" s="170">
        <f>ROUND((SUM(CB138:CB349)),  2)</f>
        <v>0</v>
      </c>
      <c r="AB35" s="636"/>
      <c r="AC35" s="636"/>
      <c r="AD35" s="171">
        <v>0.2</v>
      </c>
      <c r="AE35" s="172">
        <f>0</f>
        <v>0</v>
      </c>
    </row>
    <row r="36" spans="2:31" s="1" customFormat="1" ht="14.55" hidden="1" customHeight="1" x14ac:dyDescent="0.2">
      <c r="B36" s="24"/>
      <c r="E36" s="21" t="s">
        <v>34</v>
      </c>
      <c r="F36" s="78">
        <f>ROUND((SUM(BH138:BH349)),  2)</f>
        <v>0</v>
      </c>
      <c r="I36" s="79">
        <v>0.2</v>
      </c>
      <c r="J36" s="78">
        <f>0</f>
        <v>0</v>
      </c>
      <c r="L36" s="24"/>
      <c r="W36" s="158"/>
      <c r="X36" s="636"/>
      <c r="Y36" s="636"/>
      <c r="Z36" s="637" t="s">
        <v>34</v>
      </c>
      <c r="AA36" s="170">
        <f>ROUND((SUM(CC138:CC349)),  2)</f>
        <v>0</v>
      </c>
      <c r="AB36" s="636"/>
      <c r="AC36" s="636"/>
      <c r="AD36" s="171">
        <v>0.2</v>
      </c>
      <c r="AE36" s="172">
        <f>0</f>
        <v>0</v>
      </c>
    </row>
    <row r="37" spans="2:31" s="1" customFormat="1" ht="14.55" hidden="1" customHeight="1" x14ac:dyDescent="0.2">
      <c r="B37" s="24"/>
      <c r="E37" s="21" t="s">
        <v>35</v>
      </c>
      <c r="F37" s="78">
        <f>ROUND((SUM(BI138:BI349)),  2)</f>
        <v>0</v>
      </c>
      <c r="I37" s="79">
        <v>0</v>
      </c>
      <c r="J37" s="78">
        <f>0</f>
        <v>0</v>
      </c>
      <c r="L37" s="24"/>
      <c r="W37" s="158"/>
      <c r="X37" s="636"/>
      <c r="Y37" s="636"/>
      <c r="Z37" s="637" t="s">
        <v>35</v>
      </c>
      <c r="AA37" s="170">
        <f>ROUND((SUM(CD138:CD349)),  2)</f>
        <v>0</v>
      </c>
      <c r="AB37" s="636"/>
      <c r="AC37" s="636"/>
      <c r="AD37" s="171">
        <v>0</v>
      </c>
      <c r="AE37" s="172">
        <f>0</f>
        <v>0</v>
      </c>
    </row>
    <row r="38" spans="2:31" s="1" customFormat="1" ht="7.05" customHeight="1" x14ac:dyDescent="0.2">
      <c r="B38" s="24"/>
      <c r="L38" s="24"/>
      <c r="W38" s="158"/>
      <c r="X38" s="636"/>
      <c r="Y38" s="636"/>
      <c r="Z38" s="636"/>
      <c r="AA38" s="636"/>
      <c r="AB38" s="636"/>
      <c r="AC38" s="636"/>
      <c r="AD38" s="636"/>
      <c r="AE38" s="159"/>
    </row>
    <row r="39" spans="2:31" s="1" customFormat="1" ht="25.2" customHeight="1" x14ac:dyDescent="0.2">
      <c r="B39" s="24"/>
      <c r="C39" s="80"/>
      <c r="D39" s="81" t="s">
        <v>36</v>
      </c>
      <c r="E39" s="44"/>
      <c r="F39" s="44"/>
      <c r="G39" s="82" t="s">
        <v>37</v>
      </c>
      <c r="H39" s="83" t="s">
        <v>38</v>
      </c>
      <c r="I39" s="44"/>
      <c r="J39" s="84">
        <f>SUM(J30:J37)</f>
        <v>160372.62</v>
      </c>
      <c r="K39" s="85"/>
      <c r="L39" s="24"/>
      <c r="W39" s="158"/>
      <c r="X39" s="173"/>
      <c r="Y39" s="81" t="s">
        <v>36</v>
      </c>
      <c r="Z39" s="44"/>
      <c r="AA39" s="44"/>
      <c r="AB39" s="82" t="s">
        <v>37</v>
      </c>
      <c r="AC39" s="83" t="s">
        <v>38</v>
      </c>
      <c r="AD39" s="44"/>
      <c r="AE39" s="174">
        <f>SUM(AE30:AE37)</f>
        <v>226115.12399999998</v>
      </c>
    </row>
    <row r="40" spans="2:31" s="1" customFormat="1" ht="14.55" customHeight="1" x14ac:dyDescent="0.2">
      <c r="B40" s="24"/>
      <c r="L40" s="24"/>
      <c r="W40" s="158"/>
      <c r="X40" s="636"/>
      <c r="Y40" s="636"/>
      <c r="Z40" s="636"/>
      <c r="AA40" s="636"/>
      <c r="AB40" s="636"/>
      <c r="AC40" s="636"/>
      <c r="AD40" s="636"/>
      <c r="AE40" s="159"/>
    </row>
    <row r="41" spans="2:31" ht="14.55" customHeight="1" x14ac:dyDescent="0.2">
      <c r="B41" s="16"/>
      <c r="L41" s="16"/>
      <c r="W41" s="155"/>
      <c r="X41" s="156"/>
      <c r="Y41" s="156"/>
      <c r="Z41" s="156"/>
      <c r="AA41" s="156"/>
      <c r="AB41" s="156"/>
      <c r="AC41" s="156"/>
      <c r="AD41" s="156"/>
      <c r="AE41" s="157"/>
    </row>
    <row r="42" spans="2:31" ht="14.55" customHeight="1" x14ac:dyDescent="0.2">
      <c r="B42" s="16"/>
      <c r="L42" s="16"/>
      <c r="W42" s="155"/>
      <c r="X42" s="156"/>
      <c r="Y42" s="156"/>
      <c r="Z42" s="156"/>
      <c r="AA42" s="156"/>
      <c r="AB42" s="156"/>
      <c r="AC42" s="156"/>
      <c r="AD42" s="156"/>
      <c r="AE42" s="157"/>
    </row>
    <row r="43" spans="2:31" ht="14.55" customHeight="1" x14ac:dyDescent="0.2">
      <c r="B43" s="16"/>
      <c r="L43" s="16"/>
      <c r="W43" s="155"/>
      <c r="X43" s="156"/>
      <c r="Y43" s="156"/>
      <c r="Z43" s="156"/>
      <c r="AA43" s="156"/>
      <c r="AB43" s="156"/>
      <c r="AC43" s="156"/>
      <c r="AD43" s="156"/>
      <c r="AE43" s="157"/>
    </row>
    <row r="44" spans="2:31" ht="14.55" customHeight="1" x14ac:dyDescent="0.2">
      <c r="B44" s="16"/>
      <c r="L44" s="16"/>
      <c r="W44" s="155"/>
      <c r="X44" s="156"/>
      <c r="Y44" s="156"/>
      <c r="Z44" s="156"/>
      <c r="AA44" s="156"/>
      <c r="AB44" s="156"/>
      <c r="AC44" s="156"/>
      <c r="AD44" s="156"/>
      <c r="AE44" s="157"/>
    </row>
    <row r="45" spans="2:31" ht="14.55" customHeight="1" x14ac:dyDescent="0.2">
      <c r="B45" s="16"/>
      <c r="L45" s="16"/>
      <c r="W45" s="155"/>
      <c r="X45" s="156"/>
      <c r="Y45" s="156"/>
      <c r="Z45" s="156"/>
      <c r="AA45" s="156"/>
      <c r="AB45" s="156"/>
      <c r="AC45" s="156"/>
      <c r="AD45" s="156"/>
      <c r="AE45" s="157"/>
    </row>
    <row r="46" spans="2:31" ht="14.55" customHeight="1" x14ac:dyDescent="0.2">
      <c r="B46" s="16"/>
      <c r="L46" s="16"/>
      <c r="W46" s="155"/>
      <c r="X46" s="156"/>
      <c r="Y46" s="156"/>
      <c r="Z46" s="156"/>
      <c r="AA46" s="156"/>
      <c r="AB46" s="156"/>
      <c r="AC46" s="156"/>
      <c r="AD46" s="156"/>
      <c r="AE46" s="157"/>
    </row>
    <row r="47" spans="2:31" ht="14.55" customHeight="1" x14ac:dyDescent="0.2">
      <c r="B47" s="16"/>
      <c r="L47" s="16"/>
      <c r="W47" s="155"/>
      <c r="X47" s="156"/>
      <c r="Y47" s="156"/>
      <c r="Z47" s="156"/>
      <c r="AA47" s="156"/>
      <c r="AB47" s="156"/>
      <c r="AC47" s="156"/>
      <c r="AD47" s="156"/>
      <c r="AE47" s="157"/>
    </row>
    <row r="48" spans="2:31" ht="14.55" customHeight="1" x14ac:dyDescent="0.2">
      <c r="B48" s="16"/>
      <c r="L48" s="16"/>
      <c r="W48" s="155"/>
      <c r="X48" s="156"/>
      <c r="Y48" s="156"/>
      <c r="Z48" s="156"/>
      <c r="AA48" s="156"/>
      <c r="AB48" s="156"/>
      <c r="AC48" s="156"/>
      <c r="AD48" s="156"/>
      <c r="AE48" s="157"/>
    </row>
    <row r="49" spans="2:31" ht="14.55" customHeight="1" x14ac:dyDescent="0.2">
      <c r="B49" s="16"/>
      <c r="D49" s="156"/>
      <c r="E49" s="156"/>
      <c r="F49" s="156"/>
      <c r="G49" s="156"/>
      <c r="H49" s="156"/>
      <c r="I49" s="156"/>
      <c r="J49" s="156"/>
      <c r="L49" s="16"/>
      <c r="W49" s="155"/>
      <c r="X49" s="156"/>
      <c r="Y49" s="156"/>
      <c r="Z49" s="156"/>
      <c r="AA49" s="156"/>
      <c r="AB49" s="156"/>
      <c r="AC49" s="156"/>
      <c r="AD49" s="156"/>
      <c r="AE49" s="157"/>
    </row>
    <row r="50" spans="2:31" s="1" customFormat="1" ht="14.55" customHeight="1" x14ac:dyDescent="0.2">
      <c r="B50" s="24"/>
      <c r="D50" s="530"/>
      <c r="E50" s="523"/>
      <c r="F50" s="523"/>
      <c r="G50" s="530"/>
      <c r="H50" s="523"/>
      <c r="I50" s="523"/>
      <c r="J50" s="523"/>
      <c r="K50" s="32"/>
      <c r="L50" s="24"/>
      <c r="W50" s="158"/>
      <c r="X50" s="636"/>
      <c r="Y50" s="530"/>
      <c r="Z50" s="636"/>
      <c r="AA50" s="636"/>
      <c r="AB50" s="530"/>
      <c r="AC50" s="636"/>
      <c r="AD50" s="636"/>
      <c r="AE50" s="159"/>
    </row>
    <row r="51" spans="2:31" x14ac:dyDescent="0.2">
      <c r="B51" s="16"/>
      <c r="D51" s="156"/>
      <c r="E51" s="156"/>
      <c r="F51" s="156"/>
      <c r="G51" s="156"/>
      <c r="H51" s="156"/>
      <c r="I51" s="156"/>
      <c r="J51" s="156"/>
      <c r="L51" s="16"/>
      <c r="W51" s="155"/>
      <c r="X51" s="156"/>
      <c r="Y51" s="156"/>
      <c r="Z51" s="156"/>
      <c r="AA51" s="156"/>
      <c r="AB51" s="156"/>
      <c r="AC51" s="156"/>
      <c r="AD51" s="156"/>
      <c r="AE51" s="157"/>
    </row>
    <row r="52" spans="2:31" x14ac:dyDescent="0.2">
      <c r="B52" s="16"/>
      <c r="D52" s="156"/>
      <c r="E52" s="156"/>
      <c r="F52" s="156"/>
      <c r="G52" s="156"/>
      <c r="H52" s="156"/>
      <c r="I52" s="156"/>
      <c r="J52" s="156"/>
      <c r="L52" s="16"/>
      <c r="W52" s="155"/>
      <c r="X52" s="156"/>
      <c r="Y52" s="156"/>
      <c r="Z52" s="156"/>
      <c r="AA52" s="156"/>
      <c r="AB52" s="156"/>
      <c r="AC52" s="156"/>
      <c r="AD52" s="156"/>
      <c r="AE52" s="157"/>
    </row>
    <row r="53" spans="2:31" x14ac:dyDescent="0.2">
      <c r="B53" s="16"/>
      <c r="D53" s="156"/>
      <c r="E53" s="156"/>
      <c r="F53" s="156"/>
      <c r="G53" s="156"/>
      <c r="H53" s="156"/>
      <c r="I53" s="156"/>
      <c r="J53" s="156"/>
      <c r="L53" s="16"/>
      <c r="W53" s="155"/>
      <c r="X53" s="156"/>
      <c r="Y53" s="156"/>
      <c r="Z53" s="156"/>
      <c r="AA53" s="156"/>
      <c r="AB53" s="156"/>
      <c r="AC53" s="156"/>
      <c r="AD53" s="156"/>
      <c r="AE53" s="157"/>
    </row>
    <row r="54" spans="2:31" x14ac:dyDescent="0.2">
      <c r="B54" s="16"/>
      <c r="D54" s="156"/>
      <c r="E54" s="156"/>
      <c r="F54" s="156"/>
      <c r="G54" s="156"/>
      <c r="H54" s="156"/>
      <c r="I54" s="156"/>
      <c r="J54" s="156"/>
      <c r="L54" s="16"/>
      <c r="W54" s="155"/>
      <c r="X54" s="156"/>
      <c r="Y54" s="156"/>
      <c r="Z54" s="156"/>
      <c r="AA54" s="156"/>
      <c r="AB54" s="156"/>
      <c r="AC54" s="156"/>
      <c r="AD54" s="156"/>
      <c r="AE54" s="157"/>
    </row>
    <row r="55" spans="2:31" x14ac:dyDescent="0.2">
      <c r="B55" s="16"/>
      <c r="D55" s="156"/>
      <c r="E55" s="156"/>
      <c r="F55" s="156"/>
      <c r="G55" s="156"/>
      <c r="H55" s="156"/>
      <c r="I55" s="156"/>
      <c r="J55" s="156"/>
      <c r="L55" s="16"/>
      <c r="W55" s="155"/>
      <c r="X55" s="156"/>
      <c r="Y55" s="156"/>
      <c r="Z55" s="156"/>
      <c r="AA55" s="156"/>
      <c r="AB55" s="156"/>
      <c r="AC55" s="156"/>
      <c r="AD55" s="156"/>
      <c r="AE55" s="157"/>
    </row>
    <row r="56" spans="2:31" x14ac:dyDescent="0.2">
      <c r="B56" s="16"/>
      <c r="D56" s="156"/>
      <c r="E56" s="156"/>
      <c r="F56" s="156"/>
      <c r="G56" s="156"/>
      <c r="H56" s="156"/>
      <c r="I56" s="156"/>
      <c r="J56" s="156"/>
      <c r="L56" s="16"/>
      <c r="W56" s="155"/>
      <c r="X56" s="156"/>
      <c r="Y56" s="156"/>
      <c r="Z56" s="156"/>
      <c r="AA56" s="156"/>
      <c r="AB56" s="156"/>
      <c r="AC56" s="156"/>
      <c r="AD56" s="156"/>
      <c r="AE56" s="157"/>
    </row>
    <row r="57" spans="2:31" x14ac:dyDescent="0.2">
      <c r="B57" s="16"/>
      <c r="D57" s="156"/>
      <c r="E57" s="156"/>
      <c r="F57" s="156"/>
      <c r="G57" s="156"/>
      <c r="H57" s="156"/>
      <c r="I57" s="156"/>
      <c r="J57" s="156"/>
      <c r="L57" s="16"/>
      <c r="W57" s="155"/>
      <c r="X57" s="156"/>
      <c r="Y57" s="156"/>
      <c r="Z57" s="156"/>
      <c r="AA57" s="156"/>
      <c r="AB57" s="156"/>
      <c r="AC57" s="156"/>
      <c r="AD57" s="156"/>
      <c r="AE57" s="157"/>
    </row>
    <row r="58" spans="2:31" x14ac:dyDescent="0.2">
      <c r="B58" s="16"/>
      <c r="D58" s="156"/>
      <c r="E58" s="156"/>
      <c r="F58" s="156"/>
      <c r="G58" s="156"/>
      <c r="H58" s="156"/>
      <c r="I58" s="156"/>
      <c r="J58" s="156"/>
      <c r="L58" s="16"/>
      <c r="W58" s="155"/>
      <c r="X58" s="156"/>
      <c r="Y58" s="156"/>
      <c r="Z58" s="156"/>
      <c r="AA58" s="156"/>
      <c r="AB58" s="156"/>
      <c r="AC58" s="156"/>
      <c r="AD58" s="156"/>
      <c r="AE58" s="157"/>
    </row>
    <row r="59" spans="2:31" x14ac:dyDescent="0.2">
      <c r="B59" s="16"/>
      <c r="D59" s="156"/>
      <c r="E59" s="156"/>
      <c r="F59" s="156"/>
      <c r="G59" s="156"/>
      <c r="H59" s="156"/>
      <c r="I59" s="156"/>
      <c r="J59" s="156"/>
      <c r="L59" s="16"/>
      <c r="W59" s="155"/>
      <c r="X59" s="156"/>
      <c r="Y59" s="156"/>
      <c r="Z59" s="156"/>
      <c r="AA59" s="156"/>
      <c r="AB59" s="156"/>
      <c r="AC59" s="156"/>
      <c r="AD59" s="156"/>
      <c r="AE59" s="157"/>
    </row>
    <row r="60" spans="2:31" x14ac:dyDescent="0.2">
      <c r="B60" s="16"/>
      <c r="D60" s="156"/>
      <c r="E60" s="156"/>
      <c r="F60" s="156"/>
      <c r="G60" s="156"/>
      <c r="H60" s="156"/>
      <c r="I60" s="156"/>
      <c r="J60" s="156"/>
      <c r="L60" s="16"/>
      <c r="W60" s="155"/>
      <c r="X60" s="156"/>
      <c r="Y60" s="156"/>
      <c r="Z60" s="156"/>
      <c r="AA60" s="156"/>
      <c r="AB60" s="156"/>
      <c r="AC60" s="156"/>
      <c r="AD60" s="156"/>
      <c r="AE60" s="157"/>
    </row>
    <row r="61" spans="2:31" s="1" customFormat="1" ht="13.2" x14ac:dyDescent="0.2">
      <c r="B61" s="24"/>
      <c r="D61" s="522"/>
      <c r="E61" s="523"/>
      <c r="F61" s="536"/>
      <c r="G61" s="522"/>
      <c r="H61" s="523"/>
      <c r="I61" s="523"/>
      <c r="J61" s="169"/>
      <c r="K61" s="26"/>
      <c r="L61" s="24"/>
      <c r="W61" s="158"/>
      <c r="X61" s="636"/>
      <c r="Y61" s="637"/>
      <c r="Z61" s="636"/>
      <c r="AA61" s="536"/>
      <c r="AB61" s="637"/>
      <c r="AC61" s="636"/>
      <c r="AD61" s="636"/>
      <c r="AE61" s="577"/>
    </row>
    <row r="62" spans="2:31" x14ac:dyDescent="0.2">
      <c r="B62" s="16"/>
      <c r="D62" s="156"/>
      <c r="E62" s="156"/>
      <c r="F62" s="156"/>
      <c r="G62" s="156"/>
      <c r="H62" s="156"/>
      <c r="I62" s="156"/>
      <c r="J62" s="156"/>
      <c r="L62" s="16"/>
      <c r="W62" s="155"/>
      <c r="X62" s="156"/>
      <c r="Y62" s="156"/>
      <c r="Z62" s="156"/>
      <c r="AA62" s="156"/>
      <c r="AB62" s="156"/>
      <c r="AC62" s="156"/>
      <c r="AD62" s="156"/>
      <c r="AE62" s="157"/>
    </row>
    <row r="63" spans="2:31" x14ac:dyDescent="0.2">
      <c r="B63" s="16"/>
      <c r="D63" s="156"/>
      <c r="E63" s="156"/>
      <c r="F63" s="156"/>
      <c r="G63" s="156"/>
      <c r="H63" s="156"/>
      <c r="I63" s="156"/>
      <c r="J63" s="156"/>
      <c r="L63" s="16"/>
      <c r="W63" s="155"/>
      <c r="X63" s="156"/>
      <c r="Y63" s="156"/>
      <c r="Z63" s="156"/>
      <c r="AA63" s="156"/>
      <c r="AB63" s="156"/>
      <c r="AC63" s="156"/>
      <c r="AD63" s="156"/>
      <c r="AE63" s="157"/>
    </row>
    <row r="64" spans="2:31" x14ac:dyDescent="0.2">
      <c r="B64" s="16"/>
      <c r="D64" s="156"/>
      <c r="E64" s="156"/>
      <c r="F64" s="156"/>
      <c r="G64" s="156"/>
      <c r="H64" s="156"/>
      <c r="I64" s="156"/>
      <c r="J64" s="156"/>
      <c r="L64" s="16"/>
      <c r="W64" s="155"/>
      <c r="X64" s="156"/>
      <c r="Y64" s="156"/>
      <c r="Z64" s="156"/>
      <c r="AA64" s="156"/>
      <c r="AB64" s="156"/>
      <c r="AC64" s="156"/>
      <c r="AD64" s="156"/>
      <c r="AE64" s="157"/>
    </row>
    <row r="65" spans="2:31" s="1" customFormat="1" ht="13.2" x14ac:dyDescent="0.2">
      <c r="B65" s="24"/>
      <c r="D65" s="530"/>
      <c r="E65" s="523"/>
      <c r="F65" s="523"/>
      <c r="G65" s="530"/>
      <c r="H65" s="523"/>
      <c r="I65" s="523"/>
      <c r="J65" s="523"/>
      <c r="K65" s="32"/>
      <c r="L65" s="24"/>
      <c r="W65" s="158"/>
      <c r="X65" s="636"/>
      <c r="Y65" s="530"/>
      <c r="Z65" s="636"/>
      <c r="AA65" s="636"/>
      <c r="AB65" s="530"/>
      <c r="AC65" s="636"/>
      <c r="AD65" s="636"/>
      <c r="AE65" s="159"/>
    </row>
    <row r="66" spans="2:31" x14ac:dyDescent="0.2">
      <c r="B66" s="16"/>
      <c r="D66" s="156"/>
      <c r="E66" s="156"/>
      <c r="F66" s="156"/>
      <c r="G66" s="156"/>
      <c r="H66" s="156"/>
      <c r="I66" s="156"/>
      <c r="J66" s="156"/>
      <c r="L66" s="16"/>
      <c r="W66" s="155"/>
      <c r="X66" s="156"/>
      <c r="Y66" s="156"/>
      <c r="Z66" s="156"/>
      <c r="AA66" s="156"/>
      <c r="AB66" s="156"/>
      <c r="AC66" s="156"/>
      <c r="AD66" s="156"/>
      <c r="AE66" s="157"/>
    </row>
    <row r="67" spans="2:31" x14ac:dyDescent="0.2">
      <c r="B67" s="16"/>
      <c r="D67" s="156"/>
      <c r="E67" s="156"/>
      <c r="F67" s="156"/>
      <c r="G67" s="156"/>
      <c r="H67" s="156"/>
      <c r="I67" s="156"/>
      <c r="J67" s="156"/>
      <c r="L67" s="16"/>
      <c r="W67" s="155"/>
      <c r="X67" s="156"/>
      <c r="Y67" s="156"/>
      <c r="Z67" s="156"/>
      <c r="AA67" s="156"/>
      <c r="AB67" s="156"/>
      <c r="AC67" s="156"/>
      <c r="AD67" s="156"/>
      <c r="AE67" s="157"/>
    </row>
    <row r="68" spans="2:31" x14ac:dyDescent="0.2">
      <c r="B68" s="16"/>
      <c r="D68" s="156"/>
      <c r="E68" s="156"/>
      <c r="F68" s="156"/>
      <c r="G68" s="156"/>
      <c r="H68" s="156"/>
      <c r="I68" s="156"/>
      <c r="J68" s="156"/>
      <c r="L68" s="16"/>
      <c r="W68" s="155"/>
      <c r="X68" s="156"/>
      <c r="Y68" s="156"/>
      <c r="Z68" s="156"/>
      <c r="AA68" s="156"/>
      <c r="AB68" s="156"/>
      <c r="AC68" s="156"/>
      <c r="AD68" s="156"/>
      <c r="AE68" s="157"/>
    </row>
    <row r="69" spans="2:31" x14ac:dyDescent="0.2">
      <c r="B69" s="16"/>
      <c r="D69" s="156"/>
      <c r="E69" s="156"/>
      <c r="F69" s="156"/>
      <c r="G69" s="156"/>
      <c r="H69" s="156"/>
      <c r="I69" s="156"/>
      <c r="J69" s="156"/>
      <c r="L69" s="16"/>
      <c r="W69" s="155"/>
      <c r="X69" s="156"/>
      <c r="Y69" s="156"/>
      <c r="Z69" s="156"/>
      <c r="AA69" s="156"/>
      <c r="AB69" s="156"/>
      <c r="AC69" s="156"/>
      <c r="AD69" s="156"/>
      <c r="AE69" s="157"/>
    </row>
    <row r="70" spans="2:31" x14ac:dyDescent="0.2">
      <c r="B70" s="16"/>
      <c r="D70" s="156"/>
      <c r="E70" s="156"/>
      <c r="F70" s="156"/>
      <c r="G70" s="156"/>
      <c r="H70" s="156"/>
      <c r="I70" s="156"/>
      <c r="J70" s="156"/>
      <c r="L70" s="16"/>
      <c r="W70" s="155"/>
      <c r="X70" s="156"/>
      <c r="Y70" s="156"/>
      <c r="Z70" s="156"/>
      <c r="AA70" s="156"/>
      <c r="AB70" s="156"/>
      <c r="AC70" s="156"/>
      <c r="AD70" s="156"/>
      <c r="AE70" s="157"/>
    </row>
    <row r="71" spans="2:31" x14ac:dyDescent="0.2">
      <c r="B71" s="16"/>
      <c r="D71" s="156"/>
      <c r="E71" s="156"/>
      <c r="F71" s="156"/>
      <c r="G71" s="156"/>
      <c r="H71" s="156"/>
      <c r="I71" s="156"/>
      <c r="J71" s="156"/>
      <c r="L71" s="16"/>
      <c r="W71" s="155"/>
      <c r="X71" s="156"/>
      <c r="Y71" s="156"/>
      <c r="Z71" s="156"/>
      <c r="AA71" s="156"/>
      <c r="AB71" s="156"/>
      <c r="AC71" s="156"/>
      <c r="AD71" s="156"/>
      <c r="AE71" s="157"/>
    </row>
    <row r="72" spans="2:31" x14ac:dyDescent="0.2">
      <c r="B72" s="16"/>
      <c r="D72" s="156"/>
      <c r="E72" s="156"/>
      <c r="F72" s="156"/>
      <c r="G72" s="156"/>
      <c r="H72" s="156"/>
      <c r="I72" s="156"/>
      <c r="J72" s="156"/>
      <c r="L72" s="16"/>
      <c r="W72" s="155"/>
      <c r="X72" s="156"/>
      <c r="Y72" s="156"/>
      <c r="Z72" s="156"/>
      <c r="AA72" s="156"/>
      <c r="AB72" s="156"/>
      <c r="AC72" s="156"/>
      <c r="AD72" s="156"/>
      <c r="AE72" s="157"/>
    </row>
    <row r="73" spans="2:31" x14ac:dyDescent="0.2">
      <c r="B73" s="16"/>
      <c r="D73" s="156"/>
      <c r="E73" s="156"/>
      <c r="F73" s="156"/>
      <c r="G73" s="156"/>
      <c r="H73" s="156"/>
      <c r="I73" s="156"/>
      <c r="J73" s="156"/>
      <c r="L73" s="16"/>
      <c r="W73" s="155"/>
      <c r="X73" s="156"/>
      <c r="Y73" s="156"/>
      <c r="Z73" s="156"/>
      <c r="AA73" s="156"/>
      <c r="AB73" s="156"/>
      <c r="AC73" s="156"/>
      <c r="AD73" s="156"/>
      <c r="AE73" s="157"/>
    </row>
    <row r="74" spans="2:31" x14ac:dyDescent="0.2">
      <c r="B74" s="16"/>
      <c r="D74" s="156"/>
      <c r="E74" s="156"/>
      <c r="F74" s="156"/>
      <c r="G74" s="156"/>
      <c r="H74" s="156"/>
      <c r="I74" s="156"/>
      <c r="J74" s="156"/>
      <c r="L74" s="16"/>
      <c r="W74" s="155"/>
      <c r="X74" s="156"/>
      <c r="Y74" s="156"/>
      <c r="Z74" s="156"/>
      <c r="AA74" s="156"/>
      <c r="AB74" s="156"/>
      <c r="AC74" s="156"/>
      <c r="AD74" s="156"/>
      <c r="AE74" s="157"/>
    </row>
    <row r="75" spans="2:31" x14ac:dyDescent="0.2">
      <c r="B75" s="16"/>
      <c r="D75" s="156"/>
      <c r="E75" s="156"/>
      <c r="F75" s="156"/>
      <c r="G75" s="156"/>
      <c r="H75" s="156"/>
      <c r="I75" s="156"/>
      <c r="J75" s="156"/>
      <c r="L75" s="16"/>
      <c r="W75" s="155"/>
      <c r="X75" s="156"/>
      <c r="Y75" s="156"/>
      <c r="Z75" s="156"/>
      <c r="AA75" s="156"/>
      <c r="AB75" s="156"/>
      <c r="AC75" s="156"/>
      <c r="AD75" s="156"/>
      <c r="AE75" s="157"/>
    </row>
    <row r="76" spans="2:31" s="1" customFormat="1" ht="13.2" x14ac:dyDescent="0.2">
      <c r="B76" s="24"/>
      <c r="D76" s="522"/>
      <c r="E76" s="523"/>
      <c r="F76" s="536"/>
      <c r="G76" s="522"/>
      <c r="H76" s="523"/>
      <c r="I76" s="523"/>
      <c r="J76" s="169"/>
      <c r="K76" s="26"/>
      <c r="L76" s="24"/>
      <c r="W76" s="158"/>
      <c r="X76" s="636"/>
      <c r="Y76" s="637"/>
      <c r="Z76" s="636"/>
      <c r="AA76" s="536"/>
      <c r="AB76" s="637"/>
      <c r="AC76" s="636"/>
      <c r="AD76" s="636"/>
      <c r="AE76" s="577"/>
    </row>
    <row r="77" spans="2:31" s="1" customFormat="1" ht="14.55" customHeight="1" x14ac:dyDescent="0.2">
      <c r="B77" s="33"/>
      <c r="C77" s="34"/>
      <c r="D77" s="34"/>
      <c r="E77" s="34"/>
      <c r="F77" s="34"/>
      <c r="G77" s="34"/>
      <c r="H77" s="34"/>
      <c r="I77" s="34"/>
      <c r="J77" s="34"/>
      <c r="K77" s="34"/>
      <c r="L77" s="24"/>
      <c r="W77" s="175"/>
      <c r="X77" s="176"/>
      <c r="Y77" s="176"/>
      <c r="Z77" s="176"/>
      <c r="AA77" s="176"/>
      <c r="AB77" s="176"/>
      <c r="AC77" s="176"/>
      <c r="AD77" s="176"/>
      <c r="AE77" s="177"/>
    </row>
    <row r="81" spans="2:47" s="1" customFormat="1" ht="7.05" customHeight="1" x14ac:dyDescent="0.2">
      <c r="B81" s="35"/>
      <c r="C81" s="36"/>
      <c r="D81" s="36"/>
      <c r="E81" s="36"/>
      <c r="F81" s="36"/>
      <c r="G81" s="36"/>
      <c r="H81" s="36"/>
      <c r="I81" s="36"/>
      <c r="J81" s="36"/>
      <c r="K81" s="36"/>
      <c r="L81" s="24"/>
      <c r="W81" s="178"/>
      <c r="X81" s="179"/>
      <c r="Y81" s="179"/>
      <c r="Z81" s="179"/>
      <c r="AA81" s="179"/>
      <c r="AB81" s="179"/>
      <c r="AC81" s="179"/>
      <c r="AD81" s="179"/>
      <c r="AE81" s="180"/>
    </row>
    <row r="82" spans="2:47" s="1" customFormat="1" ht="25.05" customHeight="1" x14ac:dyDescent="0.2">
      <c r="B82" s="24"/>
      <c r="C82" s="1165" t="s">
        <v>188</v>
      </c>
      <c r="D82" s="1165"/>
      <c r="E82" s="1165"/>
      <c r="F82" s="1165"/>
      <c r="G82" s="1165"/>
      <c r="H82" s="1165"/>
      <c r="I82" s="1165"/>
      <c r="J82" s="1165"/>
      <c r="L82" s="24"/>
      <c r="W82" s="158"/>
      <c r="X82" s="1237" t="s">
        <v>188</v>
      </c>
      <c r="Y82" s="1237"/>
      <c r="Z82" s="1237"/>
      <c r="AA82" s="1237"/>
      <c r="AB82" s="1237"/>
      <c r="AC82" s="1237"/>
      <c r="AD82" s="1237"/>
      <c r="AE82" s="1238"/>
    </row>
    <row r="83" spans="2:47" s="1" customFormat="1" ht="7.05" customHeight="1" x14ac:dyDescent="0.2">
      <c r="B83" s="24"/>
      <c r="L83" s="24"/>
      <c r="W83" s="158"/>
      <c r="X83" s="636"/>
      <c r="Y83" s="636"/>
      <c r="Z83" s="636"/>
      <c r="AA83" s="636"/>
      <c r="AB83" s="636"/>
      <c r="AC83" s="636"/>
      <c r="AD83" s="636"/>
      <c r="AE83" s="159"/>
    </row>
    <row r="84" spans="2:47" s="1" customFormat="1" ht="12" customHeight="1" x14ac:dyDescent="0.2">
      <c r="B84" s="24"/>
      <c r="C84" s="528" t="s">
        <v>12</v>
      </c>
      <c r="E84" s="1242" t="s">
        <v>6177</v>
      </c>
      <c r="F84" s="1242"/>
      <c r="G84" s="1242"/>
      <c r="H84" s="1242"/>
      <c r="I84" s="1242"/>
      <c r="J84" s="1242"/>
      <c r="L84" s="24"/>
      <c r="W84" s="158"/>
      <c r="X84" s="639" t="s">
        <v>12</v>
      </c>
      <c r="Y84" s="636"/>
      <c r="Z84" s="1163" t="s">
        <v>6177</v>
      </c>
      <c r="AA84" s="1163"/>
      <c r="AB84" s="1163"/>
      <c r="AC84" s="1163"/>
      <c r="AD84" s="1163"/>
      <c r="AE84" s="1241"/>
    </row>
    <row r="85" spans="2:47" s="1" customFormat="1" ht="24" customHeight="1" x14ac:dyDescent="0.2">
      <c r="B85" s="24"/>
      <c r="C85" s="521"/>
      <c r="E85" s="1243"/>
      <c r="F85" s="1244"/>
      <c r="G85" s="1244"/>
      <c r="H85" s="1244"/>
      <c r="L85" s="24"/>
      <c r="W85" s="158"/>
      <c r="X85" s="636"/>
      <c r="Y85" s="636"/>
      <c r="Z85" s="1249"/>
      <c r="AA85" s="1250"/>
      <c r="AB85" s="1250"/>
      <c r="AC85" s="1250"/>
      <c r="AD85" s="636"/>
      <c r="AE85" s="159"/>
    </row>
    <row r="86" spans="2:47" s="1" customFormat="1" ht="12" customHeight="1" x14ac:dyDescent="0.2">
      <c r="B86" s="24"/>
      <c r="C86" s="528" t="s">
        <v>186</v>
      </c>
      <c r="F86" s="532" t="s">
        <v>4248</v>
      </c>
      <c r="L86" s="24"/>
      <c r="W86" s="158"/>
      <c r="X86" s="639" t="s">
        <v>186</v>
      </c>
      <c r="Y86" s="636"/>
      <c r="Z86" s="636"/>
      <c r="AA86" s="555" t="s">
        <v>4248</v>
      </c>
      <c r="AB86" s="636"/>
      <c r="AC86" s="636"/>
      <c r="AD86" s="636"/>
      <c r="AE86" s="159"/>
    </row>
    <row r="87" spans="2:47" s="1" customFormat="1" ht="16.5" customHeight="1" x14ac:dyDescent="0.2">
      <c r="B87" s="24"/>
      <c r="C87" s="521"/>
      <c r="E87" s="1251"/>
      <c r="F87" s="1252"/>
      <c r="G87" s="1252"/>
      <c r="H87" s="1252"/>
      <c r="L87" s="24"/>
      <c r="W87" s="158"/>
      <c r="X87" s="636"/>
      <c r="Y87" s="636"/>
      <c r="Z87" s="1245"/>
      <c r="AA87" s="1246"/>
      <c r="AB87" s="1246"/>
      <c r="AC87" s="1246"/>
      <c r="AD87" s="636"/>
      <c r="AE87" s="159"/>
    </row>
    <row r="88" spans="2:47" s="1" customFormat="1" ht="7.05" customHeight="1" x14ac:dyDescent="0.2">
      <c r="B88" s="24"/>
      <c r="C88" s="521"/>
      <c r="L88" s="24"/>
      <c r="W88" s="158"/>
      <c r="X88" s="636"/>
      <c r="Y88" s="636"/>
      <c r="Z88" s="636"/>
      <c r="AA88" s="636"/>
      <c r="AB88" s="636"/>
      <c r="AC88" s="636"/>
      <c r="AD88" s="636"/>
      <c r="AE88" s="159"/>
    </row>
    <row r="89" spans="2:47" s="1" customFormat="1" ht="12" customHeight="1" x14ac:dyDescent="0.2">
      <c r="B89" s="24"/>
      <c r="C89" s="528" t="s">
        <v>15</v>
      </c>
      <c r="F89" s="19" t="str">
        <f>F12</f>
        <v>Kuzmányho nábrežie 28, 960 01 Zvolen</v>
      </c>
      <c r="I89" s="528" t="s">
        <v>17</v>
      </c>
      <c r="J89" s="39" t="str">
        <f>IF(J12="","",J12)</f>
        <v/>
      </c>
      <c r="L89" s="24"/>
      <c r="W89" s="158"/>
      <c r="X89" s="639" t="s">
        <v>15</v>
      </c>
      <c r="Y89" s="636"/>
      <c r="Z89" s="636"/>
      <c r="AA89" s="640" t="str">
        <f>AA12</f>
        <v>Kuzmányho nábrežie 28, 960 01 Zvolen</v>
      </c>
      <c r="AB89" s="636"/>
      <c r="AC89" s="636"/>
      <c r="AD89" s="639" t="s">
        <v>17</v>
      </c>
      <c r="AE89" s="162" t="str">
        <f>IF(AE12="","",AE12)</f>
        <v/>
      </c>
    </row>
    <row r="90" spans="2:47" s="1" customFormat="1" ht="7.05" customHeight="1" x14ac:dyDescent="0.2">
      <c r="B90" s="24"/>
      <c r="C90" s="521"/>
      <c r="I90" s="521"/>
      <c r="L90" s="24"/>
      <c r="W90" s="158"/>
      <c r="X90" s="636"/>
      <c r="Y90" s="636"/>
      <c r="Z90" s="636"/>
      <c r="AA90" s="636"/>
      <c r="AB90" s="636"/>
      <c r="AC90" s="636"/>
      <c r="AD90" s="636"/>
      <c r="AE90" s="159"/>
    </row>
    <row r="91" spans="2:47" s="1" customFormat="1" ht="15.3" customHeight="1" x14ac:dyDescent="0.2">
      <c r="B91" s="24"/>
      <c r="C91" s="528" t="s">
        <v>18</v>
      </c>
      <c r="F91" s="529" t="s">
        <v>6175</v>
      </c>
      <c r="I91" s="528" t="s">
        <v>22</v>
      </c>
      <c r="J91" s="22" t="str">
        <f>E21</f>
        <v xml:space="preserve"> </v>
      </c>
      <c r="L91" s="24"/>
      <c r="W91" s="158"/>
      <c r="X91" s="639" t="s">
        <v>18</v>
      </c>
      <c r="Y91" s="636"/>
      <c r="Z91" s="636"/>
      <c r="AA91" s="576" t="s">
        <v>6175</v>
      </c>
      <c r="AB91" s="636"/>
      <c r="AC91" s="636"/>
      <c r="AD91" s="639" t="s">
        <v>22</v>
      </c>
      <c r="AE91" s="181" t="str">
        <f>Z21</f>
        <v/>
      </c>
    </row>
    <row r="92" spans="2:47" s="1" customFormat="1" ht="15.3" customHeight="1" x14ac:dyDescent="0.2">
      <c r="B92" s="24"/>
      <c r="C92" s="528" t="s">
        <v>21</v>
      </c>
      <c r="F92" s="529" t="s">
        <v>5202</v>
      </c>
      <c r="I92" s="528" t="s">
        <v>24</v>
      </c>
      <c r="J92" s="22" t="str">
        <f>E24</f>
        <v xml:space="preserve"> </v>
      </c>
      <c r="L92" s="24"/>
      <c r="W92" s="158"/>
      <c r="X92" s="639" t="s">
        <v>21</v>
      </c>
      <c r="Y92" s="636"/>
      <c r="Z92" s="636"/>
      <c r="AA92" s="576" t="s">
        <v>5202</v>
      </c>
      <c r="AB92" s="636"/>
      <c r="AC92" s="636"/>
      <c r="AD92" s="639" t="s">
        <v>24</v>
      </c>
      <c r="AE92" s="181" t="str">
        <f>Z24</f>
        <v/>
      </c>
    </row>
    <row r="93" spans="2:47" s="1" customFormat="1" ht="10.199999999999999" customHeight="1" x14ac:dyDescent="0.2">
      <c r="B93" s="24"/>
      <c r="L93" s="24"/>
      <c r="W93" s="158"/>
      <c r="X93" s="636"/>
      <c r="Y93" s="636"/>
      <c r="Z93" s="636"/>
      <c r="AA93" s="636"/>
      <c r="AB93" s="636"/>
      <c r="AC93" s="636"/>
      <c r="AD93" s="636"/>
      <c r="AE93" s="159"/>
    </row>
    <row r="94" spans="2:47" s="1" customFormat="1" ht="29.25" customHeight="1" x14ac:dyDescent="0.2">
      <c r="B94" s="24"/>
      <c r="C94" s="86" t="s">
        <v>189</v>
      </c>
      <c r="D94" s="80"/>
      <c r="E94" s="80"/>
      <c r="F94" s="80"/>
      <c r="G94" s="80"/>
      <c r="H94" s="80"/>
      <c r="I94" s="80"/>
      <c r="J94" s="87" t="s">
        <v>190</v>
      </c>
      <c r="K94" s="80"/>
      <c r="L94" s="24"/>
      <c r="W94" s="158"/>
      <c r="X94" s="182" t="s">
        <v>189</v>
      </c>
      <c r="Y94" s="173"/>
      <c r="Z94" s="173"/>
      <c r="AA94" s="173"/>
      <c r="AB94" s="173"/>
      <c r="AC94" s="173"/>
      <c r="AD94" s="173"/>
      <c r="AE94" s="183" t="s">
        <v>190</v>
      </c>
    </row>
    <row r="95" spans="2:47" s="1" customFormat="1" ht="10.199999999999999" customHeight="1" x14ac:dyDescent="0.2">
      <c r="B95" s="24"/>
      <c r="L95" s="24"/>
      <c r="W95" s="158"/>
      <c r="X95" s="636"/>
      <c r="Y95" s="636"/>
      <c r="Z95" s="636"/>
      <c r="AA95" s="636"/>
      <c r="AB95" s="636"/>
      <c r="AC95" s="636"/>
      <c r="AD95" s="636"/>
      <c r="AE95" s="159"/>
    </row>
    <row r="96" spans="2:47" s="1" customFormat="1" ht="22.95" customHeight="1" x14ac:dyDescent="0.2">
      <c r="B96" s="24"/>
      <c r="C96" s="88" t="s">
        <v>191</v>
      </c>
      <c r="J96" s="53">
        <f>J138</f>
        <v>133643.85</v>
      </c>
      <c r="L96" s="24"/>
      <c r="W96" s="158"/>
      <c r="X96" s="184" t="s">
        <v>191</v>
      </c>
      <c r="Y96" s="636"/>
      <c r="Z96" s="636"/>
      <c r="AA96" s="636"/>
      <c r="AB96" s="636"/>
      <c r="AC96" s="636"/>
      <c r="AD96" s="636"/>
      <c r="AE96" s="1155">
        <f>AE138</f>
        <v>188429.27000000002</v>
      </c>
      <c r="AF96" s="1119"/>
      <c r="AU96" s="13" t="s">
        <v>192</v>
      </c>
    </row>
    <row r="97" spans="2:32" s="8" customFormat="1" ht="25.05" customHeight="1" x14ac:dyDescent="0.2">
      <c r="B97" s="89"/>
      <c r="D97" s="90" t="s">
        <v>193</v>
      </c>
      <c r="E97" s="91"/>
      <c r="F97" s="91"/>
      <c r="G97" s="91"/>
      <c r="H97" s="91"/>
      <c r="I97" s="91"/>
      <c r="J97" s="92">
        <f>J139</f>
        <v>81544.78</v>
      </c>
      <c r="L97" s="89"/>
      <c r="W97" s="185"/>
      <c r="X97" s="186"/>
      <c r="Y97" s="90" t="s">
        <v>193</v>
      </c>
      <c r="Z97" s="91"/>
      <c r="AA97" s="91"/>
      <c r="AB97" s="91"/>
      <c r="AC97" s="91"/>
      <c r="AD97" s="91"/>
      <c r="AE97" s="1154">
        <f>AE139</f>
        <v>116329.15000000001</v>
      </c>
      <c r="AF97" s="328"/>
    </row>
    <row r="98" spans="2:32" s="9" customFormat="1" ht="19.95" customHeight="1" x14ac:dyDescent="0.2">
      <c r="B98" s="93"/>
      <c r="D98" s="94" t="s">
        <v>194</v>
      </c>
      <c r="E98" s="95"/>
      <c r="F98" s="95"/>
      <c r="G98" s="95"/>
      <c r="H98" s="95"/>
      <c r="I98" s="95"/>
      <c r="J98" s="96">
        <f>J140</f>
        <v>13710.43</v>
      </c>
      <c r="L98" s="93"/>
      <c r="W98" s="188"/>
      <c r="X98" s="189"/>
      <c r="Y98" s="94" t="s">
        <v>194</v>
      </c>
      <c r="Z98" s="95"/>
      <c r="AA98" s="95"/>
      <c r="AB98" s="95"/>
      <c r="AC98" s="95"/>
      <c r="AD98" s="95"/>
      <c r="AE98" s="1156">
        <f>AE140</f>
        <v>24569.180000000004</v>
      </c>
    </row>
    <row r="99" spans="2:32" s="9" customFormat="1" ht="19.95" customHeight="1" x14ac:dyDescent="0.2">
      <c r="B99" s="93"/>
      <c r="D99" s="94" t="s">
        <v>195</v>
      </c>
      <c r="E99" s="95"/>
      <c r="F99" s="95"/>
      <c r="G99" s="95"/>
      <c r="H99" s="95"/>
      <c r="I99" s="95"/>
      <c r="J99" s="96">
        <f>J161</f>
        <v>740.01</v>
      </c>
      <c r="L99" s="93"/>
      <c r="W99" s="188"/>
      <c r="X99" s="189"/>
      <c r="Y99" s="94" t="s">
        <v>195</v>
      </c>
      <c r="Z99" s="95"/>
      <c r="AA99" s="95"/>
      <c r="AB99" s="95"/>
      <c r="AC99" s="95"/>
      <c r="AD99" s="95"/>
      <c r="AE99" s="1156">
        <f>AE161</f>
        <v>841.89</v>
      </c>
    </row>
    <row r="100" spans="2:32" s="9" customFormat="1" ht="19.95" customHeight="1" x14ac:dyDescent="0.2">
      <c r="B100" s="93"/>
      <c r="D100" s="94" t="s">
        <v>196</v>
      </c>
      <c r="E100" s="95"/>
      <c r="F100" s="95"/>
      <c r="G100" s="95"/>
      <c r="H100" s="95"/>
      <c r="I100" s="95"/>
      <c r="J100" s="96">
        <f>J169</f>
        <v>35294.549999999996</v>
      </c>
      <c r="L100" s="93"/>
      <c r="W100" s="188"/>
      <c r="X100" s="189"/>
      <c r="Y100" s="94" t="s">
        <v>196</v>
      </c>
      <c r="Z100" s="95"/>
      <c r="AA100" s="95"/>
      <c r="AB100" s="95"/>
      <c r="AC100" s="95"/>
      <c r="AD100" s="95"/>
      <c r="AE100" s="1156">
        <f>AE169</f>
        <v>49573.760000000002</v>
      </c>
    </row>
    <row r="101" spans="2:32" s="9" customFormat="1" ht="19.95" customHeight="1" x14ac:dyDescent="0.2">
      <c r="B101" s="93"/>
      <c r="D101" s="94" t="s">
        <v>197</v>
      </c>
      <c r="E101" s="95"/>
      <c r="F101" s="95"/>
      <c r="G101" s="95"/>
      <c r="H101" s="95"/>
      <c r="I101" s="95"/>
      <c r="J101" s="96">
        <f>J200</f>
        <v>2037.4</v>
      </c>
      <c r="L101" s="93"/>
      <c r="W101" s="188"/>
      <c r="X101" s="189"/>
      <c r="Y101" s="94" t="s">
        <v>197</v>
      </c>
      <c r="Z101" s="95"/>
      <c r="AA101" s="95"/>
      <c r="AB101" s="95"/>
      <c r="AC101" s="95"/>
      <c r="AD101" s="95"/>
      <c r="AE101" s="1156">
        <f>AE200</f>
        <v>2082.3199999999997</v>
      </c>
    </row>
    <row r="102" spans="2:32" s="9" customFormat="1" ht="19.95" customHeight="1" x14ac:dyDescent="0.2">
      <c r="B102" s="93"/>
      <c r="D102" s="94" t="s">
        <v>198</v>
      </c>
      <c r="E102" s="95"/>
      <c r="F102" s="95"/>
      <c r="G102" s="95"/>
      <c r="H102" s="95"/>
      <c r="I102" s="95"/>
      <c r="J102" s="96">
        <f>J206</f>
        <v>727.2</v>
      </c>
      <c r="L102" s="93"/>
      <c r="W102" s="188"/>
      <c r="X102" s="189"/>
      <c r="Y102" s="94" t="s">
        <v>198</v>
      </c>
      <c r="Z102" s="95"/>
      <c r="AA102" s="95"/>
      <c r="AB102" s="95"/>
      <c r="AC102" s="95"/>
      <c r="AD102" s="95"/>
      <c r="AE102" s="1156">
        <f>AE206</f>
        <v>970.06999999999994</v>
      </c>
    </row>
    <row r="103" spans="2:32" s="9" customFormat="1" ht="19.95" customHeight="1" x14ac:dyDescent="0.2">
      <c r="B103" s="93"/>
      <c r="D103" s="94" t="s">
        <v>199</v>
      </c>
      <c r="E103" s="95"/>
      <c r="F103" s="95"/>
      <c r="G103" s="95"/>
      <c r="H103" s="95"/>
      <c r="I103" s="95"/>
      <c r="J103" s="96">
        <f>J209</f>
        <v>1698.1299999999999</v>
      </c>
      <c r="L103" s="93"/>
      <c r="W103" s="188"/>
      <c r="X103" s="189"/>
      <c r="Y103" s="94" t="s">
        <v>199</v>
      </c>
      <c r="Z103" s="95"/>
      <c r="AA103" s="95"/>
      <c r="AB103" s="95"/>
      <c r="AC103" s="95"/>
      <c r="AD103" s="95"/>
      <c r="AE103" s="1156">
        <f>AE209</f>
        <v>2264.81</v>
      </c>
    </row>
    <row r="104" spans="2:32" s="9" customFormat="1" ht="19.95" customHeight="1" x14ac:dyDescent="0.2">
      <c r="B104" s="93"/>
      <c r="D104" s="94" t="s">
        <v>200</v>
      </c>
      <c r="E104" s="95"/>
      <c r="F104" s="95"/>
      <c r="G104" s="95"/>
      <c r="H104" s="95"/>
      <c r="I104" s="95"/>
      <c r="J104" s="96">
        <f>J225</f>
        <v>24018.550000000007</v>
      </c>
      <c r="L104" s="93"/>
      <c r="W104" s="188"/>
      <c r="X104" s="189"/>
      <c r="Y104" s="94" t="s">
        <v>200</v>
      </c>
      <c r="Z104" s="95"/>
      <c r="AA104" s="95"/>
      <c r="AB104" s="95"/>
      <c r="AC104" s="95"/>
      <c r="AD104" s="95"/>
      <c r="AE104" s="1156">
        <f>AE225</f>
        <v>29799.240000000005</v>
      </c>
    </row>
    <row r="105" spans="2:32" s="9" customFormat="1" ht="19.95" customHeight="1" x14ac:dyDescent="0.2">
      <c r="B105" s="93"/>
      <c r="D105" s="94" t="s">
        <v>201</v>
      </c>
      <c r="E105" s="95"/>
      <c r="F105" s="95"/>
      <c r="G105" s="95"/>
      <c r="H105" s="95"/>
      <c r="I105" s="95"/>
      <c r="J105" s="96">
        <f>J258</f>
        <v>3318.51</v>
      </c>
      <c r="L105" s="93"/>
      <c r="W105" s="188"/>
      <c r="X105" s="189"/>
      <c r="Y105" s="94" t="s">
        <v>201</v>
      </c>
      <c r="Z105" s="95"/>
      <c r="AA105" s="95"/>
      <c r="AB105" s="95"/>
      <c r="AC105" s="95"/>
      <c r="AD105" s="95"/>
      <c r="AE105" s="1156">
        <f>AE258</f>
        <v>6227.88</v>
      </c>
    </row>
    <row r="106" spans="2:32" s="8" customFormat="1" ht="25.05" customHeight="1" x14ac:dyDescent="0.2">
      <c r="B106" s="89"/>
      <c r="D106" s="90" t="s">
        <v>202</v>
      </c>
      <c r="E106" s="91"/>
      <c r="F106" s="91"/>
      <c r="G106" s="91"/>
      <c r="H106" s="91"/>
      <c r="I106" s="91"/>
      <c r="J106" s="92">
        <f>J260</f>
        <v>52099.070000000007</v>
      </c>
      <c r="L106" s="89"/>
      <c r="W106" s="185"/>
      <c r="X106" s="186"/>
      <c r="Y106" s="90" t="s">
        <v>202</v>
      </c>
      <c r="Z106" s="91"/>
      <c r="AA106" s="91"/>
      <c r="AB106" s="91"/>
      <c r="AC106" s="91"/>
      <c r="AD106" s="91"/>
      <c r="AE106" s="1154">
        <f>AE260</f>
        <v>72100.12</v>
      </c>
      <c r="AF106" s="328"/>
    </row>
    <row r="107" spans="2:32" s="9" customFormat="1" ht="19.95" customHeight="1" x14ac:dyDescent="0.2">
      <c r="B107" s="93"/>
      <c r="D107" s="94" t="s">
        <v>203</v>
      </c>
      <c r="E107" s="95"/>
      <c r="F107" s="95"/>
      <c r="G107" s="95"/>
      <c r="H107" s="95"/>
      <c r="I107" s="95"/>
      <c r="J107" s="96">
        <f>J261</f>
        <v>5031.21</v>
      </c>
      <c r="L107" s="93"/>
      <c r="W107" s="188"/>
      <c r="X107" s="189"/>
      <c r="Y107" s="94" t="s">
        <v>203</v>
      </c>
      <c r="Z107" s="95"/>
      <c r="AA107" s="95"/>
      <c r="AB107" s="95"/>
      <c r="AC107" s="95"/>
      <c r="AD107" s="95"/>
      <c r="AE107" s="1156">
        <f>AE261</f>
        <v>5570.5599999999995</v>
      </c>
    </row>
    <row r="108" spans="2:32" s="9" customFormat="1" ht="19.95" customHeight="1" x14ac:dyDescent="0.2">
      <c r="B108" s="93"/>
      <c r="D108" s="94" t="s">
        <v>896</v>
      </c>
      <c r="E108" s="95"/>
      <c r="F108" s="95"/>
      <c r="G108" s="95"/>
      <c r="H108" s="95"/>
      <c r="I108" s="95"/>
      <c r="J108" s="96">
        <f>J265</f>
        <v>1155.9600000000003</v>
      </c>
      <c r="L108" s="93"/>
      <c r="W108" s="188"/>
      <c r="X108" s="189"/>
      <c r="Y108" s="94" t="s">
        <v>896</v>
      </c>
      <c r="Z108" s="95"/>
      <c r="AA108" s="95"/>
      <c r="AB108" s="95"/>
      <c r="AC108" s="95"/>
      <c r="AD108" s="95"/>
      <c r="AE108" s="1156">
        <f>AE265</f>
        <v>1155.9600000000003</v>
      </c>
    </row>
    <row r="109" spans="2:32" s="9" customFormat="1" ht="19.95" customHeight="1" x14ac:dyDescent="0.2">
      <c r="B109" s="93"/>
      <c r="D109" s="94" t="s">
        <v>204</v>
      </c>
      <c r="E109" s="95"/>
      <c r="F109" s="95"/>
      <c r="G109" s="95"/>
      <c r="H109" s="95"/>
      <c r="I109" s="95"/>
      <c r="J109" s="96">
        <f>J270</f>
        <v>177.63</v>
      </c>
      <c r="L109" s="93"/>
      <c r="W109" s="188"/>
      <c r="X109" s="189"/>
      <c r="Y109" s="94" t="s">
        <v>204</v>
      </c>
      <c r="Z109" s="95"/>
      <c r="AA109" s="95"/>
      <c r="AB109" s="95"/>
      <c r="AC109" s="95"/>
      <c r="AD109" s="95"/>
      <c r="AE109" s="1156">
        <f>AE270</f>
        <v>219.91</v>
      </c>
    </row>
    <row r="110" spans="2:32" s="9" customFormat="1" ht="19.95" customHeight="1" x14ac:dyDescent="0.2">
      <c r="B110" s="93"/>
      <c r="D110" s="94" t="s">
        <v>205</v>
      </c>
      <c r="E110" s="95"/>
      <c r="F110" s="95"/>
      <c r="G110" s="95"/>
      <c r="H110" s="95"/>
      <c r="I110" s="95"/>
      <c r="J110" s="96">
        <f>J274</f>
        <v>136.91</v>
      </c>
      <c r="L110" s="93"/>
      <c r="W110" s="188"/>
      <c r="X110" s="189"/>
      <c r="Y110" s="94" t="s">
        <v>205</v>
      </c>
      <c r="Z110" s="95"/>
      <c r="AA110" s="95"/>
      <c r="AB110" s="95"/>
      <c r="AC110" s="95"/>
      <c r="AD110" s="95"/>
      <c r="AE110" s="1156">
        <f>AE274</f>
        <v>155.48000000000002</v>
      </c>
    </row>
    <row r="111" spans="2:32" s="9" customFormat="1" ht="19.95" customHeight="1" x14ac:dyDescent="0.2">
      <c r="B111" s="93"/>
      <c r="D111" s="94" t="s">
        <v>206</v>
      </c>
      <c r="E111" s="95"/>
      <c r="F111" s="95"/>
      <c r="G111" s="95"/>
      <c r="H111" s="95"/>
      <c r="I111" s="95"/>
      <c r="J111" s="96">
        <f>J280</f>
        <v>95.67</v>
      </c>
      <c r="L111" s="93"/>
      <c r="W111" s="188"/>
      <c r="X111" s="189"/>
      <c r="Y111" s="94" t="s">
        <v>206</v>
      </c>
      <c r="Z111" s="95"/>
      <c r="AA111" s="95"/>
      <c r="AB111" s="95"/>
      <c r="AC111" s="95"/>
      <c r="AD111" s="95"/>
      <c r="AE111" s="1156">
        <f>AE280</f>
        <v>371.14</v>
      </c>
    </row>
    <row r="112" spans="2:32" s="9" customFormat="1" ht="19.95" customHeight="1" x14ac:dyDescent="0.2">
      <c r="B112" s="93"/>
      <c r="D112" s="94" t="s">
        <v>207</v>
      </c>
      <c r="E112" s="95"/>
      <c r="F112" s="95"/>
      <c r="G112" s="95"/>
      <c r="H112" s="95"/>
      <c r="I112" s="95"/>
      <c r="J112" s="96">
        <f>J284</f>
        <v>489.07</v>
      </c>
      <c r="L112" s="93"/>
      <c r="W112" s="188"/>
      <c r="X112" s="189"/>
      <c r="Y112" s="94" t="s">
        <v>207</v>
      </c>
      <c r="Z112" s="95"/>
      <c r="AA112" s="95"/>
      <c r="AB112" s="95"/>
      <c r="AC112" s="95"/>
      <c r="AD112" s="95"/>
      <c r="AE112" s="1156">
        <f>AE284</f>
        <v>2218.48</v>
      </c>
    </row>
    <row r="113" spans="2:31" s="9" customFormat="1" ht="19.95" customHeight="1" x14ac:dyDescent="0.2">
      <c r="B113" s="93"/>
      <c r="D113" s="94" t="s">
        <v>208</v>
      </c>
      <c r="E113" s="95"/>
      <c r="F113" s="95"/>
      <c r="G113" s="95"/>
      <c r="H113" s="95"/>
      <c r="I113" s="95"/>
      <c r="J113" s="96">
        <f>J288</f>
        <v>3230.25</v>
      </c>
      <c r="L113" s="93"/>
      <c r="W113" s="188"/>
      <c r="X113" s="189"/>
      <c r="Y113" s="94" t="s">
        <v>208</v>
      </c>
      <c r="Z113" s="95"/>
      <c r="AA113" s="95"/>
      <c r="AB113" s="95"/>
      <c r="AC113" s="95"/>
      <c r="AD113" s="95"/>
      <c r="AE113" s="1156">
        <f>AE288</f>
        <v>5158.08</v>
      </c>
    </row>
    <row r="114" spans="2:31" s="9" customFormat="1" ht="19.95" customHeight="1" x14ac:dyDescent="0.2">
      <c r="B114" s="93"/>
      <c r="D114" s="94" t="s">
        <v>209</v>
      </c>
      <c r="E114" s="95"/>
      <c r="F114" s="95"/>
      <c r="G114" s="95"/>
      <c r="H114" s="95"/>
      <c r="I114" s="95"/>
      <c r="J114" s="96">
        <f>J303</f>
        <v>21469.22</v>
      </c>
      <c r="L114" s="93"/>
      <c r="W114" s="188"/>
      <c r="X114" s="189"/>
      <c r="Y114" s="94" t="s">
        <v>209</v>
      </c>
      <c r="Z114" s="95"/>
      <c r="AA114" s="95"/>
      <c r="AB114" s="95"/>
      <c r="AC114" s="95"/>
      <c r="AD114" s="95"/>
      <c r="AE114" s="1156">
        <f>AE303</f>
        <v>32790.340000000004</v>
      </c>
    </row>
    <row r="115" spans="2:31" s="9" customFormat="1" ht="19.95" customHeight="1" x14ac:dyDescent="0.2">
      <c r="B115" s="93"/>
      <c r="D115" s="94" t="s">
        <v>210</v>
      </c>
      <c r="E115" s="95"/>
      <c r="F115" s="95"/>
      <c r="G115" s="95"/>
      <c r="H115" s="95"/>
      <c r="I115" s="95"/>
      <c r="J115" s="96">
        <f>J324</f>
        <v>531.72</v>
      </c>
      <c r="L115" s="93"/>
      <c r="W115" s="188"/>
      <c r="X115" s="189"/>
      <c r="Y115" s="94" t="s">
        <v>210</v>
      </c>
      <c r="Z115" s="95"/>
      <c r="AA115" s="95"/>
      <c r="AB115" s="95"/>
      <c r="AC115" s="95"/>
      <c r="AD115" s="95"/>
      <c r="AE115" s="1156">
        <f>AE324</f>
        <v>940.97</v>
      </c>
    </row>
    <row r="116" spans="2:31" s="9" customFormat="1" ht="19.95" customHeight="1" x14ac:dyDescent="0.2">
      <c r="B116" s="93"/>
      <c r="D116" s="94" t="s">
        <v>211</v>
      </c>
      <c r="E116" s="95"/>
      <c r="F116" s="95"/>
      <c r="G116" s="95"/>
      <c r="H116" s="95"/>
      <c r="I116" s="95"/>
      <c r="J116" s="96">
        <f>J332</f>
        <v>9010.93</v>
      </c>
      <c r="L116" s="93"/>
      <c r="W116" s="188"/>
      <c r="X116" s="189"/>
      <c r="Y116" s="94" t="s">
        <v>211</v>
      </c>
      <c r="Z116" s="95"/>
      <c r="AA116" s="95"/>
      <c r="AB116" s="95"/>
      <c r="AC116" s="95"/>
      <c r="AD116" s="95"/>
      <c r="AE116" s="1156">
        <f>AE332</f>
        <v>9486.89</v>
      </c>
    </row>
    <row r="117" spans="2:31" s="9" customFormat="1" ht="19.95" customHeight="1" x14ac:dyDescent="0.2">
      <c r="B117" s="93"/>
      <c r="D117" s="94" t="s">
        <v>212</v>
      </c>
      <c r="E117" s="95"/>
      <c r="F117" s="95"/>
      <c r="G117" s="95"/>
      <c r="H117" s="95"/>
      <c r="I117" s="95"/>
      <c r="J117" s="96">
        <f>J341</f>
        <v>2869.33</v>
      </c>
      <c r="L117" s="93"/>
      <c r="W117" s="188"/>
      <c r="X117" s="189"/>
      <c r="Y117" s="94" t="s">
        <v>212</v>
      </c>
      <c r="Z117" s="95"/>
      <c r="AA117" s="95"/>
      <c r="AB117" s="95"/>
      <c r="AC117" s="95"/>
      <c r="AD117" s="95"/>
      <c r="AE117" s="1156">
        <f>AE341</f>
        <v>4976.03</v>
      </c>
    </row>
    <row r="118" spans="2:31" s="9" customFormat="1" ht="19.95" customHeight="1" x14ac:dyDescent="0.2">
      <c r="B118" s="93"/>
      <c r="D118" s="94" t="s">
        <v>213</v>
      </c>
      <c r="E118" s="95"/>
      <c r="F118" s="95"/>
      <c r="G118" s="95"/>
      <c r="H118" s="95"/>
      <c r="I118" s="95"/>
      <c r="J118" s="96">
        <f>J347</f>
        <v>7901.17</v>
      </c>
      <c r="L118" s="93"/>
      <c r="W118" s="188"/>
      <c r="X118" s="189"/>
      <c r="Y118" s="94" t="s">
        <v>213</v>
      </c>
      <c r="Z118" s="95"/>
      <c r="AA118" s="95"/>
      <c r="AB118" s="95"/>
      <c r="AC118" s="95"/>
      <c r="AD118" s="95"/>
      <c r="AE118" s="1156">
        <f>AE347</f>
        <v>9056.2799999999988</v>
      </c>
    </row>
    <row r="119" spans="2:31" s="1" customFormat="1" ht="21.75" customHeight="1" x14ac:dyDescent="0.2">
      <c r="B119" s="24"/>
      <c r="L119" s="24"/>
      <c r="W119" s="158"/>
      <c r="X119" s="636"/>
      <c r="Y119" s="636"/>
      <c r="Z119" s="636"/>
      <c r="AA119" s="636"/>
      <c r="AB119" s="636"/>
      <c r="AC119" s="636"/>
      <c r="AD119" s="636"/>
      <c r="AE119" s="1157"/>
    </row>
    <row r="120" spans="2:31" s="1" customFormat="1" ht="7.05" customHeight="1" x14ac:dyDescent="0.2">
      <c r="B120" s="33"/>
      <c r="C120" s="34"/>
      <c r="D120" s="34"/>
      <c r="E120" s="34"/>
      <c r="F120" s="34"/>
      <c r="G120" s="34"/>
      <c r="H120" s="34"/>
      <c r="I120" s="34"/>
      <c r="J120" s="34"/>
      <c r="K120" s="34"/>
      <c r="L120" s="24"/>
      <c r="W120" s="175"/>
      <c r="X120" s="176"/>
      <c r="Y120" s="176"/>
      <c r="Z120" s="176"/>
      <c r="AA120" s="176"/>
      <c r="AB120" s="176"/>
      <c r="AC120" s="176"/>
      <c r="AD120" s="176"/>
      <c r="AE120" s="177"/>
    </row>
    <row r="124" spans="2:31" s="1" customFormat="1" ht="7.05" customHeight="1" x14ac:dyDescent="0.2">
      <c r="B124" s="35"/>
      <c r="C124" s="36"/>
      <c r="D124" s="36"/>
      <c r="E124" s="36"/>
      <c r="F124" s="36"/>
      <c r="G124" s="36"/>
      <c r="H124" s="36"/>
      <c r="I124" s="36"/>
      <c r="J124" s="36"/>
      <c r="K124" s="36"/>
      <c r="L124" s="24"/>
      <c r="W124" s="178"/>
      <c r="X124" s="179"/>
      <c r="Y124" s="179"/>
      <c r="Z124" s="179"/>
      <c r="AA124" s="179"/>
      <c r="AB124" s="179"/>
      <c r="AC124" s="179"/>
      <c r="AD124" s="179"/>
      <c r="AE124" s="180"/>
    </row>
    <row r="125" spans="2:31" s="1" customFormat="1" ht="25.05" customHeight="1" x14ac:dyDescent="0.2">
      <c r="B125" s="24"/>
      <c r="C125" s="1165" t="s">
        <v>214</v>
      </c>
      <c r="D125" s="1165"/>
      <c r="E125" s="1165"/>
      <c r="F125" s="1165"/>
      <c r="G125" s="1165"/>
      <c r="H125" s="1165"/>
      <c r="I125" s="1165"/>
      <c r="J125" s="1165"/>
      <c r="L125" s="24"/>
      <c r="W125" s="158"/>
      <c r="X125" s="1237" t="s">
        <v>214</v>
      </c>
      <c r="Y125" s="1237"/>
      <c r="Z125" s="1237"/>
      <c r="AA125" s="1237"/>
      <c r="AB125" s="1237"/>
      <c r="AC125" s="1237"/>
      <c r="AD125" s="1237"/>
      <c r="AE125" s="1238"/>
    </row>
    <row r="126" spans="2:31" s="1" customFormat="1" ht="7.05" customHeight="1" x14ac:dyDescent="0.2">
      <c r="B126" s="24"/>
      <c r="L126" s="24"/>
      <c r="W126" s="158"/>
      <c r="X126" s="636"/>
      <c r="Y126" s="636"/>
      <c r="Z126" s="636"/>
      <c r="AA126" s="636"/>
      <c r="AB126" s="636"/>
      <c r="AC126" s="636"/>
      <c r="AD126" s="636"/>
      <c r="AE126" s="159"/>
    </row>
    <row r="127" spans="2:31" s="1" customFormat="1" ht="12" customHeight="1" x14ac:dyDescent="0.2">
      <c r="B127" s="24"/>
      <c r="C127" s="528" t="s">
        <v>12</v>
      </c>
      <c r="E127" s="1242" t="s">
        <v>6177</v>
      </c>
      <c r="F127" s="1242"/>
      <c r="G127" s="1242"/>
      <c r="H127" s="1242"/>
      <c r="I127" s="1242"/>
      <c r="J127" s="1242"/>
      <c r="L127" s="24"/>
      <c r="W127" s="158"/>
      <c r="X127" s="639" t="s">
        <v>12</v>
      </c>
      <c r="Y127" s="636"/>
      <c r="Z127" s="1163" t="s">
        <v>6177</v>
      </c>
      <c r="AA127" s="1163"/>
      <c r="AB127" s="1163"/>
      <c r="AC127" s="1163"/>
      <c r="AD127" s="1163"/>
      <c r="AE127" s="1241"/>
    </row>
    <row r="128" spans="2:31" s="1" customFormat="1" ht="21.45" customHeight="1" x14ac:dyDescent="0.2">
      <c r="B128" s="24"/>
      <c r="C128" s="521"/>
      <c r="E128" s="1243"/>
      <c r="F128" s="1244"/>
      <c r="G128" s="1244"/>
      <c r="H128" s="1244"/>
      <c r="L128" s="24"/>
      <c r="W128" s="158"/>
      <c r="X128" s="636"/>
      <c r="Y128" s="636"/>
      <c r="Z128" s="1249"/>
      <c r="AA128" s="1250"/>
      <c r="AB128" s="1250"/>
      <c r="AC128" s="1250"/>
      <c r="AD128" s="636"/>
      <c r="AE128" s="159"/>
    </row>
    <row r="129" spans="2:65" s="1" customFormat="1" ht="12" customHeight="1" x14ac:dyDescent="0.2">
      <c r="B129" s="24"/>
      <c r="C129" s="528" t="s">
        <v>186</v>
      </c>
      <c r="F129" s="532" t="s">
        <v>4248</v>
      </c>
      <c r="L129" s="24"/>
      <c r="W129" s="158"/>
      <c r="X129" s="639" t="s">
        <v>186</v>
      </c>
      <c r="Y129" s="636"/>
      <c r="Z129" s="636"/>
      <c r="AA129" s="555" t="s">
        <v>4248</v>
      </c>
      <c r="AB129" s="636"/>
      <c r="AC129" s="636"/>
      <c r="AD129" s="636"/>
      <c r="AE129" s="159"/>
    </row>
    <row r="130" spans="2:65" s="1" customFormat="1" ht="16.5" customHeight="1" x14ac:dyDescent="0.2">
      <c r="B130" s="24"/>
      <c r="C130" s="521"/>
      <c r="E130" s="1251"/>
      <c r="F130" s="1252"/>
      <c r="G130" s="1252"/>
      <c r="H130" s="1252"/>
      <c r="L130" s="24"/>
      <c r="W130" s="158"/>
      <c r="X130" s="636"/>
      <c r="Y130" s="636"/>
      <c r="Z130" s="1245"/>
      <c r="AA130" s="1246"/>
      <c r="AB130" s="1246"/>
      <c r="AC130" s="1246"/>
      <c r="AD130" s="636"/>
      <c r="AE130" s="159"/>
    </row>
    <row r="131" spans="2:65" s="1" customFormat="1" ht="7.05" customHeight="1" x14ac:dyDescent="0.2">
      <c r="B131" s="24"/>
      <c r="C131" s="521"/>
      <c r="L131" s="24"/>
      <c r="W131" s="158"/>
      <c r="X131" s="636"/>
      <c r="Y131" s="636"/>
      <c r="Z131" s="636"/>
      <c r="AA131" s="636"/>
      <c r="AB131" s="636"/>
      <c r="AC131" s="636"/>
      <c r="AD131" s="636"/>
      <c r="AE131" s="159"/>
    </row>
    <row r="132" spans="2:65" s="1" customFormat="1" ht="12" customHeight="1" x14ac:dyDescent="0.2">
      <c r="B132" s="24"/>
      <c r="C132" s="528" t="s">
        <v>15</v>
      </c>
      <c r="F132" s="19" t="str">
        <f>F12</f>
        <v>Kuzmányho nábrežie 28, 960 01 Zvolen</v>
      </c>
      <c r="I132" s="528" t="s">
        <v>17</v>
      </c>
      <c r="J132" s="39" t="str">
        <f>IF(J12="","",J12)</f>
        <v/>
      </c>
      <c r="L132" s="24"/>
      <c r="W132" s="158"/>
      <c r="X132" s="639" t="s">
        <v>15</v>
      </c>
      <c r="Y132" s="636"/>
      <c r="Z132" s="636"/>
      <c r="AA132" s="640" t="str">
        <f>AA12</f>
        <v>Kuzmányho nábrežie 28, 960 01 Zvolen</v>
      </c>
      <c r="AB132" s="636"/>
      <c r="AC132" s="636"/>
      <c r="AD132" s="639" t="s">
        <v>17</v>
      </c>
      <c r="AE132" s="162" t="str">
        <f>IF(AE12="","",AE12)</f>
        <v/>
      </c>
    </row>
    <row r="133" spans="2:65" s="1" customFormat="1" ht="7.05" customHeight="1" x14ac:dyDescent="0.2">
      <c r="B133" s="24"/>
      <c r="C133" s="521"/>
      <c r="I133" s="521"/>
      <c r="L133" s="24"/>
      <c r="W133" s="158"/>
      <c r="X133" s="636"/>
      <c r="Y133" s="636"/>
      <c r="Z133" s="636"/>
      <c r="AA133" s="636"/>
      <c r="AB133" s="636"/>
      <c r="AC133" s="636"/>
      <c r="AD133" s="636"/>
      <c r="AE133" s="159"/>
    </row>
    <row r="134" spans="2:65" s="1" customFormat="1" ht="15.3" customHeight="1" x14ac:dyDescent="0.2">
      <c r="B134" s="24"/>
      <c r="C134" s="528" t="s">
        <v>18</v>
      </c>
      <c r="F134" s="529" t="s">
        <v>6175</v>
      </c>
      <c r="I134" s="528" t="s">
        <v>22</v>
      </c>
      <c r="J134" s="22" t="str">
        <f>E21</f>
        <v xml:space="preserve"> </v>
      </c>
      <c r="L134" s="24"/>
      <c r="W134" s="158"/>
      <c r="X134" s="639" t="s">
        <v>18</v>
      </c>
      <c r="Y134" s="636"/>
      <c r="Z134" s="636"/>
      <c r="AA134" s="576" t="s">
        <v>6175</v>
      </c>
      <c r="AB134" s="636"/>
      <c r="AC134" s="636"/>
      <c r="AD134" s="639" t="s">
        <v>22</v>
      </c>
      <c r="AE134" s="181" t="str">
        <f>Z21</f>
        <v/>
      </c>
    </row>
    <row r="135" spans="2:65" s="1" customFormat="1" ht="15.3" customHeight="1" x14ac:dyDescent="0.2">
      <c r="B135" s="24"/>
      <c r="C135" s="528" t="s">
        <v>21</v>
      </c>
      <c r="F135" s="529" t="s">
        <v>5202</v>
      </c>
      <c r="I135" s="528" t="s">
        <v>24</v>
      </c>
      <c r="J135" s="22" t="str">
        <f>E24</f>
        <v xml:space="preserve"> </v>
      </c>
      <c r="L135" s="24"/>
      <c r="W135" s="158"/>
      <c r="X135" s="639" t="s">
        <v>21</v>
      </c>
      <c r="Y135" s="636"/>
      <c r="Z135" s="636"/>
      <c r="AA135" s="576" t="s">
        <v>5202</v>
      </c>
      <c r="AB135" s="636"/>
      <c r="AC135" s="636"/>
      <c r="AD135" s="639" t="s">
        <v>24</v>
      </c>
      <c r="AE135" s="181" t="str">
        <f>Z24</f>
        <v/>
      </c>
    </row>
    <row r="136" spans="2:65" s="1" customFormat="1" ht="10.199999999999999" customHeight="1" x14ac:dyDescent="0.2">
      <c r="B136" s="24"/>
      <c r="L136" s="24"/>
      <c r="W136" s="158"/>
      <c r="X136" s="636"/>
      <c r="Y136" s="636"/>
      <c r="Z136" s="636"/>
      <c r="AA136" s="636"/>
      <c r="AB136" s="636"/>
      <c r="AC136" s="636"/>
      <c r="AD136" s="636"/>
      <c r="AE136" s="159"/>
    </row>
    <row r="137" spans="2:65" s="10" customFormat="1" ht="29.25" customHeight="1" x14ac:dyDescent="0.2">
      <c r="B137" s="97"/>
      <c r="C137" s="98" t="s">
        <v>215</v>
      </c>
      <c r="D137" s="99" t="s">
        <v>43</v>
      </c>
      <c r="E137" s="99" t="s">
        <v>41</v>
      </c>
      <c r="F137" s="99" t="s">
        <v>42</v>
      </c>
      <c r="G137" s="99" t="s">
        <v>216</v>
      </c>
      <c r="H137" s="99" t="s">
        <v>217</v>
      </c>
      <c r="I137" s="99" t="s">
        <v>218</v>
      </c>
      <c r="J137" s="100" t="s">
        <v>190</v>
      </c>
      <c r="K137" s="101" t="s">
        <v>219</v>
      </c>
      <c r="L137" s="97"/>
      <c r="M137" s="46" t="s">
        <v>1</v>
      </c>
      <c r="N137" s="47" t="s">
        <v>30</v>
      </c>
      <c r="O137" s="47" t="s">
        <v>220</v>
      </c>
      <c r="P137" s="47" t="s">
        <v>221</v>
      </c>
      <c r="Q137" s="47" t="s">
        <v>222</v>
      </c>
      <c r="R137" s="47" t="s">
        <v>223</v>
      </c>
      <c r="S137" s="47" t="s">
        <v>224</v>
      </c>
      <c r="T137" s="48" t="s">
        <v>225</v>
      </c>
      <c r="W137" s="191"/>
      <c r="X137" s="98" t="s">
        <v>215</v>
      </c>
      <c r="Y137" s="99" t="s">
        <v>43</v>
      </c>
      <c r="Z137" s="99" t="s">
        <v>41</v>
      </c>
      <c r="AA137" s="99" t="s">
        <v>42</v>
      </c>
      <c r="AB137" s="99" t="s">
        <v>216</v>
      </c>
      <c r="AC137" s="99" t="s">
        <v>217</v>
      </c>
      <c r="AD137" s="99" t="s">
        <v>218</v>
      </c>
      <c r="AE137" s="192" t="s">
        <v>190</v>
      </c>
      <c r="AF137" s="228" t="s">
        <v>5220</v>
      </c>
    </row>
    <row r="138" spans="2:65" s="1" customFormat="1" ht="22.95" customHeight="1" x14ac:dyDescent="0.3">
      <c r="B138" s="24"/>
      <c r="C138" s="51" t="s">
        <v>191</v>
      </c>
      <c r="J138" s="102">
        <f>BK138</f>
        <v>133643.85</v>
      </c>
      <c r="L138" s="24"/>
      <c r="M138" s="49"/>
      <c r="N138" s="40"/>
      <c r="O138" s="40"/>
      <c r="P138" s="103">
        <f>P139+P260</f>
        <v>2504.3843564700001</v>
      </c>
      <c r="Q138" s="40"/>
      <c r="R138" s="103">
        <f>R139+R260</f>
        <v>87.266095450000009</v>
      </c>
      <c r="S138" s="40"/>
      <c r="T138" s="104">
        <f>T139+T260</f>
        <v>43.377990000000004</v>
      </c>
      <c r="W138" s="158"/>
      <c r="X138" s="193" t="s">
        <v>191</v>
      </c>
      <c r="Y138" s="636"/>
      <c r="Z138" s="636"/>
      <c r="AA138" s="636"/>
      <c r="AB138" s="636"/>
      <c r="AC138" s="636"/>
      <c r="AD138" s="636"/>
      <c r="AE138" s="194">
        <f>AE139+AE260</f>
        <v>188429.27000000002</v>
      </c>
      <c r="AF138" s="227"/>
      <c r="AG138" s="130"/>
      <c r="AT138" s="13" t="s">
        <v>57</v>
      </c>
      <c r="AU138" s="13" t="s">
        <v>192</v>
      </c>
      <c r="BK138" s="105">
        <f>BK139+BK260</f>
        <v>133643.85</v>
      </c>
    </row>
    <row r="139" spans="2:65" s="11" customFormat="1" ht="25.95" customHeight="1" x14ac:dyDescent="0.25">
      <c r="B139" s="106"/>
      <c r="D139" s="107" t="s">
        <v>57</v>
      </c>
      <c r="E139" s="108" t="s">
        <v>226</v>
      </c>
      <c r="F139" s="108" t="s">
        <v>227</v>
      </c>
      <c r="J139" s="109">
        <f>BK139</f>
        <v>81544.78</v>
      </c>
      <c r="L139" s="106"/>
      <c r="M139" s="110"/>
      <c r="N139" s="111"/>
      <c r="O139" s="111"/>
      <c r="P139" s="112">
        <f>P140+P161+P169+P200+P206+P209+P225+P258</f>
        <v>1890.5212158700001</v>
      </c>
      <c r="Q139" s="111"/>
      <c r="R139" s="112">
        <f>R140+R161+R169+R200+R206+R209+R225+R258</f>
        <v>87.144787850000014</v>
      </c>
      <c r="S139" s="111"/>
      <c r="T139" s="113">
        <f>T140+T161+T169+T200+T206+T209+T225+T258</f>
        <v>41.409990000000001</v>
      </c>
      <c r="W139" s="195"/>
      <c r="X139" s="111"/>
      <c r="Y139" s="196" t="s">
        <v>57</v>
      </c>
      <c r="Z139" s="197" t="s">
        <v>226</v>
      </c>
      <c r="AA139" s="197" t="s">
        <v>227</v>
      </c>
      <c r="AB139" s="111"/>
      <c r="AC139" s="111"/>
      <c r="AD139" s="111"/>
      <c r="AE139" s="198">
        <f>AE140+AE161+AE169+AE200+AE206+AE209+AE225+AE258</f>
        <v>116329.15000000001</v>
      </c>
      <c r="AF139" s="248"/>
      <c r="AR139" s="107" t="s">
        <v>63</v>
      </c>
      <c r="AT139" s="114" t="s">
        <v>57</v>
      </c>
      <c r="AU139" s="114" t="s">
        <v>58</v>
      </c>
      <c r="AY139" s="107" t="s">
        <v>228</v>
      </c>
      <c r="BK139" s="115">
        <f>BK140+BK161+BK169+BK200+BK206+BK209+BK225+BK258</f>
        <v>81544.78</v>
      </c>
    </row>
    <row r="140" spans="2:65" s="11" customFormat="1" ht="22.95" customHeight="1" x14ac:dyDescent="0.25">
      <c r="B140" s="106"/>
      <c r="D140" s="107" t="s">
        <v>57</v>
      </c>
      <c r="E140" s="116" t="s">
        <v>229</v>
      </c>
      <c r="F140" s="116" t="s">
        <v>230</v>
      </c>
      <c r="J140" s="117">
        <f>BK140</f>
        <v>13710.43</v>
      </c>
      <c r="L140" s="106"/>
      <c r="M140" s="110"/>
      <c r="N140" s="111"/>
      <c r="O140" s="111"/>
      <c r="P140" s="112">
        <f>SUM(P141:P160)</f>
        <v>113.06310323999999</v>
      </c>
      <c r="Q140" s="111"/>
      <c r="R140" s="112">
        <f>SUM(R141:R160)</f>
        <v>37.879140599999999</v>
      </c>
      <c r="S140" s="111"/>
      <c r="T140" s="113">
        <f>SUM(T141:T160)</f>
        <v>0</v>
      </c>
      <c r="W140" s="195"/>
      <c r="X140" s="111"/>
      <c r="Y140" s="196" t="s">
        <v>57</v>
      </c>
      <c r="Z140" s="201" t="s">
        <v>229</v>
      </c>
      <c r="AA140" s="201" t="s">
        <v>230</v>
      </c>
      <c r="AB140" s="111"/>
      <c r="AC140" s="111"/>
      <c r="AD140" s="111"/>
      <c r="AE140" s="202">
        <f>SUM(AE141:AE160)</f>
        <v>24569.180000000004</v>
      </c>
      <c r="AF140" s="1131"/>
      <c r="AR140" s="107" t="s">
        <v>63</v>
      </c>
      <c r="AT140" s="114" t="s">
        <v>57</v>
      </c>
      <c r="AU140" s="114" t="s">
        <v>63</v>
      </c>
      <c r="AY140" s="107" t="s">
        <v>228</v>
      </c>
      <c r="BK140" s="115">
        <f>SUM(BK141:BK160)</f>
        <v>13710.43</v>
      </c>
    </row>
    <row r="141" spans="2:65" s="1" customFormat="1" ht="24" customHeight="1" x14ac:dyDescent="0.2">
      <c r="B141" s="118"/>
      <c r="C141" s="1070" t="s">
        <v>63</v>
      </c>
      <c r="D141" s="119" t="s">
        <v>231</v>
      </c>
      <c r="E141" s="120" t="s">
        <v>232</v>
      </c>
      <c r="F141" s="121" t="s">
        <v>233</v>
      </c>
      <c r="G141" s="122" t="s">
        <v>234</v>
      </c>
      <c r="H141" s="1071">
        <v>3.9</v>
      </c>
      <c r="I141" s="124">
        <v>261.23</v>
      </c>
      <c r="J141" s="124">
        <f t="shared" ref="J141:J160" si="0">ROUND(I141*H141,2)</f>
        <v>1018.8</v>
      </c>
      <c r="K141" s="121" t="s">
        <v>1</v>
      </c>
      <c r="L141" s="24"/>
      <c r="M141" s="125" t="s">
        <v>1</v>
      </c>
      <c r="N141" s="126" t="s">
        <v>32</v>
      </c>
      <c r="O141" s="127">
        <v>4.6652800000000001</v>
      </c>
      <c r="P141" s="127">
        <f t="shared" ref="P141:P160" si="1">O141*H141</f>
        <v>18.194592</v>
      </c>
      <c r="Q141" s="127">
        <v>1.9483999999999999</v>
      </c>
      <c r="R141" s="127">
        <f t="shared" ref="R141:R160" si="2">Q141*H141</f>
        <v>7.5987599999999995</v>
      </c>
      <c r="S141" s="127">
        <v>0</v>
      </c>
      <c r="T141" s="128">
        <f t="shared" ref="T141:T160" si="3">S141*H141</f>
        <v>0</v>
      </c>
      <c r="W141" s="199"/>
      <c r="X141" s="915" t="s">
        <v>63</v>
      </c>
      <c r="Y141" s="119" t="s">
        <v>231</v>
      </c>
      <c r="Z141" s="120" t="s">
        <v>232</v>
      </c>
      <c r="AA141" s="121" t="s">
        <v>233</v>
      </c>
      <c r="AB141" s="122" t="s">
        <v>234</v>
      </c>
      <c r="AC141" s="916">
        <f>3.9+11.6</f>
        <v>15.5</v>
      </c>
      <c r="AD141" s="124">
        <v>261.23</v>
      </c>
      <c r="AE141" s="200">
        <f t="shared" ref="AE141:AE160" si="4">ROUND(AD141*AC141,2)</f>
        <v>4049.07</v>
      </c>
      <c r="AF141" s="956" t="s">
        <v>5478</v>
      </c>
      <c r="AR141" s="129" t="s">
        <v>235</v>
      </c>
      <c r="AT141" s="129" t="s">
        <v>231</v>
      </c>
      <c r="AU141" s="129" t="s">
        <v>76</v>
      </c>
      <c r="AY141" s="13" t="s">
        <v>228</v>
      </c>
      <c r="BE141" s="130">
        <f t="shared" ref="BE141:BE160" si="5">IF(N141="základná",J141,0)</f>
        <v>0</v>
      </c>
      <c r="BF141" s="130">
        <f t="shared" ref="BF141:BF160" si="6">IF(N141="znížená",J141,0)</f>
        <v>1018.8</v>
      </c>
      <c r="BG141" s="130">
        <f t="shared" ref="BG141:BG160" si="7">IF(N141="zákl. prenesená",J141,0)</f>
        <v>0</v>
      </c>
      <c r="BH141" s="130">
        <f t="shared" ref="BH141:BH160" si="8">IF(N141="zníž. prenesená",J141,0)</f>
        <v>0</v>
      </c>
      <c r="BI141" s="130">
        <f t="shared" ref="BI141:BI160" si="9">IF(N141="nulová",J141,0)</f>
        <v>0</v>
      </c>
      <c r="BJ141" s="13" t="s">
        <v>76</v>
      </c>
      <c r="BK141" s="130">
        <f t="shared" ref="BK141:BK160" si="10">ROUND(I141*H141,2)</f>
        <v>1018.8</v>
      </c>
      <c r="BL141" s="13" t="s">
        <v>235</v>
      </c>
      <c r="BM141" s="129" t="s">
        <v>76</v>
      </c>
    </row>
    <row r="142" spans="2:65" s="1" customFormat="1" ht="24" customHeight="1" x14ac:dyDescent="0.2">
      <c r="B142" s="118"/>
      <c r="C142" s="1070" t="s">
        <v>76</v>
      </c>
      <c r="D142" s="119" t="s">
        <v>231</v>
      </c>
      <c r="E142" s="120" t="s">
        <v>236</v>
      </c>
      <c r="F142" s="121" t="s">
        <v>237</v>
      </c>
      <c r="G142" s="122" t="s">
        <v>234</v>
      </c>
      <c r="H142" s="1071">
        <v>14.247999999999999</v>
      </c>
      <c r="I142" s="124">
        <v>249.62</v>
      </c>
      <c r="J142" s="124">
        <f t="shared" si="0"/>
        <v>3556.59</v>
      </c>
      <c r="K142" s="121" t="s">
        <v>1</v>
      </c>
      <c r="L142" s="24"/>
      <c r="M142" s="125" t="s">
        <v>1</v>
      </c>
      <c r="N142" s="126" t="s">
        <v>32</v>
      </c>
      <c r="O142" s="127">
        <v>3.6562800000000002</v>
      </c>
      <c r="P142" s="127">
        <f t="shared" si="1"/>
        <v>52.094677439999998</v>
      </c>
      <c r="Q142" s="127">
        <v>1.9483999999999999</v>
      </c>
      <c r="R142" s="127">
        <f t="shared" si="2"/>
        <v>27.760803199999998</v>
      </c>
      <c r="S142" s="127">
        <v>0</v>
      </c>
      <c r="T142" s="128">
        <f t="shared" si="3"/>
        <v>0</v>
      </c>
      <c r="W142" s="199"/>
      <c r="X142" s="717" t="s">
        <v>76</v>
      </c>
      <c r="Y142" s="705" t="s">
        <v>231</v>
      </c>
      <c r="Z142" s="706" t="s">
        <v>236</v>
      </c>
      <c r="AA142" s="707" t="s">
        <v>237</v>
      </c>
      <c r="AB142" s="708" t="s">
        <v>234</v>
      </c>
      <c r="AC142" s="718">
        <f>14.248+6.111+5.3</f>
        <v>25.658999999999999</v>
      </c>
      <c r="AD142" s="709">
        <v>249.62</v>
      </c>
      <c r="AE142" s="946">
        <f t="shared" si="4"/>
        <v>6405</v>
      </c>
      <c r="AF142" s="956" t="s">
        <v>6598</v>
      </c>
      <c r="AR142" s="129" t="s">
        <v>235</v>
      </c>
      <c r="AT142" s="129" t="s">
        <v>231</v>
      </c>
      <c r="AU142" s="129" t="s">
        <v>76</v>
      </c>
      <c r="AY142" s="13" t="s">
        <v>228</v>
      </c>
      <c r="BE142" s="130">
        <f t="shared" si="5"/>
        <v>0</v>
      </c>
      <c r="BF142" s="130">
        <f t="shared" si="6"/>
        <v>3556.59</v>
      </c>
      <c r="BG142" s="130">
        <f t="shared" si="7"/>
        <v>0</v>
      </c>
      <c r="BH142" s="130">
        <f t="shared" si="8"/>
        <v>0</v>
      </c>
      <c r="BI142" s="130">
        <f t="shared" si="9"/>
        <v>0</v>
      </c>
      <c r="BJ142" s="13" t="s">
        <v>76</v>
      </c>
      <c r="BK142" s="130">
        <f t="shared" si="10"/>
        <v>3556.59</v>
      </c>
      <c r="BL142" s="13" t="s">
        <v>235</v>
      </c>
      <c r="BM142" s="129" t="s">
        <v>235</v>
      </c>
    </row>
    <row r="143" spans="2:65" s="903" customFormat="1" ht="30" customHeight="1" x14ac:dyDescent="0.2">
      <c r="B143" s="906"/>
      <c r="C143" s="1234" t="s">
        <v>5205</v>
      </c>
      <c r="D143" s="1235"/>
      <c r="E143" s="1235"/>
      <c r="F143" s="1235"/>
      <c r="G143" s="1235"/>
      <c r="H143" s="1235"/>
      <c r="I143" s="1235"/>
      <c r="J143" s="1236"/>
      <c r="K143" s="907"/>
      <c r="L143" s="905"/>
      <c r="M143" s="908"/>
      <c r="N143" s="909"/>
      <c r="O143" s="910"/>
      <c r="P143" s="910"/>
      <c r="Q143" s="910"/>
      <c r="R143" s="910"/>
      <c r="S143" s="910"/>
      <c r="T143" s="911"/>
      <c r="W143" s="914"/>
      <c r="X143" s="949" t="s">
        <v>5837</v>
      </c>
      <c r="Y143" s="949" t="s">
        <v>231</v>
      </c>
      <c r="Z143" s="950" t="s">
        <v>6599</v>
      </c>
      <c r="AA143" s="951" t="s">
        <v>6600</v>
      </c>
      <c r="AB143" s="952" t="s">
        <v>234</v>
      </c>
      <c r="AC143" s="953">
        <v>8.36</v>
      </c>
      <c r="AD143" s="954">
        <v>156.27000000000001</v>
      </c>
      <c r="AE143" s="955">
        <f t="shared" si="4"/>
        <v>1306.42</v>
      </c>
      <c r="AF143" s="956" t="s">
        <v>5478</v>
      </c>
      <c r="AR143" s="912"/>
      <c r="AT143" s="912"/>
      <c r="AU143" s="912"/>
      <c r="AY143" s="904"/>
      <c r="BE143" s="913"/>
      <c r="BF143" s="913"/>
      <c r="BG143" s="913"/>
      <c r="BH143" s="913"/>
      <c r="BI143" s="913"/>
      <c r="BJ143" s="904"/>
      <c r="BK143" s="913"/>
      <c r="BL143" s="904"/>
      <c r="BM143" s="912"/>
    </row>
    <row r="144" spans="2:65" s="1" customFormat="1" ht="16.5" customHeight="1" x14ac:dyDescent="0.2">
      <c r="B144" s="118"/>
      <c r="C144" s="1070" t="s">
        <v>229</v>
      </c>
      <c r="D144" s="119" t="s">
        <v>231</v>
      </c>
      <c r="E144" s="120" t="s">
        <v>241</v>
      </c>
      <c r="F144" s="121" t="s">
        <v>242</v>
      </c>
      <c r="G144" s="122" t="s">
        <v>243</v>
      </c>
      <c r="H144" s="1071">
        <v>8</v>
      </c>
      <c r="I144" s="124">
        <v>28.21</v>
      </c>
      <c r="J144" s="124">
        <f t="shared" si="0"/>
        <v>225.68</v>
      </c>
      <c r="K144" s="121" t="s">
        <v>1</v>
      </c>
      <c r="L144" s="24"/>
      <c r="M144" s="125" t="s">
        <v>1</v>
      </c>
      <c r="N144" s="126" t="s">
        <v>32</v>
      </c>
      <c r="O144" s="127">
        <v>0</v>
      </c>
      <c r="P144" s="127">
        <f t="shared" si="1"/>
        <v>0</v>
      </c>
      <c r="Q144" s="127">
        <v>0</v>
      </c>
      <c r="R144" s="127">
        <f t="shared" si="2"/>
        <v>0</v>
      </c>
      <c r="S144" s="127">
        <v>0</v>
      </c>
      <c r="T144" s="128">
        <f t="shared" si="3"/>
        <v>0</v>
      </c>
      <c r="W144" s="199"/>
      <c r="X144" s="1070" t="s">
        <v>229</v>
      </c>
      <c r="Y144" s="119" t="s">
        <v>231</v>
      </c>
      <c r="Z144" s="120" t="s">
        <v>241</v>
      </c>
      <c r="AA144" s="121" t="s">
        <v>242</v>
      </c>
      <c r="AB144" s="122" t="s">
        <v>243</v>
      </c>
      <c r="AC144" s="1071">
        <f>8+1</f>
        <v>9</v>
      </c>
      <c r="AD144" s="124">
        <v>28.21</v>
      </c>
      <c r="AE144" s="200">
        <f t="shared" si="4"/>
        <v>253.89</v>
      </c>
      <c r="AF144" s="956" t="s">
        <v>5482</v>
      </c>
      <c r="AR144" s="129" t="s">
        <v>235</v>
      </c>
      <c r="AT144" s="129" t="s">
        <v>231</v>
      </c>
      <c r="AU144" s="129" t="s">
        <v>76</v>
      </c>
      <c r="AY144" s="13" t="s">
        <v>228</v>
      </c>
      <c r="BE144" s="130">
        <f t="shared" si="5"/>
        <v>0</v>
      </c>
      <c r="BF144" s="130">
        <f t="shared" si="6"/>
        <v>225.68</v>
      </c>
      <c r="BG144" s="130">
        <f t="shared" si="7"/>
        <v>0</v>
      </c>
      <c r="BH144" s="130">
        <f t="shared" si="8"/>
        <v>0</v>
      </c>
      <c r="BI144" s="130">
        <f t="shared" si="9"/>
        <v>0</v>
      </c>
      <c r="BJ144" s="13" t="s">
        <v>76</v>
      </c>
      <c r="BK144" s="130">
        <f t="shared" si="10"/>
        <v>225.68</v>
      </c>
      <c r="BL144" s="13" t="s">
        <v>235</v>
      </c>
      <c r="BM144" s="129" t="s">
        <v>240</v>
      </c>
    </row>
    <row r="145" spans="2:65" s="1" customFormat="1" ht="16.5" customHeight="1" x14ac:dyDescent="0.2">
      <c r="B145" s="118"/>
      <c r="C145" s="1070" t="s">
        <v>235</v>
      </c>
      <c r="D145" s="119" t="s">
        <v>231</v>
      </c>
      <c r="E145" s="120" t="s">
        <v>246</v>
      </c>
      <c r="F145" s="121" t="s">
        <v>247</v>
      </c>
      <c r="G145" s="122" t="s">
        <v>243</v>
      </c>
      <c r="H145" s="1071">
        <v>5</v>
      </c>
      <c r="I145" s="124">
        <v>36.57</v>
      </c>
      <c r="J145" s="124">
        <f t="shared" si="0"/>
        <v>182.85</v>
      </c>
      <c r="K145" s="121" t="s">
        <v>1</v>
      </c>
      <c r="L145" s="24"/>
      <c r="M145" s="125" t="s">
        <v>1</v>
      </c>
      <c r="N145" s="126" t="s">
        <v>32</v>
      </c>
      <c r="O145" s="127">
        <v>0</v>
      </c>
      <c r="P145" s="127">
        <f t="shared" si="1"/>
        <v>0</v>
      </c>
      <c r="Q145" s="127">
        <v>0</v>
      </c>
      <c r="R145" s="127">
        <f t="shared" si="2"/>
        <v>0</v>
      </c>
      <c r="S145" s="127">
        <v>0</v>
      </c>
      <c r="T145" s="128">
        <f t="shared" si="3"/>
        <v>0</v>
      </c>
      <c r="W145" s="199"/>
      <c r="X145" s="947" t="s">
        <v>235</v>
      </c>
      <c r="Y145" s="119" t="s">
        <v>231</v>
      </c>
      <c r="Z145" s="120" t="s">
        <v>246</v>
      </c>
      <c r="AA145" s="121" t="s">
        <v>247</v>
      </c>
      <c r="AB145" s="122" t="s">
        <v>243</v>
      </c>
      <c r="AC145" s="948">
        <f>5+2</f>
        <v>7</v>
      </c>
      <c r="AD145" s="124">
        <v>36.57</v>
      </c>
      <c r="AE145" s="200">
        <f t="shared" si="4"/>
        <v>255.99</v>
      </c>
      <c r="AF145" s="956"/>
      <c r="AR145" s="129" t="s">
        <v>235</v>
      </c>
      <c r="AT145" s="129" t="s">
        <v>231</v>
      </c>
      <c r="AU145" s="129" t="s">
        <v>76</v>
      </c>
      <c r="AY145" s="13" t="s">
        <v>228</v>
      </c>
      <c r="BE145" s="130">
        <f t="shared" si="5"/>
        <v>0</v>
      </c>
      <c r="BF145" s="130">
        <f t="shared" si="6"/>
        <v>182.85</v>
      </c>
      <c r="BG145" s="130">
        <f t="shared" si="7"/>
        <v>0</v>
      </c>
      <c r="BH145" s="130">
        <f t="shared" si="8"/>
        <v>0</v>
      </c>
      <c r="BI145" s="130">
        <f t="shared" si="9"/>
        <v>0</v>
      </c>
      <c r="BJ145" s="13" t="s">
        <v>76</v>
      </c>
      <c r="BK145" s="130">
        <f t="shared" si="10"/>
        <v>182.85</v>
      </c>
      <c r="BL145" s="13" t="s">
        <v>235</v>
      </c>
      <c r="BM145" s="129" t="s">
        <v>244</v>
      </c>
    </row>
    <row r="146" spans="2:65" s="934" customFormat="1" ht="16.5" customHeight="1" x14ac:dyDescent="0.2">
      <c r="B146" s="937"/>
      <c r="C146" s="1234" t="s">
        <v>5205</v>
      </c>
      <c r="D146" s="1235"/>
      <c r="E146" s="1235"/>
      <c r="F146" s="1235"/>
      <c r="G146" s="1235"/>
      <c r="H146" s="1235"/>
      <c r="I146" s="1235"/>
      <c r="J146" s="1236"/>
      <c r="K146" s="938"/>
      <c r="L146" s="936"/>
      <c r="M146" s="939"/>
      <c r="N146" s="940"/>
      <c r="O146" s="941"/>
      <c r="P146" s="941"/>
      <c r="Q146" s="941"/>
      <c r="R146" s="941"/>
      <c r="S146" s="941"/>
      <c r="T146" s="942"/>
      <c r="W146" s="945"/>
      <c r="X146" s="971" t="s">
        <v>5862</v>
      </c>
      <c r="Y146" s="971" t="s">
        <v>231</v>
      </c>
      <c r="Z146" s="972" t="s">
        <v>249</v>
      </c>
      <c r="AA146" s="973" t="s">
        <v>6601</v>
      </c>
      <c r="AB146" s="974" t="s">
        <v>243</v>
      </c>
      <c r="AC146" s="975">
        <v>2</v>
      </c>
      <c r="AD146" s="976">
        <v>51.66</v>
      </c>
      <c r="AE146" s="977">
        <f t="shared" si="4"/>
        <v>103.32</v>
      </c>
      <c r="AF146" s="956" t="s">
        <v>5478</v>
      </c>
      <c r="AR146" s="943"/>
      <c r="AT146" s="943"/>
      <c r="AU146" s="943"/>
      <c r="AY146" s="935"/>
      <c r="BE146" s="944"/>
      <c r="BF146" s="944"/>
      <c r="BG146" s="944"/>
      <c r="BH146" s="944"/>
      <c r="BI146" s="944"/>
      <c r="BJ146" s="935"/>
      <c r="BK146" s="944"/>
      <c r="BL146" s="935"/>
      <c r="BM146" s="943"/>
    </row>
    <row r="147" spans="2:65" s="934" customFormat="1" ht="16.5" customHeight="1" x14ac:dyDescent="0.2">
      <c r="B147" s="937"/>
      <c r="C147" s="1234" t="s">
        <v>5205</v>
      </c>
      <c r="D147" s="1235"/>
      <c r="E147" s="1235"/>
      <c r="F147" s="1235"/>
      <c r="G147" s="1235"/>
      <c r="H147" s="1235"/>
      <c r="I147" s="1235"/>
      <c r="J147" s="1236"/>
      <c r="K147" s="938"/>
      <c r="L147" s="936"/>
      <c r="M147" s="939"/>
      <c r="N147" s="940"/>
      <c r="O147" s="941"/>
      <c r="P147" s="941"/>
      <c r="Q147" s="941"/>
      <c r="R147" s="941"/>
      <c r="S147" s="941"/>
      <c r="T147" s="942"/>
      <c r="W147" s="945"/>
      <c r="X147" s="971" t="s">
        <v>5863</v>
      </c>
      <c r="Y147" s="971" t="s">
        <v>231</v>
      </c>
      <c r="Z147" s="972" t="s">
        <v>253</v>
      </c>
      <c r="AA147" s="973" t="s">
        <v>6602</v>
      </c>
      <c r="AB147" s="974" t="s">
        <v>243</v>
      </c>
      <c r="AC147" s="975">
        <v>2</v>
      </c>
      <c r="AD147" s="976">
        <v>12.77</v>
      </c>
      <c r="AE147" s="977">
        <f t="shared" si="4"/>
        <v>25.54</v>
      </c>
      <c r="AF147" s="956" t="s">
        <v>5478</v>
      </c>
      <c r="AR147" s="943"/>
      <c r="AT147" s="943"/>
      <c r="AU147" s="943"/>
      <c r="AY147" s="935"/>
      <c r="BE147" s="944"/>
      <c r="BF147" s="944"/>
      <c r="BG147" s="944"/>
      <c r="BH147" s="944"/>
      <c r="BI147" s="944"/>
      <c r="BJ147" s="935"/>
      <c r="BK147" s="944"/>
      <c r="BL147" s="935"/>
      <c r="BM147" s="943"/>
    </row>
    <row r="148" spans="2:65" s="934" customFormat="1" ht="16.5" customHeight="1" x14ac:dyDescent="0.2">
      <c r="B148" s="937"/>
      <c r="C148" s="1234" t="s">
        <v>5205</v>
      </c>
      <c r="D148" s="1235"/>
      <c r="E148" s="1235"/>
      <c r="F148" s="1235"/>
      <c r="G148" s="1235"/>
      <c r="H148" s="1235"/>
      <c r="I148" s="1235"/>
      <c r="J148" s="1236"/>
      <c r="K148" s="938"/>
      <c r="L148" s="936"/>
      <c r="M148" s="939"/>
      <c r="N148" s="940"/>
      <c r="O148" s="941"/>
      <c r="P148" s="941"/>
      <c r="Q148" s="941"/>
      <c r="R148" s="941"/>
      <c r="S148" s="941"/>
      <c r="T148" s="942"/>
      <c r="W148" s="945"/>
      <c r="X148" s="971" t="s">
        <v>6603</v>
      </c>
      <c r="Y148" s="971" t="s">
        <v>231</v>
      </c>
      <c r="Z148" s="972" t="s">
        <v>256</v>
      </c>
      <c r="AA148" s="973" t="s">
        <v>6604</v>
      </c>
      <c r="AB148" s="974" t="s">
        <v>243</v>
      </c>
      <c r="AC148" s="975">
        <f>12+1</f>
        <v>13</v>
      </c>
      <c r="AD148" s="976">
        <v>14.4</v>
      </c>
      <c r="AE148" s="977">
        <f t="shared" si="4"/>
        <v>187.2</v>
      </c>
      <c r="AF148" s="956" t="s">
        <v>6620</v>
      </c>
      <c r="AR148" s="943"/>
      <c r="AT148" s="943"/>
      <c r="AU148" s="943"/>
      <c r="AY148" s="935"/>
      <c r="BE148" s="944"/>
      <c r="BF148" s="944"/>
      <c r="BG148" s="944"/>
      <c r="BH148" s="944"/>
      <c r="BI148" s="944"/>
      <c r="BJ148" s="935"/>
      <c r="BK148" s="944"/>
      <c r="BL148" s="935"/>
      <c r="BM148" s="943"/>
    </row>
    <row r="149" spans="2:65" s="1" customFormat="1" ht="16.5" customHeight="1" x14ac:dyDescent="0.2">
      <c r="B149" s="118"/>
      <c r="C149" s="119" t="s">
        <v>245</v>
      </c>
      <c r="D149" s="119" t="s">
        <v>231</v>
      </c>
      <c r="E149" s="120" t="s">
        <v>4249</v>
      </c>
      <c r="F149" s="121" t="s">
        <v>4250</v>
      </c>
      <c r="G149" s="122" t="s">
        <v>243</v>
      </c>
      <c r="H149" s="123">
        <v>1</v>
      </c>
      <c r="I149" s="124">
        <v>22.06</v>
      </c>
      <c r="J149" s="124">
        <f t="shared" si="0"/>
        <v>22.06</v>
      </c>
      <c r="K149" s="121" t="s">
        <v>1</v>
      </c>
      <c r="L149" s="24"/>
      <c r="M149" s="125" t="s">
        <v>1</v>
      </c>
      <c r="N149" s="126" t="s">
        <v>32</v>
      </c>
      <c r="O149" s="127">
        <v>0</v>
      </c>
      <c r="P149" s="127">
        <f t="shared" si="1"/>
        <v>0</v>
      </c>
      <c r="Q149" s="127">
        <v>0</v>
      </c>
      <c r="R149" s="127">
        <f t="shared" si="2"/>
        <v>0</v>
      </c>
      <c r="S149" s="127">
        <v>0</v>
      </c>
      <c r="T149" s="128">
        <f t="shared" si="3"/>
        <v>0</v>
      </c>
      <c r="W149" s="199"/>
      <c r="X149" s="119" t="s">
        <v>245</v>
      </c>
      <c r="Y149" s="119" t="s">
        <v>231</v>
      </c>
      <c r="Z149" s="120" t="s">
        <v>4249</v>
      </c>
      <c r="AA149" s="121" t="s">
        <v>4250</v>
      </c>
      <c r="AB149" s="122" t="s">
        <v>243</v>
      </c>
      <c r="AC149" s="123">
        <v>1</v>
      </c>
      <c r="AD149" s="124">
        <v>22.06</v>
      </c>
      <c r="AE149" s="200">
        <f t="shared" si="4"/>
        <v>22.06</v>
      </c>
      <c r="AF149" s="956"/>
      <c r="AR149" s="129" t="s">
        <v>235</v>
      </c>
      <c r="AT149" s="129" t="s">
        <v>231</v>
      </c>
      <c r="AU149" s="129" t="s">
        <v>76</v>
      </c>
      <c r="AY149" s="13" t="s">
        <v>228</v>
      </c>
      <c r="BE149" s="130">
        <f t="shared" si="5"/>
        <v>0</v>
      </c>
      <c r="BF149" s="130">
        <f t="shared" si="6"/>
        <v>22.06</v>
      </c>
      <c r="BG149" s="130">
        <f t="shared" si="7"/>
        <v>0</v>
      </c>
      <c r="BH149" s="130">
        <f t="shared" si="8"/>
        <v>0</v>
      </c>
      <c r="BI149" s="130">
        <f t="shared" si="9"/>
        <v>0</v>
      </c>
      <c r="BJ149" s="13" t="s">
        <v>76</v>
      </c>
      <c r="BK149" s="130">
        <f t="shared" si="10"/>
        <v>22.06</v>
      </c>
      <c r="BL149" s="13" t="s">
        <v>235</v>
      </c>
      <c r="BM149" s="129" t="s">
        <v>248</v>
      </c>
    </row>
    <row r="150" spans="2:65" s="1" customFormat="1" ht="16.5" customHeight="1" x14ac:dyDescent="0.2">
      <c r="B150" s="118"/>
      <c r="C150" s="119" t="s">
        <v>240</v>
      </c>
      <c r="D150" s="119" t="s">
        <v>231</v>
      </c>
      <c r="E150" s="120" t="s">
        <v>266</v>
      </c>
      <c r="F150" s="121" t="s">
        <v>267</v>
      </c>
      <c r="G150" s="122" t="s">
        <v>234</v>
      </c>
      <c r="H150" s="123">
        <v>1.7</v>
      </c>
      <c r="I150" s="124">
        <v>183.44</v>
      </c>
      <c r="J150" s="124">
        <f t="shared" si="0"/>
        <v>311.85000000000002</v>
      </c>
      <c r="K150" s="121" t="s">
        <v>1</v>
      </c>
      <c r="L150" s="24"/>
      <c r="M150" s="125" t="s">
        <v>1</v>
      </c>
      <c r="N150" s="126" t="s">
        <v>32</v>
      </c>
      <c r="O150" s="127">
        <v>0</v>
      </c>
      <c r="P150" s="127">
        <f t="shared" si="1"/>
        <v>0</v>
      </c>
      <c r="Q150" s="127">
        <v>0</v>
      </c>
      <c r="R150" s="127">
        <f t="shared" si="2"/>
        <v>0</v>
      </c>
      <c r="S150" s="127">
        <v>0</v>
      </c>
      <c r="T150" s="128">
        <f t="shared" si="3"/>
        <v>0</v>
      </c>
      <c r="W150" s="199"/>
      <c r="X150" s="119" t="s">
        <v>240</v>
      </c>
      <c r="Y150" s="119" t="s">
        <v>231</v>
      </c>
      <c r="Z150" s="120" t="s">
        <v>266</v>
      </c>
      <c r="AA150" s="121" t="s">
        <v>267</v>
      </c>
      <c r="AB150" s="122" t="s">
        <v>234</v>
      </c>
      <c r="AC150" s="123">
        <v>1.7</v>
      </c>
      <c r="AD150" s="124">
        <v>183.44</v>
      </c>
      <c r="AE150" s="200">
        <f t="shared" si="4"/>
        <v>311.85000000000002</v>
      </c>
      <c r="AF150" s="956"/>
      <c r="AR150" s="129" t="s">
        <v>235</v>
      </c>
      <c r="AT150" s="129" t="s">
        <v>231</v>
      </c>
      <c r="AU150" s="129" t="s">
        <v>76</v>
      </c>
      <c r="AY150" s="13" t="s">
        <v>228</v>
      </c>
      <c r="BE150" s="130">
        <f t="shared" si="5"/>
        <v>0</v>
      </c>
      <c r="BF150" s="130">
        <f t="shared" si="6"/>
        <v>311.85000000000002</v>
      </c>
      <c r="BG150" s="130">
        <f t="shared" si="7"/>
        <v>0</v>
      </c>
      <c r="BH150" s="130">
        <f t="shared" si="8"/>
        <v>0</v>
      </c>
      <c r="BI150" s="130">
        <f t="shared" si="9"/>
        <v>0</v>
      </c>
      <c r="BJ150" s="13" t="s">
        <v>76</v>
      </c>
      <c r="BK150" s="130">
        <f t="shared" si="10"/>
        <v>311.85000000000002</v>
      </c>
      <c r="BL150" s="13" t="s">
        <v>235</v>
      </c>
      <c r="BM150" s="129" t="s">
        <v>251</v>
      </c>
    </row>
    <row r="151" spans="2:65" s="1" customFormat="1" ht="22.95" customHeight="1" x14ac:dyDescent="0.2">
      <c r="B151" s="118"/>
      <c r="C151" s="119" t="s">
        <v>252</v>
      </c>
      <c r="D151" s="119" t="s">
        <v>231</v>
      </c>
      <c r="E151" s="120" t="s">
        <v>269</v>
      </c>
      <c r="F151" s="121" t="s">
        <v>4251</v>
      </c>
      <c r="G151" s="122" t="s">
        <v>271</v>
      </c>
      <c r="H151" s="123">
        <v>0.09</v>
      </c>
      <c r="I151" s="124">
        <v>1044.9000000000001</v>
      </c>
      <c r="J151" s="124">
        <f t="shared" si="0"/>
        <v>94.04</v>
      </c>
      <c r="K151" s="121" t="s">
        <v>1</v>
      </c>
      <c r="L151" s="24"/>
      <c r="M151" s="125" t="s">
        <v>1</v>
      </c>
      <c r="N151" s="126" t="s">
        <v>32</v>
      </c>
      <c r="O151" s="127">
        <v>34.71819</v>
      </c>
      <c r="P151" s="127">
        <f t="shared" si="1"/>
        <v>3.1246370999999997</v>
      </c>
      <c r="Q151" s="127">
        <v>1.01145</v>
      </c>
      <c r="R151" s="127">
        <f t="shared" si="2"/>
        <v>9.1030499999999986E-2</v>
      </c>
      <c r="S151" s="127">
        <v>0</v>
      </c>
      <c r="T151" s="128">
        <f t="shared" si="3"/>
        <v>0</v>
      </c>
      <c r="W151" s="199"/>
      <c r="X151" s="119" t="s">
        <v>252</v>
      </c>
      <c r="Y151" s="119" t="s">
        <v>231</v>
      </c>
      <c r="Z151" s="120" t="s">
        <v>269</v>
      </c>
      <c r="AA151" s="121" t="s">
        <v>4251</v>
      </c>
      <c r="AB151" s="122" t="s">
        <v>271</v>
      </c>
      <c r="AC151" s="123">
        <v>0.09</v>
      </c>
      <c r="AD151" s="124">
        <v>1044.9000000000001</v>
      </c>
      <c r="AE151" s="200">
        <f t="shared" si="4"/>
        <v>94.04</v>
      </c>
      <c r="AF151" s="956"/>
      <c r="AR151" s="129" t="s">
        <v>235</v>
      </c>
      <c r="AT151" s="129" t="s">
        <v>231</v>
      </c>
      <c r="AU151" s="129" t="s">
        <v>76</v>
      </c>
      <c r="AY151" s="13" t="s">
        <v>228</v>
      </c>
      <c r="BE151" s="130">
        <f t="shared" si="5"/>
        <v>0</v>
      </c>
      <c r="BF151" s="130">
        <f t="shared" si="6"/>
        <v>94.04</v>
      </c>
      <c r="BG151" s="130">
        <f t="shared" si="7"/>
        <v>0</v>
      </c>
      <c r="BH151" s="130">
        <f t="shared" si="8"/>
        <v>0</v>
      </c>
      <c r="BI151" s="130">
        <f t="shared" si="9"/>
        <v>0</v>
      </c>
      <c r="BJ151" s="13" t="s">
        <v>76</v>
      </c>
      <c r="BK151" s="130">
        <f t="shared" si="10"/>
        <v>94.04</v>
      </c>
      <c r="BL151" s="13" t="s">
        <v>235</v>
      </c>
      <c r="BM151" s="129" t="s">
        <v>255</v>
      </c>
    </row>
    <row r="152" spans="2:65" s="1" customFormat="1" ht="16.5" customHeight="1" x14ac:dyDescent="0.2">
      <c r="B152" s="118"/>
      <c r="C152" s="119" t="s">
        <v>244</v>
      </c>
      <c r="D152" s="119" t="s">
        <v>231</v>
      </c>
      <c r="E152" s="120" t="s">
        <v>274</v>
      </c>
      <c r="F152" s="121" t="s">
        <v>275</v>
      </c>
      <c r="G152" s="122" t="s">
        <v>271</v>
      </c>
      <c r="H152" s="123">
        <v>1.51</v>
      </c>
      <c r="I152" s="124">
        <v>232.2</v>
      </c>
      <c r="J152" s="124">
        <f t="shared" si="0"/>
        <v>350.62</v>
      </c>
      <c r="K152" s="121" t="s">
        <v>1</v>
      </c>
      <c r="L152" s="24"/>
      <c r="M152" s="125" t="s">
        <v>1</v>
      </c>
      <c r="N152" s="126" t="s">
        <v>32</v>
      </c>
      <c r="O152" s="127">
        <v>17.323830000000001</v>
      </c>
      <c r="P152" s="127">
        <f t="shared" si="1"/>
        <v>26.158983300000003</v>
      </c>
      <c r="Q152" s="127">
        <v>1.9539999999999998E-2</v>
      </c>
      <c r="R152" s="127">
        <f t="shared" si="2"/>
        <v>2.9505399999999998E-2</v>
      </c>
      <c r="S152" s="127">
        <v>0</v>
      </c>
      <c r="T152" s="128">
        <f t="shared" si="3"/>
        <v>0</v>
      </c>
      <c r="W152" s="199"/>
      <c r="X152" s="119" t="s">
        <v>244</v>
      </c>
      <c r="Y152" s="119" t="s">
        <v>231</v>
      </c>
      <c r="Z152" s="120" t="s">
        <v>274</v>
      </c>
      <c r="AA152" s="121" t="s">
        <v>275</v>
      </c>
      <c r="AB152" s="122" t="s">
        <v>271</v>
      </c>
      <c r="AC152" s="123">
        <v>1.51</v>
      </c>
      <c r="AD152" s="124">
        <v>232.2</v>
      </c>
      <c r="AE152" s="200">
        <f t="shared" si="4"/>
        <v>350.62</v>
      </c>
      <c r="AF152" s="956"/>
      <c r="AR152" s="129" t="s">
        <v>235</v>
      </c>
      <c r="AT152" s="129" t="s">
        <v>231</v>
      </c>
      <c r="AU152" s="129" t="s">
        <v>76</v>
      </c>
      <c r="AY152" s="13" t="s">
        <v>228</v>
      </c>
      <c r="BE152" s="130">
        <f t="shared" si="5"/>
        <v>0</v>
      </c>
      <c r="BF152" s="130">
        <f t="shared" si="6"/>
        <v>350.62</v>
      </c>
      <c r="BG152" s="130">
        <f t="shared" si="7"/>
        <v>0</v>
      </c>
      <c r="BH152" s="130">
        <f t="shared" si="8"/>
        <v>0</v>
      </c>
      <c r="BI152" s="130">
        <f t="shared" si="9"/>
        <v>0</v>
      </c>
      <c r="BJ152" s="13" t="s">
        <v>76</v>
      </c>
      <c r="BK152" s="130">
        <f t="shared" si="10"/>
        <v>350.62</v>
      </c>
      <c r="BL152" s="13" t="s">
        <v>235</v>
      </c>
      <c r="BM152" s="129" t="s">
        <v>258</v>
      </c>
    </row>
    <row r="153" spans="2:65" s="1" customFormat="1" ht="16.5" customHeight="1" x14ac:dyDescent="0.2">
      <c r="B153" s="118"/>
      <c r="C153" s="119" t="s">
        <v>259</v>
      </c>
      <c r="D153" s="119" t="s">
        <v>231</v>
      </c>
      <c r="E153" s="120" t="s">
        <v>4252</v>
      </c>
      <c r="F153" s="121" t="s">
        <v>4253</v>
      </c>
      <c r="G153" s="122" t="s">
        <v>271</v>
      </c>
      <c r="H153" s="123">
        <v>0.54200000000000004</v>
      </c>
      <c r="I153" s="124">
        <v>232.2</v>
      </c>
      <c r="J153" s="124">
        <f t="shared" si="0"/>
        <v>125.85</v>
      </c>
      <c r="K153" s="121" t="s">
        <v>1</v>
      </c>
      <c r="L153" s="24"/>
      <c r="M153" s="125" t="s">
        <v>1</v>
      </c>
      <c r="N153" s="126" t="s">
        <v>32</v>
      </c>
      <c r="O153" s="127">
        <v>0</v>
      </c>
      <c r="P153" s="127">
        <f t="shared" si="1"/>
        <v>0</v>
      </c>
      <c r="Q153" s="127">
        <v>0</v>
      </c>
      <c r="R153" s="127">
        <f t="shared" si="2"/>
        <v>0</v>
      </c>
      <c r="S153" s="127">
        <v>0</v>
      </c>
      <c r="T153" s="128">
        <f t="shared" si="3"/>
        <v>0</v>
      </c>
      <c r="W153" s="199"/>
      <c r="X153" s="119" t="s">
        <v>259</v>
      </c>
      <c r="Y153" s="119" t="s">
        <v>231</v>
      </c>
      <c r="Z153" s="120" t="s">
        <v>4252</v>
      </c>
      <c r="AA153" s="121" t="s">
        <v>4253</v>
      </c>
      <c r="AB153" s="122" t="s">
        <v>271</v>
      </c>
      <c r="AC153" s="123">
        <v>0.54200000000000004</v>
      </c>
      <c r="AD153" s="124">
        <v>232.2</v>
      </c>
      <c r="AE153" s="200">
        <f t="shared" si="4"/>
        <v>125.85</v>
      </c>
      <c r="AF153" s="956"/>
      <c r="AR153" s="129" t="s">
        <v>235</v>
      </c>
      <c r="AT153" s="129" t="s">
        <v>231</v>
      </c>
      <c r="AU153" s="129" t="s">
        <v>76</v>
      </c>
      <c r="AY153" s="13" t="s">
        <v>228</v>
      </c>
      <c r="BE153" s="130">
        <f t="shared" si="5"/>
        <v>0</v>
      </c>
      <c r="BF153" s="130">
        <f t="shared" si="6"/>
        <v>125.85</v>
      </c>
      <c r="BG153" s="130">
        <f t="shared" si="7"/>
        <v>0</v>
      </c>
      <c r="BH153" s="130">
        <f t="shared" si="8"/>
        <v>0</v>
      </c>
      <c r="BI153" s="130">
        <f t="shared" si="9"/>
        <v>0</v>
      </c>
      <c r="BJ153" s="13" t="s">
        <v>76</v>
      </c>
      <c r="BK153" s="130">
        <f t="shared" si="10"/>
        <v>125.85</v>
      </c>
      <c r="BL153" s="13" t="s">
        <v>235</v>
      </c>
      <c r="BM153" s="129" t="s">
        <v>262</v>
      </c>
    </row>
    <row r="154" spans="2:65" s="1" customFormat="1" ht="16.5" customHeight="1" x14ac:dyDescent="0.2">
      <c r="B154" s="118"/>
      <c r="C154" s="131" t="s">
        <v>248</v>
      </c>
      <c r="D154" s="131" t="s">
        <v>277</v>
      </c>
      <c r="E154" s="132" t="s">
        <v>278</v>
      </c>
      <c r="F154" s="133" t="s">
        <v>4254</v>
      </c>
      <c r="G154" s="134" t="s">
        <v>271</v>
      </c>
      <c r="H154" s="135">
        <v>2.2160000000000002</v>
      </c>
      <c r="I154" s="136">
        <v>696.6</v>
      </c>
      <c r="J154" s="136">
        <f t="shared" si="0"/>
        <v>1543.67</v>
      </c>
      <c r="K154" s="133" t="s">
        <v>1</v>
      </c>
      <c r="L154" s="137"/>
      <c r="M154" s="138" t="s">
        <v>1</v>
      </c>
      <c r="N154" s="139" t="s">
        <v>32</v>
      </c>
      <c r="O154" s="127">
        <v>0</v>
      </c>
      <c r="P154" s="127">
        <f t="shared" si="1"/>
        <v>0</v>
      </c>
      <c r="Q154" s="127">
        <v>0</v>
      </c>
      <c r="R154" s="127">
        <f t="shared" si="2"/>
        <v>0</v>
      </c>
      <c r="S154" s="127">
        <v>0</v>
      </c>
      <c r="T154" s="128">
        <f t="shared" si="3"/>
        <v>0</v>
      </c>
      <c r="W154" s="199"/>
      <c r="X154" s="131" t="s">
        <v>248</v>
      </c>
      <c r="Y154" s="131" t="s">
        <v>277</v>
      </c>
      <c r="Z154" s="132" t="s">
        <v>278</v>
      </c>
      <c r="AA154" s="133" t="s">
        <v>4254</v>
      </c>
      <c r="AB154" s="134" t="s">
        <v>271</v>
      </c>
      <c r="AC154" s="135">
        <v>2.2160000000000002</v>
      </c>
      <c r="AD154" s="136">
        <v>696.6</v>
      </c>
      <c r="AE154" s="229">
        <f t="shared" si="4"/>
        <v>1543.67</v>
      </c>
      <c r="AF154" s="956"/>
      <c r="AR154" s="129" t="s">
        <v>244</v>
      </c>
      <c r="AT154" s="129" t="s">
        <v>277</v>
      </c>
      <c r="AU154" s="129" t="s">
        <v>76</v>
      </c>
      <c r="AY154" s="13" t="s">
        <v>228</v>
      </c>
      <c r="BE154" s="130">
        <f t="shared" si="5"/>
        <v>0</v>
      </c>
      <c r="BF154" s="130">
        <f t="shared" si="6"/>
        <v>1543.67</v>
      </c>
      <c r="BG154" s="130">
        <f t="shared" si="7"/>
        <v>0</v>
      </c>
      <c r="BH154" s="130">
        <f t="shared" si="8"/>
        <v>0</v>
      </c>
      <c r="BI154" s="130">
        <f t="shared" si="9"/>
        <v>0</v>
      </c>
      <c r="BJ154" s="13" t="s">
        <v>76</v>
      </c>
      <c r="BK154" s="130">
        <f t="shared" si="10"/>
        <v>1543.67</v>
      </c>
      <c r="BL154" s="13" t="s">
        <v>235</v>
      </c>
      <c r="BM154" s="129" t="s">
        <v>7</v>
      </c>
    </row>
    <row r="155" spans="2:65" s="1" customFormat="1" ht="16.5" customHeight="1" x14ac:dyDescent="0.2">
      <c r="B155" s="118"/>
      <c r="C155" s="1070" t="s">
        <v>265</v>
      </c>
      <c r="D155" s="119" t="s">
        <v>231</v>
      </c>
      <c r="E155" s="120" t="s">
        <v>282</v>
      </c>
      <c r="F155" s="121" t="s">
        <v>283</v>
      </c>
      <c r="G155" s="122" t="s">
        <v>284</v>
      </c>
      <c r="H155" s="1071">
        <v>114.527</v>
      </c>
      <c r="I155" s="124">
        <v>20.09</v>
      </c>
      <c r="J155" s="124">
        <f t="shared" si="0"/>
        <v>2300.85</v>
      </c>
      <c r="K155" s="121" t="s">
        <v>1</v>
      </c>
      <c r="L155" s="24"/>
      <c r="M155" s="125" t="s">
        <v>1</v>
      </c>
      <c r="N155" s="126" t="s">
        <v>32</v>
      </c>
      <c r="O155" s="127">
        <v>0</v>
      </c>
      <c r="P155" s="127">
        <f t="shared" si="1"/>
        <v>0</v>
      </c>
      <c r="Q155" s="127">
        <v>0</v>
      </c>
      <c r="R155" s="127">
        <f t="shared" si="2"/>
        <v>0</v>
      </c>
      <c r="S155" s="127">
        <v>0</v>
      </c>
      <c r="T155" s="128">
        <f t="shared" si="3"/>
        <v>0</v>
      </c>
      <c r="W155" s="199"/>
      <c r="X155" s="717" t="s">
        <v>265</v>
      </c>
      <c r="Y155" s="119" t="s">
        <v>231</v>
      </c>
      <c r="Z155" s="120" t="s">
        <v>282</v>
      </c>
      <c r="AA155" s="121" t="s">
        <v>283</v>
      </c>
      <c r="AB155" s="122" t="s">
        <v>284</v>
      </c>
      <c r="AC155" s="718">
        <f>114.527+1.5+19.36+17.25</f>
        <v>152.637</v>
      </c>
      <c r="AD155" s="124">
        <v>20.09</v>
      </c>
      <c r="AE155" s="200">
        <f t="shared" si="4"/>
        <v>3066.48</v>
      </c>
      <c r="AF155" s="956" t="s">
        <v>6621</v>
      </c>
      <c r="AR155" s="129" t="s">
        <v>235</v>
      </c>
      <c r="AT155" s="129" t="s">
        <v>231</v>
      </c>
      <c r="AU155" s="129" t="s">
        <v>76</v>
      </c>
      <c r="AY155" s="13" t="s">
        <v>228</v>
      </c>
      <c r="BE155" s="130">
        <f t="shared" si="5"/>
        <v>0</v>
      </c>
      <c r="BF155" s="130">
        <f t="shared" si="6"/>
        <v>2300.85</v>
      </c>
      <c r="BG155" s="130">
        <f t="shared" si="7"/>
        <v>0</v>
      </c>
      <c r="BH155" s="130">
        <f t="shared" si="8"/>
        <v>0</v>
      </c>
      <c r="BI155" s="130">
        <f t="shared" si="9"/>
        <v>0</v>
      </c>
      <c r="BJ155" s="13" t="s">
        <v>76</v>
      </c>
      <c r="BK155" s="130">
        <f t="shared" si="10"/>
        <v>2300.85</v>
      </c>
      <c r="BL155" s="13" t="s">
        <v>235</v>
      </c>
      <c r="BM155" s="129" t="s">
        <v>268</v>
      </c>
    </row>
    <row r="156" spans="2:65" s="1" customFormat="1" ht="16.5" customHeight="1" x14ac:dyDescent="0.2">
      <c r="B156" s="118"/>
      <c r="C156" s="1070" t="s">
        <v>251</v>
      </c>
      <c r="D156" s="119" t="s">
        <v>231</v>
      </c>
      <c r="E156" s="120" t="s">
        <v>286</v>
      </c>
      <c r="F156" s="121" t="s">
        <v>287</v>
      </c>
      <c r="G156" s="122" t="s">
        <v>284</v>
      </c>
      <c r="H156" s="1071">
        <v>128.17400000000001</v>
      </c>
      <c r="I156" s="124">
        <v>24.15</v>
      </c>
      <c r="J156" s="124">
        <f t="shared" si="0"/>
        <v>3095.4</v>
      </c>
      <c r="K156" s="121" t="s">
        <v>1</v>
      </c>
      <c r="L156" s="24"/>
      <c r="M156" s="125" t="s">
        <v>1</v>
      </c>
      <c r="N156" s="126" t="s">
        <v>32</v>
      </c>
      <c r="O156" s="127">
        <v>0</v>
      </c>
      <c r="P156" s="127">
        <f t="shared" si="1"/>
        <v>0</v>
      </c>
      <c r="Q156" s="127">
        <v>0</v>
      </c>
      <c r="R156" s="127">
        <f t="shared" si="2"/>
        <v>0</v>
      </c>
      <c r="S156" s="127">
        <v>0</v>
      </c>
      <c r="T156" s="128">
        <f t="shared" si="3"/>
        <v>0</v>
      </c>
      <c r="W156" s="199"/>
      <c r="X156" s="717" t="s">
        <v>251</v>
      </c>
      <c r="Y156" s="119" t="s">
        <v>231</v>
      </c>
      <c r="Z156" s="120" t="s">
        <v>286</v>
      </c>
      <c r="AA156" s="121" t="s">
        <v>287</v>
      </c>
      <c r="AB156" s="122" t="s">
        <v>284</v>
      </c>
      <c r="AC156" s="718">
        <f>128.174+39.568+22.5+30.455</f>
        <v>220.697</v>
      </c>
      <c r="AD156" s="124">
        <v>24.15</v>
      </c>
      <c r="AE156" s="200">
        <f t="shared" si="4"/>
        <v>5329.83</v>
      </c>
      <c r="AF156" s="956" t="s">
        <v>6621</v>
      </c>
      <c r="AR156" s="129" t="s">
        <v>235</v>
      </c>
      <c r="AT156" s="129" t="s">
        <v>231</v>
      </c>
      <c r="AU156" s="129" t="s">
        <v>76</v>
      </c>
      <c r="AY156" s="13" t="s">
        <v>228</v>
      </c>
      <c r="BE156" s="130">
        <f t="shared" si="5"/>
        <v>0</v>
      </c>
      <c r="BF156" s="130">
        <f t="shared" si="6"/>
        <v>3095.4</v>
      </c>
      <c r="BG156" s="130">
        <f t="shared" si="7"/>
        <v>0</v>
      </c>
      <c r="BH156" s="130">
        <f t="shared" si="8"/>
        <v>0</v>
      </c>
      <c r="BI156" s="130">
        <f t="shared" si="9"/>
        <v>0</v>
      </c>
      <c r="BJ156" s="13" t="s">
        <v>76</v>
      </c>
      <c r="BK156" s="130">
        <f t="shared" si="10"/>
        <v>3095.4</v>
      </c>
      <c r="BL156" s="13" t="s">
        <v>235</v>
      </c>
      <c r="BM156" s="129" t="s">
        <v>272</v>
      </c>
    </row>
    <row r="157" spans="2:65" s="1" customFormat="1" ht="16.5" customHeight="1" x14ac:dyDescent="0.2">
      <c r="B157" s="118"/>
      <c r="C157" s="1070" t="s">
        <v>273</v>
      </c>
      <c r="D157" s="119" t="s">
        <v>231</v>
      </c>
      <c r="E157" s="120" t="s">
        <v>290</v>
      </c>
      <c r="F157" s="121" t="s">
        <v>291</v>
      </c>
      <c r="G157" s="122" t="s">
        <v>292</v>
      </c>
      <c r="H157" s="1071">
        <v>63</v>
      </c>
      <c r="I157" s="124">
        <v>4.6399999999999997</v>
      </c>
      <c r="J157" s="124">
        <f t="shared" si="0"/>
        <v>292.32</v>
      </c>
      <c r="K157" s="121" t="s">
        <v>1</v>
      </c>
      <c r="L157" s="24"/>
      <c r="M157" s="125" t="s">
        <v>1</v>
      </c>
      <c r="N157" s="126" t="s">
        <v>32</v>
      </c>
      <c r="O157" s="127">
        <v>0</v>
      </c>
      <c r="P157" s="127">
        <f t="shared" si="1"/>
        <v>0</v>
      </c>
      <c r="Q157" s="127">
        <v>0</v>
      </c>
      <c r="R157" s="127">
        <f t="shared" si="2"/>
        <v>0</v>
      </c>
      <c r="S157" s="127">
        <v>0</v>
      </c>
      <c r="T157" s="128">
        <f t="shared" si="3"/>
        <v>0</v>
      </c>
      <c r="W157" s="199"/>
      <c r="X157" s="969" t="s">
        <v>273</v>
      </c>
      <c r="Y157" s="119" t="s">
        <v>231</v>
      </c>
      <c r="Z157" s="120" t="s">
        <v>290</v>
      </c>
      <c r="AA157" s="121" t="s">
        <v>291</v>
      </c>
      <c r="AB157" s="122" t="s">
        <v>292</v>
      </c>
      <c r="AC157" s="970">
        <f>63+21+9</f>
        <v>93</v>
      </c>
      <c r="AD157" s="124">
        <v>4.6399999999999997</v>
      </c>
      <c r="AE157" s="200">
        <f t="shared" si="4"/>
        <v>431.52</v>
      </c>
      <c r="AF157" s="956" t="s">
        <v>6620</v>
      </c>
      <c r="AR157" s="129" t="s">
        <v>235</v>
      </c>
      <c r="AT157" s="129" t="s">
        <v>231</v>
      </c>
      <c r="AU157" s="129" t="s">
        <v>76</v>
      </c>
      <c r="AY157" s="13" t="s">
        <v>228</v>
      </c>
      <c r="BE157" s="130">
        <f t="shared" si="5"/>
        <v>0</v>
      </c>
      <c r="BF157" s="130">
        <f t="shared" si="6"/>
        <v>292.32</v>
      </c>
      <c r="BG157" s="130">
        <f t="shared" si="7"/>
        <v>0</v>
      </c>
      <c r="BH157" s="130">
        <f t="shared" si="8"/>
        <v>0</v>
      </c>
      <c r="BI157" s="130">
        <f t="shared" si="9"/>
        <v>0</v>
      </c>
      <c r="BJ157" s="13" t="s">
        <v>76</v>
      </c>
      <c r="BK157" s="130">
        <f t="shared" si="10"/>
        <v>292.32</v>
      </c>
      <c r="BL157" s="13" t="s">
        <v>235</v>
      </c>
      <c r="BM157" s="129" t="s">
        <v>276</v>
      </c>
    </row>
    <row r="158" spans="2:65" s="1" customFormat="1" ht="24" customHeight="1" x14ac:dyDescent="0.2">
      <c r="B158" s="118"/>
      <c r="C158" s="119" t="s">
        <v>255</v>
      </c>
      <c r="D158" s="119" t="s">
        <v>231</v>
      </c>
      <c r="E158" s="120" t="s">
        <v>294</v>
      </c>
      <c r="F158" s="121" t="s">
        <v>4255</v>
      </c>
      <c r="G158" s="122" t="s">
        <v>284</v>
      </c>
      <c r="H158" s="123">
        <v>9.3000000000000007</v>
      </c>
      <c r="I158" s="124">
        <v>53.41</v>
      </c>
      <c r="J158" s="124">
        <f t="shared" si="0"/>
        <v>496.71</v>
      </c>
      <c r="K158" s="121" t="s">
        <v>1</v>
      </c>
      <c r="L158" s="24"/>
      <c r="M158" s="125" t="s">
        <v>1</v>
      </c>
      <c r="N158" s="126" t="s">
        <v>32</v>
      </c>
      <c r="O158" s="127">
        <v>1.1691800000000001</v>
      </c>
      <c r="P158" s="127">
        <f t="shared" si="1"/>
        <v>10.873374000000002</v>
      </c>
      <c r="Q158" s="127">
        <v>0.19116</v>
      </c>
      <c r="R158" s="127">
        <f t="shared" si="2"/>
        <v>1.7777880000000001</v>
      </c>
      <c r="S158" s="127">
        <v>0</v>
      </c>
      <c r="T158" s="128">
        <f t="shared" si="3"/>
        <v>0</v>
      </c>
      <c r="W158" s="199"/>
      <c r="X158" s="119" t="s">
        <v>255</v>
      </c>
      <c r="Y158" s="119" t="s">
        <v>231</v>
      </c>
      <c r="Z158" s="120" t="s">
        <v>294</v>
      </c>
      <c r="AA158" s="121" t="s">
        <v>4255</v>
      </c>
      <c r="AB158" s="122" t="s">
        <v>284</v>
      </c>
      <c r="AC158" s="123">
        <v>9.3000000000000007</v>
      </c>
      <c r="AD158" s="124">
        <v>53.41</v>
      </c>
      <c r="AE158" s="200">
        <f t="shared" si="4"/>
        <v>496.71</v>
      </c>
      <c r="AF158" s="956"/>
      <c r="AR158" s="129" t="s">
        <v>235</v>
      </c>
      <c r="AT158" s="129" t="s">
        <v>231</v>
      </c>
      <c r="AU158" s="129" t="s">
        <v>76</v>
      </c>
      <c r="AY158" s="13" t="s">
        <v>228</v>
      </c>
      <c r="BE158" s="130">
        <f t="shared" si="5"/>
        <v>0</v>
      </c>
      <c r="BF158" s="130">
        <f t="shared" si="6"/>
        <v>496.71</v>
      </c>
      <c r="BG158" s="130">
        <f t="shared" si="7"/>
        <v>0</v>
      </c>
      <c r="BH158" s="130">
        <f t="shared" si="8"/>
        <v>0</v>
      </c>
      <c r="BI158" s="130">
        <f t="shared" si="9"/>
        <v>0</v>
      </c>
      <c r="BJ158" s="13" t="s">
        <v>76</v>
      </c>
      <c r="BK158" s="130">
        <f t="shared" si="10"/>
        <v>496.71</v>
      </c>
      <c r="BL158" s="13" t="s">
        <v>235</v>
      </c>
      <c r="BM158" s="129" t="s">
        <v>280</v>
      </c>
    </row>
    <row r="159" spans="2:65" s="1" customFormat="1" ht="24" customHeight="1" x14ac:dyDescent="0.2">
      <c r="B159" s="118"/>
      <c r="C159" s="119" t="s">
        <v>281</v>
      </c>
      <c r="D159" s="119" t="s">
        <v>231</v>
      </c>
      <c r="E159" s="120" t="s">
        <v>298</v>
      </c>
      <c r="F159" s="121" t="s">
        <v>299</v>
      </c>
      <c r="G159" s="122" t="s">
        <v>284</v>
      </c>
      <c r="H159" s="123">
        <v>0.315</v>
      </c>
      <c r="I159" s="124">
        <v>44.12</v>
      </c>
      <c r="J159" s="124">
        <f t="shared" si="0"/>
        <v>13.9</v>
      </c>
      <c r="K159" s="121" t="s">
        <v>1</v>
      </c>
      <c r="L159" s="24"/>
      <c r="M159" s="125" t="s">
        <v>1</v>
      </c>
      <c r="N159" s="126" t="s">
        <v>32</v>
      </c>
      <c r="O159" s="127">
        <v>1.4375599999999999</v>
      </c>
      <c r="P159" s="127">
        <f t="shared" si="1"/>
        <v>0.4528314</v>
      </c>
      <c r="Q159" s="127">
        <v>0.29559999999999997</v>
      </c>
      <c r="R159" s="127">
        <f t="shared" si="2"/>
        <v>9.3113999999999988E-2</v>
      </c>
      <c r="S159" s="127">
        <v>0</v>
      </c>
      <c r="T159" s="128">
        <f t="shared" si="3"/>
        <v>0</v>
      </c>
      <c r="W159" s="199"/>
      <c r="X159" s="119" t="s">
        <v>281</v>
      </c>
      <c r="Y159" s="119" t="s">
        <v>231</v>
      </c>
      <c r="Z159" s="120" t="s">
        <v>298</v>
      </c>
      <c r="AA159" s="121" t="s">
        <v>299</v>
      </c>
      <c r="AB159" s="122" t="s">
        <v>284</v>
      </c>
      <c r="AC159" s="123">
        <v>0.315</v>
      </c>
      <c r="AD159" s="124">
        <v>44.12</v>
      </c>
      <c r="AE159" s="200">
        <f t="shared" si="4"/>
        <v>13.9</v>
      </c>
      <c r="AF159" s="956"/>
      <c r="AR159" s="129" t="s">
        <v>235</v>
      </c>
      <c r="AT159" s="129" t="s">
        <v>231</v>
      </c>
      <c r="AU159" s="129" t="s">
        <v>76</v>
      </c>
      <c r="AY159" s="13" t="s">
        <v>228</v>
      </c>
      <c r="BE159" s="130">
        <f t="shared" si="5"/>
        <v>0</v>
      </c>
      <c r="BF159" s="130">
        <f t="shared" si="6"/>
        <v>13.9</v>
      </c>
      <c r="BG159" s="130">
        <f t="shared" si="7"/>
        <v>0</v>
      </c>
      <c r="BH159" s="130">
        <f t="shared" si="8"/>
        <v>0</v>
      </c>
      <c r="BI159" s="130">
        <f t="shared" si="9"/>
        <v>0</v>
      </c>
      <c r="BJ159" s="13" t="s">
        <v>76</v>
      </c>
      <c r="BK159" s="130">
        <f t="shared" si="10"/>
        <v>13.9</v>
      </c>
      <c r="BL159" s="13" t="s">
        <v>235</v>
      </c>
      <c r="BM159" s="129" t="s">
        <v>285</v>
      </c>
    </row>
    <row r="160" spans="2:65" s="1" customFormat="1" ht="24" customHeight="1" x14ac:dyDescent="0.2">
      <c r="B160" s="118"/>
      <c r="C160" s="1070" t="s">
        <v>258</v>
      </c>
      <c r="D160" s="119" t="s">
        <v>231</v>
      </c>
      <c r="E160" s="120" t="s">
        <v>301</v>
      </c>
      <c r="F160" s="121" t="s">
        <v>302</v>
      </c>
      <c r="G160" s="122" t="s">
        <v>284</v>
      </c>
      <c r="H160" s="1071">
        <v>1.05</v>
      </c>
      <c r="I160" s="124">
        <v>75.47</v>
      </c>
      <c r="J160" s="124">
        <f t="shared" si="0"/>
        <v>79.239999999999995</v>
      </c>
      <c r="K160" s="121" t="s">
        <v>1</v>
      </c>
      <c r="L160" s="24"/>
      <c r="M160" s="125" t="s">
        <v>1</v>
      </c>
      <c r="N160" s="126" t="s">
        <v>32</v>
      </c>
      <c r="O160" s="127">
        <v>2.0609600000000001</v>
      </c>
      <c r="P160" s="127">
        <f t="shared" si="1"/>
        <v>2.1640080000000004</v>
      </c>
      <c r="Q160" s="127">
        <v>0.50299000000000005</v>
      </c>
      <c r="R160" s="127">
        <f t="shared" si="2"/>
        <v>0.52813950000000009</v>
      </c>
      <c r="S160" s="127">
        <v>0</v>
      </c>
      <c r="T160" s="128">
        <f t="shared" si="3"/>
        <v>0</v>
      </c>
      <c r="W160" s="199"/>
      <c r="X160" s="969" t="s">
        <v>258</v>
      </c>
      <c r="Y160" s="119" t="s">
        <v>231</v>
      </c>
      <c r="Z160" s="120" t="s">
        <v>301</v>
      </c>
      <c r="AA160" s="121" t="s">
        <v>302</v>
      </c>
      <c r="AB160" s="122" t="s">
        <v>284</v>
      </c>
      <c r="AC160" s="970">
        <f>1.05+1.55</f>
        <v>2.6</v>
      </c>
      <c r="AD160" s="124">
        <v>75.47</v>
      </c>
      <c r="AE160" s="200">
        <f t="shared" si="4"/>
        <v>196.22</v>
      </c>
      <c r="AF160" s="956" t="s">
        <v>5478</v>
      </c>
      <c r="AR160" s="129" t="s">
        <v>235</v>
      </c>
      <c r="AT160" s="129" t="s">
        <v>231</v>
      </c>
      <c r="AU160" s="129" t="s">
        <v>76</v>
      </c>
      <c r="AY160" s="13" t="s">
        <v>228</v>
      </c>
      <c r="BE160" s="130">
        <f t="shared" si="5"/>
        <v>0</v>
      </c>
      <c r="BF160" s="130">
        <f t="shared" si="6"/>
        <v>79.239999999999995</v>
      </c>
      <c r="BG160" s="130">
        <f t="shared" si="7"/>
        <v>0</v>
      </c>
      <c r="BH160" s="130">
        <f t="shared" si="8"/>
        <v>0</v>
      </c>
      <c r="BI160" s="130">
        <f t="shared" si="9"/>
        <v>0</v>
      </c>
      <c r="BJ160" s="13" t="s">
        <v>76</v>
      </c>
      <c r="BK160" s="130">
        <f t="shared" si="10"/>
        <v>79.239999999999995</v>
      </c>
      <c r="BL160" s="13" t="s">
        <v>235</v>
      </c>
      <c r="BM160" s="129" t="s">
        <v>288</v>
      </c>
    </row>
    <row r="161" spans="2:65" s="11" customFormat="1" ht="22.95" customHeight="1" x14ac:dyDescent="0.25">
      <c r="B161" s="106"/>
      <c r="D161" s="107" t="s">
        <v>57</v>
      </c>
      <c r="E161" s="116" t="s">
        <v>235</v>
      </c>
      <c r="F161" s="116" t="s">
        <v>304</v>
      </c>
      <c r="J161" s="117">
        <f>BK161</f>
        <v>740.01</v>
      </c>
      <c r="L161" s="106"/>
      <c r="M161" s="110"/>
      <c r="N161" s="111"/>
      <c r="O161" s="111"/>
      <c r="P161" s="112">
        <f>P162</f>
        <v>0</v>
      </c>
      <c r="Q161" s="111"/>
      <c r="R161" s="112">
        <f>R162</f>
        <v>0</v>
      </c>
      <c r="S161" s="111"/>
      <c r="T161" s="113">
        <f>T162</f>
        <v>0</v>
      </c>
      <c r="W161" s="195"/>
      <c r="X161" s="111"/>
      <c r="Y161" s="196" t="s">
        <v>57</v>
      </c>
      <c r="Z161" s="201" t="s">
        <v>235</v>
      </c>
      <c r="AA161" s="201" t="s">
        <v>304</v>
      </c>
      <c r="AB161" s="111"/>
      <c r="AC161" s="111"/>
      <c r="AD161" s="111"/>
      <c r="AE161" s="202">
        <f>SUM(AE162:AE168)</f>
        <v>841.89</v>
      </c>
      <c r="AF161" s="956"/>
      <c r="AR161" s="107" t="s">
        <v>63</v>
      </c>
      <c r="AT161" s="114" t="s">
        <v>57</v>
      </c>
      <c r="AU161" s="114" t="s">
        <v>63</v>
      </c>
      <c r="AY161" s="107" t="s">
        <v>228</v>
      </c>
      <c r="BK161" s="115">
        <f>BK162</f>
        <v>740.01</v>
      </c>
    </row>
    <row r="162" spans="2:65" s="1" customFormat="1" ht="26.55" customHeight="1" x14ac:dyDescent="0.2">
      <c r="B162" s="118"/>
      <c r="C162" s="119" t="s">
        <v>289</v>
      </c>
      <c r="D162" s="119" t="s">
        <v>231</v>
      </c>
      <c r="E162" s="120" t="s">
        <v>306</v>
      </c>
      <c r="F162" s="121" t="s">
        <v>4256</v>
      </c>
      <c r="G162" s="122" t="s">
        <v>243</v>
      </c>
      <c r="H162" s="123">
        <v>51</v>
      </c>
      <c r="I162" s="124">
        <v>14.51</v>
      </c>
      <c r="J162" s="124">
        <f>ROUND(I162*H162,2)</f>
        <v>740.01</v>
      </c>
      <c r="K162" s="121" t="s">
        <v>1</v>
      </c>
      <c r="L162" s="24"/>
      <c r="M162" s="125" t="s">
        <v>1</v>
      </c>
      <c r="N162" s="126" t="s">
        <v>32</v>
      </c>
      <c r="O162" s="127">
        <v>0</v>
      </c>
      <c r="P162" s="127">
        <f>O162*H162</f>
        <v>0</v>
      </c>
      <c r="Q162" s="127">
        <v>0</v>
      </c>
      <c r="R162" s="127">
        <f>Q162*H162</f>
        <v>0</v>
      </c>
      <c r="S162" s="127">
        <v>0</v>
      </c>
      <c r="T162" s="128">
        <f>S162*H162</f>
        <v>0</v>
      </c>
      <c r="W162" s="199"/>
      <c r="X162" s="119" t="s">
        <v>289</v>
      </c>
      <c r="Y162" s="119" t="s">
        <v>231</v>
      </c>
      <c r="Z162" s="120" t="s">
        <v>306</v>
      </c>
      <c r="AA162" s="121" t="s">
        <v>4256</v>
      </c>
      <c r="AB162" s="122" t="s">
        <v>243</v>
      </c>
      <c r="AC162" s="123">
        <v>51</v>
      </c>
      <c r="AD162" s="124">
        <v>14.51</v>
      </c>
      <c r="AE162" s="200">
        <f>ROUND(AD162*AC162,2)</f>
        <v>740.01</v>
      </c>
      <c r="AF162" s="956"/>
      <c r="AR162" s="129" t="s">
        <v>235</v>
      </c>
      <c r="AT162" s="129" t="s">
        <v>231</v>
      </c>
      <c r="AU162" s="129" t="s">
        <v>76</v>
      </c>
      <c r="AY162" s="13" t="s">
        <v>228</v>
      </c>
      <c r="BE162" s="130">
        <f>IF(N162="základná",J162,0)</f>
        <v>0</v>
      </c>
      <c r="BF162" s="130">
        <f>IF(N162="znížená",J162,0)</f>
        <v>740.01</v>
      </c>
      <c r="BG162" s="130">
        <f>IF(N162="zákl. prenesená",J162,0)</f>
        <v>0</v>
      </c>
      <c r="BH162" s="130">
        <f>IF(N162="zníž. prenesená",J162,0)</f>
        <v>0</v>
      </c>
      <c r="BI162" s="130">
        <f>IF(N162="nulová",J162,0)</f>
        <v>0</v>
      </c>
      <c r="BJ162" s="13" t="s">
        <v>76</v>
      </c>
      <c r="BK162" s="130">
        <f>ROUND(I162*H162,2)</f>
        <v>740.01</v>
      </c>
      <c r="BL162" s="13" t="s">
        <v>235</v>
      </c>
      <c r="BM162" s="129" t="s">
        <v>293</v>
      </c>
    </row>
    <row r="163" spans="2:65" s="701" customFormat="1" ht="22.5" customHeight="1" x14ac:dyDescent="0.2">
      <c r="B163" s="704"/>
      <c r="C163" s="1234" t="s">
        <v>5205</v>
      </c>
      <c r="D163" s="1235"/>
      <c r="E163" s="1235"/>
      <c r="F163" s="1235"/>
      <c r="G163" s="1235"/>
      <c r="H163" s="1235"/>
      <c r="I163" s="1235"/>
      <c r="J163" s="1236"/>
      <c r="K163" s="719"/>
      <c r="L163" s="703"/>
      <c r="M163" s="710"/>
      <c r="N163" s="711"/>
      <c r="O163" s="712"/>
      <c r="P163" s="712"/>
      <c r="Q163" s="712"/>
      <c r="R163" s="712"/>
      <c r="S163" s="712"/>
      <c r="T163" s="713"/>
      <c r="W163" s="716"/>
      <c r="X163" s="734" t="s">
        <v>5348</v>
      </c>
      <c r="Y163" s="734" t="s">
        <v>231</v>
      </c>
      <c r="Z163" s="735" t="s">
        <v>3192</v>
      </c>
      <c r="AA163" s="736" t="s">
        <v>6561</v>
      </c>
      <c r="AB163" s="737" t="s">
        <v>234</v>
      </c>
      <c r="AC163" s="738">
        <v>0.34799999999999998</v>
      </c>
      <c r="AD163" s="739">
        <v>104.49</v>
      </c>
      <c r="AE163" s="760">
        <f t="shared" ref="AE163:AE168" si="11">ROUND(AD163*AC163,2)</f>
        <v>36.36</v>
      </c>
      <c r="AF163" s="956" t="s">
        <v>5477</v>
      </c>
      <c r="AR163" s="714"/>
      <c r="AT163" s="714"/>
      <c r="AU163" s="714"/>
      <c r="AY163" s="702"/>
      <c r="BE163" s="715"/>
      <c r="BF163" s="715"/>
      <c r="BG163" s="715"/>
      <c r="BH163" s="715"/>
      <c r="BI163" s="715"/>
      <c r="BJ163" s="702"/>
      <c r="BK163" s="715"/>
      <c r="BL163" s="702"/>
      <c r="BM163" s="714"/>
    </row>
    <row r="164" spans="2:65" s="701" customFormat="1" ht="22.5" customHeight="1" x14ac:dyDescent="0.2">
      <c r="B164" s="704"/>
      <c r="C164" s="1234" t="s">
        <v>5205</v>
      </c>
      <c r="D164" s="1235"/>
      <c r="E164" s="1235"/>
      <c r="F164" s="1235"/>
      <c r="G164" s="1235"/>
      <c r="H164" s="1235"/>
      <c r="I164" s="1235"/>
      <c r="J164" s="1236"/>
      <c r="K164" s="719"/>
      <c r="L164" s="703"/>
      <c r="M164" s="710"/>
      <c r="N164" s="711"/>
      <c r="O164" s="712"/>
      <c r="P164" s="712"/>
      <c r="Q164" s="712"/>
      <c r="R164" s="712"/>
      <c r="S164" s="712"/>
      <c r="T164" s="713"/>
      <c r="W164" s="716"/>
      <c r="X164" s="734" t="s">
        <v>6425</v>
      </c>
      <c r="Y164" s="734" t="s">
        <v>231</v>
      </c>
      <c r="Z164" s="735" t="s">
        <v>3194</v>
      </c>
      <c r="AA164" s="736" t="s">
        <v>6562</v>
      </c>
      <c r="AB164" s="737" t="s">
        <v>284</v>
      </c>
      <c r="AC164" s="738">
        <v>1.1599999999999999</v>
      </c>
      <c r="AD164" s="739">
        <v>13.93</v>
      </c>
      <c r="AE164" s="760">
        <f t="shared" si="11"/>
        <v>16.16</v>
      </c>
      <c r="AF164" s="956" t="s">
        <v>5477</v>
      </c>
      <c r="AR164" s="714"/>
      <c r="AT164" s="714"/>
      <c r="AU164" s="714"/>
      <c r="AY164" s="702"/>
      <c r="BE164" s="715"/>
      <c r="BF164" s="715"/>
      <c r="BG164" s="715"/>
      <c r="BH164" s="715"/>
      <c r="BI164" s="715"/>
      <c r="BJ164" s="702"/>
      <c r="BK164" s="715"/>
      <c r="BL164" s="702"/>
      <c r="BM164" s="714"/>
    </row>
    <row r="165" spans="2:65" s="701" customFormat="1" ht="22.5" customHeight="1" x14ac:dyDescent="0.2">
      <c r="B165" s="704"/>
      <c r="C165" s="1234" t="s">
        <v>5205</v>
      </c>
      <c r="D165" s="1235"/>
      <c r="E165" s="1235"/>
      <c r="F165" s="1235"/>
      <c r="G165" s="1235"/>
      <c r="H165" s="1235"/>
      <c r="I165" s="1235"/>
      <c r="J165" s="1236"/>
      <c r="K165" s="719"/>
      <c r="L165" s="703"/>
      <c r="M165" s="710"/>
      <c r="N165" s="711"/>
      <c r="O165" s="712"/>
      <c r="P165" s="712"/>
      <c r="Q165" s="712"/>
      <c r="R165" s="712"/>
      <c r="S165" s="712"/>
      <c r="T165" s="713"/>
      <c r="W165" s="716"/>
      <c r="X165" s="734" t="s">
        <v>6563</v>
      </c>
      <c r="Y165" s="734" t="s">
        <v>231</v>
      </c>
      <c r="Z165" s="735" t="s">
        <v>3196</v>
      </c>
      <c r="AA165" s="736" t="s">
        <v>6564</v>
      </c>
      <c r="AB165" s="737" t="s">
        <v>284</v>
      </c>
      <c r="AC165" s="738">
        <v>1.1599999999999999</v>
      </c>
      <c r="AD165" s="739">
        <v>2.9</v>
      </c>
      <c r="AE165" s="760">
        <f t="shared" si="11"/>
        <v>3.36</v>
      </c>
      <c r="AF165" s="956" t="s">
        <v>5477</v>
      </c>
      <c r="AR165" s="714"/>
      <c r="AT165" s="714"/>
      <c r="AU165" s="714"/>
      <c r="AY165" s="702"/>
      <c r="BE165" s="715"/>
      <c r="BF165" s="715"/>
      <c r="BG165" s="715"/>
      <c r="BH165" s="715"/>
      <c r="BI165" s="715"/>
      <c r="BJ165" s="702"/>
      <c r="BK165" s="715"/>
      <c r="BL165" s="702"/>
      <c r="BM165" s="714"/>
    </row>
    <row r="166" spans="2:65" s="701" customFormat="1" ht="22.8" x14ac:dyDescent="0.2">
      <c r="B166" s="704"/>
      <c r="C166" s="1234" t="s">
        <v>5205</v>
      </c>
      <c r="D166" s="1235"/>
      <c r="E166" s="1235"/>
      <c r="F166" s="1235"/>
      <c r="G166" s="1235"/>
      <c r="H166" s="1235"/>
      <c r="I166" s="1235"/>
      <c r="J166" s="1236"/>
      <c r="K166" s="719"/>
      <c r="L166" s="703"/>
      <c r="M166" s="710"/>
      <c r="N166" s="711"/>
      <c r="O166" s="712"/>
      <c r="P166" s="712"/>
      <c r="Q166" s="712"/>
      <c r="R166" s="712"/>
      <c r="S166" s="712"/>
      <c r="T166" s="713"/>
      <c r="W166" s="716"/>
      <c r="X166" s="734" t="s">
        <v>6565</v>
      </c>
      <c r="Y166" s="734" t="s">
        <v>231</v>
      </c>
      <c r="Z166" s="735" t="s">
        <v>3198</v>
      </c>
      <c r="AA166" s="736" t="s">
        <v>6566</v>
      </c>
      <c r="AB166" s="737" t="s">
        <v>284</v>
      </c>
      <c r="AC166" s="738">
        <v>1.1599999999999999</v>
      </c>
      <c r="AD166" s="739">
        <v>6.39</v>
      </c>
      <c r="AE166" s="760">
        <f t="shared" si="11"/>
        <v>7.41</v>
      </c>
      <c r="AF166" s="956" t="s">
        <v>5477</v>
      </c>
      <c r="AR166" s="714"/>
      <c r="AT166" s="714"/>
      <c r="AU166" s="714"/>
      <c r="AY166" s="702"/>
      <c r="BE166" s="715"/>
      <c r="BF166" s="715"/>
      <c r="BG166" s="715"/>
      <c r="BH166" s="715"/>
      <c r="BI166" s="715"/>
      <c r="BJ166" s="702"/>
      <c r="BK166" s="715"/>
      <c r="BL166" s="702"/>
      <c r="BM166" s="714"/>
    </row>
    <row r="167" spans="2:65" s="701" customFormat="1" ht="22.8" x14ac:dyDescent="0.2">
      <c r="B167" s="704"/>
      <c r="C167" s="1234" t="s">
        <v>5205</v>
      </c>
      <c r="D167" s="1235"/>
      <c r="E167" s="1235"/>
      <c r="F167" s="1235"/>
      <c r="G167" s="1235"/>
      <c r="H167" s="1235"/>
      <c r="I167" s="1235"/>
      <c r="J167" s="1236"/>
      <c r="K167" s="719"/>
      <c r="L167" s="703"/>
      <c r="M167" s="710"/>
      <c r="N167" s="711"/>
      <c r="O167" s="712"/>
      <c r="P167" s="712"/>
      <c r="Q167" s="712"/>
      <c r="R167" s="712"/>
      <c r="S167" s="712"/>
      <c r="T167" s="713"/>
      <c r="W167" s="716"/>
      <c r="X167" s="734" t="s">
        <v>6567</v>
      </c>
      <c r="Y167" s="734" t="s">
        <v>231</v>
      </c>
      <c r="Z167" s="735" t="s">
        <v>3200</v>
      </c>
      <c r="AA167" s="736" t="s">
        <v>6568</v>
      </c>
      <c r="AB167" s="737" t="s">
        <v>284</v>
      </c>
      <c r="AC167" s="738">
        <v>1.1599999999999999</v>
      </c>
      <c r="AD167" s="739">
        <v>1.74</v>
      </c>
      <c r="AE167" s="760">
        <f t="shared" si="11"/>
        <v>2.02</v>
      </c>
      <c r="AF167" s="956" t="s">
        <v>5477</v>
      </c>
      <c r="AR167" s="714"/>
      <c r="AT167" s="714"/>
      <c r="AU167" s="714"/>
      <c r="AY167" s="702"/>
      <c r="BE167" s="715"/>
      <c r="BF167" s="715"/>
      <c r="BG167" s="715"/>
      <c r="BH167" s="715"/>
      <c r="BI167" s="715"/>
      <c r="BJ167" s="702"/>
      <c r="BK167" s="715"/>
      <c r="BL167" s="702"/>
      <c r="BM167" s="714"/>
    </row>
    <row r="168" spans="2:65" s="701" customFormat="1" ht="22.8" x14ac:dyDescent="0.2">
      <c r="B168" s="704"/>
      <c r="C168" s="1234" t="s">
        <v>5205</v>
      </c>
      <c r="D168" s="1235"/>
      <c r="E168" s="1235"/>
      <c r="F168" s="1235"/>
      <c r="G168" s="1235"/>
      <c r="H168" s="1235"/>
      <c r="I168" s="1235"/>
      <c r="J168" s="1236"/>
      <c r="K168" s="719"/>
      <c r="L168" s="703"/>
      <c r="M168" s="710"/>
      <c r="N168" s="711"/>
      <c r="O168" s="712"/>
      <c r="P168" s="712"/>
      <c r="Q168" s="712"/>
      <c r="R168" s="712"/>
      <c r="S168" s="712"/>
      <c r="T168" s="713"/>
      <c r="W168" s="716"/>
      <c r="X168" s="734" t="s">
        <v>6569</v>
      </c>
      <c r="Y168" s="734" t="s">
        <v>231</v>
      </c>
      <c r="Z168" s="735" t="s">
        <v>3202</v>
      </c>
      <c r="AA168" s="736" t="s">
        <v>6570</v>
      </c>
      <c r="AB168" s="737" t="s">
        <v>271</v>
      </c>
      <c r="AC168" s="738">
        <v>3.5000000000000003E-2</v>
      </c>
      <c r="AD168" s="739">
        <v>1044.9000000000001</v>
      </c>
      <c r="AE168" s="760">
        <f t="shared" si="11"/>
        <v>36.57</v>
      </c>
      <c r="AF168" s="956" t="s">
        <v>5477</v>
      </c>
      <c r="AR168" s="714"/>
      <c r="AT168" s="714"/>
      <c r="AU168" s="714"/>
      <c r="AY168" s="702"/>
      <c r="BE168" s="715"/>
      <c r="BF168" s="715"/>
      <c r="BG168" s="715"/>
      <c r="BH168" s="715"/>
      <c r="BI168" s="715"/>
      <c r="BJ168" s="702"/>
      <c r="BK168" s="715"/>
      <c r="BL168" s="702"/>
      <c r="BM168" s="714"/>
    </row>
    <row r="169" spans="2:65" s="11" customFormat="1" ht="22.95" customHeight="1" x14ac:dyDescent="0.25">
      <c r="B169" s="106"/>
      <c r="D169" s="107" t="s">
        <v>57</v>
      </c>
      <c r="E169" s="116" t="s">
        <v>240</v>
      </c>
      <c r="F169" s="116" t="s">
        <v>309</v>
      </c>
      <c r="J169" s="117">
        <f>BK169</f>
        <v>35294.549999999996</v>
      </c>
      <c r="L169" s="106"/>
      <c r="M169" s="110"/>
      <c r="N169" s="111"/>
      <c r="O169" s="111"/>
      <c r="P169" s="112">
        <f>SUM(P170:P199)</f>
        <v>500.68423362999999</v>
      </c>
      <c r="Q169" s="111"/>
      <c r="R169" s="112">
        <f>SUM(R170:R199)</f>
        <v>45.230768849999997</v>
      </c>
      <c r="S169" s="111"/>
      <c r="T169" s="113">
        <f>SUM(T170:T199)</f>
        <v>0</v>
      </c>
      <c r="W169" s="195"/>
      <c r="X169" s="111"/>
      <c r="Y169" s="196" t="s">
        <v>57</v>
      </c>
      <c r="Z169" s="201" t="s">
        <v>240</v>
      </c>
      <c r="AA169" s="201" t="s">
        <v>309</v>
      </c>
      <c r="AB169" s="111"/>
      <c r="AC169" s="111"/>
      <c r="AD169" s="111"/>
      <c r="AE169" s="202">
        <f>SUM(AE170:AE199)</f>
        <v>49573.760000000002</v>
      </c>
      <c r="AF169" s="956"/>
      <c r="AR169" s="107" t="s">
        <v>63</v>
      </c>
      <c r="AT169" s="114" t="s">
        <v>57</v>
      </c>
      <c r="AU169" s="114" t="s">
        <v>63</v>
      </c>
      <c r="AY169" s="107" t="s">
        <v>228</v>
      </c>
      <c r="BK169" s="115">
        <f>SUM(BK170:BK199)</f>
        <v>35294.549999999996</v>
      </c>
    </row>
    <row r="170" spans="2:65" s="1" customFormat="1" ht="24" customHeight="1" x14ac:dyDescent="0.2">
      <c r="B170" s="118"/>
      <c r="C170" s="1070" t="s">
        <v>262</v>
      </c>
      <c r="D170" s="119" t="s">
        <v>231</v>
      </c>
      <c r="E170" s="120" t="s">
        <v>310</v>
      </c>
      <c r="F170" s="121" t="s">
        <v>311</v>
      </c>
      <c r="G170" s="122" t="s">
        <v>284</v>
      </c>
      <c r="H170" s="1071">
        <v>53.58</v>
      </c>
      <c r="I170" s="124">
        <v>1.1599999999999999</v>
      </c>
      <c r="J170" s="124">
        <f t="shared" ref="J170:J199" si="12">ROUND(I170*H170,2)</f>
        <v>62.15</v>
      </c>
      <c r="K170" s="121" t="s">
        <v>1</v>
      </c>
      <c r="L170" s="24"/>
      <c r="M170" s="125" t="s">
        <v>1</v>
      </c>
      <c r="N170" s="126" t="s">
        <v>32</v>
      </c>
      <c r="O170" s="127">
        <v>8.2019999999999996E-2</v>
      </c>
      <c r="P170" s="127">
        <f t="shared" ref="P170:P199" si="13">O170*H170</f>
        <v>4.3946315999999994</v>
      </c>
      <c r="Q170" s="127">
        <v>1.9000000000000001E-4</v>
      </c>
      <c r="R170" s="127">
        <f t="shared" ref="R170:R199" si="14">Q170*H170</f>
        <v>1.01802E-2</v>
      </c>
      <c r="S170" s="127">
        <v>0</v>
      </c>
      <c r="T170" s="128">
        <f t="shared" ref="T170:T199" si="15">S170*H170</f>
        <v>0</v>
      </c>
      <c r="W170" s="199"/>
      <c r="X170" s="969" t="s">
        <v>262</v>
      </c>
      <c r="Y170" s="119" t="s">
        <v>231</v>
      </c>
      <c r="Z170" s="120" t="s">
        <v>310</v>
      </c>
      <c r="AA170" s="121" t="s">
        <v>311</v>
      </c>
      <c r="AB170" s="122" t="s">
        <v>284</v>
      </c>
      <c r="AC170" s="970">
        <f>53.58+8.31</f>
        <v>61.89</v>
      </c>
      <c r="AD170" s="124">
        <v>1.1599999999999999</v>
      </c>
      <c r="AE170" s="200">
        <f t="shared" ref="AE170:AE199" si="16">ROUND(AD170*AC170,2)</f>
        <v>71.790000000000006</v>
      </c>
      <c r="AF170" s="956" t="s">
        <v>5478</v>
      </c>
      <c r="AR170" s="129" t="s">
        <v>235</v>
      </c>
      <c r="AT170" s="129" t="s">
        <v>231</v>
      </c>
      <c r="AU170" s="129" t="s">
        <v>76</v>
      </c>
      <c r="AY170" s="13" t="s">
        <v>228</v>
      </c>
      <c r="BE170" s="130">
        <f t="shared" ref="BE170:BE199" si="17">IF(N170="základná",J170,0)</f>
        <v>0</v>
      </c>
      <c r="BF170" s="130">
        <f t="shared" ref="BF170:BF199" si="18">IF(N170="znížená",J170,0)</f>
        <v>62.15</v>
      </c>
      <c r="BG170" s="130">
        <f t="shared" ref="BG170:BG199" si="19">IF(N170="zákl. prenesená",J170,0)</f>
        <v>0</v>
      </c>
      <c r="BH170" s="130">
        <f t="shared" ref="BH170:BH199" si="20">IF(N170="zníž. prenesená",J170,0)</f>
        <v>0</v>
      </c>
      <c r="BI170" s="130">
        <f t="shared" ref="BI170:BI199" si="21">IF(N170="nulová",J170,0)</f>
        <v>0</v>
      </c>
      <c r="BJ170" s="13" t="s">
        <v>76</v>
      </c>
      <c r="BK170" s="130">
        <f t="shared" ref="BK170:BK199" si="22">ROUND(I170*H170,2)</f>
        <v>62.15</v>
      </c>
      <c r="BL170" s="13" t="s">
        <v>235</v>
      </c>
      <c r="BM170" s="129" t="s">
        <v>296</v>
      </c>
    </row>
    <row r="171" spans="2:65" s="1" customFormat="1" ht="16.5" customHeight="1" x14ac:dyDescent="0.2">
      <c r="B171" s="118"/>
      <c r="C171" s="979" t="s">
        <v>297</v>
      </c>
      <c r="D171" s="131" t="s">
        <v>277</v>
      </c>
      <c r="E171" s="132" t="s">
        <v>314</v>
      </c>
      <c r="F171" s="133" t="s">
        <v>315</v>
      </c>
      <c r="G171" s="134" t="s">
        <v>284</v>
      </c>
      <c r="H171" s="978">
        <v>56.259</v>
      </c>
      <c r="I171" s="136">
        <v>0.57999999999999996</v>
      </c>
      <c r="J171" s="136">
        <f t="shared" si="12"/>
        <v>32.630000000000003</v>
      </c>
      <c r="K171" s="133" t="s">
        <v>1</v>
      </c>
      <c r="L171" s="137"/>
      <c r="M171" s="138" t="s">
        <v>1</v>
      </c>
      <c r="N171" s="139" t="s">
        <v>32</v>
      </c>
      <c r="O171" s="127">
        <v>0</v>
      </c>
      <c r="P171" s="127">
        <f t="shared" si="13"/>
        <v>0</v>
      </c>
      <c r="Q171" s="127">
        <v>0</v>
      </c>
      <c r="R171" s="127">
        <f t="shared" si="14"/>
        <v>0</v>
      </c>
      <c r="S171" s="127">
        <v>0</v>
      </c>
      <c r="T171" s="128">
        <f t="shared" si="15"/>
        <v>0</v>
      </c>
      <c r="W171" s="199"/>
      <c r="X171" s="979" t="s">
        <v>297</v>
      </c>
      <c r="Y171" s="131" t="s">
        <v>277</v>
      </c>
      <c r="Z171" s="132" t="s">
        <v>314</v>
      </c>
      <c r="AA171" s="133" t="s">
        <v>315</v>
      </c>
      <c r="AB171" s="134" t="s">
        <v>284</v>
      </c>
      <c r="AC171" s="978">
        <f>56.259+8.693</f>
        <v>64.951999999999998</v>
      </c>
      <c r="AD171" s="136">
        <v>0.57999999999999996</v>
      </c>
      <c r="AE171" s="229">
        <f t="shared" si="16"/>
        <v>37.67</v>
      </c>
      <c r="AF171" s="956" t="s">
        <v>5478</v>
      </c>
      <c r="AR171" s="129" t="s">
        <v>244</v>
      </c>
      <c r="AT171" s="129" t="s">
        <v>277</v>
      </c>
      <c r="AU171" s="129" t="s">
        <v>76</v>
      </c>
      <c r="AY171" s="13" t="s">
        <v>228</v>
      </c>
      <c r="BE171" s="130">
        <f t="shared" si="17"/>
        <v>0</v>
      </c>
      <c r="BF171" s="130">
        <f t="shared" si="18"/>
        <v>32.630000000000003</v>
      </c>
      <c r="BG171" s="130">
        <f t="shared" si="19"/>
        <v>0</v>
      </c>
      <c r="BH171" s="130">
        <f t="shared" si="20"/>
        <v>0</v>
      </c>
      <c r="BI171" s="130">
        <f t="shared" si="21"/>
        <v>0</v>
      </c>
      <c r="BJ171" s="13" t="s">
        <v>76</v>
      </c>
      <c r="BK171" s="130">
        <f t="shared" si="22"/>
        <v>32.630000000000003</v>
      </c>
      <c r="BL171" s="13" t="s">
        <v>235</v>
      </c>
      <c r="BM171" s="129" t="s">
        <v>300</v>
      </c>
    </row>
    <row r="172" spans="2:65" s="1" customFormat="1" ht="24" customHeight="1" x14ac:dyDescent="0.2">
      <c r="B172" s="118"/>
      <c r="C172" s="1070" t="s">
        <v>7</v>
      </c>
      <c r="D172" s="119" t="s">
        <v>231</v>
      </c>
      <c r="E172" s="120" t="s">
        <v>317</v>
      </c>
      <c r="F172" s="121" t="s">
        <v>318</v>
      </c>
      <c r="G172" s="122" t="s">
        <v>284</v>
      </c>
      <c r="H172" s="1071">
        <v>5.53</v>
      </c>
      <c r="I172" s="124">
        <v>1.96</v>
      </c>
      <c r="J172" s="124">
        <f t="shared" si="12"/>
        <v>10.84</v>
      </c>
      <c r="K172" s="121" t="s">
        <v>1</v>
      </c>
      <c r="L172" s="24"/>
      <c r="M172" s="125" t="s">
        <v>1</v>
      </c>
      <c r="N172" s="126" t="s">
        <v>32</v>
      </c>
      <c r="O172" s="127">
        <v>0</v>
      </c>
      <c r="P172" s="127">
        <f t="shared" si="13"/>
        <v>0</v>
      </c>
      <c r="Q172" s="127">
        <v>0</v>
      </c>
      <c r="R172" s="127">
        <f t="shared" si="14"/>
        <v>0</v>
      </c>
      <c r="S172" s="127">
        <v>0</v>
      </c>
      <c r="T172" s="128">
        <f t="shared" si="15"/>
        <v>0</v>
      </c>
      <c r="W172" s="199"/>
      <c r="X172" s="969" t="s">
        <v>7</v>
      </c>
      <c r="Y172" s="119" t="s">
        <v>231</v>
      </c>
      <c r="Z172" s="120" t="s">
        <v>317</v>
      </c>
      <c r="AA172" s="121" t="s">
        <v>318</v>
      </c>
      <c r="AB172" s="122" t="s">
        <v>284</v>
      </c>
      <c r="AC172" s="970">
        <f>5.53+255</f>
        <v>260.52999999999997</v>
      </c>
      <c r="AD172" s="124">
        <v>1.96</v>
      </c>
      <c r="AE172" s="200">
        <f t="shared" si="16"/>
        <v>510.64</v>
      </c>
      <c r="AF172" s="956" t="s">
        <v>5478</v>
      </c>
      <c r="AR172" s="129" t="s">
        <v>235</v>
      </c>
      <c r="AT172" s="129" t="s">
        <v>231</v>
      </c>
      <c r="AU172" s="129" t="s">
        <v>76</v>
      </c>
      <c r="AY172" s="13" t="s">
        <v>228</v>
      </c>
      <c r="BE172" s="130">
        <f t="shared" si="17"/>
        <v>0</v>
      </c>
      <c r="BF172" s="130">
        <f t="shared" si="18"/>
        <v>10.84</v>
      </c>
      <c r="BG172" s="130">
        <f t="shared" si="19"/>
        <v>0</v>
      </c>
      <c r="BH172" s="130">
        <f t="shared" si="20"/>
        <v>0</v>
      </c>
      <c r="BI172" s="130">
        <f t="shared" si="21"/>
        <v>0</v>
      </c>
      <c r="BJ172" s="13" t="s">
        <v>76</v>
      </c>
      <c r="BK172" s="130">
        <f t="shared" si="22"/>
        <v>10.84</v>
      </c>
      <c r="BL172" s="13" t="s">
        <v>235</v>
      </c>
      <c r="BM172" s="129" t="s">
        <v>303</v>
      </c>
    </row>
    <row r="173" spans="2:65" s="1" customFormat="1" ht="24" customHeight="1" x14ac:dyDescent="0.2">
      <c r="B173" s="118"/>
      <c r="C173" s="119" t="s">
        <v>305</v>
      </c>
      <c r="D173" s="119" t="s">
        <v>231</v>
      </c>
      <c r="E173" s="120" t="s">
        <v>4257</v>
      </c>
      <c r="F173" s="121" t="s">
        <v>4258</v>
      </c>
      <c r="G173" s="122" t="s">
        <v>284</v>
      </c>
      <c r="H173" s="123">
        <v>5.53</v>
      </c>
      <c r="I173" s="124">
        <v>4.6399999999999997</v>
      </c>
      <c r="J173" s="124">
        <f t="shared" si="12"/>
        <v>25.66</v>
      </c>
      <c r="K173" s="121" t="s">
        <v>1</v>
      </c>
      <c r="L173" s="24"/>
      <c r="M173" s="125" t="s">
        <v>1</v>
      </c>
      <c r="N173" s="126" t="s">
        <v>32</v>
      </c>
      <c r="O173" s="127">
        <v>0</v>
      </c>
      <c r="P173" s="127">
        <f t="shared" si="13"/>
        <v>0</v>
      </c>
      <c r="Q173" s="127">
        <v>0</v>
      </c>
      <c r="R173" s="127">
        <f t="shared" si="14"/>
        <v>0</v>
      </c>
      <c r="S173" s="127">
        <v>0</v>
      </c>
      <c r="T173" s="128">
        <f t="shared" si="15"/>
        <v>0</v>
      </c>
      <c r="W173" s="199"/>
      <c r="X173" s="119" t="s">
        <v>305</v>
      </c>
      <c r="Y173" s="119" t="s">
        <v>231</v>
      </c>
      <c r="Z173" s="120" t="s">
        <v>4257</v>
      </c>
      <c r="AA173" s="121" t="s">
        <v>4258</v>
      </c>
      <c r="AB173" s="122" t="s">
        <v>284</v>
      </c>
      <c r="AC173" s="123">
        <v>5.53</v>
      </c>
      <c r="AD173" s="124">
        <v>4.6399999999999997</v>
      </c>
      <c r="AE173" s="200">
        <f t="shared" si="16"/>
        <v>25.66</v>
      </c>
      <c r="AF173" s="956"/>
      <c r="AR173" s="129" t="s">
        <v>235</v>
      </c>
      <c r="AT173" s="129" t="s">
        <v>231</v>
      </c>
      <c r="AU173" s="129" t="s">
        <v>76</v>
      </c>
      <c r="AY173" s="13" t="s">
        <v>228</v>
      </c>
      <c r="BE173" s="130">
        <f t="shared" si="17"/>
        <v>0</v>
      </c>
      <c r="BF173" s="130">
        <f t="shared" si="18"/>
        <v>25.66</v>
      </c>
      <c r="BG173" s="130">
        <f t="shared" si="19"/>
        <v>0</v>
      </c>
      <c r="BH173" s="130">
        <f t="shared" si="20"/>
        <v>0</v>
      </c>
      <c r="BI173" s="130">
        <f t="shared" si="21"/>
        <v>0</v>
      </c>
      <c r="BJ173" s="13" t="s">
        <v>76</v>
      </c>
      <c r="BK173" s="130">
        <f t="shared" si="22"/>
        <v>25.66</v>
      </c>
      <c r="BL173" s="13" t="s">
        <v>235</v>
      </c>
      <c r="BM173" s="129" t="s">
        <v>308</v>
      </c>
    </row>
    <row r="174" spans="2:65" s="1" customFormat="1" ht="24" customHeight="1" x14ac:dyDescent="0.2">
      <c r="B174" s="118"/>
      <c r="C174" s="1070" t="s">
        <v>268</v>
      </c>
      <c r="D174" s="119" t="s">
        <v>231</v>
      </c>
      <c r="E174" s="120" t="s">
        <v>321</v>
      </c>
      <c r="F174" s="121" t="s">
        <v>322</v>
      </c>
      <c r="G174" s="122" t="s">
        <v>284</v>
      </c>
      <c r="H174" s="1071">
        <v>292.82</v>
      </c>
      <c r="I174" s="124">
        <v>7.38</v>
      </c>
      <c r="J174" s="124">
        <f t="shared" si="12"/>
        <v>2161.0100000000002</v>
      </c>
      <c r="K174" s="121" t="s">
        <v>1</v>
      </c>
      <c r="L174" s="24"/>
      <c r="M174" s="125" t="s">
        <v>1</v>
      </c>
      <c r="N174" s="126" t="s">
        <v>32</v>
      </c>
      <c r="O174" s="127">
        <v>0.40911999999999998</v>
      </c>
      <c r="P174" s="127">
        <f t="shared" si="13"/>
        <v>119.79851839999999</v>
      </c>
      <c r="Q174" s="127">
        <v>2.6669999999999999E-2</v>
      </c>
      <c r="R174" s="127">
        <f t="shared" si="14"/>
        <v>7.8095093999999996</v>
      </c>
      <c r="S174" s="127">
        <v>0</v>
      </c>
      <c r="T174" s="128">
        <f t="shared" si="15"/>
        <v>0</v>
      </c>
      <c r="W174" s="199"/>
      <c r="X174" s="969" t="s">
        <v>268</v>
      </c>
      <c r="Y174" s="119" t="s">
        <v>231</v>
      </c>
      <c r="Z174" s="120" t="s">
        <v>321</v>
      </c>
      <c r="AA174" s="121" t="s">
        <v>322</v>
      </c>
      <c r="AB174" s="122" t="s">
        <v>284</v>
      </c>
      <c r="AC174" s="970">
        <f>292.82+155.8</f>
        <v>448.62</v>
      </c>
      <c r="AD174" s="124">
        <v>7.38</v>
      </c>
      <c r="AE174" s="200">
        <f t="shared" si="16"/>
        <v>3310.82</v>
      </c>
      <c r="AF174" s="956" t="s">
        <v>5478</v>
      </c>
      <c r="AR174" s="129" t="s">
        <v>235</v>
      </c>
      <c r="AT174" s="129" t="s">
        <v>231</v>
      </c>
      <c r="AU174" s="129" t="s">
        <v>76</v>
      </c>
      <c r="AY174" s="13" t="s">
        <v>228</v>
      </c>
      <c r="BE174" s="130">
        <f t="shared" si="17"/>
        <v>0</v>
      </c>
      <c r="BF174" s="130">
        <f t="shared" si="18"/>
        <v>2161.0100000000002</v>
      </c>
      <c r="BG174" s="130">
        <f t="shared" si="19"/>
        <v>0</v>
      </c>
      <c r="BH174" s="130">
        <f t="shared" si="20"/>
        <v>0</v>
      </c>
      <c r="BI174" s="130">
        <f t="shared" si="21"/>
        <v>0</v>
      </c>
      <c r="BJ174" s="13" t="s">
        <v>76</v>
      </c>
      <c r="BK174" s="130">
        <f t="shared" si="22"/>
        <v>2161.0100000000002</v>
      </c>
      <c r="BL174" s="13" t="s">
        <v>235</v>
      </c>
      <c r="BM174" s="129" t="s">
        <v>312</v>
      </c>
    </row>
    <row r="175" spans="2:65" s="1" customFormat="1" ht="24" customHeight="1" x14ac:dyDescent="0.2">
      <c r="B175" s="118"/>
      <c r="C175" s="1070" t="s">
        <v>313</v>
      </c>
      <c r="D175" s="119" t="s">
        <v>231</v>
      </c>
      <c r="E175" s="120" t="s">
        <v>324</v>
      </c>
      <c r="F175" s="121" t="s">
        <v>325</v>
      </c>
      <c r="G175" s="122" t="s">
        <v>284</v>
      </c>
      <c r="H175" s="1071">
        <v>5.53</v>
      </c>
      <c r="I175" s="124">
        <v>5.46</v>
      </c>
      <c r="J175" s="124">
        <f t="shared" si="12"/>
        <v>30.19</v>
      </c>
      <c r="K175" s="121" t="s">
        <v>1</v>
      </c>
      <c r="L175" s="24"/>
      <c r="M175" s="125" t="s">
        <v>1</v>
      </c>
      <c r="N175" s="126" t="s">
        <v>32</v>
      </c>
      <c r="O175" s="127">
        <v>0</v>
      </c>
      <c r="P175" s="127">
        <f t="shared" si="13"/>
        <v>0</v>
      </c>
      <c r="Q175" s="127">
        <v>0</v>
      </c>
      <c r="R175" s="127">
        <f t="shared" si="14"/>
        <v>0</v>
      </c>
      <c r="S175" s="127">
        <v>0</v>
      </c>
      <c r="T175" s="128">
        <f t="shared" si="15"/>
        <v>0</v>
      </c>
      <c r="W175" s="199"/>
      <c r="X175" s="969" t="s">
        <v>313</v>
      </c>
      <c r="Y175" s="119" t="s">
        <v>231</v>
      </c>
      <c r="Z175" s="120" t="s">
        <v>324</v>
      </c>
      <c r="AA175" s="121" t="s">
        <v>325</v>
      </c>
      <c r="AB175" s="122" t="s">
        <v>284</v>
      </c>
      <c r="AC175" s="970">
        <f>5.53+255</f>
        <v>260.52999999999997</v>
      </c>
      <c r="AD175" s="124">
        <v>5.46</v>
      </c>
      <c r="AE175" s="200">
        <f t="shared" si="16"/>
        <v>1422.49</v>
      </c>
      <c r="AF175" s="956" t="s">
        <v>5478</v>
      </c>
      <c r="AR175" s="129" t="s">
        <v>235</v>
      </c>
      <c r="AT175" s="129" t="s">
        <v>231</v>
      </c>
      <c r="AU175" s="129" t="s">
        <v>76</v>
      </c>
      <c r="AY175" s="13" t="s">
        <v>228</v>
      </c>
      <c r="BE175" s="130">
        <f t="shared" si="17"/>
        <v>0</v>
      </c>
      <c r="BF175" s="130">
        <f t="shared" si="18"/>
        <v>30.19</v>
      </c>
      <c r="BG175" s="130">
        <f t="shared" si="19"/>
        <v>0</v>
      </c>
      <c r="BH175" s="130">
        <f t="shared" si="20"/>
        <v>0</v>
      </c>
      <c r="BI175" s="130">
        <f t="shared" si="21"/>
        <v>0</v>
      </c>
      <c r="BJ175" s="13" t="s">
        <v>76</v>
      </c>
      <c r="BK175" s="130">
        <f t="shared" si="22"/>
        <v>30.19</v>
      </c>
      <c r="BL175" s="13" t="s">
        <v>235</v>
      </c>
      <c r="BM175" s="129" t="s">
        <v>316</v>
      </c>
    </row>
    <row r="176" spans="2:65" s="1" customFormat="1" ht="16.5" customHeight="1" x14ac:dyDescent="0.2">
      <c r="B176" s="118"/>
      <c r="C176" s="1070" t="s">
        <v>272</v>
      </c>
      <c r="D176" s="119" t="s">
        <v>231</v>
      </c>
      <c r="E176" s="120" t="s">
        <v>335</v>
      </c>
      <c r="F176" s="121" t="s">
        <v>336</v>
      </c>
      <c r="G176" s="122" t="s">
        <v>284</v>
      </c>
      <c r="H176" s="1071">
        <v>25</v>
      </c>
      <c r="I176" s="124">
        <v>12.77</v>
      </c>
      <c r="J176" s="124">
        <f t="shared" si="12"/>
        <v>319.25</v>
      </c>
      <c r="K176" s="121" t="s">
        <v>1</v>
      </c>
      <c r="L176" s="24"/>
      <c r="M176" s="125" t="s">
        <v>1</v>
      </c>
      <c r="N176" s="126" t="s">
        <v>32</v>
      </c>
      <c r="O176" s="127">
        <v>0.58543999999999996</v>
      </c>
      <c r="P176" s="127">
        <f t="shared" si="13"/>
        <v>14.635999999999999</v>
      </c>
      <c r="Q176" s="127">
        <v>0.10707999999999999</v>
      </c>
      <c r="R176" s="127">
        <f t="shared" si="14"/>
        <v>2.677</v>
      </c>
      <c r="S176" s="127">
        <v>0</v>
      </c>
      <c r="T176" s="128">
        <f t="shared" si="15"/>
        <v>0</v>
      </c>
      <c r="W176" s="199"/>
      <c r="X176" s="205" t="s">
        <v>272</v>
      </c>
      <c r="Y176" s="119" t="s">
        <v>231</v>
      </c>
      <c r="Z176" s="120" t="s">
        <v>335</v>
      </c>
      <c r="AA176" s="121" t="s">
        <v>336</v>
      </c>
      <c r="AB176" s="122" t="s">
        <v>284</v>
      </c>
      <c r="AC176" s="206">
        <f>25+22.4+20.6+153</f>
        <v>221</v>
      </c>
      <c r="AD176" s="124">
        <v>12.77</v>
      </c>
      <c r="AE176" s="200">
        <f t="shared" si="16"/>
        <v>2822.17</v>
      </c>
      <c r="AF176" s="956" t="s">
        <v>6605</v>
      </c>
      <c r="AR176" s="129" t="s">
        <v>235</v>
      </c>
      <c r="AT176" s="129" t="s">
        <v>231</v>
      </c>
      <c r="AU176" s="129" t="s">
        <v>76</v>
      </c>
      <c r="AY176" s="13" t="s">
        <v>228</v>
      </c>
      <c r="BE176" s="130">
        <f t="shared" si="17"/>
        <v>0</v>
      </c>
      <c r="BF176" s="130">
        <f t="shared" si="18"/>
        <v>319.25</v>
      </c>
      <c r="BG176" s="130">
        <f t="shared" si="19"/>
        <v>0</v>
      </c>
      <c r="BH176" s="130">
        <f t="shared" si="20"/>
        <v>0</v>
      </c>
      <c r="BI176" s="130">
        <f t="shared" si="21"/>
        <v>0</v>
      </c>
      <c r="BJ176" s="13" t="s">
        <v>76</v>
      </c>
      <c r="BK176" s="130">
        <f t="shared" si="22"/>
        <v>319.25</v>
      </c>
      <c r="BL176" s="13" t="s">
        <v>235</v>
      </c>
      <c r="BM176" s="129" t="s">
        <v>319</v>
      </c>
    </row>
    <row r="177" spans="2:65" s="1" customFormat="1" ht="24" customHeight="1" x14ac:dyDescent="0.2">
      <c r="B177" s="118"/>
      <c r="C177" s="1070" t="s">
        <v>320</v>
      </c>
      <c r="D177" s="119" t="s">
        <v>231</v>
      </c>
      <c r="E177" s="120" t="s">
        <v>342</v>
      </c>
      <c r="F177" s="121" t="s">
        <v>343</v>
      </c>
      <c r="G177" s="122" t="s">
        <v>284</v>
      </c>
      <c r="H177" s="1071">
        <v>632.10199999999998</v>
      </c>
      <c r="I177" s="124">
        <v>5.81</v>
      </c>
      <c r="J177" s="124">
        <f t="shared" si="12"/>
        <v>3672.51</v>
      </c>
      <c r="K177" s="121" t="s">
        <v>1</v>
      </c>
      <c r="L177" s="24"/>
      <c r="M177" s="125" t="s">
        <v>1</v>
      </c>
      <c r="N177" s="126" t="s">
        <v>32</v>
      </c>
      <c r="O177" s="127">
        <v>0.26400000000000001</v>
      </c>
      <c r="P177" s="127">
        <f t="shared" si="13"/>
        <v>166.87492800000001</v>
      </c>
      <c r="Q177" s="127">
        <v>2.1309999999999999E-2</v>
      </c>
      <c r="R177" s="127">
        <f t="shared" si="14"/>
        <v>13.470093619999998</v>
      </c>
      <c r="S177" s="127">
        <v>0</v>
      </c>
      <c r="T177" s="128">
        <f t="shared" si="15"/>
        <v>0</v>
      </c>
      <c r="W177" s="199"/>
      <c r="X177" s="969" t="s">
        <v>320</v>
      </c>
      <c r="Y177" s="119" t="s">
        <v>231</v>
      </c>
      <c r="Z177" s="120" t="s">
        <v>342</v>
      </c>
      <c r="AA177" s="121" t="s">
        <v>343</v>
      </c>
      <c r="AB177" s="122" t="s">
        <v>284</v>
      </c>
      <c r="AC177" s="970">
        <f>632.102+144.003</f>
        <v>776.10500000000002</v>
      </c>
      <c r="AD177" s="124">
        <v>5.81</v>
      </c>
      <c r="AE177" s="200">
        <f t="shared" si="16"/>
        <v>4509.17</v>
      </c>
      <c r="AF177" s="956" t="s">
        <v>5478</v>
      </c>
      <c r="AR177" s="129" t="s">
        <v>235</v>
      </c>
      <c r="AT177" s="129" t="s">
        <v>231</v>
      </c>
      <c r="AU177" s="129" t="s">
        <v>76</v>
      </c>
      <c r="AY177" s="13" t="s">
        <v>228</v>
      </c>
      <c r="BE177" s="130">
        <f t="shared" si="17"/>
        <v>0</v>
      </c>
      <c r="BF177" s="130">
        <f t="shared" si="18"/>
        <v>3672.51</v>
      </c>
      <c r="BG177" s="130">
        <f t="shared" si="19"/>
        <v>0</v>
      </c>
      <c r="BH177" s="130">
        <f t="shared" si="20"/>
        <v>0</v>
      </c>
      <c r="BI177" s="130">
        <f t="shared" si="21"/>
        <v>0</v>
      </c>
      <c r="BJ177" s="13" t="s">
        <v>76</v>
      </c>
      <c r="BK177" s="130">
        <f t="shared" si="22"/>
        <v>3672.51</v>
      </c>
      <c r="BL177" s="13" t="s">
        <v>235</v>
      </c>
      <c r="BM177" s="129" t="s">
        <v>323</v>
      </c>
    </row>
    <row r="178" spans="2:65" s="957" customFormat="1" ht="31.2" customHeight="1" x14ac:dyDescent="0.2">
      <c r="B178" s="960"/>
      <c r="C178" s="1234" t="s">
        <v>5205</v>
      </c>
      <c r="D178" s="1235"/>
      <c r="E178" s="1235"/>
      <c r="F178" s="1235"/>
      <c r="G178" s="1235"/>
      <c r="H178" s="1235"/>
      <c r="I178" s="1235"/>
      <c r="J178" s="1236"/>
      <c r="K178" s="961"/>
      <c r="L178" s="959"/>
      <c r="M178" s="962"/>
      <c r="N178" s="963"/>
      <c r="O178" s="964"/>
      <c r="P178" s="964"/>
      <c r="Q178" s="964"/>
      <c r="R178" s="964"/>
      <c r="S178" s="964"/>
      <c r="T178" s="965"/>
      <c r="W178" s="968"/>
      <c r="X178" s="993" t="s">
        <v>5694</v>
      </c>
      <c r="Y178" s="993" t="s">
        <v>231</v>
      </c>
      <c r="Z178" s="994" t="s">
        <v>6606</v>
      </c>
      <c r="AA178" s="995" t="s">
        <v>6607</v>
      </c>
      <c r="AB178" s="996" t="s">
        <v>284</v>
      </c>
      <c r="AC178" s="997">
        <v>59.31</v>
      </c>
      <c r="AD178" s="998">
        <v>6</v>
      </c>
      <c r="AE178" s="999">
        <f t="shared" si="16"/>
        <v>355.86</v>
      </c>
      <c r="AF178" s="956" t="s">
        <v>5478</v>
      </c>
      <c r="AR178" s="966"/>
      <c r="AT178" s="966"/>
      <c r="AU178" s="966"/>
      <c r="AY178" s="958"/>
      <c r="BE178" s="967"/>
      <c r="BF178" s="967"/>
      <c r="BG178" s="967"/>
      <c r="BH178" s="967"/>
      <c r="BI178" s="967"/>
      <c r="BJ178" s="958"/>
      <c r="BK178" s="967"/>
      <c r="BL178" s="958"/>
      <c r="BM178" s="966"/>
    </row>
    <row r="179" spans="2:65" s="1" customFormat="1" ht="16.5" customHeight="1" x14ac:dyDescent="0.2">
      <c r="B179" s="118"/>
      <c r="C179" s="1070" t="s">
        <v>276</v>
      </c>
      <c r="D179" s="119" t="s">
        <v>231</v>
      </c>
      <c r="E179" s="120" t="s">
        <v>345</v>
      </c>
      <c r="F179" s="121" t="s">
        <v>346</v>
      </c>
      <c r="G179" s="122" t="s">
        <v>284</v>
      </c>
      <c r="H179" s="1071">
        <v>76.628</v>
      </c>
      <c r="I179" s="124">
        <v>11.61</v>
      </c>
      <c r="J179" s="124">
        <f t="shared" si="12"/>
        <v>889.65</v>
      </c>
      <c r="K179" s="121" t="s">
        <v>1</v>
      </c>
      <c r="L179" s="24"/>
      <c r="M179" s="125" t="s">
        <v>1</v>
      </c>
      <c r="N179" s="126" t="s">
        <v>32</v>
      </c>
      <c r="O179" s="127">
        <v>0</v>
      </c>
      <c r="P179" s="127">
        <f t="shared" si="13"/>
        <v>0</v>
      </c>
      <c r="Q179" s="127">
        <v>0</v>
      </c>
      <c r="R179" s="127">
        <f t="shared" si="14"/>
        <v>0</v>
      </c>
      <c r="S179" s="127">
        <v>0</v>
      </c>
      <c r="T179" s="128">
        <f t="shared" si="15"/>
        <v>0</v>
      </c>
      <c r="W179" s="199"/>
      <c r="X179" s="205" t="s">
        <v>276</v>
      </c>
      <c r="Y179" s="119" t="s">
        <v>231</v>
      </c>
      <c r="Z179" s="120" t="s">
        <v>345</v>
      </c>
      <c r="AA179" s="121" t="s">
        <v>346</v>
      </c>
      <c r="AB179" s="122" t="s">
        <v>284</v>
      </c>
      <c r="AC179" s="206">
        <f>76.628+22.4+0.6+6.367</f>
        <v>105.99499999999999</v>
      </c>
      <c r="AD179" s="124">
        <v>11.61</v>
      </c>
      <c r="AE179" s="200">
        <f t="shared" si="16"/>
        <v>1230.5999999999999</v>
      </c>
      <c r="AF179" s="956" t="s">
        <v>6605</v>
      </c>
      <c r="AR179" s="129" t="s">
        <v>235</v>
      </c>
      <c r="AT179" s="129" t="s">
        <v>231</v>
      </c>
      <c r="AU179" s="129" t="s">
        <v>76</v>
      </c>
      <c r="AY179" s="13" t="s">
        <v>228</v>
      </c>
      <c r="BE179" s="130">
        <f t="shared" si="17"/>
        <v>0</v>
      </c>
      <c r="BF179" s="130">
        <f t="shared" si="18"/>
        <v>889.65</v>
      </c>
      <c r="BG179" s="130">
        <f t="shared" si="19"/>
        <v>0</v>
      </c>
      <c r="BH179" s="130">
        <f t="shared" si="20"/>
        <v>0</v>
      </c>
      <c r="BI179" s="130">
        <f t="shared" si="21"/>
        <v>0</v>
      </c>
      <c r="BJ179" s="13" t="s">
        <v>76</v>
      </c>
      <c r="BK179" s="130">
        <f t="shared" si="22"/>
        <v>889.65</v>
      </c>
      <c r="BL179" s="13" t="s">
        <v>235</v>
      </c>
      <c r="BM179" s="129" t="s">
        <v>326</v>
      </c>
    </row>
    <row r="180" spans="2:65" s="1" customFormat="1" ht="24" customHeight="1" x14ac:dyDescent="0.2">
      <c r="B180" s="118"/>
      <c r="C180" s="1070" t="s">
        <v>327</v>
      </c>
      <c r="D180" s="119" t="s">
        <v>231</v>
      </c>
      <c r="E180" s="120" t="s">
        <v>349</v>
      </c>
      <c r="F180" s="121" t="s">
        <v>350</v>
      </c>
      <c r="G180" s="122" t="s">
        <v>284</v>
      </c>
      <c r="H180" s="1071">
        <v>76.628</v>
      </c>
      <c r="I180" s="124">
        <v>5.81</v>
      </c>
      <c r="J180" s="124">
        <f t="shared" si="12"/>
        <v>445.21</v>
      </c>
      <c r="K180" s="121" t="s">
        <v>1</v>
      </c>
      <c r="L180" s="24"/>
      <c r="M180" s="125" t="s">
        <v>1</v>
      </c>
      <c r="N180" s="126" t="s">
        <v>32</v>
      </c>
      <c r="O180" s="127">
        <v>0.70281000000000005</v>
      </c>
      <c r="P180" s="127">
        <f t="shared" si="13"/>
        <v>53.854924680000003</v>
      </c>
      <c r="Q180" s="127">
        <v>5.0860000000000002E-2</v>
      </c>
      <c r="R180" s="127">
        <f t="shared" si="14"/>
        <v>3.8973000800000004</v>
      </c>
      <c r="S180" s="127">
        <v>0</v>
      </c>
      <c r="T180" s="128">
        <f t="shared" si="15"/>
        <v>0</v>
      </c>
      <c r="W180" s="199"/>
      <c r="X180" s="991" t="s">
        <v>327</v>
      </c>
      <c r="Y180" s="119" t="s">
        <v>231</v>
      </c>
      <c r="Z180" s="120" t="s">
        <v>349</v>
      </c>
      <c r="AA180" s="121" t="s">
        <v>350</v>
      </c>
      <c r="AB180" s="122" t="s">
        <v>284</v>
      </c>
      <c r="AC180" s="992">
        <f>76.628+6.367</f>
        <v>82.995000000000005</v>
      </c>
      <c r="AD180" s="124">
        <v>5.81</v>
      </c>
      <c r="AE180" s="200">
        <f t="shared" si="16"/>
        <v>482.2</v>
      </c>
      <c r="AF180" s="956" t="s">
        <v>5478</v>
      </c>
      <c r="AR180" s="129" t="s">
        <v>235</v>
      </c>
      <c r="AT180" s="129" t="s">
        <v>231</v>
      </c>
      <c r="AU180" s="129" t="s">
        <v>76</v>
      </c>
      <c r="AY180" s="13" t="s">
        <v>228</v>
      </c>
      <c r="BE180" s="130">
        <f t="shared" si="17"/>
        <v>0</v>
      </c>
      <c r="BF180" s="130">
        <f t="shared" si="18"/>
        <v>445.21</v>
      </c>
      <c r="BG180" s="130">
        <f t="shared" si="19"/>
        <v>0</v>
      </c>
      <c r="BH180" s="130">
        <f t="shared" si="20"/>
        <v>0</v>
      </c>
      <c r="BI180" s="130">
        <f t="shared" si="21"/>
        <v>0</v>
      </c>
      <c r="BJ180" s="13" t="s">
        <v>76</v>
      </c>
      <c r="BK180" s="130">
        <f t="shared" si="22"/>
        <v>445.21</v>
      </c>
      <c r="BL180" s="13" t="s">
        <v>235</v>
      </c>
      <c r="BM180" s="129" t="s">
        <v>330</v>
      </c>
    </row>
    <row r="181" spans="2:65" s="1" customFormat="1" ht="24" customHeight="1" x14ac:dyDescent="0.2">
      <c r="B181" s="118"/>
      <c r="C181" s="1070" t="s">
        <v>280</v>
      </c>
      <c r="D181" s="119" t="s">
        <v>231</v>
      </c>
      <c r="E181" s="120" t="s">
        <v>352</v>
      </c>
      <c r="F181" s="121" t="s">
        <v>353</v>
      </c>
      <c r="G181" s="122" t="s">
        <v>284</v>
      </c>
      <c r="H181" s="1071">
        <v>1151.9949999999999</v>
      </c>
      <c r="I181" s="124">
        <v>1.96</v>
      </c>
      <c r="J181" s="124">
        <f t="shared" si="12"/>
        <v>2257.91</v>
      </c>
      <c r="K181" s="121" t="s">
        <v>1</v>
      </c>
      <c r="L181" s="24"/>
      <c r="M181" s="125" t="s">
        <v>1</v>
      </c>
      <c r="N181" s="126" t="s">
        <v>32</v>
      </c>
      <c r="O181" s="127">
        <v>5.2080000000000001E-2</v>
      </c>
      <c r="P181" s="127">
        <f t="shared" si="13"/>
        <v>59.995899599999994</v>
      </c>
      <c r="Q181" s="127">
        <v>4.0000000000000002E-4</v>
      </c>
      <c r="R181" s="127">
        <f t="shared" si="14"/>
        <v>0.46079799999999999</v>
      </c>
      <c r="S181" s="127">
        <v>0</v>
      </c>
      <c r="T181" s="128">
        <f t="shared" si="15"/>
        <v>0</v>
      </c>
      <c r="W181" s="199"/>
      <c r="X181" s="732" t="s">
        <v>280</v>
      </c>
      <c r="Y181" s="119" t="s">
        <v>231</v>
      </c>
      <c r="Z181" s="120" t="s">
        <v>352</v>
      </c>
      <c r="AA181" s="121" t="s">
        <v>353</v>
      </c>
      <c r="AB181" s="122" t="s">
        <v>284</v>
      </c>
      <c r="AC181" s="733">
        <f>1151.995+22.407+141.723+83.4</f>
        <v>1399.5249999999999</v>
      </c>
      <c r="AD181" s="124">
        <v>1.96</v>
      </c>
      <c r="AE181" s="200">
        <f t="shared" si="16"/>
        <v>2743.07</v>
      </c>
      <c r="AF181" s="956" t="s">
        <v>6621</v>
      </c>
      <c r="AR181" s="129" t="s">
        <v>235</v>
      </c>
      <c r="AT181" s="129" t="s">
        <v>231</v>
      </c>
      <c r="AU181" s="129" t="s">
        <v>76</v>
      </c>
      <c r="AY181" s="13" t="s">
        <v>228</v>
      </c>
      <c r="BE181" s="130">
        <f t="shared" si="17"/>
        <v>0</v>
      </c>
      <c r="BF181" s="130">
        <f t="shared" si="18"/>
        <v>2257.91</v>
      </c>
      <c r="BG181" s="130">
        <f t="shared" si="19"/>
        <v>0</v>
      </c>
      <c r="BH181" s="130">
        <f t="shared" si="20"/>
        <v>0</v>
      </c>
      <c r="BI181" s="130">
        <f t="shared" si="21"/>
        <v>0</v>
      </c>
      <c r="BJ181" s="13" t="s">
        <v>76</v>
      </c>
      <c r="BK181" s="130">
        <f t="shared" si="22"/>
        <v>2257.91</v>
      </c>
      <c r="BL181" s="13" t="s">
        <v>235</v>
      </c>
      <c r="BM181" s="129" t="s">
        <v>333</v>
      </c>
    </row>
    <row r="182" spans="2:65" s="1" customFormat="1" ht="24" customHeight="1" x14ac:dyDescent="0.2">
      <c r="B182" s="118"/>
      <c r="C182" s="1070" t="s">
        <v>334</v>
      </c>
      <c r="D182" s="119" t="s">
        <v>231</v>
      </c>
      <c r="E182" s="120" t="s">
        <v>356</v>
      </c>
      <c r="F182" s="121" t="s">
        <v>357</v>
      </c>
      <c r="G182" s="122" t="s">
        <v>284</v>
      </c>
      <c r="H182" s="1071">
        <v>290.77</v>
      </c>
      <c r="I182" s="124">
        <v>11.61</v>
      </c>
      <c r="J182" s="124">
        <f t="shared" si="12"/>
        <v>3375.84</v>
      </c>
      <c r="K182" s="121" t="s">
        <v>1</v>
      </c>
      <c r="L182" s="24"/>
      <c r="M182" s="125" t="s">
        <v>1</v>
      </c>
      <c r="N182" s="126" t="s">
        <v>32</v>
      </c>
      <c r="O182" s="127">
        <v>0</v>
      </c>
      <c r="P182" s="127">
        <f t="shared" si="13"/>
        <v>0</v>
      </c>
      <c r="Q182" s="127">
        <v>0</v>
      </c>
      <c r="R182" s="127">
        <f t="shared" si="14"/>
        <v>0</v>
      </c>
      <c r="S182" s="127">
        <v>0</v>
      </c>
      <c r="T182" s="128">
        <f t="shared" si="15"/>
        <v>0</v>
      </c>
      <c r="W182" s="199"/>
      <c r="X182" s="732" t="s">
        <v>334</v>
      </c>
      <c r="Y182" s="119" t="s">
        <v>231</v>
      </c>
      <c r="Z182" s="120" t="s">
        <v>356</v>
      </c>
      <c r="AA182" s="121" t="s">
        <v>357</v>
      </c>
      <c r="AB182" s="122" t="s">
        <v>284</v>
      </c>
      <c r="AC182" s="733">
        <f>290.77+22.407+27.085</f>
        <v>340.26199999999994</v>
      </c>
      <c r="AD182" s="124">
        <v>11.61</v>
      </c>
      <c r="AE182" s="200">
        <f t="shared" si="16"/>
        <v>3950.44</v>
      </c>
      <c r="AF182" s="956" t="s">
        <v>6598</v>
      </c>
      <c r="AR182" s="129" t="s">
        <v>235</v>
      </c>
      <c r="AT182" s="129" t="s">
        <v>231</v>
      </c>
      <c r="AU182" s="129" t="s">
        <v>76</v>
      </c>
      <c r="AY182" s="13" t="s">
        <v>228</v>
      </c>
      <c r="BE182" s="130">
        <f t="shared" si="17"/>
        <v>0</v>
      </c>
      <c r="BF182" s="130">
        <f t="shared" si="18"/>
        <v>3375.84</v>
      </c>
      <c r="BG182" s="130">
        <f t="shared" si="19"/>
        <v>0</v>
      </c>
      <c r="BH182" s="130">
        <f t="shared" si="20"/>
        <v>0</v>
      </c>
      <c r="BI182" s="130">
        <f t="shared" si="21"/>
        <v>0</v>
      </c>
      <c r="BJ182" s="13" t="s">
        <v>76</v>
      </c>
      <c r="BK182" s="130">
        <f t="shared" si="22"/>
        <v>3375.84</v>
      </c>
      <c r="BL182" s="13" t="s">
        <v>235</v>
      </c>
      <c r="BM182" s="129" t="s">
        <v>337</v>
      </c>
    </row>
    <row r="183" spans="2:65" s="1" customFormat="1" ht="24" customHeight="1" x14ac:dyDescent="0.2">
      <c r="B183" s="118"/>
      <c r="C183" s="1070" t="s">
        <v>285</v>
      </c>
      <c r="D183" s="119" t="s">
        <v>231</v>
      </c>
      <c r="E183" s="120" t="s">
        <v>359</v>
      </c>
      <c r="F183" s="121" t="s">
        <v>360</v>
      </c>
      <c r="G183" s="122" t="s">
        <v>284</v>
      </c>
      <c r="H183" s="1071">
        <v>1082.9369999999999</v>
      </c>
      <c r="I183" s="124">
        <v>4.6399999999999997</v>
      </c>
      <c r="J183" s="124">
        <f t="shared" si="12"/>
        <v>5024.83</v>
      </c>
      <c r="K183" s="121" t="s">
        <v>1</v>
      </c>
      <c r="L183" s="24"/>
      <c r="M183" s="125" t="s">
        <v>1</v>
      </c>
      <c r="N183" s="126" t="s">
        <v>32</v>
      </c>
      <c r="O183" s="127">
        <v>0</v>
      </c>
      <c r="P183" s="127">
        <f t="shared" si="13"/>
        <v>0</v>
      </c>
      <c r="Q183" s="127">
        <v>0</v>
      </c>
      <c r="R183" s="127">
        <f t="shared" si="14"/>
        <v>0</v>
      </c>
      <c r="S183" s="127">
        <v>0</v>
      </c>
      <c r="T183" s="128">
        <f t="shared" si="15"/>
        <v>0</v>
      </c>
      <c r="W183" s="199"/>
      <c r="X183" s="732" t="s">
        <v>285</v>
      </c>
      <c r="Y183" s="119" t="s">
        <v>231</v>
      </c>
      <c r="Z183" s="120" t="s">
        <v>359</v>
      </c>
      <c r="AA183" s="121" t="s">
        <v>360</v>
      </c>
      <c r="AB183" s="122" t="s">
        <v>284</v>
      </c>
      <c r="AC183" s="733">
        <f>1082.937+22.407+83.4</f>
        <v>1188.7439999999999</v>
      </c>
      <c r="AD183" s="124">
        <v>4.6399999999999997</v>
      </c>
      <c r="AE183" s="200">
        <f t="shared" si="16"/>
        <v>5515.77</v>
      </c>
      <c r="AF183" s="956" t="s">
        <v>6622</v>
      </c>
      <c r="AR183" s="129" t="s">
        <v>235</v>
      </c>
      <c r="AT183" s="129" t="s">
        <v>231</v>
      </c>
      <c r="AU183" s="129" t="s">
        <v>76</v>
      </c>
      <c r="AY183" s="13" t="s">
        <v>228</v>
      </c>
      <c r="BE183" s="130">
        <f t="shared" si="17"/>
        <v>0</v>
      </c>
      <c r="BF183" s="130">
        <f t="shared" si="18"/>
        <v>5024.83</v>
      </c>
      <c r="BG183" s="130">
        <f t="shared" si="19"/>
        <v>0</v>
      </c>
      <c r="BH183" s="130">
        <f t="shared" si="20"/>
        <v>0</v>
      </c>
      <c r="BI183" s="130">
        <f t="shared" si="21"/>
        <v>0</v>
      </c>
      <c r="BJ183" s="13" t="s">
        <v>76</v>
      </c>
      <c r="BK183" s="130">
        <f t="shared" si="22"/>
        <v>5024.83</v>
      </c>
      <c r="BL183" s="13" t="s">
        <v>235</v>
      </c>
      <c r="BM183" s="129" t="s">
        <v>340</v>
      </c>
    </row>
    <row r="184" spans="2:65" s="1" customFormat="1" ht="24" customHeight="1" x14ac:dyDescent="0.2">
      <c r="B184" s="118"/>
      <c r="C184" s="1070" t="s">
        <v>341</v>
      </c>
      <c r="D184" s="119" t="s">
        <v>231</v>
      </c>
      <c r="E184" s="120" t="s">
        <v>363</v>
      </c>
      <c r="F184" s="121" t="s">
        <v>364</v>
      </c>
      <c r="G184" s="122" t="s">
        <v>284</v>
      </c>
      <c r="H184" s="1071">
        <v>1151.9949999999999</v>
      </c>
      <c r="I184" s="124">
        <v>1.1599999999999999</v>
      </c>
      <c r="J184" s="124">
        <f t="shared" si="12"/>
        <v>1336.31</v>
      </c>
      <c r="K184" s="121" t="s">
        <v>1</v>
      </c>
      <c r="L184" s="24"/>
      <c r="M184" s="125" t="s">
        <v>1</v>
      </c>
      <c r="N184" s="126" t="s">
        <v>32</v>
      </c>
      <c r="O184" s="127">
        <v>0</v>
      </c>
      <c r="P184" s="127">
        <f t="shared" si="13"/>
        <v>0</v>
      </c>
      <c r="Q184" s="127">
        <v>0</v>
      </c>
      <c r="R184" s="127">
        <f t="shared" si="14"/>
        <v>0</v>
      </c>
      <c r="S184" s="127">
        <v>0</v>
      </c>
      <c r="T184" s="128">
        <f t="shared" si="15"/>
        <v>0</v>
      </c>
      <c r="W184" s="199"/>
      <c r="X184" s="991" t="s">
        <v>341</v>
      </c>
      <c r="Y184" s="119" t="s">
        <v>231</v>
      </c>
      <c r="Z184" s="120" t="s">
        <v>363</v>
      </c>
      <c r="AA184" s="121" t="s">
        <v>364</v>
      </c>
      <c r="AB184" s="122" t="s">
        <v>284</v>
      </c>
      <c r="AC184" s="992">
        <f>1151.995+141.723+83.4</f>
        <v>1377.1179999999999</v>
      </c>
      <c r="AD184" s="124">
        <v>1.1599999999999999</v>
      </c>
      <c r="AE184" s="200">
        <f t="shared" si="16"/>
        <v>1597.46</v>
      </c>
      <c r="AF184" s="956" t="s">
        <v>6620</v>
      </c>
      <c r="AR184" s="129" t="s">
        <v>235</v>
      </c>
      <c r="AT184" s="129" t="s">
        <v>231</v>
      </c>
      <c r="AU184" s="129" t="s">
        <v>76</v>
      </c>
      <c r="AY184" s="13" t="s">
        <v>228</v>
      </c>
      <c r="BE184" s="130">
        <f t="shared" si="17"/>
        <v>0</v>
      </c>
      <c r="BF184" s="130">
        <f t="shared" si="18"/>
        <v>1336.31</v>
      </c>
      <c r="BG184" s="130">
        <f t="shared" si="19"/>
        <v>0</v>
      </c>
      <c r="BH184" s="130">
        <f t="shared" si="20"/>
        <v>0</v>
      </c>
      <c r="BI184" s="130">
        <f t="shared" si="21"/>
        <v>0</v>
      </c>
      <c r="BJ184" s="13" t="s">
        <v>76</v>
      </c>
      <c r="BK184" s="130">
        <f t="shared" si="22"/>
        <v>1336.31</v>
      </c>
      <c r="BL184" s="13" t="s">
        <v>235</v>
      </c>
      <c r="BM184" s="129" t="s">
        <v>344</v>
      </c>
    </row>
    <row r="185" spans="2:65" s="1" customFormat="1" ht="24" customHeight="1" x14ac:dyDescent="0.2">
      <c r="B185" s="118"/>
      <c r="C185" s="1070" t="s">
        <v>288</v>
      </c>
      <c r="D185" s="119" t="s">
        <v>231</v>
      </c>
      <c r="E185" s="120" t="s">
        <v>366</v>
      </c>
      <c r="F185" s="121" t="s">
        <v>367</v>
      </c>
      <c r="G185" s="122" t="s">
        <v>284</v>
      </c>
      <c r="H185" s="1071">
        <v>1151.9949999999999</v>
      </c>
      <c r="I185" s="124">
        <v>5.46</v>
      </c>
      <c r="J185" s="124">
        <f t="shared" si="12"/>
        <v>6289.89</v>
      </c>
      <c r="K185" s="121" t="s">
        <v>1</v>
      </c>
      <c r="L185" s="24"/>
      <c r="M185" s="125" t="s">
        <v>1</v>
      </c>
      <c r="N185" s="126" t="s">
        <v>32</v>
      </c>
      <c r="O185" s="127">
        <v>0</v>
      </c>
      <c r="P185" s="127">
        <f t="shared" si="13"/>
        <v>0</v>
      </c>
      <c r="Q185" s="127">
        <v>0</v>
      </c>
      <c r="R185" s="127">
        <f t="shared" si="14"/>
        <v>0</v>
      </c>
      <c r="S185" s="127">
        <v>0</v>
      </c>
      <c r="T185" s="128">
        <f t="shared" si="15"/>
        <v>0</v>
      </c>
      <c r="W185" s="199"/>
      <c r="X185" s="732" t="s">
        <v>288</v>
      </c>
      <c r="Y185" s="119" t="s">
        <v>231</v>
      </c>
      <c r="Z185" s="120" t="s">
        <v>366</v>
      </c>
      <c r="AA185" s="121" t="s">
        <v>367</v>
      </c>
      <c r="AB185" s="122" t="s">
        <v>284</v>
      </c>
      <c r="AC185" s="733">
        <f>1151.995+22.407+141.723+83.4</f>
        <v>1399.5249999999999</v>
      </c>
      <c r="AD185" s="124">
        <v>5.46</v>
      </c>
      <c r="AE185" s="200">
        <f t="shared" si="16"/>
        <v>7641.41</v>
      </c>
      <c r="AF185" s="956" t="s">
        <v>6621</v>
      </c>
      <c r="AR185" s="129" t="s">
        <v>235</v>
      </c>
      <c r="AT185" s="129" t="s">
        <v>231</v>
      </c>
      <c r="AU185" s="129" t="s">
        <v>76</v>
      </c>
      <c r="AY185" s="13" t="s">
        <v>228</v>
      </c>
      <c r="BE185" s="130">
        <f t="shared" si="17"/>
        <v>0</v>
      </c>
      <c r="BF185" s="130">
        <f t="shared" si="18"/>
        <v>6289.89</v>
      </c>
      <c r="BG185" s="130">
        <f t="shared" si="19"/>
        <v>0</v>
      </c>
      <c r="BH185" s="130">
        <f t="shared" si="20"/>
        <v>0</v>
      </c>
      <c r="BI185" s="130">
        <f t="shared" si="21"/>
        <v>0</v>
      </c>
      <c r="BJ185" s="13" t="s">
        <v>76</v>
      </c>
      <c r="BK185" s="130">
        <f t="shared" si="22"/>
        <v>6289.89</v>
      </c>
      <c r="BL185" s="13" t="s">
        <v>235</v>
      </c>
      <c r="BM185" s="129" t="s">
        <v>347</v>
      </c>
    </row>
    <row r="186" spans="2:65" s="1" customFormat="1" ht="16.5" customHeight="1" x14ac:dyDescent="0.2">
      <c r="B186" s="118"/>
      <c r="C186" s="119" t="s">
        <v>348</v>
      </c>
      <c r="D186" s="119" t="s">
        <v>231</v>
      </c>
      <c r="E186" s="120" t="s">
        <v>370</v>
      </c>
      <c r="F186" s="121" t="s">
        <v>371</v>
      </c>
      <c r="G186" s="122" t="s">
        <v>284</v>
      </c>
      <c r="H186" s="123">
        <v>30.6</v>
      </c>
      <c r="I186" s="124">
        <v>8.7100000000000009</v>
      </c>
      <c r="J186" s="124">
        <f t="shared" si="12"/>
        <v>266.52999999999997</v>
      </c>
      <c r="K186" s="121" t="s">
        <v>1</v>
      </c>
      <c r="L186" s="24"/>
      <c r="M186" s="125" t="s">
        <v>1</v>
      </c>
      <c r="N186" s="126" t="s">
        <v>32</v>
      </c>
      <c r="O186" s="127">
        <v>0.33828999999999998</v>
      </c>
      <c r="P186" s="127">
        <f t="shared" si="13"/>
        <v>10.351673999999999</v>
      </c>
      <c r="Q186" s="127">
        <v>4.793E-2</v>
      </c>
      <c r="R186" s="127">
        <f t="shared" si="14"/>
        <v>1.466658</v>
      </c>
      <c r="S186" s="127">
        <v>0</v>
      </c>
      <c r="T186" s="128">
        <f t="shared" si="15"/>
        <v>0</v>
      </c>
      <c r="W186" s="199"/>
      <c r="X186" s="119" t="s">
        <v>348</v>
      </c>
      <c r="Y186" s="119" t="s">
        <v>231</v>
      </c>
      <c r="Z186" s="120" t="s">
        <v>370</v>
      </c>
      <c r="AA186" s="121" t="s">
        <v>371</v>
      </c>
      <c r="AB186" s="122" t="s">
        <v>284</v>
      </c>
      <c r="AC186" s="123">
        <v>30.6</v>
      </c>
      <c r="AD186" s="124">
        <v>8.7100000000000009</v>
      </c>
      <c r="AE186" s="200">
        <f t="shared" si="16"/>
        <v>266.52999999999997</v>
      </c>
      <c r="AF186" s="956"/>
      <c r="AR186" s="129" t="s">
        <v>235</v>
      </c>
      <c r="AT186" s="129" t="s">
        <v>231</v>
      </c>
      <c r="AU186" s="129" t="s">
        <v>76</v>
      </c>
      <c r="AY186" s="13" t="s">
        <v>228</v>
      </c>
      <c r="BE186" s="130">
        <f t="shared" si="17"/>
        <v>0</v>
      </c>
      <c r="BF186" s="130">
        <f t="shared" si="18"/>
        <v>266.52999999999997</v>
      </c>
      <c r="BG186" s="130">
        <f t="shared" si="19"/>
        <v>0</v>
      </c>
      <c r="BH186" s="130">
        <f t="shared" si="20"/>
        <v>0</v>
      </c>
      <c r="BI186" s="130">
        <f t="shared" si="21"/>
        <v>0</v>
      </c>
      <c r="BJ186" s="13" t="s">
        <v>76</v>
      </c>
      <c r="BK186" s="130">
        <f t="shared" si="22"/>
        <v>266.52999999999997</v>
      </c>
      <c r="BL186" s="13" t="s">
        <v>235</v>
      </c>
      <c r="BM186" s="129" t="s">
        <v>351</v>
      </c>
    </row>
    <row r="187" spans="2:65" s="1" customFormat="1" ht="16.5" customHeight="1" x14ac:dyDescent="0.2">
      <c r="B187" s="118"/>
      <c r="C187" s="119" t="s">
        <v>293</v>
      </c>
      <c r="D187" s="119" t="s">
        <v>231</v>
      </c>
      <c r="E187" s="120" t="s">
        <v>373</v>
      </c>
      <c r="F187" s="121" t="s">
        <v>374</v>
      </c>
      <c r="G187" s="122" t="s">
        <v>292</v>
      </c>
      <c r="H187" s="123">
        <v>33</v>
      </c>
      <c r="I187" s="124">
        <v>1.1599999999999999</v>
      </c>
      <c r="J187" s="124">
        <f t="shared" si="12"/>
        <v>38.28</v>
      </c>
      <c r="K187" s="121" t="s">
        <v>1</v>
      </c>
      <c r="L187" s="24"/>
      <c r="M187" s="125" t="s">
        <v>1</v>
      </c>
      <c r="N187" s="126" t="s">
        <v>32</v>
      </c>
      <c r="O187" s="127">
        <v>0</v>
      </c>
      <c r="P187" s="127">
        <f t="shared" si="13"/>
        <v>0</v>
      </c>
      <c r="Q187" s="127">
        <v>0</v>
      </c>
      <c r="R187" s="127">
        <f t="shared" si="14"/>
        <v>0</v>
      </c>
      <c r="S187" s="127">
        <v>0</v>
      </c>
      <c r="T187" s="128">
        <f t="shared" si="15"/>
        <v>0</v>
      </c>
      <c r="W187" s="199"/>
      <c r="X187" s="119" t="s">
        <v>293</v>
      </c>
      <c r="Y187" s="119" t="s">
        <v>231</v>
      </c>
      <c r="Z187" s="120" t="s">
        <v>373</v>
      </c>
      <c r="AA187" s="121" t="s">
        <v>374</v>
      </c>
      <c r="AB187" s="122" t="s">
        <v>292</v>
      </c>
      <c r="AC187" s="123">
        <v>33</v>
      </c>
      <c r="AD187" s="124">
        <v>1.1599999999999999</v>
      </c>
      <c r="AE187" s="200">
        <f t="shared" si="16"/>
        <v>38.28</v>
      </c>
      <c r="AF187" s="956"/>
      <c r="AR187" s="129" t="s">
        <v>235</v>
      </c>
      <c r="AT187" s="129" t="s">
        <v>231</v>
      </c>
      <c r="AU187" s="129" t="s">
        <v>76</v>
      </c>
      <c r="AY187" s="13" t="s">
        <v>228</v>
      </c>
      <c r="BE187" s="130">
        <f t="shared" si="17"/>
        <v>0</v>
      </c>
      <c r="BF187" s="130">
        <f t="shared" si="18"/>
        <v>38.28</v>
      </c>
      <c r="BG187" s="130">
        <f t="shared" si="19"/>
        <v>0</v>
      </c>
      <c r="BH187" s="130">
        <f t="shared" si="20"/>
        <v>0</v>
      </c>
      <c r="BI187" s="130">
        <f t="shared" si="21"/>
        <v>0</v>
      </c>
      <c r="BJ187" s="13" t="s">
        <v>76</v>
      </c>
      <c r="BK187" s="130">
        <f t="shared" si="22"/>
        <v>38.28</v>
      </c>
      <c r="BL187" s="13" t="s">
        <v>235</v>
      </c>
      <c r="BM187" s="129" t="s">
        <v>354</v>
      </c>
    </row>
    <row r="188" spans="2:65" s="1" customFormat="1" ht="16.5" customHeight="1" x14ac:dyDescent="0.2">
      <c r="B188" s="118"/>
      <c r="C188" s="119" t="s">
        <v>355</v>
      </c>
      <c r="D188" s="119" t="s">
        <v>231</v>
      </c>
      <c r="E188" s="120" t="s">
        <v>377</v>
      </c>
      <c r="F188" s="121" t="s">
        <v>378</v>
      </c>
      <c r="G188" s="122" t="s">
        <v>292</v>
      </c>
      <c r="H188" s="123">
        <v>33</v>
      </c>
      <c r="I188" s="124">
        <v>1.1599999999999999</v>
      </c>
      <c r="J188" s="124">
        <f t="shared" si="12"/>
        <v>38.28</v>
      </c>
      <c r="K188" s="121" t="s">
        <v>1</v>
      </c>
      <c r="L188" s="24"/>
      <c r="M188" s="125" t="s">
        <v>1</v>
      </c>
      <c r="N188" s="126" t="s">
        <v>32</v>
      </c>
      <c r="O188" s="127">
        <v>0</v>
      </c>
      <c r="P188" s="127">
        <f t="shared" si="13"/>
        <v>0</v>
      </c>
      <c r="Q188" s="127">
        <v>0</v>
      </c>
      <c r="R188" s="127">
        <f t="shared" si="14"/>
        <v>0</v>
      </c>
      <c r="S188" s="127">
        <v>0</v>
      </c>
      <c r="T188" s="128">
        <f t="shared" si="15"/>
        <v>0</v>
      </c>
      <c r="W188" s="199"/>
      <c r="X188" s="119" t="s">
        <v>355</v>
      </c>
      <c r="Y188" s="119" t="s">
        <v>231</v>
      </c>
      <c r="Z188" s="120" t="s">
        <v>377</v>
      </c>
      <c r="AA188" s="121" t="s">
        <v>378</v>
      </c>
      <c r="AB188" s="122" t="s">
        <v>292</v>
      </c>
      <c r="AC188" s="123">
        <v>33</v>
      </c>
      <c r="AD188" s="124">
        <v>1.1599999999999999</v>
      </c>
      <c r="AE188" s="200">
        <f t="shared" si="16"/>
        <v>38.28</v>
      </c>
      <c r="AF188" s="956"/>
      <c r="AR188" s="129" t="s">
        <v>235</v>
      </c>
      <c r="AT188" s="129" t="s">
        <v>231</v>
      </c>
      <c r="AU188" s="129" t="s">
        <v>76</v>
      </c>
      <c r="AY188" s="13" t="s">
        <v>228</v>
      </c>
      <c r="BE188" s="130">
        <f t="shared" si="17"/>
        <v>0</v>
      </c>
      <c r="BF188" s="130">
        <f t="shared" si="18"/>
        <v>38.28</v>
      </c>
      <c r="BG188" s="130">
        <f t="shared" si="19"/>
        <v>0</v>
      </c>
      <c r="BH188" s="130">
        <f t="shared" si="20"/>
        <v>0</v>
      </c>
      <c r="BI188" s="130">
        <f t="shared" si="21"/>
        <v>0</v>
      </c>
      <c r="BJ188" s="13" t="s">
        <v>76</v>
      </c>
      <c r="BK188" s="130">
        <f t="shared" si="22"/>
        <v>38.28</v>
      </c>
      <c r="BL188" s="13" t="s">
        <v>235</v>
      </c>
      <c r="BM188" s="129" t="s">
        <v>358</v>
      </c>
    </row>
    <row r="189" spans="2:65" s="1" customFormat="1" ht="24" customHeight="1" x14ac:dyDescent="0.2">
      <c r="B189" s="118"/>
      <c r="C189" s="119" t="s">
        <v>296</v>
      </c>
      <c r="D189" s="119" t="s">
        <v>231</v>
      </c>
      <c r="E189" s="120" t="s">
        <v>380</v>
      </c>
      <c r="F189" s="121" t="s">
        <v>381</v>
      </c>
      <c r="G189" s="122" t="s">
        <v>284</v>
      </c>
      <c r="H189" s="123">
        <v>2.6</v>
      </c>
      <c r="I189" s="124">
        <v>40.64</v>
      </c>
      <c r="J189" s="124">
        <f t="shared" si="12"/>
        <v>105.66</v>
      </c>
      <c r="K189" s="121" t="s">
        <v>1</v>
      </c>
      <c r="L189" s="24"/>
      <c r="M189" s="125" t="s">
        <v>1</v>
      </c>
      <c r="N189" s="126" t="s">
        <v>32</v>
      </c>
      <c r="O189" s="127">
        <v>0</v>
      </c>
      <c r="P189" s="127">
        <f t="shared" si="13"/>
        <v>0</v>
      </c>
      <c r="Q189" s="127">
        <v>0</v>
      </c>
      <c r="R189" s="127">
        <f t="shared" si="14"/>
        <v>0</v>
      </c>
      <c r="S189" s="127">
        <v>0</v>
      </c>
      <c r="T189" s="128">
        <f t="shared" si="15"/>
        <v>0</v>
      </c>
      <c r="W189" s="199"/>
      <c r="X189" s="119" t="s">
        <v>296</v>
      </c>
      <c r="Y189" s="119" t="s">
        <v>231</v>
      </c>
      <c r="Z189" s="120" t="s">
        <v>380</v>
      </c>
      <c r="AA189" s="121" t="s">
        <v>381</v>
      </c>
      <c r="AB189" s="122" t="s">
        <v>284</v>
      </c>
      <c r="AC189" s="123">
        <v>2.6</v>
      </c>
      <c r="AD189" s="124">
        <v>40.64</v>
      </c>
      <c r="AE189" s="200">
        <f t="shared" si="16"/>
        <v>105.66</v>
      </c>
      <c r="AF189" s="956"/>
      <c r="AR189" s="129" t="s">
        <v>235</v>
      </c>
      <c r="AT189" s="129" t="s">
        <v>231</v>
      </c>
      <c r="AU189" s="129" t="s">
        <v>76</v>
      </c>
      <c r="AY189" s="13" t="s">
        <v>228</v>
      </c>
      <c r="BE189" s="130">
        <f t="shared" si="17"/>
        <v>0</v>
      </c>
      <c r="BF189" s="130">
        <f t="shared" si="18"/>
        <v>105.66</v>
      </c>
      <c r="BG189" s="130">
        <f t="shared" si="19"/>
        <v>0</v>
      </c>
      <c r="BH189" s="130">
        <f t="shared" si="20"/>
        <v>0</v>
      </c>
      <c r="BI189" s="130">
        <f t="shared" si="21"/>
        <v>0</v>
      </c>
      <c r="BJ189" s="13" t="s">
        <v>76</v>
      </c>
      <c r="BK189" s="130">
        <f t="shared" si="22"/>
        <v>105.66</v>
      </c>
      <c r="BL189" s="13" t="s">
        <v>235</v>
      </c>
      <c r="BM189" s="129" t="s">
        <v>361</v>
      </c>
    </row>
    <row r="190" spans="2:65" s="1" customFormat="1" ht="24" customHeight="1" x14ac:dyDescent="0.2">
      <c r="B190" s="118"/>
      <c r="C190" s="119" t="s">
        <v>362</v>
      </c>
      <c r="D190" s="119" t="s">
        <v>231</v>
      </c>
      <c r="E190" s="120" t="s">
        <v>384</v>
      </c>
      <c r="F190" s="121" t="s">
        <v>4259</v>
      </c>
      <c r="G190" s="122" t="s">
        <v>292</v>
      </c>
      <c r="H190" s="123">
        <v>33</v>
      </c>
      <c r="I190" s="124">
        <v>8.1300000000000008</v>
      </c>
      <c r="J190" s="124">
        <f t="shared" si="12"/>
        <v>268.29000000000002</v>
      </c>
      <c r="K190" s="121" t="s">
        <v>1</v>
      </c>
      <c r="L190" s="24"/>
      <c r="M190" s="125" t="s">
        <v>1</v>
      </c>
      <c r="N190" s="126" t="s">
        <v>32</v>
      </c>
      <c r="O190" s="127">
        <v>0</v>
      </c>
      <c r="P190" s="127">
        <f t="shared" si="13"/>
        <v>0</v>
      </c>
      <c r="Q190" s="127">
        <v>0</v>
      </c>
      <c r="R190" s="127">
        <f t="shared" si="14"/>
        <v>0</v>
      </c>
      <c r="S190" s="127">
        <v>0</v>
      </c>
      <c r="T190" s="128">
        <f t="shared" si="15"/>
        <v>0</v>
      </c>
      <c r="W190" s="199"/>
      <c r="X190" s="119" t="s">
        <v>362</v>
      </c>
      <c r="Y190" s="119" t="s">
        <v>231</v>
      </c>
      <c r="Z190" s="120" t="s">
        <v>384</v>
      </c>
      <c r="AA190" s="121" t="s">
        <v>4259</v>
      </c>
      <c r="AB190" s="122" t="s">
        <v>292</v>
      </c>
      <c r="AC190" s="123">
        <v>33</v>
      </c>
      <c r="AD190" s="124">
        <v>8.1300000000000008</v>
      </c>
      <c r="AE190" s="200">
        <f t="shared" si="16"/>
        <v>268.29000000000002</v>
      </c>
      <c r="AF190" s="956"/>
      <c r="AR190" s="129" t="s">
        <v>235</v>
      </c>
      <c r="AT190" s="129" t="s">
        <v>231</v>
      </c>
      <c r="AU190" s="129" t="s">
        <v>76</v>
      </c>
      <c r="AY190" s="13" t="s">
        <v>228</v>
      </c>
      <c r="BE190" s="130">
        <f t="shared" si="17"/>
        <v>0</v>
      </c>
      <c r="BF190" s="130">
        <f t="shared" si="18"/>
        <v>268.29000000000002</v>
      </c>
      <c r="BG190" s="130">
        <f t="shared" si="19"/>
        <v>0</v>
      </c>
      <c r="BH190" s="130">
        <f t="shared" si="20"/>
        <v>0</v>
      </c>
      <c r="BI190" s="130">
        <f t="shared" si="21"/>
        <v>0</v>
      </c>
      <c r="BJ190" s="13" t="s">
        <v>76</v>
      </c>
      <c r="BK190" s="130">
        <f t="shared" si="22"/>
        <v>268.29000000000002</v>
      </c>
      <c r="BL190" s="13" t="s">
        <v>235</v>
      </c>
      <c r="BM190" s="129" t="s">
        <v>365</v>
      </c>
    </row>
    <row r="191" spans="2:65" s="720" customFormat="1" ht="30.75" customHeight="1" x14ac:dyDescent="0.2">
      <c r="B191" s="723"/>
      <c r="C191" s="1234" t="s">
        <v>5205</v>
      </c>
      <c r="D191" s="1235"/>
      <c r="E191" s="1235"/>
      <c r="F191" s="1235"/>
      <c r="G191" s="1235"/>
      <c r="H191" s="1235"/>
      <c r="I191" s="1235"/>
      <c r="J191" s="1236"/>
      <c r="K191" s="724"/>
      <c r="L191" s="722"/>
      <c r="M191" s="725"/>
      <c r="N191" s="726"/>
      <c r="O191" s="727"/>
      <c r="P191" s="727"/>
      <c r="Q191" s="727"/>
      <c r="R191" s="727"/>
      <c r="S191" s="727"/>
      <c r="T191" s="728"/>
      <c r="W191" s="731"/>
      <c r="X191" s="754" t="s">
        <v>5643</v>
      </c>
      <c r="Y191" s="754" t="s">
        <v>231</v>
      </c>
      <c r="Z191" s="755" t="s">
        <v>3228</v>
      </c>
      <c r="AA191" s="756" t="s">
        <v>6571</v>
      </c>
      <c r="AB191" s="757" t="s">
        <v>284</v>
      </c>
      <c r="AC191" s="758">
        <v>22.407</v>
      </c>
      <c r="AD191" s="759">
        <v>44.12</v>
      </c>
      <c r="AE191" s="760">
        <f t="shared" si="16"/>
        <v>988.6</v>
      </c>
      <c r="AF191" s="956" t="s">
        <v>5477</v>
      </c>
      <c r="AR191" s="729"/>
      <c r="AT191" s="729"/>
      <c r="AU191" s="729"/>
      <c r="AY191" s="721"/>
      <c r="BE191" s="730"/>
      <c r="BF191" s="730"/>
      <c r="BG191" s="730"/>
      <c r="BH191" s="730"/>
      <c r="BI191" s="730"/>
      <c r="BJ191" s="721"/>
      <c r="BK191" s="730"/>
      <c r="BL191" s="721"/>
      <c r="BM191" s="729"/>
    </row>
    <row r="192" spans="2:65" s="1" customFormat="1" ht="24" customHeight="1" x14ac:dyDescent="0.2">
      <c r="B192" s="118"/>
      <c r="C192" s="119" t="s">
        <v>300</v>
      </c>
      <c r="D192" s="119" t="s">
        <v>231</v>
      </c>
      <c r="E192" s="120" t="s">
        <v>4260</v>
      </c>
      <c r="F192" s="121" t="s">
        <v>4261</v>
      </c>
      <c r="G192" s="122" t="s">
        <v>284</v>
      </c>
      <c r="H192" s="123">
        <v>154.18</v>
      </c>
      <c r="I192" s="124">
        <v>2.79</v>
      </c>
      <c r="J192" s="124">
        <f t="shared" si="12"/>
        <v>430.16</v>
      </c>
      <c r="K192" s="121" t="s">
        <v>1</v>
      </c>
      <c r="L192" s="24"/>
      <c r="M192" s="125" t="s">
        <v>1</v>
      </c>
      <c r="N192" s="126" t="s">
        <v>32</v>
      </c>
      <c r="O192" s="127">
        <v>0</v>
      </c>
      <c r="P192" s="127">
        <f t="shared" si="13"/>
        <v>0</v>
      </c>
      <c r="Q192" s="127">
        <v>0</v>
      </c>
      <c r="R192" s="127">
        <f t="shared" si="14"/>
        <v>0</v>
      </c>
      <c r="S192" s="127">
        <v>0</v>
      </c>
      <c r="T192" s="128">
        <f t="shared" si="15"/>
        <v>0</v>
      </c>
      <c r="W192" s="199"/>
      <c r="X192" s="119" t="s">
        <v>300</v>
      </c>
      <c r="Y192" s="119" t="s">
        <v>231</v>
      </c>
      <c r="Z192" s="120" t="s">
        <v>4260</v>
      </c>
      <c r="AA192" s="121" t="s">
        <v>4261</v>
      </c>
      <c r="AB192" s="122" t="s">
        <v>284</v>
      </c>
      <c r="AC192" s="123">
        <v>154.18</v>
      </c>
      <c r="AD192" s="124">
        <v>2.79</v>
      </c>
      <c r="AE192" s="200">
        <f t="shared" si="16"/>
        <v>430.16</v>
      </c>
      <c r="AF192" s="956"/>
      <c r="AR192" s="129" t="s">
        <v>235</v>
      </c>
      <c r="AT192" s="129" t="s">
        <v>231</v>
      </c>
      <c r="AU192" s="129" t="s">
        <v>76</v>
      </c>
      <c r="AY192" s="13" t="s">
        <v>228</v>
      </c>
      <c r="BE192" s="130">
        <f t="shared" si="17"/>
        <v>0</v>
      </c>
      <c r="BF192" s="130">
        <f t="shared" si="18"/>
        <v>430.16</v>
      </c>
      <c r="BG192" s="130">
        <f t="shared" si="19"/>
        <v>0</v>
      </c>
      <c r="BH192" s="130">
        <f t="shared" si="20"/>
        <v>0</v>
      </c>
      <c r="BI192" s="130">
        <f t="shared" si="21"/>
        <v>0</v>
      </c>
      <c r="BJ192" s="13" t="s">
        <v>76</v>
      </c>
      <c r="BK192" s="130">
        <f t="shared" si="22"/>
        <v>430.16</v>
      </c>
      <c r="BL192" s="13" t="s">
        <v>235</v>
      </c>
      <c r="BM192" s="129" t="s">
        <v>368</v>
      </c>
    </row>
    <row r="193" spans="2:65" s="1" customFormat="1" ht="24" customHeight="1" x14ac:dyDescent="0.2">
      <c r="B193" s="118"/>
      <c r="C193" s="119" t="s">
        <v>369</v>
      </c>
      <c r="D193" s="119" t="s">
        <v>231</v>
      </c>
      <c r="E193" s="120" t="s">
        <v>391</v>
      </c>
      <c r="F193" s="121" t="s">
        <v>4262</v>
      </c>
      <c r="G193" s="122" t="s">
        <v>284</v>
      </c>
      <c r="H193" s="123">
        <v>20.7</v>
      </c>
      <c r="I193" s="124">
        <v>20.9</v>
      </c>
      <c r="J193" s="124">
        <f t="shared" si="12"/>
        <v>432.63</v>
      </c>
      <c r="K193" s="121" t="s">
        <v>1</v>
      </c>
      <c r="L193" s="24"/>
      <c r="M193" s="125" t="s">
        <v>1</v>
      </c>
      <c r="N193" s="126" t="s">
        <v>32</v>
      </c>
      <c r="O193" s="127">
        <v>0</v>
      </c>
      <c r="P193" s="127">
        <f t="shared" si="13"/>
        <v>0</v>
      </c>
      <c r="Q193" s="127">
        <v>0</v>
      </c>
      <c r="R193" s="127">
        <f t="shared" si="14"/>
        <v>0</v>
      </c>
      <c r="S193" s="127">
        <v>0</v>
      </c>
      <c r="T193" s="128">
        <f t="shared" si="15"/>
        <v>0</v>
      </c>
      <c r="W193" s="199"/>
      <c r="X193" s="119" t="s">
        <v>369</v>
      </c>
      <c r="Y193" s="119" t="s">
        <v>231</v>
      </c>
      <c r="Z193" s="120" t="s">
        <v>391</v>
      </c>
      <c r="AA193" s="121" t="s">
        <v>4262</v>
      </c>
      <c r="AB193" s="122" t="s">
        <v>284</v>
      </c>
      <c r="AC193" s="123">
        <v>20.7</v>
      </c>
      <c r="AD193" s="124">
        <v>20.9</v>
      </c>
      <c r="AE193" s="200">
        <f t="shared" si="16"/>
        <v>432.63</v>
      </c>
      <c r="AF193" s="956"/>
      <c r="AR193" s="129" t="s">
        <v>235</v>
      </c>
      <c r="AT193" s="129" t="s">
        <v>231</v>
      </c>
      <c r="AU193" s="129" t="s">
        <v>76</v>
      </c>
      <c r="AY193" s="13" t="s">
        <v>228</v>
      </c>
      <c r="BE193" s="130">
        <f t="shared" si="17"/>
        <v>0</v>
      </c>
      <c r="BF193" s="130">
        <f t="shared" si="18"/>
        <v>432.63</v>
      </c>
      <c r="BG193" s="130">
        <f t="shared" si="19"/>
        <v>0</v>
      </c>
      <c r="BH193" s="130">
        <f t="shared" si="20"/>
        <v>0</v>
      </c>
      <c r="BI193" s="130">
        <f t="shared" si="21"/>
        <v>0</v>
      </c>
      <c r="BJ193" s="13" t="s">
        <v>76</v>
      </c>
      <c r="BK193" s="130">
        <f t="shared" si="22"/>
        <v>432.63</v>
      </c>
      <c r="BL193" s="13" t="s">
        <v>235</v>
      </c>
      <c r="BM193" s="129" t="s">
        <v>372</v>
      </c>
    </row>
    <row r="194" spans="2:65" s="1" customFormat="1" ht="31.2" customHeight="1" x14ac:dyDescent="0.2">
      <c r="B194" s="118"/>
      <c r="C194" s="1070" t="s">
        <v>303</v>
      </c>
      <c r="D194" s="119" t="s">
        <v>231</v>
      </c>
      <c r="E194" s="120" t="s">
        <v>394</v>
      </c>
      <c r="F194" s="121" t="s">
        <v>395</v>
      </c>
      <c r="G194" s="122" t="s">
        <v>284</v>
      </c>
      <c r="H194" s="1071">
        <v>116.955</v>
      </c>
      <c r="I194" s="124">
        <v>14.51</v>
      </c>
      <c r="J194" s="124">
        <f t="shared" si="12"/>
        <v>1697.02</v>
      </c>
      <c r="K194" s="121" t="s">
        <v>1</v>
      </c>
      <c r="L194" s="24"/>
      <c r="M194" s="125" t="s">
        <v>1</v>
      </c>
      <c r="N194" s="126" t="s">
        <v>32</v>
      </c>
      <c r="O194" s="127">
        <v>0.60516999999999999</v>
      </c>
      <c r="P194" s="127">
        <f t="shared" si="13"/>
        <v>70.777657349999998</v>
      </c>
      <c r="Q194" s="127">
        <v>0.13200999999999999</v>
      </c>
      <c r="R194" s="127">
        <f t="shared" si="14"/>
        <v>15.439229549999999</v>
      </c>
      <c r="S194" s="127">
        <v>0</v>
      </c>
      <c r="T194" s="128">
        <f t="shared" si="15"/>
        <v>0</v>
      </c>
      <c r="W194" s="199"/>
      <c r="X194" s="752" t="s">
        <v>303</v>
      </c>
      <c r="Y194" s="119" t="s">
        <v>231</v>
      </c>
      <c r="Z194" s="120" t="s">
        <v>394</v>
      </c>
      <c r="AA194" s="121" t="s">
        <v>395</v>
      </c>
      <c r="AB194" s="122" t="s">
        <v>284</v>
      </c>
      <c r="AC194" s="753">
        <f>116.955+171.079+9.5</f>
        <v>297.53399999999999</v>
      </c>
      <c r="AD194" s="124">
        <v>14.51</v>
      </c>
      <c r="AE194" s="200">
        <f t="shared" si="16"/>
        <v>4317.22</v>
      </c>
      <c r="AF194" s="956" t="s">
        <v>6622</v>
      </c>
      <c r="AR194" s="129" t="s">
        <v>235</v>
      </c>
      <c r="AT194" s="129" t="s">
        <v>231</v>
      </c>
      <c r="AU194" s="129" t="s">
        <v>76</v>
      </c>
      <c r="AY194" s="13" t="s">
        <v>228</v>
      </c>
      <c r="BE194" s="130">
        <f t="shared" si="17"/>
        <v>0</v>
      </c>
      <c r="BF194" s="130">
        <f t="shared" si="18"/>
        <v>1697.02</v>
      </c>
      <c r="BG194" s="130">
        <f t="shared" si="19"/>
        <v>0</v>
      </c>
      <c r="BH194" s="130">
        <f t="shared" si="20"/>
        <v>0</v>
      </c>
      <c r="BI194" s="130">
        <f t="shared" si="21"/>
        <v>0</v>
      </c>
      <c r="BJ194" s="13" t="s">
        <v>76</v>
      </c>
      <c r="BK194" s="130">
        <f t="shared" si="22"/>
        <v>1697.02</v>
      </c>
      <c r="BL194" s="13" t="s">
        <v>235</v>
      </c>
      <c r="BM194" s="129" t="s">
        <v>375</v>
      </c>
    </row>
    <row r="195" spans="2:65" s="1" customFormat="1" ht="24" customHeight="1" x14ac:dyDescent="0.2">
      <c r="B195" s="118"/>
      <c r="C195" s="119" t="s">
        <v>376</v>
      </c>
      <c r="D195" s="119" t="s">
        <v>231</v>
      </c>
      <c r="E195" s="120" t="s">
        <v>4263</v>
      </c>
      <c r="F195" s="121" t="s">
        <v>4264</v>
      </c>
      <c r="G195" s="122" t="s">
        <v>284</v>
      </c>
      <c r="H195" s="123">
        <v>154.18</v>
      </c>
      <c r="I195" s="124">
        <v>10.45</v>
      </c>
      <c r="J195" s="124">
        <f t="shared" si="12"/>
        <v>1611.18</v>
      </c>
      <c r="K195" s="121" t="s">
        <v>1</v>
      </c>
      <c r="L195" s="24"/>
      <c r="M195" s="125" t="s">
        <v>1</v>
      </c>
      <c r="N195" s="126" t="s">
        <v>32</v>
      </c>
      <c r="O195" s="127">
        <v>0</v>
      </c>
      <c r="P195" s="127">
        <f t="shared" si="13"/>
        <v>0</v>
      </c>
      <c r="Q195" s="127">
        <v>0</v>
      </c>
      <c r="R195" s="127">
        <f t="shared" si="14"/>
        <v>0</v>
      </c>
      <c r="S195" s="127">
        <v>0</v>
      </c>
      <c r="T195" s="128">
        <f t="shared" si="15"/>
        <v>0</v>
      </c>
      <c r="W195" s="199"/>
      <c r="X195" s="119" t="s">
        <v>376</v>
      </c>
      <c r="Y195" s="119" t="s">
        <v>231</v>
      </c>
      <c r="Z195" s="120" t="s">
        <v>4263</v>
      </c>
      <c r="AA195" s="121" t="s">
        <v>4264</v>
      </c>
      <c r="AB195" s="122" t="s">
        <v>284</v>
      </c>
      <c r="AC195" s="123">
        <v>154.18</v>
      </c>
      <c r="AD195" s="124">
        <v>10.45</v>
      </c>
      <c r="AE195" s="200">
        <f t="shared" si="16"/>
        <v>1611.18</v>
      </c>
      <c r="AF195" s="956"/>
      <c r="AR195" s="129" t="s">
        <v>235</v>
      </c>
      <c r="AT195" s="129" t="s">
        <v>231</v>
      </c>
      <c r="AU195" s="129" t="s">
        <v>76</v>
      </c>
      <c r="AY195" s="13" t="s">
        <v>228</v>
      </c>
      <c r="BE195" s="130">
        <f t="shared" si="17"/>
        <v>0</v>
      </c>
      <c r="BF195" s="130">
        <f t="shared" si="18"/>
        <v>1611.18</v>
      </c>
      <c r="BG195" s="130">
        <f t="shared" si="19"/>
        <v>0</v>
      </c>
      <c r="BH195" s="130">
        <f t="shared" si="20"/>
        <v>0</v>
      </c>
      <c r="BI195" s="130">
        <f t="shared" si="21"/>
        <v>0</v>
      </c>
      <c r="BJ195" s="13" t="s">
        <v>76</v>
      </c>
      <c r="BK195" s="130">
        <f t="shared" si="22"/>
        <v>1611.18</v>
      </c>
      <c r="BL195" s="13" t="s">
        <v>235</v>
      </c>
      <c r="BM195" s="129" t="s">
        <v>379</v>
      </c>
    </row>
    <row r="196" spans="2:65" s="740" customFormat="1" ht="24" customHeight="1" x14ac:dyDescent="0.2">
      <c r="B196" s="743"/>
      <c r="C196" s="1234" t="s">
        <v>5205</v>
      </c>
      <c r="D196" s="1235"/>
      <c r="E196" s="1235"/>
      <c r="F196" s="1235"/>
      <c r="G196" s="1235"/>
      <c r="H196" s="1235"/>
      <c r="I196" s="1235"/>
      <c r="J196" s="1236"/>
      <c r="K196" s="744"/>
      <c r="L196" s="742"/>
      <c r="M196" s="745"/>
      <c r="N196" s="746"/>
      <c r="O196" s="747"/>
      <c r="P196" s="747"/>
      <c r="Q196" s="747"/>
      <c r="R196" s="747"/>
      <c r="S196" s="747"/>
      <c r="T196" s="748"/>
      <c r="W196" s="751"/>
      <c r="X196" s="772" t="s">
        <v>5392</v>
      </c>
      <c r="Y196" s="772" t="s">
        <v>231</v>
      </c>
      <c r="Z196" s="773" t="s">
        <v>3240</v>
      </c>
      <c r="AA196" s="774" t="s">
        <v>6572</v>
      </c>
      <c r="AB196" s="775" t="s">
        <v>284</v>
      </c>
      <c r="AC196" s="776">
        <v>6.375</v>
      </c>
      <c r="AD196" s="777">
        <v>10.45</v>
      </c>
      <c r="AE196" s="778">
        <f t="shared" si="16"/>
        <v>66.62</v>
      </c>
      <c r="AF196" s="956" t="s">
        <v>5477</v>
      </c>
      <c r="AR196" s="749"/>
      <c r="AT196" s="749"/>
      <c r="AU196" s="749"/>
      <c r="AY196" s="741"/>
      <c r="BE196" s="750"/>
      <c r="BF196" s="750"/>
      <c r="BG196" s="750"/>
      <c r="BH196" s="750"/>
      <c r="BI196" s="750"/>
      <c r="BJ196" s="741"/>
      <c r="BK196" s="750"/>
      <c r="BL196" s="741"/>
      <c r="BM196" s="749"/>
    </row>
    <row r="197" spans="2:65" s="1" customFormat="1" ht="24" customHeight="1" x14ac:dyDescent="0.2">
      <c r="B197" s="118"/>
      <c r="C197" s="1070" t="s">
        <v>308</v>
      </c>
      <c r="D197" s="119" t="s">
        <v>231</v>
      </c>
      <c r="E197" s="120" t="s">
        <v>398</v>
      </c>
      <c r="F197" s="121" t="s">
        <v>399</v>
      </c>
      <c r="G197" s="122" t="s">
        <v>284</v>
      </c>
      <c r="H197" s="1071">
        <v>417.93</v>
      </c>
      <c r="I197" s="124">
        <v>10.45</v>
      </c>
      <c r="J197" s="124">
        <f t="shared" si="12"/>
        <v>4367.37</v>
      </c>
      <c r="K197" s="121" t="s">
        <v>1</v>
      </c>
      <c r="L197" s="24"/>
      <c r="M197" s="125" t="s">
        <v>1</v>
      </c>
      <c r="N197" s="126" t="s">
        <v>32</v>
      </c>
      <c r="O197" s="127">
        <v>0</v>
      </c>
      <c r="P197" s="127">
        <f t="shared" si="13"/>
        <v>0</v>
      </c>
      <c r="Q197" s="127">
        <v>0</v>
      </c>
      <c r="R197" s="127">
        <f t="shared" si="14"/>
        <v>0</v>
      </c>
      <c r="S197" s="127">
        <v>0</v>
      </c>
      <c r="T197" s="128">
        <f t="shared" si="15"/>
        <v>0</v>
      </c>
      <c r="W197" s="199"/>
      <c r="X197" s="991" t="s">
        <v>308</v>
      </c>
      <c r="Y197" s="119" t="s">
        <v>231</v>
      </c>
      <c r="Z197" s="120" t="s">
        <v>398</v>
      </c>
      <c r="AA197" s="121" t="s">
        <v>399</v>
      </c>
      <c r="AB197" s="122" t="s">
        <v>284</v>
      </c>
      <c r="AC197" s="992">
        <f>417.93+1</f>
        <v>418.93</v>
      </c>
      <c r="AD197" s="124">
        <v>10.45</v>
      </c>
      <c r="AE197" s="200">
        <f t="shared" si="16"/>
        <v>4377.82</v>
      </c>
      <c r="AF197" s="956" t="s">
        <v>5478</v>
      </c>
      <c r="AR197" s="129" t="s">
        <v>235</v>
      </c>
      <c r="AT197" s="129" t="s">
        <v>231</v>
      </c>
      <c r="AU197" s="129" t="s">
        <v>76</v>
      </c>
      <c r="AY197" s="13" t="s">
        <v>228</v>
      </c>
      <c r="BE197" s="130">
        <f t="shared" si="17"/>
        <v>0</v>
      </c>
      <c r="BF197" s="130">
        <f t="shared" si="18"/>
        <v>4367.37</v>
      </c>
      <c r="BG197" s="130">
        <f t="shared" si="19"/>
        <v>0</v>
      </c>
      <c r="BH197" s="130">
        <f t="shared" si="20"/>
        <v>0</v>
      </c>
      <c r="BI197" s="130">
        <f t="shared" si="21"/>
        <v>0</v>
      </c>
      <c r="BJ197" s="13" t="s">
        <v>76</v>
      </c>
      <c r="BK197" s="130">
        <f t="shared" si="22"/>
        <v>4367.37</v>
      </c>
      <c r="BL197" s="13" t="s">
        <v>235</v>
      </c>
      <c r="BM197" s="129" t="s">
        <v>382</v>
      </c>
    </row>
    <row r="198" spans="2:65" s="1092" customFormat="1" ht="24" customHeight="1" x14ac:dyDescent="0.2">
      <c r="B198" s="1028"/>
      <c r="C198" s="1234" t="s">
        <v>5205</v>
      </c>
      <c r="D198" s="1235"/>
      <c r="E198" s="1235"/>
      <c r="F198" s="1235"/>
      <c r="G198" s="1235"/>
      <c r="H198" s="1235"/>
      <c r="I198" s="1235"/>
      <c r="J198" s="1236"/>
      <c r="K198" s="1031"/>
      <c r="L198" s="1027"/>
      <c r="M198" s="1035"/>
      <c r="N198" s="1036"/>
      <c r="O198" s="1037"/>
      <c r="P198" s="1037"/>
      <c r="Q198" s="1037"/>
      <c r="R198" s="1037"/>
      <c r="S198" s="1037"/>
      <c r="T198" s="1038"/>
      <c r="W198" s="1041"/>
      <c r="X198" s="1072" t="s">
        <v>6724</v>
      </c>
      <c r="Y198" s="1072"/>
      <c r="Z198" s="1073" t="s">
        <v>6723</v>
      </c>
      <c r="AA198" s="1074" t="s">
        <v>6722</v>
      </c>
      <c r="AB198" s="1075" t="s">
        <v>284</v>
      </c>
      <c r="AC198" s="1076">
        <v>20</v>
      </c>
      <c r="AD198" s="1077">
        <v>15</v>
      </c>
      <c r="AE198" s="1078">
        <f t="shared" si="16"/>
        <v>300</v>
      </c>
      <c r="AF198" s="956">
        <v>28</v>
      </c>
      <c r="AR198" s="1039"/>
      <c r="AT198" s="1039"/>
      <c r="AU198" s="1039"/>
      <c r="AY198" s="1026"/>
      <c r="BE198" s="1040"/>
      <c r="BF198" s="1040"/>
      <c r="BG198" s="1040"/>
      <c r="BH198" s="1040"/>
      <c r="BI198" s="1040"/>
      <c r="BJ198" s="1026"/>
      <c r="BK198" s="1040"/>
      <c r="BL198" s="1026"/>
      <c r="BM198" s="1039"/>
    </row>
    <row r="199" spans="2:65" s="1" customFormat="1" ht="24" customHeight="1" x14ac:dyDescent="0.2">
      <c r="B199" s="118"/>
      <c r="C199" s="119" t="s">
        <v>383</v>
      </c>
      <c r="D199" s="119" t="s">
        <v>231</v>
      </c>
      <c r="E199" s="120" t="s">
        <v>4265</v>
      </c>
      <c r="F199" s="121" t="s">
        <v>4266</v>
      </c>
      <c r="G199" s="122" t="s">
        <v>292</v>
      </c>
      <c r="H199" s="123">
        <v>60.5</v>
      </c>
      <c r="I199" s="124">
        <v>1.74</v>
      </c>
      <c r="J199" s="124">
        <f t="shared" si="12"/>
        <v>105.27</v>
      </c>
      <c r="K199" s="121" t="s">
        <v>1</v>
      </c>
      <c r="L199" s="24"/>
      <c r="M199" s="125" t="s">
        <v>1</v>
      </c>
      <c r="N199" s="126" t="s">
        <v>32</v>
      </c>
      <c r="O199" s="127">
        <v>0</v>
      </c>
      <c r="P199" s="127">
        <f t="shared" si="13"/>
        <v>0</v>
      </c>
      <c r="Q199" s="127">
        <v>0</v>
      </c>
      <c r="R199" s="127">
        <f t="shared" si="14"/>
        <v>0</v>
      </c>
      <c r="S199" s="127">
        <v>0</v>
      </c>
      <c r="T199" s="128">
        <f t="shared" si="15"/>
        <v>0</v>
      </c>
      <c r="W199" s="199"/>
      <c r="X199" s="119" t="s">
        <v>383</v>
      </c>
      <c r="Y199" s="119" t="s">
        <v>231</v>
      </c>
      <c r="Z199" s="120" t="s">
        <v>4265</v>
      </c>
      <c r="AA199" s="121" t="s">
        <v>4266</v>
      </c>
      <c r="AB199" s="122" t="s">
        <v>292</v>
      </c>
      <c r="AC199" s="123">
        <v>60.5</v>
      </c>
      <c r="AD199" s="124">
        <v>1.74</v>
      </c>
      <c r="AE199" s="200">
        <f t="shared" si="16"/>
        <v>105.27</v>
      </c>
      <c r="AF199" s="956"/>
      <c r="AR199" s="129" t="s">
        <v>235</v>
      </c>
      <c r="AT199" s="129" t="s">
        <v>231</v>
      </c>
      <c r="AU199" s="129" t="s">
        <v>76</v>
      </c>
      <c r="AY199" s="13" t="s">
        <v>228</v>
      </c>
      <c r="BE199" s="130">
        <f t="shared" si="17"/>
        <v>0</v>
      </c>
      <c r="BF199" s="130">
        <f t="shared" si="18"/>
        <v>105.27</v>
      </c>
      <c r="BG199" s="130">
        <f t="shared" si="19"/>
        <v>0</v>
      </c>
      <c r="BH199" s="130">
        <f t="shared" si="20"/>
        <v>0</v>
      </c>
      <c r="BI199" s="130">
        <f t="shared" si="21"/>
        <v>0</v>
      </c>
      <c r="BJ199" s="13" t="s">
        <v>76</v>
      </c>
      <c r="BK199" s="130">
        <f t="shared" si="22"/>
        <v>105.27</v>
      </c>
      <c r="BL199" s="13" t="s">
        <v>235</v>
      </c>
      <c r="BM199" s="129" t="s">
        <v>386</v>
      </c>
    </row>
    <row r="200" spans="2:65" s="11" customFormat="1" ht="22.95" customHeight="1" x14ac:dyDescent="0.25">
      <c r="B200" s="106"/>
      <c r="D200" s="107" t="s">
        <v>57</v>
      </c>
      <c r="E200" s="116" t="s">
        <v>400</v>
      </c>
      <c r="F200" s="116" t="s">
        <v>401</v>
      </c>
      <c r="J200" s="117">
        <f>BK200</f>
        <v>2037.4</v>
      </c>
      <c r="L200" s="106"/>
      <c r="M200" s="110"/>
      <c r="N200" s="111"/>
      <c r="O200" s="111"/>
      <c r="P200" s="112">
        <f>SUM(P201:P205)</f>
        <v>41.375070000000001</v>
      </c>
      <c r="Q200" s="111"/>
      <c r="R200" s="112">
        <f>SUM(R201:R205)</f>
        <v>0.63943289999999997</v>
      </c>
      <c r="S200" s="111"/>
      <c r="T200" s="113">
        <f>SUM(T201:T205)</f>
        <v>0</v>
      </c>
      <c r="W200" s="195"/>
      <c r="X200" s="111"/>
      <c r="Y200" s="196" t="s">
        <v>57</v>
      </c>
      <c r="Z200" s="201" t="s">
        <v>400</v>
      </c>
      <c r="AA200" s="201" t="s">
        <v>401</v>
      </c>
      <c r="AB200" s="111"/>
      <c r="AC200" s="111"/>
      <c r="AD200" s="111"/>
      <c r="AE200" s="202">
        <f>SUM(AE201:AE205)</f>
        <v>2082.3199999999997</v>
      </c>
      <c r="AF200" s="956"/>
      <c r="AR200" s="107" t="s">
        <v>63</v>
      </c>
      <c r="AT200" s="114" t="s">
        <v>57</v>
      </c>
      <c r="AU200" s="114" t="s">
        <v>63</v>
      </c>
      <c r="AY200" s="107" t="s">
        <v>228</v>
      </c>
      <c r="BK200" s="115">
        <f>SUM(BK201:BK205)</f>
        <v>2037.4</v>
      </c>
    </row>
    <row r="201" spans="2:65" s="1" customFormat="1" ht="24" customHeight="1" x14ac:dyDescent="0.2">
      <c r="B201" s="118"/>
      <c r="C201" s="119" t="s">
        <v>312</v>
      </c>
      <c r="D201" s="119" t="s">
        <v>231</v>
      </c>
      <c r="E201" s="120" t="s">
        <v>4267</v>
      </c>
      <c r="F201" s="121" t="s">
        <v>4268</v>
      </c>
      <c r="G201" s="122" t="s">
        <v>284</v>
      </c>
      <c r="H201" s="123">
        <v>50</v>
      </c>
      <c r="I201" s="124">
        <v>3.48</v>
      </c>
      <c r="J201" s="124">
        <f>ROUND(I201*H201,2)</f>
        <v>174</v>
      </c>
      <c r="K201" s="121" t="s">
        <v>1</v>
      </c>
      <c r="L201" s="24"/>
      <c r="M201" s="125" t="s">
        <v>1</v>
      </c>
      <c r="N201" s="126" t="s">
        <v>32</v>
      </c>
      <c r="O201" s="127">
        <v>0</v>
      </c>
      <c r="P201" s="127">
        <f>O201*H201</f>
        <v>0</v>
      </c>
      <c r="Q201" s="127">
        <v>0</v>
      </c>
      <c r="R201" s="127">
        <f>Q201*H201</f>
        <v>0</v>
      </c>
      <c r="S201" s="127">
        <v>0</v>
      </c>
      <c r="T201" s="128">
        <f>S201*H201</f>
        <v>0</v>
      </c>
      <c r="W201" s="199"/>
      <c r="X201" s="119" t="s">
        <v>312</v>
      </c>
      <c r="Y201" s="119" t="s">
        <v>231</v>
      </c>
      <c r="Z201" s="120" t="s">
        <v>4267</v>
      </c>
      <c r="AA201" s="121" t="s">
        <v>4268</v>
      </c>
      <c r="AB201" s="122" t="s">
        <v>284</v>
      </c>
      <c r="AC201" s="123">
        <v>50</v>
      </c>
      <c r="AD201" s="124">
        <v>3.48</v>
      </c>
      <c r="AE201" s="200">
        <f>ROUND(AD201*AC201,2)</f>
        <v>174</v>
      </c>
      <c r="AF201" s="956"/>
      <c r="AR201" s="129" t="s">
        <v>235</v>
      </c>
      <c r="AT201" s="129" t="s">
        <v>231</v>
      </c>
      <c r="AU201" s="129" t="s">
        <v>76</v>
      </c>
      <c r="AY201" s="13" t="s">
        <v>228</v>
      </c>
      <c r="BE201" s="130">
        <f>IF(N201="základná",J201,0)</f>
        <v>0</v>
      </c>
      <c r="BF201" s="130">
        <f>IF(N201="znížená",J201,0)</f>
        <v>174</v>
      </c>
      <c r="BG201" s="130">
        <f>IF(N201="zákl. prenesená",J201,0)</f>
        <v>0</v>
      </c>
      <c r="BH201" s="130">
        <f>IF(N201="zníž. prenesená",J201,0)</f>
        <v>0</v>
      </c>
      <c r="BI201" s="130">
        <f>IF(N201="nulová",J201,0)</f>
        <v>0</v>
      </c>
      <c r="BJ201" s="13" t="s">
        <v>76</v>
      </c>
      <c r="BK201" s="130">
        <f>ROUND(I201*H201,2)</f>
        <v>174</v>
      </c>
      <c r="BL201" s="13" t="s">
        <v>235</v>
      </c>
      <c r="BM201" s="129" t="s">
        <v>389</v>
      </c>
    </row>
    <row r="202" spans="2:65" s="1" customFormat="1" ht="24" customHeight="1" x14ac:dyDescent="0.2">
      <c r="B202" s="118"/>
      <c r="C202" s="119" t="s">
        <v>390</v>
      </c>
      <c r="D202" s="119" t="s">
        <v>231</v>
      </c>
      <c r="E202" s="120" t="s">
        <v>4269</v>
      </c>
      <c r="F202" s="121" t="s">
        <v>4270</v>
      </c>
      <c r="G202" s="122" t="s">
        <v>284</v>
      </c>
      <c r="H202" s="123">
        <v>250</v>
      </c>
      <c r="I202" s="124">
        <v>1.1599999999999999</v>
      </c>
      <c r="J202" s="124">
        <f>ROUND(I202*H202,2)</f>
        <v>290</v>
      </c>
      <c r="K202" s="121" t="s">
        <v>1</v>
      </c>
      <c r="L202" s="24"/>
      <c r="M202" s="125" t="s">
        <v>1</v>
      </c>
      <c r="N202" s="126" t="s">
        <v>32</v>
      </c>
      <c r="O202" s="127">
        <v>0</v>
      </c>
      <c r="P202" s="127">
        <f>O202*H202</f>
        <v>0</v>
      </c>
      <c r="Q202" s="127">
        <v>0</v>
      </c>
      <c r="R202" s="127">
        <f>Q202*H202</f>
        <v>0</v>
      </c>
      <c r="S202" s="127">
        <v>0</v>
      </c>
      <c r="T202" s="128">
        <f>S202*H202</f>
        <v>0</v>
      </c>
      <c r="W202" s="199"/>
      <c r="X202" s="119" t="s">
        <v>390</v>
      </c>
      <c r="Y202" s="119" t="s">
        <v>231</v>
      </c>
      <c r="Z202" s="120" t="s">
        <v>4269</v>
      </c>
      <c r="AA202" s="121" t="s">
        <v>4270</v>
      </c>
      <c r="AB202" s="122" t="s">
        <v>284</v>
      </c>
      <c r="AC202" s="123">
        <v>250</v>
      </c>
      <c r="AD202" s="124">
        <v>1.1599999999999999</v>
      </c>
      <c r="AE202" s="200">
        <f>ROUND(AD202*AC202,2)</f>
        <v>290</v>
      </c>
      <c r="AF202" s="956"/>
      <c r="AR202" s="129" t="s">
        <v>235</v>
      </c>
      <c r="AT202" s="129" t="s">
        <v>231</v>
      </c>
      <c r="AU202" s="129" t="s">
        <v>76</v>
      </c>
      <c r="AY202" s="13" t="s">
        <v>228</v>
      </c>
      <c r="BE202" s="130">
        <f>IF(N202="základná",J202,0)</f>
        <v>0</v>
      </c>
      <c r="BF202" s="130">
        <f>IF(N202="znížená",J202,0)</f>
        <v>290</v>
      </c>
      <c r="BG202" s="130">
        <f>IF(N202="zákl. prenesená",J202,0)</f>
        <v>0</v>
      </c>
      <c r="BH202" s="130">
        <f>IF(N202="zníž. prenesená",J202,0)</f>
        <v>0</v>
      </c>
      <c r="BI202" s="130">
        <f>IF(N202="nulová",J202,0)</f>
        <v>0</v>
      </c>
      <c r="BJ202" s="13" t="s">
        <v>76</v>
      </c>
      <c r="BK202" s="130">
        <f>ROUND(I202*H202,2)</f>
        <v>290</v>
      </c>
      <c r="BL202" s="13" t="s">
        <v>235</v>
      </c>
      <c r="BM202" s="129" t="s">
        <v>393</v>
      </c>
    </row>
    <row r="203" spans="2:65" s="1" customFormat="1" ht="24" customHeight="1" x14ac:dyDescent="0.2">
      <c r="B203" s="118"/>
      <c r="C203" s="119" t="s">
        <v>316</v>
      </c>
      <c r="D203" s="119" t="s">
        <v>231</v>
      </c>
      <c r="E203" s="120" t="s">
        <v>4271</v>
      </c>
      <c r="F203" s="121" t="s">
        <v>4272</v>
      </c>
      <c r="G203" s="122" t="s">
        <v>284</v>
      </c>
      <c r="H203" s="123">
        <v>50</v>
      </c>
      <c r="I203" s="124">
        <v>1.45</v>
      </c>
      <c r="J203" s="124">
        <f>ROUND(I203*H203,2)</f>
        <v>72.5</v>
      </c>
      <c r="K203" s="121" t="s">
        <v>1</v>
      </c>
      <c r="L203" s="24"/>
      <c r="M203" s="125" t="s">
        <v>1</v>
      </c>
      <c r="N203" s="126" t="s">
        <v>32</v>
      </c>
      <c r="O203" s="127">
        <v>0</v>
      </c>
      <c r="P203" s="127">
        <f>O203*H203</f>
        <v>0</v>
      </c>
      <c r="Q203" s="127">
        <v>0</v>
      </c>
      <c r="R203" s="127">
        <f>Q203*H203</f>
        <v>0</v>
      </c>
      <c r="S203" s="127">
        <v>0</v>
      </c>
      <c r="T203" s="128">
        <f>S203*H203</f>
        <v>0</v>
      </c>
      <c r="W203" s="199"/>
      <c r="X203" s="119" t="s">
        <v>316</v>
      </c>
      <c r="Y203" s="119" t="s">
        <v>231</v>
      </c>
      <c r="Z203" s="120" t="s">
        <v>4271</v>
      </c>
      <c r="AA203" s="121" t="s">
        <v>4272</v>
      </c>
      <c r="AB203" s="122" t="s">
        <v>284</v>
      </c>
      <c r="AC203" s="123">
        <v>50</v>
      </c>
      <c r="AD203" s="124">
        <v>1.45</v>
      </c>
      <c r="AE203" s="200">
        <f>ROUND(AD203*AC203,2)</f>
        <v>72.5</v>
      </c>
      <c r="AF203" s="956"/>
      <c r="AR203" s="129" t="s">
        <v>235</v>
      </c>
      <c r="AT203" s="129" t="s">
        <v>231</v>
      </c>
      <c r="AU203" s="129" t="s">
        <v>76</v>
      </c>
      <c r="AY203" s="13" t="s">
        <v>228</v>
      </c>
      <c r="BE203" s="130">
        <f>IF(N203="základná",J203,0)</f>
        <v>0</v>
      </c>
      <c r="BF203" s="130">
        <f>IF(N203="znížená",J203,0)</f>
        <v>72.5</v>
      </c>
      <c r="BG203" s="130">
        <f>IF(N203="zákl. prenesená",J203,0)</f>
        <v>0</v>
      </c>
      <c r="BH203" s="130">
        <f>IF(N203="zníž. prenesená",J203,0)</f>
        <v>0</v>
      </c>
      <c r="BI203" s="130">
        <f>IF(N203="nulová",J203,0)</f>
        <v>0</v>
      </c>
      <c r="BJ203" s="13" t="s">
        <v>76</v>
      </c>
      <c r="BK203" s="130">
        <f>ROUND(I203*H203,2)</f>
        <v>72.5</v>
      </c>
      <c r="BL203" s="13" t="s">
        <v>235</v>
      </c>
      <c r="BM203" s="129" t="s">
        <v>396</v>
      </c>
    </row>
    <row r="204" spans="2:65" s="1" customFormat="1" ht="16.5" customHeight="1" x14ac:dyDescent="0.2">
      <c r="B204" s="118"/>
      <c r="C204" s="1070" t="s">
        <v>397</v>
      </c>
      <c r="D204" s="119" t="s">
        <v>231</v>
      </c>
      <c r="E204" s="120" t="s">
        <v>402</v>
      </c>
      <c r="F204" s="121" t="s">
        <v>403</v>
      </c>
      <c r="G204" s="122" t="s">
        <v>284</v>
      </c>
      <c r="H204" s="1071">
        <v>417.93</v>
      </c>
      <c r="I204" s="124">
        <v>3.48</v>
      </c>
      <c r="J204" s="124">
        <f>ROUND(I204*H204,2)</f>
        <v>1454.4</v>
      </c>
      <c r="K204" s="121" t="s">
        <v>1</v>
      </c>
      <c r="L204" s="24"/>
      <c r="M204" s="125" t="s">
        <v>1</v>
      </c>
      <c r="N204" s="126" t="s">
        <v>32</v>
      </c>
      <c r="O204" s="127">
        <v>9.9000000000000005E-2</v>
      </c>
      <c r="P204" s="127">
        <f>O204*H204</f>
        <v>41.375070000000001</v>
      </c>
      <c r="Q204" s="127">
        <v>1.5299999999999999E-3</v>
      </c>
      <c r="R204" s="127">
        <f>Q204*H204</f>
        <v>0.63943289999999997</v>
      </c>
      <c r="S204" s="127">
        <v>0</v>
      </c>
      <c r="T204" s="128">
        <f>S204*H204</f>
        <v>0</v>
      </c>
      <c r="W204" s="199"/>
      <c r="X204" s="991" t="s">
        <v>397</v>
      </c>
      <c r="Y204" s="119" t="s">
        <v>231</v>
      </c>
      <c r="Z204" s="120" t="s">
        <v>402</v>
      </c>
      <c r="AA204" s="121" t="s">
        <v>403</v>
      </c>
      <c r="AB204" s="122" t="s">
        <v>284</v>
      </c>
      <c r="AC204" s="992">
        <f>417.93+12.91</f>
        <v>430.84000000000003</v>
      </c>
      <c r="AD204" s="124">
        <v>3.48</v>
      </c>
      <c r="AE204" s="200">
        <f>ROUND(AD204*AC204,2)</f>
        <v>1499.32</v>
      </c>
      <c r="AF204" s="956" t="s">
        <v>5478</v>
      </c>
      <c r="AR204" s="129" t="s">
        <v>235</v>
      </c>
      <c r="AT204" s="129" t="s">
        <v>231</v>
      </c>
      <c r="AU204" s="129" t="s">
        <v>76</v>
      </c>
      <c r="AY204" s="13" t="s">
        <v>228</v>
      </c>
      <c r="BE204" s="130">
        <f>IF(N204="základná",J204,0)</f>
        <v>0</v>
      </c>
      <c r="BF204" s="130">
        <f>IF(N204="znížená",J204,0)</f>
        <v>1454.4</v>
      </c>
      <c r="BG204" s="130">
        <f>IF(N204="zákl. prenesená",J204,0)</f>
        <v>0</v>
      </c>
      <c r="BH204" s="130">
        <f>IF(N204="zníž. prenesená",J204,0)</f>
        <v>0</v>
      </c>
      <c r="BI204" s="130">
        <f>IF(N204="nulová",J204,0)</f>
        <v>0</v>
      </c>
      <c r="BJ204" s="13" t="s">
        <v>76</v>
      </c>
      <c r="BK204" s="130">
        <f>ROUND(I204*H204,2)</f>
        <v>1454.4</v>
      </c>
      <c r="BL204" s="13" t="s">
        <v>235</v>
      </c>
      <c r="BM204" s="129" t="s">
        <v>400</v>
      </c>
    </row>
    <row r="205" spans="2:65" s="1" customFormat="1" ht="16.5" customHeight="1" x14ac:dyDescent="0.2">
      <c r="B205" s="118"/>
      <c r="C205" s="119" t="s">
        <v>319</v>
      </c>
      <c r="D205" s="119" t="s">
        <v>231</v>
      </c>
      <c r="E205" s="120" t="s">
        <v>4273</v>
      </c>
      <c r="F205" s="121" t="s">
        <v>4274</v>
      </c>
      <c r="G205" s="122" t="s">
        <v>284</v>
      </c>
      <c r="H205" s="123">
        <v>50</v>
      </c>
      <c r="I205" s="124">
        <v>0.93</v>
      </c>
      <c r="J205" s="124">
        <f>ROUND(I205*H205,2)</f>
        <v>46.5</v>
      </c>
      <c r="K205" s="121" t="s">
        <v>1</v>
      </c>
      <c r="L205" s="24"/>
      <c r="M205" s="125" t="s">
        <v>1</v>
      </c>
      <c r="N205" s="126" t="s">
        <v>32</v>
      </c>
      <c r="O205" s="127">
        <v>0</v>
      </c>
      <c r="P205" s="127">
        <f>O205*H205</f>
        <v>0</v>
      </c>
      <c r="Q205" s="127">
        <v>0</v>
      </c>
      <c r="R205" s="127">
        <f>Q205*H205</f>
        <v>0</v>
      </c>
      <c r="S205" s="127">
        <v>0</v>
      </c>
      <c r="T205" s="128">
        <f>S205*H205</f>
        <v>0</v>
      </c>
      <c r="W205" s="199"/>
      <c r="X205" s="119" t="s">
        <v>319</v>
      </c>
      <c r="Y205" s="119" t="s">
        <v>231</v>
      </c>
      <c r="Z205" s="120" t="s">
        <v>4273</v>
      </c>
      <c r="AA205" s="121" t="s">
        <v>4274</v>
      </c>
      <c r="AB205" s="122" t="s">
        <v>284</v>
      </c>
      <c r="AC205" s="123">
        <v>50</v>
      </c>
      <c r="AD205" s="124">
        <v>0.93</v>
      </c>
      <c r="AE205" s="200">
        <f>ROUND(AD205*AC205,2)</f>
        <v>46.5</v>
      </c>
      <c r="AF205" s="956"/>
      <c r="AR205" s="129" t="s">
        <v>235</v>
      </c>
      <c r="AT205" s="129" t="s">
        <v>231</v>
      </c>
      <c r="AU205" s="129" t="s">
        <v>76</v>
      </c>
      <c r="AY205" s="13" t="s">
        <v>228</v>
      </c>
      <c r="BE205" s="130">
        <f>IF(N205="základná",J205,0)</f>
        <v>0</v>
      </c>
      <c r="BF205" s="130">
        <f>IF(N205="znížená",J205,0)</f>
        <v>46.5</v>
      </c>
      <c r="BG205" s="130">
        <f>IF(N205="zákl. prenesená",J205,0)</f>
        <v>0</v>
      </c>
      <c r="BH205" s="130">
        <f>IF(N205="zníž. prenesená",J205,0)</f>
        <v>0</v>
      </c>
      <c r="BI205" s="130">
        <f>IF(N205="nulová",J205,0)</f>
        <v>0</v>
      </c>
      <c r="BJ205" s="13" t="s">
        <v>76</v>
      </c>
      <c r="BK205" s="130">
        <f>ROUND(I205*H205,2)</f>
        <v>46.5</v>
      </c>
      <c r="BL205" s="13" t="s">
        <v>235</v>
      </c>
      <c r="BM205" s="129" t="s">
        <v>404</v>
      </c>
    </row>
    <row r="206" spans="2:65" s="11" customFormat="1" ht="22.95" customHeight="1" x14ac:dyDescent="0.25">
      <c r="B206" s="106"/>
      <c r="D206" s="107" t="s">
        <v>57</v>
      </c>
      <c r="E206" s="116" t="s">
        <v>405</v>
      </c>
      <c r="F206" s="116" t="s">
        <v>406</v>
      </c>
      <c r="J206" s="117">
        <f>BK206</f>
        <v>727.2</v>
      </c>
      <c r="L206" s="106"/>
      <c r="M206" s="110"/>
      <c r="N206" s="111"/>
      <c r="O206" s="111"/>
      <c r="P206" s="112">
        <f>P207</f>
        <v>135.40932000000001</v>
      </c>
      <c r="Q206" s="111"/>
      <c r="R206" s="112">
        <f>R207</f>
        <v>0.85675650000000003</v>
      </c>
      <c r="S206" s="111"/>
      <c r="T206" s="113">
        <f>T207</f>
        <v>0</v>
      </c>
      <c r="W206" s="195"/>
      <c r="X206" s="111"/>
      <c r="Y206" s="196" t="s">
        <v>57</v>
      </c>
      <c r="Z206" s="201" t="s">
        <v>405</v>
      </c>
      <c r="AA206" s="201" t="s">
        <v>406</v>
      </c>
      <c r="AB206" s="111"/>
      <c r="AC206" s="111"/>
      <c r="AD206" s="111"/>
      <c r="AE206" s="202">
        <f>SUM(AE207:AE208)</f>
        <v>970.06999999999994</v>
      </c>
      <c r="AF206" s="956"/>
      <c r="AR206" s="107" t="s">
        <v>63</v>
      </c>
      <c r="AT206" s="114" t="s">
        <v>57</v>
      </c>
      <c r="AU206" s="114" t="s">
        <v>63</v>
      </c>
      <c r="AY206" s="107" t="s">
        <v>228</v>
      </c>
      <c r="BK206" s="115">
        <f>BK207</f>
        <v>727.2</v>
      </c>
    </row>
    <row r="207" spans="2:65" s="1" customFormat="1" ht="24" customHeight="1" x14ac:dyDescent="0.2">
      <c r="B207" s="118"/>
      <c r="C207" s="1070" t="s">
        <v>407</v>
      </c>
      <c r="D207" s="119" t="s">
        <v>231</v>
      </c>
      <c r="E207" s="120" t="s">
        <v>408</v>
      </c>
      <c r="F207" s="121" t="s">
        <v>409</v>
      </c>
      <c r="G207" s="122" t="s">
        <v>284</v>
      </c>
      <c r="H207" s="1071">
        <v>417.93</v>
      </c>
      <c r="I207" s="124">
        <v>1.74</v>
      </c>
      <c r="J207" s="124">
        <f>ROUND(I207*H207,2)</f>
        <v>727.2</v>
      </c>
      <c r="K207" s="121" t="s">
        <v>1</v>
      </c>
      <c r="L207" s="24"/>
      <c r="M207" s="125" t="s">
        <v>1</v>
      </c>
      <c r="N207" s="126" t="s">
        <v>32</v>
      </c>
      <c r="O207" s="127">
        <v>0.32400000000000001</v>
      </c>
      <c r="P207" s="127">
        <f>O207*H207</f>
        <v>135.40932000000001</v>
      </c>
      <c r="Q207" s="127">
        <v>2.0500000000000002E-3</v>
      </c>
      <c r="R207" s="127">
        <f>Q207*H207</f>
        <v>0.85675650000000003</v>
      </c>
      <c r="S207" s="127">
        <v>0</v>
      </c>
      <c r="T207" s="128">
        <f>S207*H207</f>
        <v>0</v>
      </c>
      <c r="W207" s="199"/>
      <c r="X207" s="991" t="s">
        <v>407</v>
      </c>
      <c r="Y207" s="119" t="s">
        <v>231</v>
      </c>
      <c r="Z207" s="120" t="s">
        <v>408</v>
      </c>
      <c r="AA207" s="121" t="s">
        <v>409</v>
      </c>
      <c r="AB207" s="122" t="s">
        <v>284</v>
      </c>
      <c r="AC207" s="992">
        <f>417.93+12.91</f>
        <v>430.84000000000003</v>
      </c>
      <c r="AD207" s="124">
        <v>1.74</v>
      </c>
      <c r="AE207" s="200">
        <f>ROUND(AD207*AC207,2)</f>
        <v>749.66</v>
      </c>
      <c r="AF207" s="956" t="s">
        <v>5478</v>
      </c>
      <c r="AR207" s="129" t="s">
        <v>235</v>
      </c>
      <c r="AT207" s="129" t="s">
        <v>231</v>
      </c>
      <c r="AU207" s="129" t="s">
        <v>76</v>
      </c>
      <c r="AY207" s="13" t="s">
        <v>228</v>
      </c>
      <c r="BE207" s="130">
        <f>IF(N207="základná",J207,0)</f>
        <v>0</v>
      </c>
      <c r="BF207" s="130">
        <f>IF(N207="znížená",J207,0)</f>
        <v>727.2</v>
      </c>
      <c r="BG207" s="130">
        <f>IF(N207="zákl. prenesená",J207,0)</f>
        <v>0</v>
      </c>
      <c r="BH207" s="130">
        <f>IF(N207="zníž. prenesená",J207,0)</f>
        <v>0</v>
      </c>
      <c r="BI207" s="130">
        <f>IF(N207="nulová",J207,0)</f>
        <v>0</v>
      </c>
      <c r="BJ207" s="13" t="s">
        <v>76</v>
      </c>
      <c r="BK207" s="130">
        <f>ROUND(I207*H207,2)</f>
        <v>727.2</v>
      </c>
      <c r="BL207" s="13" t="s">
        <v>235</v>
      </c>
      <c r="BM207" s="129" t="s">
        <v>410</v>
      </c>
    </row>
    <row r="208" spans="2:65" s="980" customFormat="1" ht="39" customHeight="1" x14ac:dyDescent="0.2">
      <c r="B208" s="983"/>
      <c r="C208" s="1234" t="s">
        <v>5205</v>
      </c>
      <c r="D208" s="1235"/>
      <c r="E208" s="1235"/>
      <c r="F208" s="1235"/>
      <c r="G208" s="1235"/>
      <c r="H208" s="1235"/>
      <c r="I208" s="1235"/>
      <c r="J208" s="1236"/>
      <c r="K208" s="1000"/>
      <c r="L208" s="982"/>
      <c r="M208" s="984"/>
      <c r="N208" s="985"/>
      <c r="O208" s="986"/>
      <c r="P208" s="986"/>
      <c r="Q208" s="986"/>
      <c r="R208" s="986"/>
      <c r="S208" s="986"/>
      <c r="T208" s="987"/>
      <c r="W208" s="990"/>
      <c r="X208" s="1001" t="s">
        <v>6331</v>
      </c>
      <c r="Y208" s="1001" t="s">
        <v>231</v>
      </c>
      <c r="Z208" s="1002" t="s">
        <v>6608</v>
      </c>
      <c r="AA208" s="1003" t="s">
        <v>6609</v>
      </c>
      <c r="AB208" s="1004" t="s">
        <v>1194</v>
      </c>
      <c r="AC208" s="1005">
        <v>31</v>
      </c>
      <c r="AD208" s="1006">
        <v>7.11</v>
      </c>
      <c r="AE208" s="1007">
        <f>ROUND(AD208*AC208,2)</f>
        <v>220.41</v>
      </c>
      <c r="AF208" s="956" t="s">
        <v>5478</v>
      </c>
      <c r="AR208" s="988"/>
      <c r="AT208" s="988"/>
      <c r="AU208" s="988"/>
      <c r="AY208" s="981"/>
      <c r="BE208" s="989"/>
      <c r="BF208" s="989"/>
      <c r="BG208" s="989"/>
      <c r="BH208" s="989"/>
      <c r="BI208" s="989"/>
      <c r="BJ208" s="981"/>
      <c r="BK208" s="989"/>
      <c r="BL208" s="981"/>
      <c r="BM208" s="988"/>
    </row>
    <row r="209" spans="2:65" s="11" customFormat="1" ht="22.95" customHeight="1" x14ac:dyDescent="0.25">
      <c r="B209" s="106"/>
      <c r="D209" s="107" t="s">
        <v>57</v>
      </c>
      <c r="E209" s="116" t="s">
        <v>404</v>
      </c>
      <c r="F209" s="116" t="s">
        <v>411</v>
      </c>
      <c r="J209" s="117">
        <f>BK209</f>
        <v>1698.1299999999999</v>
      </c>
      <c r="L209" s="106"/>
      <c r="M209" s="110"/>
      <c r="N209" s="111"/>
      <c r="O209" s="111"/>
      <c r="P209" s="112">
        <f>SUM(P210:P224)</f>
        <v>102.179468</v>
      </c>
      <c r="Q209" s="111"/>
      <c r="R209" s="112">
        <f>SUM(R210:R224)</f>
        <v>0</v>
      </c>
      <c r="S209" s="111"/>
      <c r="T209" s="113">
        <f>SUM(T210:T224)</f>
        <v>18.108330000000002</v>
      </c>
      <c r="W209" s="195"/>
      <c r="X209" s="111"/>
      <c r="Y209" s="196" t="s">
        <v>57</v>
      </c>
      <c r="Z209" s="201" t="s">
        <v>404</v>
      </c>
      <c r="AA209" s="201" t="s">
        <v>411</v>
      </c>
      <c r="AB209" s="111"/>
      <c r="AC209" s="111"/>
      <c r="AD209" s="111"/>
      <c r="AE209" s="202">
        <f>SUM(AE210:AE224)</f>
        <v>2264.81</v>
      </c>
      <c r="AF209" s="956"/>
      <c r="AR209" s="107" t="s">
        <v>63</v>
      </c>
      <c r="AT209" s="114" t="s">
        <v>57</v>
      </c>
      <c r="AU209" s="114" t="s">
        <v>63</v>
      </c>
      <c r="AY209" s="107" t="s">
        <v>228</v>
      </c>
      <c r="BK209" s="115">
        <f>SUM(BK210:BK224)</f>
        <v>1698.1299999999999</v>
      </c>
    </row>
    <row r="210" spans="2:65" s="1" customFormat="1" ht="24" customHeight="1" x14ac:dyDescent="0.2">
      <c r="B210" s="118"/>
      <c r="C210" s="205" t="s">
        <v>323</v>
      </c>
      <c r="D210" s="119" t="s">
        <v>231</v>
      </c>
      <c r="E210" s="120" t="s">
        <v>412</v>
      </c>
      <c r="F210" s="121" t="s">
        <v>413</v>
      </c>
      <c r="G210" s="122" t="s">
        <v>284</v>
      </c>
      <c r="H210" s="206">
        <v>69.587000000000003</v>
      </c>
      <c r="I210" s="124">
        <v>2.21</v>
      </c>
      <c r="J210" s="124">
        <f>ROUND(I210*H210,2)</f>
        <v>153.79</v>
      </c>
      <c r="K210" s="121" t="s">
        <v>1</v>
      </c>
      <c r="L210" s="24"/>
      <c r="M210" s="125" t="s">
        <v>1</v>
      </c>
      <c r="N210" s="126" t="s">
        <v>32</v>
      </c>
      <c r="O210" s="127">
        <v>0.16400000000000001</v>
      </c>
      <c r="P210" s="127">
        <f>O210*H210</f>
        <v>11.412268000000001</v>
      </c>
      <c r="Q210" s="127">
        <v>0</v>
      </c>
      <c r="R210" s="127">
        <f>Q210*H210</f>
        <v>0</v>
      </c>
      <c r="S210" s="127">
        <v>0.19600000000000001</v>
      </c>
      <c r="T210" s="128">
        <f>S210*H210</f>
        <v>13.639052000000001</v>
      </c>
      <c r="W210" s="199"/>
      <c r="X210" s="205" t="s">
        <v>323</v>
      </c>
      <c r="Y210" s="119" t="s">
        <v>231</v>
      </c>
      <c r="Z210" s="120" t="s">
        <v>412</v>
      </c>
      <c r="AA210" s="121" t="s">
        <v>413</v>
      </c>
      <c r="AB210" s="122" t="s">
        <v>284</v>
      </c>
      <c r="AC210" s="206">
        <f>69.587+8+4</f>
        <v>81.587000000000003</v>
      </c>
      <c r="AD210" s="124">
        <v>2.21</v>
      </c>
      <c r="AE210" s="200">
        <f>ROUND(AD210*AC210,2)</f>
        <v>180.31</v>
      </c>
      <c r="AF210" s="956" t="s">
        <v>6623</v>
      </c>
      <c r="AR210" s="129" t="s">
        <v>235</v>
      </c>
      <c r="AT210" s="129" t="s">
        <v>231</v>
      </c>
      <c r="AU210" s="129" t="s">
        <v>76</v>
      </c>
      <c r="AY210" s="13" t="s">
        <v>228</v>
      </c>
      <c r="BE210" s="130">
        <f>IF(N210="základná",J210,0)</f>
        <v>0</v>
      </c>
      <c r="BF210" s="130">
        <f>IF(N210="znížená",J210,0)</f>
        <v>153.79</v>
      </c>
      <c r="BG210" s="130">
        <f>IF(N210="zákl. prenesená",J210,0)</f>
        <v>0</v>
      </c>
      <c r="BH210" s="130">
        <f>IF(N210="zníž. prenesená",J210,0)</f>
        <v>0</v>
      </c>
      <c r="BI210" s="130">
        <f>IF(N210="nulová",J210,0)</f>
        <v>0</v>
      </c>
      <c r="BJ210" s="13" t="s">
        <v>76</v>
      </c>
      <c r="BK210" s="130">
        <f>ROUND(I210*H210,2)</f>
        <v>153.79</v>
      </c>
      <c r="BL210" s="13" t="s">
        <v>235</v>
      </c>
      <c r="BM210" s="129" t="s">
        <v>414</v>
      </c>
    </row>
    <row r="211" spans="2:65" s="1" customFormat="1" ht="24" customHeight="1" x14ac:dyDescent="0.2">
      <c r="B211" s="118"/>
      <c r="C211" s="1070" t="s">
        <v>415</v>
      </c>
      <c r="D211" s="119" t="s">
        <v>231</v>
      </c>
      <c r="E211" s="120" t="s">
        <v>416</v>
      </c>
      <c r="F211" s="121" t="s">
        <v>417</v>
      </c>
      <c r="G211" s="122" t="s">
        <v>284</v>
      </c>
      <c r="H211" s="1071">
        <v>259.58100000000002</v>
      </c>
      <c r="I211" s="124">
        <v>2.21</v>
      </c>
      <c r="J211" s="124">
        <f>ROUND(I211*H211,2)</f>
        <v>573.66999999999996</v>
      </c>
      <c r="K211" s="121" t="s">
        <v>1</v>
      </c>
      <c r="L211" s="24"/>
      <c r="M211" s="125" t="s">
        <v>1</v>
      </c>
      <c r="N211" s="126" t="s">
        <v>32</v>
      </c>
      <c r="O211" s="127">
        <v>0</v>
      </c>
      <c r="P211" s="127">
        <f>O211*H211</f>
        <v>0</v>
      </c>
      <c r="Q211" s="127">
        <v>0</v>
      </c>
      <c r="R211" s="127">
        <f>Q211*H211</f>
        <v>0</v>
      </c>
      <c r="S211" s="127">
        <v>0</v>
      </c>
      <c r="T211" s="128">
        <f>S211*H211</f>
        <v>0</v>
      </c>
      <c r="W211" s="199"/>
      <c r="X211" s="811" t="s">
        <v>415</v>
      </c>
      <c r="Y211" s="119" t="s">
        <v>231</v>
      </c>
      <c r="Z211" s="120" t="s">
        <v>416</v>
      </c>
      <c r="AA211" s="121" t="s">
        <v>417</v>
      </c>
      <c r="AB211" s="122" t="s">
        <v>284</v>
      </c>
      <c r="AC211" s="812">
        <f>259.581+39.568+10.135+6</f>
        <v>315.28399999999999</v>
      </c>
      <c r="AD211" s="124">
        <v>2.21</v>
      </c>
      <c r="AE211" s="200">
        <f>ROUND(AD211*AC211,2)</f>
        <v>696.78</v>
      </c>
      <c r="AF211" s="956" t="s">
        <v>6621</v>
      </c>
      <c r="AR211" s="129" t="s">
        <v>235</v>
      </c>
      <c r="AT211" s="129" t="s">
        <v>231</v>
      </c>
      <c r="AU211" s="129" t="s">
        <v>76</v>
      </c>
      <c r="AY211" s="13" t="s">
        <v>228</v>
      </c>
      <c r="BE211" s="130">
        <f>IF(N211="základná",J211,0)</f>
        <v>0</v>
      </c>
      <c r="BF211" s="130">
        <f>IF(N211="znížená",J211,0)</f>
        <v>573.66999999999996</v>
      </c>
      <c r="BG211" s="130">
        <f>IF(N211="zákl. prenesená",J211,0)</f>
        <v>0</v>
      </c>
      <c r="BH211" s="130">
        <f>IF(N211="zníž. prenesená",J211,0)</f>
        <v>0</v>
      </c>
      <c r="BI211" s="130">
        <f>IF(N211="nulová",J211,0)</f>
        <v>0</v>
      </c>
      <c r="BJ211" s="13" t="s">
        <v>76</v>
      </c>
      <c r="BK211" s="130">
        <f>ROUND(I211*H211,2)</f>
        <v>573.66999999999996</v>
      </c>
      <c r="BL211" s="13" t="s">
        <v>235</v>
      </c>
      <c r="BM211" s="129" t="s">
        <v>418</v>
      </c>
    </row>
    <row r="212" spans="2:65" s="1" customFormat="1" ht="24" customHeight="1" x14ac:dyDescent="0.2">
      <c r="B212" s="118"/>
      <c r="C212" s="119" t="s">
        <v>326</v>
      </c>
      <c r="D212" s="119" t="s">
        <v>231</v>
      </c>
      <c r="E212" s="120" t="s">
        <v>4275</v>
      </c>
      <c r="F212" s="121" t="s">
        <v>4276</v>
      </c>
      <c r="G212" s="122" t="s">
        <v>234</v>
      </c>
      <c r="H212" s="123">
        <v>3.234</v>
      </c>
      <c r="I212" s="124">
        <v>17.420000000000002</v>
      </c>
      <c r="J212" s="124">
        <f>ROUND(I212*H212,2)</f>
        <v>56.34</v>
      </c>
      <c r="K212" s="121" t="s">
        <v>1</v>
      </c>
      <c r="L212" s="24"/>
      <c r="M212" s="125" t="s">
        <v>1</v>
      </c>
      <c r="N212" s="126" t="s">
        <v>32</v>
      </c>
      <c r="O212" s="127">
        <v>0</v>
      </c>
      <c r="P212" s="127">
        <f>O212*H212</f>
        <v>0</v>
      </c>
      <c r="Q212" s="127">
        <v>0</v>
      </c>
      <c r="R212" s="127">
        <f>Q212*H212</f>
        <v>0</v>
      </c>
      <c r="S212" s="127">
        <v>0</v>
      </c>
      <c r="T212" s="128">
        <f>S212*H212</f>
        <v>0</v>
      </c>
      <c r="W212" s="199"/>
      <c r="X212" s="119" t="s">
        <v>326</v>
      </c>
      <c r="Y212" s="119" t="s">
        <v>231</v>
      </c>
      <c r="Z212" s="120" t="s">
        <v>4275</v>
      </c>
      <c r="AA212" s="121" t="s">
        <v>4276</v>
      </c>
      <c r="AB212" s="122" t="s">
        <v>234</v>
      </c>
      <c r="AC212" s="123">
        <v>3.234</v>
      </c>
      <c r="AD212" s="124">
        <v>17.420000000000002</v>
      </c>
      <c r="AE212" s="200">
        <f>ROUND(AD212*AC212,2)</f>
        <v>56.34</v>
      </c>
      <c r="AF212" s="956"/>
      <c r="AR212" s="129" t="s">
        <v>235</v>
      </c>
      <c r="AT212" s="129" t="s">
        <v>231</v>
      </c>
      <c r="AU212" s="129" t="s">
        <v>76</v>
      </c>
      <c r="AY212" s="13" t="s">
        <v>228</v>
      </c>
      <c r="BE212" s="130">
        <f>IF(N212="základná",J212,0)</f>
        <v>0</v>
      </c>
      <c r="BF212" s="130">
        <f>IF(N212="znížená",J212,0)</f>
        <v>56.34</v>
      </c>
      <c r="BG212" s="130">
        <f>IF(N212="zákl. prenesená",J212,0)</f>
        <v>0</v>
      </c>
      <c r="BH212" s="130">
        <f>IF(N212="zníž. prenesená",J212,0)</f>
        <v>0</v>
      </c>
      <c r="BI212" s="130">
        <f>IF(N212="nulová",J212,0)</f>
        <v>0</v>
      </c>
      <c r="BJ212" s="13" t="s">
        <v>76</v>
      </c>
      <c r="BK212" s="130">
        <f>ROUND(I212*H212,2)</f>
        <v>56.34</v>
      </c>
      <c r="BL212" s="13" t="s">
        <v>235</v>
      </c>
      <c r="BM212" s="129" t="s">
        <v>421</v>
      </c>
    </row>
    <row r="213" spans="2:65" s="1" customFormat="1" ht="19.2" x14ac:dyDescent="0.2">
      <c r="B213" s="24"/>
      <c r="D213" s="144" t="s">
        <v>1259</v>
      </c>
      <c r="F213" s="145" t="s">
        <v>4277</v>
      </c>
      <c r="L213" s="24"/>
      <c r="M213" s="146"/>
      <c r="N213" s="42"/>
      <c r="O213" s="42"/>
      <c r="P213" s="42"/>
      <c r="Q213" s="42"/>
      <c r="R213" s="42"/>
      <c r="S213" s="42"/>
      <c r="T213" s="43"/>
      <c r="W213" s="158"/>
      <c r="X213" s="636"/>
      <c r="Y213" s="203" t="s">
        <v>1259</v>
      </c>
      <c r="Z213" s="636"/>
      <c r="AA213" s="204" t="s">
        <v>4277</v>
      </c>
      <c r="AB213" s="636"/>
      <c r="AC213" s="636"/>
      <c r="AD213" s="636"/>
      <c r="AE213" s="159"/>
      <c r="AF213" s="956"/>
      <c r="AT213" s="13" t="s">
        <v>1259</v>
      </c>
      <c r="AU213" s="13" t="s">
        <v>76</v>
      </c>
    </row>
    <row r="214" spans="2:65" s="1" customFormat="1" ht="24" customHeight="1" x14ac:dyDescent="0.2">
      <c r="B214" s="118"/>
      <c r="C214" s="119" t="s">
        <v>422</v>
      </c>
      <c r="D214" s="119" t="s">
        <v>231</v>
      </c>
      <c r="E214" s="120" t="s">
        <v>4278</v>
      </c>
      <c r="F214" s="121" t="s">
        <v>4279</v>
      </c>
      <c r="G214" s="122" t="s">
        <v>234</v>
      </c>
      <c r="H214" s="123">
        <v>15.417999999999999</v>
      </c>
      <c r="I214" s="124">
        <v>34.83</v>
      </c>
      <c r="J214" s="124">
        <f>ROUND(I214*H214,2)</f>
        <v>537.01</v>
      </c>
      <c r="K214" s="121" t="s">
        <v>1</v>
      </c>
      <c r="L214" s="24"/>
      <c r="M214" s="125" t="s">
        <v>1</v>
      </c>
      <c r="N214" s="126" t="s">
        <v>32</v>
      </c>
      <c r="O214" s="127">
        <v>0</v>
      </c>
      <c r="P214" s="127">
        <f>O214*H214</f>
        <v>0</v>
      </c>
      <c r="Q214" s="127">
        <v>0</v>
      </c>
      <c r="R214" s="127">
        <f>Q214*H214</f>
        <v>0</v>
      </c>
      <c r="S214" s="127">
        <v>0</v>
      </c>
      <c r="T214" s="128">
        <f>S214*H214</f>
        <v>0</v>
      </c>
      <c r="W214" s="199"/>
      <c r="X214" s="119" t="s">
        <v>422</v>
      </c>
      <c r="Y214" s="119" t="s">
        <v>231</v>
      </c>
      <c r="Z214" s="120" t="s">
        <v>4278</v>
      </c>
      <c r="AA214" s="121" t="s">
        <v>4279</v>
      </c>
      <c r="AB214" s="122" t="s">
        <v>234</v>
      </c>
      <c r="AC214" s="123">
        <v>15.417999999999999</v>
      </c>
      <c r="AD214" s="124">
        <v>34.83</v>
      </c>
      <c r="AE214" s="200">
        <f>ROUND(AD214*AC214,2)</f>
        <v>537.01</v>
      </c>
      <c r="AF214" s="956"/>
      <c r="AR214" s="129" t="s">
        <v>235</v>
      </c>
      <c r="AT214" s="129" t="s">
        <v>231</v>
      </c>
      <c r="AU214" s="129" t="s">
        <v>76</v>
      </c>
      <c r="AY214" s="13" t="s">
        <v>228</v>
      </c>
      <c r="BE214" s="130">
        <f>IF(N214="základná",J214,0)</f>
        <v>0</v>
      </c>
      <c r="BF214" s="130">
        <f>IF(N214="znížená",J214,0)</f>
        <v>537.01</v>
      </c>
      <c r="BG214" s="130">
        <f>IF(N214="zákl. prenesená",J214,0)</f>
        <v>0</v>
      </c>
      <c r="BH214" s="130">
        <f>IF(N214="zníž. prenesená",J214,0)</f>
        <v>0</v>
      </c>
      <c r="BI214" s="130">
        <f>IF(N214="nulová",J214,0)</f>
        <v>0</v>
      </c>
      <c r="BJ214" s="13" t="s">
        <v>76</v>
      </c>
      <c r="BK214" s="130">
        <f>ROUND(I214*H214,2)</f>
        <v>537.01</v>
      </c>
      <c r="BL214" s="13" t="s">
        <v>235</v>
      </c>
      <c r="BM214" s="129" t="s">
        <v>425</v>
      </c>
    </row>
    <row r="215" spans="2:65" s="761" customFormat="1" ht="35.25" customHeight="1" x14ac:dyDescent="0.2">
      <c r="B215" s="764"/>
      <c r="C215" s="1234" t="s">
        <v>5205</v>
      </c>
      <c r="D215" s="1235"/>
      <c r="E215" s="1235"/>
      <c r="F215" s="1235"/>
      <c r="G215" s="1235"/>
      <c r="H215" s="1235"/>
      <c r="I215" s="1235"/>
      <c r="J215" s="1236"/>
      <c r="K215" s="779"/>
      <c r="L215" s="763"/>
      <c r="M215" s="765"/>
      <c r="N215" s="766"/>
      <c r="O215" s="767"/>
      <c r="P215" s="767"/>
      <c r="Q215" s="767"/>
      <c r="R215" s="767"/>
      <c r="S215" s="767"/>
      <c r="T215" s="768"/>
      <c r="W215" s="771"/>
      <c r="X215" s="792" t="s">
        <v>6573</v>
      </c>
      <c r="Y215" s="792" t="s">
        <v>231</v>
      </c>
      <c r="Z215" s="793" t="s">
        <v>6574</v>
      </c>
      <c r="AA215" s="794" t="s">
        <v>6575</v>
      </c>
      <c r="AB215" s="795" t="s">
        <v>284</v>
      </c>
      <c r="AC215" s="796">
        <v>2.1360000000000001</v>
      </c>
      <c r="AD215" s="797">
        <v>3.21</v>
      </c>
      <c r="AE215" s="798">
        <f>ROUND(AD215*AC215,2)</f>
        <v>6.86</v>
      </c>
      <c r="AF215" s="956" t="s">
        <v>5477</v>
      </c>
      <c r="AR215" s="769"/>
      <c r="AT215" s="769"/>
      <c r="AU215" s="769"/>
      <c r="AY215" s="762"/>
      <c r="BE215" s="770"/>
      <c r="BF215" s="770"/>
      <c r="BG215" s="770"/>
      <c r="BH215" s="770"/>
      <c r="BI215" s="770"/>
      <c r="BJ215" s="762"/>
      <c r="BK215" s="770"/>
      <c r="BL215" s="762"/>
      <c r="BM215" s="769"/>
    </row>
    <row r="216" spans="2:65" s="1" customFormat="1" ht="24" customHeight="1" x14ac:dyDescent="0.2">
      <c r="B216" s="118"/>
      <c r="C216" s="119" t="s">
        <v>330</v>
      </c>
      <c r="D216" s="119" t="s">
        <v>231</v>
      </c>
      <c r="E216" s="120" t="s">
        <v>4280</v>
      </c>
      <c r="F216" s="121" t="s">
        <v>4281</v>
      </c>
      <c r="G216" s="122" t="s">
        <v>284</v>
      </c>
      <c r="H216" s="123">
        <v>2.7130000000000001</v>
      </c>
      <c r="I216" s="124">
        <v>11.61</v>
      </c>
      <c r="J216" s="124">
        <f>ROUND(I216*H216,2)</f>
        <v>31.5</v>
      </c>
      <c r="K216" s="121" t="s">
        <v>1</v>
      </c>
      <c r="L216" s="24"/>
      <c r="M216" s="125" t="s">
        <v>1</v>
      </c>
      <c r="N216" s="126" t="s">
        <v>32</v>
      </c>
      <c r="O216" s="127">
        <v>0</v>
      </c>
      <c r="P216" s="127">
        <f>O216*H216</f>
        <v>0</v>
      </c>
      <c r="Q216" s="127">
        <v>0</v>
      </c>
      <c r="R216" s="127">
        <f>Q216*H216</f>
        <v>0</v>
      </c>
      <c r="S216" s="127">
        <v>0</v>
      </c>
      <c r="T216" s="128">
        <f>S216*H216</f>
        <v>0</v>
      </c>
      <c r="W216" s="199"/>
      <c r="X216" s="119" t="s">
        <v>330</v>
      </c>
      <c r="Y216" s="119" t="s">
        <v>231</v>
      </c>
      <c r="Z216" s="120" t="s">
        <v>4280</v>
      </c>
      <c r="AA216" s="121" t="s">
        <v>4281</v>
      </c>
      <c r="AB216" s="122" t="s">
        <v>284</v>
      </c>
      <c r="AC216" s="123">
        <v>2.7130000000000001</v>
      </c>
      <c r="AD216" s="124">
        <v>11.61</v>
      </c>
      <c r="AE216" s="200">
        <f>ROUND(AD216*AC216,2)</f>
        <v>31.5</v>
      </c>
      <c r="AF216" s="956"/>
      <c r="AR216" s="129" t="s">
        <v>235</v>
      </c>
      <c r="AT216" s="129" t="s">
        <v>231</v>
      </c>
      <c r="AU216" s="129" t="s">
        <v>76</v>
      </c>
      <c r="AY216" s="13" t="s">
        <v>228</v>
      </c>
      <c r="BE216" s="130">
        <f>IF(N216="základná",J216,0)</f>
        <v>0</v>
      </c>
      <c r="BF216" s="130">
        <f>IF(N216="znížená",J216,0)</f>
        <v>31.5</v>
      </c>
      <c r="BG216" s="130">
        <f>IF(N216="zákl. prenesená",J216,0)</f>
        <v>0</v>
      </c>
      <c r="BH216" s="130">
        <f>IF(N216="zníž. prenesená",J216,0)</f>
        <v>0</v>
      </c>
      <c r="BI216" s="130">
        <f>IF(N216="nulová",J216,0)</f>
        <v>0</v>
      </c>
      <c r="BJ216" s="13" t="s">
        <v>76</v>
      </c>
      <c r="BK216" s="130">
        <f>ROUND(I216*H216,2)</f>
        <v>31.5</v>
      </c>
      <c r="BL216" s="13" t="s">
        <v>235</v>
      </c>
      <c r="BM216" s="129" t="s">
        <v>428</v>
      </c>
    </row>
    <row r="217" spans="2:65" s="1" customFormat="1" ht="34.5" customHeight="1" x14ac:dyDescent="0.2">
      <c r="B217" s="24"/>
      <c r="C217" s="1234" t="s">
        <v>5205</v>
      </c>
      <c r="D217" s="1235"/>
      <c r="E217" s="1235"/>
      <c r="F217" s="1235"/>
      <c r="G217" s="1235"/>
      <c r="H217" s="1235"/>
      <c r="I217" s="1235"/>
      <c r="J217" s="1236"/>
      <c r="L217" s="24"/>
      <c r="M217" s="146"/>
      <c r="N217" s="42"/>
      <c r="O217" s="42"/>
      <c r="P217" s="42"/>
      <c r="Q217" s="42"/>
      <c r="R217" s="42"/>
      <c r="S217" s="42"/>
      <c r="T217" s="43"/>
      <c r="W217" s="158"/>
      <c r="X217" s="1010" t="s">
        <v>5251</v>
      </c>
      <c r="Y217" s="1010" t="s">
        <v>231</v>
      </c>
      <c r="Z217" s="1011" t="s">
        <v>6610</v>
      </c>
      <c r="AA217" s="1012" t="s">
        <v>6611</v>
      </c>
      <c r="AB217" s="1013" t="s">
        <v>284</v>
      </c>
      <c r="AC217" s="1014">
        <v>6.2</v>
      </c>
      <c r="AD217" s="1015">
        <v>22.94</v>
      </c>
      <c r="AE217" s="1017">
        <f>ROUND(AD217*AC217,2)</f>
        <v>142.22999999999999</v>
      </c>
      <c r="AF217" s="956" t="s">
        <v>5478</v>
      </c>
      <c r="AT217" s="13" t="s">
        <v>1259</v>
      </c>
      <c r="AU217" s="13" t="s">
        <v>76</v>
      </c>
    </row>
    <row r="218" spans="2:65" s="1" customFormat="1" ht="24" customHeight="1" x14ac:dyDescent="0.2">
      <c r="B218" s="118"/>
      <c r="C218" s="1070" t="s">
        <v>429</v>
      </c>
      <c r="D218" s="119" t="s">
        <v>231</v>
      </c>
      <c r="E218" s="120" t="s">
        <v>4282</v>
      </c>
      <c r="F218" s="121" t="s">
        <v>4283</v>
      </c>
      <c r="G218" s="122" t="s">
        <v>284</v>
      </c>
      <c r="H218" s="1071">
        <v>0.86299999999999999</v>
      </c>
      <c r="I218" s="124">
        <v>9.17</v>
      </c>
      <c r="J218" s="124">
        <f>ROUND(I218*H218,2)</f>
        <v>7.91</v>
      </c>
      <c r="K218" s="121" t="s">
        <v>1</v>
      </c>
      <c r="L218" s="24"/>
      <c r="M218" s="125" t="s">
        <v>1</v>
      </c>
      <c r="N218" s="126" t="s">
        <v>32</v>
      </c>
      <c r="O218" s="127">
        <v>0</v>
      </c>
      <c r="P218" s="127">
        <f>O218*H218</f>
        <v>0</v>
      </c>
      <c r="Q218" s="127">
        <v>0</v>
      </c>
      <c r="R218" s="127">
        <f>Q218*H218</f>
        <v>0</v>
      </c>
      <c r="S218" s="127">
        <v>0</v>
      </c>
      <c r="T218" s="128">
        <f>S218*H218</f>
        <v>0</v>
      </c>
      <c r="W218" s="199"/>
      <c r="X218" s="1008" t="s">
        <v>429</v>
      </c>
      <c r="Y218" s="119" t="s">
        <v>231</v>
      </c>
      <c r="Z218" s="120" t="s">
        <v>4282</v>
      </c>
      <c r="AA218" s="121" t="s">
        <v>4283</v>
      </c>
      <c r="AB218" s="122" t="s">
        <v>284</v>
      </c>
      <c r="AC218" s="1009">
        <f>0.863+0.061</f>
        <v>0.92399999999999993</v>
      </c>
      <c r="AD218" s="124">
        <v>9.17</v>
      </c>
      <c r="AE218" s="200">
        <f>ROUND(AD218*AC218,2)</f>
        <v>8.4700000000000006</v>
      </c>
      <c r="AF218" s="956" t="s">
        <v>5478</v>
      </c>
      <c r="AR218" s="129" t="s">
        <v>235</v>
      </c>
      <c r="AT218" s="129" t="s">
        <v>231</v>
      </c>
      <c r="AU218" s="129" t="s">
        <v>76</v>
      </c>
      <c r="AY218" s="13" t="s">
        <v>228</v>
      </c>
      <c r="BE218" s="130">
        <f>IF(N218="základná",J218,0)</f>
        <v>0</v>
      </c>
      <c r="BF218" s="130">
        <f>IF(N218="znížená",J218,0)</f>
        <v>7.91</v>
      </c>
      <c r="BG218" s="130">
        <f>IF(N218="zákl. prenesená",J218,0)</f>
        <v>0</v>
      </c>
      <c r="BH218" s="130">
        <f>IF(N218="zníž. prenesená",J218,0)</f>
        <v>0</v>
      </c>
      <c r="BI218" s="130">
        <f>IF(N218="nulová",J218,0)</f>
        <v>0</v>
      </c>
      <c r="BJ218" s="13" t="s">
        <v>76</v>
      </c>
      <c r="BK218" s="130">
        <f>ROUND(I218*H218,2)</f>
        <v>7.91</v>
      </c>
      <c r="BL218" s="13" t="s">
        <v>235</v>
      </c>
      <c r="BM218" s="129" t="s">
        <v>432</v>
      </c>
    </row>
    <row r="219" spans="2:65" s="1" customFormat="1" ht="19.2" x14ac:dyDescent="0.2">
      <c r="B219" s="24"/>
      <c r="D219" s="144" t="s">
        <v>1259</v>
      </c>
      <c r="F219" s="145" t="s">
        <v>4284</v>
      </c>
      <c r="L219" s="24"/>
      <c r="M219" s="146"/>
      <c r="N219" s="42"/>
      <c r="O219" s="42"/>
      <c r="P219" s="42"/>
      <c r="Q219" s="42"/>
      <c r="R219" s="42"/>
      <c r="S219" s="42"/>
      <c r="T219" s="43"/>
      <c r="W219" s="158"/>
      <c r="X219" s="636"/>
      <c r="Y219" s="203" t="s">
        <v>1259</v>
      </c>
      <c r="Z219" s="636"/>
      <c r="AA219" s="204" t="s">
        <v>4284</v>
      </c>
      <c r="AB219" s="636"/>
      <c r="AC219" s="636"/>
      <c r="AD219" s="636"/>
      <c r="AE219" s="159"/>
      <c r="AF219" s="956"/>
      <c r="AT219" s="13" t="s">
        <v>1259</v>
      </c>
      <c r="AU219" s="13" t="s">
        <v>76</v>
      </c>
    </row>
    <row r="220" spans="2:65" s="1" customFormat="1" ht="24" customHeight="1" x14ac:dyDescent="0.2">
      <c r="B220" s="118"/>
      <c r="C220" s="1070" t="s">
        <v>333</v>
      </c>
      <c r="D220" s="119" t="s">
        <v>231</v>
      </c>
      <c r="E220" s="120" t="s">
        <v>4285</v>
      </c>
      <c r="F220" s="121" t="s">
        <v>4286</v>
      </c>
      <c r="G220" s="122" t="s">
        <v>284</v>
      </c>
      <c r="H220" s="1071">
        <v>5.1749999999999998</v>
      </c>
      <c r="I220" s="124">
        <v>5.22</v>
      </c>
      <c r="J220" s="124">
        <f>ROUND(I220*H220,2)</f>
        <v>27.01</v>
      </c>
      <c r="K220" s="121" t="s">
        <v>1</v>
      </c>
      <c r="L220" s="24"/>
      <c r="M220" s="125" t="s">
        <v>1</v>
      </c>
      <c r="N220" s="126" t="s">
        <v>32</v>
      </c>
      <c r="O220" s="127">
        <v>0</v>
      </c>
      <c r="P220" s="127">
        <f>O220*H220</f>
        <v>0</v>
      </c>
      <c r="Q220" s="127">
        <v>0</v>
      </c>
      <c r="R220" s="127">
        <f>Q220*H220</f>
        <v>0</v>
      </c>
      <c r="S220" s="127">
        <v>0</v>
      </c>
      <c r="T220" s="128">
        <f>S220*H220</f>
        <v>0</v>
      </c>
      <c r="W220" s="199"/>
      <c r="X220" s="811" t="s">
        <v>333</v>
      </c>
      <c r="Y220" s="119" t="s">
        <v>231</v>
      </c>
      <c r="Z220" s="120" t="s">
        <v>4285</v>
      </c>
      <c r="AA220" s="121" t="s">
        <v>4286</v>
      </c>
      <c r="AB220" s="122" t="s">
        <v>284</v>
      </c>
      <c r="AC220" s="812">
        <f>5.175+20.37</f>
        <v>25.545000000000002</v>
      </c>
      <c r="AD220" s="124">
        <v>5.22</v>
      </c>
      <c r="AE220" s="200">
        <f>ROUND(AD220*AC220,2)</f>
        <v>133.34</v>
      </c>
      <c r="AF220" s="956" t="s">
        <v>5477</v>
      </c>
      <c r="AR220" s="129" t="s">
        <v>235</v>
      </c>
      <c r="AT220" s="129" t="s">
        <v>231</v>
      </c>
      <c r="AU220" s="129" t="s">
        <v>76</v>
      </c>
      <c r="AY220" s="13" t="s">
        <v>228</v>
      </c>
      <c r="BE220" s="130">
        <f>IF(N220="základná",J220,0)</f>
        <v>0</v>
      </c>
      <c r="BF220" s="130">
        <f>IF(N220="znížená",J220,0)</f>
        <v>27.01</v>
      </c>
      <c r="BG220" s="130">
        <f>IF(N220="zákl. prenesená",J220,0)</f>
        <v>0</v>
      </c>
      <c r="BH220" s="130">
        <f>IF(N220="zníž. prenesená",J220,0)</f>
        <v>0</v>
      </c>
      <c r="BI220" s="130">
        <f>IF(N220="nulová",J220,0)</f>
        <v>0</v>
      </c>
      <c r="BJ220" s="13" t="s">
        <v>76</v>
      </c>
      <c r="BK220" s="130">
        <f>ROUND(I220*H220,2)</f>
        <v>27.01</v>
      </c>
      <c r="BL220" s="13" t="s">
        <v>235</v>
      </c>
      <c r="BM220" s="129" t="s">
        <v>435</v>
      </c>
    </row>
    <row r="221" spans="2:65" s="1" customFormat="1" ht="19.2" x14ac:dyDescent="0.2">
      <c r="B221" s="24"/>
      <c r="D221" s="144" t="s">
        <v>1259</v>
      </c>
      <c r="F221" s="145" t="s">
        <v>4287</v>
      </c>
      <c r="L221" s="24"/>
      <c r="M221" s="146"/>
      <c r="N221" s="42"/>
      <c r="O221" s="42"/>
      <c r="P221" s="42"/>
      <c r="Q221" s="42"/>
      <c r="R221" s="42"/>
      <c r="S221" s="42"/>
      <c r="T221" s="43"/>
      <c r="W221" s="158"/>
      <c r="X221" s="636"/>
      <c r="Y221" s="203" t="s">
        <v>1259</v>
      </c>
      <c r="Z221" s="636"/>
      <c r="AA221" s="204" t="s">
        <v>4287</v>
      </c>
      <c r="AB221" s="636"/>
      <c r="AC221" s="636"/>
      <c r="AD221" s="636"/>
      <c r="AE221" s="159"/>
      <c r="AF221" s="956"/>
      <c r="AT221" s="13" t="s">
        <v>1259</v>
      </c>
      <c r="AU221" s="13" t="s">
        <v>76</v>
      </c>
    </row>
    <row r="222" spans="2:65" s="1" customFormat="1" ht="16.5" customHeight="1" x14ac:dyDescent="0.2">
      <c r="B222" s="118"/>
      <c r="C222" s="1070" t="s">
        <v>438</v>
      </c>
      <c r="D222" s="119" t="s">
        <v>231</v>
      </c>
      <c r="E222" s="120" t="s">
        <v>426</v>
      </c>
      <c r="F222" s="121" t="s">
        <v>427</v>
      </c>
      <c r="G222" s="122" t="s">
        <v>284</v>
      </c>
      <c r="H222" s="1071">
        <v>37</v>
      </c>
      <c r="I222" s="124">
        <v>5.22</v>
      </c>
      <c r="J222" s="124">
        <f>ROUND(I222*H222,2)</f>
        <v>193.14</v>
      </c>
      <c r="K222" s="121" t="s">
        <v>1</v>
      </c>
      <c r="L222" s="24"/>
      <c r="M222" s="125" t="s">
        <v>1</v>
      </c>
      <c r="N222" s="126" t="s">
        <v>32</v>
      </c>
      <c r="O222" s="127">
        <v>1.6</v>
      </c>
      <c r="P222" s="127">
        <f>O222*H222</f>
        <v>59.2</v>
      </c>
      <c r="Q222" s="127">
        <v>0</v>
      </c>
      <c r="R222" s="127">
        <f>Q222*H222</f>
        <v>0</v>
      </c>
      <c r="S222" s="127">
        <v>7.5999999999999998E-2</v>
      </c>
      <c r="T222" s="128">
        <f>S222*H222</f>
        <v>2.8119999999999998</v>
      </c>
      <c r="W222" s="199"/>
      <c r="X222" s="1008" t="s">
        <v>438</v>
      </c>
      <c r="Y222" s="119" t="s">
        <v>231</v>
      </c>
      <c r="Z222" s="120" t="s">
        <v>426</v>
      </c>
      <c r="AA222" s="121" t="s">
        <v>427</v>
      </c>
      <c r="AB222" s="122" t="s">
        <v>284</v>
      </c>
      <c r="AC222" s="1009">
        <f>37+2.4</f>
        <v>39.4</v>
      </c>
      <c r="AD222" s="124">
        <v>5.22</v>
      </c>
      <c r="AE222" s="200">
        <f>ROUND(AD222*AC222,2)</f>
        <v>205.67</v>
      </c>
      <c r="AF222" s="956" t="s">
        <v>5478</v>
      </c>
      <c r="AR222" s="129" t="s">
        <v>235</v>
      </c>
      <c r="AT222" s="129" t="s">
        <v>231</v>
      </c>
      <c r="AU222" s="129" t="s">
        <v>76</v>
      </c>
      <c r="AY222" s="13" t="s">
        <v>228</v>
      </c>
      <c r="BE222" s="130">
        <f>IF(N222="základná",J222,0)</f>
        <v>0</v>
      </c>
      <c r="BF222" s="130">
        <f>IF(N222="znížená",J222,0)</f>
        <v>193.14</v>
      </c>
      <c r="BG222" s="130">
        <f>IF(N222="zákl. prenesená",J222,0)</f>
        <v>0</v>
      </c>
      <c r="BH222" s="130">
        <f>IF(N222="zníž. prenesená",J222,0)</f>
        <v>0</v>
      </c>
      <c r="BI222" s="130">
        <f>IF(N222="nulová",J222,0)</f>
        <v>0</v>
      </c>
      <c r="BJ222" s="13" t="s">
        <v>76</v>
      </c>
      <c r="BK222" s="130">
        <f>ROUND(I222*H222,2)</f>
        <v>193.14</v>
      </c>
      <c r="BL222" s="13" t="s">
        <v>235</v>
      </c>
      <c r="BM222" s="129" t="s">
        <v>441</v>
      </c>
    </row>
    <row r="223" spans="2:65" s="1" customFormat="1" ht="16.5" customHeight="1" x14ac:dyDescent="0.2">
      <c r="B223" s="118"/>
      <c r="C223" s="119" t="s">
        <v>337</v>
      </c>
      <c r="D223" s="119" t="s">
        <v>231</v>
      </c>
      <c r="E223" s="120" t="s">
        <v>430</v>
      </c>
      <c r="F223" s="121" t="s">
        <v>431</v>
      </c>
      <c r="G223" s="122" t="s">
        <v>284</v>
      </c>
      <c r="H223" s="123">
        <v>26.306000000000001</v>
      </c>
      <c r="I223" s="124">
        <v>4.0599999999999996</v>
      </c>
      <c r="J223" s="124">
        <f>ROUND(I223*H223,2)</f>
        <v>106.8</v>
      </c>
      <c r="K223" s="121" t="s">
        <v>1</v>
      </c>
      <c r="L223" s="24"/>
      <c r="M223" s="125" t="s">
        <v>1</v>
      </c>
      <c r="N223" s="126" t="s">
        <v>32</v>
      </c>
      <c r="O223" s="127">
        <v>1.2</v>
      </c>
      <c r="P223" s="127">
        <f>O223*H223</f>
        <v>31.5672</v>
      </c>
      <c r="Q223" s="127">
        <v>0</v>
      </c>
      <c r="R223" s="127">
        <f>Q223*H223</f>
        <v>0</v>
      </c>
      <c r="S223" s="127">
        <v>6.3E-2</v>
      </c>
      <c r="T223" s="128">
        <f>S223*H223</f>
        <v>1.657278</v>
      </c>
      <c r="W223" s="199"/>
      <c r="X223" s="119" t="s">
        <v>337</v>
      </c>
      <c r="Y223" s="119" t="s">
        <v>231</v>
      </c>
      <c r="Z223" s="120" t="s">
        <v>430</v>
      </c>
      <c r="AA223" s="121" t="s">
        <v>431</v>
      </c>
      <c r="AB223" s="122" t="s">
        <v>284</v>
      </c>
      <c r="AC223" s="123">
        <v>26.306000000000001</v>
      </c>
      <c r="AD223" s="124">
        <v>4.0599999999999996</v>
      </c>
      <c r="AE223" s="200">
        <f>ROUND(AD223*AC223,2)</f>
        <v>106.8</v>
      </c>
      <c r="AF223" s="956"/>
      <c r="AR223" s="129" t="s">
        <v>235</v>
      </c>
      <c r="AT223" s="129" t="s">
        <v>231</v>
      </c>
      <c r="AU223" s="129" t="s">
        <v>76</v>
      </c>
      <c r="AY223" s="13" t="s">
        <v>228</v>
      </c>
      <c r="BE223" s="130">
        <f>IF(N223="základná",J223,0)</f>
        <v>0</v>
      </c>
      <c r="BF223" s="130">
        <f>IF(N223="znížená",J223,0)</f>
        <v>106.8</v>
      </c>
      <c r="BG223" s="130">
        <f>IF(N223="zákl. prenesená",J223,0)</f>
        <v>0</v>
      </c>
      <c r="BH223" s="130">
        <f>IF(N223="zníž. prenesená",J223,0)</f>
        <v>0</v>
      </c>
      <c r="BI223" s="130">
        <f>IF(N223="nulová",J223,0)</f>
        <v>0</v>
      </c>
      <c r="BJ223" s="13" t="s">
        <v>76</v>
      </c>
      <c r="BK223" s="130">
        <f>ROUND(I223*H223,2)</f>
        <v>106.8</v>
      </c>
      <c r="BL223" s="13" t="s">
        <v>235</v>
      </c>
      <c r="BM223" s="129" t="s">
        <v>444</v>
      </c>
    </row>
    <row r="224" spans="2:65" s="1" customFormat="1" ht="16.5" customHeight="1" x14ac:dyDescent="0.2">
      <c r="B224" s="118"/>
      <c r="C224" s="1070" t="s">
        <v>445</v>
      </c>
      <c r="D224" s="119" t="s">
        <v>231</v>
      </c>
      <c r="E224" s="120" t="s">
        <v>4288</v>
      </c>
      <c r="F224" s="121" t="s">
        <v>4289</v>
      </c>
      <c r="G224" s="122" t="s">
        <v>284</v>
      </c>
      <c r="H224" s="1071">
        <v>2.1</v>
      </c>
      <c r="I224" s="124">
        <v>5.22</v>
      </c>
      <c r="J224" s="124">
        <f>ROUND(I224*H224,2)</f>
        <v>10.96</v>
      </c>
      <c r="K224" s="121" t="s">
        <v>1</v>
      </c>
      <c r="L224" s="24"/>
      <c r="M224" s="125" t="s">
        <v>1</v>
      </c>
      <c r="N224" s="126" t="s">
        <v>32</v>
      </c>
      <c r="O224" s="127">
        <v>0</v>
      </c>
      <c r="P224" s="127">
        <f>O224*H224</f>
        <v>0</v>
      </c>
      <c r="Q224" s="127">
        <v>0</v>
      </c>
      <c r="R224" s="127">
        <f>Q224*H224</f>
        <v>0</v>
      </c>
      <c r="S224" s="127">
        <v>0</v>
      </c>
      <c r="T224" s="128">
        <f>S224*H224</f>
        <v>0</v>
      </c>
      <c r="W224" s="199"/>
      <c r="X224" s="1008" t="s">
        <v>445</v>
      </c>
      <c r="Y224" s="119" t="s">
        <v>231</v>
      </c>
      <c r="Z224" s="120" t="s">
        <v>4288</v>
      </c>
      <c r="AA224" s="121" t="s">
        <v>4289</v>
      </c>
      <c r="AB224" s="122" t="s">
        <v>284</v>
      </c>
      <c r="AC224" s="1009">
        <f>2.1+28.455</f>
        <v>30.555</v>
      </c>
      <c r="AD224" s="124">
        <v>5.22</v>
      </c>
      <c r="AE224" s="200">
        <f>ROUND(AD224*AC224,2)</f>
        <v>159.5</v>
      </c>
      <c r="AF224" s="956" t="s">
        <v>5478</v>
      </c>
      <c r="AR224" s="129" t="s">
        <v>235</v>
      </c>
      <c r="AT224" s="129" t="s">
        <v>231</v>
      </c>
      <c r="AU224" s="129" t="s">
        <v>76</v>
      </c>
      <c r="AY224" s="13" t="s">
        <v>228</v>
      </c>
      <c r="BE224" s="130">
        <f>IF(N224="základná",J224,0)</f>
        <v>0</v>
      </c>
      <c r="BF224" s="130">
        <f>IF(N224="znížená",J224,0)</f>
        <v>10.96</v>
      </c>
      <c r="BG224" s="130">
        <f>IF(N224="zákl. prenesená",J224,0)</f>
        <v>0</v>
      </c>
      <c r="BH224" s="130">
        <f>IF(N224="zníž. prenesená",J224,0)</f>
        <v>0</v>
      </c>
      <c r="BI224" s="130">
        <f>IF(N224="nulová",J224,0)</f>
        <v>0</v>
      </c>
      <c r="BJ224" s="13" t="s">
        <v>76</v>
      </c>
      <c r="BK224" s="130">
        <f>ROUND(I224*H224,2)</f>
        <v>10.96</v>
      </c>
      <c r="BL224" s="13" t="s">
        <v>235</v>
      </c>
      <c r="BM224" s="129" t="s">
        <v>448</v>
      </c>
    </row>
    <row r="225" spans="2:65" s="11" customFormat="1" ht="22.95" customHeight="1" x14ac:dyDescent="0.25">
      <c r="B225" s="106"/>
      <c r="D225" s="107" t="s">
        <v>57</v>
      </c>
      <c r="E225" s="116" t="s">
        <v>436</v>
      </c>
      <c r="F225" s="116" t="s">
        <v>437</v>
      </c>
      <c r="J225" s="117">
        <f>BK225</f>
        <v>24018.550000000007</v>
      </c>
      <c r="L225" s="106"/>
      <c r="M225" s="110"/>
      <c r="N225" s="111"/>
      <c r="O225" s="111"/>
      <c r="P225" s="112">
        <f>SUM(P226:P257)</f>
        <v>645.80791299999987</v>
      </c>
      <c r="Q225" s="111"/>
      <c r="R225" s="112">
        <f>SUM(R226:R257)</f>
        <v>2.5386890000000002</v>
      </c>
      <c r="S225" s="111"/>
      <c r="T225" s="113">
        <f>SUM(T226:T257)</f>
        <v>23.301659999999998</v>
      </c>
      <c r="W225" s="195"/>
      <c r="X225" s="111"/>
      <c r="Y225" s="196" t="s">
        <v>57</v>
      </c>
      <c r="Z225" s="201" t="s">
        <v>436</v>
      </c>
      <c r="AA225" s="201" t="s">
        <v>437</v>
      </c>
      <c r="AB225" s="111"/>
      <c r="AC225" s="111"/>
      <c r="AD225" s="111"/>
      <c r="AE225" s="202">
        <f>SUM(AE226:AE257)</f>
        <v>29799.240000000005</v>
      </c>
      <c r="AF225" s="956"/>
      <c r="AR225" s="107" t="s">
        <v>63</v>
      </c>
      <c r="AT225" s="114" t="s">
        <v>57</v>
      </c>
      <c r="AU225" s="114" t="s">
        <v>63</v>
      </c>
      <c r="AY225" s="107" t="s">
        <v>228</v>
      </c>
      <c r="BK225" s="115">
        <f>SUM(BK226:BK257)</f>
        <v>24018.550000000007</v>
      </c>
    </row>
    <row r="226" spans="2:65" s="1" customFormat="1" ht="23.55" customHeight="1" x14ac:dyDescent="0.2">
      <c r="B226" s="118"/>
      <c r="C226" s="1070" t="s">
        <v>340</v>
      </c>
      <c r="D226" s="119" t="s">
        <v>231</v>
      </c>
      <c r="E226" s="120" t="s">
        <v>439</v>
      </c>
      <c r="F226" s="121" t="s">
        <v>440</v>
      </c>
      <c r="G226" s="122" t="s">
        <v>243</v>
      </c>
      <c r="H226" s="288">
        <v>1</v>
      </c>
      <c r="I226" s="1016">
        <v>4644</v>
      </c>
      <c r="J226" s="124">
        <f>ROUND(I226*H226,2)</f>
        <v>4644</v>
      </c>
      <c r="K226" s="121" t="s">
        <v>1</v>
      </c>
      <c r="L226" s="24"/>
      <c r="M226" s="125" t="s">
        <v>1</v>
      </c>
      <c r="N226" s="126" t="s">
        <v>32</v>
      </c>
      <c r="O226" s="127">
        <v>0</v>
      </c>
      <c r="P226" s="127">
        <f>O226*H226</f>
        <v>0</v>
      </c>
      <c r="Q226" s="127">
        <v>0</v>
      </c>
      <c r="R226" s="127">
        <f>Q226*H226</f>
        <v>0</v>
      </c>
      <c r="S226" s="127">
        <v>0</v>
      </c>
      <c r="T226" s="128">
        <f>S226*H226</f>
        <v>0</v>
      </c>
      <c r="W226" s="199"/>
      <c r="X226" s="1008" t="s">
        <v>340</v>
      </c>
      <c r="Y226" s="119" t="s">
        <v>231</v>
      </c>
      <c r="Z226" s="120" t="s">
        <v>439</v>
      </c>
      <c r="AA226" s="121" t="s">
        <v>440</v>
      </c>
      <c r="AB226" s="122" t="s">
        <v>243</v>
      </c>
      <c r="AC226" s="123">
        <v>1</v>
      </c>
      <c r="AD226" s="1016">
        <f>4644+720.01</f>
        <v>5364.01</v>
      </c>
      <c r="AE226" s="200">
        <f>ROUND(AD226*AC226,2)</f>
        <v>5364.01</v>
      </c>
      <c r="AF226" s="956" t="s">
        <v>5478</v>
      </c>
      <c r="AR226" s="129" t="s">
        <v>235</v>
      </c>
      <c r="AT226" s="129" t="s">
        <v>231</v>
      </c>
      <c r="AU226" s="129" t="s">
        <v>76</v>
      </c>
      <c r="AY226" s="13" t="s">
        <v>228</v>
      </c>
      <c r="BE226" s="130">
        <f>IF(N226="základná",J226,0)</f>
        <v>0</v>
      </c>
      <c r="BF226" s="130">
        <f>IF(N226="znížená",J226,0)</f>
        <v>4644</v>
      </c>
      <c r="BG226" s="130">
        <f>IF(N226="zákl. prenesená",J226,0)</f>
        <v>0</v>
      </c>
      <c r="BH226" s="130">
        <f>IF(N226="zníž. prenesená",J226,0)</f>
        <v>0</v>
      </c>
      <c r="BI226" s="130">
        <f>IF(N226="nulová",J226,0)</f>
        <v>0</v>
      </c>
      <c r="BJ226" s="13" t="s">
        <v>76</v>
      </c>
      <c r="BK226" s="130">
        <f>ROUND(I226*H226,2)</f>
        <v>4644</v>
      </c>
      <c r="BL226" s="13" t="s">
        <v>235</v>
      </c>
      <c r="BM226" s="129" t="s">
        <v>455</v>
      </c>
    </row>
    <row r="227" spans="2:65" s="820" customFormat="1" ht="28.95" customHeight="1" x14ac:dyDescent="0.2">
      <c r="B227" s="823"/>
      <c r="C227" s="1234" t="s">
        <v>5205</v>
      </c>
      <c r="D227" s="1235"/>
      <c r="E227" s="1235"/>
      <c r="F227" s="1235"/>
      <c r="G227" s="1235"/>
      <c r="H227" s="1235"/>
      <c r="I227" s="1235"/>
      <c r="J227" s="1236"/>
      <c r="K227" s="824"/>
      <c r="L227" s="822"/>
      <c r="M227" s="825"/>
      <c r="N227" s="826"/>
      <c r="O227" s="827"/>
      <c r="P227" s="827"/>
      <c r="Q227" s="827"/>
      <c r="R227" s="827"/>
      <c r="S227" s="827"/>
      <c r="T227" s="828"/>
      <c r="W227" s="831"/>
      <c r="X227" s="1018" t="s">
        <v>6612</v>
      </c>
      <c r="Y227" s="1018" t="s">
        <v>231</v>
      </c>
      <c r="Z227" s="1019" t="s">
        <v>6613</v>
      </c>
      <c r="AA227" s="1020" t="s">
        <v>6614</v>
      </c>
      <c r="AB227" s="1021" t="s">
        <v>284</v>
      </c>
      <c r="AC227" s="1022">
        <v>1</v>
      </c>
      <c r="AD227" s="1023">
        <v>6.67</v>
      </c>
      <c r="AE227" s="1024">
        <f t="shared" ref="AE227:AE230" si="23">ROUND(AD227*AC227,2)</f>
        <v>6.67</v>
      </c>
      <c r="AF227" s="956" t="s">
        <v>5478</v>
      </c>
      <c r="AR227" s="829"/>
      <c r="AT227" s="829"/>
      <c r="AU227" s="829"/>
      <c r="AY227" s="821"/>
      <c r="BE227" s="830"/>
      <c r="BF227" s="830"/>
      <c r="BG227" s="830"/>
      <c r="BH227" s="830"/>
      <c r="BI227" s="830"/>
      <c r="BJ227" s="821"/>
      <c r="BK227" s="830"/>
      <c r="BL227" s="821"/>
      <c r="BM227" s="829"/>
    </row>
    <row r="228" spans="2:65" s="820" customFormat="1" ht="29.25" customHeight="1" x14ac:dyDescent="0.2">
      <c r="B228" s="823"/>
      <c r="C228" s="1234" t="s">
        <v>5205</v>
      </c>
      <c r="D228" s="1235"/>
      <c r="E228" s="1235"/>
      <c r="F228" s="1235"/>
      <c r="G228" s="1235"/>
      <c r="H228" s="1235"/>
      <c r="I228" s="1235"/>
      <c r="J228" s="1236"/>
      <c r="K228" s="824"/>
      <c r="L228" s="822"/>
      <c r="M228" s="825"/>
      <c r="N228" s="826"/>
      <c r="O228" s="827"/>
      <c r="P228" s="827"/>
      <c r="Q228" s="827"/>
      <c r="R228" s="827"/>
      <c r="S228" s="827"/>
      <c r="T228" s="828"/>
      <c r="W228" s="831"/>
      <c r="X228" s="852" t="s">
        <v>5968</v>
      </c>
      <c r="Y228" s="852" t="s">
        <v>231</v>
      </c>
      <c r="Z228" s="853" t="s">
        <v>442</v>
      </c>
      <c r="AA228" s="854" t="s">
        <v>6579</v>
      </c>
      <c r="AB228" s="855" t="s">
        <v>243</v>
      </c>
      <c r="AC228" s="856">
        <v>5</v>
      </c>
      <c r="AD228" s="857">
        <v>2.3199999999999998</v>
      </c>
      <c r="AE228" s="858">
        <f t="shared" si="23"/>
        <v>11.6</v>
      </c>
      <c r="AF228" s="956" t="s">
        <v>5477</v>
      </c>
      <c r="AR228" s="829"/>
      <c r="AT228" s="829"/>
      <c r="AU228" s="829"/>
      <c r="AY228" s="821"/>
      <c r="BE228" s="830"/>
      <c r="BF228" s="830"/>
      <c r="BG228" s="830"/>
      <c r="BH228" s="830"/>
      <c r="BI228" s="830"/>
      <c r="BJ228" s="821"/>
      <c r="BK228" s="830"/>
      <c r="BL228" s="821"/>
      <c r="BM228" s="829"/>
    </row>
    <row r="229" spans="2:65" s="820" customFormat="1" ht="29.25" customHeight="1" x14ac:dyDescent="0.2">
      <c r="B229" s="823"/>
      <c r="C229" s="1234" t="s">
        <v>5205</v>
      </c>
      <c r="D229" s="1235"/>
      <c r="E229" s="1235"/>
      <c r="F229" s="1235"/>
      <c r="G229" s="1235"/>
      <c r="H229" s="1235"/>
      <c r="I229" s="1235"/>
      <c r="J229" s="1236"/>
      <c r="K229" s="824"/>
      <c r="L229" s="822"/>
      <c r="M229" s="825"/>
      <c r="N229" s="826"/>
      <c r="O229" s="827"/>
      <c r="P229" s="827"/>
      <c r="Q229" s="827"/>
      <c r="R229" s="827"/>
      <c r="S229" s="827"/>
      <c r="T229" s="828"/>
      <c r="W229" s="831"/>
      <c r="X229" s="852" t="s">
        <v>5969</v>
      </c>
      <c r="Y229" s="852" t="s">
        <v>231</v>
      </c>
      <c r="Z229" s="853" t="s">
        <v>470</v>
      </c>
      <c r="AA229" s="854" t="s">
        <v>6580</v>
      </c>
      <c r="AB229" s="855" t="s">
        <v>243</v>
      </c>
      <c r="AC229" s="856">
        <v>18</v>
      </c>
      <c r="AD229" s="857">
        <v>13.93</v>
      </c>
      <c r="AE229" s="858">
        <f t="shared" si="23"/>
        <v>250.74</v>
      </c>
      <c r="AF229" s="956" t="s">
        <v>5477</v>
      </c>
      <c r="AR229" s="829"/>
      <c r="AT229" s="829"/>
      <c r="AU229" s="829"/>
      <c r="AY229" s="821"/>
      <c r="BE229" s="830"/>
      <c r="BF229" s="830"/>
      <c r="BG229" s="830"/>
      <c r="BH229" s="830"/>
      <c r="BI229" s="830"/>
      <c r="BJ229" s="821"/>
      <c r="BK229" s="830"/>
      <c r="BL229" s="821"/>
      <c r="BM229" s="829"/>
    </row>
    <row r="230" spans="2:65" s="820" customFormat="1" ht="29.25" customHeight="1" x14ac:dyDescent="0.2">
      <c r="B230" s="823"/>
      <c r="C230" s="1234" t="s">
        <v>5205</v>
      </c>
      <c r="D230" s="1235"/>
      <c r="E230" s="1235"/>
      <c r="F230" s="1235"/>
      <c r="G230" s="1235"/>
      <c r="H230" s="1235"/>
      <c r="I230" s="1235"/>
      <c r="J230" s="1236"/>
      <c r="K230" s="824"/>
      <c r="L230" s="822"/>
      <c r="M230" s="825"/>
      <c r="N230" s="826"/>
      <c r="O230" s="827"/>
      <c r="P230" s="827"/>
      <c r="Q230" s="827"/>
      <c r="R230" s="827"/>
      <c r="S230" s="827"/>
      <c r="T230" s="828"/>
      <c r="W230" s="831"/>
      <c r="X230" s="852" t="s">
        <v>5970</v>
      </c>
      <c r="Y230" s="852" t="s">
        <v>231</v>
      </c>
      <c r="Z230" s="853" t="s">
        <v>477</v>
      </c>
      <c r="AA230" s="854" t="s">
        <v>6581</v>
      </c>
      <c r="AB230" s="855" t="s">
        <v>243</v>
      </c>
      <c r="AC230" s="856">
        <v>5</v>
      </c>
      <c r="AD230" s="857">
        <v>34.83</v>
      </c>
      <c r="AE230" s="858">
        <f t="shared" si="23"/>
        <v>174.15</v>
      </c>
      <c r="AF230" s="956" t="s">
        <v>5477</v>
      </c>
      <c r="AR230" s="829"/>
      <c r="AT230" s="829"/>
      <c r="AU230" s="829"/>
      <c r="AY230" s="821"/>
      <c r="BE230" s="830"/>
      <c r="BF230" s="830"/>
      <c r="BG230" s="830"/>
      <c r="BH230" s="830"/>
      <c r="BI230" s="830"/>
      <c r="BJ230" s="821"/>
      <c r="BK230" s="830"/>
      <c r="BL230" s="821"/>
      <c r="BM230" s="829"/>
    </row>
    <row r="231" spans="2:65" s="1" customFormat="1" ht="24" customHeight="1" x14ac:dyDescent="0.2">
      <c r="B231" s="118"/>
      <c r="C231" s="119" t="s">
        <v>452</v>
      </c>
      <c r="D231" s="119" t="s">
        <v>231</v>
      </c>
      <c r="E231" s="120" t="s">
        <v>4290</v>
      </c>
      <c r="F231" s="121" t="s">
        <v>4291</v>
      </c>
      <c r="G231" s="122" t="s">
        <v>234</v>
      </c>
      <c r="H231" s="123">
        <v>0.754</v>
      </c>
      <c r="I231" s="124">
        <v>69.66</v>
      </c>
      <c r="J231" s="124">
        <f>ROUND(I231*H231,2)</f>
        <v>52.52</v>
      </c>
      <c r="K231" s="121" t="s">
        <v>1</v>
      </c>
      <c r="L231" s="24"/>
      <c r="M231" s="125" t="s">
        <v>1</v>
      </c>
      <c r="N231" s="126" t="s">
        <v>32</v>
      </c>
      <c r="O231" s="127">
        <v>0</v>
      </c>
      <c r="P231" s="127">
        <f>O231*H231</f>
        <v>0</v>
      </c>
      <c r="Q231" s="127">
        <v>0</v>
      </c>
      <c r="R231" s="127">
        <f>Q231*H231</f>
        <v>0</v>
      </c>
      <c r="S231" s="127">
        <v>0</v>
      </c>
      <c r="T231" s="128">
        <f>S231*H231</f>
        <v>0</v>
      </c>
      <c r="W231" s="199"/>
      <c r="X231" s="119" t="s">
        <v>452</v>
      </c>
      <c r="Y231" s="119" t="s">
        <v>231</v>
      </c>
      <c r="Z231" s="120" t="s">
        <v>4290</v>
      </c>
      <c r="AA231" s="121" t="s">
        <v>4291</v>
      </c>
      <c r="AB231" s="122" t="s">
        <v>234</v>
      </c>
      <c r="AC231" s="123">
        <v>0.754</v>
      </c>
      <c r="AD231" s="124">
        <v>69.66</v>
      </c>
      <c r="AE231" s="200">
        <f>ROUND(AD231*AC231,2)</f>
        <v>52.52</v>
      </c>
      <c r="AF231" s="956"/>
      <c r="AR231" s="129" t="s">
        <v>235</v>
      </c>
      <c r="AT231" s="129" t="s">
        <v>231</v>
      </c>
      <c r="AU231" s="129" t="s">
        <v>76</v>
      </c>
      <c r="AY231" s="13" t="s">
        <v>228</v>
      </c>
      <c r="BE231" s="130">
        <f>IF(N231="základná",J231,0)</f>
        <v>0</v>
      </c>
      <c r="BF231" s="130">
        <f>IF(N231="znížená",J231,0)</f>
        <v>52.52</v>
      </c>
      <c r="BG231" s="130">
        <f>IF(N231="zákl. prenesená",J231,0)</f>
        <v>0</v>
      </c>
      <c r="BH231" s="130">
        <f>IF(N231="zníž. prenesená",J231,0)</f>
        <v>0</v>
      </c>
      <c r="BI231" s="130">
        <f>IF(N231="nulová",J231,0)</f>
        <v>0</v>
      </c>
      <c r="BJ231" s="13" t="s">
        <v>76</v>
      </c>
      <c r="BK231" s="130">
        <f>ROUND(I231*H231,2)</f>
        <v>52.52</v>
      </c>
      <c r="BL231" s="13" t="s">
        <v>235</v>
      </c>
      <c r="BM231" s="129" t="s">
        <v>458</v>
      </c>
    </row>
    <row r="232" spans="2:65" s="1" customFormat="1" ht="24" customHeight="1" x14ac:dyDescent="0.2">
      <c r="B232" s="118"/>
      <c r="C232" s="119" t="s">
        <v>344</v>
      </c>
      <c r="D232" s="119" t="s">
        <v>231</v>
      </c>
      <c r="E232" s="120" t="s">
        <v>4292</v>
      </c>
      <c r="F232" s="121" t="s">
        <v>4293</v>
      </c>
      <c r="G232" s="122" t="s">
        <v>234</v>
      </c>
      <c r="H232" s="123">
        <v>0.72799999999999998</v>
      </c>
      <c r="I232" s="124">
        <v>87.08</v>
      </c>
      <c r="J232" s="124">
        <f>ROUND(I232*H232,2)</f>
        <v>63.39</v>
      </c>
      <c r="K232" s="121" t="s">
        <v>1</v>
      </c>
      <c r="L232" s="24"/>
      <c r="M232" s="125" t="s">
        <v>1</v>
      </c>
      <c r="N232" s="126" t="s">
        <v>32</v>
      </c>
      <c r="O232" s="127">
        <v>0</v>
      </c>
      <c r="P232" s="127">
        <f>O232*H232</f>
        <v>0</v>
      </c>
      <c r="Q232" s="127">
        <v>0</v>
      </c>
      <c r="R232" s="127">
        <f>Q232*H232</f>
        <v>0</v>
      </c>
      <c r="S232" s="127">
        <v>0</v>
      </c>
      <c r="T232" s="128">
        <f>S232*H232</f>
        <v>0</v>
      </c>
      <c r="W232" s="199"/>
      <c r="X232" s="119" t="s">
        <v>344</v>
      </c>
      <c r="Y232" s="119" t="s">
        <v>231</v>
      </c>
      <c r="Z232" s="120" t="s">
        <v>4292</v>
      </c>
      <c r="AA232" s="121" t="s">
        <v>4293</v>
      </c>
      <c r="AB232" s="122" t="s">
        <v>234</v>
      </c>
      <c r="AC232" s="123">
        <v>0.72799999999999998</v>
      </c>
      <c r="AD232" s="124">
        <v>87.08</v>
      </c>
      <c r="AE232" s="200">
        <f>ROUND(AD232*AC232,2)</f>
        <v>63.39</v>
      </c>
      <c r="AF232" s="956"/>
      <c r="AR232" s="129" t="s">
        <v>235</v>
      </c>
      <c r="AT232" s="129" t="s">
        <v>231</v>
      </c>
      <c r="AU232" s="129" t="s">
        <v>76</v>
      </c>
      <c r="AY232" s="13" t="s">
        <v>228</v>
      </c>
      <c r="BE232" s="130">
        <f>IF(N232="základná",J232,0)</f>
        <v>0</v>
      </c>
      <c r="BF232" s="130">
        <f>IF(N232="znížená",J232,0)</f>
        <v>63.39</v>
      </c>
      <c r="BG232" s="130">
        <f>IF(N232="zákl. prenesená",J232,0)</f>
        <v>0</v>
      </c>
      <c r="BH232" s="130">
        <f>IF(N232="zníž. prenesená",J232,0)</f>
        <v>0</v>
      </c>
      <c r="BI232" s="130">
        <f>IF(N232="nulová",J232,0)</f>
        <v>0</v>
      </c>
      <c r="BJ232" s="13" t="s">
        <v>76</v>
      </c>
      <c r="BK232" s="130">
        <f>ROUND(I232*H232,2)</f>
        <v>63.39</v>
      </c>
      <c r="BL232" s="13" t="s">
        <v>235</v>
      </c>
      <c r="BM232" s="129" t="s">
        <v>462</v>
      </c>
    </row>
    <row r="233" spans="2:65" s="1" customFormat="1" ht="24" customHeight="1" x14ac:dyDescent="0.2">
      <c r="B233" s="118"/>
      <c r="C233" s="119" t="s">
        <v>459</v>
      </c>
      <c r="D233" s="119" t="s">
        <v>231</v>
      </c>
      <c r="E233" s="120" t="s">
        <v>491</v>
      </c>
      <c r="F233" s="121" t="s">
        <v>492</v>
      </c>
      <c r="G233" s="122" t="s">
        <v>234</v>
      </c>
      <c r="H233" s="123">
        <v>6.6660000000000004</v>
      </c>
      <c r="I233" s="124">
        <v>46.44</v>
      </c>
      <c r="J233" s="124">
        <f>ROUND(I233*H233,2)</f>
        <v>309.57</v>
      </c>
      <c r="K233" s="121" t="s">
        <v>1</v>
      </c>
      <c r="L233" s="24"/>
      <c r="M233" s="125" t="s">
        <v>1</v>
      </c>
      <c r="N233" s="126" t="s">
        <v>32</v>
      </c>
      <c r="O233" s="127">
        <v>0</v>
      </c>
      <c r="P233" s="127">
        <f>O233*H233</f>
        <v>0</v>
      </c>
      <c r="Q233" s="127">
        <v>0</v>
      </c>
      <c r="R233" s="127">
        <f>Q233*H233</f>
        <v>0</v>
      </c>
      <c r="S233" s="127">
        <v>0</v>
      </c>
      <c r="T233" s="128">
        <f>S233*H233</f>
        <v>0</v>
      </c>
      <c r="W233" s="199"/>
      <c r="X233" s="119" t="s">
        <v>459</v>
      </c>
      <c r="Y233" s="119" t="s">
        <v>231</v>
      </c>
      <c r="Z233" s="120" t="s">
        <v>491</v>
      </c>
      <c r="AA233" s="121" t="s">
        <v>492</v>
      </c>
      <c r="AB233" s="122" t="s">
        <v>234</v>
      </c>
      <c r="AC233" s="123">
        <v>6.6660000000000004</v>
      </c>
      <c r="AD233" s="124">
        <v>46.44</v>
      </c>
      <c r="AE233" s="200">
        <f>ROUND(AD233*AC233,2)</f>
        <v>309.57</v>
      </c>
      <c r="AF233" s="956"/>
      <c r="AR233" s="129" t="s">
        <v>235</v>
      </c>
      <c r="AT233" s="129" t="s">
        <v>231</v>
      </c>
      <c r="AU233" s="129" t="s">
        <v>76</v>
      </c>
      <c r="AY233" s="13" t="s">
        <v>228</v>
      </c>
      <c r="BE233" s="130">
        <f>IF(N233="základná",J233,0)</f>
        <v>0</v>
      </c>
      <c r="BF233" s="130">
        <f>IF(N233="znížená",J233,0)</f>
        <v>309.57</v>
      </c>
      <c r="BG233" s="130">
        <f>IF(N233="zákl. prenesená",J233,0)</f>
        <v>0</v>
      </c>
      <c r="BH233" s="130">
        <f>IF(N233="zníž. prenesená",J233,0)</f>
        <v>0</v>
      </c>
      <c r="BI233" s="130">
        <f>IF(N233="nulová",J233,0)</f>
        <v>0</v>
      </c>
      <c r="BJ233" s="13" t="s">
        <v>76</v>
      </c>
      <c r="BK233" s="130">
        <f>ROUND(I233*H233,2)</f>
        <v>309.57</v>
      </c>
      <c r="BL233" s="13" t="s">
        <v>235</v>
      </c>
      <c r="BM233" s="129" t="s">
        <v>465</v>
      </c>
    </row>
    <row r="234" spans="2:65" s="1" customFormat="1" ht="24" customHeight="1" x14ac:dyDescent="0.2">
      <c r="B234" s="118"/>
      <c r="C234" s="119" t="s">
        <v>347</v>
      </c>
      <c r="D234" s="119" t="s">
        <v>231</v>
      </c>
      <c r="E234" s="120" t="s">
        <v>4294</v>
      </c>
      <c r="F234" s="121" t="s">
        <v>4295</v>
      </c>
      <c r="G234" s="122" t="s">
        <v>234</v>
      </c>
      <c r="H234" s="123">
        <v>15.112</v>
      </c>
      <c r="I234" s="124">
        <v>69.66</v>
      </c>
      <c r="J234" s="124">
        <f>ROUND(I234*H234,2)</f>
        <v>1052.7</v>
      </c>
      <c r="K234" s="121" t="s">
        <v>1</v>
      </c>
      <c r="L234" s="24"/>
      <c r="M234" s="125" t="s">
        <v>1</v>
      </c>
      <c r="N234" s="126" t="s">
        <v>32</v>
      </c>
      <c r="O234" s="127">
        <v>0</v>
      </c>
      <c r="P234" s="127">
        <f>O234*H234</f>
        <v>0</v>
      </c>
      <c r="Q234" s="127">
        <v>0</v>
      </c>
      <c r="R234" s="127">
        <f>Q234*H234</f>
        <v>0</v>
      </c>
      <c r="S234" s="127">
        <v>0</v>
      </c>
      <c r="T234" s="128">
        <f>S234*H234</f>
        <v>0</v>
      </c>
      <c r="W234" s="199"/>
      <c r="X234" s="119" t="s">
        <v>347</v>
      </c>
      <c r="Y234" s="119" t="s">
        <v>231</v>
      </c>
      <c r="Z234" s="120" t="s">
        <v>4294</v>
      </c>
      <c r="AA234" s="121" t="s">
        <v>4295</v>
      </c>
      <c r="AB234" s="122" t="s">
        <v>234</v>
      </c>
      <c r="AC234" s="123">
        <v>15.112</v>
      </c>
      <c r="AD234" s="124">
        <v>69.66</v>
      </c>
      <c r="AE234" s="200">
        <f>ROUND(AD234*AC234,2)</f>
        <v>1052.7</v>
      </c>
      <c r="AF234" s="956"/>
      <c r="AR234" s="129" t="s">
        <v>235</v>
      </c>
      <c r="AT234" s="129" t="s">
        <v>231</v>
      </c>
      <c r="AU234" s="129" t="s">
        <v>76</v>
      </c>
      <c r="AY234" s="13" t="s">
        <v>228</v>
      </c>
      <c r="BE234" s="130">
        <f>IF(N234="základná",J234,0)</f>
        <v>0</v>
      </c>
      <c r="BF234" s="130">
        <f>IF(N234="znížená",J234,0)</f>
        <v>1052.7</v>
      </c>
      <c r="BG234" s="130">
        <f>IF(N234="zákl. prenesená",J234,0)</f>
        <v>0</v>
      </c>
      <c r="BH234" s="130">
        <f>IF(N234="zníž. prenesená",J234,0)</f>
        <v>0</v>
      </c>
      <c r="BI234" s="130">
        <f>IF(N234="nulová",J234,0)</f>
        <v>0</v>
      </c>
      <c r="BJ234" s="13" t="s">
        <v>76</v>
      </c>
      <c r="BK234" s="130">
        <f>ROUND(I234*H234,2)</f>
        <v>1052.7</v>
      </c>
      <c r="BL234" s="13" t="s">
        <v>235</v>
      </c>
      <c r="BM234" s="129" t="s">
        <v>469</v>
      </c>
    </row>
    <row r="235" spans="2:65" s="1" customFormat="1" ht="23.55" customHeight="1" x14ac:dyDescent="0.2">
      <c r="B235" s="24"/>
      <c r="C235" s="1234" t="s">
        <v>5205</v>
      </c>
      <c r="D235" s="1235"/>
      <c r="E235" s="1235"/>
      <c r="F235" s="1235"/>
      <c r="G235" s="1235"/>
      <c r="H235" s="1235"/>
      <c r="I235" s="1235"/>
      <c r="J235" s="1236"/>
      <c r="L235" s="24"/>
      <c r="M235" s="146"/>
      <c r="N235" s="42"/>
      <c r="O235" s="42"/>
      <c r="P235" s="42"/>
      <c r="Q235" s="42"/>
      <c r="R235" s="42"/>
      <c r="S235" s="42"/>
      <c r="T235" s="43"/>
      <c r="W235" s="158"/>
      <c r="X235" s="1044" t="s">
        <v>6615</v>
      </c>
      <c r="Y235" s="1044" t="s">
        <v>231</v>
      </c>
      <c r="Z235" s="1045" t="s">
        <v>498</v>
      </c>
      <c r="AA235" s="1046" t="s">
        <v>6616</v>
      </c>
      <c r="AB235" s="1047" t="s">
        <v>292</v>
      </c>
      <c r="AC235" s="1048">
        <v>7.4</v>
      </c>
      <c r="AD235" s="1049">
        <v>11.61</v>
      </c>
      <c r="AE235" s="1050">
        <f>ROUND(AD235*AC235,2)</f>
        <v>85.91</v>
      </c>
      <c r="AF235" s="956" t="s">
        <v>5478</v>
      </c>
      <c r="AT235" s="13" t="s">
        <v>1259</v>
      </c>
      <c r="AU235" s="13" t="s">
        <v>76</v>
      </c>
    </row>
    <row r="236" spans="2:65" s="1" customFormat="1" ht="16.5" customHeight="1" x14ac:dyDescent="0.2">
      <c r="B236" s="118"/>
      <c r="C236" s="119" t="s">
        <v>466</v>
      </c>
      <c r="D236" s="119" t="s">
        <v>231</v>
      </c>
      <c r="E236" s="120" t="s">
        <v>502</v>
      </c>
      <c r="F236" s="121" t="s">
        <v>4296</v>
      </c>
      <c r="G236" s="122" t="s">
        <v>292</v>
      </c>
      <c r="H236" s="123">
        <v>128.80000000000001</v>
      </c>
      <c r="I236" s="124">
        <v>40.64</v>
      </c>
      <c r="J236" s="124">
        <f t="shared" ref="J236:J257" si="24">ROUND(I236*H236,2)</f>
        <v>5234.43</v>
      </c>
      <c r="K236" s="121" t="s">
        <v>1</v>
      </c>
      <c r="L236" s="24"/>
      <c r="M236" s="125" t="s">
        <v>1</v>
      </c>
      <c r="N236" s="126" t="s">
        <v>32</v>
      </c>
      <c r="O236" s="127">
        <v>0</v>
      </c>
      <c r="P236" s="127">
        <f t="shared" ref="P236:P257" si="25">O236*H236</f>
        <v>0</v>
      </c>
      <c r="Q236" s="127">
        <v>0</v>
      </c>
      <c r="R236" s="127">
        <f t="shared" ref="R236:R257" si="26">Q236*H236</f>
        <v>0</v>
      </c>
      <c r="S236" s="127">
        <v>0</v>
      </c>
      <c r="T236" s="128">
        <f t="shared" ref="T236:T257" si="27">S236*H236</f>
        <v>0</v>
      </c>
      <c r="W236" s="199"/>
      <c r="X236" s="119" t="s">
        <v>466</v>
      </c>
      <c r="Y236" s="119" t="s">
        <v>231</v>
      </c>
      <c r="Z236" s="120" t="s">
        <v>502</v>
      </c>
      <c r="AA236" s="121" t="s">
        <v>4296</v>
      </c>
      <c r="AB236" s="122" t="s">
        <v>292</v>
      </c>
      <c r="AC236" s="123">
        <v>128.80000000000001</v>
      </c>
      <c r="AD236" s="124">
        <v>40.64</v>
      </c>
      <c r="AE236" s="200">
        <f t="shared" ref="AE236:AE257" si="28">ROUND(AD236*AC236,2)</f>
        <v>5234.43</v>
      </c>
      <c r="AF236" s="956"/>
      <c r="AR236" s="129" t="s">
        <v>235</v>
      </c>
      <c r="AT236" s="129" t="s">
        <v>231</v>
      </c>
      <c r="AU236" s="129" t="s">
        <v>76</v>
      </c>
      <c r="AY236" s="13" t="s">
        <v>228</v>
      </c>
      <c r="BE236" s="130">
        <f t="shared" ref="BE236:BE257" si="29">IF(N236="základná",J236,0)</f>
        <v>0</v>
      </c>
      <c r="BF236" s="130">
        <f t="shared" ref="BF236:BF257" si="30">IF(N236="znížená",J236,0)</f>
        <v>5234.43</v>
      </c>
      <c r="BG236" s="130">
        <f t="shared" ref="BG236:BG257" si="31">IF(N236="zákl. prenesená",J236,0)</f>
        <v>0</v>
      </c>
      <c r="BH236" s="130">
        <f t="shared" ref="BH236:BH257" si="32">IF(N236="zníž. prenesená",J236,0)</f>
        <v>0</v>
      </c>
      <c r="BI236" s="130">
        <f t="shared" ref="BI236:BI257" si="33">IF(N236="nulová",J236,0)</f>
        <v>0</v>
      </c>
      <c r="BJ236" s="13" t="s">
        <v>76</v>
      </c>
      <c r="BK236" s="130">
        <f t="shared" ref="BK236:BK257" si="34">ROUND(I236*H236,2)</f>
        <v>5234.43</v>
      </c>
      <c r="BL236" s="13" t="s">
        <v>235</v>
      </c>
      <c r="BM236" s="129" t="s">
        <v>472</v>
      </c>
    </row>
    <row r="237" spans="2:65" s="1" customFormat="1" ht="24" customHeight="1" x14ac:dyDescent="0.2">
      <c r="B237" s="118"/>
      <c r="C237" s="1070" t="s">
        <v>351</v>
      </c>
      <c r="D237" s="119" t="s">
        <v>231</v>
      </c>
      <c r="E237" s="120" t="s">
        <v>505</v>
      </c>
      <c r="F237" s="121" t="s">
        <v>4297</v>
      </c>
      <c r="G237" s="122" t="s">
        <v>292</v>
      </c>
      <c r="H237" s="1071">
        <v>17.100000000000001</v>
      </c>
      <c r="I237" s="124">
        <v>6.97</v>
      </c>
      <c r="J237" s="124">
        <f t="shared" si="24"/>
        <v>119.19</v>
      </c>
      <c r="K237" s="121" t="s">
        <v>1</v>
      </c>
      <c r="L237" s="24"/>
      <c r="M237" s="125" t="s">
        <v>1</v>
      </c>
      <c r="N237" s="126" t="s">
        <v>32</v>
      </c>
      <c r="O237" s="127">
        <v>0.91818</v>
      </c>
      <c r="P237" s="127">
        <f t="shared" si="25"/>
        <v>15.700878000000001</v>
      </c>
      <c r="Q237" s="127">
        <v>0</v>
      </c>
      <c r="R237" s="127">
        <f t="shared" si="26"/>
        <v>0</v>
      </c>
      <c r="S237" s="127">
        <v>8.1000000000000003E-2</v>
      </c>
      <c r="T237" s="128">
        <f t="shared" si="27"/>
        <v>1.3851000000000002</v>
      </c>
      <c r="W237" s="199"/>
      <c r="X237" s="1042" t="s">
        <v>351</v>
      </c>
      <c r="Y237" s="119" t="s">
        <v>231</v>
      </c>
      <c r="Z237" s="120" t="s">
        <v>505</v>
      </c>
      <c r="AA237" s="121" t="s">
        <v>4297</v>
      </c>
      <c r="AB237" s="122" t="s">
        <v>292</v>
      </c>
      <c r="AC237" s="1043">
        <f>17.1+6.9+25.2</f>
        <v>49.2</v>
      </c>
      <c r="AD237" s="124">
        <v>6.97</v>
      </c>
      <c r="AE237" s="200">
        <f t="shared" si="28"/>
        <v>342.92</v>
      </c>
      <c r="AF237" s="956" t="s">
        <v>6620</v>
      </c>
      <c r="AR237" s="129" t="s">
        <v>235</v>
      </c>
      <c r="AT237" s="129" t="s">
        <v>231</v>
      </c>
      <c r="AU237" s="129" t="s">
        <v>76</v>
      </c>
      <c r="AY237" s="13" t="s">
        <v>228</v>
      </c>
      <c r="BE237" s="130">
        <f t="shared" si="29"/>
        <v>0</v>
      </c>
      <c r="BF237" s="130">
        <f t="shared" si="30"/>
        <v>119.19</v>
      </c>
      <c r="BG237" s="130">
        <f t="shared" si="31"/>
        <v>0</v>
      </c>
      <c r="BH237" s="130">
        <f t="shared" si="32"/>
        <v>0</v>
      </c>
      <c r="BI237" s="130">
        <f t="shared" si="33"/>
        <v>0</v>
      </c>
      <c r="BJ237" s="13" t="s">
        <v>76</v>
      </c>
      <c r="BK237" s="130">
        <f t="shared" si="34"/>
        <v>119.19</v>
      </c>
      <c r="BL237" s="13" t="s">
        <v>235</v>
      </c>
      <c r="BM237" s="129" t="s">
        <v>476</v>
      </c>
    </row>
    <row r="238" spans="2:65" s="641" customFormat="1" ht="36" customHeight="1" x14ac:dyDescent="0.2">
      <c r="B238" s="118"/>
      <c r="C238" s="1234" t="s">
        <v>5205</v>
      </c>
      <c r="D238" s="1235"/>
      <c r="E238" s="1235"/>
      <c r="F238" s="1235"/>
      <c r="G238" s="1235"/>
      <c r="H238" s="1235"/>
      <c r="I238" s="1235"/>
      <c r="J238" s="1236"/>
      <c r="K238" s="121"/>
      <c r="L238" s="24"/>
      <c r="M238" s="125"/>
      <c r="N238" s="126"/>
      <c r="O238" s="127"/>
      <c r="P238" s="127"/>
      <c r="Q238" s="127"/>
      <c r="R238" s="127"/>
      <c r="S238" s="127"/>
      <c r="T238" s="128"/>
      <c r="W238" s="199"/>
      <c r="X238" s="207" t="s">
        <v>5255</v>
      </c>
      <c r="Y238" s="207" t="s">
        <v>231</v>
      </c>
      <c r="Z238" s="208" t="s">
        <v>6289</v>
      </c>
      <c r="AA238" s="209" t="s">
        <v>6290</v>
      </c>
      <c r="AB238" s="210" t="s">
        <v>292</v>
      </c>
      <c r="AC238" s="211">
        <v>4</v>
      </c>
      <c r="AD238" s="212">
        <v>5.45</v>
      </c>
      <c r="AE238" s="1078">
        <f t="shared" si="28"/>
        <v>21.8</v>
      </c>
      <c r="AF238" s="956" t="s">
        <v>6286</v>
      </c>
      <c r="AR238" s="129"/>
      <c r="AT238" s="129"/>
      <c r="AU238" s="129"/>
      <c r="AY238" s="13"/>
      <c r="BE238" s="130"/>
      <c r="BF238" s="130"/>
      <c r="BG238" s="130"/>
      <c r="BH238" s="130"/>
      <c r="BI238" s="130"/>
      <c r="BJ238" s="13"/>
      <c r="BK238" s="130"/>
      <c r="BL238" s="13"/>
      <c r="BM238" s="129"/>
    </row>
    <row r="239" spans="2:65" s="641" customFormat="1" ht="36" customHeight="1" x14ac:dyDescent="0.2">
      <c r="B239" s="118"/>
      <c r="C239" s="1234" t="s">
        <v>5205</v>
      </c>
      <c r="D239" s="1235"/>
      <c r="E239" s="1235"/>
      <c r="F239" s="1235"/>
      <c r="G239" s="1235"/>
      <c r="H239" s="1235"/>
      <c r="I239" s="1235"/>
      <c r="J239" s="1236"/>
      <c r="K239" s="121"/>
      <c r="L239" s="24"/>
      <c r="M239" s="125"/>
      <c r="N239" s="126"/>
      <c r="O239" s="127"/>
      <c r="P239" s="127"/>
      <c r="Q239" s="127"/>
      <c r="R239" s="127"/>
      <c r="S239" s="127"/>
      <c r="T239" s="128"/>
      <c r="W239" s="199"/>
      <c r="X239" s="207" t="s">
        <v>6293</v>
      </c>
      <c r="Y239" s="207" t="s">
        <v>231</v>
      </c>
      <c r="Z239" s="208" t="s">
        <v>6291</v>
      </c>
      <c r="AA239" s="209" t="s">
        <v>6292</v>
      </c>
      <c r="AB239" s="210" t="s">
        <v>292</v>
      </c>
      <c r="AC239" s="211">
        <v>5</v>
      </c>
      <c r="AD239" s="212">
        <v>8.91</v>
      </c>
      <c r="AE239" s="1078">
        <f t="shared" si="28"/>
        <v>44.55</v>
      </c>
      <c r="AF239" s="956" t="s">
        <v>6286</v>
      </c>
      <c r="AR239" s="129"/>
      <c r="AT239" s="129"/>
      <c r="AU239" s="129"/>
      <c r="AY239" s="13"/>
      <c r="BE239" s="130"/>
      <c r="BF239" s="130"/>
      <c r="BG239" s="130"/>
      <c r="BH239" s="130"/>
      <c r="BI239" s="130"/>
      <c r="BJ239" s="13"/>
      <c r="BK239" s="130"/>
      <c r="BL239" s="13"/>
      <c r="BM239" s="129"/>
    </row>
    <row r="240" spans="2:65" s="1" customFormat="1" ht="22.8" x14ac:dyDescent="0.2">
      <c r="B240" s="118"/>
      <c r="C240" s="119" t="s">
        <v>473</v>
      </c>
      <c r="D240" s="119" t="s">
        <v>231</v>
      </c>
      <c r="E240" s="120" t="s">
        <v>509</v>
      </c>
      <c r="F240" s="121" t="s">
        <v>4298</v>
      </c>
      <c r="G240" s="122" t="s">
        <v>292</v>
      </c>
      <c r="H240" s="123">
        <v>30.2</v>
      </c>
      <c r="I240" s="124">
        <v>9.2899999999999991</v>
      </c>
      <c r="J240" s="124">
        <f t="shared" si="24"/>
        <v>280.56</v>
      </c>
      <c r="K240" s="121" t="s">
        <v>1</v>
      </c>
      <c r="L240" s="24"/>
      <c r="M240" s="125" t="s">
        <v>1</v>
      </c>
      <c r="N240" s="126" t="s">
        <v>32</v>
      </c>
      <c r="O240" s="127">
        <v>1.07751</v>
      </c>
      <c r="P240" s="127">
        <f t="shared" si="25"/>
        <v>32.540801999999999</v>
      </c>
      <c r="Q240" s="127">
        <v>0</v>
      </c>
      <c r="R240" s="127">
        <f t="shared" si="26"/>
        <v>0</v>
      </c>
      <c r="S240" s="127">
        <v>7.0999999999999994E-2</v>
      </c>
      <c r="T240" s="128">
        <f t="shared" si="27"/>
        <v>2.1441999999999997</v>
      </c>
      <c r="W240" s="199"/>
      <c r="X240" s="119" t="s">
        <v>473</v>
      </c>
      <c r="Y240" s="119" t="s">
        <v>231</v>
      </c>
      <c r="Z240" s="120" t="s">
        <v>509</v>
      </c>
      <c r="AA240" s="121" t="s">
        <v>4298</v>
      </c>
      <c r="AB240" s="122" t="s">
        <v>292</v>
      </c>
      <c r="AC240" s="123">
        <v>30.2</v>
      </c>
      <c r="AD240" s="124">
        <v>9.2899999999999991</v>
      </c>
      <c r="AE240" s="946">
        <f t="shared" si="28"/>
        <v>280.56</v>
      </c>
      <c r="AF240" s="956"/>
      <c r="AR240" s="129" t="s">
        <v>235</v>
      </c>
      <c r="AT240" s="129" t="s">
        <v>231</v>
      </c>
      <c r="AU240" s="129" t="s">
        <v>76</v>
      </c>
      <c r="AY240" s="13" t="s">
        <v>228</v>
      </c>
      <c r="BE240" s="130">
        <f t="shared" si="29"/>
        <v>0</v>
      </c>
      <c r="BF240" s="130">
        <f t="shared" si="30"/>
        <v>280.56</v>
      </c>
      <c r="BG240" s="130">
        <f t="shared" si="31"/>
        <v>0</v>
      </c>
      <c r="BH240" s="130">
        <f t="shared" si="32"/>
        <v>0</v>
      </c>
      <c r="BI240" s="130">
        <f t="shared" si="33"/>
        <v>0</v>
      </c>
      <c r="BJ240" s="13" t="s">
        <v>76</v>
      </c>
      <c r="BK240" s="130">
        <f t="shared" si="34"/>
        <v>280.56</v>
      </c>
      <c r="BL240" s="13" t="s">
        <v>235</v>
      </c>
      <c r="BM240" s="129" t="s">
        <v>479</v>
      </c>
    </row>
    <row r="241" spans="2:65" s="1" customFormat="1" ht="24" customHeight="1" x14ac:dyDescent="0.2">
      <c r="B241" s="118"/>
      <c r="C241" s="119" t="s">
        <v>354</v>
      </c>
      <c r="D241" s="119" t="s">
        <v>231</v>
      </c>
      <c r="E241" s="120" t="s">
        <v>512</v>
      </c>
      <c r="F241" s="121" t="s">
        <v>513</v>
      </c>
      <c r="G241" s="122" t="s">
        <v>292</v>
      </c>
      <c r="H241" s="123">
        <v>15.1</v>
      </c>
      <c r="I241" s="124">
        <v>2.9</v>
      </c>
      <c r="J241" s="124">
        <f t="shared" si="24"/>
        <v>43.79</v>
      </c>
      <c r="K241" s="121" t="s">
        <v>1</v>
      </c>
      <c r="L241" s="24"/>
      <c r="M241" s="125" t="s">
        <v>1</v>
      </c>
      <c r="N241" s="126" t="s">
        <v>32</v>
      </c>
      <c r="O241" s="127">
        <v>0</v>
      </c>
      <c r="P241" s="127">
        <f t="shared" si="25"/>
        <v>0</v>
      </c>
      <c r="Q241" s="127">
        <v>0</v>
      </c>
      <c r="R241" s="127">
        <f t="shared" si="26"/>
        <v>0</v>
      </c>
      <c r="S241" s="127">
        <v>0</v>
      </c>
      <c r="T241" s="128">
        <f t="shared" si="27"/>
        <v>0</v>
      </c>
      <c r="W241" s="199"/>
      <c r="X241" s="119" t="s">
        <v>354</v>
      </c>
      <c r="Y241" s="119" t="s">
        <v>231</v>
      </c>
      <c r="Z241" s="120" t="s">
        <v>512</v>
      </c>
      <c r="AA241" s="121" t="s">
        <v>513</v>
      </c>
      <c r="AB241" s="122" t="s">
        <v>292</v>
      </c>
      <c r="AC241" s="123">
        <v>15.1</v>
      </c>
      <c r="AD241" s="124">
        <v>2.9</v>
      </c>
      <c r="AE241" s="946">
        <f t="shared" si="28"/>
        <v>43.79</v>
      </c>
      <c r="AF241" s="956"/>
      <c r="AR241" s="129" t="s">
        <v>235</v>
      </c>
      <c r="AT241" s="129" t="s">
        <v>231</v>
      </c>
      <c r="AU241" s="129" t="s">
        <v>76</v>
      </c>
      <c r="AY241" s="13" t="s">
        <v>228</v>
      </c>
      <c r="BE241" s="130">
        <f t="shared" si="29"/>
        <v>0</v>
      </c>
      <c r="BF241" s="130">
        <f t="shared" si="30"/>
        <v>43.79</v>
      </c>
      <c r="BG241" s="130">
        <f t="shared" si="31"/>
        <v>0</v>
      </c>
      <c r="BH241" s="130">
        <f t="shared" si="32"/>
        <v>0</v>
      </c>
      <c r="BI241" s="130">
        <f t="shared" si="33"/>
        <v>0</v>
      </c>
      <c r="BJ241" s="13" t="s">
        <v>76</v>
      </c>
      <c r="BK241" s="130">
        <f t="shared" si="34"/>
        <v>43.79</v>
      </c>
      <c r="BL241" s="13" t="s">
        <v>235</v>
      </c>
      <c r="BM241" s="129" t="s">
        <v>483</v>
      </c>
    </row>
    <row r="242" spans="2:65" s="1025" customFormat="1" ht="34.950000000000003" customHeight="1" x14ac:dyDescent="0.2">
      <c r="B242" s="1028"/>
      <c r="C242" s="1234" t="s">
        <v>5205</v>
      </c>
      <c r="D242" s="1235"/>
      <c r="E242" s="1235"/>
      <c r="F242" s="1235"/>
      <c r="G242" s="1235"/>
      <c r="H242" s="1235"/>
      <c r="I242" s="1235"/>
      <c r="J242" s="1236"/>
      <c r="K242" s="1031"/>
      <c r="L242" s="1027"/>
      <c r="M242" s="1035"/>
      <c r="N242" s="1036"/>
      <c r="O242" s="1037"/>
      <c r="P242" s="1037"/>
      <c r="Q242" s="1037"/>
      <c r="R242" s="1037"/>
      <c r="S242" s="1037"/>
      <c r="T242" s="1038"/>
      <c r="W242" s="1041"/>
      <c r="X242" s="1064" t="s">
        <v>5420</v>
      </c>
      <c r="Y242" s="1064" t="s">
        <v>231</v>
      </c>
      <c r="Z242" s="1065" t="s">
        <v>6617</v>
      </c>
      <c r="AA242" s="1066" t="s">
        <v>6618</v>
      </c>
      <c r="AB242" s="1067" t="s">
        <v>292</v>
      </c>
      <c r="AC242" s="1068">
        <v>15.3</v>
      </c>
      <c r="AD242" s="1069">
        <v>6.44</v>
      </c>
      <c r="AE242" s="1078">
        <f t="shared" si="28"/>
        <v>98.53</v>
      </c>
      <c r="AF242" s="956" t="s">
        <v>5478</v>
      </c>
      <c r="AR242" s="1039"/>
      <c r="AT242" s="1039"/>
      <c r="AU242" s="1039"/>
      <c r="AY242" s="1026"/>
      <c r="BE242" s="1040"/>
      <c r="BF242" s="1040"/>
      <c r="BG242" s="1040"/>
      <c r="BH242" s="1040"/>
      <c r="BI242" s="1040"/>
      <c r="BJ242" s="1026"/>
      <c r="BK242" s="1040"/>
      <c r="BL242" s="1026"/>
      <c r="BM242" s="1039"/>
    </row>
    <row r="243" spans="2:65" s="1" customFormat="1" ht="22.8" x14ac:dyDescent="0.2">
      <c r="B243" s="118"/>
      <c r="C243" s="1070" t="s">
        <v>480</v>
      </c>
      <c r="D243" s="119" t="s">
        <v>231</v>
      </c>
      <c r="E243" s="120" t="s">
        <v>516</v>
      </c>
      <c r="F243" s="121" t="s">
        <v>517</v>
      </c>
      <c r="G243" s="122" t="s">
        <v>292</v>
      </c>
      <c r="H243" s="1071">
        <v>13.2</v>
      </c>
      <c r="I243" s="124">
        <v>46.44</v>
      </c>
      <c r="J243" s="124">
        <f t="shared" si="24"/>
        <v>613.01</v>
      </c>
      <c r="K243" s="121" t="s">
        <v>1</v>
      </c>
      <c r="L243" s="24"/>
      <c r="M243" s="125" t="s">
        <v>1</v>
      </c>
      <c r="N243" s="126" t="s">
        <v>32</v>
      </c>
      <c r="O243" s="127">
        <v>3.3506499999999999</v>
      </c>
      <c r="P243" s="127">
        <f t="shared" si="25"/>
        <v>44.228579999999994</v>
      </c>
      <c r="Q243" s="127">
        <v>4.9570000000000003E-2</v>
      </c>
      <c r="R243" s="127">
        <f t="shared" si="26"/>
        <v>0.65432400000000002</v>
      </c>
      <c r="S243" s="127">
        <v>0</v>
      </c>
      <c r="T243" s="128">
        <f t="shared" si="27"/>
        <v>0</v>
      </c>
      <c r="W243" s="199"/>
      <c r="X243" s="1062" t="s">
        <v>480</v>
      </c>
      <c r="Y243" s="119" t="s">
        <v>231</v>
      </c>
      <c r="Z243" s="120" t="s">
        <v>516</v>
      </c>
      <c r="AA243" s="121" t="s">
        <v>517</v>
      </c>
      <c r="AB243" s="122" t="s">
        <v>292</v>
      </c>
      <c r="AC243" s="1063">
        <f>13.2+15.3</f>
        <v>28.5</v>
      </c>
      <c r="AD243" s="124">
        <v>46.44</v>
      </c>
      <c r="AE243" s="946">
        <f t="shared" si="28"/>
        <v>1323.54</v>
      </c>
      <c r="AF243" s="956" t="s">
        <v>5478</v>
      </c>
      <c r="AR243" s="129" t="s">
        <v>235</v>
      </c>
      <c r="AT243" s="129" t="s">
        <v>231</v>
      </c>
      <c r="AU243" s="129" t="s">
        <v>76</v>
      </c>
      <c r="AY243" s="13" t="s">
        <v>228</v>
      </c>
      <c r="BE243" s="130">
        <f t="shared" si="29"/>
        <v>0</v>
      </c>
      <c r="BF243" s="130">
        <f t="shared" si="30"/>
        <v>613.01</v>
      </c>
      <c r="BG243" s="130">
        <f t="shared" si="31"/>
        <v>0</v>
      </c>
      <c r="BH243" s="130">
        <f t="shared" si="32"/>
        <v>0</v>
      </c>
      <c r="BI243" s="130">
        <f t="shared" si="33"/>
        <v>0</v>
      </c>
      <c r="BJ243" s="13" t="s">
        <v>76</v>
      </c>
      <c r="BK243" s="130">
        <f t="shared" si="34"/>
        <v>613.01</v>
      </c>
      <c r="BL243" s="13" t="s">
        <v>235</v>
      </c>
      <c r="BM243" s="129" t="s">
        <v>486</v>
      </c>
    </row>
    <row r="244" spans="2:65" s="1" customFormat="1" ht="22.8" x14ac:dyDescent="0.2">
      <c r="B244" s="118"/>
      <c r="C244" s="119" t="s">
        <v>358</v>
      </c>
      <c r="D244" s="119" t="s">
        <v>231</v>
      </c>
      <c r="E244" s="120" t="s">
        <v>519</v>
      </c>
      <c r="F244" s="121" t="s">
        <v>520</v>
      </c>
      <c r="G244" s="122" t="s">
        <v>292</v>
      </c>
      <c r="H244" s="123">
        <v>10.5</v>
      </c>
      <c r="I244" s="124">
        <v>162.54</v>
      </c>
      <c r="J244" s="124">
        <f t="shared" si="24"/>
        <v>1706.67</v>
      </c>
      <c r="K244" s="121" t="s">
        <v>1</v>
      </c>
      <c r="L244" s="24"/>
      <c r="M244" s="125" t="s">
        <v>1</v>
      </c>
      <c r="N244" s="126" t="s">
        <v>32</v>
      </c>
      <c r="O244" s="127">
        <v>9.8078099999999999</v>
      </c>
      <c r="P244" s="127">
        <f t="shared" si="25"/>
        <v>102.982005</v>
      </c>
      <c r="Q244" s="127">
        <v>0.11923</v>
      </c>
      <c r="R244" s="127">
        <f t="shared" si="26"/>
        <v>1.2519150000000001</v>
      </c>
      <c r="S244" s="127">
        <v>0</v>
      </c>
      <c r="T244" s="128">
        <f t="shared" si="27"/>
        <v>0</v>
      </c>
      <c r="W244" s="199"/>
      <c r="X244" s="119" t="s">
        <v>358</v>
      </c>
      <c r="Y244" s="119" t="s">
        <v>231</v>
      </c>
      <c r="Z244" s="120" t="s">
        <v>519</v>
      </c>
      <c r="AA244" s="121" t="s">
        <v>520</v>
      </c>
      <c r="AB244" s="122" t="s">
        <v>292</v>
      </c>
      <c r="AC244" s="123">
        <v>10.5</v>
      </c>
      <c r="AD244" s="124">
        <v>162.54</v>
      </c>
      <c r="AE244" s="946">
        <f t="shared" si="28"/>
        <v>1706.67</v>
      </c>
      <c r="AF244" s="956"/>
      <c r="AR244" s="129" t="s">
        <v>235</v>
      </c>
      <c r="AT244" s="129" t="s">
        <v>231</v>
      </c>
      <c r="AU244" s="129" t="s">
        <v>76</v>
      </c>
      <c r="AY244" s="13" t="s">
        <v>228</v>
      </c>
      <c r="BE244" s="130">
        <f t="shared" si="29"/>
        <v>0</v>
      </c>
      <c r="BF244" s="130">
        <f t="shared" si="30"/>
        <v>1706.67</v>
      </c>
      <c r="BG244" s="130">
        <f t="shared" si="31"/>
        <v>0</v>
      </c>
      <c r="BH244" s="130">
        <f t="shared" si="32"/>
        <v>0</v>
      </c>
      <c r="BI244" s="130">
        <f t="shared" si="33"/>
        <v>0</v>
      </c>
      <c r="BJ244" s="13" t="s">
        <v>76</v>
      </c>
      <c r="BK244" s="130">
        <f t="shared" si="34"/>
        <v>1706.67</v>
      </c>
      <c r="BL244" s="13" t="s">
        <v>235</v>
      </c>
      <c r="BM244" s="129" t="s">
        <v>490</v>
      </c>
    </row>
    <row r="245" spans="2:65" s="1" customFormat="1" ht="24" customHeight="1" x14ac:dyDescent="0.2">
      <c r="B245" s="118"/>
      <c r="C245" s="119" t="s">
        <v>487</v>
      </c>
      <c r="D245" s="119" t="s">
        <v>231</v>
      </c>
      <c r="E245" s="120" t="s">
        <v>523</v>
      </c>
      <c r="F245" s="121" t="s">
        <v>524</v>
      </c>
      <c r="G245" s="122" t="s">
        <v>292</v>
      </c>
      <c r="H245" s="123">
        <v>35</v>
      </c>
      <c r="I245" s="124">
        <v>7.55</v>
      </c>
      <c r="J245" s="124">
        <f t="shared" si="24"/>
        <v>264.25</v>
      </c>
      <c r="K245" s="121" t="s">
        <v>1</v>
      </c>
      <c r="L245" s="24"/>
      <c r="M245" s="125" t="s">
        <v>1</v>
      </c>
      <c r="N245" s="126" t="s">
        <v>32</v>
      </c>
      <c r="O245" s="127">
        <v>0.58545999999999998</v>
      </c>
      <c r="P245" s="127">
        <f t="shared" si="25"/>
        <v>20.491099999999999</v>
      </c>
      <c r="Q245" s="127">
        <v>1.8069999999999999E-2</v>
      </c>
      <c r="R245" s="127">
        <f t="shared" si="26"/>
        <v>0.63244999999999996</v>
      </c>
      <c r="S245" s="127">
        <v>0</v>
      </c>
      <c r="T245" s="128">
        <f t="shared" si="27"/>
        <v>0</v>
      </c>
      <c r="W245" s="199"/>
      <c r="X245" s="119" t="s">
        <v>487</v>
      </c>
      <c r="Y245" s="119" t="s">
        <v>231</v>
      </c>
      <c r="Z245" s="120" t="s">
        <v>523</v>
      </c>
      <c r="AA245" s="121" t="s">
        <v>524</v>
      </c>
      <c r="AB245" s="122" t="s">
        <v>292</v>
      </c>
      <c r="AC245" s="123">
        <v>35</v>
      </c>
      <c r="AD245" s="124">
        <v>7.55</v>
      </c>
      <c r="AE245" s="946">
        <f t="shared" si="28"/>
        <v>264.25</v>
      </c>
      <c r="AF245" s="956"/>
      <c r="AR245" s="129" t="s">
        <v>235</v>
      </c>
      <c r="AT245" s="129" t="s">
        <v>231</v>
      </c>
      <c r="AU245" s="129" t="s">
        <v>76</v>
      </c>
      <c r="AY245" s="13" t="s">
        <v>228</v>
      </c>
      <c r="BE245" s="130">
        <f t="shared" si="29"/>
        <v>0</v>
      </c>
      <c r="BF245" s="130">
        <f t="shared" si="30"/>
        <v>264.25</v>
      </c>
      <c r="BG245" s="130">
        <f t="shared" si="31"/>
        <v>0</v>
      </c>
      <c r="BH245" s="130">
        <f t="shared" si="32"/>
        <v>0</v>
      </c>
      <c r="BI245" s="130">
        <f t="shared" si="33"/>
        <v>0</v>
      </c>
      <c r="BJ245" s="13" t="s">
        <v>76</v>
      </c>
      <c r="BK245" s="130">
        <f t="shared" si="34"/>
        <v>264.25</v>
      </c>
      <c r="BL245" s="13" t="s">
        <v>235</v>
      </c>
      <c r="BM245" s="129" t="s">
        <v>493</v>
      </c>
    </row>
    <row r="246" spans="2:65" s="799" customFormat="1" ht="48.45" customHeight="1" x14ac:dyDescent="0.2">
      <c r="B246" s="802"/>
      <c r="C246" s="1234" t="s">
        <v>5205</v>
      </c>
      <c r="D246" s="1235"/>
      <c r="E246" s="1235"/>
      <c r="F246" s="1235"/>
      <c r="G246" s="1235"/>
      <c r="H246" s="1235"/>
      <c r="I246" s="1235"/>
      <c r="J246" s="1236"/>
      <c r="K246" s="803"/>
      <c r="L246" s="801"/>
      <c r="M246" s="804"/>
      <c r="N246" s="805"/>
      <c r="O246" s="806"/>
      <c r="P246" s="806"/>
      <c r="Q246" s="806"/>
      <c r="R246" s="806"/>
      <c r="S246" s="806"/>
      <c r="T246" s="807"/>
      <c r="W246" s="810"/>
      <c r="X246" s="832" t="s">
        <v>5421</v>
      </c>
      <c r="Y246" s="832" t="s">
        <v>231</v>
      </c>
      <c r="Z246" s="833" t="s">
        <v>5820</v>
      </c>
      <c r="AA246" s="834" t="s">
        <v>6578</v>
      </c>
      <c r="AB246" s="835" t="s">
        <v>284</v>
      </c>
      <c r="AC246" s="836">
        <v>61.478000000000002</v>
      </c>
      <c r="AD246" s="837">
        <v>3.98</v>
      </c>
      <c r="AE246" s="1078">
        <f t="shared" si="28"/>
        <v>244.68</v>
      </c>
      <c r="AF246" s="956"/>
      <c r="AR246" s="808"/>
      <c r="AT246" s="808"/>
      <c r="AU246" s="808"/>
      <c r="AY246" s="800"/>
      <c r="BE246" s="809"/>
      <c r="BF246" s="809"/>
      <c r="BG246" s="809"/>
      <c r="BH246" s="809"/>
      <c r="BI246" s="809"/>
      <c r="BJ246" s="800"/>
      <c r="BK246" s="809"/>
      <c r="BL246" s="800"/>
      <c r="BM246" s="808"/>
    </row>
    <row r="247" spans="2:65" s="1" customFormat="1" ht="24" customHeight="1" x14ac:dyDescent="0.2">
      <c r="B247" s="118"/>
      <c r="C247" s="1070" t="s">
        <v>361</v>
      </c>
      <c r="D247" s="119" t="s">
        <v>231</v>
      </c>
      <c r="E247" s="120" t="s">
        <v>526</v>
      </c>
      <c r="F247" s="121" t="s">
        <v>527</v>
      </c>
      <c r="G247" s="122" t="s">
        <v>284</v>
      </c>
      <c r="H247" s="1071">
        <v>290.77</v>
      </c>
      <c r="I247" s="124">
        <v>2.9</v>
      </c>
      <c r="J247" s="124">
        <f t="shared" si="24"/>
        <v>843.23</v>
      </c>
      <c r="K247" s="121" t="s">
        <v>1</v>
      </c>
      <c r="L247" s="24"/>
      <c r="M247" s="125" t="s">
        <v>1</v>
      </c>
      <c r="N247" s="126" t="s">
        <v>32</v>
      </c>
      <c r="O247" s="127">
        <v>0.28399999999999997</v>
      </c>
      <c r="P247" s="127">
        <f t="shared" si="25"/>
        <v>82.578679999999991</v>
      </c>
      <c r="Q247" s="127">
        <v>0</v>
      </c>
      <c r="R247" s="127">
        <f t="shared" si="26"/>
        <v>0</v>
      </c>
      <c r="S247" s="127">
        <v>6.8000000000000005E-2</v>
      </c>
      <c r="T247" s="128">
        <f t="shared" si="27"/>
        <v>19.772359999999999</v>
      </c>
      <c r="W247" s="199"/>
      <c r="X247" s="1062" t="s">
        <v>361</v>
      </c>
      <c r="Y247" s="119" t="s">
        <v>231</v>
      </c>
      <c r="Z247" s="120" t="s">
        <v>526</v>
      </c>
      <c r="AA247" s="121" t="s">
        <v>527</v>
      </c>
      <c r="AB247" s="122" t="s">
        <v>284</v>
      </c>
      <c r="AC247" s="1063">
        <f>290.77+27.085</f>
        <v>317.85499999999996</v>
      </c>
      <c r="AD247" s="124">
        <v>2.9</v>
      </c>
      <c r="AE247" s="200">
        <f t="shared" si="28"/>
        <v>921.78</v>
      </c>
      <c r="AF247" s="956" t="s">
        <v>5478</v>
      </c>
      <c r="AR247" s="129" t="s">
        <v>235</v>
      </c>
      <c r="AT247" s="129" t="s">
        <v>231</v>
      </c>
      <c r="AU247" s="129" t="s">
        <v>76</v>
      </c>
      <c r="AY247" s="13" t="s">
        <v>228</v>
      </c>
      <c r="BE247" s="130">
        <f t="shared" si="29"/>
        <v>0</v>
      </c>
      <c r="BF247" s="130">
        <f t="shared" si="30"/>
        <v>843.23</v>
      </c>
      <c r="BG247" s="130">
        <f t="shared" si="31"/>
        <v>0</v>
      </c>
      <c r="BH247" s="130">
        <f t="shared" si="32"/>
        <v>0</v>
      </c>
      <c r="BI247" s="130">
        <f t="shared" si="33"/>
        <v>0</v>
      </c>
      <c r="BJ247" s="13" t="s">
        <v>76</v>
      </c>
      <c r="BK247" s="130">
        <f t="shared" si="34"/>
        <v>843.23</v>
      </c>
      <c r="BL247" s="13" t="s">
        <v>235</v>
      </c>
      <c r="BM247" s="129" t="s">
        <v>497</v>
      </c>
    </row>
    <row r="248" spans="2:65" s="1" customFormat="1" ht="32.549999999999997" customHeight="1" x14ac:dyDescent="0.2">
      <c r="B248" s="118"/>
      <c r="C248" s="119" t="s">
        <v>494</v>
      </c>
      <c r="D248" s="119" t="s">
        <v>231</v>
      </c>
      <c r="E248" s="120" t="s">
        <v>530</v>
      </c>
      <c r="F248" s="121" t="s">
        <v>531</v>
      </c>
      <c r="G248" s="122" t="s">
        <v>284</v>
      </c>
      <c r="H248" s="123">
        <v>14.66</v>
      </c>
      <c r="I248" s="124">
        <v>2.3199999999999998</v>
      </c>
      <c r="J248" s="124">
        <f t="shared" si="24"/>
        <v>34.01</v>
      </c>
      <c r="K248" s="121" t="s">
        <v>1</v>
      </c>
      <c r="L248" s="24"/>
      <c r="M248" s="125" t="s">
        <v>1</v>
      </c>
      <c r="N248" s="126" t="s">
        <v>32</v>
      </c>
      <c r="O248" s="127">
        <v>0</v>
      </c>
      <c r="P248" s="127">
        <f t="shared" si="25"/>
        <v>0</v>
      </c>
      <c r="Q248" s="127">
        <v>0</v>
      </c>
      <c r="R248" s="127">
        <f t="shared" si="26"/>
        <v>0</v>
      </c>
      <c r="S248" s="127">
        <v>0</v>
      </c>
      <c r="T248" s="128">
        <f t="shared" si="27"/>
        <v>0</v>
      </c>
      <c r="W248" s="199"/>
      <c r="X248" s="119" t="s">
        <v>494</v>
      </c>
      <c r="Y248" s="119" t="s">
        <v>231</v>
      </c>
      <c r="Z248" s="120" t="s">
        <v>530</v>
      </c>
      <c r="AA248" s="121" t="s">
        <v>531</v>
      </c>
      <c r="AB248" s="122" t="s">
        <v>284</v>
      </c>
      <c r="AC248" s="123">
        <v>14.66</v>
      </c>
      <c r="AD248" s="124">
        <v>2.3199999999999998</v>
      </c>
      <c r="AE248" s="200">
        <f t="shared" si="28"/>
        <v>34.01</v>
      </c>
      <c r="AF248" s="956"/>
      <c r="AR248" s="129" t="s">
        <v>235</v>
      </c>
      <c r="AT248" s="129" t="s">
        <v>231</v>
      </c>
      <c r="AU248" s="129" t="s">
        <v>76</v>
      </c>
      <c r="AY248" s="13" t="s">
        <v>228</v>
      </c>
      <c r="BE248" s="130">
        <f t="shared" si="29"/>
        <v>0</v>
      </c>
      <c r="BF248" s="130">
        <f t="shared" si="30"/>
        <v>34.01</v>
      </c>
      <c r="BG248" s="130">
        <f t="shared" si="31"/>
        <v>0</v>
      </c>
      <c r="BH248" s="130">
        <f t="shared" si="32"/>
        <v>0</v>
      </c>
      <c r="BI248" s="130">
        <f t="shared" si="33"/>
        <v>0</v>
      </c>
      <c r="BJ248" s="13" t="s">
        <v>76</v>
      </c>
      <c r="BK248" s="130">
        <f t="shared" si="34"/>
        <v>34.01</v>
      </c>
      <c r="BL248" s="13" t="s">
        <v>235</v>
      </c>
      <c r="BM248" s="129" t="s">
        <v>500</v>
      </c>
    </row>
    <row r="249" spans="2:65" s="780" customFormat="1" ht="43.95" customHeight="1" x14ac:dyDescent="0.2">
      <c r="B249" s="783"/>
      <c r="C249" s="1234" t="s">
        <v>5205</v>
      </c>
      <c r="D249" s="1235"/>
      <c r="E249" s="1235"/>
      <c r="F249" s="1235"/>
      <c r="G249" s="1235"/>
      <c r="H249" s="1235"/>
      <c r="I249" s="1235"/>
      <c r="J249" s="1236"/>
      <c r="K249" s="784"/>
      <c r="L249" s="782"/>
      <c r="M249" s="785"/>
      <c r="N249" s="786"/>
      <c r="O249" s="787"/>
      <c r="P249" s="787"/>
      <c r="Q249" s="787"/>
      <c r="R249" s="787"/>
      <c r="S249" s="787"/>
      <c r="T249" s="788"/>
      <c r="W249" s="791"/>
      <c r="X249" s="813" t="s">
        <v>5900</v>
      </c>
      <c r="Y249" s="813" t="s">
        <v>231</v>
      </c>
      <c r="Z249" s="814" t="s">
        <v>6576</v>
      </c>
      <c r="AA249" s="815" t="s">
        <v>6577</v>
      </c>
      <c r="AB249" s="816" t="s">
        <v>284</v>
      </c>
      <c r="AC249" s="817">
        <v>3.9830000000000001</v>
      </c>
      <c r="AD249" s="818">
        <v>2.1</v>
      </c>
      <c r="AE249" s="819">
        <f t="shared" si="28"/>
        <v>8.36</v>
      </c>
      <c r="AF249" s="956" t="s">
        <v>5477</v>
      </c>
      <c r="AR249" s="789"/>
      <c r="AT249" s="789"/>
      <c r="AU249" s="789"/>
      <c r="AY249" s="781"/>
      <c r="BE249" s="790"/>
      <c r="BF249" s="790"/>
      <c r="BG249" s="790"/>
      <c r="BH249" s="790"/>
      <c r="BI249" s="790"/>
      <c r="BJ249" s="781"/>
      <c r="BK249" s="790"/>
      <c r="BL249" s="781"/>
      <c r="BM249" s="789"/>
    </row>
    <row r="250" spans="2:65" s="1125" customFormat="1" ht="43.95" customHeight="1" x14ac:dyDescent="0.2">
      <c r="B250" s="1118"/>
      <c r="C250" s="1234" t="s">
        <v>5205</v>
      </c>
      <c r="D250" s="1235"/>
      <c r="E250" s="1235"/>
      <c r="F250" s="1235"/>
      <c r="G250" s="1235"/>
      <c r="H250" s="1235"/>
      <c r="I250" s="1235"/>
      <c r="J250" s="1236"/>
      <c r="K250" s="1031"/>
      <c r="L250" s="1027"/>
      <c r="M250" s="1035"/>
      <c r="N250" s="1036"/>
      <c r="O250" s="1037"/>
      <c r="P250" s="1037"/>
      <c r="Q250" s="1037"/>
      <c r="R250" s="1037"/>
      <c r="S250" s="1037"/>
      <c r="T250" s="1038"/>
      <c r="W250" s="1041"/>
      <c r="X250" s="1072" t="s">
        <v>5901</v>
      </c>
      <c r="Y250" s="694" t="s">
        <v>231</v>
      </c>
      <c r="Z250" s="695" t="s">
        <v>530</v>
      </c>
      <c r="AA250" s="696" t="s">
        <v>531</v>
      </c>
      <c r="AB250" s="697" t="s">
        <v>284</v>
      </c>
      <c r="AC250" s="698">
        <v>179.5</v>
      </c>
      <c r="AD250" s="699">
        <v>2.3199999999999998</v>
      </c>
      <c r="AE250" s="700">
        <f t="shared" si="28"/>
        <v>416.44</v>
      </c>
      <c r="AF250" s="1131" t="s">
        <v>6051</v>
      </c>
      <c r="AR250" s="1039"/>
      <c r="AT250" s="1039"/>
      <c r="AU250" s="1039"/>
      <c r="AY250" s="1117"/>
      <c r="BE250" s="1119"/>
      <c r="BF250" s="1119"/>
      <c r="BG250" s="1119"/>
      <c r="BH250" s="1119"/>
      <c r="BI250" s="1119"/>
      <c r="BJ250" s="1117"/>
      <c r="BK250" s="1119"/>
      <c r="BL250" s="1117"/>
      <c r="BM250" s="1039"/>
    </row>
    <row r="251" spans="2:65" s="1125" customFormat="1" ht="25.95" customHeight="1" x14ac:dyDescent="0.2">
      <c r="B251" s="1118"/>
      <c r="C251" s="1234" t="s">
        <v>5205</v>
      </c>
      <c r="D251" s="1235"/>
      <c r="E251" s="1235"/>
      <c r="F251" s="1235"/>
      <c r="G251" s="1235"/>
      <c r="H251" s="1235"/>
      <c r="I251" s="1235"/>
      <c r="J251" s="1236"/>
      <c r="K251" s="1031"/>
      <c r="L251" s="1027"/>
      <c r="M251" s="1035"/>
      <c r="N251" s="1036"/>
      <c r="O251" s="1037"/>
      <c r="P251" s="1037"/>
      <c r="Q251" s="1037"/>
      <c r="R251" s="1037"/>
      <c r="S251" s="1037"/>
      <c r="T251" s="1038"/>
      <c r="W251" s="1041"/>
      <c r="X251" s="1072" t="s">
        <v>5902</v>
      </c>
      <c r="Y251" s="694" t="s">
        <v>231</v>
      </c>
      <c r="Z251" s="695" t="s">
        <v>6557</v>
      </c>
      <c r="AA251" s="696" t="s">
        <v>6558</v>
      </c>
      <c r="AB251" s="697" t="s">
        <v>292</v>
      </c>
      <c r="AC251" s="698">
        <v>162.625</v>
      </c>
      <c r="AD251" s="699">
        <v>2.5</v>
      </c>
      <c r="AE251" s="700">
        <f t="shared" si="28"/>
        <v>406.56</v>
      </c>
      <c r="AF251" s="1131" t="s">
        <v>6051</v>
      </c>
      <c r="AR251" s="1039"/>
      <c r="AT251" s="1039"/>
      <c r="AU251" s="1039"/>
      <c r="AY251" s="1117"/>
      <c r="BE251" s="1119"/>
      <c r="BF251" s="1119"/>
      <c r="BG251" s="1119"/>
      <c r="BH251" s="1119"/>
      <c r="BI251" s="1119"/>
      <c r="BJ251" s="1117"/>
      <c r="BK251" s="1119"/>
      <c r="BL251" s="1117"/>
      <c r="BM251" s="1039"/>
    </row>
    <row r="252" spans="2:65" s="1" customFormat="1" ht="26.55" customHeight="1" x14ac:dyDescent="0.2">
      <c r="B252" s="118"/>
      <c r="C252" s="1070" t="s">
        <v>365</v>
      </c>
      <c r="D252" s="119" t="s">
        <v>231</v>
      </c>
      <c r="E252" s="120" t="s">
        <v>4299</v>
      </c>
      <c r="F252" s="121" t="s">
        <v>4300</v>
      </c>
      <c r="G252" s="122" t="s">
        <v>271</v>
      </c>
      <c r="H252" s="1071">
        <v>197.54599999999999</v>
      </c>
      <c r="I252" s="124">
        <v>3.48</v>
      </c>
      <c r="J252" s="124">
        <f t="shared" si="24"/>
        <v>687.46</v>
      </c>
      <c r="K252" s="121" t="s">
        <v>1</v>
      </c>
      <c r="L252" s="24"/>
      <c r="M252" s="125" t="s">
        <v>1</v>
      </c>
      <c r="N252" s="126" t="s">
        <v>32</v>
      </c>
      <c r="O252" s="127">
        <v>0</v>
      </c>
      <c r="P252" s="127">
        <f t="shared" si="25"/>
        <v>0</v>
      </c>
      <c r="Q252" s="127">
        <v>0</v>
      </c>
      <c r="R252" s="127">
        <f t="shared" si="26"/>
        <v>0</v>
      </c>
      <c r="S252" s="127">
        <v>0</v>
      </c>
      <c r="T252" s="128">
        <f t="shared" si="27"/>
        <v>0</v>
      </c>
      <c r="W252" s="199"/>
      <c r="X252" s="850" t="s">
        <v>365</v>
      </c>
      <c r="Y252" s="119" t="s">
        <v>231</v>
      </c>
      <c r="Z252" s="120" t="s">
        <v>4299</v>
      </c>
      <c r="AA252" s="121" t="s">
        <v>4300</v>
      </c>
      <c r="AB252" s="122" t="s">
        <v>271</v>
      </c>
      <c r="AC252" s="851">
        <f>197.546+20.391+16.652+3.321</f>
        <v>237.91</v>
      </c>
      <c r="AD252" s="124">
        <v>3.48</v>
      </c>
      <c r="AE252" s="200">
        <f t="shared" si="28"/>
        <v>827.93</v>
      </c>
      <c r="AF252" s="956" t="s">
        <v>6818</v>
      </c>
      <c r="AR252" s="129" t="s">
        <v>235</v>
      </c>
      <c r="AT252" s="129" t="s">
        <v>231</v>
      </c>
      <c r="AU252" s="129" t="s">
        <v>76</v>
      </c>
      <c r="AY252" s="13" t="s">
        <v>228</v>
      </c>
      <c r="BE252" s="130">
        <f t="shared" si="29"/>
        <v>0</v>
      </c>
      <c r="BF252" s="130">
        <f t="shared" si="30"/>
        <v>687.46</v>
      </c>
      <c r="BG252" s="130">
        <f t="shared" si="31"/>
        <v>0</v>
      </c>
      <c r="BH252" s="130">
        <f t="shared" si="32"/>
        <v>0</v>
      </c>
      <c r="BI252" s="130">
        <f t="shared" si="33"/>
        <v>0</v>
      </c>
      <c r="BJ252" s="13" t="s">
        <v>76</v>
      </c>
      <c r="BK252" s="130">
        <f t="shared" si="34"/>
        <v>687.46</v>
      </c>
      <c r="BL252" s="13" t="s">
        <v>235</v>
      </c>
      <c r="BM252" s="129" t="s">
        <v>504</v>
      </c>
    </row>
    <row r="253" spans="2:65" s="1" customFormat="1" ht="26.55" customHeight="1" x14ac:dyDescent="0.2">
      <c r="B253" s="118"/>
      <c r="C253" s="205" t="s">
        <v>501</v>
      </c>
      <c r="D253" s="119" t="s">
        <v>231</v>
      </c>
      <c r="E253" s="120" t="s">
        <v>533</v>
      </c>
      <c r="F253" s="121" t="s">
        <v>534</v>
      </c>
      <c r="G253" s="122" t="s">
        <v>271</v>
      </c>
      <c r="H253" s="206">
        <v>197.54599999999999</v>
      </c>
      <c r="I253" s="124">
        <v>2.3199999999999998</v>
      </c>
      <c r="J253" s="124">
        <f t="shared" si="24"/>
        <v>458.31</v>
      </c>
      <c r="K253" s="121" t="s">
        <v>1</v>
      </c>
      <c r="L253" s="24"/>
      <c r="M253" s="125" t="s">
        <v>1</v>
      </c>
      <c r="N253" s="126" t="s">
        <v>32</v>
      </c>
      <c r="O253" s="127">
        <v>0.59799999999999998</v>
      </c>
      <c r="P253" s="127">
        <f t="shared" si="25"/>
        <v>118.13250799999999</v>
      </c>
      <c r="Q253" s="127">
        <v>0</v>
      </c>
      <c r="R253" s="127">
        <f t="shared" si="26"/>
        <v>0</v>
      </c>
      <c r="S253" s="127">
        <v>0</v>
      </c>
      <c r="T253" s="128">
        <f t="shared" si="27"/>
        <v>0</v>
      </c>
      <c r="W253" s="199"/>
      <c r="X253" s="205" t="s">
        <v>501</v>
      </c>
      <c r="Y253" s="119" t="s">
        <v>231</v>
      </c>
      <c r="Z253" s="120" t="s">
        <v>533</v>
      </c>
      <c r="AA253" s="121" t="s">
        <v>534</v>
      </c>
      <c r="AB253" s="122" t="s">
        <v>271</v>
      </c>
      <c r="AC253" s="206">
        <f>197.546+5.487+20.391+16.652+6.473+3.321</f>
        <v>249.86999999999998</v>
      </c>
      <c r="AD253" s="124">
        <v>2.3199999999999998</v>
      </c>
      <c r="AE253" s="200">
        <f t="shared" si="28"/>
        <v>579.70000000000005</v>
      </c>
      <c r="AF253" s="956" t="s">
        <v>6819</v>
      </c>
      <c r="AR253" s="129" t="s">
        <v>235</v>
      </c>
      <c r="AT253" s="129" t="s">
        <v>231</v>
      </c>
      <c r="AU253" s="129" t="s">
        <v>76</v>
      </c>
      <c r="AY253" s="13" t="s">
        <v>228</v>
      </c>
      <c r="BE253" s="130">
        <f t="shared" si="29"/>
        <v>0</v>
      </c>
      <c r="BF253" s="130">
        <f t="shared" si="30"/>
        <v>458.31</v>
      </c>
      <c r="BG253" s="130">
        <f t="shared" si="31"/>
        <v>0</v>
      </c>
      <c r="BH253" s="130">
        <f t="shared" si="32"/>
        <v>0</v>
      </c>
      <c r="BI253" s="130">
        <f t="shared" si="33"/>
        <v>0</v>
      </c>
      <c r="BJ253" s="13" t="s">
        <v>76</v>
      </c>
      <c r="BK253" s="130">
        <f t="shared" si="34"/>
        <v>458.31</v>
      </c>
      <c r="BL253" s="13" t="s">
        <v>235</v>
      </c>
      <c r="BM253" s="129" t="s">
        <v>507</v>
      </c>
    </row>
    <row r="254" spans="2:65" s="1" customFormat="1" ht="26.55" customHeight="1" x14ac:dyDescent="0.2">
      <c r="B254" s="118"/>
      <c r="C254" s="205" t="s">
        <v>368</v>
      </c>
      <c r="D254" s="119" t="s">
        <v>231</v>
      </c>
      <c r="E254" s="120" t="s">
        <v>537</v>
      </c>
      <c r="F254" s="121" t="s">
        <v>538</v>
      </c>
      <c r="G254" s="122" t="s">
        <v>271</v>
      </c>
      <c r="H254" s="206">
        <v>1975.46</v>
      </c>
      <c r="I254" s="124">
        <v>0.23</v>
      </c>
      <c r="J254" s="124">
        <f t="shared" si="24"/>
        <v>454.36</v>
      </c>
      <c r="K254" s="121" t="s">
        <v>1</v>
      </c>
      <c r="L254" s="24"/>
      <c r="M254" s="125" t="s">
        <v>1</v>
      </c>
      <c r="N254" s="126" t="s">
        <v>32</v>
      </c>
      <c r="O254" s="127">
        <v>7.0000000000000001E-3</v>
      </c>
      <c r="P254" s="127">
        <f t="shared" si="25"/>
        <v>13.82822</v>
      </c>
      <c r="Q254" s="127">
        <v>0</v>
      </c>
      <c r="R254" s="127">
        <f t="shared" si="26"/>
        <v>0</v>
      </c>
      <c r="S254" s="127">
        <v>0</v>
      </c>
      <c r="T254" s="128">
        <f t="shared" si="27"/>
        <v>0</v>
      </c>
      <c r="W254" s="199"/>
      <c r="X254" s="205" t="s">
        <v>368</v>
      </c>
      <c r="Y254" s="119" t="s">
        <v>231</v>
      </c>
      <c r="Z254" s="120" t="s">
        <v>537</v>
      </c>
      <c r="AA254" s="121" t="s">
        <v>538</v>
      </c>
      <c r="AB254" s="122" t="s">
        <v>271</v>
      </c>
      <c r="AC254" s="206">
        <f>1975.46+54.87+203.91+166.52+64.73+33.21</f>
        <v>2498.6999999999998</v>
      </c>
      <c r="AD254" s="124">
        <v>0.23</v>
      </c>
      <c r="AE254" s="200">
        <f t="shared" si="28"/>
        <v>574.70000000000005</v>
      </c>
      <c r="AF254" s="956" t="s">
        <v>6819</v>
      </c>
      <c r="AR254" s="129" t="s">
        <v>235</v>
      </c>
      <c r="AT254" s="129" t="s">
        <v>231</v>
      </c>
      <c r="AU254" s="129" t="s">
        <v>76</v>
      </c>
      <c r="AY254" s="13" t="s">
        <v>228</v>
      </c>
      <c r="BE254" s="130">
        <f t="shared" si="29"/>
        <v>0</v>
      </c>
      <c r="BF254" s="130">
        <f t="shared" si="30"/>
        <v>454.36</v>
      </c>
      <c r="BG254" s="130">
        <f t="shared" si="31"/>
        <v>0</v>
      </c>
      <c r="BH254" s="130">
        <f t="shared" si="32"/>
        <v>0</v>
      </c>
      <c r="BI254" s="130">
        <f t="shared" si="33"/>
        <v>0</v>
      </c>
      <c r="BJ254" s="13" t="s">
        <v>76</v>
      </c>
      <c r="BK254" s="130">
        <f t="shared" si="34"/>
        <v>454.36</v>
      </c>
      <c r="BL254" s="13" t="s">
        <v>235</v>
      </c>
      <c r="BM254" s="129" t="s">
        <v>511</v>
      </c>
    </row>
    <row r="255" spans="2:65" s="1" customFormat="1" ht="26.55" customHeight="1" x14ac:dyDescent="0.2">
      <c r="B255" s="118"/>
      <c r="C255" s="205" t="s">
        <v>508</v>
      </c>
      <c r="D255" s="119" t="s">
        <v>231</v>
      </c>
      <c r="E255" s="120" t="s">
        <v>540</v>
      </c>
      <c r="F255" s="121" t="s">
        <v>541</v>
      </c>
      <c r="G255" s="122" t="s">
        <v>271</v>
      </c>
      <c r="H255" s="206">
        <v>197.54599999999999</v>
      </c>
      <c r="I255" s="124">
        <v>4.0599999999999996</v>
      </c>
      <c r="J255" s="124">
        <f t="shared" si="24"/>
        <v>802.04</v>
      </c>
      <c r="K255" s="121" t="s">
        <v>1</v>
      </c>
      <c r="L255" s="24"/>
      <c r="M255" s="125" t="s">
        <v>1</v>
      </c>
      <c r="N255" s="126" t="s">
        <v>32</v>
      </c>
      <c r="O255" s="127">
        <v>0.89</v>
      </c>
      <c r="P255" s="127">
        <f t="shared" si="25"/>
        <v>175.81593999999998</v>
      </c>
      <c r="Q255" s="127">
        <v>0</v>
      </c>
      <c r="R255" s="127">
        <f t="shared" si="26"/>
        <v>0</v>
      </c>
      <c r="S255" s="127">
        <v>0</v>
      </c>
      <c r="T255" s="128">
        <f t="shared" si="27"/>
        <v>0</v>
      </c>
      <c r="W255" s="199"/>
      <c r="X255" s="205" t="s">
        <v>508</v>
      </c>
      <c r="Y255" s="119" t="s">
        <v>231</v>
      </c>
      <c r="Z255" s="120" t="s">
        <v>540</v>
      </c>
      <c r="AA255" s="121" t="s">
        <v>541</v>
      </c>
      <c r="AB255" s="122" t="s">
        <v>271</v>
      </c>
      <c r="AC255" s="206">
        <f>197.546+5.487+20.391+16.652+6.473+3.321</f>
        <v>249.86999999999998</v>
      </c>
      <c r="AD255" s="124">
        <v>4.0599999999999996</v>
      </c>
      <c r="AE255" s="200">
        <f t="shared" si="28"/>
        <v>1014.47</v>
      </c>
      <c r="AF255" s="956" t="s">
        <v>6819</v>
      </c>
      <c r="AR255" s="129" t="s">
        <v>235</v>
      </c>
      <c r="AT255" s="129" t="s">
        <v>231</v>
      </c>
      <c r="AU255" s="129" t="s">
        <v>76</v>
      </c>
      <c r="AY255" s="13" t="s">
        <v>228</v>
      </c>
      <c r="BE255" s="130">
        <f t="shared" si="29"/>
        <v>0</v>
      </c>
      <c r="BF255" s="130">
        <f t="shared" si="30"/>
        <v>802.04</v>
      </c>
      <c r="BG255" s="130">
        <f t="shared" si="31"/>
        <v>0</v>
      </c>
      <c r="BH255" s="130">
        <f t="shared" si="32"/>
        <v>0</v>
      </c>
      <c r="BI255" s="130">
        <f t="shared" si="33"/>
        <v>0</v>
      </c>
      <c r="BJ255" s="13" t="s">
        <v>76</v>
      </c>
      <c r="BK255" s="130">
        <f t="shared" si="34"/>
        <v>802.04</v>
      </c>
      <c r="BL255" s="13" t="s">
        <v>235</v>
      </c>
      <c r="BM255" s="129" t="s">
        <v>514</v>
      </c>
    </row>
    <row r="256" spans="2:65" s="1" customFormat="1" ht="26.55" customHeight="1" x14ac:dyDescent="0.2">
      <c r="B256" s="118"/>
      <c r="C256" s="205" t="s">
        <v>372</v>
      </c>
      <c r="D256" s="119" t="s">
        <v>231</v>
      </c>
      <c r="E256" s="120" t="s">
        <v>6261</v>
      </c>
      <c r="F256" s="121" t="s">
        <v>545</v>
      </c>
      <c r="G256" s="122" t="s">
        <v>271</v>
      </c>
      <c r="H256" s="206">
        <v>395.09199999999998</v>
      </c>
      <c r="I256" s="124">
        <v>0.41</v>
      </c>
      <c r="J256" s="124">
        <f t="shared" si="24"/>
        <v>161.99</v>
      </c>
      <c r="K256" s="121" t="s">
        <v>1</v>
      </c>
      <c r="L256" s="24"/>
      <c r="M256" s="125" t="s">
        <v>1</v>
      </c>
      <c r="N256" s="126" t="s">
        <v>32</v>
      </c>
      <c r="O256" s="127">
        <v>0.1</v>
      </c>
      <c r="P256" s="127">
        <f t="shared" si="25"/>
        <v>39.5092</v>
      </c>
      <c r="Q256" s="127">
        <v>0</v>
      </c>
      <c r="R256" s="127">
        <f t="shared" si="26"/>
        <v>0</v>
      </c>
      <c r="S256" s="127">
        <v>0</v>
      </c>
      <c r="T256" s="128">
        <f t="shared" si="27"/>
        <v>0</v>
      </c>
      <c r="W256" s="199"/>
      <c r="X256" s="205" t="s">
        <v>372</v>
      </c>
      <c r="Y256" s="119" t="s">
        <v>231</v>
      </c>
      <c r="Z256" s="120" t="s">
        <v>544</v>
      </c>
      <c r="AA256" s="121" t="s">
        <v>545</v>
      </c>
      <c r="AB256" s="122" t="s">
        <v>271</v>
      </c>
      <c r="AC256" s="206">
        <f>395.092+10.974+40.782+33.304+12.946+6.642</f>
        <v>499.73999999999995</v>
      </c>
      <c r="AD256" s="124">
        <v>0.41</v>
      </c>
      <c r="AE256" s="200">
        <f t="shared" si="28"/>
        <v>204.89</v>
      </c>
      <c r="AF256" s="956" t="s">
        <v>6819</v>
      </c>
      <c r="AR256" s="129" t="s">
        <v>235</v>
      </c>
      <c r="AT256" s="129" t="s">
        <v>231</v>
      </c>
      <c r="AU256" s="129" t="s">
        <v>76</v>
      </c>
      <c r="AY256" s="13" t="s">
        <v>228</v>
      </c>
      <c r="BE256" s="130">
        <f t="shared" si="29"/>
        <v>0</v>
      </c>
      <c r="BF256" s="130">
        <f t="shared" si="30"/>
        <v>161.99</v>
      </c>
      <c r="BG256" s="130">
        <f t="shared" si="31"/>
        <v>0</v>
      </c>
      <c r="BH256" s="130">
        <f t="shared" si="32"/>
        <v>0</v>
      </c>
      <c r="BI256" s="130">
        <f t="shared" si="33"/>
        <v>0</v>
      </c>
      <c r="BJ256" s="13" t="s">
        <v>76</v>
      </c>
      <c r="BK256" s="130">
        <f t="shared" si="34"/>
        <v>161.99</v>
      </c>
      <c r="BL256" s="13" t="s">
        <v>235</v>
      </c>
      <c r="BM256" s="129" t="s">
        <v>518</v>
      </c>
    </row>
    <row r="257" spans="2:65" s="1" customFormat="1" ht="26.55" customHeight="1" x14ac:dyDescent="0.2">
      <c r="B257" s="118"/>
      <c r="C257" s="205" t="s">
        <v>515</v>
      </c>
      <c r="D257" s="119" t="s">
        <v>231</v>
      </c>
      <c r="E257" s="120" t="s">
        <v>547</v>
      </c>
      <c r="F257" s="121" t="s">
        <v>548</v>
      </c>
      <c r="G257" s="122" t="s">
        <v>271</v>
      </c>
      <c r="H257" s="206">
        <v>197.54599999999999</v>
      </c>
      <c r="I257" s="124">
        <v>31.35</v>
      </c>
      <c r="J257" s="124">
        <f t="shared" si="24"/>
        <v>6193.07</v>
      </c>
      <c r="K257" s="121" t="s">
        <v>1</v>
      </c>
      <c r="L257" s="24"/>
      <c r="M257" s="125" t="s">
        <v>1</v>
      </c>
      <c r="N257" s="126" t="s">
        <v>32</v>
      </c>
      <c r="O257" s="127">
        <v>0</v>
      </c>
      <c r="P257" s="127">
        <f t="shared" si="25"/>
        <v>0</v>
      </c>
      <c r="Q257" s="127">
        <v>0</v>
      </c>
      <c r="R257" s="127">
        <f t="shared" si="26"/>
        <v>0</v>
      </c>
      <c r="S257" s="127">
        <v>0</v>
      </c>
      <c r="T257" s="128">
        <f t="shared" si="27"/>
        <v>0</v>
      </c>
      <c r="W257" s="199"/>
      <c r="X257" s="205" t="s">
        <v>515</v>
      </c>
      <c r="Y257" s="119" t="s">
        <v>231</v>
      </c>
      <c r="Z257" s="120" t="s">
        <v>547</v>
      </c>
      <c r="AA257" s="121" t="s">
        <v>548</v>
      </c>
      <c r="AB257" s="122" t="s">
        <v>271</v>
      </c>
      <c r="AC257" s="206">
        <f>197.546+5.487+20.391+16.652+6.473+3.321</f>
        <v>249.86999999999998</v>
      </c>
      <c r="AD257" s="124">
        <v>31.35</v>
      </c>
      <c r="AE257" s="200">
        <f t="shared" si="28"/>
        <v>7833.42</v>
      </c>
      <c r="AF257" s="956" t="s">
        <v>6819</v>
      </c>
      <c r="AR257" s="129" t="s">
        <v>235</v>
      </c>
      <c r="AT257" s="129" t="s">
        <v>231</v>
      </c>
      <c r="AU257" s="129" t="s">
        <v>76</v>
      </c>
      <c r="AY257" s="13" t="s">
        <v>228</v>
      </c>
      <c r="BE257" s="130">
        <f t="shared" si="29"/>
        <v>0</v>
      </c>
      <c r="BF257" s="130">
        <f t="shared" si="30"/>
        <v>6193.07</v>
      </c>
      <c r="BG257" s="130">
        <f t="shared" si="31"/>
        <v>0</v>
      </c>
      <c r="BH257" s="130">
        <f t="shared" si="32"/>
        <v>0</v>
      </c>
      <c r="BI257" s="130">
        <f t="shared" si="33"/>
        <v>0</v>
      </c>
      <c r="BJ257" s="13" t="s">
        <v>76</v>
      </c>
      <c r="BK257" s="130">
        <f t="shared" si="34"/>
        <v>6193.07</v>
      </c>
      <c r="BL257" s="13" t="s">
        <v>235</v>
      </c>
      <c r="BM257" s="129" t="s">
        <v>521</v>
      </c>
    </row>
    <row r="258" spans="2:65" s="11" customFormat="1" ht="22.95" customHeight="1" x14ac:dyDescent="0.25">
      <c r="B258" s="106"/>
      <c r="D258" s="107" t="s">
        <v>57</v>
      </c>
      <c r="E258" s="116" t="s">
        <v>550</v>
      </c>
      <c r="F258" s="116" t="s">
        <v>551</v>
      </c>
      <c r="J258" s="117">
        <f>BK258</f>
        <v>3318.51</v>
      </c>
      <c r="L258" s="106"/>
      <c r="M258" s="110"/>
      <c r="N258" s="111"/>
      <c r="O258" s="111"/>
      <c r="P258" s="112">
        <f>P259</f>
        <v>352.00210800000002</v>
      </c>
      <c r="Q258" s="111"/>
      <c r="R258" s="112">
        <f>R259</f>
        <v>0</v>
      </c>
      <c r="S258" s="111"/>
      <c r="T258" s="113">
        <f>T259</f>
        <v>0</v>
      </c>
      <c r="W258" s="195"/>
      <c r="X258" s="111"/>
      <c r="Y258" s="196" t="s">
        <v>57</v>
      </c>
      <c r="Z258" s="201" t="s">
        <v>550</v>
      </c>
      <c r="AA258" s="201" t="s">
        <v>551</v>
      </c>
      <c r="AB258" s="111"/>
      <c r="AC258" s="111"/>
      <c r="AD258" s="111"/>
      <c r="AE258" s="202">
        <f>AE259</f>
        <v>6227.88</v>
      </c>
      <c r="AF258" s="956"/>
      <c r="AR258" s="107" t="s">
        <v>63</v>
      </c>
      <c r="AT258" s="114" t="s">
        <v>57</v>
      </c>
      <c r="AU258" s="114" t="s">
        <v>63</v>
      </c>
      <c r="AY258" s="107" t="s">
        <v>228</v>
      </c>
      <c r="BK258" s="115">
        <f>BK259</f>
        <v>3318.51</v>
      </c>
    </row>
    <row r="259" spans="2:65" s="1" customFormat="1" ht="22.2" customHeight="1" x14ac:dyDescent="0.2">
      <c r="B259" s="118"/>
      <c r="C259" s="205" t="s">
        <v>375</v>
      </c>
      <c r="D259" s="119" t="s">
        <v>231</v>
      </c>
      <c r="E259" s="120" t="s">
        <v>553</v>
      </c>
      <c r="F259" s="121" t="s">
        <v>554</v>
      </c>
      <c r="G259" s="122" t="s">
        <v>271</v>
      </c>
      <c r="H259" s="206">
        <v>142.916</v>
      </c>
      <c r="I259" s="124">
        <v>23.22</v>
      </c>
      <c r="J259" s="124">
        <f>ROUND(I259*H259,2)</f>
        <v>3318.51</v>
      </c>
      <c r="K259" s="121" t="s">
        <v>1</v>
      </c>
      <c r="L259" s="24"/>
      <c r="M259" s="125" t="s">
        <v>1</v>
      </c>
      <c r="N259" s="126" t="s">
        <v>32</v>
      </c>
      <c r="O259" s="127">
        <v>2.4630000000000001</v>
      </c>
      <c r="P259" s="127">
        <f>O259*H259</f>
        <v>352.00210800000002</v>
      </c>
      <c r="Q259" s="127">
        <v>0</v>
      </c>
      <c r="R259" s="127">
        <f>Q259*H259</f>
        <v>0</v>
      </c>
      <c r="S259" s="127">
        <v>0</v>
      </c>
      <c r="T259" s="128">
        <f>S259*H259</f>
        <v>0</v>
      </c>
      <c r="W259" s="199"/>
      <c r="X259" s="205" t="s">
        <v>375</v>
      </c>
      <c r="Y259" s="119" t="s">
        <v>231</v>
      </c>
      <c r="Z259" s="120" t="s">
        <v>553</v>
      </c>
      <c r="AA259" s="121" t="s">
        <v>554</v>
      </c>
      <c r="AB259" s="122" t="s">
        <v>271</v>
      </c>
      <c r="AC259" s="206">
        <f>142.916+5.565+2.941+28.219+82.3+6.271</f>
        <v>268.21199999999999</v>
      </c>
      <c r="AD259" s="124">
        <v>23.22</v>
      </c>
      <c r="AE259" s="200">
        <f>ROUND(AD259*AC259,2)</f>
        <v>6227.88</v>
      </c>
      <c r="AF259" s="956" t="s">
        <v>6624</v>
      </c>
      <c r="AR259" s="129" t="s">
        <v>235</v>
      </c>
      <c r="AT259" s="129" t="s">
        <v>231</v>
      </c>
      <c r="AU259" s="129" t="s">
        <v>76</v>
      </c>
      <c r="AY259" s="13" t="s">
        <v>228</v>
      </c>
      <c r="BE259" s="130">
        <f>IF(N259="základná",J259,0)</f>
        <v>0</v>
      </c>
      <c r="BF259" s="130">
        <f>IF(N259="znížená",J259,0)</f>
        <v>3318.51</v>
      </c>
      <c r="BG259" s="130">
        <f>IF(N259="zákl. prenesená",J259,0)</f>
        <v>0</v>
      </c>
      <c r="BH259" s="130">
        <f>IF(N259="zníž. prenesená",J259,0)</f>
        <v>0</v>
      </c>
      <c r="BI259" s="130">
        <f>IF(N259="nulová",J259,0)</f>
        <v>0</v>
      </c>
      <c r="BJ259" s="13" t="s">
        <v>76</v>
      </c>
      <c r="BK259" s="130">
        <f>ROUND(I259*H259,2)</f>
        <v>3318.51</v>
      </c>
      <c r="BL259" s="13" t="s">
        <v>235</v>
      </c>
      <c r="BM259" s="129" t="s">
        <v>525</v>
      </c>
    </row>
    <row r="260" spans="2:65" s="11" customFormat="1" ht="25.95" customHeight="1" x14ac:dyDescent="0.25">
      <c r="B260" s="106"/>
      <c r="D260" s="107" t="s">
        <v>57</v>
      </c>
      <c r="E260" s="108" t="s">
        <v>556</v>
      </c>
      <c r="F260" s="108" t="s">
        <v>557</v>
      </c>
      <c r="J260" s="109">
        <f>BK260</f>
        <v>52099.070000000007</v>
      </c>
      <c r="L260" s="106"/>
      <c r="M260" s="110"/>
      <c r="N260" s="111"/>
      <c r="O260" s="111"/>
      <c r="P260" s="112">
        <f>P261+P265+P270+P274+P280+P284+P288+P303+P324+P332+P341+P347</f>
        <v>613.86314059999995</v>
      </c>
      <c r="Q260" s="111"/>
      <c r="R260" s="112">
        <f>R261+R265+R270+R274+R280+R284+R288+R303+R324+R332+R341+R347</f>
        <v>0.12130760000000002</v>
      </c>
      <c r="S260" s="111"/>
      <c r="T260" s="113">
        <f>T261+T265+T270+T274+T280+T284+T288+T303+T324+T332+T341+T347</f>
        <v>1.9680000000000002</v>
      </c>
      <c r="W260" s="195"/>
      <c r="X260" s="111"/>
      <c r="Y260" s="196" t="s">
        <v>57</v>
      </c>
      <c r="Z260" s="197" t="s">
        <v>556</v>
      </c>
      <c r="AA260" s="197" t="s">
        <v>557</v>
      </c>
      <c r="AB260" s="111"/>
      <c r="AC260" s="111"/>
      <c r="AD260" s="111"/>
      <c r="AE260" s="198">
        <f>AE261+AE265+AE270+AE280+AE284+AE288+AE303+AE324+AE332+AE341+AE347+AE274</f>
        <v>72100.12</v>
      </c>
      <c r="AF260" s="956"/>
      <c r="AR260" s="107" t="s">
        <v>63</v>
      </c>
      <c r="AT260" s="114" t="s">
        <v>57</v>
      </c>
      <c r="AU260" s="114" t="s">
        <v>58</v>
      </c>
      <c r="AY260" s="107" t="s">
        <v>228</v>
      </c>
      <c r="BK260" s="115">
        <f>BK261+BK265+BK270+BK274+BK280+BK284+BK288+BK303+BK324+BK332+BK341+BK347</f>
        <v>52099.070000000007</v>
      </c>
    </row>
    <row r="261" spans="2:65" s="11" customFormat="1" ht="22.95" customHeight="1" x14ac:dyDescent="0.25">
      <c r="B261" s="106"/>
      <c r="D261" s="107" t="s">
        <v>57</v>
      </c>
      <c r="E261" s="116" t="s">
        <v>558</v>
      </c>
      <c r="F261" s="116" t="s">
        <v>559</v>
      </c>
      <c r="J261" s="117">
        <f>BK261</f>
        <v>5031.21</v>
      </c>
      <c r="L261" s="106"/>
      <c r="M261" s="110"/>
      <c r="N261" s="111"/>
      <c r="O261" s="111"/>
      <c r="P261" s="112">
        <f>SUM(P262:P264)</f>
        <v>0</v>
      </c>
      <c r="Q261" s="111"/>
      <c r="R261" s="112">
        <f>SUM(R262:R264)</f>
        <v>0</v>
      </c>
      <c r="S261" s="111"/>
      <c r="T261" s="113">
        <f>SUM(T262:T264)</f>
        <v>0</v>
      </c>
      <c r="W261" s="195"/>
      <c r="X261" s="111"/>
      <c r="Y261" s="196" t="s">
        <v>57</v>
      </c>
      <c r="Z261" s="201" t="s">
        <v>558</v>
      </c>
      <c r="AA261" s="201" t="s">
        <v>559</v>
      </c>
      <c r="AB261" s="111"/>
      <c r="AC261" s="111"/>
      <c r="AD261" s="111"/>
      <c r="AE261" s="202">
        <f>SUM(AE262:AE264)</f>
        <v>5570.5599999999995</v>
      </c>
      <c r="AF261" s="956"/>
      <c r="AR261" s="107" t="s">
        <v>63</v>
      </c>
      <c r="AT261" s="114" t="s">
        <v>57</v>
      </c>
      <c r="AU261" s="114" t="s">
        <v>63</v>
      </c>
      <c r="AY261" s="107" t="s">
        <v>228</v>
      </c>
      <c r="BK261" s="115">
        <f>SUM(BK262:BK264)</f>
        <v>5031.21</v>
      </c>
    </row>
    <row r="262" spans="2:65" s="1" customFormat="1" ht="24" customHeight="1" x14ac:dyDescent="0.2">
      <c r="B262" s="118"/>
      <c r="C262" s="1070" t="s">
        <v>522</v>
      </c>
      <c r="D262" s="119" t="s">
        <v>231</v>
      </c>
      <c r="E262" s="120" t="s">
        <v>560</v>
      </c>
      <c r="F262" s="121" t="s">
        <v>561</v>
      </c>
      <c r="G262" s="122" t="s">
        <v>284</v>
      </c>
      <c r="H262" s="1071">
        <v>441.88</v>
      </c>
      <c r="I262" s="124">
        <v>10.45</v>
      </c>
      <c r="J262" s="124">
        <f>ROUND(I262*H262,2)</f>
        <v>4617.6499999999996</v>
      </c>
      <c r="K262" s="121" t="s">
        <v>1</v>
      </c>
      <c r="L262" s="24"/>
      <c r="M262" s="125" t="s">
        <v>1</v>
      </c>
      <c r="N262" s="126" t="s">
        <v>32</v>
      </c>
      <c r="O262" s="127">
        <v>0</v>
      </c>
      <c r="P262" s="127">
        <f>O262*H262</f>
        <v>0</v>
      </c>
      <c r="Q262" s="127">
        <v>0</v>
      </c>
      <c r="R262" s="127">
        <f>Q262*H262</f>
        <v>0</v>
      </c>
      <c r="S262" s="127">
        <v>0</v>
      </c>
      <c r="T262" s="128">
        <f>S262*H262</f>
        <v>0</v>
      </c>
      <c r="W262" s="199"/>
      <c r="X262" s="1062" t="s">
        <v>522</v>
      </c>
      <c r="Y262" s="119" t="s">
        <v>231</v>
      </c>
      <c r="Z262" s="120" t="s">
        <v>560</v>
      </c>
      <c r="AA262" s="121" t="s">
        <v>561</v>
      </c>
      <c r="AB262" s="122" t="s">
        <v>284</v>
      </c>
      <c r="AC262" s="1063">
        <f>441.88+27.8+18.5</f>
        <v>488.18</v>
      </c>
      <c r="AD262" s="124">
        <v>10.45</v>
      </c>
      <c r="AE262" s="200">
        <f>ROUND(AD262*AC262,2)</f>
        <v>5101.4799999999996</v>
      </c>
      <c r="AF262" s="956" t="s">
        <v>6620</v>
      </c>
      <c r="AR262" s="129" t="s">
        <v>235</v>
      </c>
      <c r="AT262" s="129" t="s">
        <v>231</v>
      </c>
      <c r="AU262" s="129" t="s">
        <v>76</v>
      </c>
      <c r="AY262" s="13" t="s">
        <v>228</v>
      </c>
      <c r="BE262" s="130">
        <f>IF(N262="základná",J262,0)</f>
        <v>0</v>
      </c>
      <c r="BF262" s="130">
        <f>IF(N262="znížená",J262,0)</f>
        <v>4617.6499999999996</v>
      </c>
      <c r="BG262" s="130">
        <f>IF(N262="zákl. prenesená",J262,0)</f>
        <v>0</v>
      </c>
      <c r="BH262" s="130">
        <f>IF(N262="zníž. prenesená",J262,0)</f>
        <v>0</v>
      </c>
      <c r="BI262" s="130">
        <f>IF(N262="nulová",J262,0)</f>
        <v>0</v>
      </c>
      <c r="BJ262" s="13" t="s">
        <v>76</v>
      </c>
      <c r="BK262" s="130">
        <f>ROUND(I262*H262,2)</f>
        <v>4617.6499999999996</v>
      </c>
      <c r="BL262" s="13" t="s">
        <v>235</v>
      </c>
      <c r="BM262" s="129" t="s">
        <v>532</v>
      </c>
    </row>
    <row r="263" spans="2:65" s="1" customFormat="1" ht="16.5" customHeight="1" x14ac:dyDescent="0.2">
      <c r="B263" s="118"/>
      <c r="C263" s="1070" t="s">
        <v>379</v>
      </c>
      <c r="D263" s="119" t="s">
        <v>231</v>
      </c>
      <c r="E263" s="120" t="s">
        <v>564</v>
      </c>
      <c r="F263" s="121" t="s">
        <v>565</v>
      </c>
      <c r="G263" s="122" t="s">
        <v>566</v>
      </c>
      <c r="H263" s="1071">
        <v>158.69999999999999</v>
      </c>
      <c r="I263" s="124">
        <v>1.74</v>
      </c>
      <c r="J263" s="124">
        <f>ROUND(I263*H263,2)</f>
        <v>276.14</v>
      </c>
      <c r="K263" s="121" t="s">
        <v>1</v>
      </c>
      <c r="L263" s="24"/>
      <c r="M263" s="125" t="s">
        <v>1</v>
      </c>
      <c r="N263" s="126" t="s">
        <v>32</v>
      </c>
      <c r="O263" s="127">
        <v>0</v>
      </c>
      <c r="P263" s="127">
        <f>O263*H263</f>
        <v>0</v>
      </c>
      <c r="Q263" s="127">
        <v>0</v>
      </c>
      <c r="R263" s="127">
        <f>Q263*H263</f>
        <v>0</v>
      </c>
      <c r="S263" s="127">
        <v>0</v>
      </c>
      <c r="T263" s="128">
        <f>S263*H263</f>
        <v>0</v>
      </c>
      <c r="W263" s="199"/>
      <c r="X263" s="1062" t="s">
        <v>379</v>
      </c>
      <c r="Y263" s="119" t="s">
        <v>231</v>
      </c>
      <c r="Z263" s="120" t="s">
        <v>564</v>
      </c>
      <c r="AA263" s="121" t="s">
        <v>565</v>
      </c>
      <c r="AB263" s="122" t="s">
        <v>566</v>
      </c>
      <c r="AC263" s="1063">
        <f>158.7+13+10</f>
        <v>181.7</v>
      </c>
      <c r="AD263" s="124">
        <v>1.74</v>
      </c>
      <c r="AE263" s="200">
        <f>ROUND(AD263*AC263,2)</f>
        <v>316.16000000000003</v>
      </c>
      <c r="AF263" s="956" t="s">
        <v>6620</v>
      </c>
      <c r="AR263" s="129" t="s">
        <v>235</v>
      </c>
      <c r="AT263" s="129" t="s">
        <v>231</v>
      </c>
      <c r="AU263" s="129" t="s">
        <v>76</v>
      </c>
      <c r="AY263" s="13" t="s">
        <v>228</v>
      </c>
      <c r="BE263" s="130">
        <f>IF(N263="základná",J263,0)</f>
        <v>0</v>
      </c>
      <c r="BF263" s="130">
        <f>IF(N263="znížená",J263,0)</f>
        <v>276.14</v>
      </c>
      <c r="BG263" s="130">
        <f>IF(N263="zákl. prenesená",J263,0)</f>
        <v>0</v>
      </c>
      <c r="BH263" s="130">
        <f>IF(N263="zníž. prenesená",J263,0)</f>
        <v>0</v>
      </c>
      <c r="BI263" s="130">
        <f>IF(N263="nulová",J263,0)</f>
        <v>0</v>
      </c>
      <c r="BJ263" s="13" t="s">
        <v>76</v>
      </c>
      <c r="BK263" s="130">
        <f>ROUND(I263*H263,2)</f>
        <v>276.14</v>
      </c>
      <c r="BL263" s="13" t="s">
        <v>235</v>
      </c>
      <c r="BM263" s="129" t="s">
        <v>535</v>
      </c>
    </row>
    <row r="264" spans="2:65" s="1" customFormat="1" ht="27" customHeight="1" x14ac:dyDescent="0.2">
      <c r="B264" s="118"/>
      <c r="C264" s="1070" t="s">
        <v>529</v>
      </c>
      <c r="D264" s="119" t="s">
        <v>231</v>
      </c>
      <c r="E264" s="120" t="s">
        <v>568</v>
      </c>
      <c r="F264" s="121" t="s">
        <v>938</v>
      </c>
      <c r="G264" s="122" t="s">
        <v>570</v>
      </c>
      <c r="H264" s="1071">
        <v>46.424999999999997</v>
      </c>
      <c r="I264" s="124">
        <v>2.96</v>
      </c>
      <c r="J264" s="124">
        <f>ROUND(I264*H264,2)</f>
        <v>137.41999999999999</v>
      </c>
      <c r="K264" s="121" t="s">
        <v>1</v>
      </c>
      <c r="L264" s="24"/>
      <c r="M264" s="125" t="s">
        <v>1</v>
      </c>
      <c r="N264" s="126" t="s">
        <v>32</v>
      </c>
      <c r="O264" s="127">
        <v>0</v>
      </c>
      <c r="P264" s="127">
        <f>O264*H264</f>
        <v>0</v>
      </c>
      <c r="Q264" s="127">
        <v>0</v>
      </c>
      <c r="R264" s="127">
        <f>Q264*H264</f>
        <v>0</v>
      </c>
      <c r="S264" s="127">
        <v>0</v>
      </c>
      <c r="T264" s="128">
        <f>S264*H264</f>
        <v>0</v>
      </c>
      <c r="W264" s="199"/>
      <c r="X264" s="1062" t="s">
        <v>529</v>
      </c>
      <c r="Y264" s="119" t="s">
        <v>231</v>
      </c>
      <c r="Z264" s="120" t="s">
        <v>568</v>
      </c>
      <c r="AA264" s="121" t="s">
        <v>938</v>
      </c>
      <c r="AB264" s="122" t="s">
        <v>570</v>
      </c>
      <c r="AC264" s="1063">
        <f>46.425+3.131+2.107</f>
        <v>51.662999999999997</v>
      </c>
      <c r="AD264" s="124">
        <v>2.96</v>
      </c>
      <c r="AE264" s="200">
        <f>ROUND(AD264*AC264,2)</f>
        <v>152.91999999999999</v>
      </c>
      <c r="AF264" s="956" t="s">
        <v>6620</v>
      </c>
      <c r="AR264" s="129" t="s">
        <v>235</v>
      </c>
      <c r="AT264" s="129" t="s">
        <v>231</v>
      </c>
      <c r="AU264" s="129" t="s">
        <v>76</v>
      </c>
      <c r="AY264" s="13" t="s">
        <v>228</v>
      </c>
      <c r="BE264" s="130">
        <f>IF(N264="základná",J264,0)</f>
        <v>0</v>
      </c>
      <c r="BF264" s="130">
        <f>IF(N264="znížená",J264,0)</f>
        <v>137.41999999999999</v>
      </c>
      <c r="BG264" s="130">
        <f>IF(N264="zákl. prenesená",J264,0)</f>
        <v>0</v>
      </c>
      <c r="BH264" s="130">
        <f>IF(N264="zníž. prenesená",J264,0)</f>
        <v>0</v>
      </c>
      <c r="BI264" s="130">
        <f>IF(N264="nulová",J264,0)</f>
        <v>0</v>
      </c>
      <c r="BJ264" s="13" t="s">
        <v>76</v>
      </c>
      <c r="BK264" s="130">
        <f>ROUND(I264*H264,2)</f>
        <v>137.41999999999999</v>
      </c>
      <c r="BL264" s="13" t="s">
        <v>235</v>
      </c>
      <c r="BM264" s="129" t="s">
        <v>539</v>
      </c>
    </row>
    <row r="265" spans="2:65" s="11" customFormat="1" ht="22.95" customHeight="1" x14ac:dyDescent="0.25">
      <c r="B265" s="106"/>
      <c r="D265" s="107" t="s">
        <v>57</v>
      </c>
      <c r="E265" s="116" t="s">
        <v>939</v>
      </c>
      <c r="F265" s="116" t="s">
        <v>940</v>
      </c>
      <c r="J265" s="117">
        <f>BK265</f>
        <v>1155.9600000000003</v>
      </c>
      <c r="L265" s="106"/>
      <c r="M265" s="110"/>
      <c r="N265" s="111"/>
      <c r="O265" s="111"/>
      <c r="P265" s="112">
        <f>SUM(P266:P269)</f>
        <v>0</v>
      </c>
      <c r="Q265" s="111"/>
      <c r="R265" s="112">
        <f>SUM(R266:R269)</f>
        <v>0</v>
      </c>
      <c r="S265" s="111"/>
      <c r="T265" s="113">
        <f>SUM(T266:T269)</f>
        <v>0</v>
      </c>
      <c r="W265" s="195"/>
      <c r="X265" s="111"/>
      <c r="Y265" s="196" t="s">
        <v>57</v>
      </c>
      <c r="Z265" s="201" t="s">
        <v>939</v>
      </c>
      <c r="AA265" s="201" t="s">
        <v>940</v>
      </c>
      <c r="AB265" s="111"/>
      <c r="AC265" s="111"/>
      <c r="AD265" s="111"/>
      <c r="AE265" s="202">
        <f>SUM(AE266:AE269)</f>
        <v>1155.9600000000003</v>
      </c>
      <c r="AF265" s="956"/>
      <c r="AR265" s="107" t="s">
        <v>63</v>
      </c>
      <c r="AT265" s="114" t="s">
        <v>57</v>
      </c>
      <c r="AU265" s="114" t="s">
        <v>63</v>
      </c>
      <c r="AY265" s="107" t="s">
        <v>228</v>
      </c>
      <c r="BK265" s="115">
        <f>SUM(BK266:BK269)</f>
        <v>1155.9600000000003</v>
      </c>
    </row>
    <row r="266" spans="2:65" s="1" customFormat="1" ht="16.5" customHeight="1" x14ac:dyDescent="0.2">
      <c r="B266" s="118"/>
      <c r="C266" s="119" t="s">
        <v>382</v>
      </c>
      <c r="D266" s="119" t="s">
        <v>231</v>
      </c>
      <c r="E266" s="120" t="s">
        <v>4301</v>
      </c>
      <c r="F266" s="121" t="s">
        <v>4302</v>
      </c>
      <c r="G266" s="122" t="s">
        <v>284</v>
      </c>
      <c r="H266" s="123">
        <v>154.18</v>
      </c>
      <c r="I266" s="124">
        <v>1.04</v>
      </c>
      <c r="J266" s="124">
        <f>ROUND(I266*H266,2)</f>
        <v>160.35</v>
      </c>
      <c r="K266" s="121" t="s">
        <v>1</v>
      </c>
      <c r="L266" s="24"/>
      <c r="M266" s="125" t="s">
        <v>1</v>
      </c>
      <c r="N266" s="126" t="s">
        <v>32</v>
      </c>
      <c r="O266" s="127">
        <v>0</v>
      </c>
      <c r="P266" s="127">
        <f>O266*H266</f>
        <v>0</v>
      </c>
      <c r="Q266" s="127">
        <v>0</v>
      </c>
      <c r="R266" s="127">
        <f>Q266*H266</f>
        <v>0</v>
      </c>
      <c r="S266" s="127">
        <v>0</v>
      </c>
      <c r="T266" s="128">
        <f>S266*H266</f>
        <v>0</v>
      </c>
      <c r="W266" s="199"/>
      <c r="X266" s="119" t="s">
        <v>382</v>
      </c>
      <c r="Y266" s="119" t="s">
        <v>231</v>
      </c>
      <c r="Z266" s="120" t="s">
        <v>4301</v>
      </c>
      <c r="AA266" s="121" t="s">
        <v>4302</v>
      </c>
      <c r="AB266" s="122" t="s">
        <v>284</v>
      </c>
      <c r="AC266" s="123">
        <v>154.18</v>
      </c>
      <c r="AD266" s="124">
        <v>1.04</v>
      </c>
      <c r="AE266" s="200">
        <f>ROUND(AD266*AC266,2)</f>
        <v>160.35</v>
      </c>
      <c r="AF266" s="956"/>
      <c r="AR266" s="129" t="s">
        <v>235</v>
      </c>
      <c r="AT266" s="129" t="s">
        <v>231</v>
      </c>
      <c r="AU266" s="129" t="s">
        <v>76</v>
      </c>
      <c r="AY266" s="13" t="s">
        <v>228</v>
      </c>
      <c r="BE266" s="130">
        <f>IF(N266="základná",J266,0)</f>
        <v>0</v>
      </c>
      <c r="BF266" s="130">
        <f>IF(N266="znížená",J266,0)</f>
        <v>160.35</v>
      </c>
      <c r="BG266" s="130">
        <f>IF(N266="zákl. prenesená",J266,0)</f>
        <v>0</v>
      </c>
      <c r="BH266" s="130">
        <f>IF(N266="zníž. prenesená",J266,0)</f>
        <v>0</v>
      </c>
      <c r="BI266" s="130">
        <f>IF(N266="nulová",J266,0)</f>
        <v>0</v>
      </c>
      <c r="BJ266" s="13" t="s">
        <v>76</v>
      </c>
      <c r="BK266" s="130">
        <f>ROUND(I266*H266,2)</f>
        <v>160.35</v>
      </c>
      <c r="BL266" s="13" t="s">
        <v>235</v>
      </c>
      <c r="BM266" s="129" t="s">
        <v>542</v>
      </c>
    </row>
    <row r="267" spans="2:65" s="1" customFormat="1" ht="16.5" customHeight="1" x14ac:dyDescent="0.2">
      <c r="B267" s="118"/>
      <c r="C267" s="119" t="s">
        <v>536</v>
      </c>
      <c r="D267" s="119" t="s">
        <v>231</v>
      </c>
      <c r="E267" s="120" t="s">
        <v>4303</v>
      </c>
      <c r="F267" s="121" t="s">
        <v>4304</v>
      </c>
      <c r="G267" s="122" t="s">
        <v>284</v>
      </c>
      <c r="H267" s="123">
        <v>161.88900000000001</v>
      </c>
      <c r="I267" s="124">
        <v>4.18</v>
      </c>
      <c r="J267" s="124">
        <f>ROUND(I267*H267,2)</f>
        <v>676.7</v>
      </c>
      <c r="K267" s="121" t="s">
        <v>1</v>
      </c>
      <c r="L267" s="24"/>
      <c r="M267" s="125" t="s">
        <v>1</v>
      </c>
      <c r="N267" s="126" t="s">
        <v>32</v>
      </c>
      <c r="O267" s="127">
        <v>0</v>
      </c>
      <c r="P267" s="127">
        <f>O267*H267</f>
        <v>0</v>
      </c>
      <c r="Q267" s="127">
        <v>0</v>
      </c>
      <c r="R267" s="127">
        <f>Q267*H267</f>
        <v>0</v>
      </c>
      <c r="S267" s="127">
        <v>0</v>
      </c>
      <c r="T267" s="128">
        <f>S267*H267</f>
        <v>0</v>
      </c>
      <c r="W267" s="199"/>
      <c r="X267" s="119" t="s">
        <v>536</v>
      </c>
      <c r="Y267" s="119" t="s">
        <v>231</v>
      </c>
      <c r="Z267" s="120" t="s">
        <v>4303</v>
      </c>
      <c r="AA267" s="121" t="s">
        <v>4304</v>
      </c>
      <c r="AB267" s="122" t="s">
        <v>284</v>
      </c>
      <c r="AC267" s="123">
        <v>161.88900000000001</v>
      </c>
      <c r="AD267" s="124">
        <v>4.18</v>
      </c>
      <c r="AE267" s="200">
        <f>ROUND(AD267*AC267,2)</f>
        <v>676.7</v>
      </c>
      <c r="AF267" s="956"/>
      <c r="AR267" s="129" t="s">
        <v>235</v>
      </c>
      <c r="AT267" s="129" t="s">
        <v>231</v>
      </c>
      <c r="AU267" s="129" t="s">
        <v>76</v>
      </c>
      <c r="AY267" s="13" t="s">
        <v>228</v>
      </c>
      <c r="BE267" s="130">
        <f>IF(N267="základná",J267,0)</f>
        <v>0</v>
      </c>
      <c r="BF267" s="130">
        <f>IF(N267="znížená",J267,0)</f>
        <v>676.7</v>
      </c>
      <c r="BG267" s="130">
        <f>IF(N267="zákl. prenesená",J267,0)</f>
        <v>0</v>
      </c>
      <c r="BH267" s="130">
        <f>IF(N267="zníž. prenesená",J267,0)</f>
        <v>0</v>
      </c>
      <c r="BI267" s="130">
        <f>IF(N267="nulová",J267,0)</f>
        <v>0</v>
      </c>
      <c r="BJ267" s="13" t="s">
        <v>76</v>
      </c>
      <c r="BK267" s="130">
        <f>ROUND(I267*H267,2)</f>
        <v>676.7</v>
      </c>
      <c r="BL267" s="13" t="s">
        <v>235</v>
      </c>
      <c r="BM267" s="129" t="s">
        <v>546</v>
      </c>
    </row>
    <row r="268" spans="2:65" s="1" customFormat="1" ht="24" customHeight="1" x14ac:dyDescent="0.2">
      <c r="B268" s="118"/>
      <c r="C268" s="119" t="s">
        <v>386</v>
      </c>
      <c r="D268" s="119" t="s">
        <v>231</v>
      </c>
      <c r="E268" s="120" t="s">
        <v>4305</v>
      </c>
      <c r="F268" s="121" t="s">
        <v>4306</v>
      </c>
      <c r="G268" s="122" t="s">
        <v>284</v>
      </c>
      <c r="H268" s="123">
        <v>154.18</v>
      </c>
      <c r="I268" s="124">
        <v>1.97</v>
      </c>
      <c r="J268" s="124">
        <f>ROUND(I268*H268,2)</f>
        <v>303.73</v>
      </c>
      <c r="K268" s="121" t="s">
        <v>1</v>
      </c>
      <c r="L268" s="24"/>
      <c r="M268" s="125" t="s">
        <v>1</v>
      </c>
      <c r="N268" s="126" t="s">
        <v>32</v>
      </c>
      <c r="O268" s="127">
        <v>0</v>
      </c>
      <c r="P268" s="127">
        <f>O268*H268</f>
        <v>0</v>
      </c>
      <c r="Q268" s="127">
        <v>0</v>
      </c>
      <c r="R268" s="127">
        <f>Q268*H268</f>
        <v>0</v>
      </c>
      <c r="S268" s="127">
        <v>0</v>
      </c>
      <c r="T268" s="128">
        <f>S268*H268</f>
        <v>0</v>
      </c>
      <c r="W268" s="199"/>
      <c r="X268" s="119" t="s">
        <v>386</v>
      </c>
      <c r="Y268" s="119" t="s">
        <v>231</v>
      </c>
      <c r="Z268" s="120" t="s">
        <v>4305</v>
      </c>
      <c r="AA268" s="121" t="s">
        <v>4306</v>
      </c>
      <c r="AB268" s="122" t="s">
        <v>284</v>
      </c>
      <c r="AC268" s="123">
        <v>154.18</v>
      </c>
      <c r="AD268" s="124">
        <v>1.97</v>
      </c>
      <c r="AE268" s="200">
        <f>ROUND(AD268*AC268,2)</f>
        <v>303.73</v>
      </c>
      <c r="AF268" s="956"/>
      <c r="AR268" s="129" t="s">
        <v>235</v>
      </c>
      <c r="AT268" s="129" t="s">
        <v>231</v>
      </c>
      <c r="AU268" s="129" t="s">
        <v>76</v>
      </c>
      <c r="AY268" s="13" t="s">
        <v>228</v>
      </c>
      <c r="BE268" s="130">
        <f>IF(N268="základná",J268,0)</f>
        <v>0</v>
      </c>
      <c r="BF268" s="130">
        <f>IF(N268="znížená",J268,0)</f>
        <v>303.73</v>
      </c>
      <c r="BG268" s="130">
        <f>IF(N268="zákl. prenesená",J268,0)</f>
        <v>0</v>
      </c>
      <c r="BH268" s="130">
        <f>IF(N268="zníž. prenesená",J268,0)</f>
        <v>0</v>
      </c>
      <c r="BI268" s="130">
        <f>IF(N268="nulová",J268,0)</f>
        <v>0</v>
      </c>
      <c r="BJ268" s="13" t="s">
        <v>76</v>
      </c>
      <c r="BK268" s="130">
        <f>ROUND(I268*H268,2)</f>
        <v>303.73</v>
      </c>
      <c r="BL268" s="13" t="s">
        <v>235</v>
      </c>
      <c r="BM268" s="129" t="s">
        <v>549</v>
      </c>
    </row>
    <row r="269" spans="2:65" s="1" customFormat="1" ht="16.5" customHeight="1" x14ac:dyDescent="0.2">
      <c r="B269" s="118"/>
      <c r="C269" s="119" t="s">
        <v>543</v>
      </c>
      <c r="D269" s="119" t="s">
        <v>231</v>
      </c>
      <c r="E269" s="120" t="s">
        <v>943</v>
      </c>
      <c r="F269" s="121" t="s">
        <v>944</v>
      </c>
      <c r="G269" s="122" t="s">
        <v>570</v>
      </c>
      <c r="H269" s="123">
        <v>15.329000000000001</v>
      </c>
      <c r="I269" s="124">
        <v>0.99</v>
      </c>
      <c r="J269" s="124">
        <f>ROUND(I269*H269,2)</f>
        <v>15.18</v>
      </c>
      <c r="K269" s="121" t="s">
        <v>1</v>
      </c>
      <c r="L269" s="24"/>
      <c r="M269" s="125" t="s">
        <v>1</v>
      </c>
      <c r="N269" s="126" t="s">
        <v>32</v>
      </c>
      <c r="O269" s="127">
        <v>0</v>
      </c>
      <c r="P269" s="127">
        <f>O269*H269</f>
        <v>0</v>
      </c>
      <c r="Q269" s="127">
        <v>0</v>
      </c>
      <c r="R269" s="127">
        <f>Q269*H269</f>
        <v>0</v>
      </c>
      <c r="S269" s="127">
        <v>0</v>
      </c>
      <c r="T269" s="128">
        <f>S269*H269</f>
        <v>0</v>
      </c>
      <c r="W269" s="199"/>
      <c r="X269" s="119" t="s">
        <v>543</v>
      </c>
      <c r="Y269" s="119" t="s">
        <v>231</v>
      </c>
      <c r="Z269" s="120" t="s">
        <v>943</v>
      </c>
      <c r="AA269" s="121" t="s">
        <v>944</v>
      </c>
      <c r="AB269" s="122" t="s">
        <v>570</v>
      </c>
      <c r="AC269" s="123">
        <v>15.329000000000001</v>
      </c>
      <c r="AD269" s="124">
        <v>0.99</v>
      </c>
      <c r="AE269" s="200">
        <f>ROUND(AD269*AC269,2)</f>
        <v>15.18</v>
      </c>
      <c r="AF269" s="956"/>
      <c r="AR269" s="129" t="s">
        <v>235</v>
      </c>
      <c r="AT269" s="129" t="s">
        <v>231</v>
      </c>
      <c r="AU269" s="129" t="s">
        <v>76</v>
      </c>
      <c r="AY269" s="13" t="s">
        <v>228</v>
      </c>
      <c r="BE269" s="130">
        <f>IF(N269="základná",J269,0)</f>
        <v>0</v>
      </c>
      <c r="BF269" s="130">
        <f>IF(N269="znížená",J269,0)</f>
        <v>15.18</v>
      </c>
      <c r="BG269" s="130">
        <f>IF(N269="zákl. prenesená",J269,0)</f>
        <v>0</v>
      </c>
      <c r="BH269" s="130">
        <f>IF(N269="zníž. prenesená",J269,0)</f>
        <v>0</v>
      </c>
      <c r="BI269" s="130">
        <f>IF(N269="nulová",J269,0)</f>
        <v>0</v>
      </c>
      <c r="BJ269" s="13" t="s">
        <v>76</v>
      </c>
      <c r="BK269" s="130">
        <f>ROUND(I269*H269,2)</f>
        <v>15.18</v>
      </c>
      <c r="BL269" s="13" t="s">
        <v>235</v>
      </c>
      <c r="BM269" s="129" t="s">
        <v>555</v>
      </c>
    </row>
    <row r="270" spans="2:65" s="11" customFormat="1" ht="22.95" customHeight="1" x14ac:dyDescent="0.25">
      <c r="B270" s="106"/>
      <c r="D270" s="107" t="s">
        <v>57</v>
      </c>
      <c r="E270" s="116" t="s">
        <v>572</v>
      </c>
      <c r="F270" s="116" t="s">
        <v>573</v>
      </c>
      <c r="J270" s="117">
        <f>BK270</f>
        <v>177.63</v>
      </c>
      <c r="L270" s="106"/>
      <c r="M270" s="110"/>
      <c r="N270" s="111"/>
      <c r="O270" s="111"/>
      <c r="P270" s="112">
        <f>SUM(P272:P273)</f>
        <v>0</v>
      </c>
      <c r="Q270" s="111"/>
      <c r="R270" s="112">
        <f>SUM(R272:R273)</f>
        <v>0</v>
      </c>
      <c r="S270" s="111"/>
      <c r="T270" s="113">
        <f>SUM(T272:T273)</f>
        <v>0</v>
      </c>
      <c r="W270" s="195"/>
      <c r="X270" s="111"/>
      <c r="Y270" s="196" t="s">
        <v>57</v>
      </c>
      <c r="Z270" s="201" t="s">
        <v>572</v>
      </c>
      <c r="AA270" s="201" t="s">
        <v>573</v>
      </c>
      <c r="AB270" s="111"/>
      <c r="AC270" s="111"/>
      <c r="AD270" s="111"/>
      <c r="AE270" s="202">
        <f>SUM(AE271:AE273)</f>
        <v>219.91</v>
      </c>
      <c r="AF270" s="956"/>
      <c r="AR270" s="107" t="s">
        <v>63</v>
      </c>
      <c r="AT270" s="114" t="s">
        <v>57</v>
      </c>
      <c r="AU270" s="114" t="s">
        <v>63</v>
      </c>
      <c r="AY270" s="107" t="s">
        <v>228</v>
      </c>
      <c r="BK270" s="115">
        <f>SUM(BK272:BK273)</f>
        <v>177.63</v>
      </c>
    </row>
    <row r="271" spans="2:65" s="1051" customFormat="1" ht="27" customHeight="1" x14ac:dyDescent="0.2">
      <c r="B271" s="1052"/>
      <c r="C271" s="1234" t="s">
        <v>5205</v>
      </c>
      <c r="D271" s="1235"/>
      <c r="E271" s="1235"/>
      <c r="F271" s="1235"/>
      <c r="G271" s="1235"/>
      <c r="H271" s="1235"/>
      <c r="I271" s="1235"/>
      <c r="J271" s="1236"/>
      <c r="L271" s="1052"/>
      <c r="M271" s="1054"/>
      <c r="N271" s="1055"/>
      <c r="O271" s="1055"/>
      <c r="P271" s="1056"/>
      <c r="Q271" s="1055"/>
      <c r="R271" s="1056"/>
      <c r="S271" s="1055"/>
      <c r="T271" s="1057"/>
      <c r="W271" s="1061"/>
      <c r="X271" s="1072" t="s">
        <v>6619</v>
      </c>
      <c r="Y271" s="1072" t="s">
        <v>231</v>
      </c>
      <c r="Z271" s="1073" t="s">
        <v>6351</v>
      </c>
      <c r="AA271" s="1074" t="s">
        <v>6352</v>
      </c>
      <c r="AB271" s="1075" t="s">
        <v>243</v>
      </c>
      <c r="AC271" s="1076">
        <v>2</v>
      </c>
      <c r="AD271" s="1077">
        <v>50</v>
      </c>
      <c r="AE271" s="1078">
        <f>ROUND(AD271*AC271,2)</f>
        <v>100</v>
      </c>
      <c r="AF271" s="956" t="s">
        <v>5478</v>
      </c>
      <c r="AR271" s="1053"/>
      <c r="AT271" s="1058"/>
      <c r="AU271" s="1058"/>
      <c r="AY271" s="1053"/>
      <c r="BK271" s="1059"/>
    </row>
    <row r="272" spans="2:65" s="1" customFormat="1" ht="24" customHeight="1" x14ac:dyDescent="0.2">
      <c r="B272" s="118"/>
      <c r="C272" s="1070" t="s">
        <v>389</v>
      </c>
      <c r="D272" s="119" t="s">
        <v>231</v>
      </c>
      <c r="E272" s="120" t="s">
        <v>575</v>
      </c>
      <c r="F272" s="121" t="s">
        <v>576</v>
      </c>
      <c r="G272" s="122" t="s">
        <v>243</v>
      </c>
      <c r="H272" s="1071">
        <v>6</v>
      </c>
      <c r="I272" s="124">
        <v>29.03</v>
      </c>
      <c r="J272" s="124">
        <f>ROUND(I272*H272,2)</f>
        <v>174.18</v>
      </c>
      <c r="K272" s="121" t="s">
        <v>1</v>
      </c>
      <c r="L272" s="24"/>
      <c r="M272" s="125" t="s">
        <v>1</v>
      </c>
      <c r="N272" s="126" t="s">
        <v>32</v>
      </c>
      <c r="O272" s="127">
        <v>0</v>
      </c>
      <c r="P272" s="127">
        <f>O272*H272</f>
        <v>0</v>
      </c>
      <c r="Q272" s="127">
        <v>0</v>
      </c>
      <c r="R272" s="127">
        <f>Q272*H272</f>
        <v>0</v>
      </c>
      <c r="S272" s="127">
        <v>0</v>
      </c>
      <c r="T272" s="128">
        <f>S272*H272</f>
        <v>0</v>
      </c>
      <c r="W272" s="199"/>
      <c r="X272" s="1070" t="s">
        <v>389</v>
      </c>
      <c r="Y272" s="119" t="s">
        <v>231</v>
      </c>
      <c r="Z272" s="120" t="s">
        <v>575</v>
      </c>
      <c r="AA272" s="121" t="s">
        <v>576</v>
      </c>
      <c r="AB272" s="122" t="s">
        <v>243</v>
      </c>
      <c r="AC272" s="1071">
        <f>6-2</f>
        <v>4</v>
      </c>
      <c r="AD272" s="124">
        <v>29.03</v>
      </c>
      <c r="AE272" s="200">
        <f>ROUND(AD272*AC272,2)</f>
        <v>116.12</v>
      </c>
      <c r="AF272" s="956" t="s">
        <v>5478</v>
      </c>
      <c r="AR272" s="129" t="s">
        <v>235</v>
      </c>
      <c r="AT272" s="129" t="s">
        <v>231</v>
      </c>
      <c r="AU272" s="129" t="s">
        <v>76</v>
      </c>
      <c r="AY272" s="13" t="s">
        <v>228</v>
      </c>
      <c r="BE272" s="130">
        <f>IF(N272="základná",J272,0)</f>
        <v>0</v>
      </c>
      <c r="BF272" s="130">
        <f>IF(N272="znížená",J272,0)</f>
        <v>174.18</v>
      </c>
      <c r="BG272" s="130">
        <f>IF(N272="zákl. prenesená",J272,0)</f>
        <v>0</v>
      </c>
      <c r="BH272" s="130">
        <f>IF(N272="zníž. prenesená",J272,0)</f>
        <v>0</v>
      </c>
      <c r="BI272" s="130">
        <f>IF(N272="nulová",J272,0)</f>
        <v>0</v>
      </c>
      <c r="BJ272" s="13" t="s">
        <v>76</v>
      </c>
      <c r="BK272" s="130">
        <f>ROUND(I272*H272,2)</f>
        <v>174.18</v>
      </c>
      <c r="BL272" s="13" t="s">
        <v>235</v>
      </c>
      <c r="BM272" s="129" t="s">
        <v>562</v>
      </c>
    </row>
    <row r="273" spans="2:65" s="1" customFormat="1" ht="16.5" customHeight="1" x14ac:dyDescent="0.2">
      <c r="B273" s="118"/>
      <c r="C273" s="1070" t="s">
        <v>552</v>
      </c>
      <c r="D273" s="119" t="s">
        <v>231</v>
      </c>
      <c r="E273" s="120" t="s">
        <v>578</v>
      </c>
      <c r="F273" s="121" t="s">
        <v>1036</v>
      </c>
      <c r="G273" s="122" t="s">
        <v>570</v>
      </c>
      <c r="H273" s="1071">
        <v>4.26</v>
      </c>
      <c r="I273" s="124">
        <v>0.81</v>
      </c>
      <c r="J273" s="124">
        <f>ROUND(I273*H273,2)</f>
        <v>3.45</v>
      </c>
      <c r="K273" s="121" t="s">
        <v>1</v>
      </c>
      <c r="L273" s="24"/>
      <c r="M273" s="125" t="s">
        <v>1</v>
      </c>
      <c r="N273" s="126" t="s">
        <v>32</v>
      </c>
      <c r="O273" s="127">
        <v>0</v>
      </c>
      <c r="P273" s="127">
        <f>O273*H273</f>
        <v>0</v>
      </c>
      <c r="Q273" s="127">
        <v>0</v>
      </c>
      <c r="R273" s="127">
        <f>Q273*H273</f>
        <v>0</v>
      </c>
      <c r="S273" s="127">
        <v>0</v>
      </c>
      <c r="T273" s="128">
        <f>S273*H273</f>
        <v>0</v>
      </c>
      <c r="W273" s="199"/>
      <c r="X273" s="1070" t="s">
        <v>552</v>
      </c>
      <c r="Y273" s="119" t="s">
        <v>231</v>
      </c>
      <c r="Z273" s="120" t="s">
        <v>578</v>
      </c>
      <c r="AA273" s="121" t="s">
        <v>1036</v>
      </c>
      <c r="AB273" s="122" t="s">
        <v>570</v>
      </c>
      <c r="AC273" s="1071">
        <f>4.26+0.419</f>
        <v>4.6789999999999994</v>
      </c>
      <c r="AD273" s="124">
        <v>0.81</v>
      </c>
      <c r="AE273" s="200">
        <f>ROUND(AD273*AC273,2)</f>
        <v>3.79</v>
      </c>
      <c r="AF273" s="956" t="s">
        <v>5478</v>
      </c>
      <c r="AR273" s="129" t="s">
        <v>235</v>
      </c>
      <c r="AT273" s="129" t="s">
        <v>231</v>
      </c>
      <c r="AU273" s="129" t="s">
        <v>76</v>
      </c>
      <c r="AY273" s="13" t="s">
        <v>228</v>
      </c>
      <c r="BE273" s="130">
        <f>IF(N273="základná",J273,0)</f>
        <v>0</v>
      </c>
      <c r="BF273" s="130">
        <f>IF(N273="znížená",J273,0)</f>
        <v>3.45</v>
      </c>
      <c r="BG273" s="130">
        <f>IF(N273="zákl. prenesená",J273,0)</f>
        <v>0</v>
      </c>
      <c r="BH273" s="130">
        <f>IF(N273="zníž. prenesená",J273,0)</f>
        <v>0</v>
      </c>
      <c r="BI273" s="130">
        <f>IF(N273="nulová",J273,0)</f>
        <v>0</v>
      </c>
      <c r="BJ273" s="13" t="s">
        <v>76</v>
      </c>
      <c r="BK273" s="130">
        <f>ROUND(I273*H273,2)</f>
        <v>3.45</v>
      </c>
      <c r="BL273" s="13" t="s">
        <v>235</v>
      </c>
      <c r="BM273" s="129" t="s">
        <v>567</v>
      </c>
    </row>
    <row r="274" spans="2:65" s="11" customFormat="1" ht="22.95" customHeight="1" x14ac:dyDescent="0.25">
      <c r="B274" s="106"/>
      <c r="D274" s="107" t="s">
        <v>57</v>
      </c>
      <c r="E274" s="116" t="s">
        <v>581</v>
      </c>
      <c r="F274" s="116" t="s">
        <v>582</v>
      </c>
      <c r="J274" s="117">
        <f>BK274</f>
        <v>136.91</v>
      </c>
      <c r="L274" s="106"/>
      <c r="M274" s="110"/>
      <c r="N274" s="111"/>
      <c r="O274" s="111"/>
      <c r="P274" s="112">
        <f>SUM(P275:P279)</f>
        <v>0</v>
      </c>
      <c r="Q274" s="111"/>
      <c r="R274" s="112">
        <f>SUM(R275:R279)</f>
        <v>0</v>
      </c>
      <c r="S274" s="111"/>
      <c r="T274" s="113">
        <f>SUM(T275:T279)</f>
        <v>0</v>
      </c>
      <c r="W274" s="195"/>
      <c r="X274" s="111"/>
      <c r="Y274" s="196" t="s">
        <v>57</v>
      </c>
      <c r="Z274" s="201" t="s">
        <v>581</v>
      </c>
      <c r="AA274" s="201" t="s">
        <v>582</v>
      </c>
      <c r="AB274" s="111"/>
      <c r="AC274" s="111"/>
      <c r="AD274" s="111"/>
      <c r="AE274" s="202">
        <f>SUM(AE275:AE279)</f>
        <v>155.48000000000002</v>
      </c>
      <c r="AF274" s="956"/>
      <c r="AR274" s="107" t="s">
        <v>63</v>
      </c>
      <c r="AT274" s="114" t="s">
        <v>57</v>
      </c>
      <c r="AU274" s="114" t="s">
        <v>63</v>
      </c>
      <c r="AY274" s="107" t="s">
        <v>228</v>
      </c>
      <c r="BK274" s="115">
        <f>SUM(BK275:BK279)</f>
        <v>136.91</v>
      </c>
    </row>
    <row r="275" spans="2:65" s="1" customFormat="1" ht="16.5" customHeight="1" x14ac:dyDescent="0.2">
      <c r="B275" s="118"/>
      <c r="C275" s="1070" t="s">
        <v>393</v>
      </c>
      <c r="D275" s="119" t="s">
        <v>231</v>
      </c>
      <c r="E275" s="120" t="s">
        <v>583</v>
      </c>
      <c r="F275" s="121" t="s">
        <v>584</v>
      </c>
      <c r="G275" s="122" t="s">
        <v>243</v>
      </c>
      <c r="H275" s="1071">
        <v>3</v>
      </c>
      <c r="I275" s="124">
        <v>5.81</v>
      </c>
      <c r="J275" s="124">
        <f>ROUND(I275*H275,2)</f>
        <v>17.43</v>
      </c>
      <c r="K275" s="121" t="s">
        <v>1</v>
      </c>
      <c r="L275" s="24"/>
      <c r="M275" s="125" t="s">
        <v>1</v>
      </c>
      <c r="N275" s="126" t="s">
        <v>32</v>
      </c>
      <c r="O275" s="127">
        <v>0</v>
      </c>
      <c r="P275" s="127">
        <f>O275*H275</f>
        <v>0</v>
      </c>
      <c r="Q275" s="127">
        <v>0</v>
      </c>
      <c r="R275" s="127">
        <f>Q275*H275</f>
        <v>0</v>
      </c>
      <c r="S275" s="127">
        <v>0</v>
      </c>
      <c r="T275" s="128">
        <f>S275*H275</f>
        <v>0</v>
      </c>
      <c r="W275" s="199"/>
      <c r="X275" s="1070" t="s">
        <v>393</v>
      </c>
      <c r="Y275" s="119" t="s">
        <v>231</v>
      </c>
      <c r="Z275" s="120" t="s">
        <v>583</v>
      </c>
      <c r="AA275" s="121" t="s">
        <v>584</v>
      </c>
      <c r="AB275" s="122" t="s">
        <v>243</v>
      </c>
      <c r="AC275" s="1071">
        <f>3+1</f>
        <v>4</v>
      </c>
      <c r="AD275" s="124">
        <v>5.81</v>
      </c>
      <c r="AE275" s="200">
        <f>ROUND(AD275*AC275,2)</f>
        <v>23.24</v>
      </c>
      <c r="AF275" s="956" t="s">
        <v>5478</v>
      </c>
      <c r="AR275" s="129" t="s">
        <v>235</v>
      </c>
      <c r="AT275" s="129" t="s">
        <v>231</v>
      </c>
      <c r="AU275" s="129" t="s">
        <v>76</v>
      </c>
      <c r="AY275" s="13" t="s">
        <v>228</v>
      </c>
      <c r="BE275" s="130">
        <f>IF(N275="základná",J275,0)</f>
        <v>0</v>
      </c>
      <c r="BF275" s="130">
        <f>IF(N275="znížená",J275,0)</f>
        <v>17.43</v>
      </c>
      <c r="BG275" s="130">
        <f>IF(N275="zákl. prenesená",J275,0)</f>
        <v>0</v>
      </c>
      <c r="BH275" s="130">
        <f>IF(N275="zníž. prenesená",J275,0)</f>
        <v>0</v>
      </c>
      <c r="BI275" s="130">
        <f>IF(N275="nulová",J275,0)</f>
        <v>0</v>
      </c>
      <c r="BJ275" s="13" t="s">
        <v>76</v>
      </c>
      <c r="BK275" s="130">
        <f>ROUND(I275*H275,2)</f>
        <v>17.43</v>
      </c>
      <c r="BL275" s="13" t="s">
        <v>235</v>
      </c>
      <c r="BM275" s="129" t="s">
        <v>571</v>
      </c>
    </row>
    <row r="276" spans="2:65" s="1" customFormat="1" ht="16.5" customHeight="1" x14ac:dyDescent="0.2">
      <c r="B276" s="118"/>
      <c r="C276" s="1070" t="s">
        <v>563</v>
      </c>
      <c r="D276" s="119" t="s">
        <v>231</v>
      </c>
      <c r="E276" s="120" t="s">
        <v>586</v>
      </c>
      <c r="F276" s="121" t="s">
        <v>587</v>
      </c>
      <c r="G276" s="122" t="s">
        <v>243</v>
      </c>
      <c r="H276" s="1071">
        <v>12</v>
      </c>
      <c r="I276" s="124">
        <v>4.6399999999999997</v>
      </c>
      <c r="J276" s="124">
        <f>ROUND(I276*H276,2)</f>
        <v>55.68</v>
      </c>
      <c r="K276" s="121" t="s">
        <v>1</v>
      </c>
      <c r="L276" s="24"/>
      <c r="M276" s="125" t="s">
        <v>1</v>
      </c>
      <c r="N276" s="126" t="s">
        <v>32</v>
      </c>
      <c r="O276" s="127">
        <v>0</v>
      </c>
      <c r="P276" s="127">
        <f>O276*H276</f>
        <v>0</v>
      </c>
      <c r="Q276" s="127">
        <v>0</v>
      </c>
      <c r="R276" s="127">
        <f>Q276*H276</f>
        <v>0</v>
      </c>
      <c r="S276" s="127">
        <v>0</v>
      </c>
      <c r="T276" s="128">
        <f>S276*H276</f>
        <v>0</v>
      </c>
      <c r="W276" s="199"/>
      <c r="X276" s="1070" t="s">
        <v>563</v>
      </c>
      <c r="Y276" s="119" t="s">
        <v>231</v>
      </c>
      <c r="Z276" s="120" t="s">
        <v>586</v>
      </c>
      <c r="AA276" s="121" t="s">
        <v>587</v>
      </c>
      <c r="AB276" s="122" t="s">
        <v>243</v>
      </c>
      <c r="AC276" s="1071">
        <f>12+1</f>
        <v>13</v>
      </c>
      <c r="AD276" s="124">
        <v>4.6399999999999997</v>
      </c>
      <c r="AE276" s="200">
        <f>ROUND(AD276*AC276,2)</f>
        <v>60.32</v>
      </c>
      <c r="AF276" s="956" t="s">
        <v>5478</v>
      </c>
      <c r="AR276" s="129" t="s">
        <v>235</v>
      </c>
      <c r="AT276" s="129" t="s">
        <v>231</v>
      </c>
      <c r="AU276" s="129" t="s">
        <v>76</v>
      </c>
      <c r="AY276" s="13" t="s">
        <v>228</v>
      </c>
      <c r="BE276" s="130">
        <f>IF(N276="základná",J276,0)</f>
        <v>0</v>
      </c>
      <c r="BF276" s="130">
        <f>IF(N276="znížená",J276,0)</f>
        <v>55.68</v>
      </c>
      <c r="BG276" s="130">
        <f>IF(N276="zákl. prenesená",J276,0)</f>
        <v>0</v>
      </c>
      <c r="BH276" s="130">
        <f>IF(N276="zníž. prenesená",J276,0)</f>
        <v>0</v>
      </c>
      <c r="BI276" s="130">
        <f>IF(N276="nulová",J276,0)</f>
        <v>0</v>
      </c>
      <c r="BJ276" s="13" t="s">
        <v>76</v>
      </c>
      <c r="BK276" s="130">
        <f>ROUND(I276*H276,2)</f>
        <v>55.68</v>
      </c>
      <c r="BL276" s="13" t="s">
        <v>235</v>
      </c>
      <c r="BM276" s="129" t="s">
        <v>577</v>
      </c>
    </row>
    <row r="277" spans="2:65" s="1" customFormat="1" ht="16.5" customHeight="1" x14ac:dyDescent="0.2">
      <c r="B277" s="118"/>
      <c r="C277" s="119" t="s">
        <v>396</v>
      </c>
      <c r="D277" s="119" t="s">
        <v>231</v>
      </c>
      <c r="E277" s="120" t="s">
        <v>596</v>
      </c>
      <c r="F277" s="121" t="s">
        <v>597</v>
      </c>
      <c r="G277" s="122" t="s">
        <v>243</v>
      </c>
      <c r="H277" s="123">
        <v>1</v>
      </c>
      <c r="I277" s="124">
        <v>4.6399999999999997</v>
      </c>
      <c r="J277" s="124">
        <f>ROUND(I277*H277,2)</f>
        <v>4.6399999999999997</v>
      </c>
      <c r="K277" s="121" t="s">
        <v>1</v>
      </c>
      <c r="L277" s="24"/>
      <c r="M277" s="125" t="s">
        <v>1</v>
      </c>
      <c r="N277" s="126" t="s">
        <v>32</v>
      </c>
      <c r="O277" s="127">
        <v>0</v>
      </c>
      <c r="P277" s="127">
        <f>O277*H277</f>
        <v>0</v>
      </c>
      <c r="Q277" s="127">
        <v>0</v>
      </c>
      <c r="R277" s="127">
        <f>Q277*H277</f>
        <v>0</v>
      </c>
      <c r="S277" s="127">
        <v>0</v>
      </c>
      <c r="T277" s="128">
        <f>S277*H277</f>
        <v>0</v>
      </c>
      <c r="W277" s="199"/>
      <c r="X277" s="119" t="s">
        <v>396</v>
      </c>
      <c r="Y277" s="119" t="s">
        <v>231</v>
      </c>
      <c r="Z277" s="120" t="s">
        <v>596</v>
      </c>
      <c r="AA277" s="121" t="s">
        <v>597</v>
      </c>
      <c r="AB277" s="122" t="s">
        <v>243</v>
      </c>
      <c r="AC277" s="123">
        <v>1</v>
      </c>
      <c r="AD277" s="124">
        <v>4.6399999999999997</v>
      </c>
      <c r="AE277" s="200">
        <f>ROUND(AD277*AC277,2)</f>
        <v>4.6399999999999997</v>
      </c>
      <c r="AF277" s="956"/>
      <c r="AR277" s="129" t="s">
        <v>235</v>
      </c>
      <c r="AT277" s="129" t="s">
        <v>231</v>
      </c>
      <c r="AU277" s="129" t="s">
        <v>76</v>
      </c>
      <c r="AY277" s="13" t="s">
        <v>228</v>
      </c>
      <c r="BE277" s="130">
        <f>IF(N277="základná",J277,0)</f>
        <v>0</v>
      </c>
      <c r="BF277" s="130">
        <f>IF(N277="znížená",J277,0)</f>
        <v>4.6399999999999997</v>
      </c>
      <c r="BG277" s="130">
        <f>IF(N277="zákl. prenesená",J277,0)</f>
        <v>0</v>
      </c>
      <c r="BH277" s="130">
        <f>IF(N277="zníž. prenesená",J277,0)</f>
        <v>0</v>
      </c>
      <c r="BI277" s="130">
        <f>IF(N277="nulová",J277,0)</f>
        <v>0</v>
      </c>
      <c r="BJ277" s="13" t="s">
        <v>76</v>
      </c>
      <c r="BK277" s="130">
        <f>ROUND(I277*H277,2)</f>
        <v>4.6399999999999997</v>
      </c>
      <c r="BL277" s="13" t="s">
        <v>235</v>
      </c>
      <c r="BM277" s="129" t="s">
        <v>580</v>
      </c>
    </row>
    <row r="278" spans="2:65" s="1" customFormat="1" ht="16.5" customHeight="1" x14ac:dyDescent="0.2">
      <c r="B278" s="118"/>
      <c r="C278" s="1070" t="s">
        <v>574</v>
      </c>
      <c r="D278" s="119" t="s">
        <v>231</v>
      </c>
      <c r="E278" s="120" t="s">
        <v>599</v>
      </c>
      <c r="F278" s="121" t="s">
        <v>600</v>
      </c>
      <c r="G278" s="122" t="s">
        <v>243</v>
      </c>
      <c r="H278" s="1071">
        <v>13</v>
      </c>
      <c r="I278" s="124">
        <v>3.48</v>
      </c>
      <c r="J278" s="124">
        <f>ROUND(I278*H278,2)</f>
        <v>45.24</v>
      </c>
      <c r="K278" s="121" t="s">
        <v>1</v>
      </c>
      <c r="L278" s="24"/>
      <c r="M278" s="125" t="s">
        <v>1</v>
      </c>
      <c r="N278" s="126" t="s">
        <v>32</v>
      </c>
      <c r="O278" s="127">
        <v>0</v>
      </c>
      <c r="P278" s="127">
        <f>O278*H278</f>
        <v>0</v>
      </c>
      <c r="Q278" s="127">
        <v>0</v>
      </c>
      <c r="R278" s="127">
        <f>Q278*H278</f>
        <v>0</v>
      </c>
      <c r="S278" s="127">
        <v>0</v>
      </c>
      <c r="T278" s="128">
        <f>S278*H278</f>
        <v>0</v>
      </c>
      <c r="W278" s="199"/>
      <c r="X278" s="1070" t="s">
        <v>574</v>
      </c>
      <c r="Y278" s="119" t="s">
        <v>231</v>
      </c>
      <c r="Z278" s="120" t="s">
        <v>599</v>
      </c>
      <c r="AA278" s="121" t="s">
        <v>600</v>
      </c>
      <c r="AB278" s="122" t="s">
        <v>243</v>
      </c>
      <c r="AC278" s="1071">
        <f>13+1</f>
        <v>14</v>
      </c>
      <c r="AD278" s="124">
        <v>3.48</v>
      </c>
      <c r="AE278" s="200">
        <f>ROUND(AD278*AC278,2)</f>
        <v>48.72</v>
      </c>
      <c r="AF278" s="956" t="s">
        <v>5478</v>
      </c>
      <c r="AR278" s="129" t="s">
        <v>235</v>
      </c>
      <c r="AT278" s="129" t="s">
        <v>231</v>
      </c>
      <c r="AU278" s="129" t="s">
        <v>76</v>
      </c>
      <c r="AY278" s="13" t="s">
        <v>228</v>
      </c>
      <c r="BE278" s="130">
        <f>IF(N278="základná",J278,0)</f>
        <v>0</v>
      </c>
      <c r="BF278" s="130">
        <f>IF(N278="znížená",J278,0)</f>
        <v>45.24</v>
      </c>
      <c r="BG278" s="130">
        <f>IF(N278="zákl. prenesená",J278,0)</f>
        <v>0</v>
      </c>
      <c r="BH278" s="130">
        <f>IF(N278="zníž. prenesená",J278,0)</f>
        <v>0</v>
      </c>
      <c r="BI278" s="130">
        <f>IF(N278="nulová",J278,0)</f>
        <v>0</v>
      </c>
      <c r="BJ278" s="13" t="s">
        <v>76</v>
      </c>
      <c r="BK278" s="130">
        <f>ROUND(I278*H278,2)</f>
        <v>45.24</v>
      </c>
      <c r="BL278" s="13" t="s">
        <v>235</v>
      </c>
      <c r="BM278" s="129" t="s">
        <v>585</v>
      </c>
    </row>
    <row r="279" spans="2:65" s="1" customFormat="1" ht="16.5" customHeight="1" x14ac:dyDescent="0.2">
      <c r="B279" s="118"/>
      <c r="C279" s="1070" t="s">
        <v>400</v>
      </c>
      <c r="D279" s="119" t="s">
        <v>231</v>
      </c>
      <c r="E279" s="120" t="s">
        <v>603</v>
      </c>
      <c r="F279" s="121" t="s">
        <v>604</v>
      </c>
      <c r="G279" s="122" t="s">
        <v>243</v>
      </c>
      <c r="H279" s="1071">
        <v>3</v>
      </c>
      <c r="I279" s="124">
        <v>4.6399999999999997</v>
      </c>
      <c r="J279" s="124">
        <f>ROUND(I279*H279,2)</f>
        <v>13.92</v>
      </c>
      <c r="K279" s="121" t="s">
        <v>1</v>
      </c>
      <c r="L279" s="24"/>
      <c r="M279" s="125" t="s">
        <v>1</v>
      </c>
      <c r="N279" s="126" t="s">
        <v>32</v>
      </c>
      <c r="O279" s="127">
        <v>0</v>
      </c>
      <c r="P279" s="127">
        <f>O279*H279</f>
        <v>0</v>
      </c>
      <c r="Q279" s="127">
        <v>0</v>
      </c>
      <c r="R279" s="127">
        <f>Q279*H279</f>
        <v>0</v>
      </c>
      <c r="S279" s="127">
        <v>0</v>
      </c>
      <c r="T279" s="128">
        <f>S279*H279</f>
        <v>0</v>
      </c>
      <c r="W279" s="199"/>
      <c r="X279" s="1070" t="s">
        <v>400</v>
      </c>
      <c r="Y279" s="119" t="s">
        <v>231</v>
      </c>
      <c r="Z279" s="120" t="s">
        <v>603</v>
      </c>
      <c r="AA279" s="121" t="s">
        <v>604</v>
      </c>
      <c r="AB279" s="122" t="s">
        <v>243</v>
      </c>
      <c r="AC279" s="1071">
        <f>3+1</f>
        <v>4</v>
      </c>
      <c r="AD279" s="124">
        <v>4.6399999999999997</v>
      </c>
      <c r="AE279" s="200">
        <f>ROUND(AD279*AC279,2)</f>
        <v>18.559999999999999</v>
      </c>
      <c r="AF279" s="956" t="s">
        <v>5478</v>
      </c>
      <c r="AR279" s="129" t="s">
        <v>235</v>
      </c>
      <c r="AT279" s="129" t="s">
        <v>231</v>
      </c>
      <c r="AU279" s="129" t="s">
        <v>76</v>
      </c>
      <c r="AY279" s="13" t="s">
        <v>228</v>
      </c>
      <c r="BE279" s="130">
        <f>IF(N279="základná",J279,0)</f>
        <v>0</v>
      </c>
      <c r="BF279" s="130">
        <f>IF(N279="znížená",J279,0)</f>
        <v>13.92</v>
      </c>
      <c r="BG279" s="130">
        <f>IF(N279="zákl. prenesená",J279,0)</f>
        <v>0</v>
      </c>
      <c r="BH279" s="130">
        <f>IF(N279="zníž. prenesená",J279,0)</f>
        <v>0</v>
      </c>
      <c r="BI279" s="130">
        <f>IF(N279="nulová",J279,0)</f>
        <v>0</v>
      </c>
      <c r="BJ279" s="13" t="s">
        <v>76</v>
      </c>
      <c r="BK279" s="130">
        <f>ROUND(I279*H279,2)</f>
        <v>13.92</v>
      </c>
      <c r="BL279" s="13" t="s">
        <v>235</v>
      </c>
      <c r="BM279" s="129" t="s">
        <v>588</v>
      </c>
    </row>
    <row r="280" spans="2:65" s="11" customFormat="1" ht="22.95" customHeight="1" x14ac:dyDescent="0.25">
      <c r="B280" s="106"/>
      <c r="D280" s="107" t="s">
        <v>57</v>
      </c>
      <c r="E280" s="116" t="s">
        <v>606</v>
      </c>
      <c r="F280" s="116" t="s">
        <v>607</v>
      </c>
      <c r="J280" s="117">
        <f>BK280</f>
        <v>95.67</v>
      </c>
      <c r="L280" s="106"/>
      <c r="M280" s="110"/>
      <c r="N280" s="111"/>
      <c r="O280" s="111"/>
      <c r="P280" s="112">
        <f>SUM(P281:P283)</f>
        <v>0</v>
      </c>
      <c r="Q280" s="111"/>
      <c r="R280" s="112">
        <f>SUM(R281:R283)</f>
        <v>0</v>
      </c>
      <c r="S280" s="111"/>
      <c r="T280" s="113">
        <f>SUM(T281:T283)</f>
        <v>0</v>
      </c>
      <c r="W280" s="195"/>
      <c r="X280" s="111"/>
      <c r="Y280" s="196" t="s">
        <v>57</v>
      </c>
      <c r="Z280" s="201" t="s">
        <v>606</v>
      </c>
      <c r="AA280" s="201" t="s">
        <v>607</v>
      </c>
      <c r="AB280" s="111"/>
      <c r="AC280" s="111"/>
      <c r="AD280" s="111"/>
      <c r="AE280" s="202">
        <f>SUM(AE281:AE283)</f>
        <v>371.14</v>
      </c>
      <c r="AF280" s="956"/>
      <c r="AR280" s="107" t="s">
        <v>63</v>
      </c>
      <c r="AT280" s="114" t="s">
        <v>57</v>
      </c>
      <c r="AU280" s="114" t="s">
        <v>63</v>
      </c>
      <c r="AY280" s="107" t="s">
        <v>228</v>
      </c>
      <c r="BK280" s="115">
        <f>SUM(BK281:BK283)</f>
        <v>95.67</v>
      </c>
    </row>
    <row r="281" spans="2:65" s="1" customFormat="1" ht="24" customHeight="1" x14ac:dyDescent="0.2">
      <c r="B281" s="118"/>
      <c r="C281" s="1070" t="s">
        <v>405</v>
      </c>
      <c r="D281" s="119" t="s">
        <v>231</v>
      </c>
      <c r="E281" s="120" t="s">
        <v>608</v>
      </c>
      <c r="F281" s="121" t="s">
        <v>609</v>
      </c>
      <c r="G281" s="122" t="s">
        <v>292</v>
      </c>
      <c r="H281" s="1071">
        <v>15.1</v>
      </c>
      <c r="I281" s="124">
        <v>5.81</v>
      </c>
      <c r="J281" s="124">
        <f>ROUND(I281*H281,2)</f>
        <v>87.73</v>
      </c>
      <c r="K281" s="121" t="s">
        <v>1</v>
      </c>
      <c r="L281" s="24"/>
      <c r="M281" s="125" t="s">
        <v>1</v>
      </c>
      <c r="N281" s="126" t="s">
        <v>32</v>
      </c>
      <c r="O281" s="127">
        <v>0</v>
      </c>
      <c r="P281" s="127">
        <f>O281*H281</f>
        <v>0</v>
      </c>
      <c r="Q281" s="127">
        <v>0</v>
      </c>
      <c r="R281" s="127">
        <f>Q281*H281</f>
        <v>0</v>
      </c>
      <c r="S281" s="127">
        <v>0</v>
      </c>
      <c r="T281" s="128">
        <f>S281*H281</f>
        <v>0</v>
      </c>
      <c r="W281" s="199"/>
      <c r="X281" s="1070" t="s">
        <v>405</v>
      </c>
      <c r="Y281" s="119" t="s">
        <v>231</v>
      </c>
      <c r="Z281" s="120" t="s">
        <v>608</v>
      </c>
      <c r="AA281" s="121" t="s">
        <v>609</v>
      </c>
      <c r="AB281" s="122" t="s">
        <v>292</v>
      </c>
      <c r="AC281" s="1071">
        <f>15.1+34.1</f>
        <v>49.2</v>
      </c>
      <c r="AD281" s="124">
        <v>5.81</v>
      </c>
      <c r="AE281" s="200">
        <f>ROUND(AD281*AC281,2)</f>
        <v>285.85000000000002</v>
      </c>
      <c r="AF281" s="956" t="s">
        <v>5478</v>
      </c>
      <c r="AR281" s="129" t="s">
        <v>235</v>
      </c>
      <c r="AT281" s="129" t="s">
        <v>231</v>
      </c>
      <c r="AU281" s="129" t="s">
        <v>76</v>
      </c>
      <c r="AY281" s="13" t="s">
        <v>228</v>
      </c>
      <c r="BE281" s="130">
        <f>IF(N281="základná",J281,0)</f>
        <v>0</v>
      </c>
      <c r="BF281" s="130">
        <f>IF(N281="znížená",J281,0)</f>
        <v>87.73</v>
      </c>
      <c r="BG281" s="130">
        <f>IF(N281="zákl. prenesená",J281,0)</f>
        <v>0</v>
      </c>
      <c r="BH281" s="130">
        <f>IF(N281="zníž. prenesená",J281,0)</f>
        <v>0</v>
      </c>
      <c r="BI281" s="130">
        <f>IF(N281="nulová",J281,0)</f>
        <v>0</v>
      </c>
      <c r="BJ281" s="13" t="s">
        <v>76</v>
      </c>
      <c r="BK281" s="130">
        <f>ROUND(I281*H281,2)</f>
        <v>87.73</v>
      </c>
      <c r="BL281" s="13" t="s">
        <v>235</v>
      </c>
      <c r="BM281" s="129" t="s">
        <v>591</v>
      </c>
    </row>
    <row r="282" spans="2:65" s="838" customFormat="1" ht="31.5" customHeight="1" x14ac:dyDescent="0.2">
      <c r="B282" s="841"/>
      <c r="C282" s="1234" t="s">
        <v>5205</v>
      </c>
      <c r="D282" s="1235"/>
      <c r="E282" s="1235"/>
      <c r="F282" s="1235"/>
      <c r="G282" s="1235"/>
      <c r="H282" s="1235"/>
      <c r="I282" s="1235"/>
      <c r="J282" s="1236"/>
      <c r="K282" s="842"/>
      <c r="L282" s="840"/>
      <c r="M282" s="843"/>
      <c r="N282" s="844"/>
      <c r="O282" s="845"/>
      <c r="P282" s="845"/>
      <c r="Q282" s="845"/>
      <c r="R282" s="845"/>
      <c r="S282" s="845"/>
      <c r="T282" s="846"/>
      <c r="W282" s="849"/>
      <c r="X282" s="871" t="s">
        <v>6583</v>
      </c>
      <c r="Y282" s="871" t="s">
        <v>231</v>
      </c>
      <c r="Z282" s="872" t="s">
        <v>5822</v>
      </c>
      <c r="AA282" s="873" t="s">
        <v>6584</v>
      </c>
      <c r="AB282" s="874" t="s">
        <v>284</v>
      </c>
      <c r="AC282" s="875">
        <v>61.478000000000002</v>
      </c>
      <c r="AD282" s="876">
        <v>1.0900000000000001</v>
      </c>
      <c r="AE282" s="877">
        <f>ROUND(AD282*AC282,2)</f>
        <v>67.010000000000005</v>
      </c>
      <c r="AF282" s="956" t="s">
        <v>5477</v>
      </c>
      <c r="AR282" s="847"/>
      <c r="AT282" s="847"/>
      <c r="AU282" s="847"/>
      <c r="AY282" s="839"/>
      <c r="BE282" s="848"/>
      <c r="BF282" s="848"/>
      <c r="BG282" s="848"/>
      <c r="BH282" s="848"/>
      <c r="BI282" s="848"/>
      <c r="BJ282" s="839"/>
      <c r="BK282" s="848"/>
      <c r="BL282" s="839"/>
      <c r="BM282" s="847"/>
    </row>
    <row r="283" spans="2:65" s="1" customFormat="1" ht="22.95" customHeight="1" x14ac:dyDescent="0.2">
      <c r="B283" s="118"/>
      <c r="C283" s="1070" t="s">
        <v>404</v>
      </c>
      <c r="D283" s="119" t="s">
        <v>231</v>
      </c>
      <c r="E283" s="120" t="s">
        <v>4307</v>
      </c>
      <c r="F283" s="121" t="s">
        <v>4308</v>
      </c>
      <c r="G283" s="122" t="s">
        <v>570</v>
      </c>
      <c r="H283" s="1071">
        <v>1.5209999999999999</v>
      </c>
      <c r="I283" s="124">
        <v>5.22</v>
      </c>
      <c r="J283" s="124">
        <f>ROUND(I283*H283,2)</f>
        <v>7.94</v>
      </c>
      <c r="K283" s="121" t="s">
        <v>1</v>
      </c>
      <c r="L283" s="24"/>
      <c r="M283" s="125" t="s">
        <v>1</v>
      </c>
      <c r="N283" s="126" t="s">
        <v>32</v>
      </c>
      <c r="O283" s="127">
        <v>0</v>
      </c>
      <c r="P283" s="127">
        <f>O283*H283</f>
        <v>0</v>
      </c>
      <c r="Q283" s="127">
        <v>0</v>
      </c>
      <c r="R283" s="127">
        <f>Q283*H283</f>
        <v>0</v>
      </c>
      <c r="S283" s="127">
        <v>0</v>
      </c>
      <c r="T283" s="128">
        <f>S283*H283</f>
        <v>0</v>
      </c>
      <c r="W283" s="199"/>
      <c r="X283" s="1070" t="s">
        <v>404</v>
      </c>
      <c r="Y283" s="119" t="s">
        <v>231</v>
      </c>
      <c r="Z283" s="120" t="s">
        <v>4307</v>
      </c>
      <c r="AA283" s="121" t="s">
        <v>4308</v>
      </c>
      <c r="AB283" s="122" t="s">
        <v>570</v>
      </c>
      <c r="AC283" s="1071">
        <f>1.521+1.981</f>
        <v>3.5019999999999998</v>
      </c>
      <c r="AD283" s="124">
        <v>5.22</v>
      </c>
      <c r="AE283" s="200">
        <f>ROUND(AD283*AC283,2)</f>
        <v>18.28</v>
      </c>
      <c r="AF283" s="956" t="s">
        <v>5478</v>
      </c>
      <c r="AR283" s="129" t="s">
        <v>235</v>
      </c>
      <c r="AT283" s="129" t="s">
        <v>231</v>
      </c>
      <c r="AU283" s="129" t="s">
        <v>76</v>
      </c>
      <c r="AY283" s="13" t="s">
        <v>228</v>
      </c>
      <c r="BE283" s="130">
        <f>IF(N283="základná",J283,0)</f>
        <v>0</v>
      </c>
      <c r="BF283" s="130">
        <f>IF(N283="znížená",J283,0)</f>
        <v>7.94</v>
      </c>
      <c r="BG283" s="130">
        <f>IF(N283="zákl. prenesená",J283,0)</f>
        <v>0</v>
      </c>
      <c r="BH283" s="130">
        <f>IF(N283="zníž. prenesená",J283,0)</f>
        <v>0</v>
      </c>
      <c r="BI283" s="130">
        <f>IF(N283="nulová",J283,0)</f>
        <v>0</v>
      </c>
      <c r="BJ283" s="13" t="s">
        <v>76</v>
      </c>
      <c r="BK283" s="130">
        <f>ROUND(I283*H283,2)</f>
        <v>7.94</v>
      </c>
      <c r="BL283" s="13" t="s">
        <v>235</v>
      </c>
      <c r="BM283" s="129" t="s">
        <v>594</v>
      </c>
    </row>
    <row r="284" spans="2:65" s="11" customFormat="1" ht="22.95" customHeight="1" x14ac:dyDescent="0.25">
      <c r="B284" s="106"/>
      <c r="D284" s="107" t="s">
        <v>57</v>
      </c>
      <c r="E284" s="116" t="s">
        <v>611</v>
      </c>
      <c r="F284" s="116" t="s">
        <v>612</v>
      </c>
      <c r="J284" s="117">
        <f>BK284</f>
        <v>489.07</v>
      </c>
      <c r="L284" s="106"/>
      <c r="M284" s="110"/>
      <c r="N284" s="111"/>
      <c r="O284" s="111"/>
      <c r="P284" s="112">
        <f>SUM(P285:P287)</f>
        <v>0</v>
      </c>
      <c r="Q284" s="111"/>
      <c r="R284" s="112">
        <f>SUM(R285:R287)</f>
        <v>0</v>
      </c>
      <c r="S284" s="111"/>
      <c r="T284" s="113">
        <f>SUM(T285:T287)</f>
        <v>0</v>
      </c>
      <c r="W284" s="195"/>
      <c r="X284" s="111"/>
      <c r="Y284" s="196" t="s">
        <v>57</v>
      </c>
      <c r="Z284" s="201" t="s">
        <v>611</v>
      </c>
      <c r="AA284" s="201" t="s">
        <v>612</v>
      </c>
      <c r="AB284" s="111"/>
      <c r="AC284" s="111"/>
      <c r="AD284" s="111"/>
      <c r="AE284" s="202">
        <f>SUM(AE285:AE287)</f>
        <v>2218.48</v>
      </c>
      <c r="AF284" s="956"/>
      <c r="AR284" s="107" t="s">
        <v>63</v>
      </c>
      <c r="AT284" s="114" t="s">
        <v>57</v>
      </c>
      <c r="AU284" s="114" t="s">
        <v>63</v>
      </c>
      <c r="AY284" s="107" t="s">
        <v>228</v>
      </c>
      <c r="BK284" s="115">
        <f>SUM(BK285:BK287)</f>
        <v>489.07</v>
      </c>
    </row>
    <row r="285" spans="2:65" s="1" customFormat="1" ht="37.200000000000003" customHeight="1" x14ac:dyDescent="0.2">
      <c r="B285" s="118"/>
      <c r="C285" s="1070" t="s">
        <v>436</v>
      </c>
      <c r="D285" s="119" t="s">
        <v>231</v>
      </c>
      <c r="E285" s="120" t="s">
        <v>617</v>
      </c>
      <c r="F285" s="121" t="s">
        <v>4309</v>
      </c>
      <c r="G285" s="122" t="s">
        <v>284</v>
      </c>
      <c r="H285" s="1071">
        <v>1.2</v>
      </c>
      <c r="I285" s="124">
        <v>36.57</v>
      </c>
      <c r="J285" s="124">
        <f>ROUND(I285*H285,2)</f>
        <v>43.88</v>
      </c>
      <c r="K285" s="121" t="s">
        <v>1</v>
      </c>
      <c r="L285" s="24"/>
      <c r="M285" s="125" t="s">
        <v>1</v>
      </c>
      <c r="N285" s="126" t="s">
        <v>32</v>
      </c>
      <c r="O285" s="127">
        <v>0</v>
      </c>
      <c r="P285" s="127">
        <f>O285*H285</f>
        <v>0</v>
      </c>
      <c r="Q285" s="127">
        <v>0</v>
      </c>
      <c r="R285" s="127">
        <f>Q285*H285</f>
        <v>0</v>
      </c>
      <c r="S285" s="127">
        <v>0</v>
      </c>
      <c r="T285" s="128">
        <f>S285*H285</f>
        <v>0</v>
      </c>
      <c r="W285" s="199"/>
      <c r="X285" s="1070" t="s">
        <v>436</v>
      </c>
      <c r="Y285" s="119" t="s">
        <v>231</v>
      </c>
      <c r="Z285" s="120" t="s">
        <v>617</v>
      </c>
      <c r="AA285" s="121" t="s">
        <v>4309</v>
      </c>
      <c r="AB285" s="122" t="s">
        <v>284</v>
      </c>
      <c r="AC285" s="1071">
        <f>1.2+29.3+8.7</f>
        <v>39.200000000000003</v>
      </c>
      <c r="AD285" s="124">
        <v>36.57</v>
      </c>
      <c r="AE285" s="200">
        <f>ROUND(AD285*AC285,2)</f>
        <v>1433.54</v>
      </c>
      <c r="AF285" s="956" t="s">
        <v>6620</v>
      </c>
      <c r="AR285" s="129" t="s">
        <v>235</v>
      </c>
      <c r="AT285" s="129" t="s">
        <v>231</v>
      </c>
      <c r="AU285" s="129" t="s">
        <v>76</v>
      </c>
      <c r="AY285" s="13" t="s">
        <v>228</v>
      </c>
      <c r="BE285" s="130">
        <f>IF(N285="základná",J285,0)</f>
        <v>0</v>
      </c>
      <c r="BF285" s="130">
        <f>IF(N285="znížená",J285,0)</f>
        <v>43.88</v>
      </c>
      <c r="BG285" s="130">
        <f>IF(N285="zákl. prenesená",J285,0)</f>
        <v>0</v>
      </c>
      <c r="BH285" s="130">
        <f>IF(N285="zníž. prenesená",J285,0)</f>
        <v>0</v>
      </c>
      <c r="BI285" s="130">
        <f>IF(N285="nulová",J285,0)</f>
        <v>0</v>
      </c>
      <c r="BJ285" s="13" t="s">
        <v>76</v>
      </c>
      <c r="BK285" s="130">
        <f>ROUND(I285*H285,2)</f>
        <v>43.88</v>
      </c>
      <c r="BL285" s="13" t="s">
        <v>235</v>
      </c>
      <c r="BM285" s="129" t="s">
        <v>598</v>
      </c>
    </row>
    <row r="286" spans="2:65" s="1" customFormat="1" ht="24" customHeight="1" x14ac:dyDescent="0.2">
      <c r="B286" s="118"/>
      <c r="C286" s="1070" t="s">
        <v>410</v>
      </c>
      <c r="D286" s="119" t="s">
        <v>231</v>
      </c>
      <c r="E286" s="120" t="s">
        <v>624</v>
      </c>
      <c r="F286" s="121" t="s">
        <v>625</v>
      </c>
      <c r="G286" s="122" t="s">
        <v>284</v>
      </c>
      <c r="H286" s="1071">
        <v>14.09</v>
      </c>
      <c r="I286" s="124">
        <v>30.07</v>
      </c>
      <c r="J286" s="124">
        <f>ROUND(I286*H286,2)</f>
        <v>423.69</v>
      </c>
      <c r="K286" s="121" t="s">
        <v>1</v>
      </c>
      <c r="L286" s="24"/>
      <c r="M286" s="125" t="s">
        <v>1</v>
      </c>
      <c r="N286" s="126" t="s">
        <v>32</v>
      </c>
      <c r="O286" s="127">
        <v>0</v>
      </c>
      <c r="P286" s="127">
        <f>O286*H286</f>
        <v>0</v>
      </c>
      <c r="Q286" s="127">
        <v>0</v>
      </c>
      <c r="R286" s="127">
        <f>Q286*H286</f>
        <v>0</v>
      </c>
      <c r="S286" s="127">
        <v>0</v>
      </c>
      <c r="T286" s="128">
        <f>S286*H286</f>
        <v>0</v>
      </c>
      <c r="W286" s="199"/>
      <c r="X286" s="1070" t="s">
        <v>410</v>
      </c>
      <c r="Y286" s="119" t="s">
        <v>231</v>
      </c>
      <c r="Z286" s="120" t="s">
        <v>624</v>
      </c>
      <c r="AA286" s="121" t="s">
        <v>625</v>
      </c>
      <c r="AB286" s="122" t="s">
        <v>284</v>
      </c>
      <c r="AC286" s="1071">
        <f>14.09+3.26+5.3</f>
        <v>22.650000000000002</v>
      </c>
      <c r="AD286" s="124">
        <v>30.07</v>
      </c>
      <c r="AE286" s="200">
        <f>ROUND(AD286*AC286,2)</f>
        <v>681.09</v>
      </c>
      <c r="AF286" s="956" t="s">
        <v>6620</v>
      </c>
      <c r="AR286" s="129" t="s">
        <v>235</v>
      </c>
      <c r="AT286" s="129" t="s">
        <v>231</v>
      </c>
      <c r="AU286" s="129" t="s">
        <v>76</v>
      </c>
      <c r="AY286" s="13" t="s">
        <v>228</v>
      </c>
      <c r="BE286" s="130">
        <f>IF(N286="základná",J286,0)</f>
        <v>0</v>
      </c>
      <c r="BF286" s="130">
        <f>IF(N286="znížená",J286,0)</f>
        <v>423.69</v>
      </c>
      <c r="BG286" s="130">
        <f>IF(N286="zákl. prenesená",J286,0)</f>
        <v>0</v>
      </c>
      <c r="BH286" s="130">
        <f>IF(N286="zníž. prenesená",J286,0)</f>
        <v>0</v>
      </c>
      <c r="BI286" s="130">
        <f>IF(N286="nulová",J286,0)</f>
        <v>0</v>
      </c>
      <c r="BJ286" s="13" t="s">
        <v>76</v>
      </c>
      <c r="BK286" s="130">
        <f>ROUND(I286*H286,2)</f>
        <v>423.69</v>
      </c>
      <c r="BL286" s="13" t="s">
        <v>235</v>
      </c>
      <c r="BM286" s="129" t="s">
        <v>601</v>
      </c>
    </row>
    <row r="287" spans="2:65" s="1" customFormat="1" ht="16.5" customHeight="1" x14ac:dyDescent="0.2">
      <c r="B287" s="118"/>
      <c r="C287" s="1070" t="s">
        <v>595</v>
      </c>
      <c r="D287" s="119" t="s">
        <v>231</v>
      </c>
      <c r="E287" s="120" t="s">
        <v>628</v>
      </c>
      <c r="F287" s="121" t="s">
        <v>4310</v>
      </c>
      <c r="G287" s="122" t="s">
        <v>570</v>
      </c>
      <c r="H287" s="1071">
        <v>4.2990000000000004</v>
      </c>
      <c r="I287" s="124">
        <v>5</v>
      </c>
      <c r="J287" s="124">
        <f>ROUND(I287*H287,2)</f>
        <v>21.5</v>
      </c>
      <c r="K287" s="121" t="s">
        <v>1</v>
      </c>
      <c r="L287" s="24"/>
      <c r="M287" s="125" t="s">
        <v>1</v>
      </c>
      <c r="N287" s="126" t="s">
        <v>32</v>
      </c>
      <c r="O287" s="127">
        <v>0</v>
      </c>
      <c r="P287" s="127">
        <f>O287*H287</f>
        <v>0</v>
      </c>
      <c r="Q287" s="127">
        <v>0</v>
      </c>
      <c r="R287" s="127">
        <f>Q287*H287</f>
        <v>0</v>
      </c>
      <c r="S287" s="127">
        <v>0</v>
      </c>
      <c r="T287" s="128">
        <f>S287*H287</f>
        <v>0</v>
      </c>
      <c r="W287" s="199"/>
      <c r="X287" s="1070" t="s">
        <v>595</v>
      </c>
      <c r="Y287" s="119" t="s">
        <v>231</v>
      </c>
      <c r="Z287" s="120" t="s">
        <v>628</v>
      </c>
      <c r="AA287" s="121" t="s">
        <v>4310</v>
      </c>
      <c r="AB287" s="122" t="s">
        <v>570</v>
      </c>
      <c r="AC287" s="1071">
        <f>4.299+11.695+4.775</f>
        <v>20.768999999999998</v>
      </c>
      <c r="AD287" s="124">
        <v>5</v>
      </c>
      <c r="AE287" s="200">
        <f>ROUND(AD287*AC287,2)</f>
        <v>103.85</v>
      </c>
      <c r="AF287" s="956" t="s">
        <v>6620</v>
      </c>
      <c r="AR287" s="129" t="s">
        <v>235</v>
      </c>
      <c r="AT287" s="129" t="s">
        <v>231</v>
      </c>
      <c r="AU287" s="129" t="s">
        <v>76</v>
      </c>
      <c r="AY287" s="13" t="s">
        <v>228</v>
      </c>
      <c r="BE287" s="130">
        <f>IF(N287="základná",J287,0)</f>
        <v>0</v>
      </c>
      <c r="BF287" s="130">
        <f>IF(N287="znížená",J287,0)</f>
        <v>21.5</v>
      </c>
      <c r="BG287" s="130">
        <f>IF(N287="zákl. prenesená",J287,0)</f>
        <v>0</v>
      </c>
      <c r="BH287" s="130">
        <f>IF(N287="zníž. prenesená",J287,0)</f>
        <v>0</v>
      </c>
      <c r="BI287" s="130">
        <f>IF(N287="nulová",J287,0)</f>
        <v>0</v>
      </c>
      <c r="BJ287" s="13" t="s">
        <v>76</v>
      </c>
      <c r="BK287" s="130">
        <f>ROUND(I287*H287,2)</f>
        <v>21.5</v>
      </c>
      <c r="BL287" s="13" t="s">
        <v>235</v>
      </c>
      <c r="BM287" s="129" t="s">
        <v>605</v>
      </c>
    </row>
    <row r="288" spans="2:65" s="11" customFormat="1" ht="22.95" customHeight="1" x14ac:dyDescent="0.25">
      <c r="B288" s="106"/>
      <c r="D288" s="107" t="s">
        <v>57</v>
      </c>
      <c r="E288" s="116" t="s">
        <v>631</v>
      </c>
      <c r="F288" s="116" t="s">
        <v>632</v>
      </c>
      <c r="J288" s="117">
        <f>BK288</f>
        <v>3230.25</v>
      </c>
      <c r="L288" s="106"/>
      <c r="M288" s="110"/>
      <c r="N288" s="111"/>
      <c r="O288" s="111"/>
      <c r="P288" s="112">
        <f>SUM(P289:P302)</f>
        <v>0</v>
      </c>
      <c r="Q288" s="111"/>
      <c r="R288" s="112">
        <f>SUM(R289:R302)</f>
        <v>0</v>
      </c>
      <c r="S288" s="111"/>
      <c r="T288" s="113">
        <f>SUM(T289:T302)</f>
        <v>0</v>
      </c>
      <c r="W288" s="195"/>
      <c r="X288" s="111"/>
      <c r="Y288" s="196" t="s">
        <v>57</v>
      </c>
      <c r="Z288" s="201" t="s">
        <v>631</v>
      </c>
      <c r="AA288" s="201" t="s">
        <v>632</v>
      </c>
      <c r="AB288" s="111"/>
      <c r="AC288" s="111"/>
      <c r="AD288" s="111"/>
      <c r="AE288" s="202">
        <f>SUM(AE289:AE302)</f>
        <v>5158.08</v>
      </c>
      <c r="AF288" s="956"/>
      <c r="AR288" s="107" t="s">
        <v>63</v>
      </c>
      <c r="AT288" s="114" t="s">
        <v>57</v>
      </c>
      <c r="AU288" s="114" t="s">
        <v>63</v>
      </c>
      <c r="AY288" s="107" t="s">
        <v>228</v>
      </c>
      <c r="BK288" s="115">
        <f>SUM(BK289:BK302)</f>
        <v>3230.25</v>
      </c>
    </row>
    <row r="289" spans="2:65" s="1" customFormat="1" ht="24" customHeight="1" x14ac:dyDescent="0.2">
      <c r="B289" s="118"/>
      <c r="C289" s="119" t="s">
        <v>414</v>
      </c>
      <c r="D289" s="119" t="s">
        <v>231</v>
      </c>
      <c r="E289" s="120" t="s">
        <v>633</v>
      </c>
      <c r="F289" s="121" t="s">
        <v>4311</v>
      </c>
      <c r="G289" s="122" t="s">
        <v>243</v>
      </c>
      <c r="H289" s="123">
        <v>1</v>
      </c>
      <c r="I289" s="124">
        <v>522.45000000000005</v>
      </c>
      <c r="J289" s="124">
        <f t="shared" ref="J289:J302" si="35">ROUND(I289*H289,2)</f>
        <v>522.45000000000005</v>
      </c>
      <c r="K289" s="121" t="s">
        <v>1</v>
      </c>
      <c r="L289" s="24"/>
      <c r="M289" s="125" t="s">
        <v>1</v>
      </c>
      <c r="N289" s="126" t="s">
        <v>32</v>
      </c>
      <c r="O289" s="127">
        <v>0</v>
      </c>
      <c r="P289" s="127">
        <f t="shared" ref="P289:P302" si="36">O289*H289</f>
        <v>0</v>
      </c>
      <c r="Q289" s="127">
        <v>0</v>
      </c>
      <c r="R289" s="127">
        <f t="shared" ref="R289:R302" si="37">Q289*H289</f>
        <v>0</v>
      </c>
      <c r="S289" s="127">
        <v>0</v>
      </c>
      <c r="T289" s="128">
        <f t="shared" ref="T289:T302" si="38">S289*H289</f>
        <v>0</v>
      </c>
      <c r="W289" s="199"/>
      <c r="X289" s="119" t="s">
        <v>414</v>
      </c>
      <c r="Y289" s="119" t="s">
        <v>231</v>
      </c>
      <c r="Z289" s="120" t="s">
        <v>633</v>
      </c>
      <c r="AA289" s="121" t="s">
        <v>4311</v>
      </c>
      <c r="AB289" s="122" t="s">
        <v>243</v>
      </c>
      <c r="AC289" s="123">
        <v>1</v>
      </c>
      <c r="AD289" s="124">
        <v>522.45000000000005</v>
      </c>
      <c r="AE289" s="200">
        <f t="shared" ref="AE289:AE302" si="39">ROUND(AD289*AC289,2)</f>
        <v>522.45000000000005</v>
      </c>
      <c r="AF289" s="956"/>
      <c r="AR289" s="129" t="s">
        <v>235</v>
      </c>
      <c r="AT289" s="129" t="s">
        <v>231</v>
      </c>
      <c r="AU289" s="129" t="s">
        <v>76</v>
      </c>
      <c r="AY289" s="13" t="s">
        <v>228</v>
      </c>
      <c r="BE289" s="130">
        <f t="shared" ref="BE289:BE302" si="40">IF(N289="základná",J289,0)</f>
        <v>0</v>
      </c>
      <c r="BF289" s="130">
        <f t="shared" ref="BF289:BF302" si="41">IF(N289="znížená",J289,0)</f>
        <v>522.45000000000005</v>
      </c>
      <c r="BG289" s="130">
        <f t="shared" ref="BG289:BG302" si="42">IF(N289="zákl. prenesená",J289,0)</f>
        <v>0</v>
      </c>
      <c r="BH289" s="130">
        <f t="shared" ref="BH289:BH302" si="43">IF(N289="zníž. prenesená",J289,0)</f>
        <v>0</v>
      </c>
      <c r="BI289" s="130">
        <f t="shared" ref="BI289:BI302" si="44">IF(N289="nulová",J289,0)</f>
        <v>0</v>
      </c>
      <c r="BJ289" s="13" t="s">
        <v>76</v>
      </c>
      <c r="BK289" s="130">
        <f t="shared" ref="BK289:BK302" si="45">ROUND(I289*H289,2)</f>
        <v>522.45000000000005</v>
      </c>
      <c r="BL289" s="13" t="s">
        <v>235</v>
      </c>
      <c r="BM289" s="129" t="s">
        <v>610</v>
      </c>
    </row>
    <row r="290" spans="2:65" s="859" customFormat="1" ht="24" customHeight="1" x14ac:dyDescent="0.2">
      <c r="B290" s="862"/>
      <c r="C290" s="1234" t="s">
        <v>5205</v>
      </c>
      <c r="D290" s="1235"/>
      <c r="E290" s="1235"/>
      <c r="F290" s="1235"/>
      <c r="G290" s="1235"/>
      <c r="H290" s="1235"/>
      <c r="I290" s="1235"/>
      <c r="J290" s="1236"/>
      <c r="K290" s="863"/>
      <c r="L290" s="861"/>
      <c r="M290" s="864"/>
      <c r="N290" s="865"/>
      <c r="O290" s="866"/>
      <c r="P290" s="866"/>
      <c r="Q290" s="866"/>
      <c r="R290" s="866"/>
      <c r="S290" s="866"/>
      <c r="T290" s="867"/>
      <c r="W290" s="870"/>
      <c r="X290" s="1072" t="s">
        <v>6625</v>
      </c>
      <c r="Y290" s="1072" t="s">
        <v>231</v>
      </c>
      <c r="Z290" s="1073" t="s">
        <v>6626</v>
      </c>
      <c r="AA290" s="1074" t="s">
        <v>6627</v>
      </c>
      <c r="AB290" s="1075" t="s">
        <v>243</v>
      </c>
      <c r="AC290" s="1076">
        <v>2</v>
      </c>
      <c r="AD290" s="1077">
        <v>486.16</v>
      </c>
      <c r="AE290" s="1078">
        <f t="shared" ref="AE290:AE291" si="46">AC290*AD290</f>
        <v>972.32</v>
      </c>
      <c r="AF290" s="956" t="s">
        <v>5482</v>
      </c>
      <c r="AR290" s="868"/>
      <c r="AT290" s="868"/>
      <c r="AU290" s="868"/>
      <c r="AY290" s="860"/>
      <c r="BE290" s="869"/>
      <c r="BF290" s="869"/>
      <c r="BG290" s="869"/>
      <c r="BH290" s="869"/>
      <c r="BI290" s="869"/>
      <c r="BJ290" s="860"/>
      <c r="BK290" s="869"/>
      <c r="BL290" s="860"/>
      <c r="BM290" s="868"/>
    </row>
    <row r="291" spans="2:65" s="859" customFormat="1" ht="24" customHeight="1" x14ac:dyDescent="0.2">
      <c r="B291" s="862"/>
      <c r="C291" s="1234" t="s">
        <v>5205</v>
      </c>
      <c r="D291" s="1235"/>
      <c r="E291" s="1235"/>
      <c r="F291" s="1235"/>
      <c r="G291" s="1235"/>
      <c r="H291" s="1235"/>
      <c r="I291" s="1235"/>
      <c r="J291" s="1236"/>
      <c r="K291" s="863"/>
      <c r="L291" s="861"/>
      <c r="M291" s="864"/>
      <c r="N291" s="865"/>
      <c r="O291" s="866"/>
      <c r="P291" s="866"/>
      <c r="Q291" s="866"/>
      <c r="R291" s="866"/>
      <c r="S291" s="866"/>
      <c r="T291" s="867"/>
      <c r="W291" s="870"/>
      <c r="X291" s="1072" t="s">
        <v>6628</v>
      </c>
      <c r="Y291" s="1072" t="s">
        <v>231</v>
      </c>
      <c r="Z291" s="1073" t="s">
        <v>6629</v>
      </c>
      <c r="AA291" s="1074" t="s">
        <v>6630</v>
      </c>
      <c r="AB291" s="1075" t="s">
        <v>243</v>
      </c>
      <c r="AC291" s="1076">
        <v>1</v>
      </c>
      <c r="AD291" s="1077">
        <v>820.1</v>
      </c>
      <c r="AE291" s="1078">
        <f t="shared" si="46"/>
        <v>820.1</v>
      </c>
      <c r="AF291" s="956" t="s">
        <v>5482</v>
      </c>
      <c r="AR291" s="868"/>
      <c r="AT291" s="868"/>
      <c r="AU291" s="868"/>
      <c r="AY291" s="860"/>
      <c r="BE291" s="869"/>
      <c r="BF291" s="869"/>
      <c r="BG291" s="869"/>
      <c r="BH291" s="869"/>
      <c r="BI291" s="869"/>
      <c r="BJ291" s="860"/>
      <c r="BK291" s="869"/>
      <c r="BL291" s="860"/>
      <c r="BM291" s="868"/>
    </row>
    <row r="292" spans="2:65" s="859" customFormat="1" ht="24" customHeight="1" x14ac:dyDescent="0.2">
      <c r="B292" s="862"/>
      <c r="C292" s="1234" t="s">
        <v>5205</v>
      </c>
      <c r="D292" s="1235"/>
      <c r="E292" s="1235"/>
      <c r="F292" s="1235"/>
      <c r="G292" s="1235"/>
      <c r="H292" s="1235"/>
      <c r="I292" s="1235"/>
      <c r="J292" s="1236"/>
      <c r="K292" s="863"/>
      <c r="L292" s="861"/>
      <c r="M292" s="864"/>
      <c r="N292" s="865"/>
      <c r="O292" s="866"/>
      <c r="P292" s="866"/>
      <c r="Q292" s="866"/>
      <c r="R292" s="866"/>
      <c r="S292" s="866"/>
      <c r="T292" s="867"/>
      <c r="W292" s="870"/>
      <c r="X292" s="1072" t="s">
        <v>6631</v>
      </c>
      <c r="Y292" s="1072" t="s">
        <v>231</v>
      </c>
      <c r="Z292" s="1073" t="s">
        <v>6632</v>
      </c>
      <c r="AA292" s="1074" t="s">
        <v>6633</v>
      </c>
      <c r="AB292" s="1075" t="s">
        <v>1194</v>
      </c>
      <c r="AC292" s="1076">
        <v>2</v>
      </c>
      <c r="AD292" s="1077">
        <v>10</v>
      </c>
      <c r="AE292" s="1078">
        <f>AC292*AD292</f>
        <v>20</v>
      </c>
      <c r="AF292" s="956" t="s">
        <v>5482</v>
      </c>
      <c r="AR292" s="868"/>
      <c r="AT292" s="868"/>
      <c r="AU292" s="868"/>
      <c r="AY292" s="860"/>
      <c r="BE292" s="869"/>
      <c r="BF292" s="869"/>
      <c r="BG292" s="869"/>
      <c r="BH292" s="869"/>
      <c r="BI292" s="869"/>
      <c r="BJ292" s="860"/>
      <c r="BK292" s="869"/>
      <c r="BL292" s="860"/>
      <c r="BM292" s="868"/>
    </row>
    <row r="293" spans="2:65" s="1" customFormat="1" ht="24" customHeight="1" x14ac:dyDescent="0.2">
      <c r="B293" s="118"/>
      <c r="C293" s="119" t="s">
        <v>602</v>
      </c>
      <c r="D293" s="119" t="s">
        <v>231</v>
      </c>
      <c r="E293" s="120" t="s">
        <v>668</v>
      </c>
      <c r="F293" s="121" t="s">
        <v>4312</v>
      </c>
      <c r="G293" s="122" t="s">
        <v>243</v>
      </c>
      <c r="H293" s="123">
        <v>2</v>
      </c>
      <c r="I293" s="124">
        <v>208.98</v>
      </c>
      <c r="J293" s="124">
        <f t="shared" si="35"/>
        <v>417.96</v>
      </c>
      <c r="K293" s="121" t="s">
        <v>1</v>
      </c>
      <c r="L293" s="24"/>
      <c r="M293" s="125" t="s">
        <v>1</v>
      </c>
      <c r="N293" s="126" t="s">
        <v>32</v>
      </c>
      <c r="O293" s="127">
        <v>0</v>
      </c>
      <c r="P293" s="127">
        <f t="shared" si="36"/>
        <v>0</v>
      </c>
      <c r="Q293" s="127">
        <v>0</v>
      </c>
      <c r="R293" s="127">
        <f t="shared" si="37"/>
        <v>0</v>
      </c>
      <c r="S293" s="127">
        <v>0</v>
      </c>
      <c r="T293" s="128">
        <f t="shared" si="38"/>
        <v>0</v>
      </c>
      <c r="W293" s="199"/>
      <c r="X293" s="119" t="s">
        <v>602</v>
      </c>
      <c r="Y293" s="119" t="s">
        <v>231</v>
      </c>
      <c r="Z293" s="120" t="s">
        <v>668</v>
      </c>
      <c r="AA293" s="121" t="s">
        <v>4312</v>
      </c>
      <c r="AB293" s="122" t="s">
        <v>243</v>
      </c>
      <c r="AC293" s="123">
        <v>2</v>
      </c>
      <c r="AD293" s="124">
        <v>208.98</v>
      </c>
      <c r="AE293" s="200">
        <f t="shared" si="39"/>
        <v>417.96</v>
      </c>
      <c r="AF293" s="956"/>
      <c r="AR293" s="129" t="s">
        <v>235</v>
      </c>
      <c r="AT293" s="129" t="s">
        <v>231</v>
      </c>
      <c r="AU293" s="129" t="s">
        <v>76</v>
      </c>
      <c r="AY293" s="13" t="s">
        <v>228</v>
      </c>
      <c r="BE293" s="130">
        <f t="shared" si="40"/>
        <v>0</v>
      </c>
      <c r="BF293" s="130">
        <f t="shared" si="41"/>
        <v>417.96</v>
      </c>
      <c r="BG293" s="130">
        <f t="shared" si="42"/>
        <v>0</v>
      </c>
      <c r="BH293" s="130">
        <f t="shared" si="43"/>
        <v>0</v>
      </c>
      <c r="BI293" s="130">
        <f t="shared" si="44"/>
        <v>0</v>
      </c>
      <c r="BJ293" s="13" t="s">
        <v>76</v>
      </c>
      <c r="BK293" s="130">
        <f t="shared" si="45"/>
        <v>417.96</v>
      </c>
      <c r="BL293" s="13" t="s">
        <v>235</v>
      </c>
      <c r="BM293" s="129" t="s">
        <v>616</v>
      </c>
    </row>
    <row r="294" spans="2:65" s="1" customFormat="1" ht="24" customHeight="1" x14ac:dyDescent="0.2">
      <c r="B294" s="118"/>
      <c r="C294" s="119" t="s">
        <v>418</v>
      </c>
      <c r="D294" s="119" t="s">
        <v>231</v>
      </c>
      <c r="E294" s="120" t="s">
        <v>672</v>
      </c>
      <c r="F294" s="121" t="s">
        <v>4313</v>
      </c>
      <c r="G294" s="122" t="s">
        <v>243</v>
      </c>
      <c r="H294" s="123">
        <v>5</v>
      </c>
      <c r="I294" s="124">
        <v>208.98</v>
      </c>
      <c r="J294" s="124">
        <f t="shared" si="35"/>
        <v>1044.9000000000001</v>
      </c>
      <c r="K294" s="121" t="s">
        <v>1</v>
      </c>
      <c r="L294" s="24"/>
      <c r="M294" s="125" t="s">
        <v>1</v>
      </c>
      <c r="N294" s="126" t="s">
        <v>32</v>
      </c>
      <c r="O294" s="127">
        <v>0</v>
      </c>
      <c r="P294" s="127">
        <f t="shared" si="36"/>
        <v>0</v>
      </c>
      <c r="Q294" s="127">
        <v>0</v>
      </c>
      <c r="R294" s="127">
        <f t="shared" si="37"/>
        <v>0</v>
      </c>
      <c r="S294" s="127">
        <v>0</v>
      </c>
      <c r="T294" s="128">
        <f t="shared" si="38"/>
        <v>0</v>
      </c>
      <c r="W294" s="199"/>
      <c r="X294" s="119" t="s">
        <v>418</v>
      </c>
      <c r="Y294" s="119" t="s">
        <v>231</v>
      </c>
      <c r="Z294" s="120" t="s">
        <v>672</v>
      </c>
      <c r="AA294" s="121" t="s">
        <v>4313</v>
      </c>
      <c r="AB294" s="122" t="s">
        <v>243</v>
      </c>
      <c r="AC294" s="123">
        <v>5</v>
      </c>
      <c r="AD294" s="124">
        <v>208.98</v>
      </c>
      <c r="AE294" s="200">
        <f t="shared" si="39"/>
        <v>1044.9000000000001</v>
      </c>
      <c r="AF294" s="956"/>
      <c r="AR294" s="129" t="s">
        <v>235</v>
      </c>
      <c r="AT294" s="129" t="s">
        <v>231</v>
      </c>
      <c r="AU294" s="129" t="s">
        <v>76</v>
      </c>
      <c r="AY294" s="13" t="s">
        <v>228</v>
      </c>
      <c r="BE294" s="130">
        <f t="shared" si="40"/>
        <v>0</v>
      </c>
      <c r="BF294" s="130">
        <f t="shared" si="41"/>
        <v>1044.9000000000001</v>
      </c>
      <c r="BG294" s="130">
        <f t="shared" si="42"/>
        <v>0</v>
      </c>
      <c r="BH294" s="130">
        <f t="shared" si="43"/>
        <v>0</v>
      </c>
      <c r="BI294" s="130">
        <f t="shared" si="44"/>
        <v>0</v>
      </c>
      <c r="BJ294" s="13" t="s">
        <v>76</v>
      </c>
      <c r="BK294" s="130">
        <f t="shared" si="45"/>
        <v>1044.9000000000001</v>
      </c>
      <c r="BL294" s="13" t="s">
        <v>235</v>
      </c>
      <c r="BM294" s="129" t="s">
        <v>619</v>
      </c>
    </row>
    <row r="295" spans="2:65" s="1" customFormat="1" ht="24" customHeight="1" x14ac:dyDescent="0.2">
      <c r="B295" s="118"/>
      <c r="C295" s="119" t="s">
        <v>613</v>
      </c>
      <c r="D295" s="119" t="s">
        <v>231</v>
      </c>
      <c r="E295" s="120" t="s">
        <v>675</v>
      </c>
      <c r="F295" s="121" t="s">
        <v>4314</v>
      </c>
      <c r="G295" s="122" t="s">
        <v>243</v>
      </c>
      <c r="H295" s="123">
        <v>3</v>
      </c>
      <c r="I295" s="124">
        <v>208.98</v>
      </c>
      <c r="J295" s="124">
        <f t="shared" si="35"/>
        <v>626.94000000000005</v>
      </c>
      <c r="K295" s="121" t="s">
        <v>1</v>
      </c>
      <c r="L295" s="24"/>
      <c r="M295" s="125" t="s">
        <v>1</v>
      </c>
      <c r="N295" s="126" t="s">
        <v>32</v>
      </c>
      <c r="O295" s="127">
        <v>0</v>
      </c>
      <c r="P295" s="127">
        <f t="shared" si="36"/>
        <v>0</v>
      </c>
      <c r="Q295" s="127">
        <v>0</v>
      </c>
      <c r="R295" s="127">
        <f t="shared" si="37"/>
        <v>0</v>
      </c>
      <c r="S295" s="127">
        <v>0</v>
      </c>
      <c r="T295" s="128">
        <f t="shared" si="38"/>
        <v>0</v>
      </c>
      <c r="W295" s="199"/>
      <c r="X295" s="119" t="s">
        <v>613</v>
      </c>
      <c r="Y295" s="119" t="s">
        <v>231</v>
      </c>
      <c r="Z295" s="120" t="s">
        <v>675</v>
      </c>
      <c r="AA295" s="121" t="s">
        <v>4314</v>
      </c>
      <c r="AB295" s="122" t="s">
        <v>243</v>
      </c>
      <c r="AC295" s="123">
        <v>3</v>
      </c>
      <c r="AD295" s="124">
        <v>208.98</v>
      </c>
      <c r="AE295" s="200">
        <f t="shared" si="39"/>
        <v>626.94000000000005</v>
      </c>
      <c r="AF295" s="956"/>
      <c r="AR295" s="129" t="s">
        <v>235</v>
      </c>
      <c r="AT295" s="129" t="s">
        <v>231</v>
      </c>
      <c r="AU295" s="129" t="s">
        <v>76</v>
      </c>
      <c r="AY295" s="13" t="s">
        <v>228</v>
      </c>
      <c r="BE295" s="130">
        <f t="shared" si="40"/>
        <v>0</v>
      </c>
      <c r="BF295" s="130">
        <f t="shared" si="41"/>
        <v>626.94000000000005</v>
      </c>
      <c r="BG295" s="130">
        <f t="shared" si="42"/>
        <v>0</v>
      </c>
      <c r="BH295" s="130">
        <f t="shared" si="43"/>
        <v>0</v>
      </c>
      <c r="BI295" s="130">
        <f t="shared" si="44"/>
        <v>0</v>
      </c>
      <c r="BJ295" s="13" t="s">
        <v>76</v>
      </c>
      <c r="BK295" s="130">
        <f t="shared" si="45"/>
        <v>626.94000000000005</v>
      </c>
      <c r="BL295" s="13" t="s">
        <v>235</v>
      </c>
      <c r="BM295" s="129" t="s">
        <v>623</v>
      </c>
    </row>
    <row r="296" spans="2:65" s="1" customFormat="1" ht="24" customHeight="1" x14ac:dyDescent="0.2">
      <c r="B296" s="118"/>
      <c r="C296" s="119" t="s">
        <v>421</v>
      </c>
      <c r="D296" s="119" t="s">
        <v>231</v>
      </c>
      <c r="E296" s="120" t="s">
        <v>679</v>
      </c>
      <c r="F296" s="121" t="s">
        <v>4315</v>
      </c>
      <c r="G296" s="122" t="s">
        <v>243</v>
      </c>
      <c r="H296" s="123">
        <v>1</v>
      </c>
      <c r="I296" s="124">
        <v>580.5</v>
      </c>
      <c r="J296" s="124">
        <f t="shared" si="35"/>
        <v>580.5</v>
      </c>
      <c r="K296" s="121" t="s">
        <v>1</v>
      </c>
      <c r="L296" s="24"/>
      <c r="M296" s="125" t="s">
        <v>1</v>
      </c>
      <c r="N296" s="126" t="s">
        <v>32</v>
      </c>
      <c r="O296" s="127">
        <v>0</v>
      </c>
      <c r="P296" s="127">
        <f t="shared" si="36"/>
        <v>0</v>
      </c>
      <c r="Q296" s="127">
        <v>0</v>
      </c>
      <c r="R296" s="127">
        <f t="shared" si="37"/>
        <v>0</v>
      </c>
      <c r="S296" s="127">
        <v>0</v>
      </c>
      <c r="T296" s="128">
        <f t="shared" si="38"/>
        <v>0</v>
      </c>
      <c r="W296" s="199"/>
      <c r="X296" s="119" t="s">
        <v>421</v>
      </c>
      <c r="Y296" s="119" t="s">
        <v>231</v>
      </c>
      <c r="Z296" s="120" t="s">
        <v>679</v>
      </c>
      <c r="AA296" s="121" t="s">
        <v>4315</v>
      </c>
      <c r="AB296" s="122" t="s">
        <v>243</v>
      </c>
      <c r="AC296" s="123">
        <v>1</v>
      </c>
      <c r="AD296" s="124">
        <v>580.5</v>
      </c>
      <c r="AE296" s="200">
        <f t="shared" si="39"/>
        <v>580.5</v>
      </c>
      <c r="AF296" s="956"/>
      <c r="AR296" s="129" t="s">
        <v>235</v>
      </c>
      <c r="AT296" s="129" t="s">
        <v>231</v>
      </c>
      <c r="AU296" s="129" t="s">
        <v>76</v>
      </c>
      <c r="AY296" s="13" t="s">
        <v>228</v>
      </c>
      <c r="BE296" s="130">
        <f t="shared" si="40"/>
        <v>0</v>
      </c>
      <c r="BF296" s="130">
        <f t="shared" si="41"/>
        <v>580.5</v>
      </c>
      <c r="BG296" s="130">
        <f t="shared" si="42"/>
        <v>0</v>
      </c>
      <c r="BH296" s="130">
        <f t="shared" si="43"/>
        <v>0</v>
      </c>
      <c r="BI296" s="130">
        <f t="shared" si="44"/>
        <v>0</v>
      </c>
      <c r="BJ296" s="13" t="s">
        <v>76</v>
      </c>
      <c r="BK296" s="130">
        <f t="shared" si="45"/>
        <v>580.5</v>
      </c>
      <c r="BL296" s="13" t="s">
        <v>235</v>
      </c>
      <c r="BM296" s="129" t="s">
        <v>626</v>
      </c>
    </row>
    <row r="297" spans="2:65" s="1" customFormat="1" ht="16.5" customHeight="1" x14ac:dyDescent="0.2">
      <c r="B297" s="118"/>
      <c r="C297" s="119" t="s">
        <v>620</v>
      </c>
      <c r="D297" s="119" t="s">
        <v>231</v>
      </c>
      <c r="E297" s="120" t="s">
        <v>710</v>
      </c>
      <c r="F297" s="121" t="s">
        <v>711</v>
      </c>
      <c r="G297" s="122" t="s">
        <v>243</v>
      </c>
      <c r="H297" s="123">
        <v>2</v>
      </c>
      <c r="I297" s="124">
        <v>6.97</v>
      </c>
      <c r="J297" s="124">
        <f t="shared" si="35"/>
        <v>13.94</v>
      </c>
      <c r="K297" s="121" t="s">
        <v>1</v>
      </c>
      <c r="L297" s="24"/>
      <c r="M297" s="125" t="s">
        <v>1</v>
      </c>
      <c r="N297" s="126" t="s">
        <v>32</v>
      </c>
      <c r="O297" s="127">
        <v>0</v>
      </c>
      <c r="P297" s="127">
        <f t="shared" si="36"/>
        <v>0</v>
      </c>
      <c r="Q297" s="127">
        <v>0</v>
      </c>
      <c r="R297" s="127">
        <f t="shared" si="37"/>
        <v>0</v>
      </c>
      <c r="S297" s="127">
        <v>0</v>
      </c>
      <c r="T297" s="128">
        <f t="shared" si="38"/>
        <v>0</v>
      </c>
      <c r="W297" s="199"/>
      <c r="X297" s="119" t="s">
        <v>620</v>
      </c>
      <c r="Y297" s="119" t="s">
        <v>231</v>
      </c>
      <c r="Z297" s="120" t="s">
        <v>710</v>
      </c>
      <c r="AA297" s="121" t="s">
        <v>711</v>
      </c>
      <c r="AB297" s="122" t="s">
        <v>243</v>
      </c>
      <c r="AC297" s="123">
        <v>2</v>
      </c>
      <c r="AD297" s="124">
        <v>6.97</v>
      </c>
      <c r="AE297" s="200">
        <f t="shared" si="39"/>
        <v>13.94</v>
      </c>
      <c r="AF297" s="956"/>
      <c r="AR297" s="129" t="s">
        <v>235</v>
      </c>
      <c r="AT297" s="129" t="s">
        <v>231</v>
      </c>
      <c r="AU297" s="129" t="s">
        <v>76</v>
      </c>
      <c r="AY297" s="13" t="s">
        <v>228</v>
      </c>
      <c r="BE297" s="130">
        <f t="shared" si="40"/>
        <v>0</v>
      </c>
      <c r="BF297" s="130">
        <f t="shared" si="41"/>
        <v>13.94</v>
      </c>
      <c r="BG297" s="130">
        <f t="shared" si="42"/>
        <v>0</v>
      </c>
      <c r="BH297" s="130">
        <f t="shared" si="43"/>
        <v>0</v>
      </c>
      <c r="BI297" s="130">
        <f t="shared" si="44"/>
        <v>0</v>
      </c>
      <c r="BJ297" s="13" t="s">
        <v>76</v>
      </c>
      <c r="BK297" s="130">
        <f t="shared" si="45"/>
        <v>13.94</v>
      </c>
      <c r="BL297" s="13" t="s">
        <v>235</v>
      </c>
      <c r="BM297" s="129" t="s">
        <v>630</v>
      </c>
    </row>
    <row r="298" spans="2:65" s="859" customFormat="1" ht="27.75" customHeight="1" x14ac:dyDescent="0.2">
      <c r="B298" s="862"/>
      <c r="C298" s="1234" t="s">
        <v>5205</v>
      </c>
      <c r="D298" s="1235"/>
      <c r="E298" s="1235"/>
      <c r="F298" s="1235"/>
      <c r="G298" s="1235"/>
      <c r="H298" s="1235"/>
      <c r="I298" s="1235"/>
      <c r="J298" s="1236"/>
      <c r="K298" s="863"/>
      <c r="L298" s="861"/>
      <c r="M298" s="864"/>
      <c r="N298" s="865"/>
      <c r="O298" s="866"/>
      <c r="P298" s="866"/>
      <c r="Q298" s="866"/>
      <c r="R298" s="866"/>
      <c r="S298" s="866"/>
      <c r="T298" s="867"/>
      <c r="W298" s="870"/>
      <c r="X298" s="890" t="s">
        <v>5949</v>
      </c>
      <c r="Y298" s="890"/>
      <c r="Z298" s="891" t="s">
        <v>6585</v>
      </c>
      <c r="AA298" s="892" t="s">
        <v>6586</v>
      </c>
      <c r="AB298" s="893" t="s">
        <v>1194</v>
      </c>
      <c r="AC298" s="894">
        <v>4</v>
      </c>
      <c r="AD298" s="895">
        <v>6.84</v>
      </c>
      <c r="AE298" s="896">
        <f t="shared" si="39"/>
        <v>27.36</v>
      </c>
      <c r="AF298" s="956" t="s">
        <v>5477</v>
      </c>
      <c r="AR298" s="868"/>
      <c r="AT298" s="868"/>
      <c r="AU298" s="868"/>
      <c r="AY298" s="860"/>
      <c r="BE298" s="869"/>
      <c r="BF298" s="869"/>
      <c r="BG298" s="869"/>
      <c r="BH298" s="869"/>
      <c r="BI298" s="869"/>
      <c r="BJ298" s="860"/>
      <c r="BK298" s="869"/>
      <c r="BL298" s="860"/>
      <c r="BM298" s="868"/>
    </row>
    <row r="299" spans="2:65" s="859" customFormat="1" ht="39.75" customHeight="1" x14ac:dyDescent="0.2">
      <c r="B299" s="862"/>
      <c r="C299" s="1234" t="s">
        <v>5205</v>
      </c>
      <c r="D299" s="1235"/>
      <c r="E299" s="1235"/>
      <c r="F299" s="1235"/>
      <c r="G299" s="1235"/>
      <c r="H299" s="1235"/>
      <c r="I299" s="1235"/>
      <c r="J299" s="1236"/>
      <c r="K299" s="863"/>
      <c r="L299" s="861"/>
      <c r="M299" s="864"/>
      <c r="N299" s="865"/>
      <c r="O299" s="866"/>
      <c r="P299" s="866"/>
      <c r="Q299" s="866"/>
      <c r="R299" s="866"/>
      <c r="S299" s="866"/>
      <c r="T299" s="867"/>
      <c r="W299" s="870"/>
      <c r="X299" s="897" t="s">
        <v>5950</v>
      </c>
      <c r="Y299" s="897"/>
      <c r="Z299" s="898" t="s">
        <v>6587</v>
      </c>
      <c r="AA299" s="899" t="s">
        <v>6588</v>
      </c>
      <c r="AB299" s="900" t="s">
        <v>292</v>
      </c>
      <c r="AC299" s="901">
        <v>7.2</v>
      </c>
      <c r="AD299" s="902">
        <v>5.99</v>
      </c>
      <c r="AE299" s="896">
        <f t="shared" si="39"/>
        <v>43.13</v>
      </c>
      <c r="AF299" s="956" t="s">
        <v>5477</v>
      </c>
      <c r="AR299" s="868"/>
      <c r="AT299" s="868"/>
      <c r="AU299" s="868"/>
      <c r="AY299" s="860"/>
      <c r="BE299" s="869"/>
      <c r="BF299" s="869"/>
      <c r="BG299" s="869"/>
      <c r="BH299" s="869"/>
      <c r="BI299" s="869"/>
      <c r="BJ299" s="860"/>
      <c r="BK299" s="869"/>
      <c r="BL299" s="860"/>
      <c r="BM299" s="868"/>
    </row>
    <row r="300" spans="2:65" s="859" customFormat="1" ht="39.75" customHeight="1" x14ac:dyDescent="0.2">
      <c r="B300" s="862"/>
      <c r="C300" s="1234" t="s">
        <v>5205</v>
      </c>
      <c r="D300" s="1235"/>
      <c r="E300" s="1235"/>
      <c r="F300" s="1235"/>
      <c r="G300" s="1235"/>
      <c r="H300" s="1235"/>
      <c r="I300" s="1235"/>
      <c r="J300" s="1236"/>
      <c r="K300" s="863"/>
      <c r="L300" s="861"/>
      <c r="M300" s="864"/>
      <c r="N300" s="865"/>
      <c r="O300" s="866"/>
      <c r="P300" s="866"/>
      <c r="Q300" s="866"/>
      <c r="R300" s="866"/>
      <c r="S300" s="866"/>
      <c r="T300" s="867"/>
      <c r="W300" s="870"/>
      <c r="X300" s="897" t="s">
        <v>5951</v>
      </c>
      <c r="Y300" s="897"/>
      <c r="Z300" s="898" t="s">
        <v>6589</v>
      </c>
      <c r="AA300" s="899" t="s">
        <v>6590</v>
      </c>
      <c r="AB300" s="900" t="s">
        <v>292</v>
      </c>
      <c r="AC300" s="901">
        <v>1.92</v>
      </c>
      <c r="AD300" s="902">
        <v>15.44</v>
      </c>
      <c r="AE300" s="896">
        <f t="shared" si="39"/>
        <v>29.64</v>
      </c>
      <c r="AF300" s="956" t="s">
        <v>5477</v>
      </c>
      <c r="AR300" s="868"/>
      <c r="AT300" s="868"/>
      <c r="AU300" s="868"/>
      <c r="AY300" s="860"/>
      <c r="BE300" s="869"/>
      <c r="BF300" s="869"/>
      <c r="BG300" s="869"/>
      <c r="BH300" s="869"/>
      <c r="BI300" s="869"/>
      <c r="BJ300" s="860"/>
      <c r="BK300" s="869"/>
      <c r="BL300" s="860"/>
      <c r="BM300" s="868"/>
    </row>
    <row r="301" spans="2:65" s="859" customFormat="1" ht="39.75" customHeight="1" x14ac:dyDescent="0.2">
      <c r="B301" s="862"/>
      <c r="C301" s="1234" t="s">
        <v>5205</v>
      </c>
      <c r="D301" s="1235"/>
      <c r="E301" s="1235"/>
      <c r="F301" s="1235"/>
      <c r="G301" s="1235"/>
      <c r="H301" s="1235"/>
      <c r="I301" s="1235"/>
      <c r="J301" s="1236"/>
      <c r="K301" s="863"/>
      <c r="L301" s="861"/>
      <c r="M301" s="864"/>
      <c r="N301" s="865"/>
      <c r="O301" s="866"/>
      <c r="P301" s="866"/>
      <c r="Q301" s="866"/>
      <c r="R301" s="866"/>
      <c r="S301" s="866"/>
      <c r="T301" s="867"/>
      <c r="W301" s="870"/>
      <c r="X301" s="897" t="s">
        <v>5952</v>
      </c>
      <c r="Y301" s="897"/>
      <c r="Z301" s="898" t="s">
        <v>6591</v>
      </c>
      <c r="AA301" s="899" t="s">
        <v>6592</v>
      </c>
      <c r="AB301" s="900" t="s">
        <v>1194</v>
      </c>
      <c r="AC301" s="901">
        <v>8</v>
      </c>
      <c r="AD301" s="902">
        <v>0.46</v>
      </c>
      <c r="AE301" s="896">
        <f t="shared" si="39"/>
        <v>3.68</v>
      </c>
      <c r="AF301" s="956" t="s">
        <v>5477</v>
      </c>
      <c r="AR301" s="868"/>
      <c r="AT301" s="868"/>
      <c r="AU301" s="868"/>
      <c r="AY301" s="860"/>
      <c r="BE301" s="869"/>
      <c r="BF301" s="869"/>
      <c r="BG301" s="869"/>
      <c r="BH301" s="869"/>
      <c r="BI301" s="869"/>
      <c r="BJ301" s="860"/>
      <c r="BK301" s="869"/>
      <c r="BL301" s="860"/>
      <c r="BM301" s="868"/>
    </row>
    <row r="302" spans="2:65" s="1" customFormat="1" ht="24" customHeight="1" x14ac:dyDescent="0.2">
      <c r="B302" s="118"/>
      <c r="C302" s="1070" t="s">
        <v>425</v>
      </c>
      <c r="D302" s="119" t="s">
        <v>231</v>
      </c>
      <c r="E302" s="120" t="s">
        <v>714</v>
      </c>
      <c r="F302" s="121" t="s">
        <v>4316</v>
      </c>
      <c r="G302" s="122" t="s">
        <v>570</v>
      </c>
      <c r="H302" s="1071">
        <v>36.817</v>
      </c>
      <c r="I302" s="124">
        <v>0.64</v>
      </c>
      <c r="J302" s="124">
        <f t="shared" si="35"/>
        <v>23.56</v>
      </c>
      <c r="K302" s="121" t="s">
        <v>1</v>
      </c>
      <c r="L302" s="24"/>
      <c r="M302" s="125" t="s">
        <v>1</v>
      </c>
      <c r="N302" s="126" t="s">
        <v>32</v>
      </c>
      <c r="O302" s="127">
        <v>0</v>
      </c>
      <c r="P302" s="127">
        <f t="shared" si="36"/>
        <v>0</v>
      </c>
      <c r="Q302" s="127">
        <v>0</v>
      </c>
      <c r="R302" s="127">
        <f t="shared" si="37"/>
        <v>0</v>
      </c>
      <c r="S302" s="127">
        <v>0</v>
      </c>
      <c r="T302" s="128">
        <f t="shared" si="38"/>
        <v>0</v>
      </c>
      <c r="W302" s="199"/>
      <c r="X302" s="1070" t="s">
        <v>425</v>
      </c>
      <c r="Y302" s="119" t="s">
        <v>231</v>
      </c>
      <c r="Z302" s="120" t="s">
        <v>714</v>
      </c>
      <c r="AA302" s="121" t="s">
        <v>4316</v>
      </c>
      <c r="AB302" s="122" t="s">
        <v>570</v>
      </c>
      <c r="AC302" s="1071">
        <f>36.817+18.124</f>
        <v>54.941000000000003</v>
      </c>
      <c r="AD302" s="124">
        <v>0.64</v>
      </c>
      <c r="AE302" s="200">
        <f t="shared" si="39"/>
        <v>35.159999999999997</v>
      </c>
      <c r="AF302" s="956" t="s">
        <v>5482</v>
      </c>
      <c r="AR302" s="129" t="s">
        <v>235</v>
      </c>
      <c r="AT302" s="129" t="s">
        <v>231</v>
      </c>
      <c r="AU302" s="129" t="s">
        <v>76</v>
      </c>
      <c r="AY302" s="13" t="s">
        <v>228</v>
      </c>
      <c r="BE302" s="130">
        <f t="shared" si="40"/>
        <v>0</v>
      </c>
      <c r="BF302" s="130">
        <f t="shared" si="41"/>
        <v>23.56</v>
      </c>
      <c r="BG302" s="130">
        <f t="shared" si="42"/>
        <v>0</v>
      </c>
      <c r="BH302" s="130">
        <f t="shared" si="43"/>
        <v>0</v>
      </c>
      <c r="BI302" s="130">
        <f t="shared" si="44"/>
        <v>0</v>
      </c>
      <c r="BJ302" s="13" t="s">
        <v>76</v>
      </c>
      <c r="BK302" s="130">
        <f t="shared" si="45"/>
        <v>23.56</v>
      </c>
      <c r="BL302" s="13" t="s">
        <v>235</v>
      </c>
      <c r="BM302" s="129" t="s">
        <v>635</v>
      </c>
    </row>
    <row r="303" spans="2:65" s="11" customFormat="1" ht="22.95" customHeight="1" x14ac:dyDescent="0.25">
      <c r="B303" s="106"/>
      <c r="D303" s="107" t="s">
        <v>57</v>
      </c>
      <c r="E303" s="116" t="s">
        <v>717</v>
      </c>
      <c r="F303" s="116" t="s">
        <v>718</v>
      </c>
      <c r="J303" s="117">
        <f>BK303</f>
        <v>21469.22</v>
      </c>
      <c r="L303" s="106"/>
      <c r="M303" s="110"/>
      <c r="N303" s="111"/>
      <c r="O303" s="111"/>
      <c r="P303" s="112">
        <f>SUM(P304:P323)</f>
        <v>384.94836459999999</v>
      </c>
      <c r="Q303" s="111"/>
      <c r="R303" s="112">
        <f>SUM(R304:R323)</f>
        <v>1.7794000000000001E-2</v>
      </c>
      <c r="S303" s="111"/>
      <c r="T303" s="113">
        <f>SUM(T304:T323)</f>
        <v>1.6651520000000002</v>
      </c>
      <c r="W303" s="195"/>
      <c r="X303" s="111"/>
      <c r="Y303" s="196" t="s">
        <v>57</v>
      </c>
      <c r="Z303" s="201" t="s">
        <v>717</v>
      </c>
      <c r="AA303" s="201" t="s">
        <v>718</v>
      </c>
      <c r="AB303" s="111"/>
      <c r="AC303" s="111"/>
      <c r="AD303" s="111"/>
      <c r="AE303" s="202">
        <f>SUM(AE304:AE323)</f>
        <v>32790.340000000004</v>
      </c>
      <c r="AF303" s="956"/>
      <c r="AR303" s="107" t="s">
        <v>63</v>
      </c>
      <c r="AT303" s="114" t="s">
        <v>57</v>
      </c>
      <c r="AU303" s="114" t="s">
        <v>63</v>
      </c>
      <c r="AY303" s="107" t="s">
        <v>228</v>
      </c>
      <c r="BK303" s="115">
        <f>SUM(BK304:BK323)</f>
        <v>21469.22</v>
      </c>
    </row>
    <row r="304" spans="2:65" s="1" customFormat="1" ht="16.5" customHeight="1" x14ac:dyDescent="0.2">
      <c r="B304" s="118"/>
      <c r="C304" s="119" t="s">
        <v>627</v>
      </c>
      <c r="D304" s="119" t="s">
        <v>231</v>
      </c>
      <c r="E304" s="120" t="s">
        <v>719</v>
      </c>
      <c r="F304" s="121" t="s">
        <v>720</v>
      </c>
      <c r="G304" s="122" t="s">
        <v>284</v>
      </c>
      <c r="H304" s="123">
        <v>416.28800000000001</v>
      </c>
      <c r="I304" s="124">
        <v>4.41</v>
      </c>
      <c r="J304" s="124">
        <f t="shared" ref="J304:J323" si="47">ROUND(I304*H304,2)</f>
        <v>1835.83</v>
      </c>
      <c r="K304" s="121" t="s">
        <v>1</v>
      </c>
      <c r="L304" s="24"/>
      <c r="M304" s="125" t="s">
        <v>1</v>
      </c>
      <c r="N304" s="126" t="s">
        <v>32</v>
      </c>
      <c r="O304" s="127">
        <v>0.40699999999999997</v>
      </c>
      <c r="P304" s="127">
        <f t="shared" ref="P304:P323" si="48">O304*H304</f>
        <v>169.429216</v>
      </c>
      <c r="Q304" s="127">
        <v>0</v>
      </c>
      <c r="R304" s="127">
        <f t="shared" ref="R304:R323" si="49">Q304*H304</f>
        <v>0</v>
      </c>
      <c r="S304" s="127">
        <v>4.0000000000000001E-3</v>
      </c>
      <c r="T304" s="128">
        <f t="shared" ref="T304:T323" si="50">S304*H304</f>
        <v>1.6651520000000002</v>
      </c>
      <c r="W304" s="199"/>
      <c r="X304" s="119" t="s">
        <v>627</v>
      </c>
      <c r="Y304" s="119" t="s">
        <v>231</v>
      </c>
      <c r="Z304" s="120" t="s">
        <v>719</v>
      </c>
      <c r="AA304" s="121" t="s">
        <v>720</v>
      </c>
      <c r="AB304" s="122" t="s">
        <v>284</v>
      </c>
      <c r="AC304" s="123">
        <v>416.28800000000001</v>
      </c>
      <c r="AD304" s="124">
        <v>4.41</v>
      </c>
      <c r="AE304" s="200">
        <f t="shared" ref="AE304:AE323" si="51">ROUND(AD304*AC304,2)</f>
        <v>1835.83</v>
      </c>
      <c r="AF304" s="956"/>
      <c r="AR304" s="129" t="s">
        <v>235</v>
      </c>
      <c r="AT304" s="129" t="s">
        <v>231</v>
      </c>
      <c r="AU304" s="129" t="s">
        <v>76</v>
      </c>
      <c r="AY304" s="13" t="s">
        <v>228</v>
      </c>
      <c r="BE304" s="130">
        <f t="shared" ref="BE304:BE323" si="52">IF(N304="základná",J304,0)</f>
        <v>0</v>
      </c>
      <c r="BF304" s="130">
        <f t="shared" ref="BF304:BF323" si="53">IF(N304="znížená",J304,0)</f>
        <v>1835.83</v>
      </c>
      <c r="BG304" s="130">
        <f t="shared" ref="BG304:BG323" si="54">IF(N304="zákl. prenesená",J304,0)</f>
        <v>0</v>
      </c>
      <c r="BH304" s="130">
        <f t="shared" ref="BH304:BH323" si="55">IF(N304="zníž. prenesená",J304,0)</f>
        <v>0</v>
      </c>
      <c r="BI304" s="130">
        <f t="shared" ref="BI304:BI323" si="56">IF(N304="nulová",J304,0)</f>
        <v>0</v>
      </c>
      <c r="BJ304" s="13" t="s">
        <v>76</v>
      </c>
      <c r="BK304" s="130">
        <f t="shared" ref="BK304:BK323" si="57">ROUND(I304*H304,2)</f>
        <v>1835.83</v>
      </c>
      <c r="BL304" s="13" t="s">
        <v>235</v>
      </c>
      <c r="BM304" s="129" t="s">
        <v>639</v>
      </c>
    </row>
    <row r="305" spans="2:65" s="1" customFormat="1" ht="24" customHeight="1" x14ac:dyDescent="0.2">
      <c r="B305" s="118"/>
      <c r="C305" s="119" t="s">
        <v>428</v>
      </c>
      <c r="D305" s="119" t="s">
        <v>231</v>
      </c>
      <c r="E305" s="120" t="s">
        <v>726</v>
      </c>
      <c r="F305" s="121" t="s">
        <v>4317</v>
      </c>
      <c r="G305" s="122" t="s">
        <v>284</v>
      </c>
      <c r="H305" s="123">
        <v>177.94</v>
      </c>
      <c r="I305" s="124">
        <v>13.93</v>
      </c>
      <c r="J305" s="124">
        <f t="shared" si="47"/>
        <v>2478.6999999999998</v>
      </c>
      <c r="K305" s="121" t="s">
        <v>1</v>
      </c>
      <c r="L305" s="24"/>
      <c r="M305" s="125" t="s">
        <v>1</v>
      </c>
      <c r="N305" s="126" t="s">
        <v>32</v>
      </c>
      <c r="O305" s="127">
        <v>1.21119</v>
      </c>
      <c r="P305" s="127">
        <f t="shared" si="48"/>
        <v>215.51914859999999</v>
      </c>
      <c r="Q305" s="127">
        <v>1E-4</v>
      </c>
      <c r="R305" s="127">
        <f t="shared" si="49"/>
        <v>1.7794000000000001E-2</v>
      </c>
      <c r="S305" s="127">
        <v>0</v>
      </c>
      <c r="T305" s="128">
        <f t="shared" si="50"/>
        <v>0</v>
      </c>
      <c r="W305" s="199"/>
      <c r="X305" s="119" t="s">
        <v>428</v>
      </c>
      <c r="Y305" s="119" t="s">
        <v>231</v>
      </c>
      <c r="Z305" s="120" t="s">
        <v>726</v>
      </c>
      <c r="AA305" s="121" t="s">
        <v>4317</v>
      </c>
      <c r="AB305" s="122" t="s">
        <v>284</v>
      </c>
      <c r="AC305" s="123">
        <v>177.94</v>
      </c>
      <c r="AD305" s="124">
        <v>13.93</v>
      </c>
      <c r="AE305" s="200">
        <f t="shared" si="51"/>
        <v>2478.6999999999998</v>
      </c>
      <c r="AF305" s="956"/>
      <c r="AR305" s="129" t="s">
        <v>235</v>
      </c>
      <c r="AT305" s="129" t="s">
        <v>231</v>
      </c>
      <c r="AU305" s="129" t="s">
        <v>76</v>
      </c>
      <c r="AY305" s="13" t="s">
        <v>228</v>
      </c>
      <c r="BE305" s="130">
        <f t="shared" si="52"/>
        <v>0</v>
      </c>
      <c r="BF305" s="130">
        <f t="shared" si="53"/>
        <v>2478.6999999999998</v>
      </c>
      <c r="BG305" s="130">
        <f t="shared" si="54"/>
        <v>0</v>
      </c>
      <c r="BH305" s="130">
        <f t="shared" si="55"/>
        <v>0</v>
      </c>
      <c r="BI305" s="130">
        <f t="shared" si="56"/>
        <v>0</v>
      </c>
      <c r="BJ305" s="13" t="s">
        <v>76</v>
      </c>
      <c r="BK305" s="130">
        <f t="shared" si="57"/>
        <v>2478.6999999999998</v>
      </c>
      <c r="BL305" s="13" t="s">
        <v>235</v>
      </c>
      <c r="BM305" s="129" t="s">
        <v>642</v>
      </c>
    </row>
    <row r="306" spans="2:65" s="1" customFormat="1" ht="16.5" customHeight="1" x14ac:dyDescent="0.2">
      <c r="B306" s="118"/>
      <c r="C306" s="119" t="s">
        <v>636</v>
      </c>
      <c r="D306" s="119" t="s">
        <v>231</v>
      </c>
      <c r="E306" s="120" t="s">
        <v>730</v>
      </c>
      <c r="F306" s="121" t="s">
        <v>731</v>
      </c>
      <c r="G306" s="122" t="s">
        <v>284</v>
      </c>
      <c r="H306" s="123">
        <v>195.73400000000001</v>
      </c>
      <c r="I306" s="124">
        <v>13.7</v>
      </c>
      <c r="J306" s="124">
        <f t="shared" si="47"/>
        <v>2681.56</v>
      </c>
      <c r="K306" s="121" t="s">
        <v>1</v>
      </c>
      <c r="L306" s="24"/>
      <c r="M306" s="125" t="s">
        <v>1</v>
      </c>
      <c r="N306" s="126" t="s">
        <v>32</v>
      </c>
      <c r="O306" s="127">
        <v>0</v>
      </c>
      <c r="P306" s="127">
        <f t="shared" si="48"/>
        <v>0</v>
      </c>
      <c r="Q306" s="127">
        <v>0</v>
      </c>
      <c r="R306" s="127">
        <f t="shared" si="49"/>
        <v>0</v>
      </c>
      <c r="S306" s="127">
        <v>0</v>
      </c>
      <c r="T306" s="128">
        <f t="shared" si="50"/>
        <v>0</v>
      </c>
      <c r="W306" s="199"/>
      <c r="X306" s="119" t="s">
        <v>636</v>
      </c>
      <c r="Y306" s="119" t="s">
        <v>231</v>
      </c>
      <c r="Z306" s="120" t="s">
        <v>730</v>
      </c>
      <c r="AA306" s="121" t="s">
        <v>731</v>
      </c>
      <c r="AB306" s="122" t="s">
        <v>284</v>
      </c>
      <c r="AC306" s="123">
        <v>195.73400000000001</v>
      </c>
      <c r="AD306" s="124">
        <v>13.7</v>
      </c>
      <c r="AE306" s="200">
        <f t="shared" si="51"/>
        <v>2681.56</v>
      </c>
      <c r="AF306" s="956"/>
      <c r="AR306" s="129" t="s">
        <v>235</v>
      </c>
      <c r="AT306" s="129" t="s">
        <v>231</v>
      </c>
      <c r="AU306" s="129" t="s">
        <v>76</v>
      </c>
      <c r="AY306" s="13" t="s">
        <v>228</v>
      </c>
      <c r="BE306" s="130">
        <f t="shared" si="52"/>
        <v>0</v>
      </c>
      <c r="BF306" s="130">
        <f t="shared" si="53"/>
        <v>2681.56</v>
      </c>
      <c r="BG306" s="130">
        <f t="shared" si="54"/>
        <v>0</v>
      </c>
      <c r="BH306" s="130">
        <f t="shared" si="55"/>
        <v>0</v>
      </c>
      <c r="BI306" s="130">
        <f t="shared" si="56"/>
        <v>0</v>
      </c>
      <c r="BJ306" s="13" t="s">
        <v>76</v>
      </c>
      <c r="BK306" s="130">
        <f t="shared" si="57"/>
        <v>2681.56</v>
      </c>
      <c r="BL306" s="13" t="s">
        <v>235</v>
      </c>
      <c r="BM306" s="129" t="s">
        <v>646</v>
      </c>
    </row>
    <row r="307" spans="2:65" s="676" customFormat="1" ht="21" customHeight="1" x14ac:dyDescent="0.2">
      <c r="B307" s="118"/>
      <c r="C307" s="1234" t="s">
        <v>5205</v>
      </c>
      <c r="D307" s="1235"/>
      <c r="E307" s="1235"/>
      <c r="F307" s="1235"/>
      <c r="G307" s="1235"/>
      <c r="H307" s="1235"/>
      <c r="I307" s="1235"/>
      <c r="J307" s="1236"/>
      <c r="K307" s="121"/>
      <c r="L307" s="24"/>
      <c r="M307" s="125"/>
      <c r="N307" s="126"/>
      <c r="O307" s="127"/>
      <c r="P307" s="127"/>
      <c r="Q307" s="127"/>
      <c r="R307" s="127"/>
      <c r="S307" s="127"/>
      <c r="T307" s="128"/>
      <c r="W307" s="199"/>
      <c r="X307" s="207" t="s">
        <v>6510</v>
      </c>
      <c r="Y307" s="207" t="s">
        <v>231</v>
      </c>
      <c r="Z307" s="208" t="s">
        <v>6508</v>
      </c>
      <c r="AA307" s="209" t="s">
        <v>6509</v>
      </c>
      <c r="AB307" s="210" t="s">
        <v>243</v>
      </c>
      <c r="AC307" s="211">
        <v>2</v>
      </c>
      <c r="AD307" s="212">
        <v>540</v>
      </c>
      <c r="AE307" s="214">
        <f>ROUND(AD307*AC307,2)</f>
        <v>1080</v>
      </c>
      <c r="AF307" s="956">
        <v>20</v>
      </c>
      <c r="AR307" s="129"/>
      <c r="AT307" s="129"/>
      <c r="AU307" s="129"/>
      <c r="AY307" s="13"/>
      <c r="BE307" s="130"/>
      <c r="BF307" s="130"/>
      <c r="BG307" s="130"/>
      <c r="BH307" s="130"/>
      <c r="BI307" s="130"/>
      <c r="BJ307" s="13"/>
      <c r="BK307" s="130"/>
      <c r="BL307" s="13"/>
      <c r="BM307" s="129"/>
    </row>
    <row r="308" spans="2:65" s="1" customFormat="1" ht="24" customHeight="1" x14ac:dyDescent="0.2">
      <c r="B308" s="118"/>
      <c r="C308" s="205" t="s">
        <v>432</v>
      </c>
      <c r="D308" s="119" t="s">
        <v>231</v>
      </c>
      <c r="E308" s="120" t="s">
        <v>737</v>
      </c>
      <c r="F308" s="121" t="s">
        <v>4318</v>
      </c>
      <c r="G308" s="122" t="s">
        <v>243</v>
      </c>
      <c r="H308" s="206">
        <v>3</v>
      </c>
      <c r="I308" s="124">
        <v>429.57</v>
      </c>
      <c r="J308" s="124">
        <f t="shared" si="47"/>
        <v>1288.71</v>
      </c>
      <c r="K308" s="121" t="s">
        <v>1</v>
      </c>
      <c r="L308" s="24"/>
      <c r="M308" s="125" t="s">
        <v>1</v>
      </c>
      <c r="N308" s="126" t="s">
        <v>32</v>
      </c>
      <c r="O308" s="127">
        <v>0</v>
      </c>
      <c r="P308" s="127">
        <f t="shared" si="48"/>
        <v>0</v>
      </c>
      <c r="Q308" s="127">
        <v>0</v>
      </c>
      <c r="R308" s="127">
        <f t="shared" si="49"/>
        <v>0</v>
      </c>
      <c r="S308" s="127">
        <v>0</v>
      </c>
      <c r="T308" s="128">
        <f t="shared" si="50"/>
        <v>0</v>
      </c>
      <c r="W308" s="199"/>
      <c r="X308" s="205" t="s">
        <v>432</v>
      </c>
      <c r="Y308" s="119" t="s">
        <v>231</v>
      </c>
      <c r="Z308" s="120" t="s">
        <v>737</v>
      </c>
      <c r="AA308" s="121" t="s">
        <v>4318</v>
      </c>
      <c r="AB308" s="122" t="s">
        <v>243</v>
      </c>
      <c r="AC308" s="206">
        <f>3-1</f>
        <v>2</v>
      </c>
      <c r="AD308" s="124">
        <v>429.57</v>
      </c>
      <c r="AE308" s="200">
        <f t="shared" si="51"/>
        <v>859.14</v>
      </c>
      <c r="AF308" s="956">
        <v>20</v>
      </c>
      <c r="AR308" s="129" t="s">
        <v>235</v>
      </c>
      <c r="AT308" s="129" t="s">
        <v>231</v>
      </c>
      <c r="AU308" s="129" t="s">
        <v>76</v>
      </c>
      <c r="AY308" s="13" t="s">
        <v>228</v>
      </c>
      <c r="BE308" s="130">
        <f t="shared" si="52"/>
        <v>0</v>
      </c>
      <c r="BF308" s="130">
        <f t="shared" si="53"/>
        <v>1288.71</v>
      </c>
      <c r="BG308" s="130">
        <f t="shared" si="54"/>
        <v>0</v>
      </c>
      <c r="BH308" s="130">
        <f t="shared" si="55"/>
        <v>0</v>
      </c>
      <c r="BI308" s="130">
        <f t="shared" si="56"/>
        <v>0</v>
      </c>
      <c r="BJ308" s="13" t="s">
        <v>76</v>
      </c>
      <c r="BK308" s="130">
        <f t="shared" si="57"/>
        <v>1288.71</v>
      </c>
      <c r="BL308" s="13" t="s">
        <v>235</v>
      </c>
      <c r="BM308" s="129" t="s">
        <v>649</v>
      </c>
    </row>
    <row r="309" spans="2:65" s="1" customFormat="1" ht="24" customHeight="1" x14ac:dyDescent="0.2">
      <c r="B309" s="118"/>
      <c r="C309" s="119" t="s">
        <v>643</v>
      </c>
      <c r="D309" s="119" t="s">
        <v>231</v>
      </c>
      <c r="E309" s="120" t="s">
        <v>740</v>
      </c>
      <c r="F309" s="121" t="s">
        <v>4319</v>
      </c>
      <c r="G309" s="122" t="s">
        <v>243</v>
      </c>
      <c r="H309" s="123">
        <v>2</v>
      </c>
      <c r="I309" s="124">
        <v>406.35</v>
      </c>
      <c r="J309" s="124">
        <f t="shared" si="47"/>
        <v>812.7</v>
      </c>
      <c r="K309" s="121" t="s">
        <v>1</v>
      </c>
      <c r="L309" s="24"/>
      <c r="M309" s="125" t="s">
        <v>1</v>
      </c>
      <c r="N309" s="126" t="s">
        <v>32</v>
      </c>
      <c r="O309" s="127">
        <v>0</v>
      </c>
      <c r="P309" s="127">
        <f t="shared" si="48"/>
        <v>0</v>
      </c>
      <c r="Q309" s="127">
        <v>0</v>
      </c>
      <c r="R309" s="127">
        <f t="shared" si="49"/>
        <v>0</v>
      </c>
      <c r="S309" s="127">
        <v>0</v>
      </c>
      <c r="T309" s="128">
        <f t="shared" si="50"/>
        <v>0</v>
      </c>
      <c r="W309" s="199"/>
      <c r="X309" s="119" t="s">
        <v>643</v>
      </c>
      <c r="Y309" s="119" t="s">
        <v>231</v>
      </c>
      <c r="Z309" s="120" t="s">
        <v>740</v>
      </c>
      <c r="AA309" s="121" t="s">
        <v>4319</v>
      </c>
      <c r="AB309" s="122" t="s">
        <v>243</v>
      </c>
      <c r="AC309" s="123">
        <v>2</v>
      </c>
      <c r="AD309" s="124">
        <v>406.35</v>
      </c>
      <c r="AE309" s="200">
        <f t="shared" si="51"/>
        <v>812.7</v>
      </c>
      <c r="AF309" s="956"/>
      <c r="AR309" s="129" t="s">
        <v>235</v>
      </c>
      <c r="AT309" s="129" t="s">
        <v>231</v>
      </c>
      <c r="AU309" s="129" t="s">
        <v>76</v>
      </c>
      <c r="AY309" s="13" t="s">
        <v>228</v>
      </c>
      <c r="BE309" s="130">
        <f t="shared" si="52"/>
        <v>0</v>
      </c>
      <c r="BF309" s="130">
        <f t="shared" si="53"/>
        <v>812.7</v>
      </c>
      <c r="BG309" s="130">
        <f t="shared" si="54"/>
        <v>0</v>
      </c>
      <c r="BH309" s="130">
        <f t="shared" si="55"/>
        <v>0</v>
      </c>
      <c r="BI309" s="130">
        <f t="shared" si="56"/>
        <v>0</v>
      </c>
      <c r="BJ309" s="13" t="s">
        <v>76</v>
      </c>
      <c r="BK309" s="130">
        <f t="shared" si="57"/>
        <v>812.7</v>
      </c>
      <c r="BL309" s="13" t="s">
        <v>235</v>
      </c>
      <c r="BM309" s="129" t="s">
        <v>653</v>
      </c>
    </row>
    <row r="310" spans="2:65" s="1" customFormat="1" ht="24" customHeight="1" x14ac:dyDescent="0.2">
      <c r="B310" s="118"/>
      <c r="C310" s="205" t="s">
        <v>435</v>
      </c>
      <c r="D310" s="119" t="s">
        <v>231</v>
      </c>
      <c r="E310" s="120" t="s">
        <v>754</v>
      </c>
      <c r="F310" s="121" t="s">
        <v>4320</v>
      </c>
      <c r="G310" s="122" t="s">
        <v>243</v>
      </c>
      <c r="H310" s="206">
        <v>1</v>
      </c>
      <c r="I310" s="124">
        <v>2589.0300000000002</v>
      </c>
      <c r="J310" s="124">
        <f t="shared" si="47"/>
        <v>2589.0300000000002</v>
      </c>
      <c r="K310" s="121" t="s">
        <v>1</v>
      </c>
      <c r="L310" s="24"/>
      <c r="M310" s="125" t="s">
        <v>1</v>
      </c>
      <c r="N310" s="126" t="s">
        <v>32</v>
      </c>
      <c r="O310" s="127">
        <v>0</v>
      </c>
      <c r="P310" s="127">
        <f t="shared" si="48"/>
        <v>0</v>
      </c>
      <c r="Q310" s="127">
        <v>0</v>
      </c>
      <c r="R310" s="127">
        <f t="shared" si="49"/>
        <v>0</v>
      </c>
      <c r="S310" s="127">
        <v>0</v>
      </c>
      <c r="T310" s="128">
        <f t="shared" si="50"/>
        <v>0</v>
      </c>
      <c r="W310" s="199"/>
      <c r="X310" s="205" t="s">
        <v>435</v>
      </c>
      <c r="Y310" s="119" t="s">
        <v>231</v>
      </c>
      <c r="Z310" s="120" t="s">
        <v>754</v>
      </c>
      <c r="AA310" s="121" t="s">
        <v>4320</v>
      </c>
      <c r="AB310" s="122" t="s">
        <v>243</v>
      </c>
      <c r="AC310" s="206">
        <f>1-1</f>
        <v>0</v>
      </c>
      <c r="AD310" s="124">
        <v>2589.0300000000002</v>
      </c>
      <c r="AE310" s="200">
        <f t="shared" si="51"/>
        <v>0</v>
      </c>
      <c r="AF310" s="956">
        <v>20</v>
      </c>
      <c r="AR310" s="129" t="s">
        <v>235</v>
      </c>
      <c r="AT310" s="129" t="s">
        <v>231</v>
      </c>
      <c r="AU310" s="129" t="s">
        <v>76</v>
      </c>
      <c r="AY310" s="13" t="s">
        <v>228</v>
      </c>
      <c r="BE310" s="130">
        <f t="shared" si="52"/>
        <v>0</v>
      </c>
      <c r="BF310" s="130">
        <f t="shared" si="53"/>
        <v>2589.0300000000002</v>
      </c>
      <c r="BG310" s="130">
        <f t="shared" si="54"/>
        <v>0</v>
      </c>
      <c r="BH310" s="130">
        <f t="shared" si="55"/>
        <v>0</v>
      </c>
      <c r="BI310" s="130">
        <f t="shared" si="56"/>
        <v>0</v>
      </c>
      <c r="BJ310" s="13" t="s">
        <v>76</v>
      </c>
      <c r="BK310" s="130">
        <f t="shared" si="57"/>
        <v>2589.0300000000002</v>
      </c>
      <c r="BL310" s="13" t="s">
        <v>235</v>
      </c>
      <c r="BM310" s="129" t="s">
        <v>656</v>
      </c>
    </row>
    <row r="311" spans="2:65" s="676" customFormat="1" ht="24" customHeight="1" x14ac:dyDescent="0.2">
      <c r="B311" s="118"/>
      <c r="C311" s="1234" t="s">
        <v>5205</v>
      </c>
      <c r="D311" s="1235"/>
      <c r="E311" s="1235"/>
      <c r="F311" s="1235"/>
      <c r="G311" s="1235"/>
      <c r="H311" s="1235"/>
      <c r="I311" s="1235"/>
      <c r="J311" s="1236"/>
      <c r="K311" s="121"/>
      <c r="L311" s="24"/>
      <c r="M311" s="125"/>
      <c r="N311" s="126"/>
      <c r="O311" s="127"/>
      <c r="P311" s="127"/>
      <c r="Q311" s="127"/>
      <c r="R311" s="127"/>
      <c r="S311" s="127"/>
      <c r="T311" s="128"/>
      <c r="W311" s="199"/>
      <c r="X311" s="207" t="s">
        <v>6513</v>
      </c>
      <c r="Y311" s="207" t="s">
        <v>231</v>
      </c>
      <c r="Z311" s="208" t="s">
        <v>6511</v>
      </c>
      <c r="AA311" s="209" t="s">
        <v>6512</v>
      </c>
      <c r="AB311" s="210" t="s">
        <v>243</v>
      </c>
      <c r="AC311" s="211">
        <v>1</v>
      </c>
      <c r="AD311" s="212">
        <v>5928.75</v>
      </c>
      <c r="AE311" s="214">
        <f>ROUND(AD311*AC311,2)</f>
        <v>5928.75</v>
      </c>
      <c r="AF311" s="956">
        <v>20</v>
      </c>
      <c r="AR311" s="129"/>
      <c r="AT311" s="129"/>
      <c r="AU311" s="129"/>
      <c r="AY311" s="13"/>
      <c r="BE311" s="130"/>
      <c r="BF311" s="130"/>
      <c r="BG311" s="130"/>
      <c r="BH311" s="130"/>
      <c r="BI311" s="130"/>
      <c r="BJ311" s="13"/>
      <c r="BK311" s="130"/>
      <c r="BL311" s="13"/>
      <c r="BM311" s="129"/>
    </row>
    <row r="312" spans="2:65" s="676" customFormat="1" ht="24" customHeight="1" x14ac:dyDescent="0.2">
      <c r="B312" s="118"/>
      <c r="C312" s="1234" t="s">
        <v>5205</v>
      </c>
      <c r="D312" s="1235"/>
      <c r="E312" s="1235"/>
      <c r="F312" s="1235"/>
      <c r="G312" s="1235"/>
      <c r="H312" s="1235"/>
      <c r="I312" s="1235"/>
      <c r="J312" s="1236"/>
      <c r="K312" s="121"/>
      <c r="L312" s="24"/>
      <c r="M312" s="125"/>
      <c r="N312" s="126"/>
      <c r="O312" s="127"/>
      <c r="P312" s="127"/>
      <c r="Q312" s="127"/>
      <c r="R312" s="127"/>
      <c r="S312" s="127"/>
      <c r="T312" s="128"/>
      <c r="W312" s="199"/>
      <c r="X312" s="207" t="s">
        <v>6516</v>
      </c>
      <c r="Y312" s="207" t="s">
        <v>231</v>
      </c>
      <c r="Z312" s="208" t="s">
        <v>6514</v>
      </c>
      <c r="AA312" s="209" t="s">
        <v>6515</v>
      </c>
      <c r="AB312" s="210" t="s">
        <v>243</v>
      </c>
      <c r="AC312" s="211">
        <v>1</v>
      </c>
      <c r="AD312" s="212">
        <v>3520</v>
      </c>
      <c r="AE312" s="214">
        <f>ROUND(AD312*AC312,2)</f>
        <v>3520</v>
      </c>
      <c r="AF312" s="956">
        <v>20</v>
      </c>
      <c r="AR312" s="129"/>
      <c r="AT312" s="129"/>
      <c r="AU312" s="129"/>
      <c r="AY312" s="13"/>
      <c r="BE312" s="130"/>
      <c r="BF312" s="130"/>
      <c r="BG312" s="130"/>
      <c r="BH312" s="130"/>
      <c r="BI312" s="130"/>
      <c r="BJ312" s="13"/>
      <c r="BK312" s="130"/>
      <c r="BL312" s="13"/>
      <c r="BM312" s="129"/>
    </row>
    <row r="313" spans="2:65" s="1" customFormat="1" ht="24" customHeight="1" x14ac:dyDescent="0.2">
      <c r="B313" s="118"/>
      <c r="C313" s="205" t="s">
        <v>650</v>
      </c>
      <c r="D313" s="119" t="s">
        <v>231</v>
      </c>
      <c r="E313" s="120" t="s">
        <v>758</v>
      </c>
      <c r="F313" s="121" t="s">
        <v>4321</v>
      </c>
      <c r="G313" s="122" t="s">
        <v>243</v>
      </c>
      <c r="H313" s="206">
        <v>1</v>
      </c>
      <c r="I313" s="124">
        <v>2089.8000000000002</v>
      </c>
      <c r="J313" s="124">
        <f t="shared" si="47"/>
        <v>2089.8000000000002</v>
      </c>
      <c r="K313" s="121" t="s">
        <v>1</v>
      </c>
      <c r="L313" s="24"/>
      <c r="M313" s="125" t="s">
        <v>1</v>
      </c>
      <c r="N313" s="126" t="s">
        <v>32</v>
      </c>
      <c r="O313" s="127">
        <v>0</v>
      </c>
      <c r="P313" s="127">
        <f t="shared" si="48"/>
        <v>0</v>
      </c>
      <c r="Q313" s="127">
        <v>0</v>
      </c>
      <c r="R313" s="127">
        <f t="shared" si="49"/>
        <v>0</v>
      </c>
      <c r="S313" s="127">
        <v>0</v>
      </c>
      <c r="T313" s="128">
        <f t="shared" si="50"/>
        <v>0</v>
      </c>
      <c r="W313" s="199"/>
      <c r="X313" s="205" t="s">
        <v>650</v>
      </c>
      <c r="Y313" s="119" t="s">
        <v>231</v>
      </c>
      <c r="Z313" s="120" t="s">
        <v>758</v>
      </c>
      <c r="AA313" s="121" t="s">
        <v>4321</v>
      </c>
      <c r="AB313" s="122" t="s">
        <v>243</v>
      </c>
      <c r="AC313" s="206">
        <f>1-1</f>
        <v>0</v>
      </c>
      <c r="AD313" s="124">
        <v>2089.8000000000002</v>
      </c>
      <c r="AE313" s="200">
        <f t="shared" si="51"/>
        <v>0</v>
      </c>
      <c r="AF313" s="956">
        <v>20</v>
      </c>
      <c r="AR313" s="129" t="s">
        <v>235</v>
      </c>
      <c r="AT313" s="129" t="s">
        <v>231</v>
      </c>
      <c r="AU313" s="129" t="s">
        <v>76</v>
      </c>
      <c r="AY313" s="13" t="s">
        <v>228</v>
      </c>
      <c r="BE313" s="130">
        <f t="shared" si="52"/>
        <v>0</v>
      </c>
      <c r="BF313" s="130">
        <f t="shared" si="53"/>
        <v>2089.8000000000002</v>
      </c>
      <c r="BG313" s="130">
        <f t="shared" si="54"/>
        <v>0</v>
      </c>
      <c r="BH313" s="130">
        <f t="shared" si="55"/>
        <v>0</v>
      </c>
      <c r="BI313" s="130">
        <f t="shared" si="56"/>
        <v>0</v>
      </c>
      <c r="BJ313" s="13" t="s">
        <v>76</v>
      </c>
      <c r="BK313" s="130">
        <f t="shared" si="57"/>
        <v>2089.8000000000002</v>
      </c>
      <c r="BL313" s="13" t="s">
        <v>235</v>
      </c>
      <c r="BM313" s="129" t="s">
        <v>660</v>
      </c>
    </row>
    <row r="314" spans="2:65" s="676" customFormat="1" ht="26.55" customHeight="1" x14ac:dyDescent="0.2">
      <c r="B314" s="118"/>
      <c r="C314" s="1234" t="s">
        <v>5205</v>
      </c>
      <c r="D314" s="1235"/>
      <c r="E314" s="1235"/>
      <c r="F314" s="1235"/>
      <c r="G314" s="1235"/>
      <c r="H314" s="1235"/>
      <c r="I314" s="1235"/>
      <c r="J314" s="1236"/>
      <c r="K314" s="121"/>
      <c r="L314" s="24"/>
      <c r="M314" s="125"/>
      <c r="N314" s="126"/>
      <c r="O314" s="127"/>
      <c r="P314" s="127"/>
      <c r="Q314" s="127"/>
      <c r="R314" s="127"/>
      <c r="S314" s="127"/>
      <c r="T314" s="128"/>
      <c r="W314" s="199"/>
      <c r="X314" s="207" t="s">
        <v>6519</v>
      </c>
      <c r="Y314" s="207" t="s">
        <v>231</v>
      </c>
      <c r="Z314" s="208" t="s">
        <v>6517</v>
      </c>
      <c r="AA314" s="209" t="s">
        <v>6518</v>
      </c>
      <c r="AB314" s="210" t="s">
        <v>243</v>
      </c>
      <c r="AC314" s="211">
        <v>1</v>
      </c>
      <c r="AD314" s="212">
        <v>2875</v>
      </c>
      <c r="AE314" s="214">
        <f>ROUND(AD314*AC314,2)</f>
        <v>2875</v>
      </c>
      <c r="AF314" s="956">
        <v>20</v>
      </c>
      <c r="AR314" s="129"/>
      <c r="AT314" s="129"/>
      <c r="AU314" s="129"/>
      <c r="AY314" s="13"/>
      <c r="BE314" s="130"/>
      <c r="BF314" s="130"/>
      <c r="BG314" s="130"/>
      <c r="BH314" s="130"/>
      <c r="BI314" s="130"/>
      <c r="BJ314" s="13"/>
      <c r="BK314" s="130"/>
      <c r="BL314" s="13"/>
      <c r="BM314" s="129"/>
    </row>
    <row r="315" spans="2:65" s="1" customFormat="1" ht="24" customHeight="1" x14ac:dyDescent="0.2">
      <c r="B315" s="118"/>
      <c r="C315" s="119" t="s">
        <v>441</v>
      </c>
      <c r="D315" s="119" t="s">
        <v>231</v>
      </c>
      <c r="E315" s="120" t="s">
        <v>772</v>
      </c>
      <c r="F315" s="121" t="s">
        <v>4322</v>
      </c>
      <c r="G315" s="122" t="s">
        <v>292</v>
      </c>
      <c r="H315" s="123">
        <v>65</v>
      </c>
      <c r="I315" s="124">
        <v>58.05</v>
      </c>
      <c r="J315" s="124">
        <f t="shared" si="47"/>
        <v>3773.25</v>
      </c>
      <c r="K315" s="121" t="s">
        <v>1</v>
      </c>
      <c r="L315" s="24"/>
      <c r="M315" s="125" t="s">
        <v>1</v>
      </c>
      <c r="N315" s="126" t="s">
        <v>32</v>
      </c>
      <c r="O315" s="127">
        <v>0</v>
      </c>
      <c r="P315" s="127">
        <f t="shared" si="48"/>
        <v>0</v>
      </c>
      <c r="Q315" s="127">
        <v>0</v>
      </c>
      <c r="R315" s="127">
        <f t="shared" si="49"/>
        <v>0</v>
      </c>
      <c r="S315" s="127">
        <v>0</v>
      </c>
      <c r="T315" s="128">
        <f t="shared" si="50"/>
        <v>0</v>
      </c>
      <c r="W315" s="199"/>
      <c r="X315" s="119" t="s">
        <v>441</v>
      </c>
      <c r="Y315" s="119" t="s">
        <v>231</v>
      </c>
      <c r="Z315" s="120" t="s">
        <v>772</v>
      </c>
      <c r="AA315" s="121" t="s">
        <v>4322</v>
      </c>
      <c r="AB315" s="122" t="s">
        <v>292</v>
      </c>
      <c r="AC315" s="123">
        <v>65</v>
      </c>
      <c r="AD315" s="124">
        <v>58.05</v>
      </c>
      <c r="AE315" s="200">
        <f t="shared" si="51"/>
        <v>3773.25</v>
      </c>
      <c r="AF315" s="956"/>
      <c r="AR315" s="129" t="s">
        <v>235</v>
      </c>
      <c r="AT315" s="129" t="s">
        <v>231</v>
      </c>
      <c r="AU315" s="129" t="s">
        <v>76</v>
      </c>
      <c r="AY315" s="13" t="s">
        <v>228</v>
      </c>
      <c r="BE315" s="130">
        <f t="shared" si="52"/>
        <v>0</v>
      </c>
      <c r="BF315" s="130">
        <f t="shared" si="53"/>
        <v>3773.25</v>
      </c>
      <c r="BG315" s="130">
        <f t="shared" si="54"/>
        <v>0</v>
      </c>
      <c r="BH315" s="130">
        <f t="shared" si="55"/>
        <v>0</v>
      </c>
      <c r="BI315" s="130">
        <f t="shared" si="56"/>
        <v>0</v>
      </c>
      <c r="BJ315" s="13" t="s">
        <v>76</v>
      </c>
      <c r="BK315" s="130">
        <f t="shared" si="57"/>
        <v>3773.25</v>
      </c>
      <c r="BL315" s="13" t="s">
        <v>235</v>
      </c>
      <c r="BM315" s="129" t="s">
        <v>663</v>
      </c>
    </row>
    <row r="316" spans="2:65" s="1" customFormat="1" ht="16.5" customHeight="1" x14ac:dyDescent="0.2">
      <c r="B316" s="118"/>
      <c r="C316" s="119" t="s">
        <v>657</v>
      </c>
      <c r="D316" s="119" t="s">
        <v>231</v>
      </c>
      <c r="E316" s="120" t="s">
        <v>775</v>
      </c>
      <c r="F316" s="121" t="s">
        <v>4323</v>
      </c>
      <c r="G316" s="122" t="s">
        <v>292</v>
      </c>
      <c r="H316" s="123">
        <v>65</v>
      </c>
      <c r="I316" s="124">
        <v>29.03</v>
      </c>
      <c r="J316" s="124">
        <f t="shared" si="47"/>
        <v>1886.95</v>
      </c>
      <c r="K316" s="121" t="s">
        <v>1</v>
      </c>
      <c r="L316" s="24"/>
      <c r="M316" s="125" t="s">
        <v>1</v>
      </c>
      <c r="N316" s="126" t="s">
        <v>32</v>
      </c>
      <c r="O316" s="127">
        <v>0</v>
      </c>
      <c r="P316" s="127">
        <f t="shared" si="48"/>
        <v>0</v>
      </c>
      <c r="Q316" s="127">
        <v>0</v>
      </c>
      <c r="R316" s="127">
        <f t="shared" si="49"/>
        <v>0</v>
      </c>
      <c r="S316" s="127">
        <v>0</v>
      </c>
      <c r="T316" s="128">
        <f t="shared" si="50"/>
        <v>0</v>
      </c>
      <c r="W316" s="199"/>
      <c r="X316" s="119" t="s">
        <v>657</v>
      </c>
      <c r="Y316" s="119" t="s">
        <v>231</v>
      </c>
      <c r="Z316" s="120" t="s">
        <v>775</v>
      </c>
      <c r="AA316" s="121" t="s">
        <v>4323</v>
      </c>
      <c r="AB316" s="122" t="s">
        <v>292</v>
      </c>
      <c r="AC316" s="123">
        <v>65</v>
      </c>
      <c r="AD316" s="124">
        <v>29.03</v>
      </c>
      <c r="AE316" s="200">
        <f t="shared" si="51"/>
        <v>1886.95</v>
      </c>
      <c r="AF316" s="956"/>
      <c r="AR316" s="129" t="s">
        <v>235</v>
      </c>
      <c r="AT316" s="129" t="s">
        <v>231</v>
      </c>
      <c r="AU316" s="129" t="s">
        <v>76</v>
      </c>
      <c r="AY316" s="13" t="s">
        <v>228</v>
      </c>
      <c r="BE316" s="130">
        <f t="shared" si="52"/>
        <v>0</v>
      </c>
      <c r="BF316" s="130">
        <f t="shared" si="53"/>
        <v>1886.95</v>
      </c>
      <c r="BG316" s="130">
        <f t="shared" si="54"/>
        <v>0</v>
      </c>
      <c r="BH316" s="130">
        <f t="shared" si="55"/>
        <v>0</v>
      </c>
      <c r="BI316" s="130">
        <f t="shared" si="56"/>
        <v>0</v>
      </c>
      <c r="BJ316" s="13" t="s">
        <v>76</v>
      </c>
      <c r="BK316" s="130">
        <f t="shared" si="57"/>
        <v>1886.95</v>
      </c>
      <c r="BL316" s="13" t="s">
        <v>235</v>
      </c>
      <c r="BM316" s="129" t="s">
        <v>667</v>
      </c>
    </row>
    <row r="317" spans="2:65" s="1" customFormat="1" ht="16.5" customHeight="1" x14ac:dyDescent="0.2">
      <c r="B317" s="118"/>
      <c r="C317" s="119" t="s">
        <v>444</v>
      </c>
      <c r="D317" s="119" t="s">
        <v>231</v>
      </c>
      <c r="E317" s="120" t="s">
        <v>779</v>
      </c>
      <c r="F317" s="121" t="s">
        <v>4324</v>
      </c>
      <c r="G317" s="122" t="s">
        <v>292</v>
      </c>
      <c r="H317" s="123">
        <v>60</v>
      </c>
      <c r="I317" s="124">
        <v>29.03</v>
      </c>
      <c r="J317" s="124">
        <f t="shared" si="47"/>
        <v>1741.8</v>
      </c>
      <c r="K317" s="121" t="s">
        <v>1</v>
      </c>
      <c r="L317" s="24"/>
      <c r="M317" s="125" t="s">
        <v>1</v>
      </c>
      <c r="N317" s="126" t="s">
        <v>32</v>
      </c>
      <c r="O317" s="127">
        <v>0</v>
      </c>
      <c r="P317" s="127">
        <f t="shared" si="48"/>
        <v>0</v>
      </c>
      <c r="Q317" s="127">
        <v>0</v>
      </c>
      <c r="R317" s="127">
        <f t="shared" si="49"/>
        <v>0</v>
      </c>
      <c r="S317" s="127">
        <v>0</v>
      </c>
      <c r="T317" s="128">
        <f t="shared" si="50"/>
        <v>0</v>
      </c>
      <c r="W317" s="199"/>
      <c r="X317" s="119" t="s">
        <v>444</v>
      </c>
      <c r="Y317" s="119" t="s">
        <v>231</v>
      </c>
      <c r="Z317" s="120" t="s">
        <v>779</v>
      </c>
      <c r="AA317" s="121" t="s">
        <v>4324</v>
      </c>
      <c r="AB317" s="122" t="s">
        <v>292</v>
      </c>
      <c r="AC317" s="123">
        <v>60</v>
      </c>
      <c r="AD317" s="124">
        <v>29.03</v>
      </c>
      <c r="AE317" s="200">
        <f t="shared" si="51"/>
        <v>1741.8</v>
      </c>
      <c r="AF317" s="956"/>
      <c r="AR317" s="129" t="s">
        <v>235</v>
      </c>
      <c r="AT317" s="129" t="s">
        <v>231</v>
      </c>
      <c r="AU317" s="129" t="s">
        <v>76</v>
      </c>
      <c r="AY317" s="13" t="s">
        <v>228</v>
      </c>
      <c r="BE317" s="130">
        <f t="shared" si="52"/>
        <v>0</v>
      </c>
      <c r="BF317" s="130">
        <f t="shared" si="53"/>
        <v>1741.8</v>
      </c>
      <c r="BG317" s="130">
        <f t="shared" si="54"/>
        <v>0</v>
      </c>
      <c r="BH317" s="130">
        <f t="shared" si="55"/>
        <v>0</v>
      </c>
      <c r="BI317" s="130">
        <f t="shared" si="56"/>
        <v>0</v>
      </c>
      <c r="BJ317" s="13" t="s">
        <v>76</v>
      </c>
      <c r="BK317" s="130">
        <f t="shared" si="57"/>
        <v>1741.8</v>
      </c>
      <c r="BL317" s="13" t="s">
        <v>235</v>
      </c>
      <c r="BM317" s="129" t="s">
        <v>670</v>
      </c>
    </row>
    <row r="318" spans="2:65" s="638" customFormat="1" ht="27" customHeight="1" x14ac:dyDescent="0.2">
      <c r="B318" s="118"/>
      <c r="C318" s="1234" t="s">
        <v>5205</v>
      </c>
      <c r="D318" s="1235"/>
      <c r="E318" s="1235"/>
      <c r="F318" s="1235"/>
      <c r="G318" s="1235"/>
      <c r="H318" s="1235"/>
      <c r="I318" s="1235"/>
      <c r="J318" s="1236"/>
      <c r="K318" s="121"/>
      <c r="L318" s="24"/>
      <c r="M318" s="125"/>
      <c r="N318" s="126"/>
      <c r="O318" s="127"/>
      <c r="P318" s="127"/>
      <c r="Q318" s="127"/>
      <c r="R318" s="127"/>
      <c r="S318" s="127"/>
      <c r="T318" s="128"/>
      <c r="W318" s="199"/>
      <c r="X318" s="207" t="s">
        <v>6732</v>
      </c>
      <c r="Y318" s="207" t="s">
        <v>231</v>
      </c>
      <c r="Z318" s="208" t="s">
        <v>6264</v>
      </c>
      <c r="AA318" s="209" t="s">
        <v>6265</v>
      </c>
      <c r="AB318" s="210" t="s">
        <v>1194</v>
      </c>
      <c r="AC318" s="211">
        <v>6</v>
      </c>
      <c r="AD318" s="212">
        <v>19</v>
      </c>
      <c r="AE318" s="1078">
        <f t="shared" si="51"/>
        <v>114</v>
      </c>
      <c r="AF318" s="956" t="s">
        <v>6260</v>
      </c>
      <c r="AR318" s="129"/>
      <c r="AT318" s="129"/>
      <c r="AU318" s="129"/>
      <c r="AY318" s="13"/>
      <c r="BE318" s="130"/>
      <c r="BF318" s="130"/>
      <c r="BG318" s="130"/>
      <c r="BH318" s="130"/>
      <c r="BI318" s="130"/>
      <c r="BJ318" s="13"/>
      <c r="BK318" s="130"/>
      <c r="BL318" s="13"/>
      <c r="BM318" s="129"/>
    </row>
    <row r="319" spans="2:65" s="1092" customFormat="1" ht="27" customHeight="1" x14ac:dyDescent="0.2">
      <c r="B319" s="1028"/>
      <c r="C319" s="1087"/>
      <c r="D319" s="1088"/>
      <c r="E319" s="1088"/>
      <c r="F319" s="1088"/>
      <c r="G319" s="1088"/>
      <c r="H319" s="1088"/>
      <c r="I319" s="1088"/>
      <c r="J319" s="1089"/>
      <c r="K319" s="1031"/>
      <c r="L319" s="1027"/>
      <c r="M319" s="1035"/>
      <c r="N319" s="1036"/>
      <c r="O319" s="1037"/>
      <c r="P319" s="1037"/>
      <c r="Q319" s="1037"/>
      <c r="R319" s="1037"/>
      <c r="S319" s="1037"/>
      <c r="T319" s="1038"/>
      <c r="W319" s="1041"/>
      <c r="X319" s="1072" t="s">
        <v>6733</v>
      </c>
      <c r="Y319" s="1072" t="s">
        <v>231</v>
      </c>
      <c r="Z319" s="1073" t="s">
        <v>4408</v>
      </c>
      <c r="AA319" s="1074" t="s">
        <v>6725</v>
      </c>
      <c r="AB319" s="1075" t="s">
        <v>1035</v>
      </c>
      <c r="AC319" s="1076">
        <v>356.47</v>
      </c>
      <c r="AD319" s="1077">
        <v>5.81</v>
      </c>
      <c r="AE319" s="1078">
        <f t="shared" si="51"/>
        <v>2071.09</v>
      </c>
      <c r="AF319" s="956">
        <v>28</v>
      </c>
      <c r="AR319" s="1039"/>
      <c r="AT319" s="1039"/>
      <c r="AU319" s="1039"/>
      <c r="AY319" s="1026"/>
      <c r="BE319" s="1040"/>
      <c r="BF319" s="1040"/>
      <c r="BG319" s="1040"/>
      <c r="BH319" s="1040"/>
      <c r="BI319" s="1040"/>
      <c r="BJ319" s="1026"/>
      <c r="BK319" s="1040"/>
      <c r="BL319" s="1026"/>
      <c r="BM319" s="1039"/>
    </row>
    <row r="320" spans="2:65" s="1092" customFormat="1" ht="27" customHeight="1" x14ac:dyDescent="0.2">
      <c r="B320" s="1028"/>
      <c r="C320" s="1087"/>
      <c r="D320" s="1088"/>
      <c r="E320" s="1088"/>
      <c r="F320" s="1088"/>
      <c r="G320" s="1088"/>
      <c r="H320" s="1088"/>
      <c r="I320" s="1088"/>
      <c r="J320" s="1089"/>
      <c r="K320" s="1031"/>
      <c r="L320" s="1027"/>
      <c r="M320" s="1035"/>
      <c r="N320" s="1036"/>
      <c r="O320" s="1037"/>
      <c r="P320" s="1037"/>
      <c r="Q320" s="1037"/>
      <c r="R320" s="1037"/>
      <c r="S320" s="1037"/>
      <c r="T320" s="1038"/>
      <c r="W320" s="1041"/>
      <c r="X320" s="1072" t="s">
        <v>6734</v>
      </c>
      <c r="Y320" s="1072" t="s">
        <v>231</v>
      </c>
      <c r="Z320" s="1073" t="s">
        <v>6726</v>
      </c>
      <c r="AA320" s="1074" t="s">
        <v>6727</v>
      </c>
      <c r="AB320" s="1075" t="s">
        <v>1194</v>
      </c>
      <c r="AC320" s="1076">
        <v>3</v>
      </c>
      <c r="AD320" s="1077">
        <v>84</v>
      </c>
      <c r="AE320" s="1078">
        <f t="shared" si="51"/>
        <v>252</v>
      </c>
      <c r="AF320" s="956">
        <v>28</v>
      </c>
      <c r="AR320" s="1039"/>
      <c r="AT320" s="1039"/>
      <c r="AU320" s="1039"/>
      <c r="AY320" s="1026"/>
      <c r="BE320" s="1040"/>
      <c r="BF320" s="1040"/>
      <c r="BG320" s="1040"/>
      <c r="BH320" s="1040"/>
      <c r="BI320" s="1040"/>
      <c r="BJ320" s="1026"/>
      <c r="BK320" s="1040"/>
      <c r="BL320" s="1026"/>
      <c r="BM320" s="1039"/>
    </row>
    <row r="321" spans="2:65" s="1092" customFormat="1" ht="27" customHeight="1" x14ac:dyDescent="0.2">
      <c r="B321" s="1028"/>
      <c r="C321" s="1087"/>
      <c r="D321" s="1088"/>
      <c r="E321" s="1088"/>
      <c r="F321" s="1088"/>
      <c r="G321" s="1088"/>
      <c r="H321" s="1088"/>
      <c r="I321" s="1088"/>
      <c r="J321" s="1089"/>
      <c r="K321" s="1031"/>
      <c r="L321" s="1027"/>
      <c r="M321" s="1035"/>
      <c r="N321" s="1036"/>
      <c r="O321" s="1037"/>
      <c r="P321" s="1037"/>
      <c r="Q321" s="1037"/>
      <c r="R321" s="1037"/>
      <c r="S321" s="1037"/>
      <c r="T321" s="1038"/>
      <c r="W321" s="1041"/>
      <c r="X321" s="1072" t="s">
        <v>6735</v>
      </c>
      <c r="Y321" s="1072" t="s">
        <v>231</v>
      </c>
      <c r="Z321" s="1073" t="s">
        <v>6728</v>
      </c>
      <c r="AA321" s="1074" t="s">
        <v>6729</v>
      </c>
      <c r="AB321" s="1075" t="s">
        <v>1194</v>
      </c>
      <c r="AC321" s="1076">
        <v>3</v>
      </c>
      <c r="AD321" s="1077">
        <v>84</v>
      </c>
      <c r="AE321" s="1078">
        <f t="shared" si="51"/>
        <v>252</v>
      </c>
      <c r="AF321" s="956">
        <v>28</v>
      </c>
      <c r="AR321" s="1039"/>
      <c r="AT321" s="1039"/>
      <c r="AU321" s="1039"/>
      <c r="AY321" s="1026"/>
      <c r="BE321" s="1040"/>
      <c r="BF321" s="1040"/>
      <c r="BG321" s="1040"/>
      <c r="BH321" s="1040"/>
      <c r="BI321" s="1040"/>
      <c r="BJ321" s="1026"/>
      <c r="BK321" s="1040"/>
      <c r="BL321" s="1026"/>
      <c r="BM321" s="1039"/>
    </row>
    <row r="322" spans="2:65" s="1092" customFormat="1" ht="27" customHeight="1" x14ac:dyDescent="0.2">
      <c r="B322" s="1028"/>
      <c r="C322" s="1087"/>
      <c r="D322" s="1088"/>
      <c r="E322" s="1088"/>
      <c r="F322" s="1088"/>
      <c r="G322" s="1088"/>
      <c r="H322" s="1088"/>
      <c r="I322" s="1088"/>
      <c r="J322" s="1089"/>
      <c r="K322" s="1031"/>
      <c r="L322" s="1027"/>
      <c r="M322" s="1035"/>
      <c r="N322" s="1036"/>
      <c r="O322" s="1037"/>
      <c r="P322" s="1037"/>
      <c r="Q322" s="1037"/>
      <c r="R322" s="1037"/>
      <c r="S322" s="1037"/>
      <c r="T322" s="1038"/>
      <c r="W322" s="1041"/>
      <c r="X322" s="1072" t="s">
        <v>6736</v>
      </c>
      <c r="Y322" s="1072" t="s">
        <v>231</v>
      </c>
      <c r="Z322" s="1073" t="s">
        <v>6730</v>
      </c>
      <c r="AA322" s="1074" t="s">
        <v>6731</v>
      </c>
      <c r="AB322" s="1075" t="s">
        <v>1194</v>
      </c>
      <c r="AC322" s="1076">
        <v>10</v>
      </c>
      <c r="AD322" s="1077">
        <v>25</v>
      </c>
      <c r="AE322" s="1078">
        <f t="shared" si="51"/>
        <v>250</v>
      </c>
      <c r="AF322" s="956">
        <v>28</v>
      </c>
      <c r="AR322" s="1039"/>
      <c r="AT322" s="1039"/>
      <c r="AU322" s="1039"/>
      <c r="AY322" s="1026"/>
      <c r="BE322" s="1040"/>
      <c r="BF322" s="1040"/>
      <c r="BG322" s="1040"/>
      <c r="BH322" s="1040"/>
      <c r="BI322" s="1040"/>
      <c r="BJ322" s="1026"/>
      <c r="BK322" s="1040"/>
      <c r="BL322" s="1026"/>
      <c r="BM322" s="1039"/>
    </row>
    <row r="323" spans="2:65" s="1" customFormat="1" ht="24" customHeight="1" x14ac:dyDescent="0.2">
      <c r="B323" s="118"/>
      <c r="C323" s="205" t="s">
        <v>664</v>
      </c>
      <c r="D323" s="119" t="s">
        <v>231</v>
      </c>
      <c r="E323" s="120" t="s">
        <v>782</v>
      </c>
      <c r="F323" s="121" t="s">
        <v>4325</v>
      </c>
      <c r="G323" s="122" t="s">
        <v>570</v>
      </c>
      <c r="H323" s="206">
        <v>279.70100000000002</v>
      </c>
      <c r="I323" s="124">
        <v>1.04</v>
      </c>
      <c r="J323" s="124">
        <f t="shared" si="47"/>
        <v>290.89</v>
      </c>
      <c r="K323" s="121" t="s">
        <v>1</v>
      </c>
      <c r="L323" s="24"/>
      <c r="M323" s="125" t="s">
        <v>1</v>
      </c>
      <c r="N323" s="126" t="s">
        <v>32</v>
      </c>
      <c r="O323" s="127">
        <v>0</v>
      </c>
      <c r="P323" s="127">
        <f t="shared" si="48"/>
        <v>0</v>
      </c>
      <c r="Q323" s="127">
        <v>0</v>
      </c>
      <c r="R323" s="127">
        <f t="shared" si="49"/>
        <v>0</v>
      </c>
      <c r="S323" s="127">
        <v>0</v>
      </c>
      <c r="T323" s="128">
        <f t="shared" si="50"/>
        <v>0</v>
      </c>
      <c r="W323" s="199"/>
      <c r="X323" s="205" t="s">
        <v>664</v>
      </c>
      <c r="Y323" s="119" t="s">
        <v>231</v>
      </c>
      <c r="Z323" s="120" t="s">
        <v>782</v>
      </c>
      <c r="AA323" s="121" t="s">
        <v>4325</v>
      </c>
      <c r="AB323" s="122" t="s">
        <v>570</v>
      </c>
      <c r="AC323" s="206">
        <f>279.701+83.35</f>
        <v>363.05100000000004</v>
      </c>
      <c r="AD323" s="124">
        <v>1.04</v>
      </c>
      <c r="AE323" s="200">
        <f t="shared" si="51"/>
        <v>377.57</v>
      </c>
      <c r="AF323" s="956">
        <v>20</v>
      </c>
      <c r="AR323" s="129" t="s">
        <v>235</v>
      </c>
      <c r="AT323" s="129" t="s">
        <v>231</v>
      </c>
      <c r="AU323" s="129" t="s">
        <v>76</v>
      </c>
      <c r="AY323" s="13" t="s">
        <v>228</v>
      </c>
      <c r="BE323" s="130">
        <f t="shared" si="52"/>
        <v>0</v>
      </c>
      <c r="BF323" s="130">
        <f t="shared" si="53"/>
        <v>290.89</v>
      </c>
      <c r="BG323" s="130">
        <f t="shared" si="54"/>
        <v>0</v>
      </c>
      <c r="BH323" s="130">
        <f t="shared" si="55"/>
        <v>0</v>
      </c>
      <c r="BI323" s="130">
        <f t="shared" si="56"/>
        <v>0</v>
      </c>
      <c r="BJ323" s="13" t="s">
        <v>76</v>
      </c>
      <c r="BK323" s="130">
        <f t="shared" si="57"/>
        <v>290.89</v>
      </c>
      <c r="BL323" s="13" t="s">
        <v>235</v>
      </c>
      <c r="BM323" s="129" t="s">
        <v>674</v>
      </c>
    </row>
    <row r="324" spans="2:65" s="11" customFormat="1" ht="22.95" customHeight="1" x14ac:dyDescent="0.25">
      <c r="B324" s="106"/>
      <c r="D324" s="107" t="s">
        <v>57</v>
      </c>
      <c r="E324" s="116" t="s">
        <v>785</v>
      </c>
      <c r="F324" s="116" t="s">
        <v>786</v>
      </c>
      <c r="J324" s="117">
        <f>BK324</f>
        <v>531.72</v>
      </c>
      <c r="L324" s="106"/>
      <c r="M324" s="110"/>
      <c r="N324" s="111"/>
      <c r="O324" s="111"/>
      <c r="P324" s="112">
        <f>SUM(P325:P331)</f>
        <v>3.8304400000000003</v>
      </c>
      <c r="Q324" s="111"/>
      <c r="R324" s="112">
        <f>SUM(R325:R331)</f>
        <v>2.45756E-2</v>
      </c>
      <c r="S324" s="111"/>
      <c r="T324" s="113">
        <f>SUM(T325:T331)</f>
        <v>0</v>
      </c>
      <c r="W324" s="195"/>
      <c r="X324" s="111"/>
      <c r="Y324" s="196" t="s">
        <v>57</v>
      </c>
      <c r="Z324" s="201" t="s">
        <v>785</v>
      </c>
      <c r="AA324" s="201" t="s">
        <v>786</v>
      </c>
      <c r="AB324" s="111"/>
      <c r="AC324" s="111"/>
      <c r="AD324" s="111"/>
      <c r="AE324" s="202">
        <f>SUM(AE325:AE331)</f>
        <v>940.97</v>
      </c>
      <c r="AF324" s="956"/>
      <c r="AR324" s="107" t="s">
        <v>63</v>
      </c>
      <c r="AT324" s="114" t="s">
        <v>57</v>
      </c>
      <c r="AU324" s="114" t="s">
        <v>63</v>
      </c>
      <c r="AY324" s="107" t="s">
        <v>228</v>
      </c>
      <c r="BK324" s="115">
        <f>SUM(BK325:BK331)</f>
        <v>531.72</v>
      </c>
    </row>
    <row r="325" spans="2:65" s="1" customFormat="1" ht="16.5" customHeight="1" x14ac:dyDescent="0.2">
      <c r="B325" s="118"/>
      <c r="C325" s="119" t="s">
        <v>448</v>
      </c>
      <c r="D325" s="119" t="s">
        <v>231</v>
      </c>
      <c r="E325" s="120" t="s">
        <v>788</v>
      </c>
      <c r="F325" s="121" t="s">
        <v>4326</v>
      </c>
      <c r="G325" s="122" t="s">
        <v>292</v>
      </c>
      <c r="H325" s="123">
        <v>0.8</v>
      </c>
      <c r="I325" s="124">
        <v>23.22</v>
      </c>
      <c r="J325" s="124">
        <f t="shared" ref="J325:J331" si="58">ROUND(I325*H325,2)</f>
        <v>18.579999999999998</v>
      </c>
      <c r="K325" s="121" t="s">
        <v>1</v>
      </c>
      <c r="L325" s="24"/>
      <c r="M325" s="125" t="s">
        <v>1</v>
      </c>
      <c r="N325" s="126" t="s">
        <v>32</v>
      </c>
      <c r="O325" s="127">
        <v>0</v>
      </c>
      <c r="P325" s="127">
        <f t="shared" ref="P325:P331" si="59">O325*H325</f>
        <v>0</v>
      </c>
      <c r="Q325" s="127">
        <v>0</v>
      </c>
      <c r="R325" s="127">
        <f t="shared" ref="R325:R331" si="60">Q325*H325</f>
        <v>0</v>
      </c>
      <c r="S325" s="127">
        <v>0</v>
      </c>
      <c r="T325" s="128">
        <f t="shared" ref="T325:T331" si="61">S325*H325</f>
        <v>0</v>
      </c>
      <c r="W325" s="199"/>
      <c r="X325" s="119" t="s">
        <v>448</v>
      </c>
      <c r="Y325" s="119" t="s">
        <v>231</v>
      </c>
      <c r="Z325" s="120" t="s">
        <v>788</v>
      </c>
      <c r="AA325" s="121" t="s">
        <v>4326</v>
      </c>
      <c r="AB325" s="122" t="s">
        <v>292</v>
      </c>
      <c r="AC325" s="123">
        <v>0.8</v>
      </c>
      <c r="AD325" s="124">
        <v>23.22</v>
      </c>
      <c r="AE325" s="200">
        <f t="shared" ref="AE325:AE331" si="62">ROUND(AD325*AC325,2)</f>
        <v>18.579999999999998</v>
      </c>
      <c r="AF325" s="956"/>
      <c r="AR325" s="129" t="s">
        <v>235</v>
      </c>
      <c r="AT325" s="129" t="s">
        <v>231</v>
      </c>
      <c r="AU325" s="129" t="s">
        <v>76</v>
      </c>
      <c r="AY325" s="13" t="s">
        <v>228</v>
      </c>
      <c r="BE325" s="130">
        <f t="shared" ref="BE325:BE331" si="63">IF(N325="základná",J325,0)</f>
        <v>0</v>
      </c>
      <c r="BF325" s="130">
        <f t="shared" ref="BF325:BF331" si="64">IF(N325="znížená",J325,0)</f>
        <v>18.579999999999998</v>
      </c>
      <c r="BG325" s="130">
        <f t="shared" ref="BG325:BG331" si="65">IF(N325="zákl. prenesená",J325,0)</f>
        <v>0</v>
      </c>
      <c r="BH325" s="130">
        <f t="shared" ref="BH325:BH331" si="66">IF(N325="zníž. prenesená",J325,0)</f>
        <v>0</v>
      </c>
      <c r="BI325" s="130">
        <f t="shared" ref="BI325:BI331" si="67">IF(N325="nulová",J325,0)</f>
        <v>0</v>
      </c>
      <c r="BJ325" s="13" t="s">
        <v>76</v>
      </c>
      <c r="BK325" s="130">
        <f t="shared" ref="BK325:BK331" si="68">ROUND(I325*H325,2)</f>
        <v>18.579999999999998</v>
      </c>
      <c r="BL325" s="13" t="s">
        <v>235</v>
      </c>
      <c r="BM325" s="129" t="s">
        <v>677</v>
      </c>
    </row>
    <row r="326" spans="2:65" s="1" customFormat="1" ht="16.5" customHeight="1" x14ac:dyDescent="0.2">
      <c r="B326" s="118"/>
      <c r="C326" s="119" t="s">
        <v>671</v>
      </c>
      <c r="D326" s="119" t="s">
        <v>231</v>
      </c>
      <c r="E326" s="120" t="s">
        <v>791</v>
      </c>
      <c r="F326" s="121" t="s">
        <v>792</v>
      </c>
      <c r="G326" s="122" t="s">
        <v>292</v>
      </c>
      <c r="H326" s="123">
        <v>53.6</v>
      </c>
      <c r="I326" s="124">
        <v>0.93</v>
      </c>
      <c r="J326" s="124">
        <f t="shared" si="58"/>
        <v>49.85</v>
      </c>
      <c r="K326" s="121" t="s">
        <v>1</v>
      </c>
      <c r="L326" s="24"/>
      <c r="M326" s="125" t="s">
        <v>1</v>
      </c>
      <c r="N326" s="126" t="s">
        <v>32</v>
      </c>
      <c r="O326" s="127">
        <v>0</v>
      </c>
      <c r="P326" s="127">
        <f t="shared" si="59"/>
        <v>0</v>
      </c>
      <c r="Q326" s="127">
        <v>0</v>
      </c>
      <c r="R326" s="127">
        <f t="shared" si="60"/>
        <v>0</v>
      </c>
      <c r="S326" s="127">
        <v>0</v>
      </c>
      <c r="T326" s="128">
        <f t="shared" si="61"/>
        <v>0</v>
      </c>
      <c r="W326" s="199"/>
      <c r="X326" s="119" t="s">
        <v>671</v>
      </c>
      <c r="Y326" s="119" t="s">
        <v>231</v>
      </c>
      <c r="Z326" s="120" t="s">
        <v>791</v>
      </c>
      <c r="AA326" s="121" t="s">
        <v>792</v>
      </c>
      <c r="AB326" s="122" t="s">
        <v>292</v>
      </c>
      <c r="AC326" s="123">
        <v>53.6</v>
      </c>
      <c r="AD326" s="124">
        <v>0.93</v>
      </c>
      <c r="AE326" s="200">
        <f t="shared" si="62"/>
        <v>49.85</v>
      </c>
      <c r="AF326" s="956"/>
      <c r="AR326" s="129" t="s">
        <v>235</v>
      </c>
      <c r="AT326" s="129" t="s">
        <v>231</v>
      </c>
      <c r="AU326" s="129" t="s">
        <v>76</v>
      </c>
      <c r="AY326" s="13" t="s">
        <v>228</v>
      </c>
      <c r="BE326" s="130">
        <f t="shared" si="63"/>
        <v>0</v>
      </c>
      <c r="BF326" s="130">
        <f t="shared" si="64"/>
        <v>49.85</v>
      </c>
      <c r="BG326" s="130">
        <f t="shared" si="65"/>
        <v>0</v>
      </c>
      <c r="BH326" s="130">
        <f t="shared" si="66"/>
        <v>0</v>
      </c>
      <c r="BI326" s="130">
        <f t="shared" si="67"/>
        <v>0</v>
      </c>
      <c r="BJ326" s="13" t="s">
        <v>76</v>
      </c>
      <c r="BK326" s="130">
        <f t="shared" si="68"/>
        <v>49.85</v>
      </c>
      <c r="BL326" s="13" t="s">
        <v>235</v>
      </c>
      <c r="BM326" s="129" t="s">
        <v>681</v>
      </c>
    </row>
    <row r="327" spans="2:65" s="1" customFormat="1" ht="24" customHeight="1" x14ac:dyDescent="0.2">
      <c r="B327" s="118"/>
      <c r="C327" s="119" t="s">
        <v>451</v>
      </c>
      <c r="D327" s="119" t="s">
        <v>231</v>
      </c>
      <c r="E327" s="120" t="s">
        <v>795</v>
      </c>
      <c r="F327" s="121" t="s">
        <v>4327</v>
      </c>
      <c r="G327" s="122" t="s">
        <v>292</v>
      </c>
      <c r="H327" s="123">
        <v>8.65</v>
      </c>
      <c r="I327" s="124">
        <v>5.22</v>
      </c>
      <c r="J327" s="124">
        <f t="shared" si="58"/>
        <v>45.15</v>
      </c>
      <c r="K327" s="121" t="s">
        <v>1</v>
      </c>
      <c r="L327" s="24"/>
      <c r="M327" s="125" t="s">
        <v>1</v>
      </c>
      <c r="N327" s="126" t="s">
        <v>32</v>
      </c>
      <c r="O327" s="127">
        <v>0</v>
      </c>
      <c r="P327" s="127">
        <f t="shared" si="59"/>
        <v>0</v>
      </c>
      <c r="Q327" s="127">
        <v>0</v>
      </c>
      <c r="R327" s="127">
        <f t="shared" si="60"/>
        <v>0</v>
      </c>
      <c r="S327" s="127">
        <v>0</v>
      </c>
      <c r="T327" s="128">
        <f t="shared" si="61"/>
        <v>0</v>
      </c>
      <c r="W327" s="199"/>
      <c r="X327" s="119" t="s">
        <v>451</v>
      </c>
      <c r="Y327" s="119" t="s">
        <v>231</v>
      </c>
      <c r="Z327" s="120" t="s">
        <v>795</v>
      </c>
      <c r="AA327" s="121" t="s">
        <v>4327</v>
      </c>
      <c r="AB327" s="122" t="s">
        <v>292</v>
      </c>
      <c r="AC327" s="123">
        <v>8.65</v>
      </c>
      <c r="AD327" s="124">
        <v>5.22</v>
      </c>
      <c r="AE327" s="200">
        <f t="shared" si="62"/>
        <v>45.15</v>
      </c>
      <c r="AF327" s="956"/>
      <c r="AR327" s="129" t="s">
        <v>235</v>
      </c>
      <c r="AT327" s="129" t="s">
        <v>231</v>
      </c>
      <c r="AU327" s="129" t="s">
        <v>76</v>
      </c>
      <c r="AY327" s="13" t="s">
        <v>228</v>
      </c>
      <c r="BE327" s="130">
        <f t="shared" si="63"/>
        <v>0</v>
      </c>
      <c r="BF327" s="130">
        <f t="shared" si="64"/>
        <v>45.15</v>
      </c>
      <c r="BG327" s="130">
        <f t="shared" si="65"/>
        <v>0</v>
      </c>
      <c r="BH327" s="130">
        <f t="shared" si="66"/>
        <v>0</v>
      </c>
      <c r="BI327" s="130">
        <f t="shared" si="67"/>
        <v>0</v>
      </c>
      <c r="BJ327" s="13" t="s">
        <v>76</v>
      </c>
      <c r="BK327" s="130">
        <f t="shared" si="68"/>
        <v>45.15</v>
      </c>
      <c r="BL327" s="13" t="s">
        <v>235</v>
      </c>
      <c r="BM327" s="129" t="s">
        <v>684</v>
      </c>
    </row>
    <row r="328" spans="2:65" s="1" customFormat="1" ht="16.5" customHeight="1" x14ac:dyDescent="0.2">
      <c r="B328" s="118"/>
      <c r="C328" s="119" t="s">
        <v>678</v>
      </c>
      <c r="D328" s="119" t="s">
        <v>231</v>
      </c>
      <c r="E328" s="120" t="s">
        <v>802</v>
      </c>
      <c r="F328" s="121" t="s">
        <v>803</v>
      </c>
      <c r="G328" s="122" t="s">
        <v>284</v>
      </c>
      <c r="H328" s="123">
        <v>116.955</v>
      </c>
      <c r="I328" s="124">
        <v>1.51</v>
      </c>
      <c r="J328" s="124">
        <f t="shared" si="58"/>
        <v>176.6</v>
      </c>
      <c r="K328" s="121" t="s">
        <v>1</v>
      </c>
      <c r="L328" s="24"/>
      <c r="M328" s="125" t="s">
        <v>1</v>
      </c>
      <c r="N328" s="126" t="s">
        <v>32</v>
      </c>
      <c r="O328" s="127">
        <v>0</v>
      </c>
      <c r="P328" s="127">
        <f t="shared" si="59"/>
        <v>0</v>
      </c>
      <c r="Q328" s="127">
        <v>0</v>
      </c>
      <c r="R328" s="127">
        <f t="shared" si="60"/>
        <v>0</v>
      </c>
      <c r="S328" s="127">
        <v>0</v>
      </c>
      <c r="T328" s="128">
        <f t="shared" si="61"/>
        <v>0</v>
      </c>
      <c r="W328" s="199"/>
      <c r="X328" s="119" t="s">
        <v>678</v>
      </c>
      <c r="Y328" s="119" t="s">
        <v>231</v>
      </c>
      <c r="Z328" s="120" t="s">
        <v>802</v>
      </c>
      <c r="AA328" s="121" t="s">
        <v>803</v>
      </c>
      <c r="AB328" s="122" t="s">
        <v>284</v>
      </c>
      <c r="AC328" s="123">
        <v>116.955</v>
      </c>
      <c r="AD328" s="124">
        <v>1.51</v>
      </c>
      <c r="AE328" s="200">
        <f t="shared" si="62"/>
        <v>176.6</v>
      </c>
      <c r="AF328" s="956"/>
      <c r="AR328" s="129" t="s">
        <v>235</v>
      </c>
      <c r="AT328" s="129" t="s">
        <v>231</v>
      </c>
      <c r="AU328" s="129" t="s">
        <v>76</v>
      </c>
      <c r="AY328" s="13" t="s">
        <v>228</v>
      </c>
      <c r="BE328" s="130">
        <f t="shared" si="63"/>
        <v>0</v>
      </c>
      <c r="BF328" s="130">
        <f t="shared" si="64"/>
        <v>176.6</v>
      </c>
      <c r="BG328" s="130">
        <f t="shared" si="65"/>
        <v>0</v>
      </c>
      <c r="BH328" s="130">
        <f t="shared" si="66"/>
        <v>0</v>
      </c>
      <c r="BI328" s="130">
        <f t="shared" si="67"/>
        <v>0</v>
      </c>
      <c r="BJ328" s="13" t="s">
        <v>76</v>
      </c>
      <c r="BK328" s="130">
        <f t="shared" si="68"/>
        <v>176.6</v>
      </c>
      <c r="BL328" s="13" t="s">
        <v>235</v>
      </c>
      <c r="BM328" s="129" t="s">
        <v>688</v>
      </c>
    </row>
    <row r="329" spans="2:65" s="1" customFormat="1" ht="24" customHeight="1" x14ac:dyDescent="0.2">
      <c r="B329" s="118"/>
      <c r="C329" s="1070" t="s">
        <v>455</v>
      </c>
      <c r="D329" s="119" t="s">
        <v>231</v>
      </c>
      <c r="E329" s="120" t="s">
        <v>805</v>
      </c>
      <c r="F329" s="121" t="s">
        <v>4328</v>
      </c>
      <c r="G329" s="122" t="s">
        <v>284</v>
      </c>
      <c r="H329" s="1071">
        <v>5.24</v>
      </c>
      <c r="I329" s="124">
        <v>24.38</v>
      </c>
      <c r="J329" s="124">
        <f t="shared" si="58"/>
        <v>127.75</v>
      </c>
      <c r="K329" s="121" t="s">
        <v>1</v>
      </c>
      <c r="L329" s="24"/>
      <c r="M329" s="125" t="s">
        <v>1</v>
      </c>
      <c r="N329" s="126" t="s">
        <v>32</v>
      </c>
      <c r="O329" s="127">
        <v>0.73099999999999998</v>
      </c>
      <c r="P329" s="127">
        <f t="shared" si="59"/>
        <v>3.8304400000000003</v>
      </c>
      <c r="Q329" s="127">
        <v>4.6899999999999997E-3</v>
      </c>
      <c r="R329" s="127">
        <f t="shared" si="60"/>
        <v>2.45756E-2</v>
      </c>
      <c r="S329" s="127">
        <v>0</v>
      </c>
      <c r="T329" s="128">
        <f t="shared" si="61"/>
        <v>0</v>
      </c>
      <c r="W329" s="199"/>
      <c r="X329" s="1070" t="s">
        <v>455</v>
      </c>
      <c r="Y329" s="119" t="s">
        <v>231</v>
      </c>
      <c r="Z329" s="120" t="s">
        <v>805</v>
      </c>
      <c r="AA329" s="121" t="s">
        <v>4328</v>
      </c>
      <c r="AB329" s="122" t="s">
        <v>284</v>
      </c>
      <c r="AC329" s="1071">
        <f>5.24+9.5</f>
        <v>14.74</v>
      </c>
      <c r="AD329" s="124">
        <v>24.38</v>
      </c>
      <c r="AE329" s="200">
        <f t="shared" si="62"/>
        <v>359.36</v>
      </c>
      <c r="AF329" s="956" t="s">
        <v>5482</v>
      </c>
      <c r="AR329" s="129" t="s">
        <v>235</v>
      </c>
      <c r="AT329" s="129" t="s">
        <v>231</v>
      </c>
      <c r="AU329" s="129" t="s">
        <v>76</v>
      </c>
      <c r="AY329" s="13" t="s">
        <v>228</v>
      </c>
      <c r="BE329" s="130">
        <f t="shared" si="63"/>
        <v>0</v>
      </c>
      <c r="BF329" s="130">
        <f t="shared" si="64"/>
        <v>127.75</v>
      </c>
      <c r="BG329" s="130">
        <f t="shared" si="65"/>
        <v>0</v>
      </c>
      <c r="BH329" s="130">
        <f t="shared" si="66"/>
        <v>0</v>
      </c>
      <c r="BI329" s="130">
        <f t="shared" si="67"/>
        <v>0</v>
      </c>
      <c r="BJ329" s="13" t="s">
        <v>76</v>
      </c>
      <c r="BK329" s="130">
        <f t="shared" si="68"/>
        <v>127.75</v>
      </c>
      <c r="BL329" s="13" t="s">
        <v>235</v>
      </c>
      <c r="BM329" s="129" t="s">
        <v>691</v>
      </c>
    </row>
    <row r="330" spans="2:65" s="1" customFormat="1" ht="16.5" customHeight="1" x14ac:dyDescent="0.2">
      <c r="B330" s="118"/>
      <c r="C330" s="1070" t="s">
        <v>685</v>
      </c>
      <c r="D330" s="119" t="s">
        <v>231</v>
      </c>
      <c r="E330" s="120" t="s">
        <v>812</v>
      </c>
      <c r="F330" s="121" t="s">
        <v>813</v>
      </c>
      <c r="G330" s="122" t="s">
        <v>284</v>
      </c>
      <c r="H330" s="1071">
        <v>6.41</v>
      </c>
      <c r="I330" s="124">
        <v>13.93</v>
      </c>
      <c r="J330" s="124">
        <f t="shared" si="58"/>
        <v>89.29</v>
      </c>
      <c r="K330" s="121" t="s">
        <v>1</v>
      </c>
      <c r="L330" s="24"/>
      <c r="M330" s="125" t="s">
        <v>1</v>
      </c>
      <c r="N330" s="126" t="s">
        <v>32</v>
      </c>
      <c r="O330" s="127">
        <v>0</v>
      </c>
      <c r="P330" s="127">
        <f t="shared" si="59"/>
        <v>0</v>
      </c>
      <c r="Q330" s="127">
        <v>0</v>
      </c>
      <c r="R330" s="127">
        <f t="shared" si="60"/>
        <v>0</v>
      </c>
      <c r="S330" s="127">
        <v>0</v>
      </c>
      <c r="T330" s="128">
        <f t="shared" si="61"/>
        <v>0</v>
      </c>
      <c r="W330" s="199"/>
      <c r="X330" s="1070" t="s">
        <v>685</v>
      </c>
      <c r="Y330" s="119" t="s">
        <v>231</v>
      </c>
      <c r="Z330" s="120" t="s">
        <v>812</v>
      </c>
      <c r="AA330" s="121" t="s">
        <v>813</v>
      </c>
      <c r="AB330" s="122" t="s">
        <v>284</v>
      </c>
      <c r="AC330" s="1071">
        <f>6.41+11.59</f>
        <v>18</v>
      </c>
      <c r="AD330" s="124">
        <v>13.93</v>
      </c>
      <c r="AE330" s="200">
        <f t="shared" si="62"/>
        <v>250.74</v>
      </c>
      <c r="AF330" s="956" t="s">
        <v>5482</v>
      </c>
      <c r="AR330" s="129" t="s">
        <v>235</v>
      </c>
      <c r="AT330" s="129" t="s">
        <v>231</v>
      </c>
      <c r="AU330" s="129" t="s">
        <v>76</v>
      </c>
      <c r="AY330" s="13" t="s">
        <v>228</v>
      </c>
      <c r="BE330" s="130">
        <f t="shared" si="63"/>
        <v>0</v>
      </c>
      <c r="BF330" s="130">
        <f t="shared" si="64"/>
        <v>89.29</v>
      </c>
      <c r="BG330" s="130">
        <f t="shared" si="65"/>
        <v>0</v>
      </c>
      <c r="BH330" s="130">
        <f t="shared" si="66"/>
        <v>0</v>
      </c>
      <c r="BI330" s="130">
        <f t="shared" si="67"/>
        <v>0</v>
      </c>
      <c r="BJ330" s="13" t="s">
        <v>76</v>
      </c>
      <c r="BK330" s="130">
        <f t="shared" si="68"/>
        <v>89.29</v>
      </c>
      <c r="BL330" s="13" t="s">
        <v>235</v>
      </c>
      <c r="BM330" s="129" t="s">
        <v>695</v>
      </c>
    </row>
    <row r="331" spans="2:65" s="1" customFormat="1" ht="22.2" customHeight="1" x14ac:dyDescent="0.2">
      <c r="B331" s="118"/>
      <c r="C331" s="1070" t="s">
        <v>458</v>
      </c>
      <c r="D331" s="119" t="s">
        <v>231</v>
      </c>
      <c r="E331" s="120" t="s">
        <v>819</v>
      </c>
      <c r="F331" s="121" t="s">
        <v>4329</v>
      </c>
      <c r="G331" s="122" t="s">
        <v>570</v>
      </c>
      <c r="H331" s="1071">
        <v>5.9459999999999997</v>
      </c>
      <c r="I331" s="124">
        <v>4.12</v>
      </c>
      <c r="J331" s="124">
        <f t="shared" si="58"/>
        <v>24.5</v>
      </c>
      <c r="K331" s="121" t="s">
        <v>1</v>
      </c>
      <c r="L331" s="24"/>
      <c r="M331" s="125" t="s">
        <v>1</v>
      </c>
      <c r="N331" s="126" t="s">
        <v>32</v>
      </c>
      <c r="O331" s="127">
        <v>0</v>
      </c>
      <c r="P331" s="127">
        <f t="shared" si="59"/>
        <v>0</v>
      </c>
      <c r="Q331" s="127">
        <v>0</v>
      </c>
      <c r="R331" s="127">
        <f t="shared" si="60"/>
        <v>0</v>
      </c>
      <c r="S331" s="127">
        <v>0</v>
      </c>
      <c r="T331" s="128">
        <f t="shared" si="61"/>
        <v>0</v>
      </c>
      <c r="W331" s="199"/>
      <c r="X331" s="1070" t="s">
        <v>458</v>
      </c>
      <c r="Y331" s="119" t="s">
        <v>231</v>
      </c>
      <c r="Z331" s="120" t="s">
        <v>819</v>
      </c>
      <c r="AA331" s="121" t="s">
        <v>4329</v>
      </c>
      <c r="AB331" s="122" t="s">
        <v>570</v>
      </c>
      <c r="AC331" s="1071">
        <f>5.946+3.931</f>
        <v>9.8769999999999989</v>
      </c>
      <c r="AD331" s="124">
        <v>4.12</v>
      </c>
      <c r="AE331" s="200">
        <f t="shared" si="62"/>
        <v>40.69</v>
      </c>
      <c r="AF331" s="956" t="s">
        <v>5482</v>
      </c>
      <c r="AR331" s="129" t="s">
        <v>235</v>
      </c>
      <c r="AT331" s="129" t="s">
        <v>231</v>
      </c>
      <c r="AU331" s="129" t="s">
        <v>76</v>
      </c>
      <c r="AY331" s="13" t="s">
        <v>228</v>
      </c>
      <c r="BE331" s="130">
        <f t="shared" si="63"/>
        <v>0</v>
      </c>
      <c r="BF331" s="130">
        <f t="shared" si="64"/>
        <v>24.5</v>
      </c>
      <c r="BG331" s="130">
        <f t="shared" si="65"/>
        <v>0</v>
      </c>
      <c r="BH331" s="130">
        <f t="shared" si="66"/>
        <v>0</v>
      </c>
      <c r="BI331" s="130">
        <f t="shared" si="67"/>
        <v>0</v>
      </c>
      <c r="BJ331" s="13" t="s">
        <v>76</v>
      </c>
      <c r="BK331" s="130">
        <f t="shared" si="68"/>
        <v>24.5</v>
      </c>
      <c r="BL331" s="13" t="s">
        <v>235</v>
      </c>
      <c r="BM331" s="129" t="s">
        <v>698</v>
      </c>
    </row>
    <row r="332" spans="2:65" s="11" customFormat="1" ht="22.95" customHeight="1" x14ac:dyDescent="0.25">
      <c r="B332" s="106"/>
      <c r="D332" s="107" t="s">
        <v>57</v>
      </c>
      <c r="E332" s="116" t="s">
        <v>822</v>
      </c>
      <c r="F332" s="116" t="s">
        <v>823</v>
      </c>
      <c r="J332" s="117">
        <f>BK332</f>
        <v>9010.93</v>
      </c>
      <c r="L332" s="106"/>
      <c r="M332" s="110"/>
      <c r="N332" s="111"/>
      <c r="O332" s="111"/>
      <c r="P332" s="112">
        <f>SUM(P333:P340)</f>
        <v>165.50782799999999</v>
      </c>
      <c r="Q332" s="111"/>
      <c r="R332" s="112">
        <f>SUM(R333:R340)</f>
        <v>7.3938000000000004E-2</v>
      </c>
      <c r="S332" s="111"/>
      <c r="T332" s="113">
        <f>SUM(T333:T340)</f>
        <v>0.30284800000000001</v>
      </c>
      <c r="W332" s="195"/>
      <c r="X332" s="111"/>
      <c r="Y332" s="196" t="s">
        <v>57</v>
      </c>
      <c r="Z332" s="201" t="s">
        <v>822</v>
      </c>
      <c r="AA332" s="201" t="s">
        <v>823</v>
      </c>
      <c r="AB332" s="111"/>
      <c r="AC332" s="111"/>
      <c r="AD332" s="111"/>
      <c r="AE332" s="202">
        <f>SUM(AE333:AE340)</f>
        <v>9486.89</v>
      </c>
      <c r="AF332" s="956"/>
      <c r="AR332" s="107" t="s">
        <v>63</v>
      </c>
      <c r="AT332" s="114" t="s">
        <v>57</v>
      </c>
      <c r="AU332" s="114" t="s">
        <v>63</v>
      </c>
      <c r="AY332" s="107" t="s">
        <v>228</v>
      </c>
      <c r="BK332" s="115">
        <f>SUM(BK333:BK340)</f>
        <v>9010.93</v>
      </c>
    </row>
    <row r="333" spans="2:65" s="1" customFormat="1" ht="16.5" customHeight="1" x14ac:dyDescent="0.2">
      <c r="B333" s="118"/>
      <c r="C333" s="1070" t="s">
        <v>692</v>
      </c>
      <c r="D333" s="119" t="s">
        <v>231</v>
      </c>
      <c r="E333" s="120" t="s">
        <v>825</v>
      </c>
      <c r="F333" s="121" t="s">
        <v>4330</v>
      </c>
      <c r="G333" s="122" t="s">
        <v>284</v>
      </c>
      <c r="H333" s="1071">
        <v>217.9</v>
      </c>
      <c r="I333" s="124">
        <v>1.39</v>
      </c>
      <c r="J333" s="124">
        <f t="shared" ref="J333:J340" si="69">ROUND(I333*H333,2)</f>
        <v>302.88</v>
      </c>
      <c r="K333" s="121" t="s">
        <v>1</v>
      </c>
      <c r="L333" s="24"/>
      <c r="M333" s="125" t="s">
        <v>1</v>
      </c>
      <c r="N333" s="126" t="s">
        <v>32</v>
      </c>
      <c r="O333" s="127">
        <v>0</v>
      </c>
      <c r="P333" s="127">
        <f t="shared" ref="P333:P340" si="70">O333*H333</f>
        <v>0</v>
      </c>
      <c r="Q333" s="127">
        <v>0</v>
      </c>
      <c r="R333" s="127">
        <f t="shared" ref="R333:R340" si="71">Q333*H333</f>
        <v>0</v>
      </c>
      <c r="S333" s="127">
        <v>0</v>
      </c>
      <c r="T333" s="128">
        <f t="shared" ref="T333:T340" si="72">S333*H333</f>
        <v>0</v>
      </c>
      <c r="W333" s="199"/>
      <c r="X333" s="1070" t="s">
        <v>692</v>
      </c>
      <c r="Y333" s="119" t="s">
        <v>231</v>
      </c>
      <c r="Z333" s="120" t="s">
        <v>825</v>
      </c>
      <c r="AA333" s="121" t="s">
        <v>4330</v>
      </c>
      <c r="AB333" s="122" t="s">
        <v>284</v>
      </c>
      <c r="AC333" s="1071">
        <f>217.9+2.62</f>
        <v>220.52</v>
      </c>
      <c r="AD333" s="124">
        <v>1.39</v>
      </c>
      <c r="AE333" s="200">
        <f t="shared" ref="AE333:AE340" si="73">ROUND(AD333*AC333,2)</f>
        <v>306.52</v>
      </c>
      <c r="AF333" s="956" t="s">
        <v>5478</v>
      </c>
      <c r="AR333" s="129" t="s">
        <v>235</v>
      </c>
      <c r="AT333" s="129" t="s">
        <v>231</v>
      </c>
      <c r="AU333" s="129" t="s">
        <v>76</v>
      </c>
      <c r="AY333" s="13" t="s">
        <v>228</v>
      </c>
      <c r="BE333" s="130">
        <f t="shared" ref="BE333:BE340" si="74">IF(N333="základná",J333,0)</f>
        <v>0</v>
      </c>
      <c r="BF333" s="130">
        <f t="shared" ref="BF333:BF340" si="75">IF(N333="znížená",J333,0)</f>
        <v>302.88</v>
      </c>
      <c r="BG333" s="130">
        <f t="shared" ref="BG333:BG340" si="76">IF(N333="zákl. prenesená",J333,0)</f>
        <v>0</v>
      </c>
      <c r="BH333" s="130">
        <f t="shared" ref="BH333:BH340" si="77">IF(N333="zníž. prenesená",J333,0)</f>
        <v>0</v>
      </c>
      <c r="BI333" s="130">
        <f t="shared" ref="BI333:BI340" si="78">IF(N333="nulová",J333,0)</f>
        <v>0</v>
      </c>
      <c r="BJ333" s="13" t="s">
        <v>76</v>
      </c>
      <c r="BK333" s="130">
        <f t="shared" ref="BK333:BK340" si="79">ROUND(I333*H333,2)</f>
        <v>302.88</v>
      </c>
      <c r="BL333" s="13" t="s">
        <v>235</v>
      </c>
      <c r="BM333" s="129" t="s">
        <v>702</v>
      </c>
    </row>
    <row r="334" spans="2:65" s="1" customFormat="1" ht="24" customHeight="1" x14ac:dyDescent="0.2">
      <c r="B334" s="118"/>
      <c r="C334" s="1070" t="s">
        <v>462</v>
      </c>
      <c r="D334" s="119" t="s">
        <v>231</v>
      </c>
      <c r="E334" s="120" t="s">
        <v>832</v>
      </c>
      <c r="F334" s="121" t="s">
        <v>4331</v>
      </c>
      <c r="G334" s="122" t="s">
        <v>292</v>
      </c>
      <c r="H334" s="1071">
        <v>214.2</v>
      </c>
      <c r="I334" s="124">
        <v>7.55</v>
      </c>
      <c r="J334" s="124">
        <f t="shared" si="69"/>
        <v>1617.21</v>
      </c>
      <c r="K334" s="121" t="s">
        <v>1</v>
      </c>
      <c r="L334" s="24"/>
      <c r="M334" s="125" t="s">
        <v>1</v>
      </c>
      <c r="N334" s="126" t="s">
        <v>32</v>
      </c>
      <c r="O334" s="127">
        <v>0.11806999999999999</v>
      </c>
      <c r="P334" s="127">
        <f t="shared" si="70"/>
        <v>25.290593999999999</v>
      </c>
      <c r="Q334" s="127">
        <v>4.0000000000000003E-5</v>
      </c>
      <c r="R334" s="127">
        <f t="shared" si="71"/>
        <v>8.568000000000001E-3</v>
      </c>
      <c r="S334" s="127">
        <v>0</v>
      </c>
      <c r="T334" s="128">
        <f t="shared" si="72"/>
        <v>0</v>
      </c>
      <c r="W334" s="199"/>
      <c r="X334" s="1070" t="s">
        <v>462</v>
      </c>
      <c r="Y334" s="119" t="s">
        <v>231</v>
      </c>
      <c r="Z334" s="120" t="s">
        <v>832</v>
      </c>
      <c r="AA334" s="121" t="s">
        <v>4331</v>
      </c>
      <c r="AB334" s="122" t="s">
        <v>292</v>
      </c>
      <c r="AC334" s="1071">
        <f>214.2+17.2</f>
        <v>231.39999999999998</v>
      </c>
      <c r="AD334" s="124">
        <v>7.55</v>
      </c>
      <c r="AE334" s="200">
        <f t="shared" si="73"/>
        <v>1747.07</v>
      </c>
      <c r="AF334" s="956" t="s">
        <v>5478</v>
      </c>
      <c r="AR334" s="129" t="s">
        <v>235</v>
      </c>
      <c r="AT334" s="129" t="s">
        <v>231</v>
      </c>
      <c r="AU334" s="129" t="s">
        <v>76</v>
      </c>
      <c r="AY334" s="13" t="s">
        <v>228</v>
      </c>
      <c r="BE334" s="130">
        <f t="shared" si="74"/>
        <v>0</v>
      </c>
      <c r="BF334" s="130">
        <f t="shared" si="75"/>
        <v>1617.21</v>
      </c>
      <c r="BG334" s="130">
        <f t="shared" si="76"/>
        <v>0</v>
      </c>
      <c r="BH334" s="130">
        <f t="shared" si="77"/>
        <v>0</v>
      </c>
      <c r="BI334" s="130">
        <f t="shared" si="78"/>
        <v>0</v>
      </c>
      <c r="BJ334" s="13" t="s">
        <v>76</v>
      </c>
      <c r="BK334" s="130">
        <f t="shared" si="79"/>
        <v>1617.21</v>
      </c>
      <c r="BL334" s="13" t="s">
        <v>235</v>
      </c>
      <c r="BM334" s="129" t="s">
        <v>705</v>
      </c>
    </row>
    <row r="335" spans="2:65" s="1" customFormat="1" ht="24" customHeight="1" x14ac:dyDescent="0.2">
      <c r="B335" s="118"/>
      <c r="C335" s="119" t="s">
        <v>699</v>
      </c>
      <c r="D335" s="119" t="s">
        <v>231</v>
      </c>
      <c r="E335" s="120" t="s">
        <v>839</v>
      </c>
      <c r="F335" s="121" t="s">
        <v>4332</v>
      </c>
      <c r="G335" s="122" t="s">
        <v>284</v>
      </c>
      <c r="H335" s="123">
        <v>302.84800000000001</v>
      </c>
      <c r="I335" s="124">
        <v>3.13</v>
      </c>
      <c r="J335" s="124">
        <f t="shared" si="69"/>
        <v>947.91</v>
      </c>
      <c r="K335" s="121" t="s">
        <v>1</v>
      </c>
      <c r="L335" s="24"/>
      <c r="M335" s="125" t="s">
        <v>1</v>
      </c>
      <c r="N335" s="126" t="s">
        <v>32</v>
      </c>
      <c r="O335" s="127">
        <v>0.24099999999999999</v>
      </c>
      <c r="P335" s="127">
        <f t="shared" si="70"/>
        <v>72.986367999999999</v>
      </c>
      <c r="Q335" s="127">
        <v>0</v>
      </c>
      <c r="R335" s="127">
        <f t="shared" si="71"/>
        <v>0</v>
      </c>
      <c r="S335" s="127">
        <v>1E-3</v>
      </c>
      <c r="T335" s="128">
        <f t="shared" si="72"/>
        <v>0.30284800000000001</v>
      </c>
      <c r="W335" s="199"/>
      <c r="X335" s="119" t="s">
        <v>699</v>
      </c>
      <c r="Y335" s="119" t="s">
        <v>231</v>
      </c>
      <c r="Z335" s="120" t="s">
        <v>839</v>
      </c>
      <c r="AA335" s="121" t="s">
        <v>4332</v>
      </c>
      <c r="AB335" s="122" t="s">
        <v>284</v>
      </c>
      <c r="AC335" s="123">
        <v>302.84800000000001</v>
      </c>
      <c r="AD335" s="124">
        <v>3.13</v>
      </c>
      <c r="AE335" s="200">
        <f t="shared" si="73"/>
        <v>947.91</v>
      </c>
      <c r="AF335" s="956"/>
      <c r="AR335" s="129" t="s">
        <v>235</v>
      </c>
      <c r="AT335" s="129" t="s">
        <v>231</v>
      </c>
      <c r="AU335" s="129" t="s">
        <v>76</v>
      </c>
      <c r="AY335" s="13" t="s">
        <v>228</v>
      </c>
      <c r="BE335" s="130">
        <f t="shared" si="74"/>
        <v>0</v>
      </c>
      <c r="BF335" s="130">
        <f t="shared" si="75"/>
        <v>947.91</v>
      </c>
      <c r="BG335" s="130">
        <f t="shared" si="76"/>
        <v>0</v>
      </c>
      <c r="BH335" s="130">
        <f t="shared" si="77"/>
        <v>0</v>
      </c>
      <c r="BI335" s="130">
        <f t="shared" si="78"/>
        <v>0</v>
      </c>
      <c r="BJ335" s="13" t="s">
        <v>76</v>
      </c>
      <c r="BK335" s="130">
        <f t="shared" si="79"/>
        <v>947.91</v>
      </c>
      <c r="BL335" s="13" t="s">
        <v>235</v>
      </c>
      <c r="BM335" s="129" t="s">
        <v>709</v>
      </c>
    </row>
    <row r="336" spans="2:65" s="878" customFormat="1" ht="18.75" customHeight="1" x14ac:dyDescent="0.2">
      <c r="B336" s="881"/>
      <c r="C336" s="1234" t="s">
        <v>5205</v>
      </c>
      <c r="D336" s="1235"/>
      <c r="E336" s="1235"/>
      <c r="F336" s="1235"/>
      <c r="G336" s="1235"/>
      <c r="H336" s="1235"/>
      <c r="I336" s="1235"/>
      <c r="J336" s="1236"/>
      <c r="K336" s="882"/>
      <c r="L336" s="880"/>
      <c r="M336" s="883"/>
      <c r="N336" s="884"/>
      <c r="O336" s="885"/>
      <c r="P336" s="885"/>
      <c r="Q336" s="885"/>
      <c r="R336" s="885"/>
      <c r="S336" s="885"/>
      <c r="T336" s="886"/>
      <c r="W336" s="889"/>
      <c r="X336" s="917" t="s">
        <v>6593</v>
      </c>
      <c r="Y336" s="917" t="s">
        <v>231</v>
      </c>
      <c r="Z336" s="918" t="s">
        <v>788</v>
      </c>
      <c r="AA336" s="919" t="s">
        <v>6594</v>
      </c>
      <c r="AB336" s="920" t="s">
        <v>292</v>
      </c>
      <c r="AC336" s="921">
        <v>11.8</v>
      </c>
      <c r="AD336" s="922">
        <v>23.22</v>
      </c>
      <c r="AE336" s="923">
        <f t="shared" si="73"/>
        <v>274</v>
      </c>
      <c r="AF336" s="956" t="s">
        <v>5477</v>
      </c>
      <c r="AR336" s="887"/>
      <c r="AT336" s="887"/>
      <c r="AU336" s="887"/>
      <c r="AY336" s="879"/>
      <c r="BE336" s="888"/>
      <c r="BF336" s="888"/>
      <c r="BG336" s="888"/>
      <c r="BH336" s="888"/>
      <c r="BI336" s="888"/>
      <c r="BJ336" s="879"/>
      <c r="BK336" s="888"/>
      <c r="BL336" s="879"/>
      <c r="BM336" s="887"/>
    </row>
    <row r="337" spans="2:65" s="1" customFormat="1" ht="16.5" customHeight="1" x14ac:dyDescent="0.2">
      <c r="B337" s="118"/>
      <c r="C337" s="1070" t="s">
        <v>465</v>
      </c>
      <c r="D337" s="119" t="s">
        <v>231</v>
      </c>
      <c r="E337" s="120" t="s">
        <v>842</v>
      </c>
      <c r="F337" s="121" t="s">
        <v>4333</v>
      </c>
      <c r="G337" s="122" t="s">
        <v>284</v>
      </c>
      <c r="H337" s="1071">
        <v>217.9</v>
      </c>
      <c r="I337" s="124">
        <v>5.22</v>
      </c>
      <c r="J337" s="124">
        <f t="shared" si="69"/>
        <v>1137.44</v>
      </c>
      <c r="K337" s="121" t="s">
        <v>1</v>
      </c>
      <c r="L337" s="24"/>
      <c r="M337" s="125" t="s">
        <v>1</v>
      </c>
      <c r="N337" s="126" t="s">
        <v>32</v>
      </c>
      <c r="O337" s="127">
        <v>0.30853999999999998</v>
      </c>
      <c r="P337" s="127">
        <f t="shared" si="70"/>
        <v>67.230865999999992</v>
      </c>
      <c r="Q337" s="127">
        <v>2.9999999999999997E-4</v>
      </c>
      <c r="R337" s="127">
        <f t="shared" si="71"/>
        <v>6.5369999999999998E-2</v>
      </c>
      <c r="S337" s="127">
        <v>0</v>
      </c>
      <c r="T337" s="128">
        <f t="shared" si="72"/>
        <v>0</v>
      </c>
      <c r="W337" s="199"/>
      <c r="X337" s="1070" t="s">
        <v>465</v>
      </c>
      <c r="Y337" s="119" t="s">
        <v>231</v>
      </c>
      <c r="Z337" s="120" t="s">
        <v>842</v>
      </c>
      <c r="AA337" s="121" t="s">
        <v>4333</v>
      </c>
      <c r="AB337" s="122" t="s">
        <v>284</v>
      </c>
      <c r="AC337" s="1071">
        <f>217.9+2.62</f>
        <v>220.52</v>
      </c>
      <c r="AD337" s="124">
        <v>5.22</v>
      </c>
      <c r="AE337" s="200">
        <f t="shared" si="73"/>
        <v>1151.1099999999999</v>
      </c>
      <c r="AF337" s="956" t="s">
        <v>5478</v>
      </c>
      <c r="AR337" s="129" t="s">
        <v>235</v>
      </c>
      <c r="AT337" s="129" t="s">
        <v>231</v>
      </c>
      <c r="AU337" s="129" t="s">
        <v>76</v>
      </c>
      <c r="AY337" s="13" t="s">
        <v>228</v>
      </c>
      <c r="BE337" s="130">
        <f t="shared" si="74"/>
        <v>0</v>
      </c>
      <c r="BF337" s="130">
        <f t="shared" si="75"/>
        <v>1137.44</v>
      </c>
      <c r="BG337" s="130">
        <f t="shared" si="76"/>
        <v>0</v>
      </c>
      <c r="BH337" s="130">
        <f t="shared" si="77"/>
        <v>0</v>
      </c>
      <c r="BI337" s="130">
        <f t="shared" si="78"/>
        <v>0</v>
      </c>
      <c r="BJ337" s="13" t="s">
        <v>76</v>
      </c>
      <c r="BK337" s="130">
        <f t="shared" si="79"/>
        <v>1137.44</v>
      </c>
      <c r="BL337" s="13" t="s">
        <v>235</v>
      </c>
      <c r="BM337" s="129" t="s">
        <v>712</v>
      </c>
    </row>
    <row r="338" spans="2:65" s="1" customFormat="1" ht="16.5" customHeight="1" x14ac:dyDescent="0.2">
      <c r="B338" s="118"/>
      <c r="C338" s="1070" t="s">
        <v>706</v>
      </c>
      <c r="D338" s="119" t="s">
        <v>231</v>
      </c>
      <c r="E338" s="120" t="s">
        <v>846</v>
      </c>
      <c r="F338" s="121" t="s">
        <v>4334</v>
      </c>
      <c r="G338" s="122" t="s">
        <v>284</v>
      </c>
      <c r="H338" s="1071">
        <v>207.25299999999999</v>
      </c>
      <c r="I338" s="124">
        <v>17.420000000000002</v>
      </c>
      <c r="J338" s="124">
        <f t="shared" si="69"/>
        <v>3610.35</v>
      </c>
      <c r="K338" s="121" t="s">
        <v>1</v>
      </c>
      <c r="L338" s="24"/>
      <c r="M338" s="125" t="s">
        <v>1</v>
      </c>
      <c r="N338" s="126" t="s">
        <v>32</v>
      </c>
      <c r="O338" s="127">
        <v>0</v>
      </c>
      <c r="P338" s="127">
        <f t="shared" si="70"/>
        <v>0</v>
      </c>
      <c r="Q338" s="127">
        <v>0</v>
      </c>
      <c r="R338" s="127">
        <f t="shared" si="71"/>
        <v>0</v>
      </c>
      <c r="S338" s="127">
        <v>0</v>
      </c>
      <c r="T338" s="128">
        <f t="shared" si="72"/>
        <v>0</v>
      </c>
      <c r="W338" s="199"/>
      <c r="X338" s="1070" t="s">
        <v>706</v>
      </c>
      <c r="Y338" s="119" t="s">
        <v>231</v>
      </c>
      <c r="Z338" s="120" t="s">
        <v>846</v>
      </c>
      <c r="AA338" s="121" t="s">
        <v>4334</v>
      </c>
      <c r="AB338" s="122" t="s">
        <v>284</v>
      </c>
      <c r="AC338" s="1071">
        <f>207.253+3.013</f>
        <v>210.26599999999999</v>
      </c>
      <c r="AD338" s="124">
        <v>17.420000000000002</v>
      </c>
      <c r="AE338" s="200">
        <f t="shared" si="73"/>
        <v>3662.83</v>
      </c>
      <c r="AF338" s="956" t="s">
        <v>5478</v>
      </c>
      <c r="AR338" s="129" t="s">
        <v>235</v>
      </c>
      <c r="AT338" s="129" t="s">
        <v>231</v>
      </c>
      <c r="AU338" s="129" t="s">
        <v>76</v>
      </c>
      <c r="AY338" s="13" t="s">
        <v>228</v>
      </c>
      <c r="BE338" s="130">
        <f t="shared" si="74"/>
        <v>0</v>
      </c>
      <c r="BF338" s="130">
        <f t="shared" si="75"/>
        <v>3610.35</v>
      </c>
      <c r="BG338" s="130">
        <f t="shared" si="76"/>
        <v>0</v>
      </c>
      <c r="BH338" s="130">
        <f t="shared" si="77"/>
        <v>0</v>
      </c>
      <c r="BI338" s="130">
        <f t="shared" si="78"/>
        <v>0</v>
      </c>
      <c r="BJ338" s="13" t="s">
        <v>76</v>
      </c>
      <c r="BK338" s="130">
        <f t="shared" si="79"/>
        <v>3610.35</v>
      </c>
      <c r="BL338" s="13" t="s">
        <v>235</v>
      </c>
      <c r="BM338" s="129" t="s">
        <v>716</v>
      </c>
    </row>
    <row r="339" spans="2:65" s="1" customFormat="1" ht="16.5" customHeight="1" x14ac:dyDescent="0.2">
      <c r="B339" s="118"/>
      <c r="C339" s="119" t="s">
        <v>469</v>
      </c>
      <c r="D339" s="119" t="s">
        <v>231</v>
      </c>
      <c r="E339" s="120" t="s">
        <v>4335</v>
      </c>
      <c r="F339" s="121" t="s">
        <v>4336</v>
      </c>
      <c r="G339" s="122" t="s">
        <v>284</v>
      </c>
      <c r="H339" s="123">
        <v>43.332000000000001</v>
      </c>
      <c r="I339" s="124">
        <v>30.19</v>
      </c>
      <c r="J339" s="124">
        <f t="shared" si="69"/>
        <v>1308.19</v>
      </c>
      <c r="K339" s="121" t="s">
        <v>1</v>
      </c>
      <c r="L339" s="24"/>
      <c r="M339" s="125" t="s">
        <v>1</v>
      </c>
      <c r="N339" s="126" t="s">
        <v>32</v>
      </c>
      <c r="O339" s="127">
        <v>0</v>
      </c>
      <c r="P339" s="127">
        <f t="shared" si="70"/>
        <v>0</v>
      </c>
      <c r="Q339" s="127">
        <v>0</v>
      </c>
      <c r="R339" s="127">
        <f t="shared" si="71"/>
        <v>0</v>
      </c>
      <c r="S339" s="127">
        <v>0</v>
      </c>
      <c r="T339" s="128">
        <f t="shared" si="72"/>
        <v>0</v>
      </c>
      <c r="W339" s="199"/>
      <c r="X339" s="119" t="s">
        <v>469</v>
      </c>
      <c r="Y339" s="119" t="s">
        <v>231</v>
      </c>
      <c r="Z339" s="120" t="s">
        <v>4335</v>
      </c>
      <c r="AA339" s="121" t="s">
        <v>4336</v>
      </c>
      <c r="AB339" s="122" t="s">
        <v>284</v>
      </c>
      <c r="AC339" s="123">
        <v>43.332000000000001</v>
      </c>
      <c r="AD339" s="124">
        <v>30.19</v>
      </c>
      <c r="AE339" s="200">
        <f t="shared" si="73"/>
        <v>1308.19</v>
      </c>
      <c r="AF339" s="956"/>
      <c r="AR339" s="129" t="s">
        <v>235</v>
      </c>
      <c r="AT339" s="129" t="s">
        <v>231</v>
      </c>
      <c r="AU339" s="129" t="s">
        <v>76</v>
      </c>
      <c r="AY339" s="13" t="s">
        <v>228</v>
      </c>
      <c r="BE339" s="130">
        <f t="shared" si="74"/>
        <v>0</v>
      </c>
      <c r="BF339" s="130">
        <f t="shared" si="75"/>
        <v>1308.19</v>
      </c>
      <c r="BG339" s="130">
        <f t="shared" si="76"/>
        <v>0</v>
      </c>
      <c r="BH339" s="130">
        <f t="shared" si="77"/>
        <v>0</v>
      </c>
      <c r="BI339" s="130">
        <f t="shared" si="78"/>
        <v>0</v>
      </c>
      <c r="BJ339" s="13" t="s">
        <v>76</v>
      </c>
      <c r="BK339" s="130">
        <f t="shared" si="79"/>
        <v>1308.19</v>
      </c>
      <c r="BL339" s="13" t="s">
        <v>235</v>
      </c>
      <c r="BM339" s="129" t="s">
        <v>721</v>
      </c>
    </row>
    <row r="340" spans="2:65" s="1" customFormat="1" ht="16.5" customHeight="1" x14ac:dyDescent="0.2">
      <c r="B340" s="118"/>
      <c r="C340" s="1070" t="s">
        <v>713</v>
      </c>
      <c r="D340" s="119" t="s">
        <v>231</v>
      </c>
      <c r="E340" s="120" t="s">
        <v>860</v>
      </c>
      <c r="F340" s="121" t="s">
        <v>4337</v>
      </c>
      <c r="G340" s="122" t="s">
        <v>570</v>
      </c>
      <c r="H340" s="1071">
        <v>74.953000000000003</v>
      </c>
      <c r="I340" s="124">
        <v>1.1599999999999999</v>
      </c>
      <c r="J340" s="124">
        <f t="shared" si="69"/>
        <v>86.95</v>
      </c>
      <c r="K340" s="121" t="s">
        <v>1</v>
      </c>
      <c r="L340" s="24"/>
      <c r="M340" s="125" t="s">
        <v>1</v>
      </c>
      <c r="N340" s="126" t="s">
        <v>32</v>
      </c>
      <c r="O340" s="127">
        <v>0</v>
      </c>
      <c r="P340" s="127">
        <f t="shared" si="70"/>
        <v>0</v>
      </c>
      <c r="Q340" s="127">
        <v>0</v>
      </c>
      <c r="R340" s="127">
        <f t="shared" si="71"/>
        <v>0</v>
      </c>
      <c r="S340" s="127">
        <v>0</v>
      </c>
      <c r="T340" s="128">
        <f t="shared" si="72"/>
        <v>0</v>
      </c>
      <c r="W340" s="199"/>
      <c r="X340" s="1070" t="s">
        <v>713</v>
      </c>
      <c r="Y340" s="119" t="s">
        <v>231</v>
      </c>
      <c r="Z340" s="120" t="s">
        <v>860</v>
      </c>
      <c r="AA340" s="121" t="s">
        <v>4337</v>
      </c>
      <c r="AB340" s="122" t="s">
        <v>570</v>
      </c>
      <c r="AC340" s="1071">
        <f>74.953+1.997</f>
        <v>76.95</v>
      </c>
      <c r="AD340" s="124">
        <v>1.1599999999999999</v>
      </c>
      <c r="AE340" s="200">
        <f t="shared" si="73"/>
        <v>89.26</v>
      </c>
      <c r="AF340" s="956" t="s">
        <v>5478</v>
      </c>
      <c r="AR340" s="129" t="s">
        <v>235</v>
      </c>
      <c r="AT340" s="129" t="s">
        <v>231</v>
      </c>
      <c r="AU340" s="129" t="s">
        <v>76</v>
      </c>
      <c r="AY340" s="13" t="s">
        <v>228</v>
      </c>
      <c r="BE340" s="130">
        <f t="shared" si="74"/>
        <v>0</v>
      </c>
      <c r="BF340" s="130">
        <f t="shared" si="75"/>
        <v>86.95</v>
      </c>
      <c r="BG340" s="130">
        <f t="shared" si="76"/>
        <v>0</v>
      </c>
      <c r="BH340" s="130">
        <f t="shared" si="77"/>
        <v>0</v>
      </c>
      <c r="BI340" s="130">
        <f t="shared" si="78"/>
        <v>0</v>
      </c>
      <c r="BJ340" s="13" t="s">
        <v>76</v>
      </c>
      <c r="BK340" s="130">
        <f t="shared" si="79"/>
        <v>86.95</v>
      </c>
      <c r="BL340" s="13" t="s">
        <v>235</v>
      </c>
      <c r="BM340" s="129" t="s">
        <v>725</v>
      </c>
    </row>
    <row r="341" spans="2:65" s="11" customFormat="1" ht="22.95" customHeight="1" x14ac:dyDescent="0.25">
      <c r="B341" s="106"/>
      <c r="D341" s="107" t="s">
        <v>57</v>
      </c>
      <c r="E341" s="116" t="s">
        <v>863</v>
      </c>
      <c r="F341" s="116" t="s">
        <v>864</v>
      </c>
      <c r="J341" s="117">
        <f>BK341</f>
        <v>2869.33</v>
      </c>
      <c r="L341" s="106"/>
      <c r="M341" s="110"/>
      <c r="N341" s="111"/>
      <c r="O341" s="111"/>
      <c r="P341" s="112">
        <f>SUM(P342:P346)</f>
        <v>0.38150000000000006</v>
      </c>
      <c r="Q341" s="111"/>
      <c r="R341" s="112">
        <f>SUM(R342:R346)</f>
        <v>5.0000000000000001E-3</v>
      </c>
      <c r="S341" s="111"/>
      <c r="T341" s="113">
        <f>SUM(T342:T346)</f>
        <v>0</v>
      </c>
      <c r="W341" s="195"/>
      <c r="X341" s="111"/>
      <c r="Y341" s="196" t="s">
        <v>57</v>
      </c>
      <c r="Z341" s="201" t="s">
        <v>863</v>
      </c>
      <c r="AA341" s="201" t="s">
        <v>864</v>
      </c>
      <c r="AB341" s="111"/>
      <c r="AC341" s="111"/>
      <c r="AD341" s="111"/>
      <c r="AE341" s="202">
        <f>SUM(AE342:AE346)</f>
        <v>4976.03</v>
      </c>
      <c r="AF341" s="956"/>
      <c r="AR341" s="107" t="s">
        <v>63</v>
      </c>
      <c r="AT341" s="114" t="s">
        <v>57</v>
      </c>
      <c r="AU341" s="114" t="s">
        <v>63</v>
      </c>
      <c r="AY341" s="107" t="s">
        <v>228</v>
      </c>
      <c r="BK341" s="115">
        <f>SUM(BK342:BK346)</f>
        <v>2869.33</v>
      </c>
    </row>
    <row r="342" spans="2:65" s="1" customFormat="1" ht="24" customHeight="1" x14ac:dyDescent="0.2">
      <c r="B342" s="118"/>
      <c r="C342" s="1070" t="s">
        <v>472</v>
      </c>
      <c r="D342" s="119" t="s">
        <v>231</v>
      </c>
      <c r="E342" s="120" t="s">
        <v>865</v>
      </c>
      <c r="F342" s="121" t="s">
        <v>866</v>
      </c>
      <c r="G342" s="122" t="s">
        <v>284</v>
      </c>
      <c r="H342" s="1071">
        <v>69.058000000000007</v>
      </c>
      <c r="I342" s="124">
        <v>25.54</v>
      </c>
      <c r="J342" s="124">
        <f>ROUND(I342*H342,2)</f>
        <v>1763.74</v>
      </c>
      <c r="K342" s="121" t="s">
        <v>1</v>
      </c>
      <c r="L342" s="24"/>
      <c r="M342" s="125" t="s">
        <v>1</v>
      </c>
      <c r="N342" s="126" t="s">
        <v>32</v>
      </c>
      <c r="O342" s="127">
        <v>0</v>
      </c>
      <c r="P342" s="127">
        <f>O342*H342</f>
        <v>0</v>
      </c>
      <c r="Q342" s="127">
        <v>0</v>
      </c>
      <c r="R342" s="127">
        <f>Q342*H342</f>
        <v>0</v>
      </c>
      <c r="S342" s="127">
        <v>0</v>
      </c>
      <c r="T342" s="128">
        <f>S342*H342</f>
        <v>0</v>
      </c>
      <c r="W342" s="199"/>
      <c r="X342" s="1070" t="s">
        <v>472</v>
      </c>
      <c r="Y342" s="119" t="s">
        <v>231</v>
      </c>
      <c r="Z342" s="120" t="s">
        <v>865</v>
      </c>
      <c r="AA342" s="121" t="s">
        <v>866</v>
      </c>
      <c r="AB342" s="122" t="s">
        <v>284</v>
      </c>
      <c r="AC342" s="1071">
        <f>69.058+35.5+15.5</f>
        <v>120.05800000000001</v>
      </c>
      <c r="AD342" s="124">
        <v>25.54</v>
      </c>
      <c r="AE342" s="200">
        <f>ROUND(AD342*AC342,2)</f>
        <v>3066.28</v>
      </c>
      <c r="AF342" s="956" t="s">
        <v>6620</v>
      </c>
      <c r="AR342" s="129" t="s">
        <v>235</v>
      </c>
      <c r="AT342" s="129" t="s">
        <v>231</v>
      </c>
      <c r="AU342" s="129" t="s">
        <v>76</v>
      </c>
      <c r="AY342" s="13" t="s">
        <v>228</v>
      </c>
      <c r="BE342" s="130">
        <f>IF(N342="základná",J342,0)</f>
        <v>0</v>
      </c>
      <c r="BF342" s="130">
        <f>IF(N342="znížená",J342,0)</f>
        <v>1763.74</v>
      </c>
      <c r="BG342" s="130">
        <f>IF(N342="zákl. prenesená",J342,0)</f>
        <v>0</v>
      </c>
      <c r="BH342" s="130">
        <f>IF(N342="zníž. prenesená",J342,0)</f>
        <v>0</v>
      </c>
      <c r="BI342" s="130">
        <f>IF(N342="nulová",J342,0)</f>
        <v>0</v>
      </c>
      <c r="BJ342" s="13" t="s">
        <v>76</v>
      </c>
      <c r="BK342" s="130">
        <f>ROUND(I342*H342,2)</f>
        <v>1763.74</v>
      </c>
      <c r="BL342" s="13" t="s">
        <v>235</v>
      </c>
      <c r="BM342" s="129" t="s">
        <v>728</v>
      </c>
    </row>
    <row r="343" spans="2:65" s="1" customFormat="1" ht="16.5" customHeight="1" x14ac:dyDescent="0.2">
      <c r="B343" s="118"/>
      <c r="C343" s="1070" t="s">
        <v>722</v>
      </c>
      <c r="D343" s="119" t="s">
        <v>231</v>
      </c>
      <c r="E343" s="120" t="s">
        <v>869</v>
      </c>
      <c r="F343" s="121" t="s">
        <v>870</v>
      </c>
      <c r="G343" s="122" t="s">
        <v>284</v>
      </c>
      <c r="H343" s="1071">
        <v>72.510999999999996</v>
      </c>
      <c r="I343" s="124">
        <v>13.93</v>
      </c>
      <c r="J343" s="124">
        <f>ROUND(I343*H343,2)</f>
        <v>1010.08</v>
      </c>
      <c r="K343" s="121" t="s">
        <v>1</v>
      </c>
      <c r="L343" s="24"/>
      <c r="M343" s="125" t="s">
        <v>1</v>
      </c>
      <c r="N343" s="126" t="s">
        <v>32</v>
      </c>
      <c r="O343" s="127">
        <v>0</v>
      </c>
      <c r="P343" s="127">
        <f>O343*H343</f>
        <v>0</v>
      </c>
      <c r="Q343" s="127">
        <v>0</v>
      </c>
      <c r="R343" s="127">
        <f>Q343*H343</f>
        <v>0</v>
      </c>
      <c r="S343" s="127">
        <v>0</v>
      </c>
      <c r="T343" s="128">
        <f>S343*H343</f>
        <v>0</v>
      </c>
      <c r="W343" s="199"/>
      <c r="X343" s="1070" t="s">
        <v>722</v>
      </c>
      <c r="Y343" s="119" t="s">
        <v>231</v>
      </c>
      <c r="Z343" s="120" t="s">
        <v>869</v>
      </c>
      <c r="AA343" s="121" t="s">
        <v>870</v>
      </c>
      <c r="AB343" s="122" t="s">
        <v>284</v>
      </c>
      <c r="AC343" s="1071">
        <f>72.511+37.275+16.275</f>
        <v>126.06100000000001</v>
      </c>
      <c r="AD343" s="124">
        <v>13.93</v>
      </c>
      <c r="AE343" s="200">
        <f>ROUND(AD343*AC343,2)</f>
        <v>1756.03</v>
      </c>
      <c r="AF343" s="956" t="s">
        <v>6620</v>
      </c>
      <c r="AR343" s="129" t="s">
        <v>235</v>
      </c>
      <c r="AT343" s="129" t="s">
        <v>231</v>
      </c>
      <c r="AU343" s="129" t="s">
        <v>76</v>
      </c>
      <c r="AY343" s="13" t="s">
        <v>228</v>
      </c>
      <c r="BE343" s="130">
        <f>IF(N343="základná",J343,0)</f>
        <v>0</v>
      </c>
      <c r="BF343" s="130">
        <f>IF(N343="znížená",J343,0)</f>
        <v>1010.08</v>
      </c>
      <c r="BG343" s="130">
        <f>IF(N343="zákl. prenesená",J343,0)</f>
        <v>0</v>
      </c>
      <c r="BH343" s="130">
        <f>IF(N343="zníž. prenesená",J343,0)</f>
        <v>0</v>
      </c>
      <c r="BI343" s="130">
        <f>IF(N343="nulová",J343,0)</f>
        <v>0</v>
      </c>
      <c r="BJ343" s="13" t="s">
        <v>76</v>
      </c>
      <c r="BK343" s="130">
        <f>ROUND(I343*H343,2)</f>
        <v>1010.08</v>
      </c>
      <c r="BL343" s="13" t="s">
        <v>235</v>
      </c>
      <c r="BM343" s="129" t="s">
        <v>732</v>
      </c>
    </row>
    <row r="344" spans="2:65" s="1" customFormat="1" ht="24" customHeight="1" x14ac:dyDescent="0.2">
      <c r="B344" s="118"/>
      <c r="C344" s="119" t="s">
        <v>476</v>
      </c>
      <c r="D344" s="119" t="s">
        <v>231</v>
      </c>
      <c r="E344" s="120" t="s">
        <v>872</v>
      </c>
      <c r="F344" s="121" t="s">
        <v>873</v>
      </c>
      <c r="G344" s="122" t="s">
        <v>284</v>
      </c>
      <c r="H344" s="123">
        <v>8.61</v>
      </c>
      <c r="I344" s="124">
        <v>1.74</v>
      </c>
      <c r="J344" s="124">
        <f>ROUND(I344*H344,2)</f>
        <v>14.98</v>
      </c>
      <c r="K344" s="121" t="s">
        <v>1</v>
      </c>
      <c r="L344" s="24"/>
      <c r="M344" s="125" t="s">
        <v>1</v>
      </c>
      <c r="N344" s="126" t="s">
        <v>32</v>
      </c>
      <c r="O344" s="127">
        <v>0</v>
      </c>
      <c r="P344" s="127">
        <f>O344*H344</f>
        <v>0</v>
      </c>
      <c r="Q344" s="127">
        <v>0</v>
      </c>
      <c r="R344" s="127">
        <f>Q344*H344</f>
        <v>0</v>
      </c>
      <c r="S344" s="127">
        <v>0</v>
      </c>
      <c r="T344" s="128">
        <f>S344*H344</f>
        <v>0</v>
      </c>
      <c r="W344" s="199"/>
      <c r="X344" s="119" t="s">
        <v>476</v>
      </c>
      <c r="Y344" s="119" t="s">
        <v>231</v>
      </c>
      <c r="Z344" s="120" t="s">
        <v>872</v>
      </c>
      <c r="AA344" s="121" t="s">
        <v>873</v>
      </c>
      <c r="AB344" s="122" t="s">
        <v>284</v>
      </c>
      <c r="AC344" s="123">
        <v>8.61</v>
      </c>
      <c r="AD344" s="124">
        <v>1.74</v>
      </c>
      <c r="AE344" s="200">
        <f>ROUND(AD344*AC344,2)</f>
        <v>14.98</v>
      </c>
      <c r="AF344" s="956"/>
      <c r="AR344" s="129" t="s">
        <v>235</v>
      </c>
      <c r="AT344" s="129" t="s">
        <v>231</v>
      </c>
      <c r="AU344" s="129" t="s">
        <v>76</v>
      </c>
      <c r="AY344" s="13" t="s">
        <v>228</v>
      </c>
      <c r="BE344" s="130">
        <f>IF(N344="základná",J344,0)</f>
        <v>0</v>
      </c>
      <c r="BF344" s="130">
        <f>IF(N344="znížená",J344,0)</f>
        <v>14.98</v>
      </c>
      <c r="BG344" s="130">
        <f>IF(N344="zákl. prenesená",J344,0)</f>
        <v>0</v>
      </c>
      <c r="BH344" s="130">
        <f>IF(N344="zníž. prenesená",J344,0)</f>
        <v>0</v>
      </c>
      <c r="BI344" s="130">
        <f>IF(N344="nulová",J344,0)</f>
        <v>0</v>
      </c>
      <c r="BJ344" s="13" t="s">
        <v>76</v>
      </c>
      <c r="BK344" s="130">
        <f>ROUND(I344*H344,2)</f>
        <v>14.98</v>
      </c>
      <c r="BL344" s="13" t="s">
        <v>235</v>
      </c>
      <c r="BM344" s="129" t="s">
        <v>735</v>
      </c>
    </row>
    <row r="345" spans="2:65" s="1" customFormat="1" ht="16.5" customHeight="1" x14ac:dyDescent="0.2">
      <c r="B345" s="118"/>
      <c r="C345" s="1070" t="s">
        <v>729</v>
      </c>
      <c r="D345" s="119" t="s">
        <v>231</v>
      </c>
      <c r="E345" s="120" t="s">
        <v>876</v>
      </c>
      <c r="F345" s="121" t="s">
        <v>877</v>
      </c>
      <c r="G345" s="122" t="s">
        <v>292</v>
      </c>
      <c r="H345" s="1071">
        <v>10</v>
      </c>
      <c r="I345" s="124">
        <v>1.1599999999999999</v>
      </c>
      <c r="J345" s="124">
        <f>ROUND(I345*H345,2)</f>
        <v>11.6</v>
      </c>
      <c r="K345" s="121" t="s">
        <v>1</v>
      </c>
      <c r="L345" s="24"/>
      <c r="M345" s="125" t="s">
        <v>1</v>
      </c>
      <c r="N345" s="126" t="s">
        <v>32</v>
      </c>
      <c r="O345" s="127">
        <v>3.8150000000000003E-2</v>
      </c>
      <c r="P345" s="127">
        <f>O345*H345</f>
        <v>0.38150000000000006</v>
      </c>
      <c r="Q345" s="127">
        <v>5.0000000000000001E-4</v>
      </c>
      <c r="R345" s="127">
        <f>Q345*H345</f>
        <v>5.0000000000000001E-3</v>
      </c>
      <c r="S345" s="127">
        <v>0</v>
      </c>
      <c r="T345" s="128">
        <f>S345*H345</f>
        <v>0</v>
      </c>
      <c r="W345" s="199"/>
      <c r="X345" s="1070" t="s">
        <v>729</v>
      </c>
      <c r="Y345" s="119" t="s">
        <v>231</v>
      </c>
      <c r="Z345" s="120" t="s">
        <v>876</v>
      </c>
      <c r="AA345" s="121" t="s">
        <v>877</v>
      </c>
      <c r="AB345" s="122" t="s">
        <v>292</v>
      </c>
      <c r="AC345" s="1071">
        <f>10+4+5</f>
        <v>19</v>
      </c>
      <c r="AD345" s="124">
        <v>1.1599999999999999</v>
      </c>
      <c r="AE345" s="200">
        <f>ROUND(AD345*AC345,2)</f>
        <v>22.04</v>
      </c>
      <c r="AF345" s="956" t="s">
        <v>6620</v>
      </c>
      <c r="AR345" s="129" t="s">
        <v>235</v>
      </c>
      <c r="AT345" s="129" t="s">
        <v>231</v>
      </c>
      <c r="AU345" s="129" t="s">
        <v>76</v>
      </c>
      <c r="AY345" s="13" t="s">
        <v>228</v>
      </c>
      <c r="BE345" s="130">
        <f>IF(N345="základná",J345,0)</f>
        <v>0</v>
      </c>
      <c r="BF345" s="130">
        <f>IF(N345="znížená",J345,0)</f>
        <v>11.6</v>
      </c>
      <c r="BG345" s="130">
        <f>IF(N345="zákl. prenesená",J345,0)</f>
        <v>0</v>
      </c>
      <c r="BH345" s="130">
        <f>IF(N345="zníž. prenesená",J345,0)</f>
        <v>0</v>
      </c>
      <c r="BI345" s="130">
        <f>IF(N345="nulová",J345,0)</f>
        <v>0</v>
      </c>
      <c r="BJ345" s="13" t="s">
        <v>76</v>
      </c>
      <c r="BK345" s="130">
        <f>ROUND(I345*H345,2)</f>
        <v>11.6</v>
      </c>
      <c r="BL345" s="13" t="s">
        <v>235</v>
      </c>
      <c r="BM345" s="129" t="s">
        <v>739</v>
      </c>
    </row>
    <row r="346" spans="2:65" s="1" customFormat="1" ht="22.2" customHeight="1" x14ac:dyDescent="0.2">
      <c r="B346" s="118"/>
      <c r="C346" s="1070" t="s">
        <v>479</v>
      </c>
      <c r="D346" s="119" t="s">
        <v>231</v>
      </c>
      <c r="E346" s="120" t="s">
        <v>879</v>
      </c>
      <c r="F346" s="121" t="s">
        <v>4338</v>
      </c>
      <c r="G346" s="122" t="s">
        <v>570</v>
      </c>
      <c r="H346" s="1071">
        <v>29.71</v>
      </c>
      <c r="I346" s="124">
        <v>2.3199999999999998</v>
      </c>
      <c r="J346" s="124">
        <f>ROUND(I346*H346,2)</f>
        <v>68.930000000000007</v>
      </c>
      <c r="K346" s="121" t="s">
        <v>1</v>
      </c>
      <c r="L346" s="24"/>
      <c r="M346" s="125" t="s">
        <v>1</v>
      </c>
      <c r="N346" s="126" t="s">
        <v>32</v>
      </c>
      <c r="O346" s="127">
        <v>0</v>
      </c>
      <c r="P346" s="127">
        <f>O346*H346</f>
        <v>0</v>
      </c>
      <c r="Q346" s="127">
        <v>0</v>
      </c>
      <c r="R346" s="127">
        <f>Q346*H346</f>
        <v>0</v>
      </c>
      <c r="S346" s="127">
        <v>0</v>
      </c>
      <c r="T346" s="128">
        <f>S346*H346</f>
        <v>0</v>
      </c>
      <c r="W346" s="199"/>
      <c r="X346" s="1070" t="s">
        <v>479</v>
      </c>
      <c r="Y346" s="119" t="s">
        <v>231</v>
      </c>
      <c r="Z346" s="120" t="s">
        <v>879</v>
      </c>
      <c r="AA346" s="121" t="s">
        <v>4338</v>
      </c>
      <c r="AB346" s="122" t="s">
        <v>570</v>
      </c>
      <c r="AC346" s="1071">
        <f>29.71+14.306+6.284</f>
        <v>50.3</v>
      </c>
      <c r="AD346" s="124">
        <v>2.3199999999999998</v>
      </c>
      <c r="AE346" s="200">
        <f>ROUND(AD346*AC346,2)</f>
        <v>116.7</v>
      </c>
      <c r="AF346" s="956" t="s">
        <v>6620</v>
      </c>
      <c r="AR346" s="129" t="s">
        <v>235</v>
      </c>
      <c r="AT346" s="129" t="s">
        <v>231</v>
      </c>
      <c r="AU346" s="129" t="s">
        <v>76</v>
      </c>
      <c r="AY346" s="13" t="s">
        <v>228</v>
      </c>
      <c r="BE346" s="130">
        <f>IF(N346="základná",J346,0)</f>
        <v>0</v>
      </c>
      <c r="BF346" s="130">
        <f>IF(N346="znížená",J346,0)</f>
        <v>68.930000000000007</v>
      </c>
      <c r="BG346" s="130">
        <f>IF(N346="zákl. prenesená",J346,0)</f>
        <v>0</v>
      </c>
      <c r="BH346" s="130">
        <f>IF(N346="zníž. prenesená",J346,0)</f>
        <v>0</v>
      </c>
      <c r="BI346" s="130">
        <f>IF(N346="nulová",J346,0)</f>
        <v>0</v>
      </c>
      <c r="BJ346" s="13" t="s">
        <v>76</v>
      </c>
      <c r="BK346" s="130">
        <f>ROUND(I346*H346,2)</f>
        <v>68.930000000000007</v>
      </c>
      <c r="BL346" s="13" t="s">
        <v>235</v>
      </c>
      <c r="BM346" s="129" t="s">
        <v>742</v>
      </c>
    </row>
    <row r="347" spans="2:65" s="11" customFormat="1" ht="22.95" customHeight="1" x14ac:dyDescent="0.25">
      <c r="B347" s="106"/>
      <c r="D347" s="107" t="s">
        <v>57</v>
      </c>
      <c r="E347" s="116" t="s">
        <v>882</v>
      </c>
      <c r="F347" s="116" t="s">
        <v>883</v>
      </c>
      <c r="J347" s="117">
        <f>BK347</f>
        <v>7901.17</v>
      </c>
      <c r="L347" s="106"/>
      <c r="M347" s="110"/>
      <c r="N347" s="111"/>
      <c r="O347" s="111"/>
      <c r="P347" s="112">
        <f>SUM(P348:P349)</f>
        <v>59.195008000000001</v>
      </c>
      <c r="Q347" s="111"/>
      <c r="R347" s="112">
        <f>SUM(R348:R349)</f>
        <v>0</v>
      </c>
      <c r="S347" s="111"/>
      <c r="T347" s="113">
        <f>SUM(T348:T349)</f>
        <v>0</v>
      </c>
      <c r="W347" s="195"/>
      <c r="X347" s="111"/>
      <c r="Y347" s="196" t="s">
        <v>57</v>
      </c>
      <c r="Z347" s="201" t="s">
        <v>882</v>
      </c>
      <c r="AA347" s="201" t="s">
        <v>883</v>
      </c>
      <c r="AB347" s="111"/>
      <c r="AC347" s="111"/>
      <c r="AD347" s="111"/>
      <c r="AE347" s="202">
        <f>SUM(AE348:AE349)</f>
        <v>9056.2799999999988</v>
      </c>
      <c r="AF347" s="956"/>
      <c r="AR347" s="107" t="s">
        <v>63</v>
      </c>
      <c r="AT347" s="114" t="s">
        <v>57</v>
      </c>
      <c r="AU347" s="114" t="s">
        <v>63</v>
      </c>
      <c r="AY347" s="107" t="s">
        <v>228</v>
      </c>
      <c r="BK347" s="115">
        <f>SUM(BK348:BK349)</f>
        <v>7901.17</v>
      </c>
    </row>
    <row r="348" spans="2:65" s="1" customFormat="1" ht="16.5" customHeight="1" x14ac:dyDescent="0.2">
      <c r="B348" s="118"/>
      <c r="C348" s="1070" t="s">
        <v>736</v>
      </c>
      <c r="D348" s="119" t="s">
        <v>231</v>
      </c>
      <c r="E348" s="120" t="s">
        <v>885</v>
      </c>
      <c r="F348" s="121" t="s">
        <v>886</v>
      </c>
      <c r="G348" s="122" t="s">
        <v>284</v>
      </c>
      <c r="H348" s="1071">
        <v>924.92200000000003</v>
      </c>
      <c r="I348" s="124">
        <v>2.3199999999999998</v>
      </c>
      <c r="J348" s="124">
        <f>ROUND(I348*H348,2)</f>
        <v>2145.8200000000002</v>
      </c>
      <c r="K348" s="121" t="s">
        <v>1</v>
      </c>
      <c r="L348" s="24"/>
      <c r="M348" s="125" t="s">
        <v>1</v>
      </c>
      <c r="N348" s="126" t="s">
        <v>32</v>
      </c>
      <c r="O348" s="127">
        <v>6.4000000000000001E-2</v>
      </c>
      <c r="P348" s="127">
        <f>O348*H348</f>
        <v>59.195008000000001</v>
      </c>
      <c r="Q348" s="127">
        <v>0</v>
      </c>
      <c r="R348" s="127">
        <f>Q348*H348</f>
        <v>0</v>
      </c>
      <c r="S348" s="127">
        <v>0</v>
      </c>
      <c r="T348" s="128">
        <f>S348*H348</f>
        <v>0</v>
      </c>
      <c r="W348" s="199"/>
      <c r="X348" s="1070" t="s">
        <v>736</v>
      </c>
      <c r="Y348" s="119" t="s">
        <v>231</v>
      </c>
      <c r="Z348" s="120" t="s">
        <v>885</v>
      </c>
      <c r="AA348" s="121" t="s">
        <v>886</v>
      </c>
      <c r="AB348" s="122" t="s">
        <v>284</v>
      </c>
      <c r="AC348" s="1071">
        <f>924.922+298.32</f>
        <v>1223.242</v>
      </c>
      <c r="AD348" s="124">
        <v>2.3199999999999998</v>
      </c>
      <c r="AE348" s="200">
        <f>ROUND(AD348*AC348,2)</f>
        <v>2837.92</v>
      </c>
      <c r="AF348" s="956" t="s">
        <v>5478</v>
      </c>
      <c r="AR348" s="129" t="s">
        <v>235</v>
      </c>
      <c r="AT348" s="129" t="s">
        <v>231</v>
      </c>
      <c r="AU348" s="129" t="s">
        <v>76</v>
      </c>
      <c r="AY348" s="13" t="s">
        <v>228</v>
      </c>
      <c r="BE348" s="130">
        <f>IF(N348="základná",J348,0)</f>
        <v>0</v>
      </c>
      <c r="BF348" s="130">
        <f>IF(N348="znížená",J348,0)</f>
        <v>2145.8200000000002</v>
      </c>
      <c r="BG348" s="130">
        <f>IF(N348="zákl. prenesená",J348,0)</f>
        <v>0</v>
      </c>
      <c r="BH348" s="130">
        <f>IF(N348="zníž. prenesená",J348,0)</f>
        <v>0</v>
      </c>
      <c r="BI348" s="130">
        <f>IF(N348="nulová",J348,0)</f>
        <v>0</v>
      </c>
      <c r="BJ348" s="13" t="s">
        <v>76</v>
      </c>
      <c r="BK348" s="130">
        <f>ROUND(I348*H348,2)</f>
        <v>2145.8200000000002</v>
      </c>
      <c r="BL348" s="13" t="s">
        <v>235</v>
      </c>
      <c r="BM348" s="129" t="s">
        <v>746</v>
      </c>
    </row>
    <row r="349" spans="2:65" s="1" customFormat="1" ht="24" customHeight="1" x14ac:dyDescent="0.2">
      <c r="B349" s="118"/>
      <c r="C349" s="1070" t="s">
        <v>483</v>
      </c>
      <c r="D349" s="119" t="s">
        <v>231</v>
      </c>
      <c r="E349" s="120" t="s">
        <v>888</v>
      </c>
      <c r="F349" s="121" t="s">
        <v>889</v>
      </c>
      <c r="G349" s="122" t="s">
        <v>284</v>
      </c>
      <c r="H349" s="1071">
        <v>1102.557</v>
      </c>
      <c r="I349" s="124">
        <v>5.22</v>
      </c>
      <c r="J349" s="124">
        <f>ROUND(I349*H349,2)</f>
        <v>5755.35</v>
      </c>
      <c r="K349" s="121" t="s">
        <v>1</v>
      </c>
      <c r="L349" s="24"/>
      <c r="M349" s="140" t="s">
        <v>1</v>
      </c>
      <c r="N349" s="141" t="s">
        <v>32</v>
      </c>
      <c r="O349" s="142">
        <v>0</v>
      </c>
      <c r="P349" s="142">
        <f>O349*H349</f>
        <v>0</v>
      </c>
      <c r="Q349" s="142">
        <v>0</v>
      </c>
      <c r="R349" s="142">
        <f>Q349*H349</f>
        <v>0</v>
      </c>
      <c r="S349" s="142">
        <v>0</v>
      </c>
      <c r="T349" s="143">
        <f>S349*H349</f>
        <v>0</v>
      </c>
      <c r="W349" s="199"/>
      <c r="X349" s="1070" t="s">
        <v>483</v>
      </c>
      <c r="Y349" s="119" t="s">
        <v>231</v>
      </c>
      <c r="Z349" s="120" t="s">
        <v>888</v>
      </c>
      <c r="AA349" s="121" t="s">
        <v>889</v>
      </c>
      <c r="AB349" s="122" t="s">
        <v>284</v>
      </c>
      <c r="AC349" s="1071">
        <f>1102.557+88.7</f>
        <v>1191.2570000000001</v>
      </c>
      <c r="AD349" s="124">
        <v>5.22</v>
      </c>
      <c r="AE349" s="200">
        <f>ROUND(AD349*AC349,2)</f>
        <v>6218.36</v>
      </c>
      <c r="AF349" s="956" t="s">
        <v>5482</v>
      </c>
      <c r="AR349" s="129" t="s">
        <v>235</v>
      </c>
      <c r="AT349" s="129" t="s">
        <v>231</v>
      </c>
      <c r="AU349" s="129" t="s">
        <v>76</v>
      </c>
      <c r="AY349" s="13" t="s">
        <v>228</v>
      </c>
      <c r="BE349" s="130">
        <f>IF(N349="základná",J349,0)</f>
        <v>0</v>
      </c>
      <c r="BF349" s="130">
        <f>IF(N349="znížená",J349,0)</f>
        <v>5755.35</v>
      </c>
      <c r="BG349" s="130">
        <f>IF(N349="zákl. prenesená",J349,0)</f>
        <v>0</v>
      </c>
      <c r="BH349" s="130">
        <f>IF(N349="zníž. prenesená",J349,0)</f>
        <v>0</v>
      </c>
      <c r="BI349" s="130">
        <f>IF(N349="nulová",J349,0)</f>
        <v>0</v>
      </c>
      <c r="BJ349" s="13" t="s">
        <v>76</v>
      </c>
      <c r="BK349" s="130">
        <f>ROUND(I349*H349,2)</f>
        <v>5755.35</v>
      </c>
      <c r="BL349" s="13" t="s">
        <v>235</v>
      </c>
      <c r="BM349" s="129" t="s">
        <v>749</v>
      </c>
    </row>
    <row r="350" spans="2:65" s="1" customFormat="1" ht="7.05" customHeight="1" x14ac:dyDescent="0.2">
      <c r="B350" s="33"/>
      <c r="C350" s="34"/>
      <c r="D350" s="34"/>
      <c r="E350" s="34"/>
      <c r="F350" s="34"/>
      <c r="G350" s="34"/>
      <c r="H350" s="34"/>
      <c r="I350" s="34"/>
      <c r="J350" s="34"/>
      <c r="K350" s="34"/>
      <c r="L350" s="24"/>
      <c r="W350" s="175"/>
      <c r="X350" s="176"/>
      <c r="Y350" s="176"/>
      <c r="Z350" s="176"/>
      <c r="AA350" s="176"/>
      <c r="AB350" s="176"/>
      <c r="AC350" s="176"/>
      <c r="AD350" s="176"/>
      <c r="AE350" s="177"/>
    </row>
  </sheetData>
  <autoFilter ref="C137:K349" xr:uid="{00000000-0009-0000-0000-00001C000000}"/>
  <mergeCells count="71">
    <mergeCell ref="Z127:AE127"/>
    <mergeCell ref="Z128:AC128"/>
    <mergeCell ref="Z130:AC130"/>
    <mergeCell ref="C318:J318"/>
    <mergeCell ref="C238:J238"/>
    <mergeCell ref="C239:J239"/>
    <mergeCell ref="C307:J307"/>
    <mergeCell ref="C311:J311"/>
    <mergeCell ref="C312:J312"/>
    <mergeCell ref="C143:J143"/>
    <mergeCell ref="C146:J146"/>
    <mergeCell ref="C147:J147"/>
    <mergeCell ref="C148:J148"/>
    <mergeCell ref="C163:J163"/>
    <mergeCell ref="C164:J164"/>
    <mergeCell ref="C250:J250"/>
    <mergeCell ref="X82:AE82"/>
    <mergeCell ref="Z84:AE84"/>
    <mergeCell ref="Z85:AC85"/>
    <mergeCell ref="Z87:AC87"/>
    <mergeCell ref="X125:AE125"/>
    <mergeCell ref="E87:H87"/>
    <mergeCell ref="E128:H128"/>
    <mergeCell ref="E130:H130"/>
    <mergeCell ref="C125:J125"/>
    <mergeCell ref="E127:J127"/>
    <mergeCell ref="X4:AE4"/>
    <mergeCell ref="AA6:AE7"/>
    <mergeCell ref="Z9:AC9"/>
    <mergeCell ref="Z18:AC18"/>
    <mergeCell ref="Z27:AC27"/>
    <mergeCell ref="L2:V2"/>
    <mergeCell ref="E9:H9"/>
    <mergeCell ref="E18:H18"/>
    <mergeCell ref="E27:H27"/>
    <mergeCell ref="E85:H85"/>
    <mergeCell ref="C4:J4"/>
    <mergeCell ref="F6:J7"/>
    <mergeCell ref="C82:J82"/>
    <mergeCell ref="E84:J84"/>
    <mergeCell ref="C165:J165"/>
    <mergeCell ref="C166:J166"/>
    <mergeCell ref="C167:J167"/>
    <mergeCell ref="C168:J168"/>
    <mergeCell ref="C178:J178"/>
    <mergeCell ref="C191:J191"/>
    <mergeCell ref="C196:J196"/>
    <mergeCell ref="C198:J198"/>
    <mergeCell ref="C208:J208"/>
    <mergeCell ref="C215:J215"/>
    <mergeCell ref="C217:J217"/>
    <mergeCell ref="C227:J227"/>
    <mergeCell ref="C228:J228"/>
    <mergeCell ref="C229:J229"/>
    <mergeCell ref="C230:J230"/>
    <mergeCell ref="C235:J235"/>
    <mergeCell ref="C242:J242"/>
    <mergeCell ref="C246:J246"/>
    <mergeCell ref="C249:J249"/>
    <mergeCell ref="C271:J271"/>
    <mergeCell ref="C251:J251"/>
    <mergeCell ref="C299:J299"/>
    <mergeCell ref="C300:J300"/>
    <mergeCell ref="C301:J301"/>
    <mergeCell ref="C336:J336"/>
    <mergeCell ref="C282:J282"/>
    <mergeCell ref="C290:J290"/>
    <mergeCell ref="C291:J291"/>
    <mergeCell ref="C292:J292"/>
    <mergeCell ref="C298:J298"/>
    <mergeCell ref="C314:J314"/>
  </mergeCells>
  <pageMargins left="0.39374999999999999" right="0.39374999999999999" top="0.39374999999999999" bottom="0.39374999999999999" header="0" footer="0"/>
  <pageSetup paperSize="9" scale="89" fitToHeight="100" orientation="portrait" blackAndWhite="1" r:id="rId1"/>
  <headerFooter>
    <oddFooter>&amp;CStrana &amp;P z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pageSetUpPr fitToPage="1"/>
  </sheetPr>
  <dimension ref="A1:BM259"/>
  <sheetViews>
    <sheetView showGridLines="0" topLeftCell="A82" zoomScale="80" zoomScaleNormal="80" workbookViewId="0">
      <selection activeCell="AE97" activeCellId="1" sqref="AE104 AE97"/>
    </sheetView>
  </sheetViews>
  <sheetFormatPr defaultColWidth="8.7109375" defaultRowHeight="10.199999999999999" x14ac:dyDescent="0.2"/>
  <cols>
    <col min="1" max="1" width="8.28515625" customWidth="1"/>
    <col min="2" max="2" width="1.7109375" customWidth="1"/>
    <col min="3" max="4" width="4.28515625" customWidth="1"/>
    <col min="5" max="5" width="17.28515625" customWidth="1"/>
    <col min="6" max="6" width="50.7109375" customWidth="1"/>
    <col min="7" max="7" width="7" customWidth="1"/>
    <col min="8" max="8" width="11.42578125" customWidth="1"/>
    <col min="9" max="10" width="20.28515625" customWidth="1"/>
    <col min="11" max="11" width="20.28515625" hidden="1" customWidth="1"/>
    <col min="12" max="12" width="9.28515625" customWidth="1"/>
    <col min="13" max="13" width="10.7109375" hidden="1" customWidth="1"/>
    <col min="14" max="14" width="9.28515625" hidden="1"/>
    <col min="15" max="20" width="14.28515625" hidden="1" customWidth="1"/>
    <col min="21" max="21" width="16.28515625" hidden="1" customWidth="1"/>
    <col min="22" max="22" width="12.28515625" customWidth="1"/>
    <col min="23" max="23" width="1.7109375" style="402" customWidth="1"/>
    <col min="24" max="24" width="5.42578125" style="402" customWidth="1"/>
    <col min="25" max="25" width="4.28515625" style="402" customWidth="1"/>
    <col min="26" max="26" width="17.28515625" style="402" customWidth="1"/>
    <col min="27" max="27" width="50.7109375" style="402" customWidth="1"/>
    <col min="28" max="28" width="7" style="402" customWidth="1"/>
    <col min="29" max="29" width="11.42578125" style="402" customWidth="1"/>
    <col min="30" max="31" width="20.28515625" style="402" customWidth="1"/>
    <col min="32" max="32" width="12.42578125" customWidth="1"/>
    <col min="35" max="35" width="9.28515625" style="393"/>
    <col min="44" max="65" width="9.28515625" hidden="1"/>
  </cols>
  <sheetData>
    <row r="1" spans="1:46" x14ac:dyDescent="0.2">
      <c r="A1" s="73"/>
    </row>
    <row r="2" spans="1:46" ht="37.049999999999997" customHeight="1" x14ac:dyDescent="0.2">
      <c r="L2" s="1227" t="s">
        <v>5</v>
      </c>
      <c r="M2" s="1225"/>
      <c r="N2" s="1225"/>
      <c r="O2" s="1225"/>
      <c r="P2" s="1225"/>
      <c r="Q2" s="1225"/>
      <c r="R2" s="1225"/>
      <c r="S2" s="1225"/>
      <c r="T2" s="1225"/>
      <c r="U2" s="1225"/>
      <c r="V2" s="1225"/>
      <c r="AT2" s="13" t="s">
        <v>67</v>
      </c>
    </row>
    <row r="3" spans="1:46" ht="7.05" customHeight="1" x14ac:dyDescent="0.2">
      <c r="B3" s="14"/>
      <c r="C3" s="15"/>
      <c r="D3" s="15"/>
      <c r="E3" s="15"/>
      <c r="F3" s="15"/>
      <c r="G3" s="15"/>
      <c r="H3" s="15"/>
      <c r="I3" s="15"/>
      <c r="J3" s="15"/>
      <c r="K3" s="15"/>
      <c r="L3" s="16"/>
      <c r="W3" s="152"/>
      <c r="X3" s="153"/>
      <c r="Y3" s="153"/>
      <c r="Z3" s="153"/>
      <c r="AA3" s="153"/>
      <c r="AB3" s="153"/>
      <c r="AC3" s="153"/>
      <c r="AD3" s="153"/>
      <c r="AE3" s="154"/>
      <c r="AT3" s="13" t="s">
        <v>58</v>
      </c>
    </row>
    <row r="4" spans="1:46" ht="25.05" customHeight="1" x14ac:dyDescent="0.2">
      <c r="B4" s="16"/>
      <c r="D4" s="1165" t="s">
        <v>185</v>
      </c>
      <c r="E4" s="1165"/>
      <c r="F4" s="1165"/>
      <c r="G4" s="1165"/>
      <c r="H4" s="1165"/>
      <c r="I4" s="1165"/>
      <c r="J4" s="1165"/>
      <c r="L4" s="16"/>
      <c r="M4" s="74" t="s">
        <v>9</v>
      </c>
      <c r="W4" s="155"/>
      <c r="X4" s="156"/>
      <c r="Y4" s="1237" t="s">
        <v>185</v>
      </c>
      <c r="Z4" s="1237"/>
      <c r="AA4" s="1237"/>
      <c r="AB4" s="1237"/>
      <c r="AC4" s="1237"/>
      <c r="AD4" s="1237"/>
      <c r="AE4" s="1238"/>
      <c r="AT4" s="13" t="s">
        <v>3</v>
      </c>
    </row>
    <row r="5" spans="1:46" ht="7.05" customHeight="1" x14ac:dyDescent="0.2">
      <c r="B5" s="16"/>
      <c r="L5" s="16"/>
      <c r="W5" s="155"/>
      <c r="X5" s="156"/>
      <c r="Y5" s="156"/>
      <c r="Z5" s="156"/>
      <c r="AA5" s="156"/>
      <c r="AB5" s="156"/>
      <c r="AC5" s="156"/>
      <c r="AD5" s="156"/>
      <c r="AE5" s="157"/>
    </row>
    <row r="6" spans="1:46" ht="12" customHeight="1" x14ac:dyDescent="0.2">
      <c r="B6" s="16"/>
      <c r="D6" s="548" t="s">
        <v>12</v>
      </c>
      <c r="F6" s="1254" t="s">
        <v>6176</v>
      </c>
      <c r="G6" s="1254"/>
      <c r="H6" s="1254"/>
      <c r="I6" s="1254"/>
      <c r="J6" s="1254"/>
      <c r="L6" s="16"/>
      <c r="W6" s="155"/>
      <c r="X6" s="156"/>
      <c r="Y6" s="541" t="s">
        <v>12</v>
      </c>
      <c r="Z6" s="156"/>
      <c r="AA6" s="1239" t="s">
        <v>6176</v>
      </c>
      <c r="AB6" s="1239"/>
      <c r="AC6" s="1239"/>
      <c r="AD6" s="1239"/>
      <c r="AE6" s="1240"/>
    </row>
    <row r="7" spans="1:46" ht="23.55" customHeight="1" x14ac:dyDescent="0.2">
      <c r="B7" s="16"/>
      <c r="D7" s="527"/>
      <c r="E7" s="531"/>
      <c r="F7" s="1254"/>
      <c r="G7" s="1254"/>
      <c r="H7" s="1254"/>
      <c r="I7" s="1254"/>
      <c r="J7" s="1254"/>
      <c r="L7" s="16"/>
      <c r="W7" s="155"/>
      <c r="X7" s="156"/>
      <c r="Y7" s="539"/>
      <c r="Z7" s="245"/>
      <c r="AA7" s="1239"/>
      <c r="AB7" s="1239"/>
      <c r="AC7" s="1239"/>
      <c r="AD7" s="1239"/>
      <c r="AE7" s="1240"/>
    </row>
    <row r="8" spans="1:46" s="1" customFormat="1" ht="12" customHeight="1" x14ac:dyDescent="0.2">
      <c r="B8" s="24"/>
      <c r="D8" s="549" t="s">
        <v>186</v>
      </c>
      <c r="F8" s="532" t="s">
        <v>891</v>
      </c>
      <c r="L8" s="24"/>
      <c r="W8" s="158"/>
      <c r="X8" s="404"/>
      <c r="Y8" s="550" t="s">
        <v>186</v>
      </c>
      <c r="Z8" s="557"/>
      <c r="AA8" s="555" t="s">
        <v>891</v>
      </c>
      <c r="AB8" s="557"/>
      <c r="AC8" s="557"/>
      <c r="AD8" s="557"/>
      <c r="AE8" s="159"/>
      <c r="AI8" s="130"/>
    </row>
    <row r="9" spans="1:46" s="1" customFormat="1" ht="37.049999999999997" customHeight="1" x14ac:dyDescent="0.2">
      <c r="B9" s="24"/>
      <c r="E9" s="1251"/>
      <c r="F9" s="1252"/>
      <c r="G9" s="1252"/>
      <c r="H9" s="1252"/>
      <c r="L9" s="24"/>
      <c r="W9" s="158"/>
      <c r="X9" s="404"/>
      <c r="Y9" s="557"/>
      <c r="Z9" s="1245"/>
      <c r="AA9" s="1246"/>
      <c r="AB9" s="1246"/>
      <c r="AC9" s="1246"/>
      <c r="AD9" s="557"/>
      <c r="AE9" s="159"/>
      <c r="AI9" s="130"/>
    </row>
    <row r="10" spans="1:46" s="1" customFormat="1" x14ac:dyDescent="0.2">
      <c r="B10" s="24"/>
      <c r="L10" s="24"/>
      <c r="W10" s="158"/>
      <c r="X10" s="404"/>
      <c r="Y10" s="557"/>
      <c r="Z10" s="557"/>
      <c r="AA10" s="557"/>
      <c r="AB10" s="557"/>
      <c r="AC10" s="557"/>
      <c r="AD10" s="557"/>
      <c r="AE10" s="159"/>
      <c r="AI10" s="130"/>
    </row>
    <row r="11" spans="1:46" s="1" customFormat="1" ht="12" customHeight="1" x14ac:dyDescent="0.2">
      <c r="B11" s="24"/>
      <c r="D11" s="528" t="s">
        <v>13</v>
      </c>
      <c r="F11" s="19" t="s">
        <v>1</v>
      </c>
      <c r="I11" s="528" t="s">
        <v>14</v>
      </c>
      <c r="J11" s="19" t="s">
        <v>1</v>
      </c>
      <c r="L11" s="24"/>
      <c r="W11" s="158"/>
      <c r="X11" s="404"/>
      <c r="Y11" s="538" t="s">
        <v>13</v>
      </c>
      <c r="Z11" s="557"/>
      <c r="AA11" s="558" t="s">
        <v>1</v>
      </c>
      <c r="AB11" s="557"/>
      <c r="AC11" s="557"/>
      <c r="AD11" s="538" t="s">
        <v>14</v>
      </c>
      <c r="AE11" s="161" t="s">
        <v>1</v>
      </c>
      <c r="AI11" s="130"/>
    </row>
    <row r="12" spans="1:46" s="1" customFormat="1" ht="12" customHeight="1" x14ac:dyDescent="0.2">
      <c r="B12" s="24"/>
      <c r="D12" s="528" t="s">
        <v>15</v>
      </c>
      <c r="F12" s="520" t="s">
        <v>6173</v>
      </c>
      <c r="I12" s="528" t="s">
        <v>17</v>
      </c>
      <c r="J12" s="39"/>
      <c r="L12" s="24"/>
      <c r="W12" s="158"/>
      <c r="X12" s="404"/>
      <c r="Y12" s="538" t="s">
        <v>15</v>
      </c>
      <c r="Z12" s="557"/>
      <c r="AA12" s="558" t="s">
        <v>6173</v>
      </c>
      <c r="AB12" s="557"/>
      <c r="AC12" s="557"/>
      <c r="AD12" s="538" t="s">
        <v>17</v>
      </c>
      <c r="AE12" s="162"/>
      <c r="AI12" s="130"/>
    </row>
    <row r="13" spans="1:46" s="1" customFormat="1" ht="10.95" customHeight="1" x14ac:dyDescent="0.2">
      <c r="B13" s="24"/>
      <c r="D13" s="521"/>
      <c r="F13" s="521"/>
      <c r="I13" s="521"/>
      <c r="L13" s="24"/>
      <c r="W13" s="158"/>
      <c r="X13" s="404"/>
      <c r="Y13" s="557"/>
      <c r="Z13" s="557"/>
      <c r="AA13" s="557"/>
      <c r="AB13" s="557"/>
      <c r="AC13" s="557"/>
      <c r="AD13" s="557"/>
      <c r="AE13" s="159"/>
      <c r="AI13" s="130"/>
    </row>
    <row r="14" spans="1:46" s="1" customFormat="1" ht="12" customHeight="1" x14ac:dyDescent="0.2">
      <c r="B14" s="24"/>
      <c r="D14" s="528" t="s">
        <v>18</v>
      </c>
      <c r="F14" s="529" t="s">
        <v>6175</v>
      </c>
      <c r="I14" s="528" t="s">
        <v>19</v>
      </c>
      <c r="J14" s="19" t="str">
        <f>IF('Rekapitulácia stavby'!AN10="","",'Rekapitulácia stavby'!AN10)</f>
        <v/>
      </c>
      <c r="L14" s="24"/>
      <c r="W14" s="158"/>
      <c r="X14" s="404"/>
      <c r="Y14" s="538" t="s">
        <v>18</v>
      </c>
      <c r="Z14" s="557"/>
      <c r="AA14" s="576" t="s">
        <v>6175</v>
      </c>
      <c r="AB14" s="557"/>
      <c r="AC14" s="557"/>
      <c r="AD14" s="538" t="s">
        <v>19</v>
      </c>
      <c r="AE14" s="161" t="str">
        <f>IF('Rekapitulácia stavby'!BI10="","",'Rekapitulácia stavby'!BI10)</f>
        <v/>
      </c>
      <c r="AI14" s="130"/>
    </row>
    <row r="15" spans="1:46" s="1" customFormat="1" ht="18" customHeight="1" x14ac:dyDescent="0.2">
      <c r="B15" s="24"/>
      <c r="D15" s="521"/>
      <c r="E15" s="19" t="str">
        <f>IF('Rekapitulácia stavby'!E11="","",'Rekapitulácia stavby'!E11)</f>
        <v/>
      </c>
      <c r="F15" s="521"/>
      <c r="I15" s="528" t="s">
        <v>20</v>
      </c>
      <c r="J15" s="19" t="str">
        <f>IF('Rekapitulácia stavby'!AN11="","",'Rekapitulácia stavby'!AN11)</f>
        <v/>
      </c>
      <c r="L15" s="24"/>
      <c r="W15" s="158"/>
      <c r="X15" s="404"/>
      <c r="Y15" s="557"/>
      <c r="Z15" s="558" t="str">
        <f>IF('Rekapitulácia stavby'!Z11="","",'Rekapitulácia stavby'!Z11)</f>
        <v/>
      </c>
      <c r="AA15" s="557"/>
      <c r="AB15" s="557"/>
      <c r="AC15" s="557"/>
      <c r="AD15" s="538" t="s">
        <v>20</v>
      </c>
      <c r="AE15" s="161" t="str">
        <f>IF('Rekapitulácia stavby'!BI11="","",'Rekapitulácia stavby'!BI11)</f>
        <v/>
      </c>
      <c r="AI15" s="130"/>
    </row>
    <row r="16" spans="1:46" s="1" customFormat="1" ht="7.05" customHeight="1" x14ac:dyDescent="0.2">
      <c r="B16" s="24"/>
      <c r="D16" s="521"/>
      <c r="F16" s="521"/>
      <c r="I16" s="521"/>
      <c r="L16" s="24"/>
      <c r="W16" s="158"/>
      <c r="X16" s="404"/>
      <c r="Y16" s="557"/>
      <c r="Z16" s="557"/>
      <c r="AA16" s="557"/>
      <c r="AB16" s="557"/>
      <c r="AC16" s="557"/>
      <c r="AD16" s="557"/>
      <c r="AE16" s="159"/>
      <c r="AI16" s="130"/>
    </row>
    <row r="17" spans="2:35" s="1" customFormat="1" ht="12" customHeight="1" x14ac:dyDescent="0.2">
      <c r="B17" s="24"/>
      <c r="D17" s="528" t="s">
        <v>21</v>
      </c>
      <c r="F17" s="529" t="s">
        <v>5202</v>
      </c>
      <c r="I17" s="528" t="s">
        <v>19</v>
      </c>
      <c r="J17" s="19"/>
      <c r="L17" s="24"/>
      <c r="W17" s="158"/>
      <c r="X17" s="404"/>
      <c r="Y17" s="538" t="s">
        <v>21</v>
      </c>
      <c r="Z17" s="557"/>
      <c r="AA17" s="576" t="s">
        <v>5202</v>
      </c>
      <c r="AB17" s="557"/>
      <c r="AC17" s="557"/>
      <c r="AD17" s="538" t="s">
        <v>19</v>
      </c>
      <c r="AE17" s="161"/>
      <c r="AI17" s="130"/>
    </row>
    <row r="18" spans="2:35" s="1" customFormat="1" ht="18" customHeight="1" x14ac:dyDescent="0.2">
      <c r="B18" s="24"/>
      <c r="D18" s="521"/>
      <c r="E18" s="1161"/>
      <c r="F18" s="1161"/>
      <c r="G18" s="1161"/>
      <c r="H18" s="1161"/>
      <c r="I18" s="528" t="s">
        <v>20</v>
      </c>
      <c r="J18" s="19" t="str">
        <f>'Rekapitulácia stavby'!AN14</f>
        <v/>
      </c>
      <c r="L18" s="24"/>
      <c r="W18" s="158"/>
      <c r="X18" s="404"/>
      <c r="Y18" s="557"/>
      <c r="Z18" s="1247"/>
      <c r="AA18" s="1247"/>
      <c r="AB18" s="1247"/>
      <c r="AC18" s="1247"/>
      <c r="AD18" s="538" t="s">
        <v>20</v>
      </c>
      <c r="AE18" s="161"/>
      <c r="AI18" s="130"/>
    </row>
    <row r="19" spans="2:35" s="1" customFormat="1" ht="7.05" customHeight="1" x14ac:dyDescent="0.2">
      <c r="B19" s="24"/>
      <c r="D19" s="521"/>
      <c r="I19" s="521"/>
      <c r="L19" s="24"/>
      <c r="W19" s="158"/>
      <c r="X19" s="404"/>
      <c r="Y19" s="557"/>
      <c r="Z19" s="557"/>
      <c r="AA19" s="557"/>
      <c r="AB19" s="557"/>
      <c r="AC19" s="557"/>
      <c r="AD19" s="557"/>
      <c r="AE19" s="159"/>
      <c r="AI19" s="130"/>
    </row>
    <row r="20" spans="2:35" s="1" customFormat="1" ht="12" customHeight="1" x14ac:dyDescent="0.2">
      <c r="B20" s="24"/>
      <c r="D20" s="528" t="s">
        <v>22</v>
      </c>
      <c r="I20" s="528" t="s">
        <v>19</v>
      </c>
      <c r="J20" s="19" t="str">
        <f>IF('Rekapitulácia stavby'!AN16="","",'Rekapitulácia stavby'!AN16)</f>
        <v/>
      </c>
      <c r="L20" s="24"/>
      <c r="W20" s="158"/>
      <c r="X20" s="404"/>
      <c r="Y20" s="538" t="s">
        <v>22</v>
      </c>
      <c r="Z20" s="557"/>
      <c r="AA20" s="557"/>
      <c r="AB20" s="557"/>
      <c r="AC20" s="557"/>
      <c r="AD20" s="538" t="s">
        <v>19</v>
      </c>
      <c r="AE20" s="161" t="str">
        <f>IF('Rekapitulácia stavby'!BI16="","",'Rekapitulácia stavby'!BI16)</f>
        <v/>
      </c>
      <c r="AI20" s="130"/>
    </row>
    <row r="21" spans="2:35" s="1" customFormat="1" ht="18" customHeight="1" x14ac:dyDescent="0.2">
      <c r="B21" s="24"/>
      <c r="D21" s="521"/>
      <c r="E21" s="19" t="str">
        <f>IF('Rekapitulácia stavby'!E17="","",'Rekapitulácia stavby'!E17)</f>
        <v xml:space="preserve"> </v>
      </c>
      <c r="I21" s="528" t="s">
        <v>20</v>
      </c>
      <c r="J21" s="19" t="str">
        <f>IF('Rekapitulácia stavby'!AN17="","",'Rekapitulácia stavby'!AN17)</f>
        <v/>
      </c>
      <c r="L21" s="24"/>
      <c r="W21" s="158"/>
      <c r="X21" s="404"/>
      <c r="Y21" s="557"/>
      <c r="Z21" s="558" t="str">
        <f>IF('Rekapitulácia stavby'!Z17="","",'Rekapitulácia stavby'!Z17)</f>
        <v/>
      </c>
      <c r="AA21" s="557"/>
      <c r="AB21" s="557"/>
      <c r="AC21" s="557"/>
      <c r="AD21" s="538" t="s">
        <v>20</v>
      </c>
      <c r="AE21" s="161" t="str">
        <f>IF('Rekapitulácia stavby'!BI17="","",'Rekapitulácia stavby'!BI17)</f>
        <v/>
      </c>
      <c r="AI21" s="130"/>
    </row>
    <row r="22" spans="2:35" s="1" customFormat="1" ht="7.05" customHeight="1" x14ac:dyDescent="0.2">
      <c r="B22" s="24"/>
      <c r="D22" s="521"/>
      <c r="I22" s="521"/>
      <c r="L22" s="24"/>
      <c r="W22" s="158"/>
      <c r="X22" s="404"/>
      <c r="Y22" s="557"/>
      <c r="Z22" s="557"/>
      <c r="AA22" s="557"/>
      <c r="AB22" s="557"/>
      <c r="AC22" s="557"/>
      <c r="AD22" s="557"/>
      <c r="AE22" s="159"/>
      <c r="AI22" s="130"/>
    </row>
    <row r="23" spans="2:35" s="1" customFormat="1" ht="12" customHeight="1" x14ac:dyDescent="0.2">
      <c r="B23" s="24"/>
      <c r="D23" s="528" t="s">
        <v>24</v>
      </c>
      <c r="I23" s="528" t="s">
        <v>19</v>
      </c>
      <c r="J23" s="19" t="str">
        <f>IF('Rekapitulácia stavby'!AN19="","",'Rekapitulácia stavby'!AN19)</f>
        <v/>
      </c>
      <c r="L23" s="24"/>
      <c r="W23" s="158"/>
      <c r="X23" s="404"/>
      <c r="Y23" s="538" t="s">
        <v>24</v>
      </c>
      <c r="Z23" s="557"/>
      <c r="AA23" s="557"/>
      <c r="AB23" s="557"/>
      <c r="AC23" s="557"/>
      <c r="AD23" s="538" t="s">
        <v>19</v>
      </c>
      <c r="AE23" s="161" t="str">
        <f>IF('Rekapitulácia stavby'!BI19="","",'Rekapitulácia stavby'!BI19)</f>
        <v/>
      </c>
      <c r="AI23" s="130"/>
    </row>
    <row r="24" spans="2:35" s="1" customFormat="1" ht="18" customHeight="1" x14ac:dyDescent="0.2">
      <c r="B24" s="24"/>
      <c r="D24" s="521"/>
      <c r="E24" s="19" t="str">
        <f>IF('Rekapitulácia stavby'!E20="","",'Rekapitulácia stavby'!E20)</f>
        <v xml:space="preserve"> </v>
      </c>
      <c r="I24" s="528" t="s">
        <v>20</v>
      </c>
      <c r="J24" s="19" t="str">
        <f>IF('Rekapitulácia stavby'!AN20="","",'Rekapitulácia stavby'!AN20)</f>
        <v/>
      </c>
      <c r="L24" s="24"/>
      <c r="W24" s="158"/>
      <c r="X24" s="404"/>
      <c r="Y24" s="557"/>
      <c r="Z24" s="558" t="str">
        <f>IF('Rekapitulácia stavby'!Z20="","",'Rekapitulácia stavby'!Z20)</f>
        <v/>
      </c>
      <c r="AA24" s="557"/>
      <c r="AB24" s="557"/>
      <c r="AC24" s="557"/>
      <c r="AD24" s="538" t="s">
        <v>20</v>
      </c>
      <c r="AE24" s="161" t="str">
        <f>IF('Rekapitulácia stavby'!BI20="","",'Rekapitulácia stavby'!BI20)</f>
        <v/>
      </c>
      <c r="AI24" s="130"/>
    </row>
    <row r="25" spans="2:35" s="1" customFormat="1" ht="7.05" customHeight="1" x14ac:dyDescent="0.2">
      <c r="B25" s="24"/>
      <c r="D25" s="521"/>
      <c r="L25" s="24"/>
      <c r="W25" s="158"/>
      <c r="X25" s="404"/>
      <c r="Y25" s="557"/>
      <c r="Z25" s="557"/>
      <c r="AA25" s="557"/>
      <c r="AB25" s="557"/>
      <c r="AC25" s="557"/>
      <c r="AD25" s="557"/>
      <c r="AE25" s="159"/>
      <c r="AI25" s="130"/>
    </row>
    <row r="26" spans="2:35" s="1" customFormat="1" ht="12" customHeight="1" x14ac:dyDescent="0.2">
      <c r="B26" s="24"/>
      <c r="D26" s="528" t="s">
        <v>25</v>
      </c>
      <c r="L26" s="24"/>
      <c r="W26" s="158"/>
      <c r="X26" s="404"/>
      <c r="Y26" s="538" t="s">
        <v>25</v>
      </c>
      <c r="Z26" s="557"/>
      <c r="AA26" s="557"/>
      <c r="AB26" s="557"/>
      <c r="AC26" s="557"/>
      <c r="AD26" s="557"/>
      <c r="AE26" s="159"/>
      <c r="AI26" s="130"/>
    </row>
    <row r="27" spans="2:35" s="7" customFormat="1" ht="16.5" customHeight="1" x14ac:dyDescent="0.2">
      <c r="B27" s="75"/>
      <c r="E27" s="1228" t="s">
        <v>1</v>
      </c>
      <c r="F27" s="1228"/>
      <c r="G27" s="1228"/>
      <c r="H27" s="1228"/>
      <c r="L27" s="75"/>
      <c r="W27" s="163"/>
      <c r="X27" s="164"/>
      <c r="Y27" s="164"/>
      <c r="Z27" s="1248" t="s">
        <v>1</v>
      </c>
      <c r="AA27" s="1248"/>
      <c r="AB27" s="1248"/>
      <c r="AC27" s="1248"/>
      <c r="AD27" s="164"/>
      <c r="AE27" s="165"/>
      <c r="AI27" s="394"/>
    </row>
    <row r="28" spans="2:35" s="1" customFormat="1" ht="7.05" customHeight="1" x14ac:dyDescent="0.2">
      <c r="B28" s="24"/>
      <c r="L28" s="24"/>
      <c r="W28" s="158"/>
      <c r="X28" s="404"/>
      <c r="Y28" s="557"/>
      <c r="Z28" s="557"/>
      <c r="AA28" s="557"/>
      <c r="AB28" s="557"/>
      <c r="AC28" s="557"/>
      <c r="AD28" s="557"/>
      <c r="AE28" s="159"/>
      <c r="AI28" s="130"/>
    </row>
    <row r="29" spans="2:35" s="1" customFormat="1" ht="7.05" customHeight="1" x14ac:dyDescent="0.2">
      <c r="B29" s="24"/>
      <c r="D29" s="40"/>
      <c r="E29" s="40"/>
      <c r="F29" s="40"/>
      <c r="G29" s="40"/>
      <c r="H29" s="40"/>
      <c r="I29" s="40"/>
      <c r="J29" s="40"/>
      <c r="K29" s="40"/>
      <c r="L29" s="24"/>
      <c r="W29" s="158"/>
      <c r="X29" s="404"/>
      <c r="Y29" s="40"/>
      <c r="Z29" s="40"/>
      <c r="AA29" s="40"/>
      <c r="AB29" s="40"/>
      <c r="AC29" s="40"/>
      <c r="AD29" s="40"/>
      <c r="AE29" s="166"/>
      <c r="AI29" s="130"/>
    </row>
    <row r="30" spans="2:35" s="1" customFormat="1" ht="25.2" customHeight="1" x14ac:dyDescent="0.2">
      <c r="B30" s="24"/>
      <c r="D30" s="76" t="s">
        <v>26</v>
      </c>
      <c r="J30" s="53">
        <f>ROUND(J130, 2)</f>
        <v>53422.83</v>
      </c>
      <c r="L30" s="24"/>
      <c r="W30" s="158"/>
      <c r="X30" s="404"/>
      <c r="Y30" s="167" t="s">
        <v>26</v>
      </c>
      <c r="Z30" s="557"/>
      <c r="AA30" s="557"/>
      <c r="AB30" s="557"/>
      <c r="AC30" s="557"/>
      <c r="AD30" s="557"/>
      <c r="AE30" s="168">
        <f>ROUND(AE130, 2)</f>
        <v>70626.8</v>
      </c>
      <c r="AI30" s="130"/>
    </row>
    <row r="31" spans="2:35" s="1" customFormat="1" ht="7.05" customHeight="1" x14ac:dyDescent="0.2">
      <c r="B31" s="24"/>
      <c r="D31" s="40"/>
      <c r="E31" s="40"/>
      <c r="F31" s="40"/>
      <c r="G31" s="40"/>
      <c r="H31" s="40"/>
      <c r="I31" s="40"/>
      <c r="J31" s="40"/>
      <c r="K31" s="40"/>
      <c r="L31" s="24"/>
      <c r="W31" s="158"/>
      <c r="X31" s="404"/>
      <c r="Y31" s="40"/>
      <c r="Z31" s="40"/>
      <c r="AA31" s="40"/>
      <c r="AB31" s="40"/>
      <c r="AC31" s="40"/>
      <c r="AD31" s="40"/>
      <c r="AE31" s="166"/>
      <c r="AI31" s="130"/>
    </row>
    <row r="32" spans="2:35" s="1" customFormat="1" ht="14.55" customHeight="1" x14ac:dyDescent="0.2">
      <c r="B32" s="24"/>
      <c r="E32" s="521"/>
      <c r="F32" s="534" t="s">
        <v>28</v>
      </c>
      <c r="G32" s="521"/>
      <c r="H32" s="521"/>
      <c r="I32" s="534" t="s">
        <v>27</v>
      </c>
      <c r="J32" s="534" t="s">
        <v>29</v>
      </c>
      <c r="L32" s="24"/>
      <c r="W32" s="158"/>
      <c r="X32" s="404"/>
      <c r="Y32" s="557"/>
      <c r="Z32" s="557"/>
      <c r="AA32" s="542" t="s">
        <v>28</v>
      </c>
      <c r="AB32" s="557"/>
      <c r="AC32" s="557"/>
      <c r="AD32" s="542" t="s">
        <v>27</v>
      </c>
      <c r="AE32" s="543" t="s">
        <v>29</v>
      </c>
      <c r="AI32" s="130"/>
    </row>
    <row r="33" spans="2:35" s="1" customFormat="1" ht="14.55" customHeight="1" x14ac:dyDescent="0.2">
      <c r="B33" s="24"/>
      <c r="D33" s="77" t="s">
        <v>30</v>
      </c>
      <c r="E33" s="528" t="s">
        <v>31</v>
      </c>
      <c r="F33" s="398">
        <f>ROUND((SUM(BE130:BE255)),  2)</f>
        <v>0</v>
      </c>
      <c r="G33" s="521"/>
      <c r="H33" s="521"/>
      <c r="I33" s="535">
        <v>0.2</v>
      </c>
      <c r="J33" s="398">
        <f>ROUND(((SUM(BE130:BE255))*I33),  2)</f>
        <v>0</v>
      </c>
      <c r="L33" s="24"/>
      <c r="W33" s="158"/>
      <c r="X33" s="404"/>
      <c r="Y33" s="544" t="s">
        <v>30</v>
      </c>
      <c r="Z33" s="538" t="s">
        <v>31</v>
      </c>
      <c r="AA33" s="545">
        <f>ROUND((SUM(BZ130:BZ255)),  2)</f>
        <v>0</v>
      </c>
      <c r="AB33" s="557"/>
      <c r="AC33" s="557"/>
      <c r="AD33" s="546">
        <v>0.2</v>
      </c>
      <c r="AE33" s="547">
        <f>ROUND(((SUM(BZ130:BZ255))*AD33),  2)</f>
        <v>0</v>
      </c>
      <c r="AI33" s="130"/>
    </row>
    <row r="34" spans="2:35" s="1" customFormat="1" ht="14.55" customHeight="1" x14ac:dyDescent="0.2">
      <c r="B34" s="24"/>
      <c r="E34" s="528" t="s">
        <v>32</v>
      </c>
      <c r="F34" s="398">
        <f>ROUND((SUM(BF130:BF255)),  2)</f>
        <v>53422.83</v>
      </c>
      <c r="G34" s="521"/>
      <c r="H34" s="521"/>
      <c r="I34" s="535">
        <v>0.2</v>
      </c>
      <c r="J34" s="398">
        <f>ROUND(((SUM(BF130:BF255))*I34),  2)</f>
        <v>10684.57</v>
      </c>
      <c r="L34" s="24"/>
      <c r="W34" s="158"/>
      <c r="X34" s="404"/>
      <c r="Y34" s="557"/>
      <c r="Z34" s="538" t="s">
        <v>32</v>
      </c>
      <c r="AA34" s="545">
        <f>AE30</f>
        <v>70626.8</v>
      </c>
      <c r="AB34" s="557"/>
      <c r="AC34" s="557"/>
      <c r="AD34" s="546">
        <v>0.2</v>
      </c>
      <c r="AE34" s="547">
        <f>AE30*0.2</f>
        <v>14125.36</v>
      </c>
      <c r="AI34" s="130"/>
    </row>
    <row r="35" spans="2:35" s="1" customFormat="1" ht="14.55" hidden="1" customHeight="1" x14ac:dyDescent="0.2">
      <c r="B35" s="24"/>
      <c r="E35" s="528" t="s">
        <v>33</v>
      </c>
      <c r="F35" s="398">
        <f>ROUND((SUM(BG130:BG255)),  2)</f>
        <v>0</v>
      </c>
      <c r="G35" s="521"/>
      <c r="H35" s="521"/>
      <c r="I35" s="535">
        <v>0.2</v>
      </c>
      <c r="J35" s="398">
        <f>0</f>
        <v>0</v>
      </c>
      <c r="L35" s="24"/>
      <c r="W35" s="158"/>
      <c r="X35" s="404"/>
      <c r="Y35" s="557"/>
      <c r="Z35" s="538" t="s">
        <v>33</v>
      </c>
      <c r="AA35" s="545">
        <f>ROUND((SUM(CB130:CB255)),  2)</f>
        <v>0</v>
      </c>
      <c r="AB35" s="557"/>
      <c r="AC35" s="557"/>
      <c r="AD35" s="546">
        <v>0.2</v>
      </c>
      <c r="AE35" s="547">
        <f>0</f>
        <v>0</v>
      </c>
      <c r="AI35" s="130"/>
    </row>
    <row r="36" spans="2:35" s="1" customFormat="1" ht="14.55" hidden="1" customHeight="1" x14ac:dyDescent="0.2">
      <c r="B36" s="24"/>
      <c r="E36" s="528" t="s">
        <v>34</v>
      </c>
      <c r="F36" s="398">
        <f>ROUND((SUM(BH130:BH255)),  2)</f>
        <v>0</v>
      </c>
      <c r="G36" s="521"/>
      <c r="H36" s="521"/>
      <c r="I36" s="535">
        <v>0.2</v>
      </c>
      <c r="J36" s="398">
        <f>0</f>
        <v>0</v>
      </c>
      <c r="L36" s="24"/>
      <c r="W36" s="158"/>
      <c r="X36" s="404"/>
      <c r="Y36" s="557"/>
      <c r="Z36" s="538" t="s">
        <v>34</v>
      </c>
      <c r="AA36" s="545">
        <f>ROUND((SUM(CC130:CC255)),  2)</f>
        <v>0</v>
      </c>
      <c r="AB36" s="557"/>
      <c r="AC36" s="557"/>
      <c r="AD36" s="546">
        <v>0.2</v>
      </c>
      <c r="AE36" s="547">
        <f>0</f>
        <v>0</v>
      </c>
      <c r="AI36" s="130"/>
    </row>
    <row r="37" spans="2:35" s="1" customFormat="1" ht="14.55" hidden="1" customHeight="1" x14ac:dyDescent="0.2">
      <c r="B37" s="24"/>
      <c r="E37" s="528" t="s">
        <v>35</v>
      </c>
      <c r="F37" s="398">
        <f>ROUND((SUM(BI130:BI255)),  2)</f>
        <v>0</v>
      </c>
      <c r="G37" s="521"/>
      <c r="H37" s="521"/>
      <c r="I37" s="535">
        <v>0</v>
      </c>
      <c r="J37" s="398">
        <f>0</f>
        <v>0</v>
      </c>
      <c r="L37" s="24"/>
      <c r="W37" s="158"/>
      <c r="X37" s="404"/>
      <c r="Y37" s="557"/>
      <c r="Z37" s="538" t="s">
        <v>35</v>
      </c>
      <c r="AA37" s="545">
        <f>ROUND((SUM(CD130:CD255)),  2)</f>
        <v>0</v>
      </c>
      <c r="AB37" s="557"/>
      <c r="AC37" s="557"/>
      <c r="AD37" s="546">
        <v>0</v>
      </c>
      <c r="AE37" s="547">
        <f>0</f>
        <v>0</v>
      </c>
      <c r="AI37" s="130"/>
    </row>
    <row r="38" spans="2:35" s="1" customFormat="1" ht="7.05" customHeight="1" x14ac:dyDescent="0.2">
      <c r="B38" s="24"/>
      <c r="E38" s="521"/>
      <c r="F38" s="521"/>
      <c r="G38" s="521"/>
      <c r="H38" s="521"/>
      <c r="I38" s="521"/>
      <c r="J38" s="521"/>
      <c r="L38" s="24"/>
      <c r="W38" s="158"/>
      <c r="X38" s="404"/>
      <c r="Y38" s="557"/>
      <c r="Z38" s="557"/>
      <c r="AA38" s="557"/>
      <c r="AB38" s="557"/>
      <c r="AC38" s="557"/>
      <c r="AD38" s="557"/>
      <c r="AE38" s="159"/>
      <c r="AI38" s="130"/>
    </row>
    <row r="39" spans="2:35" s="1" customFormat="1" ht="25.2" customHeight="1" x14ac:dyDescent="0.2">
      <c r="B39" s="24"/>
      <c r="C39" s="80"/>
      <c r="D39" s="81" t="s">
        <v>36</v>
      </c>
      <c r="E39" s="44"/>
      <c r="F39" s="44"/>
      <c r="G39" s="82" t="s">
        <v>37</v>
      </c>
      <c r="H39" s="83" t="s">
        <v>38</v>
      </c>
      <c r="I39" s="44"/>
      <c r="J39" s="84">
        <f>SUM(J30:J37)</f>
        <v>64107.4</v>
      </c>
      <c r="K39" s="85"/>
      <c r="L39" s="24"/>
      <c r="W39" s="158"/>
      <c r="X39" s="173"/>
      <c r="Y39" s="81" t="s">
        <v>36</v>
      </c>
      <c r="Z39" s="44"/>
      <c r="AA39" s="44"/>
      <c r="AB39" s="82" t="s">
        <v>37</v>
      </c>
      <c r="AC39" s="83" t="s">
        <v>38</v>
      </c>
      <c r="AD39" s="44"/>
      <c r="AE39" s="174">
        <f>SUM(AE30:AE37)</f>
        <v>84752.16</v>
      </c>
      <c r="AI39" s="130"/>
    </row>
    <row r="40" spans="2:35" s="1" customFormat="1" ht="14.55" customHeight="1" x14ac:dyDescent="0.2">
      <c r="B40" s="24"/>
      <c r="L40" s="24"/>
      <c r="W40" s="158"/>
      <c r="X40" s="404"/>
      <c r="Y40" s="557"/>
      <c r="Z40" s="557"/>
      <c r="AA40" s="557"/>
      <c r="AB40" s="557"/>
      <c r="AC40" s="557"/>
      <c r="AD40" s="557"/>
      <c r="AE40" s="159"/>
      <c r="AI40" s="130"/>
    </row>
    <row r="41" spans="2:35" ht="14.55" customHeight="1" x14ac:dyDescent="0.2">
      <c r="B41" s="16"/>
      <c r="L41" s="16"/>
      <c r="W41" s="155"/>
      <c r="X41" s="156"/>
      <c r="Y41" s="156"/>
      <c r="Z41" s="156"/>
      <c r="AA41" s="156"/>
      <c r="AB41" s="156"/>
      <c r="AC41" s="156"/>
      <c r="AD41" s="156"/>
      <c r="AE41" s="157"/>
    </row>
    <row r="42" spans="2:35" ht="14.55" customHeight="1" x14ac:dyDescent="0.2">
      <c r="B42" s="16"/>
      <c r="L42" s="16"/>
      <c r="W42" s="155"/>
      <c r="X42" s="156"/>
      <c r="Y42" s="156"/>
      <c r="Z42" s="156"/>
      <c r="AA42" s="156"/>
      <c r="AB42" s="156"/>
      <c r="AC42" s="156"/>
      <c r="AD42" s="156"/>
      <c r="AE42" s="157"/>
    </row>
    <row r="43" spans="2:35" ht="14.55" customHeight="1" x14ac:dyDescent="0.2">
      <c r="B43" s="16"/>
      <c r="L43" s="16"/>
      <c r="W43" s="155"/>
      <c r="X43" s="156"/>
      <c r="Y43" s="156"/>
      <c r="Z43" s="156"/>
      <c r="AA43" s="156"/>
      <c r="AB43" s="156"/>
      <c r="AC43" s="156"/>
      <c r="AD43" s="156"/>
      <c r="AE43" s="157"/>
    </row>
    <row r="44" spans="2:35" ht="14.55" customHeight="1" x14ac:dyDescent="0.2">
      <c r="B44" s="16"/>
      <c r="L44" s="16"/>
      <c r="W44" s="155"/>
      <c r="X44" s="156"/>
      <c r="Y44" s="156"/>
      <c r="Z44" s="156"/>
      <c r="AA44" s="156"/>
      <c r="AB44" s="156"/>
      <c r="AC44" s="156"/>
      <c r="AD44" s="156"/>
      <c r="AE44" s="157"/>
    </row>
    <row r="45" spans="2:35" ht="14.55" customHeight="1" x14ac:dyDescent="0.2">
      <c r="B45" s="16"/>
      <c r="L45" s="16"/>
      <c r="W45" s="155"/>
      <c r="X45" s="156"/>
      <c r="Y45" s="156"/>
      <c r="Z45" s="156"/>
      <c r="AA45" s="156"/>
      <c r="AB45" s="156"/>
      <c r="AC45" s="156"/>
      <c r="AD45" s="156"/>
      <c r="AE45" s="157"/>
    </row>
    <row r="46" spans="2:35" ht="14.55" customHeight="1" x14ac:dyDescent="0.2">
      <c r="B46" s="16"/>
      <c r="L46" s="16"/>
      <c r="W46" s="155"/>
      <c r="X46" s="156"/>
      <c r="Y46" s="156"/>
      <c r="Z46" s="156"/>
      <c r="AA46" s="156"/>
      <c r="AB46" s="156"/>
      <c r="AC46" s="156"/>
      <c r="AD46" s="156"/>
      <c r="AE46" s="157"/>
    </row>
    <row r="47" spans="2:35" ht="14.55" customHeight="1" x14ac:dyDescent="0.2">
      <c r="B47" s="16"/>
      <c r="L47" s="16"/>
      <c r="W47" s="155"/>
      <c r="X47" s="156"/>
      <c r="Y47" s="156"/>
      <c r="Z47" s="156"/>
      <c r="AA47" s="156"/>
      <c r="AB47" s="156"/>
      <c r="AC47" s="156"/>
      <c r="AD47" s="156"/>
      <c r="AE47" s="157"/>
    </row>
    <row r="48" spans="2:35" ht="14.55" customHeight="1" x14ac:dyDescent="0.2">
      <c r="B48" s="16"/>
      <c r="L48" s="16"/>
      <c r="W48" s="155"/>
      <c r="X48" s="156"/>
      <c r="Y48" s="156"/>
      <c r="Z48" s="156"/>
      <c r="AA48" s="156"/>
      <c r="AB48" s="156"/>
      <c r="AC48" s="156"/>
      <c r="AD48" s="156"/>
      <c r="AE48" s="157"/>
    </row>
    <row r="49" spans="2:35" ht="14.55" customHeight="1" x14ac:dyDescent="0.2">
      <c r="B49" s="16"/>
      <c r="D49" s="156"/>
      <c r="E49" s="156"/>
      <c r="F49" s="156"/>
      <c r="G49" s="156"/>
      <c r="H49" s="156"/>
      <c r="I49" s="156"/>
      <c r="J49" s="156"/>
      <c r="L49" s="16"/>
      <c r="W49" s="155"/>
      <c r="X49" s="156"/>
      <c r="Y49" s="156"/>
      <c r="Z49" s="156"/>
      <c r="AA49" s="156"/>
      <c r="AB49" s="156"/>
      <c r="AC49" s="156"/>
      <c r="AD49" s="156"/>
      <c r="AE49" s="157"/>
    </row>
    <row r="50" spans="2:35" s="1" customFormat="1" ht="14.55" customHeight="1" x14ac:dyDescent="0.2">
      <c r="B50" s="24"/>
      <c r="D50" s="530"/>
      <c r="E50" s="523"/>
      <c r="F50" s="523"/>
      <c r="G50" s="530"/>
      <c r="H50" s="523"/>
      <c r="I50" s="523"/>
      <c r="J50" s="523"/>
      <c r="K50" s="32"/>
      <c r="L50" s="24"/>
      <c r="W50" s="158"/>
      <c r="X50" s="404"/>
      <c r="Y50" s="530"/>
      <c r="Z50" s="557"/>
      <c r="AA50" s="557"/>
      <c r="AB50" s="530"/>
      <c r="AC50" s="557"/>
      <c r="AD50" s="557"/>
      <c r="AE50" s="159"/>
      <c r="AI50" s="130"/>
    </row>
    <row r="51" spans="2:35" x14ac:dyDescent="0.2">
      <c r="B51" s="16"/>
      <c r="D51" s="156"/>
      <c r="E51" s="156"/>
      <c r="F51" s="156"/>
      <c r="G51" s="156"/>
      <c r="H51" s="156"/>
      <c r="I51" s="156"/>
      <c r="J51" s="156"/>
      <c r="L51" s="16"/>
      <c r="W51" s="155"/>
      <c r="X51" s="156"/>
      <c r="Y51" s="156"/>
      <c r="Z51" s="156"/>
      <c r="AA51" s="156"/>
      <c r="AB51" s="156"/>
      <c r="AC51" s="156"/>
      <c r="AD51" s="156"/>
      <c r="AE51" s="157"/>
    </row>
    <row r="52" spans="2:35" x14ac:dyDescent="0.2">
      <c r="B52" s="16"/>
      <c r="D52" s="156"/>
      <c r="E52" s="156"/>
      <c r="F52" s="156"/>
      <c r="G52" s="156"/>
      <c r="H52" s="156"/>
      <c r="I52" s="156"/>
      <c r="J52" s="156"/>
      <c r="L52" s="16"/>
      <c r="W52" s="155"/>
      <c r="X52" s="156"/>
      <c r="Y52" s="156"/>
      <c r="Z52" s="156"/>
      <c r="AA52" s="156"/>
      <c r="AB52" s="156"/>
      <c r="AC52" s="156"/>
      <c r="AD52" s="156"/>
      <c r="AE52" s="157"/>
    </row>
    <row r="53" spans="2:35" x14ac:dyDescent="0.2">
      <c r="B53" s="16"/>
      <c r="D53" s="156"/>
      <c r="E53" s="156"/>
      <c r="F53" s="156"/>
      <c r="G53" s="156"/>
      <c r="H53" s="156"/>
      <c r="I53" s="156"/>
      <c r="J53" s="156"/>
      <c r="L53" s="16"/>
      <c r="W53" s="155"/>
      <c r="X53" s="156"/>
      <c r="Y53" s="156"/>
      <c r="Z53" s="156"/>
      <c r="AA53" s="156"/>
      <c r="AB53" s="156"/>
      <c r="AC53" s="156"/>
      <c r="AD53" s="156"/>
      <c r="AE53" s="157"/>
    </row>
    <row r="54" spans="2:35" x14ac:dyDescent="0.2">
      <c r="B54" s="16"/>
      <c r="D54" s="156"/>
      <c r="E54" s="156"/>
      <c r="F54" s="156"/>
      <c r="G54" s="156"/>
      <c r="H54" s="156"/>
      <c r="I54" s="156"/>
      <c r="J54" s="156"/>
      <c r="L54" s="16"/>
      <c r="W54" s="155"/>
      <c r="X54" s="156"/>
      <c r="Y54" s="156"/>
      <c r="Z54" s="156"/>
      <c r="AA54" s="156"/>
      <c r="AB54" s="156"/>
      <c r="AC54" s="156"/>
      <c r="AD54" s="156"/>
      <c r="AE54" s="157"/>
    </row>
    <row r="55" spans="2:35" x14ac:dyDescent="0.2">
      <c r="B55" s="16"/>
      <c r="D55" s="156"/>
      <c r="E55" s="156"/>
      <c r="F55" s="156"/>
      <c r="G55" s="156"/>
      <c r="H55" s="156"/>
      <c r="I55" s="156"/>
      <c r="J55" s="156"/>
      <c r="L55" s="16"/>
      <c r="W55" s="155"/>
      <c r="X55" s="156"/>
      <c r="Y55" s="156"/>
      <c r="Z55" s="156"/>
      <c r="AA55" s="156"/>
      <c r="AB55" s="156"/>
      <c r="AC55" s="156"/>
      <c r="AD55" s="156"/>
      <c r="AE55" s="157"/>
    </row>
    <row r="56" spans="2:35" x14ac:dyDescent="0.2">
      <c r="B56" s="16"/>
      <c r="D56" s="156"/>
      <c r="E56" s="156"/>
      <c r="F56" s="156"/>
      <c r="G56" s="156"/>
      <c r="H56" s="156"/>
      <c r="I56" s="156"/>
      <c r="J56" s="156"/>
      <c r="L56" s="16"/>
      <c r="W56" s="155"/>
      <c r="X56" s="156"/>
      <c r="Y56" s="156"/>
      <c r="Z56" s="156"/>
      <c r="AA56" s="156"/>
      <c r="AB56" s="156"/>
      <c r="AC56" s="156"/>
      <c r="AD56" s="156"/>
      <c r="AE56" s="157"/>
    </row>
    <row r="57" spans="2:35" x14ac:dyDescent="0.2">
      <c r="B57" s="16"/>
      <c r="D57" s="156"/>
      <c r="E57" s="156"/>
      <c r="F57" s="156"/>
      <c r="G57" s="156"/>
      <c r="H57" s="156"/>
      <c r="I57" s="156"/>
      <c r="J57" s="156"/>
      <c r="L57" s="16"/>
      <c r="W57" s="155"/>
      <c r="X57" s="156"/>
      <c r="Y57" s="156"/>
      <c r="Z57" s="156"/>
      <c r="AA57" s="156"/>
      <c r="AB57" s="156"/>
      <c r="AC57" s="156"/>
      <c r="AD57" s="156"/>
      <c r="AE57" s="157"/>
    </row>
    <row r="58" spans="2:35" x14ac:dyDescent="0.2">
      <c r="B58" s="16"/>
      <c r="D58" s="156"/>
      <c r="E58" s="156"/>
      <c r="F58" s="156"/>
      <c r="G58" s="156"/>
      <c r="H58" s="156"/>
      <c r="I58" s="156"/>
      <c r="J58" s="156"/>
      <c r="L58" s="16"/>
      <c r="W58" s="155"/>
      <c r="X58" s="156"/>
      <c r="Y58" s="156"/>
      <c r="Z58" s="156"/>
      <c r="AA58" s="156"/>
      <c r="AB58" s="156"/>
      <c r="AC58" s="156"/>
      <c r="AD58" s="156"/>
      <c r="AE58" s="157"/>
    </row>
    <row r="59" spans="2:35" x14ac:dyDescent="0.2">
      <c r="B59" s="16"/>
      <c r="D59" s="156"/>
      <c r="E59" s="156"/>
      <c r="F59" s="156"/>
      <c r="G59" s="156"/>
      <c r="H59" s="156"/>
      <c r="I59" s="156"/>
      <c r="J59" s="156"/>
      <c r="L59" s="16"/>
      <c r="W59" s="155"/>
      <c r="X59" s="156"/>
      <c r="Y59" s="156"/>
      <c r="Z59" s="156"/>
      <c r="AA59" s="156"/>
      <c r="AB59" s="156"/>
      <c r="AC59" s="156"/>
      <c r="AD59" s="156"/>
      <c r="AE59" s="157"/>
    </row>
    <row r="60" spans="2:35" x14ac:dyDescent="0.2">
      <c r="B60" s="16"/>
      <c r="D60" s="156"/>
      <c r="E60" s="156"/>
      <c r="F60" s="156"/>
      <c r="G60" s="156"/>
      <c r="H60" s="156"/>
      <c r="I60" s="156"/>
      <c r="J60" s="156"/>
      <c r="L60" s="16"/>
      <c r="W60" s="155"/>
      <c r="X60" s="156"/>
      <c r="Y60" s="156"/>
      <c r="Z60" s="156"/>
      <c r="AA60" s="156"/>
      <c r="AB60" s="156"/>
      <c r="AC60" s="156"/>
      <c r="AD60" s="156"/>
      <c r="AE60" s="157"/>
    </row>
    <row r="61" spans="2:35" s="1" customFormat="1" ht="13.2" x14ac:dyDescent="0.2">
      <c r="B61" s="24"/>
      <c r="D61" s="522"/>
      <c r="E61" s="523"/>
      <c r="F61" s="536"/>
      <c r="G61" s="522"/>
      <c r="H61" s="523"/>
      <c r="I61" s="523"/>
      <c r="J61" s="169"/>
      <c r="K61" s="26"/>
      <c r="L61" s="24"/>
      <c r="W61" s="158"/>
      <c r="X61" s="404"/>
      <c r="Y61" s="559"/>
      <c r="Z61" s="557"/>
      <c r="AA61" s="536"/>
      <c r="AB61" s="559"/>
      <c r="AC61" s="557"/>
      <c r="AD61" s="557"/>
      <c r="AE61" s="577"/>
      <c r="AI61" s="130"/>
    </row>
    <row r="62" spans="2:35" x14ac:dyDescent="0.2">
      <c r="B62" s="16"/>
      <c r="D62" s="156"/>
      <c r="E62" s="156"/>
      <c r="F62" s="156"/>
      <c r="G62" s="156"/>
      <c r="H62" s="156"/>
      <c r="I62" s="156"/>
      <c r="J62" s="156"/>
      <c r="L62" s="16"/>
      <c r="W62" s="155"/>
      <c r="X62" s="156"/>
      <c r="Y62" s="156"/>
      <c r="Z62" s="156"/>
      <c r="AA62" s="156"/>
      <c r="AB62" s="156"/>
      <c r="AC62" s="156"/>
      <c r="AD62" s="156"/>
      <c r="AE62" s="157"/>
    </row>
    <row r="63" spans="2:35" x14ac:dyDescent="0.2">
      <c r="B63" s="16"/>
      <c r="D63" s="156"/>
      <c r="E63" s="156"/>
      <c r="F63" s="156"/>
      <c r="G63" s="156"/>
      <c r="H63" s="156"/>
      <c r="I63" s="156"/>
      <c r="J63" s="156"/>
      <c r="L63" s="16"/>
      <c r="W63" s="155"/>
      <c r="X63" s="156"/>
      <c r="Y63" s="156"/>
      <c r="Z63" s="156"/>
      <c r="AA63" s="156"/>
      <c r="AB63" s="156"/>
      <c r="AC63" s="156"/>
      <c r="AD63" s="156"/>
      <c r="AE63" s="157"/>
    </row>
    <row r="64" spans="2:35" x14ac:dyDescent="0.2">
      <c r="B64" s="16"/>
      <c r="D64" s="156"/>
      <c r="E64" s="156"/>
      <c r="F64" s="156"/>
      <c r="G64" s="156"/>
      <c r="H64" s="156"/>
      <c r="I64" s="156"/>
      <c r="J64" s="156"/>
      <c r="L64" s="16"/>
      <c r="W64" s="155"/>
      <c r="X64" s="156"/>
      <c r="Y64" s="156"/>
      <c r="Z64" s="156"/>
      <c r="AA64" s="156"/>
      <c r="AB64" s="156"/>
      <c r="AC64" s="156"/>
      <c r="AD64" s="156"/>
      <c r="AE64" s="157"/>
    </row>
    <row r="65" spans="2:35" s="1" customFormat="1" ht="13.2" x14ac:dyDescent="0.2">
      <c r="B65" s="24"/>
      <c r="D65" s="530"/>
      <c r="E65" s="523"/>
      <c r="F65" s="523"/>
      <c r="G65" s="530"/>
      <c r="H65" s="523"/>
      <c r="I65" s="523"/>
      <c r="J65" s="523"/>
      <c r="K65" s="32"/>
      <c r="L65" s="24"/>
      <c r="W65" s="158"/>
      <c r="X65" s="404"/>
      <c r="Y65" s="530"/>
      <c r="Z65" s="557"/>
      <c r="AA65" s="557"/>
      <c r="AB65" s="530"/>
      <c r="AC65" s="557"/>
      <c r="AD65" s="557"/>
      <c r="AE65" s="159"/>
      <c r="AI65" s="130"/>
    </row>
    <row r="66" spans="2:35" x14ac:dyDescent="0.2">
      <c r="B66" s="16"/>
      <c r="D66" s="156"/>
      <c r="E66" s="156"/>
      <c r="F66" s="156"/>
      <c r="G66" s="156"/>
      <c r="H66" s="156"/>
      <c r="I66" s="156"/>
      <c r="J66" s="156"/>
      <c r="L66" s="16"/>
      <c r="W66" s="155"/>
      <c r="X66" s="156"/>
      <c r="Y66" s="156"/>
      <c r="Z66" s="156"/>
      <c r="AA66" s="156"/>
      <c r="AB66" s="156"/>
      <c r="AC66" s="156"/>
      <c r="AD66" s="156"/>
      <c r="AE66" s="157"/>
    </row>
    <row r="67" spans="2:35" x14ac:dyDescent="0.2">
      <c r="B67" s="16"/>
      <c r="D67" s="156"/>
      <c r="E67" s="156"/>
      <c r="F67" s="156"/>
      <c r="G67" s="156"/>
      <c r="H67" s="156"/>
      <c r="I67" s="156"/>
      <c r="J67" s="156"/>
      <c r="L67" s="16"/>
      <c r="W67" s="155"/>
      <c r="X67" s="156"/>
      <c r="Y67" s="156"/>
      <c r="Z67" s="156"/>
      <c r="AA67" s="156"/>
      <c r="AB67" s="156"/>
      <c r="AC67" s="156"/>
      <c r="AD67" s="156"/>
      <c r="AE67" s="157"/>
    </row>
    <row r="68" spans="2:35" x14ac:dyDescent="0.2">
      <c r="B68" s="16"/>
      <c r="D68" s="156"/>
      <c r="E68" s="156"/>
      <c r="F68" s="156"/>
      <c r="G68" s="156"/>
      <c r="H68" s="156"/>
      <c r="I68" s="156"/>
      <c r="J68" s="156"/>
      <c r="L68" s="16"/>
      <c r="W68" s="155"/>
      <c r="X68" s="156"/>
      <c r="Y68" s="156"/>
      <c r="Z68" s="156"/>
      <c r="AA68" s="156"/>
      <c r="AB68" s="156"/>
      <c r="AC68" s="156"/>
      <c r="AD68" s="156"/>
      <c r="AE68" s="157"/>
    </row>
    <row r="69" spans="2:35" x14ac:dyDescent="0.2">
      <c r="B69" s="16"/>
      <c r="D69" s="156"/>
      <c r="E69" s="156"/>
      <c r="F69" s="156"/>
      <c r="G69" s="156"/>
      <c r="H69" s="156"/>
      <c r="I69" s="156"/>
      <c r="J69" s="156"/>
      <c r="L69" s="16"/>
      <c r="W69" s="155"/>
      <c r="X69" s="156"/>
      <c r="Y69" s="156"/>
      <c r="Z69" s="156"/>
      <c r="AA69" s="156"/>
      <c r="AB69" s="156"/>
      <c r="AC69" s="156"/>
      <c r="AD69" s="156"/>
      <c r="AE69" s="157"/>
    </row>
    <row r="70" spans="2:35" x14ac:dyDescent="0.2">
      <c r="B70" s="16"/>
      <c r="D70" s="156"/>
      <c r="E70" s="156"/>
      <c r="F70" s="156"/>
      <c r="G70" s="156"/>
      <c r="H70" s="156"/>
      <c r="I70" s="156"/>
      <c r="J70" s="156"/>
      <c r="L70" s="16"/>
      <c r="W70" s="155"/>
      <c r="X70" s="156"/>
      <c r="Y70" s="156"/>
      <c r="Z70" s="156"/>
      <c r="AA70" s="156"/>
      <c r="AB70" s="156"/>
      <c r="AC70" s="156"/>
      <c r="AD70" s="156"/>
      <c r="AE70" s="157"/>
    </row>
    <row r="71" spans="2:35" x14ac:dyDescent="0.2">
      <c r="B71" s="16"/>
      <c r="D71" s="156"/>
      <c r="E71" s="156"/>
      <c r="F71" s="156"/>
      <c r="G71" s="156"/>
      <c r="H71" s="156"/>
      <c r="I71" s="156"/>
      <c r="J71" s="156"/>
      <c r="L71" s="16"/>
      <c r="W71" s="155"/>
      <c r="X71" s="156"/>
      <c r="Y71" s="156"/>
      <c r="Z71" s="156"/>
      <c r="AA71" s="156"/>
      <c r="AB71" s="156"/>
      <c r="AC71" s="156"/>
      <c r="AD71" s="156"/>
      <c r="AE71" s="157"/>
    </row>
    <row r="72" spans="2:35" x14ac:dyDescent="0.2">
      <c r="B72" s="16"/>
      <c r="D72" s="156"/>
      <c r="E72" s="156"/>
      <c r="F72" s="156"/>
      <c r="G72" s="156"/>
      <c r="H72" s="156"/>
      <c r="I72" s="156"/>
      <c r="J72" s="156"/>
      <c r="L72" s="16"/>
      <c r="W72" s="155"/>
      <c r="X72" s="156"/>
      <c r="Y72" s="156"/>
      <c r="Z72" s="156"/>
      <c r="AA72" s="156"/>
      <c r="AB72" s="156"/>
      <c r="AC72" s="156"/>
      <c r="AD72" s="156"/>
      <c r="AE72" s="157"/>
    </row>
    <row r="73" spans="2:35" x14ac:dyDescent="0.2">
      <c r="B73" s="16"/>
      <c r="D73" s="156"/>
      <c r="E73" s="156"/>
      <c r="F73" s="156"/>
      <c r="G73" s="156"/>
      <c r="H73" s="156"/>
      <c r="I73" s="156"/>
      <c r="J73" s="156"/>
      <c r="L73" s="16"/>
      <c r="W73" s="155"/>
      <c r="X73" s="156"/>
      <c r="Y73" s="156"/>
      <c r="Z73" s="156"/>
      <c r="AA73" s="156"/>
      <c r="AB73" s="156"/>
      <c r="AC73" s="156"/>
      <c r="AD73" s="156"/>
      <c r="AE73" s="157"/>
    </row>
    <row r="74" spans="2:35" x14ac:dyDescent="0.2">
      <c r="B74" s="16"/>
      <c r="D74" s="156"/>
      <c r="E74" s="156"/>
      <c r="F74" s="156"/>
      <c r="G74" s="156"/>
      <c r="H74" s="156"/>
      <c r="I74" s="156"/>
      <c r="J74" s="156"/>
      <c r="L74" s="16"/>
      <c r="W74" s="155"/>
      <c r="X74" s="156"/>
      <c r="Y74" s="156"/>
      <c r="Z74" s="156"/>
      <c r="AA74" s="156"/>
      <c r="AB74" s="156"/>
      <c r="AC74" s="156"/>
      <c r="AD74" s="156"/>
      <c r="AE74" s="157"/>
    </row>
    <row r="75" spans="2:35" x14ac:dyDescent="0.2">
      <c r="B75" s="16"/>
      <c r="D75" s="156"/>
      <c r="E75" s="156"/>
      <c r="F75" s="156"/>
      <c r="G75" s="156"/>
      <c r="H75" s="156"/>
      <c r="I75" s="156"/>
      <c r="J75" s="156"/>
      <c r="L75" s="16"/>
      <c r="W75" s="155"/>
      <c r="X75" s="156"/>
      <c r="Y75" s="156"/>
      <c r="Z75" s="156"/>
      <c r="AA75" s="156"/>
      <c r="AB75" s="156"/>
      <c r="AC75" s="156"/>
      <c r="AD75" s="156"/>
      <c r="AE75" s="157"/>
    </row>
    <row r="76" spans="2:35" s="1" customFormat="1" ht="13.2" x14ac:dyDescent="0.2">
      <c r="B76" s="24"/>
      <c r="D76" s="522"/>
      <c r="E76" s="523"/>
      <c r="F76" s="536"/>
      <c r="G76" s="522"/>
      <c r="H76" s="523"/>
      <c r="I76" s="523"/>
      <c r="J76" s="169"/>
      <c r="K76" s="26"/>
      <c r="L76" s="24"/>
      <c r="W76" s="158"/>
      <c r="X76" s="404"/>
      <c r="Y76" s="559"/>
      <c r="Z76" s="557"/>
      <c r="AA76" s="536"/>
      <c r="AB76" s="559"/>
      <c r="AC76" s="557"/>
      <c r="AD76" s="557"/>
      <c r="AE76" s="577"/>
      <c r="AI76" s="130"/>
    </row>
    <row r="77" spans="2:35" s="1" customFormat="1" ht="14.55" customHeight="1" x14ac:dyDescent="0.2">
      <c r="B77" s="33"/>
      <c r="C77" s="34"/>
      <c r="D77" s="34"/>
      <c r="E77" s="34"/>
      <c r="F77" s="34"/>
      <c r="G77" s="34"/>
      <c r="H77" s="34"/>
      <c r="I77" s="34"/>
      <c r="J77" s="34"/>
      <c r="K77" s="34"/>
      <c r="L77" s="24"/>
      <c r="W77" s="175"/>
      <c r="X77" s="176"/>
      <c r="Y77" s="176"/>
      <c r="Z77" s="176"/>
      <c r="AA77" s="176"/>
      <c r="AB77" s="176"/>
      <c r="AC77" s="176"/>
      <c r="AD77" s="176"/>
      <c r="AE77" s="177"/>
      <c r="AI77" s="130"/>
    </row>
    <row r="81" spans="2:47" s="1" customFormat="1" ht="7.05" customHeight="1" x14ac:dyDescent="0.2">
      <c r="B81" s="35"/>
      <c r="C81" s="36"/>
      <c r="D81" s="36"/>
      <c r="E81" s="36"/>
      <c r="F81" s="36"/>
      <c r="G81" s="36"/>
      <c r="H81" s="36"/>
      <c r="I81" s="36"/>
      <c r="J81" s="36"/>
      <c r="K81" s="36"/>
      <c r="L81" s="24"/>
      <c r="W81" s="178"/>
      <c r="X81" s="179"/>
      <c r="Y81" s="179"/>
      <c r="Z81" s="179"/>
      <c r="AA81" s="179"/>
      <c r="AB81" s="179"/>
      <c r="AC81" s="179"/>
      <c r="AD81" s="179"/>
      <c r="AE81" s="180"/>
      <c r="AI81" s="130"/>
    </row>
    <row r="82" spans="2:47" s="1" customFormat="1" ht="25.05" customHeight="1" x14ac:dyDescent="0.2">
      <c r="B82" s="24"/>
      <c r="C82" s="1165" t="s">
        <v>188</v>
      </c>
      <c r="D82" s="1165"/>
      <c r="E82" s="1165"/>
      <c r="F82" s="1165"/>
      <c r="G82" s="1165"/>
      <c r="H82" s="1165"/>
      <c r="I82" s="1165"/>
      <c r="J82" s="1165"/>
      <c r="L82" s="24"/>
      <c r="W82" s="158"/>
      <c r="X82" s="1237" t="s">
        <v>188</v>
      </c>
      <c r="Y82" s="1237"/>
      <c r="Z82" s="1237"/>
      <c r="AA82" s="1237"/>
      <c r="AB82" s="1237"/>
      <c r="AC82" s="1237"/>
      <c r="AD82" s="1237"/>
      <c r="AE82" s="1238"/>
      <c r="AI82" s="130"/>
    </row>
    <row r="83" spans="2:47" s="1" customFormat="1" ht="7.05" customHeight="1" x14ac:dyDescent="0.2">
      <c r="B83" s="24"/>
      <c r="L83" s="24"/>
      <c r="W83" s="158"/>
      <c r="X83" s="557"/>
      <c r="Y83" s="557"/>
      <c r="Z83" s="557"/>
      <c r="AA83" s="557"/>
      <c r="AB83" s="557"/>
      <c r="AC83" s="557"/>
      <c r="AD83" s="557"/>
      <c r="AE83" s="159"/>
      <c r="AI83" s="130"/>
    </row>
    <row r="84" spans="2:47" s="1" customFormat="1" ht="12" customHeight="1" x14ac:dyDescent="0.2">
      <c r="B84" s="24"/>
      <c r="C84" s="528" t="s">
        <v>12</v>
      </c>
      <c r="E84" s="1242" t="s">
        <v>6177</v>
      </c>
      <c r="F84" s="1242"/>
      <c r="G84" s="1242"/>
      <c r="H84" s="1242"/>
      <c r="I84" s="1242"/>
      <c r="J84" s="1242"/>
      <c r="L84" s="24"/>
      <c r="W84" s="158"/>
      <c r="X84" s="538" t="s">
        <v>12</v>
      </c>
      <c r="Y84" s="557"/>
      <c r="Z84" s="1163" t="s">
        <v>6177</v>
      </c>
      <c r="AA84" s="1163"/>
      <c r="AB84" s="1163"/>
      <c r="AC84" s="1163"/>
      <c r="AD84" s="1163"/>
      <c r="AE84" s="1241"/>
      <c r="AI84" s="130"/>
    </row>
    <row r="85" spans="2:47" s="1" customFormat="1" ht="23.55" customHeight="1" x14ac:dyDescent="0.2">
      <c r="B85" s="24"/>
      <c r="C85" s="521"/>
      <c r="E85" s="1243"/>
      <c r="F85" s="1244"/>
      <c r="G85" s="1244"/>
      <c r="H85" s="1244"/>
      <c r="L85" s="24"/>
      <c r="W85" s="158"/>
      <c r="X85" s="557"/>
      <c r="Y85" s="557"/>
      <c r="Z85" s="1249"/>
      <c r="AA85" s="1250"/>
      <c r="AB85" s="1250"/>
      <c r="AC85" s="1250"/>
      <c r="AD85" s="557"/>
      <c r="AE85" s="159"/>
      <c r="AI85" s="130"/>
    </row>
    <row r="86" spans="2:47" s="1" customFormat="1" ht="12" customHeight="1" x14ac:dyDescent="0.2">
      <c r="B86" s="24"/>
      <c r="C86" s="528" t="s">
        <v>186</v>
      </c>
      <c r="F86" s="532" t="s">
        <v>891</v>
      </c>
      <c r="L86" s="24"/>
      <c r="W86" s="158"/>
      <c r="X86" s="538" t="s">
        <v>186</v>
      </c>
      <c r="Y86" s="557"/>
      <c r="Z86" s="557"/>
      <c r="AA86" s="555" t="s">
        <v>891</v>
      </c>
      <c r="AB86" s="557"/>
      <c r="AC86" s="557"/>
      <c r="AD86" s="557"/>
      <c r="AE86" s="159"/>
      <c r="AI86" s="130"/>
    </row>
    <row r="87" spans="2:47" s="1" customFormat="1" ht="16.5" customHeight="1" x14ac:dyDescent="0.2">
      <c r="B87" s="24"/>
      <c r="C87" s="521"/>
      <c r="E87" s="1251"/>
      <c r="F87" s="1252"/>
      <c r="G87" s="1252"/>
      <c r="H87" s="1252"/>
      <c r="L87" s="24"/>
      <c r="W87" s="158"/>
      <c r="X87" s="557"/>
      <c r="Y87" s="557"/>
      <c r="Z87" s="1245"/>
      <c r="AA87" s="1246"/>
      <c r="AB87" s="1246"/>
      <c r="AC87" s="1246"/>
      <c r="AD87" s="557"/>
      <c r="AE87" s="159"/>
      <c r="AI87" s="130"/>
    </row>
    <row r="88" spans="2:47" s="1" customFormat="1" ht="7.05" customHeight="1" x14ac:dyDescent="0.2">
      <c r="B88" s="24"/>
      <c r="C88" s="521"/>
      <c r="L88" s="24"/>
      <c r="W88" s="158"/>
      <c r="X88" s="557"/>
      <c r="Y88" s="557"/>
      <c r="Z88" s="557"/>
      <c r="AA88" s="557"/>
      <c r="AB88" s="557"/>
      <c r="AC88" s="557"/>
      <c r="AD88" s="557"/>
      <c r="AE88" s="159"/>
      <c r="AI88" s="130"/>
    </row>
    <row r="89" spans="2:47" s="1" customFormat="1" ht="12" customHeight="1" x14ac:dyDescent="0.2">
      <c r="B89" s="24"/>
      <c r="C89" s="528" t="s">
        <v>15</v>
      </c>
      <c r="F89" s="19" t="str">
        <f>F12</f>
        <v>Kuzmányho nábrežie 28, 960 01 Zvolen</v>
      </c>
      <c r="I89" s="528" t="s">
        <v>17</v>
      </c>
      <c r="J89" s="39" t="str">
        <f>IF(J12="","",J12)</f>
        <v/>
      </c>
      <c r="L89" s="24"/>
      <c r="W89" s="158"/>
      <c r="X89" s="538" t="s">
        <v>15</v>
      </c>
      <c r="Y89" s="557"/>
      <c r="Z89" s="557"/>
      <c r="AA89" s="558" t="str">
        <f>AA12</f>
        <v>Kuzmányho nábrežie 28, 960 01 Zvolen</v>
      </c>
      <c r="AB89" s="557"/>
      <c r="AC89" s="557"/>
      <c r="AD89" s="538" t="s">
        <v>17</v>
      </c>
      <c r="AE89" s="162" t="str">
        <f>IF(AE12="","",AE12)</f>
        <v/>
      </c>
      <c r="AI89" s="130"/>
    </row>
    <row r="90" spans="2:47" s="1" customFormat="1" ht="7.05" customHeight="1" x14ac:dyDescent="0.2">
      <c r="B90" s="24"/>
      <c r="C90" s="521"/>
      <c r="I90" s="521"/>
      <c r="L90" s="24"/>
      <c r="W90" s="158"/>
      <c r="X90" s="557"/>
      <c r="Y90" s="557"/>
      <c r="Z90" s="557"/>
      <c r="AA90" s="557"/>
      <c r="AB90" s="557"/>
      <c r="AC90" s="557"/>
      <c r="AD90" s="557"/>
      <c r="AE90" s="159"/>
      <c r="AI90" s="130"/>
    </row>
    <row r="91" spans="2:47" s="1" customFormat="1" ht="15.3" customHeight="1" x14ac:dyDescent="0.2">
      <c r="B91" s="24"/>
      <c r="C91" s="528" t="s">
        <v>18</v>
      </c>
      <c r="F91" s="529" t="s">
        <v>6175</v>
      </c>
      <c r="I91" s="528" t="s">
        <v>22</v>
      </c>
      <c r="J91" s="22" t="str">
        <f>E21</f>
        <v xml:space="preserve"> </v>
      </c>
      <c r="L91" s="24"/>
      <c r="W91" s="158"/>
      <c r="X91" s="538" t="s">
        <v>18</v>
      </c>
      <c r="Y91" s="557"/>
      <c r="Z91" s="557"/>
      <c r="AA91" s="576" t="s">
        <v>6175</v>
      </c>
      <c r="AB91" s="557"/>
      <c r="AC91" s="557"/>
      <c r="AD91" s="538" t="s">
        <v>22</v>
      </c>
      <c r="AE91" s="181" t="str">
        <f>Z21</f>
        <v/>
      </c>
      <c r="AI91" s="130"/>
    </row>
    <row r="92" spans="2:47" s="1" customFormat="1" ht="15.3" customHeight="1" x14ac:dyDescent="0.2">
      <c r="B92" s="24"/>
      <c r="C92" s="528" t="s">
        <v>21</v>
      </c>
      <c r="F92" s="529" t="s">
        <v>5202</v>
      </c>
      <c r="I92" s="528" t="s">
        <v>24</v>
      </c>
      <c r="J92" s="22" t="str">
        <f>E24</f>
        <v xml:space="preserve"> </v>
      </c>
      <c r="L92" s="24"/>
      <c r="W92" s="158"/>
      <c r="X92" s="538" t="s">
        <v>21</v>
      </c>
      <c r="Y92" s="557"/>
      <c r="Z92" s="557"/>
      <c r="AA92" s="576" t="s">
        <v>5202</v>
      </c>
      <c r="AB92" s="557"/>
      <c r="AC92" s="557"/>
      <c r="AD92" s="538" t="s">
        <v>24</v>
      </c>
      <c r="AE92" s="181" t="str">
        <f>Z24</f>
        <v/>
      </c>
      <c r="AI92" s="130"/>
    </row>
    <row r="93" spans="2:47" s="1" customFormat="1" ht="10.199999999999999" customHeight="1" x14ac:dyDescent="0.2">
      <c r="B93" s="24"/>
      <c r="L93" s="24"/>
      <c r="W93" s="158"/>
      <c r="X93" s="557"/>
      <c r="Y93" s="557"/>
      <c r="Z93" s="557"/>
      <c r="AA93" s="557"/>
      <c r="AB93" s="557"/>
      <c r="AC93" s="557"/>
      <c r="AD93" s="557"/>
      <c r="AE93" s="159"/>
      <c r="AI93" s="130"/>
    </row>
    <row r="94" spans="2:47" s="1" customFormat="1" ht="29.25" customHeight="1" x14ac:dyDescent="0.2">
      <c r="B94" s="24"/>
      <c r="C94" s="86" t="s">
        <v>189</v>
      </c>
      <c r="D94" s="80"/>
      <c r="E94" s="80"/>
      <c r="F94" s="80"/>
      <c r="G94" s="80"/>
      <c r="H94" s="80"/>
      <c r="I94" s="80"/>
      <c r="J94" s="87" t="s">
        <v>190</v>
      </c>
      <c r="K94" s="80"/>
      <c r="L94" s="24"/>
      <c r="W94" s="158"/>
      <c r="X94" s="182" t="s">
        <v>189</v>
      </c>
      <c r="Y94" s="173"/>
      <c r="Z94" s="173"/>
      <c r="AA94" s="173"/>
      <c r="AB94" s="173"/>
      <c r="AC94" s="173"/>
      <c r="AD94" s="173"/>
      <c r="AE94" s="183" t="s">
        <v>190</v>
      </c>
      <c r="AI94" s="130"/>
    </row>
    <row r="95" spans="2:47" s="1" customFormat="1" ht="10.199999999999999" customHeight="1" x14ac:dyDescent="0.2">
      <c r="B95" s="24"/>
      <c r="L95" s="24"/>
      <c r="W95" s="158"/>
      <c r="X95" s="557"/>
      <c r="Y95" s="557"/>
      <c r="Z95" s="557"/>
      <c r="AA95" s="557"/>
      <c r="AB95" s="557"/>
      <c r="AC95" s="557"/>
      <c r="AD95" s="557"/>
      <c r="AE95" s="159"/>
      <c r="AI95" s="130"/>
    </row>
    <row r="96" spans="2:47" s="1" customFormat="1" ht="22.95" customHeight="1" x14ac:dyDescent="0.2">
      <c r="B96" s="24"/>
      <c r="C96" s="88" t="s">
        <v>191</v>
      </c>
      <c r="J96" s="53">
        <f>J130</f>
        <v>53422.83</v>
      </c>
      <c r="L96" s="24"/>
      <c r="W96" s="158"/>
      <c r="X96" s="184" t="s">
        <v>191</v>
      </c>
      <c r="Y96" s="557"/>
      <c r="Z96" s="557"/>
      <c r="AA96" s="557"/>
      <c r="AB96" s="557"/>
      <c r="AC96" s="557"/>
      <c r="AD96" s="557"/>
      <c r="AE96" s="168">
        <f>AE130</f>
        <v>70626.795360000004</v>
      </c>
      <c r="AI96" s="130"/>
      <c r="AU96" s="13" t="s">
        <v>192</v>
      </c>
    </row>
    <row r="97" spans="2:35" s="8" customFormat="1" ht="25.05" customHeight="1" x14ac:dyDescent="0.2">
      <c r="B97" s="89"/>
      <c r="D97" s="90" t="s">
        <v>193</v>
      </c>
      <c r="E97" s="91"/>
      <c r="F97" s="91"/>
      <c r="G97" s="91"/>
      <c r="H97" s="91"/>
      <c r="I97" s="91"/>
      <c r="J97" s="92">
        <f>J131</f>
        <v>11428.84</v>
      </c>
      <c r="L97" s="89"/>
      <c r="W97" s="185"/>
      <c r="X97" s="186"/>
      <c r="Y97" s="90" t="s">
        <v>193</v>
      </c>
      <c r="Z97" s="91"/>
      <c r="AA97" s="91"/>
      <c r="AB97" s="91"/>
      <c r="AC97" s="91"/>
      <c r="AD97" s="91"/>
      <c r="AE97" s="187">
        <f>AE131</f>
        <v>15072.19</v>
      </c>
      <c r="AI97" s="328"/>
    </row>
    <row r="98" spans="2:35" s="9" customFormat="1" ht="19.95" customHeight="1" x14ac:dyDescent="0.2">
      <c r="B98" s="93"/>
      <c r="D98" s="94" t="s">
        <v>892</v>
      </c>
      <c r="E98" s="95"/>
      <c r="F98" s="95"/>
      <c r="G98" s="95"/>
      <c r="H98" s="95"/>
      <c r="I98" s="95"/>
      <c r="J98" s="96">
        <f>J132</f>
        <v>830.29</v>
      </c>
      <c r="L98" s="93"/>
      <c r="W98" s="188"/>
      <c r="X98" s="189"/>
      <c r="Y98" s="94" t="s">
        <v>892</v>
      </c>
      <c r="Z98" s="95"/>
      <c r="AA98" s="95"/>
      <c r="AB98" s="95"/>
      <c r="AC98" s="95"/>
      <c r="AD98" s="95"/>
      <c r="AE98" s="190">
        <f>AE132</f>
        <v>855.58999999999992</v>
      </c>
      <c r="AI98" s="405"/>
    </row>
    <row r="99" spans="2:35" s="9" customFormat="1" ht="19.95" customHeight="1" x14ac:dyDescent="0.2">
      <c r="B99" s="93"/>
      <c r="D99" s="94" t="s">
        <v>893</v>
      </c>
      <c r="E99" s="95"/>
      <c r="F99" s="95"/>
      <c r="G99" s="95"/>
      <c r="H99" s="95"/>
      <c r="I99" s="95"/>
      <c r="J99" s="96">
        <f>J137</f>
        <v>2042.12</v>
      </c>
      <c r="L99" s="93"/>
      <c r="W99" s="188"/>
      <c r="X99" s="189"/>
      <c r="Y99" s="94" t="s">
        <v>893</v>
      </c>
      <c r="Z99" s="95"/>
      <c r="AA99" s="95"/>
      <c r="AB99" s="95"/>
      <c r="AC99" s="95"/>
      <c r="AD99" s="95"/>
      <c r="AE99" s="190">
        <f>AE137</f>
        <v>2640.06</v>
      </c>
      <c r="AI99" s="405"/>
    </row>
    <row r="100" spans="2:35" s="9" customFormat="1" ht="19.95" customHeight="1" x14ac:dyDescent="0.2">
      <c r="B100" s="93"/>
      <c r="D100" s="94" t="s">
        <v>894</v>
      </c>
      <c r="E100" s="95"/>
      <c r="F100" s="95"/>
      <c r="G100" s="95"/>
      <c r="H100" s="95"/>
      <c r="I100" s="95"/>
      <c r="J100" s="96">
        <f>J140</f>
        <v>3099.18</v>
      </c>
      <c r="L100" s="93"/>
      <c r="W100" s="188"/>
      <c r="X100" s="189"/>
      <c r="Y100" s="94" t="s">
        <v>894</v>
      </c>
      <c r="Z100" s="95"/>
      <c r="AA100" s="95"/>
      <c r="AB100" s="95"/>
      <c r="AC100" s="95"/>
      <c r="AD100" s="95"/>
      <c r="AE100" s="190">
        <f>AE140</f>
        <v>4318.4399999999996</v>
      </c>
      <c r="AI100" s="405"/>
    </row>
    <row r="101" spans="2:35" s="9" customFormat="1" ht="19.95" customHeight="1" x14ac:dyDescent="0.2">
      <c r="B101" s="93"/>
      <c r="D101" s="94" t="s">
        <v>199</v>
      </c>
      <c r="E101" s="95"/>
      <c r="F101" s="95"/>
      <c r="G101" s="95"/>
      <c r="H101" s="95"/>
      <c r="I101" s="95"/>
      <c r="J101" s="96">
        <f>J143</f>
        <v>1886.68</v>
      </c>
      <c r="L101" s="93"/>
      <c r="W101" s="188"/>
      <c r="X101" s="189"/>
      <c r="Y101" s="94" t="s">
        <v>199</v>
      </c>
      <c r="Z101" s="95"/>
      <c r="AA101" s="95"/>
      <c r="AB101" s="95"/>
      <c r="AC101" s="95"/>
      <c r="AD101" s="95"/>
      <c r="AE101" s="190">
        <f>AE143</f>
        <v>2792.89</v>
      </c>
      <c r="AI101" s="405"/>
    </row>
    <row r="102" spans="2:35" s="9" customFormat="1" ht="19.95" customHeight="1" x14ac:dyDescent="0.2">
      <c r="B102" s="93"/>
      <c r="D102" s="94" t="s">
        <v>200</v>
      </c>
      <c r="E102" s="95"/>
      <c r="F102" s="95"/>
      <c r="G102" s="95"/>
      <c r="H102" s="95"/>
      <c r="I102" s="95"/>
      <c r="J102" s="96">
        <f>J148</f>
        <v>2808.8099999999995</v>
      </c>
      <c r="L102" s="93"/>
      <c r="W102" s="188"/>
      <c r="X102" s="189"/>
      <c r="Y102" s="94" t="s">
        <v>200</v>
      </c>
      <c r="Z102" s="95"/>
      <c r="AA102" s="95"/>
      <c r="AB102" s="95"/>
      <c r="AC102" s="95"/>
      <c r="AD102" s="95"/>
      <c r="AE102" s="190">
        <f>AE148</f>
        <v>3585.93</v>
      </c>
      <c r="AI102" s="405"/>
    </row>
    <row r="103" spans="2:35" s="9" customFormat="1" ht="19.95" customHeight="1" x14ac:dyDescent="0.2">
      <c r="B103" s="93"/>
      <c r="D103" s="94" t="s">
        <v>895</v>
      </c>
      <c r="E103" s="95"/>
      <c r="F103" s="95"/>
      <c r="G103" s="95"/>
      <c r="H103" s="95"/>
      <c r="I103" s="95"/>
      <c r="J103" s="96">
        <f>J157</f>
        <v>761.76</v>
      </c>
      <c r="L103" s="93"/>
      <c r="W103" s="188"/>
      <c r="X103" s="189"/>
      <c r="Y103" s="94" t="s">
        <v>895</v>
      </c>
      <c r="Z103" s="95"/>
      <c r="AA103" s="95"/>
      <c r="AB103" s="95"/>
      <c r="AC103" s="95"/>
      <c r="AD103" s="95"/>
      <c r="AE103" s="190">
        <f>AE157</f>
        <v>879.28</v>
      </c>
      <c r="AI103" s="405"/>
    </row>
    <row r="104" spans="2:35" s="8" customFormat="1" ht="25.05" customHeight="1" x14ac:dyDescent="0.2">
      <c r="B104" s="89"/>
      <c r="D104" s="90" t="s">
        <v>202</v>
      </c>
      <c r="E104" s="91"/>
      <c r="F104" s="91"/>
      <c r="G104" s="91"/>
      <c r="H104" s="91"/>
      <c r="I104" s="91"/>
      <c r="J104" s="92">
        <f>J159</f>
        <v>41993.990000000005</v>
      </c>
      <c r="L104" s="89"/>
      <c r="W104" s="185"/>
      <c r="X104" s="186"/>
      <c r="Y104" s="90" t="s">
        <v>202</v>
      </c>
      <c r="Z104" s="91"/>
      <c r="AA104" s="91"/>
      <c r="AB104" s="91"/>
      <c r="AC104" s="91"/>
      <c r="AD104" s="91"/>
      <c r="AE104" s="187">
        <f>AE159</f>
        <v>55554.605360000001</v>
      </c>
      <c r="AI104" s="328"/>
    </row>
    <row r="105" spans="2:35" s="9" customFormat="1" ht="19.95" customHeight="1" x14ac:dyDescent="0.2">
      <c r="B105" s="93"/>
      <c r="D105" s="94" t="s">
        <v>203</v>
      </c>
      <c r="E105" s="95"/>
      <c r="F105" s="95"/>
      <c r="G105" s="95"/>
      <c r="H105" s="95"/>
      <c r="I105" s="95"/>
      <c r="J105" s="96">
        <f>J160</f>
        <v>942.06999999999994</v>
      </c>
      <c r="L105" s="93"/>
      <c r="W105" s="188"/>
      <c r="X105" s="189"/>
      <c r="Y105" s="94" t="s">
        <v>203</v>
      </c>
      <c r="Z105" s="95"/>
      <c r="AA105" s="95"/>
      <c r="AB105" s="95"/>
      <c r="AC105" s="95"/>
      <c r="AD105" s="95"/>
      <c r="AE105" s="190">
        <f>AE160</f>
        <v>2067.5500000000002</v>
      </c>
      <c r="AI105" s="405"/>
    </row>
    <row r="106" spans="2:35" s="9" customFormat="1" ht="19.95" customHeight="1" x14ac:dyDescent="0.2">
      <c r="B106" s="93"/>
      <c r="D106" s="94" t="s">
        <v>896</v>
      </c>
      <c r="E106" s="95"/>
      <c r="F106" s="95"/>
      <c r="G106" s="95"/>
      <c r="H106" s="95"/>
      <c r="I106" s="95"/>
      <c r="J106" s="96">
        <f>J166</f>
        <v>2131.9899999999998</v>
      </c>
      <c r="L106" s="93"/>
      <c r="W106" s="188"/>
      <c r="X106" s="189"/>
      <c r="Y106" s="94" t="s">
        <v>896</v>
      </c>
      <c r="Z106" s="95"/>
      <c r="AA106" s="95"/>
      <c r="AB106" s="95"/>
      <c r="AC106" s="95"/>
      <c r="AD106" s="95"/>
      <c r="AE106" s="190">
        <f>AE166</f>
        <v>6033.7853599999999</v>
      </c>
      <c r="AI106" s="405"/>
    </row>
    <row r="107" spans="2:35" s="9" customFormat="1" ht="19.95" customHeight="1" x14ac:dyDescent="0.2">
      <c r="B107" s="93"/>
      <c r="D107" s="94" t="s">
        <v>897</v>
      </c>
      <c r="E107" s="95"/>
      <c r="F107" s="95"/>
      <c r="G107" s="95"/>
      <c r="H107" s="95"/>
      <c r="I107" s="95"/>
      <c r="J107" s="96">
        <f>J170</f>
        <v>6382.4299999999994</v>
      </c>
      <c r="L107" s="93"/>
      <c r="W107" s="188"/>
      <c r="X107" s="189"/>
      <c r="Y107" s="94" t="s">
        <v>897</v>
      </c>
      <c r="Z107" s="95"/>
      <c r="AA107" s="95"/>
      <c r="AB107" s="95"/>
      <c r="AC107" s="95"/>
      <c r="AD107" s="95"/>
      <c r="AE107" s="190">
        <f>AE170</f>
        <v>7005.7900000000009</v>
      </c>
      <c r="AI107" s="405"/>
    </row>
    <row r="108" spans="2:35" s="9" customFormat="1" ht="19.95" customHeight="1" x14ac:dyDescent="0.2">
      <c r="B108" s="93"/>
      <c r="D108" s="94" t="s">
        <v>204</v>
      </c>
      <c r="E108" s="95"/>
      <c r="F108" s="95"/>
      <c r="G108" s="95"/>
      <c r="H108" s="95"/>
      <c r="I108" s="95"/>
      <c r="J108" s="96">
        <f>J185</f>
        <v>14274.990000000003</v>
      </c>
      <c r="L108" s="93"/>
      <c r="W108" s="188"/>
      <c r="X108" s="189"/>
      <c r="Y108" s="94" t="s">
        <v>204</v>
      </c>
      <c r="Z108" s="95"/>
      <c r="AA108" s="95"/>
      <c r="AB108" s="95"/>
      <c r="AC108" s="95"/>
      <c r="AD108" s="95"/>
      <c r="AE108" s="190">
        <f>AE185</f>
        <v>21980.310000000005</v>
      </c>
      <c r="AI108" s="405"/>
    </row>
    <row r="109" spans="2:35" s="9" customFormat="1" ht="19.95" customHeight="1" x14ac:dyDescent="0.2">
      <c r="B109" s="93"/>
      <c r="D109" s="94" t="s">
        <v>205</v>
      </c>
      <c r="E109" s="95"/>
      <c r="F109" s="95"/>
      <c r="G109" s="95"/>
      <c r="H109" s="95"/>
      <c r="I109" s="95"/>
      <c r="J109" s="96">
        <f>J227</f>
        <v>18166.71</v>
      </c>
      <c r="L109" s="93"/>
      <c r="W109" s="188"/>
      <c r="X109" s="189"/>
      <c r="Y109" s="94" t="s">
        <v>205</v>
      </c>
      <c r="Z109" s="95"/>
      <c r="AA109" s="95"/>
      <c r="AB109" s="95"/>
      <c r="AC109" s="95"/>
      <c r="AD109" s="95"/>
      <c r="AE109" s="190">
        <f>AE227</f>
        <v>18371.369999999995</v>
      </c>
      <c r="AI109" s="405"/>
    </row>
    <row r="110" spans="2:35" s="9" customFormat="1" ht="19.95" customHeight="1" x14ac:dyDescent="0.2">
      <c r="B110" s="93"/>
      <c r="D110" s="94" t="s">
        <v>213</v>
      </c>
      <c r="E110" s="95"/>
      <c r="F110" s="95"/>
      <c r="G110" s="95"/>
      <c r="H110" s="95"/>
      <c r="I110" s="95"/>
      <c r="J110" s="96">
        <f>J253</f>
        <v>95.8</v>
      </c>
      <c r="L110" s="93"/>
      <c r="W110" s="188"/>
      <c r="X110" s="189"/>
      <c r="Y110" s="94" t="s">
        <v>213</v>
      </c>
      <c r="Z110" s="95"/>
      <c r="AA110" s="95"/>
      <c r="AB110" s="95"/>
      <c r="AC110" s="95"/>
      <c r="AD110" s="95"/>
      <c r="AE110" s="190">
        <f>AE253</f>
        <v>95.8</v>
      </c>
      <c r="AI110" s="405"/>
    </row>
    <row r="111" spans="2:35" s="1" customFormat="1" ht="21.75" customHeight="1" x14ac:dyDescent="0.2">
      <c r="B111" s="24"/>
      <c r="L111" s="24"/>
      <c r="W111" s="158"/>
      <c r="X111" s="557"/>
      <c r="Y111" s="557"/>
      <c r="Z111" s="557"/>
      <c r="AA111" s="557"/>
      <c r="AB111" s="557"/>
      <c r="AC111" s="557"/>
      <c r="AD111" s="557"/>
      <c r="AE111" s="159"/>
      <c r="AI111" s="130"/>
    </row>
    <row r="112" spans="2:35" s="1" customFormat="1" ht="7.05" customHeight="1" x14ac:dyDescent="0.2">
      <c r="B112" s="33"/>
      <c r="C112" s="34"/>
      <c r="D112" s="34"/>
      <c r="E112" s="34"/>
      <c r="F112" s="34"/>
      <c r="G112" s="34"/>
      <c r="H112" s="34"/>
      <c r="I112" s="34"/>
      <c r="J112" s="34"/>
      <c r="K112" s="34"/>
      <c r="L112" s="24"/>
      <c r="W112" s="175"/>
      <c r="X112" s="176"/>
      <c r="Y112" s="176"/>
      <c r="Z112" s="176"/>
      <c r="AA112" s="176"/>
      <c r="AB112" s="176"/>
      <c r="AC112" s="176"/>
      <c r="AD112" s="176"/>
      <c r="AE112" s="177"/>
      <c r="AI112" s="130"/>
    </row>
    <row r="116" spans="2:35" s="1" customFormat="1" ht="7.05" customHeight="1" x14ac:dyDescent="0.2">
      <c r="B116" s="35"/>
      <c r="C116" s="36"/>
      <c r="D116" s="36"/>
      <c r="E116" s="36"/>
      <c r="F116" s="36"/>
      <c r="G116" s="36"/>
      <c r="H116" s="36"/>
      <c r="I116" s="36"/>
      <c r="J116" s="36"/>
      <c r="K116" s="36"/>
      <c r="L116" s="24"/>
      <c r="W116" s="178"/>
      <c r="X116" s="179"/>
      <c r="Y116" s="179"/>
      <c r="Z116" s="179"/>
      <c r="AA116" s="179"/>
      <c r="AB116" s="179"/>
      <c r="AC116" s="179"/>
      <c r="AD116" s="179"/>
      <c r="AE116" s="180"/>
      <c r="AI116" s="130"/>
    </row>
    <row r="117" spans="2:35" s="1" customFormat="1" ht="25.05" customHeight="1" x14ac:dyDescent="0.2">
      <c r="B117" s="24"/>
      <c r="C117" s="17" t="s">
        <v>214</v>
      </c>
      <c r="L117" s="24"/>
      <c r="W117" s="158"/>
      <c r="X117" s="1237" t="s">
        <v>214</v>
      </c>
      <c r="Y117" s="1237"/>
      <c r="Z117" s="1237"/>
      <c r="AA117" s="1237"/>
      <c r="AB117" s="1237"/>
      <c r="AC117" s="1237"/>
      <c r="AD117" s="1237"/>
      <c r="AE117" s="1238"/>
      <c r="AI117" s="130"/>
    </row>
    <row r="118" spans="2:35" s="1" customFormat="1" ht="7.05" customHeight="1" x14ac:dyDescent="0.2">
      <c r="B118" s="24"/>
      <c r="L118" s="24"/>
      <c r="W118" s="158"/>
      <c r="X118" s="557"/>
      <c r="Y118" s="557"/>
      <c r="Z118" s="557"/>
      <c r="AA118" s="557"/>
      <c r="AB118" s="557"/>
      <c r="AC118" s="557"/>
      <c r="AD118" s="557"/>
      <c r="AE118" s="159"/>
      <c r="AI118" s="130"/>
    </row>
    <row r="119" spans="2:35" s="1" customFormat="1" ht="12" customHeight="1" x14ac:dyDescent="0.2">
      <c r="B119" s="24"/>
      <c r="C119" s="528" t="s">
        <v>12</v>
      </c>
      <c r="E119" s="1242" t="s">
        <v>6177</v>
      </c>
      <c r="F119" s="1242"/>
      <c r="G119" s="1242"/>
      <c r="H119" s="1242"/>
      <c r="I119" s="1242"/>
      <c r="J119" s="1242"/>
      <c r="L119" s="24"/>
      <c r="W119" s="158"/>
      <c r="X119" s="538" t="s">
        <v>12</v>
      </c>
      <c r="Y119" s="557"/>
      <c r="Z119" s="1163" t="s">
        <v>6177</v>
      </c>
      <c r="AA119" s="1163"/>
      <c r="AB119" s="1163"/>
      <c r="AC119" s="1163"/>
      <c r="AD119" s="1163"/>
      <c r="AE119" s="1241"/>
      <c r="AI119" s="130"/>
    </row>
    <row r="120" spans="2:35" s="1" customFormat="1" ht="16.5" customHeight="1" x14ac:dyDescent="0.2">
      <c r="B120" s="24"/>
      <c r="C120" s="521"/>
      <c r="E120" s="1243"/>
      <c r="F120" s="1244"/>
      <c r="G120" s="1244"/>
      <c r="H120" s="1244"/>
      <c r="L120" s="24"/>
      <c r="W120" s="158"/>
      <c r="X120" s="557"/>
      <c r="Y120" s="557"/>
      <c r="Z120" s="1249"/>
      <c r="AA120" s="1250"/>
      <c r="AB120" s="1250"/>
      <c r="AC120" s="1250"/>
      <c r="AD120" s="557"/>
      <c r="AE120" s="159"/>
      <c r="AI120" s="130"/>
    </row>
    <row r="121" spans="2:35" s="1" customFormat="1" ht="12" customHeight="1" x14ac:dyDescent="0.2">
      <c r="B121" s="24"/>
      <c r="C121" s="528" t="s">
        <v>186</v>
      </c>
      <c r="F121" s="532" t="s">
        <v>891</v>
      </c>
      <c r="L121" s="24"/>
      <c r="W121" s="158"/>
      <c r="X121" s="538" t="s">
        <v>186</v>
      </c>
      <c r="Y121" s="557"/>
      <c r="Z121" s="557"/>
      <c r="AA121" s="555" t="s">
        <v>891</v>
      </c>
      <c r="AB121" s="557"/>
      <c r="AC121" s="557"/>
      <c r="AD121" s="557"/>
      <c r="AE121" s="159"/>
      <c r="AI121" s="130"/>
    </row>
    <row r="122" spans="2:35" s="1" customFormat="1" ht="16.5" customHeight="1" x14ac:dyDescent="0.2">
      <c r="B122" s="24"/>
      <c r="C122" s="521"/>
      <c r="E122" s="1251"/>
      <c r="F122" s="1252"/>
      <c r="G122" s="1252"/>
      <c r="H122" s="1252"/>
      <c r="L122" s="24"/>
      <c r="W122" s="158"/>
      <c r="X122" s="557"/>
      <c r="Y122" s="557"/>
      <c r="Z122" s="1245"/>
      <c r="AA122" s="1246"/>
      <c r="AB122" s="1246"/>
      <c r="AC122" s="1246"/>
      <c r="AD122" s="557"/>
      <c r="AE122" s="159"/>
      <c r="AI122" s="130"/>
    </row>
    <row r="123" spans="2:35" s="1" customFormat="1" ht="7.05" customHeight="1" x14ac:dyDescent="0.2">
      <c r="B123" s="24"/>
      <c r="C123" s="521"/>
      <c r="L123" s="24"/>
      <c r="W123" s="158"/>
      <c r="X123" s="557"/>
      <c r="Y123" s="557"/>
      <c r="Z123" s="557"/>
      <c r="AA123" s="557"/>
      <c r="AB123" s="557"/>
      <c r="AC123" s="557"/>
      <c r="AD123" s="557"/>
      <c r="AE123" s="159"/>
      <c r="AI123" s="130"/>
    </row>
    <row r="124" spans="2:35" s="1" customFormat="1" ht="12" customHeight="1" x14ac:dyDescent="0.2">
      <c r="B124" s="24"/>
      <c r="C124" s="528" t="s">
        <v>15</v>
      </c>
      <c r="F124" s="19" t="str">
        <f>F12</f>
        <v>Kuzmányho nábrežie 28, 960 01 Zvolen</v>
      </c>
      <c r="I124" s="528" t="s">
        <v>17</v>
      </c>
      <c r="J124" s="39" t="str">
        <f>IF(J12="","",J12)</f>
        <v/>
      </c>
      <c r="L124" s="24"/>
      <c r="W124" s="158"/>
      <c r="X124" s="538" t="s">
        <v>15</v>
      </c>
      <c r="Y124" s="557"/>
      <c r="Z124" s="557"/>
      <c r="AA124" s="558" t="str">
        <f>AA12</f>
        <v>Kuzmányho nábrežie 28, 960 01 Zvolen</v>
      </c>
      <c r="AB124" s="557"/>
      <c r="AC124" s="557"/>
      <c r="AD124" s="538" t="s">
        <v>17</v>
      </c>
      <c r="AE124" s="162" t="str">
        <f>IF(AE12="","",AE12)</f>
        <v/>
      </c>
      <c r="AI124" s="130"/>
    </row>
    <row r="125" spans="2:35" s="1" customFormat="1" ht="7.05" customHeight="1" x14ac:dyDescent="0.2">
      <c r="B125" s="24"/>
      <c r="C125" s="521"/>
      <c r="I125" s="521"/>
      <c r="L125" s="24"/>
      <c r="W125" s="158"/>
      <c r="X125" s="557"/>
      <c r="Y125" s="557"/>
      <c r="Z125" s="557"/>
      <c r="AA125" s="557"/>
      <c r="AB125" s="557"/>
      <c r="AC125" s="557"/>
      <c r="AD125" s="557"/>
      <c r="AE125" s="159"/>
      <c r="AI125" s="130"/>
    </row>
    <row r="126" spans="2:35" s="1" customFormat="1" ht="15.3" customHeight="1" x14ac:dyDescent="0.3">
      <c r="B126" s="24"/>
      <c r="C126" s="528" t="s">
        <v>18</v>
      </c>
      <c r="F126" s="529" t="s">
        <v>6175</v>
      </c>
      <c r="I126" s="528" t="s">
        <v>22</v>
      </c>
      <c r="J126" s="22" t="str">
        <f>E21</f>
        <v xml:space="preserve"> </v>
      </c>
      <c r="L126" s="24"/>
      <c r="W126" s="158"/>
      <c r="X126" s="538" t="s">
        <v>18</v>
      </c>
      <c r="Y126" s="557"/>
      <c r="Z126" s="557"/>
      <c r="AA126" s="576" t="s">
        <v>6175</v>
      </c>
      <c r="AB126" s="557"/>
      <c r="AC126" s="557"/>
      <c r="AD126" s="538" t="s">
        <v>22</v>
      </c>
      <c r="AE126" s="634"/>
      <c r="AI126" s="130"/>
    </row>
    <row r="127" spans="2:35" s="1" customFormat="1" ht="15.3" customHeight="1" x14ac:dyDescent="0.2">
      <c r="B127" s="24"/>
      <c r="C127" s="528" t="s">
        <v>21</v>
      </c>
      <c r="F127" s="529" t="s">
        <v>5202</v>
      </c>
      <c r="I127" s="528" t="s">
        <v>24</v>
      </c>
      <c r="J127" s="22" t="str">
        <f>E24</f>
        <v xml:space="preserve"> </v>
      </c>
      <c r="L127" s="24"/>
      <c r="W127" s="158"/>
      <c r="X127" s="538" t="s">
        <v>21</v>
      </c>
      <c r="Y127" s="557"/>
      <c r="Z127" s="557"/>
      <c r="AA127" s="576" t="s">
        <v>5202</v>
      </c>
      <c r="AB127" s="557"/>
      <c r="AC127" s="557"/>
      <c r="AD127" s="538" t="s">
        <v>24</v>
      </c>
      <c r="AE127" s="181" t="str">
        <f>Z24</f>
        <v/>
      </c>
      <c r="AI127" s="130"/>
    </row>
    <row r="128" spans="2:35" s="1" customFormat="1" ht="10.199999999999999" customHeight="1" x14ac:dyDescent="0.2">
      <c r="B128" s="24"/>
      <c r="L128" s="24"/>
      <c r="W128" s="158"/>
      <c r="X128" s="557"/>
      <c r="Y128" s="557"/>
      <c r="Z128" s="557"/>
      <c r="AA128" s="557"/>
      <c r="AB128" s="557"/>
      <c r="AC128" s="557"/>
      <c r="AD128" s="557"/>
      <c r="AE128" s="159"/>
      <c r="AI128" s="130"/>
    </row>
    <row r="129" spans="2:65" s="10" customFormat="1" ht="29.25" customHeight="1" x14ac:dyDescent="0.2">
      <c r="B129" s="97"/>
      <c r="C129" s="98" t="s">
        <v>215</v>
      </c>
      <c r="D129" s="99" t="s">
        <v>43</v>
      </c>
      <c r="E129" s="99" t="s">
        <v>41</v>
      </c>
      <c r="F129" s="99" t="s">
        <v>42</v>
      </c>
      <c r="G129" s="99" t="s">
        <v>216</v>
      </c>
      <c r="H129" s="99" t="s">
        <v>217</v>
      </c>
      <c r="I129" s="99" t="s">
        <v>218</v>
      </c>
      <c r="J129" s="100" t="s">
        <v>190</v>
      </c>
      <c r="K129" s="101" t="s">
        <v>219</v>
      </c>
      <c r="L129" s="97"/>
      <c r="M129" s="46" t="s">
        <v>1</v>
      </c>
      <c r="N129" s="47" t="s">
        <v>30</v>
      </c>
      <c r="O129" s="47" t="s">
        <v>220</v>
      </c>
      <c r="P129" s="47" t="s">
        <v>221</v>
      </c>
      <c r="Q129" s="47" t="s">
        <v>222</v>
      </c>
      <c r="R129" s="47" t="s">
        <v>223</v>
      </c>
      <c r="S129" s="47" t="s">
        <v>224</v>
      </c>
      <c r="T129" s="48" t="s">
        <v>225</v>
      </c>
      <c r="W129" s="191"/>
      <c r="X129" s="98" t="s">
        <v>215</v>
      </c>
      <c r="Y129" s="99" t="s">
        <v>43</v>
      </c>
      <c r="Z129" s="99" t="s">
        <v>41</v>
      </c>
      <c r="AA129" s="99" t="s">
        <v>42</v>
      </c>
      <c r="AB129" s="99" t="s">
        <v>216</v>
      </c>
      <c r="AC129" s="99" t="s">
        <v>217</v>
      </c>
      <c r="AD129" s="99" t="s">
        <v>218</v>
      </c>
      <c r="AE129" s="192" t="s">
        <v>190</v>
      </c>
      <c r="AF129" s="228" t="s">
        <v>5220</v>
      </c>
      <c r="AI129" s="395"/>
    </row>
    <row r="130" spans="2:65" s="1" customFormat="1" ht="22.95" customHeight="1" x14ac:dyDescent="0.3">
      <c r="B130" s="24"/>
      <c r="C130" s="51" t="s">
        <v>191</v>
      </c>
      <c r="J130" s="102">
        <f>BK130</f>
        <v>53422.83</v>
      </c>
      <c r="L130" s="24"/>
      <c r="M130" s="49"/>
      <c r="N130" s="40"/>
      <c r="O130" s="40"/>
      <c r="P130" s="103">
        <f>P131+P159</f>
        <v>586.53116199999999</v>
      </c>
      <c r="Q130" s="40"/>
      <c r="R130" s="103">
        <f>R131+R159</f>
        <v>33.741099552000001</v>
      </c>
      <c r="S130" s="40"/>
      <c r="T130" s="104">
        <f>T131+T159</f>
        <v>37.493000000000009</v>
      </c>
      <c r="W130" s="158"/>
      <c r="X130" s="193" t="s">
        <v>191</v>
      </c>
      <c r="Y130" s="557"/>
      <c r="Z130" s="557"/>
      <c r="AA130" s="557"/>
      <c r="AB130" s="557"/>
      <c r="AC130" s="557"/>
      <c r="AD130" s="557"/>
      <c r="AE130" s="194">
        <f>AE131+AE159</f>
        <v>70626.795360000004</v>
      </c>
      <c r="AF130" s="227"/>
      <c r="AG130" s="406"/>
      <c r="AH130" s="407"/>
      <c r="AI130" s="406"/>
      <c r="AT130" s="13" t="s">
        <v>57</v>
      </c>
      <c r="AU130" s="13" t="s">
        <v>192</v>
      </c>
      <c r="BK130" s="105">
        <f>BK131+BK159</f>
        <v>53422.83</v>
      </c>
    </row>
    <row r="131" spans="2:65" s="11" customFormat="1" ht="25.95" customHeight="1" x14ac:dyDescent="0.25">
      <c r="B131" s="106"/>
      <c r="D131" s="107" t="s">
        <v>57</v>
      </c>
      <c r="E131" s="108" t="s">
        <v>226</v>
      </c>
      <c r="F131" s="108" t="s">
        <v>227</v>
      </c>
      <c r="J131" s="109">
        <f>BK131</f>
        <v>11428.84</v>
      </c>
      <c r="L131" s="106"/>
      <c r="M131" s="110"/>
      <c r="N131" s="111"/>
      <c r="O131" s="111"/>
      <c r="P131" s="112">
        <f>P132+P137+P140+P143+P148+P157</f>
        <v>568.55481399999996</v>
      </c>
      <c r="Q131" s="111"/>
      <c r="R131" s="112">
        <f>R132+R137+R140+R143+R148+R157</f>
        <v>33.694898999999999</v>
      </c>
      <c r="S131" s="111"/>
      <c r="T131" s="113">
        <f>T132+T137+T140+T143+T148+T157</f>
        <v>37.493000000000009</v>
      </c>
      <c r="W131" s="195"/>
      <c r="X131" s="111"/>
      <c r="Y131" s="196" t="s">
        <v>57</v>
      </c>
      <c r="Z131" s="197" t="s">
        <v>226</v>
      </c>
      <c r="AA131" s="197" t="s">
        <v>227</v>
      </c>
      <c r="AB131" s="111"/>
      <c r="AC131" s="111"/>
      <c r="AD131" s="111"/>
      <c r="AE131" s="198">
        <f>AE132+AE137+AE143+AE140+AE148+AE157</f>
        <v>15072.19</v>
      </c>
      <c r="AF131" s="354"/>
      <c r="AG131" s="292"/>
      <c r="AH131" s="292"/>
      <c r="AI131" s="408"/>
      <c r="AR131" s="107" t="s">
        <v>63</v>
      </c>
      <c r="AT131" s="114" t="s">
        <v>57</v>
      </c>
      <c r="AU131" s="114" t="s">
        <v>58</v>
      </c>
      <c r="AY131" s="107" t="s">
        <v>228</v>
      </c>
      <c r="BK131" s="115">
        <f>BK132+BK137+BK140+BK143+BK148+BK157</f>
        <v>11428.84</v>
      </c>
    </row>
    <row r="132" spans="2:65" s="11" customFormat="1" ht="22.95" customHeight="1" x14ac:dyDescent="0.25">
      <c r="B132" s="106"/>
      <c r="D132" s="107" t="s">
        <v>57</v>
      </c>
      <c r="E132" s="116" t="s">
        <v>63</v>
      </c>
      <c r="F132" s="116" t="s">
        <v>898</v>
      </c>
      <c r="J132" s="117">
        <f>BK132</f>
        <v>830.29</v>
      </c>
      <c r="L132" s="106"/>
      <c r="M132" s="110"/>
      <c r="N132" s="111"/>
      <c r="O132" s="111"/>
      <c r="P132" s="112">
        <f>SUM(P133:P136)</f>
        <v>215.25</v>
      </c>
      <c r="Q132" s="111"/>
      <c r="R132" s="112">
        <f>SUM(R133:R136)</f>
        <v>0</v>
      </c>
      <c r="S132" s="111"/>
      <c r="T132" s="113">
        <f>SUM(T133:T136)</f>
        <v>0</v>
      </c>
      <c r="W132" s="195"/>
      <c r="X132" s="111"/>
      <c r="Y132" s="196" t="s">
        <v>57</v>
      </c>
      <c r="Z132" s="201" t="s">
        <v>63</v>
      </c>
      <c r="AA132" s="201" t="s">
        <v>898</v>
      </c>
      <c r="AB132" s="111"/>
      <c r="AC132" s="111"/>
      <c r="AD132" s="111"/>
      <c r="AE132" s="202">
        <f>SUM(AE133:AE136)</f>
        <v>855.58999999999992</v>
      </c>
      <c r="AF132" s="354"/>
      <c r="AG132" s="292"/>
      <c r="AH132" s="292"/>
      <c r="AI132" s="408"/>
      <c r="AR132" s="107" t="s">
        <v>63</v>
      </c>
      <c r="AT132" s="114" t="s">
        <v>57</v>
      </c>
      <c r="AU132" s="114" t="s">
        <v>63</v>
      </c>
      <c r="AY132" s="107" t="s">
        <v>228</v>
      </c>
      <c r="BK132" s="115">
        <f>SUM(BK133:BK136)</f>
        <v>830.29</v>
      </c>
    </row>
    <row r="133" spans="2:65" s="1" customFormat="1" ht="16.5" customHeight="1" x14ac:dyDescent="0.2">
      <c r="B133" s="118"/>
      <c r="C133" s="205" t="s">
        <v>63</v>
      </c>
      <c r="D133" s="119" t="s">
        <v>231</v>
      </c>
      <c r="E133" s="120" t="s">
        <v>899</v>
      </c>
      <c r="F133" s="121" t="s">
        <v>900</v>
      </c>
      <c r="G133" s="122" t="s">
        <v>234</v>
      </c>
      <c r="H133" s="206">
        <v>26.25</v>
      </c>
      <c r="I133" s="124">
        <v>17.420000000000002</v>
      </c>
      <c r="J133" s="124">
        <f>ROUND(I133*H133,2)</f>
        <v>457.28</v>
      </c>
      <c r="K133" s="121" t="s">
        <v>1</v>
      </c>
      <c r="L133" s="24"/>
      <c r="M133" s="125" t="s">
        <v>1</v>
      </c>
      <c r="N133" s="126" t="s">
        <v>32</v>
      </c>
      <c r="O133" s="127">
        <v>7.2869999999999999</v>
      </c>
      <c r="P133" s="127">
        <f>O133*H133</f>
        <v>191.28375</v>
      </c>
      <c r="Q133" s="127">
        <v>0</v>
      </c>
      <c r="R133" s="127">
        <f>Q133*H133</f>
        <v>0</v>
      </c>
      <c r="S133" s="127">
        <v>0</v>
      </c>
      <c r="T133" s="128">
        <f>S133*H133</f>
        <v>0</v>
      </c>
      <c r="W133" s="199"/>
      <c r="X133" s="205" t="s">
        <v>63</v>
      </c>
      <c r="Y133" s="119" t="s">
        <v>231</v>
      </c>
      <c r="Z133" s="120" t="s">
        <v>899</v>
      </c>
      <c r="AA133" s="121" t="s">
        <v>900</v>
      </c>
      <c r="AB133" s="122" t="s">
        <v>234</v>
      </c>
      <c r="AC133" s="206">
        <f>26.25+0.8</f>
        <v>27.05</v>
      </c>
      <c r="AD133" s="124">
        <v>17.420000000000002</v>
      </c>
      <c r="AE133" s="200">
        <f>ROUND(AD133*AC133,2)</f>
        <v>471.21</v>
      </c>
      <c r="AF133" s="956">
        <v>9</v>
      </c>
      <c r="AG133" s="409"/>
      <c r="AH133" s="406"/>
      <c r="AI133" s="408"/>
      <c r="AR133" s="129" t="s">
        <v>235</v>
      </c>
      <c r="AT133" s="129" t="s">
        <v>231</v>
      </c>
      <c r="AU133" s="129" t="s">
        <v>76</v>
      </c>
      <c r="AY133" s="13" t="s">
        <v>228</v>
      </c>
      <c r="BE133" s="130">
        <f>IF(N133="základná",J133,0)</f>
        <v>0</v>
      </c>
      <c r="BF133" s="130">
        <f>IF(N133="znížená",J133,0)</f>
        <v>457.28</v>
      </c>
      <c r="BG133" s="130">
        <f>IF(N133="zákl. prenesená",J133,0)</f>
        <v>0</v>
      </c>
      <c r="BH133" s="130">
        <f>IF(N133="zníž. prenesená",J133,0)</f>
        <v>0</v>
      </c>
      <c r="BI133" s="130">
        <f>IF(N133="nulová",J133,0)</f>
        <v>0</v>
      </c>
      <c r="BJ133" s="13" t="s">
        <v>76</v>
      </c>
      <c r="BK133" s="130">
        <f>ROUND(I133*H133,2)</f>
        <v>457.28</v>
      </c>
      <c r="BL133" s="13" t="s">
        <v>235</v>
      </c>
      <c r="BM133" s="129" t="s">
        <v>76</v>
      </c>
    </row>
    <row r="134" spans="2:65" s="1" customFormat="1" ht="22.2" customHeight="1" x14ac:dyDescent="0.2">
      <c r="B134" s="118"/>
      <c r="C134" s="205" t="s">
        <v>76</v>
      </c>
      <c r="D134" s="119" t="s">
        <v>231</v>
      </c>
      <c r="E134" s="120" t="s">
        <v>901</v>
      </c>
      <c r="F134" s="121" t="s">
        <v>902</v>
      </c>
      <c r="G134" s="122" t="s">
        <v>234</v>
      </c>
      <c r="H134" s="206">
        <v>26.25</v>
      </c>
      <c r="I134" s="124">
        <v>1.43</v>
      </c>
      <c r="J134" s="124">
        <f>ROUND(I134*H134,2)</f>
        <v>37.54</v>
      </c>
      <c r="K134" s="121" t="s">
        <v>1</v>
      </c>
      <c r="L134" s="24"/>
      <c r="M134" s="125" t="s">
        <v>1</v>
      </c>
      <c r="N134" s="126" t="s">
        <v>32</v>
      </c>
      <c r="O134" s="127">
        <v>8.1000000000000003E-2</v>
      </c>
      <c r="P134" s="127">
        <f>O134*H134</f>
        <v>2.1262500000000002</v>
      </c>
      <c r="Q134" s="127">
        <v>0</v>
      </c>
      <c r="R134" s="127">
        <f>Q134*H134</f>
        <v>0</v>
      </c>
      <c r="S134" s="127">
        <v>0</v>
      </c>
      <c r="T134" s="128">
        <f>S134*H134</f>
        <v>0</v>
      </c>
      <c r="W134" s="199"/>
      <c r="X134" s="205" t="s">
        <v>76</v>
      </c>
      <c r="Y134" s="119" t="s">
        <v>231</v>
      </c>
      <c r="Z134" s="120" t="s">
        <v>901</v>
      </c>
      <c r="AA134" s="121" t="s">
        <v>902</v>
      </c>
      <c r="AB134" s="122" t="s">
        <v>234</v>
      </c>
      <c r="AC134" s="206">
        <f>26.25+0.8</f>
        <v>27.05</v>
      </c>
      <c r="AD134" s="124">
        <v>1.43</v>
      </c>
      <c r="AE134" s="200">
        <f>ROUND(AD134*AC134,2)</f>
        <v>38.68</v>
      </c>
      <c r="AF134" s="956">
        <v>9</v>
      </c>
      <c r="AG134" s="409"/>
      <c r="AH134" s="406"/>
      <c r="AI134" s="408"/>
      <c r="AR134" s="129" t="s">
        <v>235</v>
      </c>
      <c r="AT134" s="129" t="s">
        <v>231</v>
      </c>
      <c r="AU134" s="129" t="s">
        <v>76</v>
      </c>
      <c r="AY134" s="13" t="s">
        <v>228</v>
      </c>
      <c r="BE134" s="130">
        <f>IF(N134="základná",J134,0)</f>
        <v>0</v>
      </c>
      <c r="BF134" s="130">
        <f>IF(N134="znížená",J134,0)</f>
        <v>37.54</v>
      </c>
      <c r="BG134" s="130">
        <f>IF(N134="zákl. prenesená",J134,0)</f>
        <v>0</v>
      </c>
      <c r="BH134" s="130">
        <f>IF(N134="zníž. prenesená",J134,0)</f>
        <v>0</v>
      </c>
      <c r="BI134" s="130">
        <f>IF(N134="nulová",J134,0)</f>
        <v>0</v>
      </c>
      <c r="BJ134" s="13" t="s">
        <v>76</v>
      </c>
      <c r="BK134" s="130">
        <f>ROUND(I134*H134,2)</f>
        <v>37.54</v>
      </c>
      <c r="BL134" s="13" t="s">
        <v>235</v>
      </c>
      <c r="BM134" s="129" t="s">
        <v>235</v>
      </c>
    </row>
    <row r="135" spans="2:65" s="1" customFormat="1" ht="24" customHeight="1" x14ac:dyDescent="0.2">
      <c r="B135" s="118"/>
      <c r="C135" s="205" t="s">
        <v>229</v>
      </c>
      <c r="D135" s="119" t="s">
        <v>231</v>
      </c>
      <c r="E135" s="120" t="s">
        <v>903</v>
      </c>
      <c r="F135" s="121" t="s">
        <v>904</v>
      </c>
      <c r="G135" s="122" t="s">
        <v>234</v>
      </c>
      <c r="H135" s="206">
        <v>26.25</v>
      </c>
      <c r="I135" s="124">
        <v>6.97</v>
      </c>
      <c r="J135" s="124">
        <f>ROUND(I135*H135,2)</f>
        <v>182.96</v>
      </c>
      <c r="K135" s="121" t="s">
        <v>1</v>
      </c>
      <c r="L135" s="24"/>
      <c r="M135" s="125" t="s">
        <v>1</v>
      </c>
      <c r="N135" s="126" t="s">
        <v>32</v>
      </c>
      <c r="O135" s="127">
        <v>0</v>
      </c>
      <c r="P135" s="127">
        <f>O135*H135</f>
        <v>0</v>
      </c>
      <c r="Q135" s="127">
        <v>0</v>
      </c>
      <c r="R135" s="127">
        <f>Q135*H135</f>
        <v>0</v>
      </c>
      <c r="S135" s="127">
        <v>0</v>
      </c>
      <c r="T135" s="128">
        <f>S135*H135</f>
        <v>0</v>
      </c>
      <c r="W135" s="199"/>
      <c r="X135" s="205" t="s">
        <v>229</v>
      </c>
      <c r="Y135" s="119" t="s">
        <v>231</v>
      </c>
      <c r="Z135" s="120" t="s">
        <v>903</v>
      </c>
      <c r="AA135" s="121" t="s">
        <v>904</v>
      </c>
      <c r="AB135" s="122" t="s">
        <v>234</v>
      </c>
      <c r="AC135" s="206">
        <f>26.25+0.8</f>
        <v>27.05</v>
      </c>
      <c r="AD135" s="124">
        <v>6.97</v>
      </c>
      <c r="AE135" s="200">
        <f>ROUND(AD135*AC135,2)</f>
        <v>188.54</v>
      </c>
      <c r="AF135" s="956">
        <v>9</v>
      </c>
      <c r="AG135" s="409"/>
      <c r="AH135" s="406"/>
      <c r="AI135" s="408"/>
      <c r="AR135" s="129" t="s">
        <v>235</v>
      </c>
      <c r="AT135" s="129" t="s">
        <v>231</v>
      </c>
      <c r="AU135" s="129" t="s">
        <v>76</v>
      </c>
      <c r="AY135" s="13" t="s">
        <v>228</v>
      </c>
      <c r="BE135" s="130">
        <f>IF(N135="základná",J135,0)</f>
        <v>0</v>
      </c>
      <c r="BF135" s="130">
        <f>IF(N135="znížená",J135,0)</f>
        <v>182.96</v>
      </c>
      <c r="BG135" s="130">
        <f>IF(N135="zákl. prenesená",J135,0)</f>
        <v>0</v>
      </c>
      <c r="BH135" s="130">
        <f>IF(N135="zníž. prenesená",J135,0)</f>
        <v>0</v>
      </c>
      <c r="BI135" s="130">
        <f>IF(N135="nulová",J135,0)</f>
        <v>0</v>
      </c>
      <c r="BJ135" s="13" t="s">
        <v>76</v>
      </c>
      <c r="BK135" s="130">
        <f>ROUND(I135*H135,2)</f>
        <v>182.96</v>
      </c>
      <c r="BL135" s="13" t="s">
        <v>235</v>
      </c>
      <c r="BM135" s="129" t="s">
        <v>240</v>
      </c>
    </row>
    <row r="136" spans="2:65" s="1" customFormat="1" ht="16.5" customHeight="1" x14ac:dyDescent="0.2">
      <c r="B136" s="118"/>
      <c r="C136" s="205" t="s">
        <v>235</v>
      </c>
      <c r="D136" s="119" t="s">
        <v>231</v>
      </c>
      <c r="E136" s="120" t="s">
        <v>905</v>
      </c>
      <c r="F136" s="121" t="s">
        <v>906</v>
      </c>
      <c r="G136" s="122" t="s">
        <v>234</v>
      </c>
      <c r="H136" s="206">
        <v>26.25</v>
      </c>
      <c r="I136" s="124">
        <v>5.81</v>
      </c>
      <c r="J136" s="124">
        <f>ROUND(I136*H136,2)</f>
        <v>152.51</v>
      </c>
      <c r="K136" s="121" t="s">
        <v>1</v>
      </c>
      <c r="L136" s="24"/>
      <c r="M136" s="125" t="s">
        <v>1</v>
      </c>
      <c r="N136" s="126" t="s">
        <v>32</v>
      </c>
      <c r="O136" s="127">
        <v>0.83199999999999996</v>
      </c>
      <c r="P136" s="127">
        <f>O136*H136</f>
        <v>21.84</v>
      </c>
      <c r="Q136" s="127">
        <v>0</v>
      </c>
      <c r="R136" s="127">
        <f>Q136*H136</f>
        <v>0</v>
      </c>
      <c r="S136" s="127">
        <v>0</v>
      </c>
      <c r="T136" s="128">
        <f>S136*H136</f>
        <v>0</v>
      </c>
      <c r="W136" s="199"/>
      <c r="X136" s="205" t="s">
        <v>235</v>
      </c>
      <c r="Y136" s="119" t="s">
        <v>231</v>
      </c>
      <c r="Z136" s="120" t="s">
        <v>905</v>
      </c>
      <c r="AA136" s="121" t="s">
        <v>906</v>
      </c>
      <c r="AB136" s="122" t="s">
        <v>234</v>
      </c>
      <c r="AC136" s="206">
        <f>26.25+0.8</f>
        <v>27.05</v>
      </c>
      <c r="AD136" s="124">
        <v>5.81</v>
      </c>
      <c r="AE136" s="200">
        <f>ROUND(AD136*AC136,2)</f>
        <v>157.16</v>
      </c>
      <c r="AF136" s="956">
        <v>9</v>
      </c>
      <c r="AG136" s="409"/>
      <c r="AH136" s="406"/>
      <c r="AI136" s="408"/>
      <c r="AR136" s="129" t="s">
        <v>235</v>
      </c>
      <c r="AT136" s="129" t="s">
        <v>231</v>
      </c>
      <c r="AU136" s="129" t="s">
        <v>76</v>
      </c>
      <c r="AY136" s="13" t="s">
        <v>228</v>
      </c>
      <c r="BE136" s="130">
        <f>IF(N136="základná",J136,0)</f>
        <v>0</v>
      </c>
      <c r="BF136" s="130">
        <f>IF(N136="znížená",J136,0)</f>
        <v>152.51</v>
      </c>
      <c r="BG136" s="130">
        <f>IF(N136="zákl. prenesená",J136,0)</f>
        <v>0</v>
      </c>
      <c r="BH136" s="130">
        <f>IF(N136="zníž. prenesená",J136,0)</f>
        <v>0</v>
      </c>
      <c r="BI136" s="130">
        <f>IF(N136="nulová",J136,0)</f>
        <v>0</v>
      </c>
      <c r="BJ136" s="13" t="s">
        <v>76</v>
      </c>
      <c r="BK136" s="130">
        <f>ROUND(I136*H136,2)</f>
        <v>152.51</v>
      </c>
      <c r="BL136" s="13" t="s">
        <v>235</v>
      </c>
      <c r="BM136" s="129" t="s">
        <v>244</v>
      </c>
    </row>
    <row r="137" spans="2:65" s="11" customFormat="1" ht="22.95" customHeight="1" x14ac:dyDescent="0.25">
      <c r="B137" s="106"/>
      <c r="D137" s="107" t="s">
        <v>57</v>
      </c>
      <c r="E137" s="116" t="s">
        <v>76</v>
      </c>
      <c r="F137" s="116" t="s">
        <v>907</v>
      </c>
      <c r="J137" s="117">
        <f>BK137</f>
        <v>2042.12</v>
      </c>
      <c r="L137" s="106"/>
      <c r="M137" s="110"/>
      <c r="N137" s="111"/>
      <c r="O137" s="111"/>
      <c r="P137" s="112">
        <f>SUM(P138:P139)</f>
        <v>9.0979769999999984</v>
      </c>
      <c r="Q137" s="111"/>
      <c r="R137" s="112">
        <f>SUM(R138:R139)</f>
        <v>33.694898999999999</v>
      </c>
      <c r="S137" s="111"/>
      <c r="T137" s="113">
        <f>SUM(T138:T139)</f>
        <v>0</v>
      </c>
      <c r="W137" s="195"/>
      <c r="X137" s="111"/>
      <c r="Y137" s="196" t="s">
        <v>57</v>
      </c>
      <c r="Z137" s="201" t="s">
        <v>76</v>
      </c>
      <c r="AA137" s="201" t="s">
        <v>907</v>
      </c>
      <c r="AB137" s="111"/>
      <c r="AC137" s="111"/>
      <c r="AD137" s="111"/>
      <c r="AE137" s="202">
        <f>SUM(AE138:AE139)</f>
        <v>2640.06</v>
      </c>
      <c r="AF137" s="956"/>
      <c r="AG137" s="409"/>
      <c r="AH137" s="406"/>
      <c r="AI137" s="408"/>
      <c r="AR137" s="107" t="s">
        <v>63</v>
      </c>
      <c r="AT137" s="114" t="s">
        <v>57</v>
      </c>
      <c r="AU137" s="114" t="s">
        <v>63</v>
      </c>
      <c r="AY137" s="107" t="s">
        <v>228</v>
      </c>
      <c r="BK137" s="115">
        <f>SUM(BK138:BK139)</f>
        <v>2042.12</v>
      </c>
    </row>
    <row r="138" spans="2:65" s="1" customFormat="1" ht="24" customHeight="1" x14ac:dyDescent="0.2">
      <c r="B138" s="118"/>
      <c r="C138" s="205" t="s">
        <v>245</v>
      </c>
      <c r="D138" s="119" t="s">
        <v>231</v>
      </c>
      <c r="E138" s="120" t="s">
        <v>908</v>
      </c>
      <c r="F138" s="121" t="s">
        <v>909</v>
      </c>
      <c r="G138" s="122" t="s">
        <v>234</v>
      </c>
      <c r="H138" s="206">
        <v>26.25</v>
      </c>
      <c r="I138" s="124">
        <v>29.03</v>
      </c>
      <c r="J138" s="124">
        <f>ROUND(I138*H138,2)</f>
        <v>762.04</v>
      </c>
      <c r="K138" s="121" t="s">
        <v>1</v>
      </c>
      <c r="L138" s="24"/>
      <c r="M138" s="125" t="s">
        <v>1</v>
      </c>
      <c r="N138" s="126" t="s">
        <v>32</v>
      </c>
      <c r="O138" s="127">
        <v>0</v>
      </c>
      <c r="P138" s="127">
        <f>O138*H138</f>
        <v>0</v>
      </c>
      <c r="Q138" s="127">
        <v>0</v>
      </c>
      <c r="R138" s="127">
        <f>Q138*H138</f>
        <v>0</v>
      </c>
      <c r="S138" s="127">
        <v>0</v>
      </c>
      <c r="T138" s="128">
        <f>S138*H138</f>
        <v>0</v>
      </c>
      <c r="W138" s="199"/>
      <c r="X138" s="205" t="s">
        <v>245</v>
      </c>
      <c r="Y138" s="119" t="s">
        <v>231</v>
      </c>
      <c r="Z138" s="120" t="s">
        <v>908</v>
      </c>
      <c r="AA138" s="121" t="s">
        <v>909</v>
      </c>
      <c r="AB138" s="122" t="s">
        <v>234</v>
      </c>
      <c r="AC138" s="206">
        <f>26.25+0.8</f>
        <v>27.05</v>
      </c>
      <c r="AD138" s="124">
        <v>29.03</v>
      </c>
      <c r="AE138" s="200">
        <f>ROUND(AD138*AC138,2)</f>
        <v>785.26</v>
      </c>
      <c r="AF138" s="956">
        <v>9</v>
      </c>
      <c r="AG138" s="409"/>
      <c r="AH138" s="406"/>
      <c r="AI138" s="408"/>
      <c r="AR138" s="129" t="s">
        <v>235</v>
      </c>
      <c r="AT138" s="129" t="s">
        <v>231</v>
      </c>
      <c r="AU138" s="129" t="s">
        <v>76</v>
      </c>
      <c r="AY138" s="13" t="s">
        <v>228</v>
      </c>
      <c r="BE138" s="130">
        <f>IF(N138="základná",J138,0)</f>
        <v>0</v>
      </c>
      <c r="BF138" s="130">
        <f>IF(N138="znížená",J138,0)</f>
        <v>762.04</v>
      </c>
      <c r="BG138" s="130">
        <f>IF(N138="zákl. prenesená",J138,0)</f>
        <v>0</v>
      </c>
      <c r="BH138" s="130">
        <f>IF(N138="zníž. prenesená",J138,0)</f>
        <v>0</v>
      </c>
      <c r="BI138" s="130">
        <f>IF(N138="nulová",J138,0)</f>
        <v>0</v>
      </c>
      <c r="BJ138" s="13" t="s">
        <v>76</v>
      </c>
      <c r="BK138" s="130">
        <f>ROUND(I138*H138,2)</f>
        <v>762.04</v>
      </c>
      <c r="BL138" s="13" t="s">
        <v>235</v>
      </c>
      <c r="BM138" s="129" t="s">
        <v>248</v>
      </c>
    </row>
    <row r="139" spans="2:65" s="1" customFormat="1" ht="16.5" customHeight="1" x14ac:dyDescent="0.2">
      <c r="B139" s="118"/>
      <c r="C139" s="205" t="s">
        <v>240</v>
      </c>
      <c r="D139" s="119" t="s">
        <v>231</v>
      </c>
      <c r="E139" s="120" t="s">
        <v>910</v>
      </c>
      <c r="F139" s="121" t="s">
        <v>911</v>
      </c>
      <c r="G139" s="122" t="s">
        <v>234</v>
      </c>
      <c r="H139" s="206">
        <v>14.7</v>
      </c>
      <c r="I139" s="124">
        <v>87.08</v>
      </c>
      <c r="J139" s="124">
        <f>ROUND(I139*H139,2)</f>
        <v>1280.08</v>
      </c>
      <c r="K139" s="121" t="s">
        <v>1</v>
      </c>
      <c r="L139" s="24"/>
      <c r="M139" s="125" t="s">
        <v>1</v>
      </c>
      <c r="N139" s="126" t="s">
        <v>32</v>
      </c>
      <c r="O139" s="127">
        <v>0.61890999999999996</v>
      </c>
      <c r="P139" s="127">
        <f>O139*H139</f>
        <v>9.0979769999999984</v>
      </c>
      <c r="Q139" s="127">
        <v>2.29217</v>
      </c>
      <c r="R139" s="127">
        <f>Q139*H139</f>
        <v>33.694898999999999</v>
      </c>
      <c r="S139" s="127">
        <v>0</v>
      </c>
      <c r="T139" s="128">
        <f>S139*H139</f>
        <v>0</v>
      </c>
      <c r="W139" s="199"/>
      <c r="X139" s="205" t="s">
        <v>240</v>
      </c>
      <c r="Y139" s="119" t="s">
        <v>231</v>
      </c>
      <c r="Z139" s="120" t="s">
        <v>910</v>
      </c>
      <c r="AA139" s="121" t="s">
        <v>911</v>
      </c>
      <c r="AB139" s="122" t="s">
        <v>234</v>
      </c>
      <c r="AC139" s="206">
        <f>14.7+6.6</f>
        <v>21.299999999999997</v>
      </c>
      <c r="AD139" s="124">
        <v>87.08</v>
      </c>
      <c r="AE139" s="200">
        <f>ROUND(AD139*AC139,2)</f>
        <v>1854.8</v>
      </c>
      <c r="AF139" s="956">
        <v>9</v>
      </c>
      <c r="AG139" s="409"/>
      <c r="AH139" s="406"/>
      <c r="AI139" s="408"/>
      <c r="AR139" s="129" t="s">
        <v>235</v>
      </c>
      <c r="AT139" s="129" t="s">
        <v>231</v>
      </c>
      <c r="AU139" s="129" t="s">
        <v>76</v>
      </c>
      <c r="AY139" s="13" t="s">
        <v>228</v>
      </c>
      <c r="BE139" s="130">
        <f>IF(N139="základná",J139,0)</f>
        <v>0</v>
      </c>
      <c r="BF139" s="130">
        <f>IF(N139="znížená",J139,0)</f>
        <v>1280.08</v>
      </c>
      <c r="BG139" s="130">
        <f>IF(N139="zákl. prenesená",J139,0)</f>
        <v>0</v>
      </c>
      <c r="BH139" s="130">
        <f>IF(N139="zníž. prenesená",J139,0)</f>
        <v>0</v>
      </c>
      <c r="BI139" s="130">
        <f>IF(N139="nulová",J139,0)</f>
        <v>0</v>
      </c>
      <c r="BJ139" s="13" t="s">
        <v>76</v>
      </c>
      <c r="BK139" s="130">
        <f>ROUND(I139*H139,2)</f>
        <v>1280.08</v>
      </c>
      <c r="BL139" s="13" t="s">
        <v>235</v>
      </c>
      <c r="BM139" s="129" t="s">
        <v>251</v>
      </c>
    </row>
    <row r="140" spans="2:65" s="11" customFormat="1" ht="22.95" customHeight="1" x14ac:dyDescent="0.25">
      <c r="B140" s="106"/>
      <c r="D140" s="107" t="s">
        <v>57</v>
      </c>
      <c r="E140" s="116" t="s">
        <v>563</v>
      </c>
      <c r="F140" s="116" t="s">
        <v>912</v>
      </c>
      <c r="J140" s="117">
        <f>BK140</f>
        <v>3099.18</v>
      </c>
      <c r="L140" s="106"/>
      <c r="M140" s="110"/>
      <c r="N140" s="111"/>
      <c r="O140" s="111"/>
      <c r="P140" s="112">
        <f>P141</f>
        <v>0</v>
      </c>
      <c r="Q140" s="111"/>
      <c r="R140" s="112">
        <f>R141</f>
        <v>0</v>
      </c>
      <c r="S140" s="111"/>
      <c r="T140" s="113">
        <f>T141</f>
        <v>0</v>
      </c>
      <c r="W140" s="195"/>
      <c r="X140" s="111"/>
      <c r="Y140" s="196" t="s">
        <v>57</v>
      </c>
      <c r="Z140" s="201" t="s">
        <v>563</v>
      </c>
      <c r="AA140" s="201" t="s">
        <v>912</v>
      </c>
      <c r="AB140" s="111"/>
      <c r="AC140" s="111"/>
      <c r="AD140" s="111"/>
      <c r="AE140" s="202">
        <f>SUM(AE141:AE142)</f>
        <v>4318.4399999999996</v>
      </c>
      <c r="AF140" s="956"/>
      <c r="AG140" s="409"/>
      <c r="AH140" s="406"/>
      <c r="AI140" s="408"/>
      <c r="AR140" s="107" t="s">
        <v>63</v>
      </c>
      <c r="AT140" s="114" t="s">
        <v>57</v>
      </c>
      <c r="AU140" s="114" t="s">
        <v>63</v>
      </c>
      <c r="AY140" s="107" t="s">
        <v>228</v>
      </c>
      <c r="BK140" s="115">
        <f>BK141</f>
        <v>3099.18</v>
      </c>
    </row>
    <row r="141" spans="2:65" s="1" customFormat="1" ht="24" customHeight="1" x14ac:dyDescent="0.2">
      <c r="B141" s="118"/>
      <c r="C141" s="205" t="s">
        <v>252</v>
      </c>
      <c r="D141" s="119" t="s">
        <v>231</v>
      </c>
      <c r="E141" s="120" t="s">
        <v>913</v>
      </c>
      <c r="F141" s="121" t="s">
        <v>914</v>
      </c>
      <c r="G141" s="122" t="s">
        <v>292</v>
      </c>
      <c r="H141" s="206">
        <v>314</v>
      </c>
      <c r="I141" s="124">
        <v>9.8699999999999992</v>
      </c>
      <c r="J141" s="124">
        <f>ROUND(I141*H141,2)</f>
        <v>3099.18</v>
      </c>
      <c r="K141" s="121" t="s">
        <v>1</v>
      </c>
      <c r="L141" s="24"/>
      <c r="M141" s="125" t="s">
        <v>1</v>
      </c>
      <c r="N141" s="126" t="s">
        <v>32</v>
      </c>
      <c r="O141" s="127">
        <v>0</v>
      </c>
      <c r="P141" s="127">
        <f>O141*H141</f>
        <v>0</v>
      </c>
      <c r="Q141" s="127">
        <v>0</v>
      </c>
      <c r="R141" s="127">
        <f>Q141*H141</f>
        <v>0</v>
      </c>
      <c r="S141" s="127">
        <v>0</v>
      </c>
      <c r="T141" s="128">
        <f>S141*H141</f>
        <v>0</v>
      </c>
      <c r="W141" s="199"/>
      <c r="X141" s="205" t="s">
        <v>252</v>
      </c>
      <c r="Y141" s="119" t="s">
        <v>231</v>
      </c>
      <c r="Z141" s="120" t="s">
        <v>913</v>
      </c>
      <c r="AA141" s="121" t="s">
        <v>914</v>
      </c>
      <c r="AB141" s="122" t="s">
        <v>292</v>
      </c>
      <c r="AC141" s="206">
        <f>314+108+4</f>
        <v>426</v>
      </c>
      <c r="AD141" s="124">
        <v>9.8699999999999992</v>
      </c>
      <c r="AE141" s="200">
        <f>ROUND(AD141*AC141,2)</f>
        <v>4204.62</v>
      </c>
      <c r="AF141" s="956" t="s">
        <v>6230</v>
      </c>
      <c r="AG141" s="409"/>
      <c r="AH141" s="406"/>
      <c r="AI141" s="408"/>
      <c r="AR141" s="129" t="s">
        <v>235</v>
      </c>
      <c r="AT141" s="129" t="s">
        <v>231</v>
      </c>
      <c r="AU141" s="129" t="s">
        <v>76</v>
      </c>
      <c r="AY141" s="13" t="s">
        <v>228</v>
      </c>
      <c r="BE141" s="130">
        <f>IF(N141="základná",J141,0)</f>
        <v>0</v>
      </c>
      <c r="BF141" s="130">
        <f>IF(N141="znížená",J141,0)</f>
        <v>3099.18</v>
      </c>
      <c r="BG141" s="130">
        <f>IF(N141="zákl. prenesená",J141,0)</f>
        <v>0</v>
      </c>
      <c r="BH141" s="130">
        <f>IF(N141="zníž. prenesená",J141,0)</f>
        <v>0</v>
      </c>
      <c r="BI141" s="130">
        <f>IF(N141="nulová",J141,0)</f>
        <v>0</v>
      </c>
      <c r="BJ141" s="13" t="s">
        <v>76</v>
      </c>
      <c r="BK141" s="130">
        <f>ROUND(I141*H141,2)</f>
        <v>3099.18</v>
      </c>
      <c r="BL141" s="13" t="s">
        <v>235</v>
      </c>
      <c r="BM141" s="129" t="s">
        <v>255</v>
      </c>
    </row>
    <row r="142" spans="2:65" s="1084" customFormat="1" ht="24" customHeight="1" x14ac:dyDescent="0.2">
      <c r="B142" s="1028"/>
      <c r="C142" s="1234" t="s">
        <v>5205</v>
      </c>
      <c r="D142" s="1235"/>
      <c r="E142" s="1235"/>
      <c r="F142" s="1235"/>
      <c r="G142" s="1235"/>
      <c r="H142" s="1235"/>
      <c r="I142" s="1235"/>
      <c r="J142" s="1236"/>
      <c r="K142" s="1000"/>
      <c r="L142" s="1027"/>
      <c r="M142" s="1035"/>
      <c r="N142" s="1036"/>
      <c r="O142" s="1037"/>
      <c r="P142" s="1037"/>
      <c r="Q142" s="1037"/>
      <c r="R142" s="1037"/>
      <c r="S142" s="1037"/>
      <c r="T142" s="1038"/>
      <c r="W142" s="1041"/>
      <c r="X142" s="1072" t="s">
        <v>6559</v>
      </c>
      <c r="Y142" s="1072" t="s">
        <v>231</v>
      </c>
      <c r="Z142" s="1073" t="s">
        <v>4426</v>
      </c>
      <c r="AA142" s="1074" t="s">
        <v>6709</v>
      </c>
      <c r="AB142" s="1075" t="s">
        <v>292</v>
      </c>
      <c r="AC142" s="1076">
        <f>14</f>
        <v>14</v>
      </c>
      <c r="AD142" s="1077">
        <v>8.1300000000000008</v>
      </c>
      <c r="AE142" s="1077">
        <f>ROUND(AD142*AC142,2)</f>
        <v>113.82</v>
      </c>
      <c r="AF142" s="956">
        <v>22</v>
      </c>
      <c r="AG142" s="409"/>
      <c r="AH142" s="406"/>
      <c r="AI142" s="408"/>
      <c r="AR142" s="1039"/>
      <c r="AT142" s="1039"/>
      <c r="AU142" s="1039"/>
      <c r="AY142" s="1026"/>
      <c r="BE142" s="1040"/>
      <c r="BF142" s="1040"/>
      <c r="BG142" s="1040"/>
      <c r="BH142" s="1040"/>
      <c r="BI142" s="1040"/>
      <c r="BJ142" s="1026"/>
      <c r="BK142" s="1040"/>
      <c r="BL142" s="1026"/>
      <c r="BM142" s="1039"/>
    </row>
    <row r="143" spans="2:65" s="11" customFormat="1" ht="22.95" customHeight="1" x14ac:dyDescent="0.25">
      <c r="B143" s="106"/>
      <c r="D143" s="107" t="s">
        <v>57</v>
      </c>
      <c r="E143" s="116" t="s">
        <v>404</v>
      </c>
      <c r="F143" s="116" t="s">
        <v>411</v>
      </c>
      <c r="J143" s="117">
        <f>BK143</f>
        <v>1886.68</v>
      </c>
      <c r="L143" s="106"/>
      <c r="M143" s="110"/>
      <c r="N143" s="111"/>
      <c r="O143" s="111"/>
      <c r="P143" s="112">
        <f>SUM(P144:P147)</f>
        <v>162.05766299999999</v>
      </c>
      <c r="Q143" s="111"/>
      <c r="R143" s="112">
        <f>SUM(R144:R147)</f>
        <v>0</v>
      </c>
      <c r="S143" s="111"/>
      <c r="T143" s="113">
        <f>SUM(T144:T147)</f>
        <v>35.738000000000007</v>
      </c>
      <c r="W143" s="195"/>
      <c r="X143" s="111"/>
      <c r="Y143" s="196" t="s">
        <v>57</v>
      </c>
      <c r="Z143" s="201" t="s">
        <v>404</v>
      </c>
      <c r="AA143" s="201" t="s">
        <v>411</v>
      </c>
      <c r="AB143" s="111"/>
      <c r="AC143" s="111"/>
      <c r="AD143" s="111"/>
      <c r="AE143" s="202">
        <f>SUM(AE144:AE147)</f>
        <v>2792.89</v>
      </c>
      <c r="AF143" s="956"/>
      <c r="AG143" s="409"/>
      <c r="AH143" s="406"/>
      <c r="AI143" s="408"/>
      <c r="AR143" s="107" t="s">
        <v>63</v>
      </c>
      <c r="AT143" s="114" t="s">
        <v>57</v>
      </c>
      <c r="AU143" s="114" t="s">
        <v>63</v>
      </c>
      <c r="AY143" s="107" t="s">
        <v>228</v>
      </c>
      <c r="BK143" s="115">
        <f>SUM(BK144:BK147)</f>
        <v>1886.68</v>
      </c>
    </row>
    <row r="144" spans="2:65" s="1" customFormat="1" ht="16.5" customHeight="1" x14ac:dyDescent="0.2">
      <c r="B144" s="118"/>
      <c r="C144" s="205" t="s">
        <v>244</v>
      </c>
      <c r="D144" s="119" t="s">
        <v>231</v>
      </c>
      <c r="E144" s="120" t="s">
        <v>915</v>
      </c>
      <c r="F144" s="121" t="s">
        <v>916</v>
      </c>
      <c r="G144" s="122" t="s">
        <v>234</v>
      </c>
      <c r="H144" s="206">
        <v>14.7</v>
      </c>
      <c r="I144" s="124">
        <v>109.69</v>
      </c>
      <c r="J144" s="124">
        <f>ROUND(I144*H144,2)</f>
        <v>1612.44</v>
      </c>
      <c r="K144" s="121" t="s">
        <v>1</v>
      </c>
      <c r="L144" s="24"/>
      <c r="M144" s="125" t="s">
        <v>1</v>
      </c>
      <c r="N144" s="126" t="s">
        <v>32</v>
      </c>
      <c r="O144" s="127">
        <v>9.6422899999999991</v>
      </c>
      <c r="P144" s="127">
        <f>O144*H144</f>
        <v>141.74166299999999</v>
      </c>
      <c r="Q144" s="127">
        <v>0</v>
      </c>
      <c r="R144" s="127">
        <f>Q144*H144</f>
        <v>0</v>
      </c>
      <c r="S144" s="127">
        <v>2.2000000000000002</v>
      </c>
      <c r="T144" s="128">
        <f>S144*H144</f>
        <v>32.340000000000003</v>
      </c>
      <c r="W144" s="199"/>
      <c r="X144" s="205" t="s">
        <v>244</v>
      </c>
      <c r="Y144" s="119" t="s">
        <v>231</v>
      </c>
      <c r="Z144" s="120" t="s">
        <v>915</v>
      </c>
      <c r="AA144" s="121" t="s">
        <v>916</v>
      </c>
      <c r="AB144" s="122" t="s">
        <v>234</v>
      </c>
      <c r="AC144" s="206">
        <f>14.7+6.6+0.15</f>
        <v>21.449999999999996</v>
      </c>
      <c r="AD144" s="124">
        <v>109.69</v>
      </c>
      <c r="AE144" s="200">
        <f>ROUND(AD144*AC144,2)</f>
        <v>2352.85</v>
      </c>
      <c r="AF144" s="956" t="s">
        <v>6230</v>
      </c>
      <c r="AG144" s="409"/>
      <c r="AH144" s="406"/>
      <c r="AI144" s="408"/>
      <c r="AR144" s="129" t="s">
        <v>235</v>
      </c>
      <c r="AT144" s="129" t="s">
        <v>231</v>
      </c>
      <c r="AU144" s="129" t="s">
        <v>76</v>
      </c>
      <c r="AY144" s="13" t="s">
        <v>228</v>
      </c>
      <c r="BE144" s="130">
        <f>IF(N144="základná",J144,0)</f>
        <v>0</v>
      </c>
      <c r="BF144" s="130">
        <f>IF(N144="znížená",J144,0)</f>
        <v>1612.44</v>
      </c>
      <c r="BG144" s="130">
        <f>IF(N144="zákl. prenesená",J144,0)</f>
        <v>0</v>
      </c>
      <c r="BH144" s="130">
        <f>IF(N144="zníž. prenesená",J144,0)</f>
        <v>0</v>
      </c>
      <c r="BI144" s="130">
        <f>IF(N144="nulová",J144,0)</f>
        <v>0</v>
      </c>
      <c r="BJ144" s="13" t="s">
        <v>76</v>
      </c>
      <c r="BK144" s="130">
        <f>ROUND(I144*H144,2)</f>
        <v>1612.44</v>
      </c>
      <c r="BL144" s="13" t="s">
        <v>235</v>
      </c>
      <c r="BM144" s="129" t="s">
        <v>258</v>
      </c>
    </row>
    <row r="145" spans="2:65" s="1084" customFormat="1" ht="19.95" customHeight="1" x14ac:dyDescent="0.2">
      <c r="B145" s="1028"/>
      <c r="C145" s="1234" t="s">
        <v>5205</v>
      </c>
      <c r="D145" s="1235"/>
      <c r="E145" s="1235"/>
      <c r="F145" s="1235"/>
      <c r="G145" s="1235"/>
      <c r="H145" s="1235"/>
      <c r="I145" s="1235"/>
      <c r="J145" s="1236"/>
      <c r="K145" s="1031"/>
      <c r="L145" s="1027"/>
      <c r="M145" s="1035"/>
      <c r="N145" s="1036"/>
      <c r="O145" s="1037"/>
      <c r="P145" s="1037"/>
      <c r="Q145" s="1037"/>
      <c r="R145" s="1037"/>
      <c r="S145" s="1037"/>
      <c r="T145" s="1038"/>
      <c r="W145" s="1041"/>
      <c r="X145" s="1072" t="s">
        <v>5204</v>
      </c>
      <c r="Y145" s="1072" t="s">
        <v>231</v>
      </c>
      <c r="Z145" s="1073" t="s">
        <v>4278</v>
      </c>
      <c r="AA145" s="1074" t="s">
        <v>6708</v>
      </c>
      <c r="AB145" s="1075" t="s">
        <v>234</v>
      </c>
      <c r="AC145" s="1076">
        <v>0.16800000000000001</v>
      </c>
      <c r="AD145" s="1077">
        <v>75.47</v>
      </c>
      <c r="AE145" s="1077">
        <f>ROUND(AD145*AC145,2)</f>
        <v>12.68</v>
      </c>
      <c r="AF145" s="956">
        <v>22</v>
      </c>
      <c r="AG145" s="409"/>
      <c r="AH145" s="406"/>
      <c r="AI145" s="408"/>
      <c r="AR145" s="1039"/>
      <c r="AT145" s="1039"/>
      <c r="AU145" s="1039"/>
      <c r="AY145" s="1026"/>
      <c r="BE145" s="1040"/>
      <c r="BF145" s="1040"/>
      <c r="BG145" s="1040"/>
      <c r="BH145" s="1040"/>
      <c r="BI145" s="1040"/>
      <c r="BJ145" s="1026"/>
      <c r="BK145" s="1040"/>
      <c r="BL145" s="1026"/>
      <c r="BM145" s="1039"/>
    </row>
    <row r="146" spans="2:65" s="1" customFormat="1" ht="16.5" customHeight="1" x14ac:dyDescent="0.2">
      <c r="B146" s="118"/>
      <c r="C146" s="205" t="s">
        <v>259</v>
      </c>
      <c r="D146" s="119" t="s">
        <v>231</v>
      </c>
      <c r="E146" s="120" t="s">
        <v>917</v>
      </c>
      <c r="F146" s="121" t="s">
        <v>918</v>
      </c>
      <c r="G146" s="122" t="s">
        <v>292</v>
      </c>
      <c r="H146" s="206">
        <v>116</v>
      </c>
      <c r="I146" s="124">
        <v>0.89</v>
      </c>
      <c r="J146" s="124">
        <f>ROUND(I146*H146,2)</f>
        <v>103.24</v>
      </c>
      <c r="K146" s="121" t="s">
        <v>1</v>
      </c>
      <c r="L146" s="24"/>
      <c r="M146" s="125" t="s">
        <v>1</v>
      </c>
      <c r="N146" s="126" t="s">
        <v>32</v>
      </c>
      <c r="O146" s="127">
        <v>6.6000000000000003E-2</v>
      </c>
      <c r="P146" s="127">
        <f>O146*H146</f>
        <v>7.6560000000000006</v>
      </c>
      <c r="Q146" s="127">
        <v>0</v>
      </c>
      <c r="R146" s="127">
        <f>Q146*H146</f>
        <v>0</v>
      </c>
      <c r="S146" s="127">
        <v>1.2999999999999999E-2</v>
      </c>
      <c r="T146" s="128">
        <f>S146*H146</f>
        <v>1.508</v>
      </c>
      <c r="W146" s="199"/>
      <c r="X146" s="205" t="s">
        <v>259</v>
      </c>
      <c r="Y146" s="119" t="s">
        <v>231</v>
      </c>
      <c r="Z146" s="120" t="s">
        <v>917</v>
      </c>
      <c r="AA146" s="121" t="s">
        <v>918</v>
      </c>
      <c r="AB146" s="122" t="s">
        <v>292</v>
      </c>
      <c r="AC146" s="206">
        <f>116+108</f>
        <v>224</v>
      </c>
      <c r="AD146" s="124">
        <v>0.89</v>
      </c>
      <c r="AE146" s="200">
        <f>ROUND(AD146*AC146,2)</f>
        <v>199.36</v>
      </c>
      <c r="AF146" s="956" t="s">
        <v>6229</v>
      </c>
      <c r="AG146" s="409"/>
      <c r="AH146" s="406"/>
      <c r="AI146" s="408"/>
      <c r="AR146" s="129" t="s">
        <v>235</v>
      </c>
      <c r="AT146" s="129" t="s">
        <v>231</v>
      </c>
      <c r="AU146" s="129" t="s">
        <v>76</v>
      </c>
      <c r="AY146" s="13" t="s">
        <v>228</v>
      </c>
      <c r="BE146" s="130">
        <f>IF(N146="základná",J146,0)</f>
        <v>0</v>
      </c>
      <c r="BF146" s="130">
        <f>IF(N146="znížená",J146,0)</f>
        <v>103.24</v>
      </c>
      <c r="BG146" s="130">
        <f>IF(N146="zákl. prenesená",J146,0)</f>
        <v>0</v>
      </c>
      <c r="BH146" s="130">
        <f>IF(N146="zníž. prenesená",J146,0)</f>
        <v>0</v>
      </c>
      <c r="BI146" s="130">
        <f>IF(N146="nulová",J146,0)</f>
        <v>0</v>
      </c>
      <c r="BJ146" s="13" t="s">
        <v>76</v>
      </c>
      <c r="BK146" s="130">
        <f>ROUND(I146*H146,2)</f>
        <v>103.24</v>
      </c>
      <c r="BL146" s="13" t="s">
        <v>235</v>
      </c>
      <c r="BM146" s="129" t="s">
        <v>262</v>
      </c>
    </row>
    <row r="147" spans="2:65" s="1" customFormat="1" ht="16.5" customHeight="1" x14ac:dyDescent="0.2">
      <c r="B147" s="118"/>
      <c r="C147" s="205" t="s">
        <v>248</v>
      </c>
      <c r="D147" s="119" t="s">
        <v>231</v>
      </c>
      <c r="E147" s="120" t="s">
        <v>919</v>
      </c>
      <c r="F147" s="121" t="s">
        <v>920</v>
      </c>
      <c r="G147" s="122" t="s">
        <v>292</v>
      </c>
      <c r="H147" s="206">
        <v>30</v>
      </c>
      <c r="I147" s="124">
        <v>5.7</v>
      </c>
      <c r="J147" s="124">
        <f>ROUND(I147*H147,2)</f>
        <v>171</v>
      </c>
      <c r="K147" s="121" t="s">
        <v>1</v>
      </c>
      <c r="L147" s="24"/>
      <c r="M147" s="125" t="s">
        <v>1</v>
      </c>
      <c r="N147" s="126" t="s">
        <v>32</v>
      </c>
      <c r="O147" s="127">
        <v>0.42199999999999999</v>
      </c>
      <c r="P147" s="127">
        <f>O147*H147</f>
        <v>12.66</v>
      </c>
      <c r="Q147" s="127">
        <v>0</v>
      </c>
      <c r="R147" s="127">
        <f>Q147*H147</f>
        <v>0</v>
      </c>
      <c r="S147" s="127">
        <v>6.3E-2</v>
      </c>
      <c r="T147" s="128">
        <f>S147*H147</f>
        <v>1.8900000000000001</v>
      </c>
      <c r="W147" s="199"/>
      <c r="X147" s="205" t="s">
        <v>248</v>
      </c>
      <c r="Y147" s="119" t="s">
        <v>231</v>
      </c>
      <c r="Z147" s="120" t="s">
        <v>919</v>
      </c>
      <c r="AA147" s="121" t="s">
        <v>920</v>
      </c>
      <c r="AB147" s="122" t="s">
        <v>292</v>
      </c>
      <c r="AC147" s="206">
        <f>30+10</f>
        <v>40</v>
      </c>
      <c r="AD147" s="124">
        <v>5.7</v>
      </c>
      <c r="AE147" s="200">
        <f>ROUND(AD147*AC147,2)</f>
        <v>228</v>
      </c>
      <c r="AF147" s="956" t="s">
        <v>6229</v>
      </c>
      <c r="AG147" s="409"/>
      <c r="AH147" s="406"/>
      <c r="AI147" s="408"/>
      <c r="AR147" s="129" t="s">
        <v>235</v>
      </c>
      <c r="AT147" s="129" t="s">
        <v>231</v>
      </c>
      <c r="AU147" s="129" t="s">
        <v>76</v>
      </c>
      <c r="AY147" s="13" t="s">
        <v>228</v>
      </c>
      <c r="BE147" s="130">
        <f>IF(N147="základná",J147,0)</f>
        <v>0</v>
      </c>
      <c r="BF147" s="130">
        <f>IF(N147="znížená",J147,0)</f>
        <v>171</v>
      </c>
      <c r="BG147" s="130">
        <f>IF(N147="zákl. prenesená",J147,0)</f>
        <v>0</v>
      </c>
      <c r="BH147" s="130">
        <f>IF(N147="zníž. prenesená",J147,0)</f>
        <v>0</v>
      </c>
      <c r="BI147" s="130">
        <f>IF(N147="nulová",J147,0)</f>
        <v>0</v>
      </c>
      <c r="BJ147" s="13" t="s">
        <v>76</v>
      </c>
      <c r="BK147" s="130">
        <f>ROUND(I147*H147,2)</f>
        <v>171</v>
      </c>
      <c r="BL147" s="13" t="s">
        <v>235</v>
      </c>
      <c r="BM147" s="129" t="s">
        <v>7</v>
      </c>
    </row>
    <row r="148" spans="2:65" s="11" customFormat="1" ht="22.95" customHeight="1" x14ac:dyDescent="0.25">
      <c r="B148" s="106"/>
      <c r="D148" s="107" t="s">
        <v>57</v>
      </c>
      <c r="E148" s="116" t="s">
        <v>436</v>
      </c>
      <c r="F148" s="116" t="s">
        <v>437</v>
      </c>
      <c r="J148" s="117">
        <f>BK148</f>
        <v>2808.8099999999995</v>
      </c>
      <c r="L148" s="106"/>
      <c r="M148" s="110"/>
      <c r="N148" s="111"/>
      <c r="O148" s="111"/>
      <c r="P148" s="112">
        <f>SUM(P149:P156)</f>
        <v>98.009267999999992</v>
      </c>
      <c r="Q148" s="111"/>
      <c r="R148" s="112">
        <f>SUM(R149:R156)</f>
        <v>0</v>
      </c>
      <c r="S148" s="111"/>
      <c r="T148" s="113">
        <f>SUM(T149:T156)</f>
        <v>1.7549999999999999</v>
      </c>
      <c r="W148" s="195"/>
      <c r="X148" s="111"/>
      <c r="Y148" s="196" t="s">
        <v>57</v>
      </c>
      <c r="Z148" s="201" t="s">
        <v>436</v>
      </c>
      <c r="AA148" s="201" t="s">
        <v>437</v>
      </c>
      <c r="AB148" s="111"/>
      <c r="AC148" s="111"/>
      <c r="AD148" s="111"/>
      <c r="AE148" s="202">
        <f>SUM(AE149:AE156)</f>
        <v>3585.93</v>
      </c>
      <c r="AF148" s="956"/>
      <c r="AG148" s="409"/>
      <c r="AH148" s="406"/>
      <c r="AI148" s="408"/>
      <c r="AR148" s="107" t="s">
        <v>63</v>
      </c>
      <c r="AT148" s="114" t="s">
        <v>57</v>
      </c>
      <c r="AU148" s="114" t="s">
        <v>63</v>
      </c>
      <c r="AY148" s="107" t="s">
        <v>228</v>
      </c>
      <c r="BK148" s="115">
        <f>SUM(BK149:BK156)</f>
        <v>2808.8099999999995</v>
      </c>
    </row>
    <row r="149" spans="2:65" s="1" customFormat="1" ht="16.5" customHeight="1" x14ac:dyDescent="0.2">
      <c r="B149" s="118"/>
      <c r="C149" s="119" t="s">
        <v>265</v>
      </c>
      <c r="D149" s="119" t="s">
        <v>231</v>
      </c>
      <c r="E149" s="120" t="s">
        <v>921</v>
      </c>
      <c r="F149" s="121" t="s">
        <v>922</v>
      </c>
      <c r="G149" s="122" t="s">
        <v>243</v>
      </c>
      <c r="H149" s="123">
        <v>51</v>
      </c>
      <c r="I149" s="124">
        <v>11.61</v>
      </c>
      <c r="J149" s="124">
        <f t="shared" ref="J149:J156" si="0">ROUND(I149*H149,2)</f>
        <v>592.11</v>
      </c>
      <c r="K149" s="121" t="s">
        <v>1</v>
      </c>
      <c r="L149" s="24"/>
      <c r="M149" s="125" t="s">
        <v>1</v>
      </c>
      <c r="N149" s="126" t="s">
        <v>32</v>
      </c>
      <c r="O149" s="127">
        <v>0</v>
      </c>
      <c r="P149" s="127">
        <f t="shared" ref="P149:P156" si="1">O149*H149</f>
        <v>0</v>
      </c>
      <c r="Q149" s="127">
        <v>0</v>
      </c>
      <c r="R149" s="127">
        <f t="shared" ref="R149:R156" si="2">Q149*H149</f>
        <v>0</v>
      </c>
      <c r="S149" s="127">
        <v>0</v>
      </c>
      <c r="T149" s="128">
        <f t="shared" ref="T149:T156" si="3">S149*H149</f>
        <v>0</v>
      </c>
      <c r="W149" s="199"/>
      <c r="X149" s="119" t="s">
        <v>265</v>
      </c>
      <c r="Y149" s="119" t="s">
        <v>231</v>
      </c>
      <c r="Z149" s="120" t="s">
        <v>921</v>
      </c>
      <c r="AA149" s="121" t="s">
        <v>922</v>
      </c>
      <c r="AB149" s="122" t="s">
        <v>243</v>
      </c>
      <c r="AC149" s="123">
        <v>51</v>
      </c>
      <c r="AD149" s="124">
        <v>11.61</v>
      </c>
      <c r="AE149" s="200">
        <f t="shared" ref="AE149:AE156" si="4">ROUND(AD149*AC149,2)</f>
        <v>592.11</v>
      </c>
      <c r="AF149" s="956"/>
      <c r="AG149" s="409"/>
      <c r="AH149" s="406"/>
      <c r="AI149" s="408"/>
      <c r="AR149" s="129" t="s">
        <v>235</v>
      </c>
      <c r="AT149" s="129" t="s">
        <v>231</v>
      </c>
      <c r="AU149" s="129" t="s">
        <v>76</v>
      </c>
      <c r="AY149" s="13" t="s">
        <v>228</v>
      </c>
      <c r="BE149" s="130">
        <f t="shared" ref="BE149:BE156" si="5">IF(N149="základná",J149,0)</f>
        <v>0</v>
      </c>
      <c r="BF149" s="130">
        <f t="shared" ref="BF149:BF156" si="6">IF(N149="znížená",J149,0)</f>
        <v>592.11</v>
      </c>
      <c r="BG149" s="130">
        <f t="shared" ref="BG149:BG156" si="7">IF(N149="zákl. prenesená",J149,0)</f>
        <v>0</v>
      </c>
      <c r="BH149" s="130">
        <f t="shared" ref="BH149:BH156" si="8">IF(N149="zníž. prenesená",J149,0)</f>
        <v>0</v>
      </c>
      <c r="BI149" s="130">
        <f t="shared" ref="BI149:BI156" si="9">IF(N149="nulová",J149,0)</f>
        <v>0</v>
      </c>
      <c r="BJ149" s="13" t="s">
        <v>76</v>
      </c>
      <c r="BK149" s="130">
        <f t="shared" ref="BK149:BK156" si="10">ROUND(I149*H149,2)</f>
        <v>592.11</v>
      </c>
      <c r="BL149" s="13" t="s">
        <v>235</v>
      </c>
      <c r="BM149" s="129" t="s">
        <v>268</v>
      </c>
    </row>
    <row r="150" spans="2:65" s="1" customFormat="1" ht="24" customHeight="1" x14ac:dyDescent="0.2">
      <c r="B150" s="118"/>
      <c r="C150" s="205" t="s">
        <v>251</v>
      </c>
      <c r="D150" s="119" t="s">
        <v>231</v>
      </c>
      <c r="E150" s="120" t="s">
        <v>923</v>
      </c>
      <c r="F150" s="121" t="s">
        <v>924</v>
      </c>
      <c r="G150" s="122" t="s">
        <v>292</v>
      </c>
      <c r="H150" s="206">
        <v>135</v>
      </c>
      <c r="I150" s="124">
        <v>2.3199999999999998</v>
      </c>
      <c r="J150" s="124">
        <f t="shared" si="0"/>
        <v>313.2</v>
      </c>
      <c r="K150" s="121" t="s">
        <v>1</v>
      </c>
      <c r="L150" s="24"/>
      <c r="M150" s="125" t="s">
        <v>1</v>
      </c>
      <c r="N150" s="126" t="s">
        <v>32</v>
      </c>
      <c r="O150" s="127">
        <v>0.23576</v>
      </c>
      <c r="P150" s="127">
        <f t="shared" si="1"/>
        <v>31.8276</v>
      </c>
      <c r="Q150" s="127">
        <v>0</v>
      </c>
      <c r="R150" s="127">
        <f t="shared" si="2"/>
        <v>0</v>
      </c>
      <c r="S150" s="127">
        <v>1.2999999999999999E-2</v>
      </c>
      <c r="T150" s="128">
        <f t="shared" si="3"/>
        <v>1.7549999999999999</v>
      </c>
      <c r="W150" s="199"/>
      <c r="X150" s="205" t="s">
        <v>251</v>
      </c>
      <c r="Y150" s="119" t="s">
        <v>231</v>
      </c>
      <c r="Z150" s="120" t="s">
        <v>923</v>
      </c>
      <c r="AA150" s="121" t="s">
        <v>924</v>
      </c>
      <c r="AB150" s="122" t="s">
        <v>292</v>
      </c>
      <c r="AC150" s="206">
        <f>135+70</f>
        <v>205</v>
      </c>
      <c r="AD150" s="124">
        <v>2.3199999999999998</v>
      </c>
      <c r="AE150" s="200">
        <f t="shared" si="4"/>
        <v>475.6</v>
      </c>
      <c r="AF150" s="956" t="s">
        <v>6229</v>
      </c>
      <c r="AG150" s="409"/>
      <c r="AH150" s="406"/>
      <c r="AI150" s="408"/>
      <c r="AR150" s="129" t="s">
        <v>235</v>
      </c>
      <c r="AT150" s="129" t="s">
        <v>231</v>
      </c>
      <c r="AU150" s="129" t="s">
        <v>76</v>
      </c>
      <c r="AY150" s="13" t="s">
        <v>228</v>
      </c>
      <c r="BE150" s="130">
        <f t="shared" si="5"/>
        <v>0</v>
      </c>
      <c r="BF150" s="130">
        <f t="shared" si="6"/>
        <v>313.2</v>
      </c>
      <c r="BG150" s="130">
        <f t="shared" si="7"/>
        <v>0</v>
      </c>
      <c r="BH150" s="130">
        <f t="shared" si="8"/>
        <v>0</v>
      </c>
      <c r="BI150" s="130">
        <f t="shared" si="9"/>
        <v>0</v>
      </c>
      <c r="BJ150" s="13" t="s">
        <v>76</v>
      </c>
      <c r="BK150" s="130">
        <f t="shared" si="10"/>
        <v>313.2</v>
      </c>
      <c r="BL150" s="13" t="s">
        <v>235</v>
      </c>
      <c r="BM150" s="129" t="s">
        <v>272</v>
      </c>
    </row>
    <row r="151" spans="2:65" s="1" customFormat="1" ht="16.5" customHeight="1" x14ac:dyDescent="0.2">
      <c r="B151" s="118"/>
      <c r="C151" s="205" t="s">
        <v>273</v>
      </c>
      <c r="D151" s="119" t="s">
        <v>231</v>
      </c>
      <c r="E151" s="120" t="s">
        <v>533</v>
      </c>
      <c r="F151" s="121" t="s">
        <v>534</v>
      </c>
      <c r="G151" s="122" t="s">
        <v>271</v>
      </c>
      <c r="H151" s="206">
        <v>37.646000000000001</v>
      </c>
      <c r="I151" s="124">
        <v>2.3199999999999998</v>
      </c>
      <c r="J151" s="124">
        <f t="shared" si="0"/>
        <v>87.34</v>
      </c>
      <c r="K151" s="121" t="s">
        <v>1</v>
      </c>
      <c r="L151" s="24"/>
      <c r="M151" s="125" t="s">
        <v>1</v>
      </c>
      <c r="N151" s="126" t="s">
        <v>32</v>
      </c>
      <c r="O151" s="127">
        <v>0.59799999999999998</v>
      </c>
      <c r="P151" s="127">
        <f t="shared" si="1"/>
        <v>22.512308000000001</v>
      </c>
      <c r="Q151" s="127">
        <v>0</v>
      </c>
      <c r="R151" s="127">
        <f t="shared" si="2"/>
        <v>0</v>
      </c>
      <c r="S151" s="127">
        <v>0</v>
      </c>
      <c r="T151" s="128">
        <f t="shared" si="3"/>
        <v>0</v>
      </c>
      <c r="W151" s="199"/>
      <c r="X151" s="205" t="s">
        <v>273</v>
      </c>
      <c r="Y151" s="119" t="s">
        <v>231</v>
      </c>
      <c r="Z151" s="120" t="s">
        <v>533</v>
      </c>
      <c r="AA151" s="121" t="s">
        <v>534</v>
      </c>
      <c r="AB151" s="122" t="s">
        <v>271</v>
      </c>
      <c r="AC151" s="206">
        <f>37.646+11.445+3.33</f>
        <v>52.420999999999999</v>
      </c>
      <c r="AD151" s="124">
        <v>2.3199999999999998</v>
      </c>
      <c r="AE151" s="200">
        <f t="shared" si="4"/>
        <v>121.62</v>
      </c>
      <c r="AF151" s="956" t="s">
        <v>6230</v>
      </c>
      <c r="AG151" s="409"/>
      <c r="AH151" s="406"/>
      <c r="AI151" s="408"/>
      <c r="AR151" s="129" t="s">
        <v>235</v>
      </c>
      <c r="AT151" s="129" t="s">
        <v>231</v>
      </c>
      <c r="AU151" s="129" t="s">
        <v>76</v>
      </c>
      <c r="AY151" s="13" t="s">
        <v>228</v>
      </c>
      <c r="BE151" s="130">
        <f t="shared" si="5"/>
        <v>0</v>
      </c>
      <c r="BF151" s="130">
        <f t="shared" si="6"/>
        <v>87.34</v>
      </c>
      <c r="BG151" s="130">
        <f t="shared" si="7"/>
        <v>0</v>
      </c>
      <c r="BH151" s="130">
        <f t="shared" si="8"/>
        <v>0</v>
      </c>
      <c r="BI151" s="130">
        <f t="shared" si="9"/>
        <v>0</v>
      </c>
      <c r="BJ151" s="13" t="s">
        <v>76</v>
      </c>
      <c r="BK151" s="130">
        <f t="shared" si="10"/>
        <v>87.34</v>
      </c>
      <c r="BL151" s="13" t="s">
        <v>235</v>
      </c>
      <c r="BM151" s="129" t="s">
        <v>276</v>
      </c>
    </row>
    <row r="152" spans="2:65" s="1" customFormat="1" ht="24" customHeight="1" x14ac:dyDescent="0.2">
      <c r="B152" s="118"/>
      <c r="C152" s="205" t="s">
        <v>255</v>
      </c>
      <c r="D152" s="119" t="s">
        <v>231</v>
      </c>
      <c r="E152" s="120" t="s">
        <v>537</v>
      </c>
      <c r="F152" s="121" t="s">
        <v>925</v>
      </c>
      <c r="G152" s="122" t="s">
        <v>271</v>
      </c>
      <c r="H152" s="206">
        <v>376.46</v>
      </c>
      <c r="I152" s="124">
        <v>0.23</v>
      </c>
      <c r="J152" s="124">
        <f t="shared" si="0"/>
        <v>86.59</v>
      </c>
      <c r="K152" s="121" t="s">
        <v>1</v>
      </c>
      <c r="L152" s="24"/>
      <c r="M152" s="125" t="s">
        <v>1</v>
      </c>
      <c r="N152" s="126" t="s">
        <v>32</v>
      </c>
      <c r="O152" s="127">
        <v>7.0000000000000001E-3</v>
      </c>
      <c r="P152" s="127">
        <f t="shared" si="1"/>
        <v>2.6352199999999999</v>
      </c>
      <c r="Q152" s="127">
        <v>0</v>
      </c>
      <c r="R152" s="127">
        <f t="shared" si="2"/>
        <v>0</v>
      </c>
      <c r="S152" s="127">
        <v>0</v>
      </c>
      <c r="T152" s="128">
        <f t="shared" si="3"/>
        <v>0</v>
      </c>
      <c r="W152" s="199"/>
      <c r="X152" s="205" t="s">
        <v>255</v>
      </c>
      <c r="Y152" s="119" t="s">
        <v>231</v>
      </c>
      <c r="Z152" s="120" t="s">
        <v>537</v>
      </c>
      <c r="AA152" s="121" t="s">
        <v>925</v>
      </c>
      <c r="AB152" s="122" t="s">
        <v>271</v>
      </c>
      <c r="AC152" s="206">
        <f>376.46+114.45+33.3</f>
        <v>524.20999999999992</v>
      </c>
      <c r="AD152" s="124">
        <v>0.23</v>
      </c>
      <c r="AE152" s="200">
        <f t="shared" si="4"/>
        <v>120.57</v>
      </c>
      <c r="AF152" s="956" t="s">
        <v>6230</v>
      </c>
      <c r="AG152" s="409"/>
      <c r="AH152" s="406"/>
      <c r="AI152" s="408"/>
      <c r="AR152" s="129" t="s">
        <v>235</v>
      </c>
      <c r="AT152" s="129" t="s">
        <v>231</v>
      </c>
      <c r="AU152" s="129" t="s">
        <v>76</v>
      </c>
      <c r="AY152" s="13" t="s">
        <v>228</v>
      </c>
      <c r="BE152" s="130">
        <f t="shared" si="5"/>
        <v>0</v>
      </c>
      <c r="BF152" s="130">
        <f t="shared" si="6"/>
        <v>86.59</v>
      </c>
      <c r="BG152" s="130">
        <f t="shared" si="7"/>
        <v>0</v>
      </c>
      <c r="BH152" s="130">
        <f t="shared" si="8"/>
        <v>0</v>
      </c>
      <c r="BI152" s="130">
        <f t="shared" si="9"/>
        <v>0</v>
      </c>
      <c r="BJ152" s="13" t="s">
        <v>76</v>
      </c>
      <c r="BK152" s="130">
        <f t="shared" si="10"/>
        <v>86.59</v>
      </c>
      <c r="BL152" s="13" t="s">
        <v>235</v>
      </c>
      <c r="BM152" s="129" t="s">
        <v>280</v>
      </c>
    </row>
    <row r="153" spans="2:65" s="1" customFormat="1" ht="16.5" customHeight="1" x14ac:dyDescent="0.2">
      <c r="B153" s="118"/>
      <c r="C153" s="205" t="s">
        <v>281</v>
      </c>
      <c r="D153" s="119" t="s">
        <v>231</v>
      </c>
      <c r="E153" s="120" t="s">
        <v>540</v>
      </c>
      <c r="F153" s="121" t="s">
        <v>926</v>
      </c>
      <c r="G153" s="122" t="s">
        <v>271</v>
      </c>
      <c r="H153" s="206">
        <v>37.646000000000001</v>
      </c>
      <c r="I153" s="124">
        <v>4.0599999999999996</v>
      </c>
      <c r="J153" s="124">
        <f t="shared" si="0"/>
        <v>152.84</v>
      </c>
      <c r="K153" s="121" t="s">
        <v>1</v>
      </c>
      <c r="L153" s="24"/>
      <c r="M153" s="125" t="s">
        <v>1</v>
      </c>
      <c r="N153" s="126" t="s">
        <v>32</v>
      </c>
      <c r="O153" s="127">
        <v>0.89</v>
      </c>
      <c r="P153" s="127">
        <f t="shared" si="1"/>
        <v>33.504939999999998</v>
      </c>
      <c r="Q153" s="127">
        <v>0</v>
      </c>
      <c r="R153" s="127">
        <f t="shared" si="2"/>
        <v>0</v>
      </c>
      <c r="S153" s="127">
        <v>0</v>
      </c>
      <c r="T153" s="128">
        <f t="shared" si="3"/>
        <v>0</v>
      </c>
      <c r="W153" s="199"/>
      <c r="X153" s="205" t="s">
        <v>281</v>
      </c>
      <c r="Y153" s="119" t="s">
        <v>231</v>
      </c>
      <c r="Z153" s="120" t="s">
        <v>540</v>
      </c>
      <c r="AA153" s="121" t="s">
        <v>926</v>
      </c>
      <c r="AB153" s="122" t="s">
        <v>271</v>
      </c>
      <c r="AC153" s="206">
        <f>37.646+11.445+3.33</f>
        <v>52.420999999999999</v>
      </c>
      <c r="AD153" s="124">
        <v>4.0599999999999996</v>
      </c>
      <c r="AE153" s="200">
        <f t="shared" si="4"/>
        <v>212.83</v>
      </c>
      <c r="AF153" s="956" t="s">
        <v>6230</v>
      </c>
      <c r="AG153" s="409"/>
      <c r="AH153" s="406"/>
      <c r="AI153" s="408"/>
      <c r="AR153" s="129" t="s">
        <v>235</v>
      </c>
      <c r="AT153" s="129" t="s">
        <v>231</v>
      </c>
      <c r="AU153" s="129" t="s">
        <v>76</v>
      </c>
      <c r="AY153" s="13" t="s">
        <v>228</v>
      </c>
      <c r="BE153" s="130">
        <f t="shared" si="5"/>
        <v>0</v>
      </c>
      <c r="BF153" s="130">
        <f t="shared" si="6"/>
        <v>152.84</v>
      </c>
      <c r="BG153" s="130">
        <f t="shared" si="7"/>
        <v>0</v>
      </c>
      <c r="BH153" s="130">
        <f t="shared" si="8"/>
        <v>0</v>
      </c>
      <c r="BI153" s="130">
        <f t="shared" si="9"/>
        <v>0</v>
      </c>
      <c r="BJ153" s="13" t="s">
        <v>76</v>
      </c>
      <c r="BK153" s="130">
        <f t="shared" si="10"/>
        <v>152.84</v>
      </c>
      <c r="BL153" s="13" t="s">
        <v>235</v>
      </c>
      <c r="BM153" s="129" t="s">
        <v>285</v>
      </c>
    </row>
    <row r="154" spans="2:65" s="1" customFormat="1" ht="24" customHeight="1" x14ac:dyDescent="0.2">
      <c r="B154" s="118"/>
      <c r="C154" s="205" t="s">
        <v>258</v>
      </c>
      <c r="D154" s="119" t="s">
        <v>231</v>
      </c>
      <c r="E154" s="120" t="s">
        <v>544</v>
      </c>
      <c r="F154" s="121" t="s">
        <v>927</v>
      </c>
      <c r="G154" s="122" t="s">
        <v>271</v>
      </c>
      <c r="H154" s="206">
        <v>75.292000000000002</v>
      </c>
      <c r="I154" s="124">
        <v>0.41</v>
      </c>
      <c r="J154" s="124">
        <f t="shared" si="0"/>
        <v>30.87</v>
      </c>
      <c r="K154" s="121" t="s">
        <v>1</v>
      </c>
      <c r="L154" s="24"/>
      <c r="M154" s="125" t="s">
        <v>1</v>
      </c>
      <c r="N154" s="126" t="s">
        <v>32</v>
      </c>
      <c r="O154" s="127">
        <v>0.1</v>
      </c>
      <c r="P154" s="127">
        <f t="shared" si="1"/>
        <v>7.5292000000000003</v>
      </c>
      <c r="Q154" s="127">
        <v>0</v>
      </c>
      <c r="R154" s="127">
        <f t="shared" si="2"/>
        <v>0</v>
      </c>
      <c r="S154" s="127">
        <v>0</v>
      </c>
      <c r="T154" s="128">
        <f t="shared" si="3"/>
        <v>0</v>
      </c>
      <c r="W154" s="199"/>
      <c r="X154" s="205" t="s">
        <v>258</v>
      </c>
      <c r="Y154" s="119" t="s">
        <v>231</v>
      </c>
      <c r="Z154" s="120" t="s">
        <v>544</v>
      </c>
      <c r="AA154" s="121" t="s">
        <v>927</v>
      </c>
      <c r="AB154" s="122" t="s">
        <v>271</v>
      </c>
      <c r="AC154" s="206">
        <f>75.292+22.89+6.66</f>
        <v>104.842</v>
      </c>
      <c r="AD154" s="124">
        <v>0.41</v>
      </c>
      <c r="AE154" s="200">
        <f t="shared" si="4"/>
        <v>42.99</v>
      </c>
      <c r="AF154" s="956" t="s">
        <v>6230</v>
      </c>
      <c r="AG154" s="409"/>
      <c r="AH154" s="406"/>
      <c r="AI154" s="408"/>
      <c r="AR154" s="129" t="s">
        <v>235</v>
      </c>
      <c r="AT154" s="129" t="s">
        <v>231</v>
      </c>
      <c r="AU154" s="129" t="s">
        <v>76</v>
      </c>
      <c r="AY154" s="13" t="s">
        <v>228</v>
      </c>
      <c r="BE154" s="130">
        <f t="shared" si="5"/>
        <v>0</v>
      </c>
      <c r="BF154" s="130">
        <f t="shared" si="6"/>
        <v>30.87</v>
      </c>
      <c r="BG154" s="130">
        <f t="shared" si="7"/>
        <v>0</v>
      </c>
      <c r="BH154" s="130">
        <f t="shared" si="8"/>
        <v>0</v>
      </c>
      <c r="BI154" s="130">
        <f t="shared" si="9"/>
        <v>0</v>
      </c>
      <c r="BJ154" s="13" t="s">
        <v>76</v>
      </c>
      <c r="BK154" s="130">
        <f t="shared" si="10"/>
        <v>30.87</v>
      </c>
      <c r="BL154" s="13" t="s">
        <v>235</v>
      </c>
      <c r="BM154" s="129" t="s">
        <v>288</v>
      </c>
    </row>
    <row r="155" spans="2:65" s="1" customFormat="1" ht="24" customHeight="1" x14ac:dyDescent="0.2">
      <c r="B155" s="118"/>
      <c r="C155" s="205" t="s">
        <v>289</v>
      </c>
      <c r="D155" s="119" t="s">
        <v>231</v>
      </c>
      <c r="E155" s="120" t="s">
        <v>547</v>
      </c>
      <c r="F155" s="121" t="s">
        <v>928</v>
      </c>
      <c r="G155" s="122" t="s">
        <v>271</v>
      </c>
      <c r="H155" s="206">
        <v>37.646000000000001</v>
      </c>
      <c r="I155" s="124">
        <v>31.35</v>
      </c>
      <c r="J155" s="124">
        <f t="shared" si="0"/>
        <v>1180.2</v>
      </c>
      <c r="K155" s="121" t="s">
        <v>1</v>
      </c>
      <c r="L155" s="24"/>
      <c r="M155" s="125" t="s">
        <v>1</v>
      </c>
      <c r="N155" s="126" t="s">
        <v>32</v>
      </c>
      <c r="O155" s="127">
        <v>0</v>
      </c>
      <c r="P155" s="127">
        <f t="shared" si="1"/>
        <v>0</v>
      </c>
      <c r="Q155" s="127">
        <v>0</v>
      </c>
      <c r="R155" s="127">
        <f t="shared" si="2"/>
        <v>0</v>
      </c>
      <c r="S155" s="127">
        <v>0</v>
      </c>
      <c r="T155" s="128">
        <f t="shared" si="3"/>
        <v>0</v>
      </c>
      <c r="W155" s="199"/>
      <c r="X155" s="205" t="s">
        <v>289</v>
      </c>
      <c r="Y155" s="119" t="s">
        <v>231</v>
      </c>
      <c r="Z155" s="120" t="s">
        <v>547</v>
      </c>
      <c r="AA155" s="121" t="s">
        <v>928</v>
      </c>
      <c r="AB155" s="122" t="s">
        <v>271</v>
      </c>
      <c r="AC155" s="206">
        <f>37.646+11.445+3.33</f>
        <v>52.420999999999999</v>
      </c>
      <c r="AD155" s="124">
        <v>31.35</v>
      </c>
      <c r="AE155" s="200">
        <f t="shared" si="4"/>
        <v>1643.4</v>
      </c>
      <c r="AF155" s="956" t="s">
        <v>6230</v>
      </c>
      <c r="AG155" s="409"/>
      <c r="AH155" s="406"/>
      <c r="AI155" s="408"/>
      <c r="AR155" s="129" t="s">
        <v>235</v>
      </c>
      <c r="AT155" s="129" t="s">
        <v>231</v>
      </c>
      <c r="AU155" s="129" t="s">
        <v>76</v>
      </c>
      <c r="AY155" s="13" t="s">
        <v>228</v>
      </c>
      <c r="BE155" s="130">
        <f t="shared" si="5"/>
        <v>0</v>
      </c>
      <c r="BF155" s="130">
        <f t="shared" si="6"/>
        <v>1180.2</v>
      </c>
      <c r="BG155" s="130">
        <f t="shared" si="7"/>
        <v>0</v>
      </c>
      <c r="BH155" s="130">
        <f t="shared" si="8"/>
        <v>0</v>
      </c>
      <c r="BI155" s="130">
        <f t="shared" si="9"/>
        <v>0</v>
      </c>
      <c r="BJ155" s="13" t="s">
        <v>76</v>
      </c>
      <c r="BK155" s="130">
        <f t="shared" si="10"/>
        <v>1180.2</v>
      </c>
      <c r="BL155" s="13" t="s">
        <v>235</v>
      </c>
      <c r="BM155" s="129" t="s">
        <v>293</v>
      </c>
    </row>
    <row r="156" spans="2:65" s="1" customFormat="1" ht="16.5" customHeight="1" x14ac:dyDescent="0.2">
      <c r="B156" s="118"/>
      <c r="C156" s="205" t="s">
        <v>262</v>
      </c>
      <c r="D156" s="119" t="s">
        <v>231</v>
      </c>
      <c r="E156" s="120" t="s">
        <v>929</v>
      </c>
      <c r="F156" s="121" t="s">
        <v>930</v>
      </c>
      <c r="G156" s="122" t="s">
        <v>234</v>
      </c>
      <c r="H156" s="206">
        <v>26.25</v>
      </c>
      <c r="I156" s="124">
        <v>13.93</v>
      </c>
      <c r="J156" s="124">
        <f t="shared" si="0"/>
        <v>365.66</v>
      </c>
      <c r="K156" s="121" t="s">
        <v>1</v>
      </c>
      <c r="L156" s="24"/>
      <c r="M156" s="125" t="s">
        <v>1</v>
      </c>
      <c r="N156" s="126" t="s">
        <v>32</v>
      </c>
      <c r="O156" s="127">
        <v>0</v>
      </c>
      <c r="P156" s="127">
        <f t="shared" si="1"/>
        <v>0</v>
      </c>
      <c r="Q156" s="127">
        <v>0</v>
      </c>
      <c r="R156" s="127">
        <f t="shared" si="2"/>
        <v>0</v>
      </c>
      <c r="S156" s="127">
        <v>0</v>
      </c>
      <c r="T156" s="128">
        <f t="shared" si="3"/>
        <v>0</v>
      </c>
      <c r="W156" s="199"/>
      <c r="X156" s="205" t="s">
        <v>262</v>
      </c>
      <c r="Y156" s="119" t="s">
        <v>231</v>
      </c>
      <c r="Z156" s="120" t="s">
        <v>929</v>
      </c>
      <c r="AA156" s="121" t="s">
        <v>930</v>
      </c>
      <c r="AB156" s="122" t="s">
        <v>234</v>
      </c>
      <c r="AC156" s="206">
        <f>26.25+0.8</f>
        <v>27.05</v>
      </c>
      <c r="AD156" s="124">
        <v>13.93</v>
      </c>
      <c r="AE156" s="200">
        <f t="shared" si="4"/>
        <v>376.81</v>
      </c>
      <c r="AF156" s="956">
        <v>9</v>
      </c>
      <c r="AG156" s="409"/>
      <c r="AH156" s="406"/>
      <c r="AI156" s="408"/>
      <c r="AR156" s="129" t="s">
        <v>235</v>
      </c>
      <c r="AT156" s="129" t="s">
        <v>231</v>
      </c>
      <c r="AU156" s="129" t="s">
        <v>76</v>
      </c>
      <c r="AY156" s="13" t="s">
        <v>228</v>
      </c>
      <c r="BE156" s="130">
        <f t="shared" si="5"/>
        <v>0</v>
      </c>
      <c r="BF156" s="130">
        <f t="shared" si="6"/>
        <v>365.66</v>
      </c>
      <c r="BG156" s="130">
        <f t="shared" si="7"/>
        <v>0</v>
      </c>
      <c r="BH156" s="130">
        <f t="shared" si="8"/>
        <v>0</v>
      </c>
      <c r="BI156" s="130">
        <f t="shared" si="9"/>
        <v>0</v>
      </c>
      <c r="BJ156" s="13" t="s">
        <v>76</v>
      </c>
      <c r="BK156" s="130">
        <f t="shared" si="10"/>
        <v>365.66</v>
      </c>
      <c r="BL156" s="13" t="s">
        <v>235</v>
      </c>
      <c r="BM156" s="129" t="s">
        <v>296</v>
      </c>
    </row>
    <row r="157" spans="2:65" s="11" customFormat="1" ht="22.95" customHeight="1" x14ac:dyDescent="0.25">
      <c r="B157" s="106"/>
      <c r="D157" s="107" t="s">
        <v>57</v>
      </c>
      <c r="E157" s="116" t="s">
        <v>595</v>
      </c>
      <c r="F157" s="116" t="s">
        <v>931</v>
      </c>
      <c r="J157" s="117">
        <f>BK157</f>
        <v>761.76</v>
      </c>
      <c r="L157" s="106"/>
      <c r="M157" s="110"/>
      <c r="N157" s="111"/>
      <c r="O157" s="111"/>
      <c r="P157" s="112">
        <f>P158</f>
        <v>84.139906000000011</v>
      </c>
      <c r="Q157" s="111"/>
      <c r="R157" s="112">
        <f>R158</f>
        <v>0</v>
      </c>
      <c r="S157" s="111"/>
      <c r="T157" s="113">
        <f>T158</f>
        <v>0</v>
      </c>
      <c r="W157" s="195"/>
      <c r="X157" s="111"/>
      <c r="Y157" s="196" t="s">
        <v>57</v>
      </c>
      <c r="Z157" s="201" t="s">
        <v>595</v>
      </c>
      <c r="AA157" s="201" t="s">
        <v>931</v>
      </c>
      <c r="AB157" s="111"/>
      <c r="AC157" s="111"/>
      <c r="AD157" s="111"/>
      <c r="AE157" s="202">
        <f>SUM(AE158)</f>
        <v>879.28</v>
      </c>
      <c r="AF157" s="956"/>
      <c r="AG157" s="409"/>
      <c r="AH157" s="406"/>
      <c r="AI157" s="408"/>
      <c r="AR157" s="107" t="s">
        <v>63</v>
      </c>
      <c r="AT157" s="114" t="s">
        <v>57</v>
      </c>
      <c r="AU157" s="114" t="s">
        <v>63</v>
      </c>
      <c r="AY157" s="107" t="s">
        <v>228</v>
      </c>
      <c r="BK157" s="115">
        <f>BK158</f>
        <v>761.76</v>
      </c>
    </row>
    <row r="158" spans="2:65" s="1" customFormat="1" ht="16.5" customHeight="1" x14ac:dyDescent="0.2">
      <c r="B158" s="118"/>
      <c r="C158" s="205" t="s">
        <v>297</v>
      </c>
      <c r="D158" s="119" t="s">
        <v>231</v>
      </c>
      <c r="E158" s="120" t="s">
        <v>932</v>
      </c>
      <c r="F158" s="121" t="s">
        <v>933</v>
      </c>
      <c r="G158" s="122" t="s">
        <v>271</v>
      </c>
      <c r="H158" s="206">
        <v>93.697000000000003</v>
      </c>
      <c r="I158" s="124">
        <v>8.1300000000000008</v>
      </c>
      <c r="J158" s="124">
        <f>ROUND(I158*H158,2)</f>
        <v>761.76</v>
      </c>
      <c r="K158" s="121" t="s">
        <v>1</v>
      </c>
      <c r="L158" s="24"/>
      <c r="M158" s="125" t="s">
        <v>1</v>
      </c>
      <c r="N158" s="126" t="s">
        <v>32</v>
      </c>
      <c r="O158" s="127">
        <v>0.89800000000000002</v>
      </c>
      <c r="P158" s="127">
        <f>O158*H158</f>
        <v>84.139906000000011</v>
      </c>
      <c r="Q158" s="127">
        <v>0</v>
      </c>
      <c r="R158" s="127">
        <f>Q158*H158</f>
        <v>0</v>
      </c>
      <c r="S158" s="127">
        <v>0</v>
      </c>
      <c r="T158" s="128">
        <f>S158*H158</f>
        <v>0</v>
      </c>
      <c r="W158" s="199"/>
      <c r="X158" s="205" t="s">
        <v>297</v>
      </c>
      <c r="Y158" s="119" t="s">
        <v>231</v>
      </c>
      <c r="Z158" s="120" t="s">
        <v>932</v>
      </c>
      <c r="AA158" s="121" t="s">
        <v>933</v>
      </c>
      <c r="AB158" s="122" t="s">
        <v>271</v>
      </c>
      <c r="AC158" s="206">
        <f>93.697+14.455</f>
        <v>108.152</v>
      </c>
      <c r="AD158" s="124">
        <v>8.1300000000000008</v>
      </c>
      <c r="AE158" s="200">
        <f>ROUND(AD158*AC158,2)</f>
        <v>879.28</v>
      </c>
      <c r="AF158" s="956">
        <v>9</v>
      </c>
      <c r="AG158" s="409"/>
      <c r="AH158" s="406"/>
      <c r="AI158" s="408"/>
      <c r="AR158" s="129" t="s">
        <v>235</v>
      </c>
      <c r="AT158" s="129" t="s">
        <v>231</v>
      </c>
      <c r="AU158" s="129" t="s">
        <v>76</v>
      </c>
      <c r="AY158" s="13" t="s">
        <v>228</v>
      </c>
      <c r="BE158" s="130">
        <f>IF(N158="základná",J158,0)</f>
        <v>0</v>
      </c>
      <c r="BF158" s="130">
        <f>IF(N158="znížená",J158,0)</f>
        <v>761.76</v>
      </c>
      <c r="BG158" s="130">
        <f>IF(N158="zákl. prenesená",J158,0)</f>
        <v>0</v>
      </c>
      <c r="BH158" s="130">
        <f>IF(N158="zníž. prenesená",J158,0)</f>
        <v>0</v>
      </c>
      <c r="BI158" s="130">
        <f>IF(N158="nulová",J158,0)</f>
        <v>0</v>
      </c>
      <c r="BJ158" s="13" t="s">
        <v>76</v>
      </c>
      <c r="BK158" s="130">
        <f>ROUND(I158*H158,2)</f>
        <v>761.76</v>
      </c>
      <c r="BL158" s="13" t="s">
        <v>235</v>
      </c>
      <c r="BM158" s="129" t="s">
        <v>300</v>
      </c>
    </row>
    <row r="159" spans="2:65" s="11" customFormat="1" ht="25.95" customHeight="1" x14ac:dyDescent="0.25">
      <c r="B159" s="106"/>
      <c r="D159" s="107" t="s">
        <v>57</v>
      </c>
      <c r="E159" s="108" t="s">
        <v>556</v>
      </c>
      <c r="F159" s="108" t="s">
        <v>557</v>
      </c>
      <c r="J159" s="109">
        <f>BK159</f>
        <v>41993.990000000005</v>
      </c>
      <c r="L159" s="106"/>
      <c r="M159" s="110"/>
      <c r="N159" s="111"/>
      <c r="O159" s="111"/>
      <c r="P159" s="112">
        <f>P160+P166+P170+P185+P227+P253</f>
        <v>17.976348000000002</v>
      </c>
      <c r="Q159" s="111"/>
      <c r="R159" s="112">
        <f>R160+R166+R170+R185+R227+R253</f>
        <v>4.6200552000000006E-2</v>
      </c>
      <c r="S159" s="111"/>
      <c r="T159" s="113">
        <f>T160+T166+T170+T185+T227+T253</f>
        <v>0</v>
      </c>
      <c r="W159" s="195"/>
      <c r="X159" s="111"/>
      <c r="Y159" s="196" t="s">
        <v>57</v>
      </c>
      <c r="Z159" s="197" t="s">
        <v>556</v>
      </c>
      <c r="AA159" s="197" t="s">
        <v>557</v>
      </c>
      <c r="AB159" s="111"/>
      <c r="AC159" s="111"/>
      <c r="AD159" s="111"/>
      <c r="AE159" s="198">
        <f>AE160+AE166+AE170+AE185+AE227+AE253</f>
        <v>55554.605360000001</v>
      </c>
      <c r="AF159" s="956"/>
      <c r="AG159" s="409"/>
      <c r="AH159" s="406"/>
      <c r="AI159" s="408"/>
      <c r="AR159" s="107" t="s">
        <v>76</v>
      </c>
      <c r="AT159" s="114" t="s">
        <v>57</v>
      </c>
      <c r="AU159" s="114" t="s">
        <v>58</v>
      </c>
      <c r="AY159" s="107" t="s">
        <v>228</v>
      </c>
      <c r="BK159" s="115">
        <f>BK160+BK166+BK170+BK185+BK227+BK253</f>
        <v>41993.990000000005</v>
      </c>
    </row>
    <row r="160" spans="2:65" s="11" customFormat="1" ht="22.95" customHeight="1" x14ac:dyDescent="0.25">
      <c r="B160" s="106"/>
      <c r="D160" s="107" t="s">
        <v>57</v>
      </c>
      <c r="E160" s="116" t="s">
        <v>558</v>
      </c>
      <c r="F160" s="116" t="s">
        <v>559</v>
      </c>
      <c r="J160" s="117">
        <f>BK160</f>
        <v>942.06999999999994</v>
      </c>
      <c r="L160" s="106"/>
      <c r="M160" s="110"/>
      <c r="N160" s="111"/>
      <c r="O160" s="111"/>
      <c r="P160" s="112">
        <f>SUM(P163:P165)</f>
        <v>17.976348000000002</v>
      </c>
      <c r="Q160" s="111"/>
      <c r="R160" s="112">
        <f>SUM(R163:R165)</f>
        <v>4.6200552000000006E-2</v>
      </c>
      <c r="S160" s="111"/>
      <c r="T160" s="113">
        <f>SUM(T163:T165)</f>
        <v>0</v>
      </c>
      <c r="W160" s="195"/>
      <c r="X160" s="111"/>
      <c r="Y160" s="196" t="s">
        <v>57</v>
      </c>
      <c r="Z160" s="201" t="s">
        <v>558</v>
      </c>
      <c r="AA160" s="201" t="s">
        <v>559</v>
      </c>
      <c r="AB160" s="111"/>
      <c r="AC160" s="111"/>
      <c r="AD160" s="111"/>
      <c r="AE160" s="202">
        <f>SUM(AE161:AE165)</f>
        <v>2067.5500000000002</v>
      </c>
      <c r="AF160" s="956"/>
      <c r="AG160" s="409"/>
      <c r="AH160" s="406"/>
      <c r="AI160" s="408"/>
      <c r="AR160" s="107" t="s">
        <v>76</v>
      </c>
      <c r="AT160" s="114" t="s">
        <v>57</v>
      </c>
      <c r="AU160" s="114" t="s">
        <v>63</v>
      </c>
      <c r="AY160" s="107" t="s">
        <v>228</v>
      </c>
      <c r="BK160" s="115">
        <f>SUM(BK163:BK165)</f>
        <v>942.06999999999994</v>
      </c>
    </row>
    <row r="161" spans="2:65" s="11" customFormat="1" ht="30" customHeight="1" x14ac:dyDescent="0.2">
      <c r="B161" s="106"/>
      <c r="C161" s="1234" t="s">
        <v>5205</v>
      </c>
      <c r="D161" s="1235"/>
      <c r="E161" s="1235"/>
      <c r="F161" s="1235"/>
      <c r="G161" s="1235"/>
      <c r="H161" s="1235"/>
      <c r="I161" s="1235"/>
      <c r="J161" s="1236"/>
      <c r="L161" s="106"/>
      <c r="M161" s="110"/>
      <c r="N161" s="111"/>
      <c r="O161" s="111"/>
      <c r="P161" s="112"/>
      <c r="Q161" s="111"/>
      <c r="R161" s="112"/>
      <c r="S161" s="111"/>
      <c r="T161" s="113"/>
      <c r="W161" s="195"/>
      <c r="X161" s="341" t="s">
        <v>258</v>
      </c>
      <c r="Y161" s="341" t="s">
        <v>231</v>
      </c>
      <c r="Z161" s="342" t="s">
        <v>4435</v>
      </c>
      <c r="AA161" s="343" t="s">
        <v>4436</v>
      </c>
      <c r="AB161" s="344" t="s">
        <v>284</v>
      </c>
      <c r="AC161" s="345">
        <v>124.2</v>
      </c>
      <c r="AD161" s="346">
        <v>3.25</v>
      </c>
      <c r="AE161" s="355">
        <f>ROUND(AD161*AC161,2)</f>
        <v>403.65</v>
      </c>
      <c r="AF161" s="956">
        <v>9</v>
      </c>
      <c r="AG161" s="409"/>
      <c r="AH161" s="406"/>
      <c r="AI161" s="408"/>
      <c r="AR161" s="107"/>
      <c r="AT161" s="114"/>
      <c r="AU161" s="114"/>
      <c r="AY161" s="107"/>
      <c r="BK161" s="115"/>
    </row>
    <row r="162" spans="2:65" s="11" customFormat="1" ht="22.95" customHeight="1" x14ac:dyDescent="0.2">
      <c r="B162" s="106"/>
      <c r="C162" s="1234" t="s">
        <v>5205</v>
      </c>
      <c r="D162" s="1235"/>
      <c r="E162" s="1235"/>
      <c r="F162" s="1235"/>
      <c r="G162" s="1235"/>
      <c r="H162" s="1235"/>
      <c r="I162" s="1235"/>
      <c r="J162" s="1236"/>
      <c r="L162" s="106"/>
      <c r="M162" s="110"/>
      <c r="N162" s="111"/>
      <c r="O162" s="111"/>
      <c r="P162" s="112"/>
      <c r="Q162" s="111"/>
      <c r="R162" s="112"/>
      <c r="S162" s="111"/>
      <c r="T162" s="113"/>
      <c r="W162" s="195"/>
      <c r="X162" s="341" t="s">
        <v>289</v>
      </c>
      <c r="Y162" s="341" t="s">
        <v>231</v>
      </c>
      <c r="Z162" s="342" t="s">
        <v>4437</v>
      </c>
      <c r="AA162" s="343" t="s">
        <v>4438</v>
      </c>
      <c r="AB162" s="344" t="s">
        <v>1035</v>
      </c>
      <c r="AC162" s="345">
        <v>91</v>
      </c>
      <c r="AD162" s="346">
        <v>2.9</v>
      </c>
      <c r="AE162" s="355">
        <f>ROUND(AD162*AC162,2)</f>
        <v>263.89999999999998</v>
      </c>
      <c r="AF162" s="956">
        <v>9</v>
      </c>
      <c r="AG162" s="409"/>
      <c r="AH162" s="406"/>
      <c r="AI162" s="408"/>
      <c r="AR162" s="107"/>
      <c r="AT162" s="114"/>
      <c r="AU162" s="114"/>
      <c r="AY162" s="107"/>
      <c r="BK162" s="115"/>
    </row>
    <row r="163" spans="2:65" s="1" customFormat="1" ht="24" customHeight="1" x14ac:dyDescent="0.2">
      <c r="B163" s="118"/>
      <c r="C163" s="205" t="s">
        <v>7</v>
      </c>
      <c r="D163" s="119" t="s">
        <v>231</v>
      </c>
      <c r="E163" s="120" t="s">
        <v>934</v>
      </c>
      <c r="F163" s="121" t="s">
        <v>935</v>
      </c>
      <c r="G163" s="122" t="s">
        <v>284</v>
      </c>
      <c r="H163" s="206">
        <v>85.2</v>
      </c>
      <c r="I163" s="124">
        <v>4.2300000000000004</v>
      </c>
      <c r="J163" s="124">
        <f>ROUND(I163*H163,2)</f>
        <v>360.4</v>
      </c>
      <c r="K163" s="121" t="s">
        <v>1</v>
      </c>
      <c r="L163" s="24"/>
      <c r="M163" s="125" t="s">
        <v>1</v>
      </c>
      <c r="N163" s="126" t="s">
        <v>32</v>
      </c>
      <c r="O163" s="127">
        <v>0.21099000000000001</v>
      </c>
      <c r="P163" s="127">
        <f>O163*H163</f>
        <v>17.976348000000002</v>
      </c>
      <c r="Q163" s="127">
        <v>5.4226000000000003E-4</v>
      </c>
      <c r="R163" s="127">
        <f>Q163*H163</f>
        <v>4.6200552000000006E-2</v>
      </c>
      <c r="S163" s="127">
        <v>0</v>
      </c>
      <c r="T163" s="128">
        <f>S163*H163</f>
        <v>0</v>
      </c>
      <c r="W163" s="199"/>
      <c r="X163" s="205" t="s">
        <v>7</v>
      </c>
      <c r="Y163" s="119" t="s">
        <v>231</v>
      </c>
      <c r="Z163" s="120" t="s">
        <v>934</v>
      </c>
      <c r="AA163" s="121" t="s">
        <v>935</v>
      </c>
      <c r="AB163" s="122" t="s">
        <v>284</v>
      </c>
      <c r="AC163" s="206">
        <f>85.2+39</f>
        <v>124.2</v>
      </c>
      <c r="AD163" s="124">
        <v>4.2300000000000004</v>
      </c>
      <c r="AE163" s="200">
        <f>ROUND(AD163*AC163,2)</f>
        <v>525.37</v>
      </c>
      <c r="AF163" s="956">
        <v>9</v>
      </c>
      <c r="AG163" s="409"/>
      <c r="AH163" s="406"/>
      <c r="AI163" s="408"/>
      <c r="AR163" s="129" t="s">
        <v>258</v>
      </c>
      <c r="AT163" s="129" t="s">
        <v>231</v>
      </c>
      <c r="AU163" s="129" t="s">
        <v>76</v>
      </c>
      <c r="AY163" s="13" t="s">
        <v>228</v>
      </c>
      <c r="BE163" s="130">
        <f>IF(N163="základná",J163,0)</f>
        <v>0</v>
      </c>
      <c r="BF163" s="130">
        <f>IF(N163="znížená",J163,0)</f>
        <v>360.4</v>
      </c>
      <c r="BG163" s="130">
        <f>IF(N163="zákl. prenesená",J163,0)</f>
        <v>0</v>
      </c>
      <c r="BH163" s="130">
        <f>IF(N163="zníž. prenesená",J163,0)</f>
        <v>0</v>
      </c>
      <c r="BI163" s="130">
        <f>IF(N163="nulová",J163,0)</f>
        <v>0</v>
      </c>
      <c r="BJ163" s="13" t="s">
        <v>76</v>
      </c>
      <c r="BK163" s="130">
        <f>ROUND(I163*H163,2)</f>
        <v>360.4</v>
      </c>
      <c r="BL163" s="13" t="s">
        <v>258</v>
      </c>
      <c r="BM163" s="129" t="s">
        <v>303</v>
      </c>
    </row>
    <row r="164" spans="2:65" s="1" customFormat="1" ht="16.5" customHeight="1" x14ac:dyDescent="0.2">
      <c r="B164" s="118"/>
      <c r="C164" s="242" t="s">
        <v>305</v>
      </c>
      <c r="D164" s="131" t="s">
        <v>277</v>
      </c>
      <c r="E164" s="132" t="s">
        <v>936</v>
      </c>
      <c r="F164" s="133" t="s">
        <v>937</v>
      </c>
      <c r="G164" s="134" t="s">
        <v>284</v>
      </c>
      <c r="H164" s="241">
        <v>97.98</v>
      </c>
      <c r="I164" s="136">
        <v>5.81</v>
      </c>
      <c r="J164" s="136">
        <f>ROUND(I164*H164,2)</f>
        <v>569.26</v>
      </c>
      <c r="K164" s="133" t="s">
        <v>1</v>
      </c>
      <c r="L164" s="137"/>
      <c r="M164" s="138" t="s">
        <v>1</v>
      </c>
      <c r="N164" s="139" t="s">
        <v>32</v>
      </c>
      <c r="O164" s="127">
        <v>0</v>
      </c>
      <c r="P164" s="127">
        <f>O164*H164</f>
        <v>0</v>
      </c>
      <c r="Q164" s="127">
        <v>0</v>
      </c>
      <c r="R164" s="127">
        <f>Q164*H164</f>
        <v>0</v>
      </c>
      <c r="S164" s="127">
        <v>0</v>
      </c>
      <c r="T164" s="128">
        <f>S164*H164</f>
        <v>0</v>
      </c>
      <c r="W164" s="199"/>
      <c r="X164" s="242" t="s">
        <v>305</v>
      </c>
      <c r="Y164" s="131" t="s">
        <v>277</v>
      </c>
      <c r="Z164" s="132" t="s">
        <v>936</v>
      </c>
      <c r="AA164" s="133" t="s">
        <v>937</v>
      </c>
      <c r="AB164" s="134" t="s">
        <v>284</v>
      </c>
      <c r="AC164" s="241">
        <f>97.98+44.85</f>
        <v>142.83000000000001</v>
      </c>
      <c r="AD164" s="136">
        <v>5.81</v>
      </c>
      <c r="AE164" s="229">
        <f>ROUND(AD164*AC164,2)</f>
        <v>829.84</v>
      </c>
      <c r="AF164" s="956">
        <v>9</v>
      </c>
      <c r="AG164" s="409"/>
      <c r="AH164" s="406"/>
      <c r="AI164" s="408"/>
      <c r="AR164" s="129" t="s">
        <v>288</v>
      </c>
      <c r="AT164" s="129" t="s">
        <v>277</v>
      </c>
      <c r="AU164" s="129" t="s">
        <v>76</v>
      </c>
      <c r="AY164" s="13" t="s">
        <v>228</v>
      </c>
      <c r="BE164" s="130">
        <f>IF(N164="základná",J164,0)</f>
        <v>0</v>
      </c>
      <c r="BF164" s="130">
        <f>IF(N164="znížená",J164,0)</f>
        <v>569.26</v>
      </c>
      <c r="BG164" s="130">
        <f>IF(N164="zákl. prenesená",J164,0)</f>
        <v>0</v>
      </c>
      <c r="BH164" s="130">
        <f>IF(N164="zníž. prenesená",J164,0)</f>
        <v>0</v>
      </c>
      <c r="BI164" s="130">
        <f>IF(N164="nulová",J164,0)</f>
        <v>0</v>
      </c>
      <c r="BJ164" s="13" t="s">
        <v>76</v>
      </c>
      <c r="BK164" s="130">
        <f>ROUND(I164*H164,2)</f>
        <v>569.26</v>
      </c>
      <c r="BL164" s="13" t="s">
        <v>258</v>
      </c>
      <c r="BM164" s="129" t="s">
        <v>308</v>
      </c>
    </row>
    <row r="165" spans="2:65" s="1" customFormat="1" ht="27" customHeight="1" x14ac:dyDescent="0.2">
      <c r="B165" s="118"/>
      <c r="C165" s="205" t="s">
        <v>268</v>
      </c>
      <c r="D165" s="119" t="s">
        <v>231</v>
      </c>
      <c r="E165" s="120" t="s">
        <v>568</v>
      </c>
      <c r="F165" s="121" t="s">
        <v>938</v>
      </c>
      <c r="G165" s="122" t="s">
        <v>570</v>
      </c>
      <c r="H165" s="206">
        <v>4.1909999999999998</v>
      </c>
      <c r="I165" s="124">
        <v>2.96</v>
      </c>
      <c r="J165" s="124">
        <f>ROUND(I165*H165,2)</f>
        <v>12.41</v>
      </c>
      <c r="K165" s="121" t="s">
        <v>1</v>
      </c>
      <c r="L165" s="24"/>
      <c r="M165" s="125" t="s">
        <v>1</v>
      </c>
      <c r="N165" s="126" t="s">
        <v>32</v>
      </c>
      <c r="O165" s="127">
        <v>0</v>
      </c>
      <c r="P165" s="127">
        <f>O165*H165</f>
        <v>0</v>
      </c>
      <c r="Q165" s="127">
        <v>0</v>
      </c>
      <c r="R165" s="127">
        <f>Q165*H165</f>
        <v>0</v>
      </c>
      <c r="S165" s="127">
        <v>0</v>
      </c>
      <c r="T165" s="128">
        <f>S165*H165</f>
        <v>0</v>
      </c>
      <c r="W165" s="199"/>
      <c r="X165" s="205" t="s">
        <v>268</v>
      </c>
      <c r="Y165" s="119" t="s">
        <v>231</v>
      </c>
      <c r="Z165" s="120" t="s">
        <v>568</v>
      </c>
      <c r="AA165" s="121" t="s">
        <v>938</v>
      </c>
      <c r="AB165" s="122" t="s">
        <v>570</v>
      </c>
      <c r="AC165" s="206">
        <f>4.191+10.94</f>
        <v>15.131</v>
      </c>
      <c r="AD165" s="124">
        <v>2.96</v>
      </c>
      <c r="AE165" s="200">
        <f>ROUND(AD165*AC165,2)</f>
        <v>44.79</v>
      </c>
      <c r="AF165" s="956">
        <v>9</v>
      </c>
      <c r="AG165" s="409"/>
      <c r="AH165" s="406"/>
      <c r="AI165" s="408"/>
      <c r="AR165" s="129" t="s">
        <v>258</v>
      </c>
      <c r="AT165" s="129" t="s">
        <v>231</v>
      </c>
      <c r="AU165" s="129" t="s">
        <v>76</v>
      </c>
      <c r="AY165" s="13" t="s">
        <v>228</v>
      </c>
      <c r="BE165" s="130">
        <f>IF(N165="základná",J165,0)</f>
        <v>0</v>
      </c>
      <c r="BF165" s="130">
        <f>IF(N165="znížená",J165,0)</f>
        <v>12.41</v>
      </c>
      <c r="BG165" s="130">
        <f>IF(N165="zákl. prenesená",J165,0)</f>
        <v>0</v>
      </c>
      <c r="BH165" s="130">
        <f>IF(N165="zníž. prenesená",J165,0)</f>
        <v>0</v>
      </c>
      <c r="BI165" s="130">
        <f>IF(N165="nulová",J165,0)</f>
        <v>0</v>
      </c>
      <c r="BJ165" s="13" t="s">
        <v>76</v>
      </c>
      <c r="BK165" s="130">
        <f>ROUND(I165*H165,2)</f>
        <v>12.41</v>
      </c>
      <c r="BL165" s="13" t="s">
        <v>258</v>
      </c>
      <c r="BM165" s="129" t="s">
        <v>312</v>
      </c>
    </row>
    <row r="166" spans="2:65" s="11" customFormat="1" ht="22.95" customHeight="1" x14ac:dyDescent="0.25">
      <c r="B166" s="106"/>
      <c r="D166" s="107" t="s">
        <v>57</v>
      </c>
      <c r="E166" s="116" t="s">
        <v>939</v>
      </c>
      <c r="F166" s="116" t="s">
        <v>940</v>
      </c>
      <c r="J166" s="117">
        <f>BK166</f>
        <v>2131.9899999999998</v>
      </c>
      <c r="L166" s="106"/>
      <c r="M166" s="110"/>
      <c r="N166" s="111"/>
      <c r="O166" s="111"/>
      <c r="P166" s="112">
        <f>SUM(P167:P169)</f>
        <v>0</v>
      </c>
      <c r="Q166" s="111"/>
      <c r="R166" s="112">
        <f>SUM(R167:R169)</f>
        <v>0</v>
      </c>
      <c r="S166" s="111"/>
      <c r="T166" s="113">
        <f>SUM(T167:T169)</f>
        <v>0</v>
      </c>
      <c r="W166" s="195"/>
      <c r="X166" s="111"/>
      <c r="Y166" s="196" t="s">
        <v>57</v>
      </c>
      <c r="Z166" s="201" t="s">
        <v>939</v>
      </c>
      <c r="AA166" s="201" t="s">
        <v>940</v>
      </c>
      <c r="AB166" s="111"/>
      <c r="AC166" s="111"/>
      <c r="AD166" s="111"/>
      <c r="AE166" s="202">
        <f>SUM(AE167:AE169)</f>
        <v>6033.7853599999999</v>
      </c>
      <c r="AF166" s="956"/>
      <c r="AG166" s="409"/>
      <c r="AH166" s="406"/>
      <c r="AI166" s="408"/>
      <c r="AR166" s="107" t="s">
        <v>76</v>
      </c>
      <c r="AT166" s="114" t="s">
        <v>57</v>
      </c>
      <c r="AU166" s="114" t="s">
        <v>63</v>
      </c>
      <c r="AY166" s="107" t="s">
        <v>228</v>
      </c>
      <c r="BK166" s="115">
        <f>SUM(BK167:BK169)</f>
        <v>2131.9899999999998</v>
      </c>
    </row>
    <row r="167" spans="2:65" s="1" customFormat="1" ht="16.5" customHeight="1" x14ac:dyDescent="0.2">
      <c r="B167" s="118"/>
      <c r="C167" s="205" t="s">
        <v>313</v>
      </c>
      <c r="D167" s="119" t="s">
        <v>231</v>
      </c>
      <c r="E167" s="120" t="s">
        <v>941</v>
      </c>
      <c r="F167" s="121" t="s">
        <v>942</v>
      </c>
      <c r="G167" s="122" t="s">
        <v>284</v>
      </c>
      <c r="H167" s="206">
        <v>88.3</v>
      </c>
      <c r="I167" s="124">
        <v>23.22</v>
      </c>
      <c r="J167" s="124">
        <f>ROUND(I167*H167,2)</f>
        <v>2050.33</v>
      </c>
      <c r="K167" s="121" t="s">
        <v>1</v>
      </c>
      <c r="L167" s="24"/>
      <c r="M167" s="125" t="s">
        <v>1</v>
      </c>
      <c r="N167" s="126" t="s">
        <v>32</v>
      </c>
      <c r="O167" s="127">
        <v>0</v>
      </c>
      <c r="P167" s="127">
        <f>O167*H167</f>
        <v>0</v>
      </c>
      <c r="Q167" s="127">
        <v>0</v>
      </c>
      <c r="R167" s="127">
        <f>Q167*H167</f>
        <v>0</v>
      </c>
      <c r="S167" s="127">
        <v>0</v>
      </c>
      <c r="T167" s="128">
        <f>S167*H167</f>
        <v>0</v>
      </c>
      <c r="W167" s="199"/>
      <c r="X167" s="205" t="s">
        <v>313</v>
      </c>
      <c r="Y167" s="119" t="s">
        <v>231</v>
      </c>
      <c r="Z167" s="120" t="s">
        <v>941</v>
      </c>
      <c r="AA167" s="121" t="s">
        <v>942</v>
      </c>
      <c r="AB167" s="122" t="s">
        <v>284</v>
      </c>
      <c r="AC167" s="206">
        <f>88.3+2.9+72.809+58.549</f>
        <v>222.55800000000002</v>
      </c>
      <c r="AD167" s="124">
        <v>23.22</v>
      </c>
      <c r="AE167" s="200">
        <f>ROUND(AD167*AC167,2)</f>
        <v>5167.8</v>
      </c>
      <c r="AF167" s="956" t="s">
        <v>6707</v>
      </c>
      <c r="AG167" s="409"/>
      <c r="AH167" s="406"/>
      <c r="AI167" s="408"/>
      <c r="AR167" s="129" t="s">
        <v>258</v>
      </c>
      <c r="AT167" s="129" t="s">
        <v>231</v>
      </c>
      <c r="AU167" s="129" t="s">
        <v>76</v>
      </c>
      <c r="AY167" s="13" t="s">
        <v>228</v>
      </c>
      <c r="BE167" s="130">
        <f>IF(N167="základná",J167,0)</f>
        <v>0</v>
      </c>
      <c r="BF167" s="130">
        <f>IF(N167="znížená",J167,0)</f>
        <v>2050.33</v>
      </c>
      <c r="BG167" s="130">
        <f>IF(N167="zákl. prenesená",J167,0)</f>
        <v>0</v>
      </c>
      <c r="BH167" s="130">
        <f>IF(N167="zníž. prenesená",J167,0)</f>
        <v>0</v>
      </c>
      <c r="BI167" s="130">
        <f>IF(N167="nulová",J167,0)</f>
        <v>0</v>
      </c>
      <c r="BJ167" s="13" t="s">
        <v>76</v>
      </c>
      <c r="BK167" s="130">
        <f>ROUND(I167*H167,2)</f>
        <v>2050.33</v>
      </c>
      <c r="BL167" s="13" t="s">
        <v>258</v>
      </c>
      <c r="BM167" s="129" t="s">
        <v>316</v>
      </c>
    </row>
    <row r="168" spans="2:65" s="631" customFormat="1" ht="27" customHeight="1" x14ac:dyDescent="0.2">
      <c r="B168" s="118"/>
      <c r="C168" s="1234" t="s">
        <v>5205</v>
      </c>
      <c r="D168" s="1235"/>
      <c r="E168" s="1235"/>
      <c r="F168" s="1235"/>
      <c r="G168" s="1235"/>
      <c r="H168" s="1235"/>
      <c r="I168" s="1235"/>
      <c r="J168" s="1236"/>
      <c r="K168" s="121"/>
      <c r="L168" s="24"/>
      <c r="M168" s="125"/>
      <c r="N168" s="126"/>
      <c r="O168" s="127"/>
      <c r="P168" s="127"/>
      <c r="Q168" s="127"/>
      <c r="R168" s="127"/>
      <c r="S168" s="127"/>
      <c r="T168" s="128"/>
      <c r="W168" s="199"/>
      <c r="X168" s="207" t="s">
        <v>5209</v>
      </c>
      <c r="Y168" s="341"/>
      <c r="Z168" s="342" t="s">
        <v>6246</v>
      </c>
      <c r="AA168" s="343" t="s">
        <v>6247</v>
      </c>
      <c r="AB168" s="344" t="s">
        <v>284</v>
      </c>
      <c r="AC168" s="345">
        <v>26.881</v>
      </c>
      <c r="AD168" s="346">
        <v>2.56</v>
      </c>
      <c r="AE168" s="355">
        <f>AC168*AD168</f>
        <v>68.815359999999998</v>
      </c>
      <c r="AF168" s="956" t="s">
        <v>6229</v>
      </c>
      <c r="AG168" s="409"/>
      <c r="AH168" s="406"/>
      <c r="AI168" s="408"/>
      <c r="AR168" s="129"/>
      <c r="AT168" s="129"/>
      <c r="AU168" s="129"/>
      <c r="AY168" s="13"/>
      <c r="BE168" s="130"/>
      <c r="BF168" s="130"/>
      <c r="BG168" s="130"/>
      <c r="BH168" s="130"/>
      <c r="BI168" s="130"/>
      <c r="BJ168" s="13"/>
      <c r="BK168" s="130"/>
      <c r="BL168" s="13"/>
      <c r="BM168" s="129"/>
    </row>
    <row r="169" spans="2:65" s="1" customFormat="1" ht="16.5" customHeight="1" x14ac:dyDescent="0.2">
      <c r="B169" s="118"/>
      <c r="C169" s="205" t="s">
        <v>272</v>
      </c>
      <c r="D169" s="119" t="s">
        <v>231</v>
      </c>
      <c r="E169" s="120" t="s">
        <v>943</v>
      </c>
      <c r="F169" s="121" t="s">
        <v>944</v>
      </c>
      <c r="G169" s="122" t="s">
        <v>570</v>
      </c>
      <c r="H169" s="206">
        <v>5.2009999999999996</v>
      </c>
      <c r="I169" s="124">
        <v>15.7</v>
      </c>
      <c r="J169" s="124">
        <f>ROUND(I169*H169,2)</f>
        <v>81.66</v>
      </c>
      <c r="K169" s="121" t="s">
        <v>1</v>
      </c>
      <c r="L169" s="24"/>
      <c r="M169" s="125" t="s">
        <v>1</v>
      </c>
      <c r="N169" s="126" t="s">
        <v>32</v>
      </c>
      <c r="O169" s="127">
        <v>0</v>
      </c>
      <c r="P169" s="127">
        <f>O169*H169</f>
        <v>0</v>
      </c>
      <c r="Q169" s="127">
        <v>0</v>
      </c>
      <c r="R169" s="127">
        <f>Q169*H169</f>
        <v>0</v>
      </c>
      <c r="S169" s="127">
        <v>0</v>
      </c>
      <c r="T169" s="128">
        <f>S169*H169</f>
        <v>0</v>
      </c>
      <c r="W169" s="199"/>
      <c r="X169" s="205" t="s">
        <v>272</v>
      </c>
      <c r="Y169" s="119" t="s">
        <v>231</v>
      </c>
      <c r="Z169" s="120" t="s">
        <v>943</v>
      </c>
      <c r="AA169" s="121" t="s">
        <v>944</v>
      </c>
      <c r="AB169" s="122" t="s">
        <v>570</v>
      </c>
      <c r="AC169" s="206">
        <f>5.201+0.673+17.61+27.291</f>
        <v>50.774999999999999</v>
      </c>
      <c r="AD169" s="124">
        <v>15.7</v>
      </c>
      <c r="AE169" s="200">
        <f>ROUND(AD169*AC169,2)</f>
        <v>797.17</v>
      </c>
      <c r="AF169" s="956" t="s">
        <v>6707</v>
      </c>
      <c r="AG169" s="409"/>
      <c r="AH169" s="406"/>
      <c r="AI169" s="408"/>
      <c r="AR169" s="129" t="s">
        <v>258</v>
      </c>
      <c r="AT169" s="129" t="s">
        <v>231</v>
      </c>
      <c r="AU169" s="129" t="s">
        <v>76</v>
      </c>
      <c r="AY169" s="13" t="s">
        <v>228</v>
      </c>
      <c r="BE169" s="130">
        <f>IF(N169="základná",J169,0)</f>
        <v>0</v>
      </c>
      <c r="BF169" s="130">
        <f>IF(N169="znížená",J169,0)</f>
        <v>81.66</v>
      </c>
      <c r="BG169" s="130">
        <f>IF(N169="zákl. prenesená",J169,0)</f>
        <v>0</v>
      </c>
      <c r="BH169" s="130">
        <f>IF(N169="zníž. prenesená",J169,0)</f>
        <v>0</v>
      </c>
      <c r="BI169" s="130">
        <f>IF(N169="nulová",J169,0)</f>
        <v>0</v>
      </c>
      <c r="BJ169" s="13" t="s">
        <v>76</v>
      </c>
      <c r="BK169" s="130">
        <f>ROUND(I169*H169,2)</f>
        <v>81.66</v>
      </c>
      <c r="BL169" s="13" t="s">
        <v>258</v>
      </c>
      <c r="BM169" s="129" t="s">
        <v>319</v>
      </c>
    </row>
    <row r="170" spans="2:65" s="11" customFormat="1" ht="22.95" customHeight="1" x14ac:dyDescent="0.25">
      <c r="B170" s="106"/>
      <c r="D170" s="107" t="s">
        <v>57</v>
      </c>
      <c r="E170" s="116" t="s">
        <v>945</v>
      </c>
      <c r="F170" s="116" t="s">
        <v>946</v>
      </c>
      <c r="J170" s="117">
        <f>BK170</f>
        <v>6382.4299999999994</v>
      </c>
      <c r="L170" s="106"/>
      <c r="M170" s="110"/>
      <c r="N170" s="111"/>
      <c r="O170" s="111"/>
      <c r="P170" s="112">
        <f>SUM(P171:P184)</f>
        <v>0</v>
      </c>
      <c r="Q170" s="111"/>
      <c r="R170" s="112">
        <f>SUM(R171:R184)</f>
        <v>0</v>
      </c>
      <c r="S170" s="111"/>
      <c r="T170" s="113">
        <f>SUM(T171:T184)</f>
        <v>0</v>
      </c>
      <c r="W170" s="195"/>
      <c r="X170" s="111"/>
      <c r="Y170" s="196" t="s">
        <v>57</v>
      </c>
      <c r="Z170" s="201" t="s">
        <v>945</v>
      </c>
      <c r="AA170" s="201" t="s">
        <v>946</v>
      </c>
      <c r="AB170" s="111"/>
      <c r="AC170" s="111"/>
      <c r="AD170" s="111"/>
      <c r="AE170" s="202">
        <f>SUM(AE171:AE184)</f>
        <v>7005.7900000000009</v>
      </c>
      <c r="AF170" s="956"/>
      <c r="AG170" s="409"/>
      <c r="AH170" s="406"/>
      <c r="AI170" s="408"/>
      <c r="AR170" s="107" t="s">
        <v>76</v>
      </c>
      <c r="AT170" s="114" t="s">
        <v>57</v>
      </c>
      <c r="AU170" s="114" t="s">
        <v>63</v>
      </c>
      <c r="AY170" s="107" t="s">
        <v>228</v>
      </c>
      <c r="BK170" s="115">
        <f>SUM(BK171:BK184)</f>
        <v>6382.4299999999994</v>
      </c>
    </row>
    <row r="171" spans="2:65" s="1" customFormat="1" ht="16.5" customHeight="1" x14ac:dyDescent="0.2">
      <c r="B171" s="118"/>
      <c r="C171" s="119" t="s">
        <v>320</v>
      </c>
      <c r="D171" s="119" t="s">
        <v>231</v>
      </c>
      <c r="E171" s="120" t="s">
        <v>947</v>
      </c>
      <c r="F171" s="121" t="s">
        <v>948</v>
      </c>
      <c r="G171" s="122" t="s">
        <v>292</v>
      </c>
      <c r="H171" s="123">
        <v>102</v>
      </c>
      <c r="I171" s="124">
        <v>8.9600000000000009</v>
      </c>
      <c r="J171" s="124">
        <f t="shared" ref="J171:J184" si="11">ROUND(I171*H171,2)</f>
        <v>913.92</v>
      </c>
      <c r="K171" s="121" t="s">
        <v>1</v>
      </c>
      <c r="L171" s="24"/>
      <c r="M171" s="125" t="s">
        <v>1</v>
      </c>
      <c r="N171" s="126" t="s">
        <v>32</v>
      </c>
      <c r="O171" s="127">
        <v>0</v>
      </c>
      <c r="P171" s="127">
        <f t="shared" ref="P171:P184" si="12">O171*H171</f>
        <v>0</v>
      </c>
      <c r="Q171" s="127">
        <v>0</v>
      </c>
      <c r="R171" s="127">
        <f t="shared" ref="R171:R184" si="13">Q171*H171</f>
        <v>0</v>
      </c>
      <c r="S171" s="127">
        <v>0</v>
      </c>
      <c r="T171" s="128">
        <f t="shared" ref="T171:T184" si="14">S171*H171</f>
        <v>0</v>
      </c>
      <c r="W171" s="199"/>
      <c r="X171" s="119" t="s">
        <v>320</v>
      </c>
      <c r="Y171" s="119" t="s">
        <v>231</v>
      </c>
      <c r="Z171" s="120" t="s">
        <v>947</v>
      </c>
      <c r="AA171" s="121" t="s">
        <v>948</v>
      </c>
      <c r="AB171" s="122" t="s">
        <v>292</v>
      </c>
      <c r="AC171" s="123">
        <v>102</v>
      </c>
      <c r="AD171" s="124">
        <v>8.9600000000000009</v>
      </c>
      <c r="AE171" s="200">
        <f t="shared" ref="AE171:AE184" si="15">ROUND(AD171*AC171,2)</f>
        <v>913.92</v>
      </c>
      <c r="AF171" s="956"/>
      <c r="AG171" s="409"/>
      <c r="AH171" s="406"/>
      <c r="AI171" s="408"/>
      <c r="AR171" s="129" t="s">
        <v>258</v>
      </c>
      <c r="AT171" s="129" t="s">
        <v>231</v>
      </c>
      <c r="AU171" s="129" t="s">
        <v>76</v>
      </c>
      <c r="AY171" s="13" t="s">
        <v>228</v>
      </c>
      <c r="BE171" s="130">
        <f t="shared" ref="BE171:BE184" si="16">IF(N171="základná",J171,0)</f>
        <v>0</v>
      </c>
      <c r="BF171" s="130">
        <f t="shared" ref="BF171:BF184" si="17">IF(N171="znížená",J171,0)</f>
        <v>913.92</v>
      </c>
      <c r="BG171" s="130">
        <f t="shared" ref="BG171:BG184" si="18">IF(N171="zákl. prenesená",J171,0)</f>
        <v>0</v>
      </c>
      <c r="BH171" s="130">
        <f t="shared" ref="BH171:BH184" si="19">IF(N171="zníž. prenesená",J171,0)</f>
        <v>0</v>
      </c>
      <c r="BI171" s="130">
        <f t="shared" ref="BI171:BI184" si="20">IF(N171="nulová",J171,0)</f>
        <v>0</v>
      </c>
      <c r="BJ171" s="13" t="s">
        <v>76</v>
      </c>
      <c r="BK171" s="130">
        <f t="shared" ref="BK171:BK184" si="21">ROUND(I171*H171,2)</f>
        <v>913.92</v>
      </c>
      <c r="BL171" s="13" t="s">
        <v>258</v>
      </c>
      <c r="BM171" s="129" t="s">
        <v>323</v>
      </c>
    </row>
    <row r="172" spans="2:65" s="1" customFormat="1" ht="16.5" customHeight="1" x14ac:dyDescent="0.2">
      <c r="B172" s="118"/>
      <c r="C172" s="119" t="s">
        <v>276</v>
      </c>
      <c r="D172" s="119" t="s">
        <v>231</v>
      </c>
      <c r="E172" s="120" t="s">
        <v>949</v>
      </c>
      <c r="F172" s="121" t="s">
        <v>950</v>
      </c>
      <c r="G172" s="122" t="s">
        <v>292</v>
      </c>
      <c r="H172" s="123">
        <v>33</v>
      </c>
      <c r="I172" s="124">
        <v>8.2200000000000006</v>
      </c>
      <c r="J172" s="124">
        <f t="shared" si="11"/>
        <v>271.26</v>
      </c>
      <c r="K172" s="121" t="s">
        <v>1</v>
      </c>
      <c r="L172" s="24"/>
      <c r="M172" s="125" t="s">
        <v>1</v>
      </c>
      <c r="N172" s="126" t="s">
        <v>32</v>
      </c>
      <c r="O172" s="127">
        <v>0</v>
      </c>
      <c r="P172" s="127">
        <f t="shared" si="12"/>
        <v>0</v>
      </c>
      <c r="Q172" s="127">
        <v>0</v>
      </c>
      <c r="R172" s="127">
        <f t="shared" si="13"/>
        <v>0</v>
      </c>
      <c r="S172" s="127">
        <v>0</v>
      </c>
      <c r="T172" s="128">
        <f t="shared" si="14"/>
        <v>0</v>
      </c>
      <c r="W172" s="199"/>
      <c r="X172" s="119" t="s">
        <v>276</v>
      </c>
      <c r="Y172" s="119" t="s">
        <v>231</v>
      </c>
      <c r="Z172" s="120" t="s">
        <v>949</v>
      </c>
      <c r="AA172" s="121" t="s">
        <v>950</v>
      </c>
      <c r="AB172" s="122" t="s">
        <v>292</v>
      </c>
      <c r="AC172" s="123">
        <v>33</v>
      </c>
      <c r="AD172" s="124">
        <v>8.2200000000000006</v>
      </c>
      <c r="AE172" s="200">
        <f t="shared" si="15"/>
        <v>271.26</v>
      </c>
      <c r="AF172" s="956"/>
      <c r="AG172" s="409"/>
      <c r="AH172" s="406"/>
      <c r="AI172" s="408"/>
      <c r="AR172" s="129" t="s">
        <v>258</v>
      </c>
      <c r="AT172" s="129" t="s">
        <v>231</v>
      </c>
      <c r="AU172" s="129" t="s">
        <v>76</v>
      </c>
      <c r="AY172" s="13" t="s">
        <v>228</v>
      </c>
      <c r="BE172" s="130">
        <f t="shared" si="16"/>
        <v>0</v>
      </c>
      <c r="BF172" s="130">
        <f t="shared" si="17"/>
        <v>271.26</v>
      </c>
      <c r="BG172" s="130">
        <f t="shared" si="18"/>
        <v>0</v>
      </c>
      <c r="BH172" s="130">
        <f t="shared" si="19"/>
        <v>0</v>
      </c>
      <c r="BI172" s="130">
        <f t="shared" si="20"/>
        <v>0</v>
      </c>
      <c r="BJ172" s="13" t="s">
        <v>76</v>
      </c>
      <c r="BK172" s="130">
        <f t="shared" si="21"/>
        <v>271.26</v>
      </c>
      <c r="BL172" s="13" t="s">
        <v>258</v>
      </c>
      <c r="BM172" s="129" t="s">
        <v>326</v>
      </c>
    </row>
    <row r="173" spans="2:65" s="1" customFormat="1" ht="16.5" customHeight="1" x14ac:dyDescent="0.2">
      <c r="B173" s="118"/>
      <c r="C173" s="205" t="s">
        <v>327</v>
      </c>
      <c r="D173" s="119" t="s">
        <v>231</v>
      </c>
      <c r="E173" s="120" t="s">
        <v>951</v>
      </c>
      <c r="F173" s="121" t="s">
        <v>952</v>
      </c>
      <c r="G173" s="122" t="s">
        <v>292</v>
      </c>
      <c r="H173" s="206">
        <v>48</v>
      </c>
      <c r="I173" s="124">
        <v>14.65</v>
      </c>
      <c r="J173" s="124">
        <f t="shared" si="11"/>
        <v>703.2</v>
      </c>
      <c r="K173" s="121" t="s">
        <v>1</v>
      </c>
      <c r="L173" s="24"/>
      <c r="M173" s="125" t="s">
        <v>1</v>
      </c>
      <c r="N173" s="126" t="s">
        <v>32</v>
      </c>
      <c r="O173" s="127">
        <v>0</v>
      </c>
      <c r="P173" s="127">
        <f t="shared" si="12"/>
        <v>0</v>
      </c>
      <c r="Q173" s="127">
        <v>0</v>
      </c>
      <c r="R173" s="127">
        <f t="shared" si="13"/>
        <v>0</v>
      </c>
      <c r="S173" s="127">
        <v>0</v>
      </c>
      <c r="T173" s="128">
        <f t="shared" si="14"/>
        <v>0</v>
      </c>
      <c r="W173" s="199"/>
      <c r="X173" s="205" t="s">
        <v>327</v>
      </c>
      <c r="Y173" s="119" t="s">
        <v>231</v>
      </c>
      <c r="Z173" s="120" t="s">
        <v>951</v>
      </c>
      <c r="AA173" s="121" t="s">
        <v>952</v>
      </c>
      <c r="AB173" s="122" t="s">
        <v>292</v>
      </c>
      <c r="AC173" s="206">
        <f>48+14</f>
        <v>62</v>
      </c>
      <c r="AD173" s="124">
        <v>14.65</v>
      </c>
      <c r="AE173" s="200">
        <f t="shared" si="15"/>
        <v>908.3</v>
      </c>
      <c r="AF173" s="956" t="s">
        <v>6229</v>
      </c>
      <c r="AG173" s="409"/>
      <c r="AH173" s="406"/>
      <c r="AI173" s="408"/>
      <c r="AR173" s="129" t="s">
        <v>258</v>
      </c>
      <c r="AT173" s="129" t="s">
        <v>231</v>
      </c>
      <c r="AU173" s="129" t="s">
        <v>76</v>
      </c>
      <c r="AY173" s="13" t="s">
        <v>228</v>
      </c>
      <c r="BE173" s="130">
        <f t="shared" si="16"/>
        <v>0</v>
      </c>
      <c r="BF173" s="130">
        <f t="shared" si="17"/>
        <v>703.2</v>
      </c>
      <c r="BG173" s="130">
        <f t="shared" si="18"/>
        <v>0</v>
      </c>
      <c r="BH173" s="130">
        <f t="shared" si="19"/>
        <v>0</v>
      </c>
      <c r="BI173" s="130">
        <f t="shared" si="20"/>
        <v>0</v>
      </c>
      <c r="BJ173" s="13" t="s">
        <v>76</v>
      </c>
      <c r="BK173" s="130">
        <f t="shared" si="21"/>
        <v>703.2</v>
      </c>
      <c r="BL173" s="13" t="s">
        <v>258</v>
      </c>
      <c r="BM173" s="129" t="s">
        <v>330</v>
      </c>
    </row>
    <row r="174" spans="2:65" s="1" customFormat="1" ht="16.5" customHeight="1" x14ac:dyDescent="0.2">
      <c r="B174" s="118"/>
      <c r="C174" s="205" t="s">
        <v>280</v>
      </c>
      <c r="D174" s="119" t="s">
        <v>231</v>
      </c>
      <c r="E174" s="120" t="s">
        <v>953</v>
      </c>
      <c r="F174" s="121" t="s">
        <v>954</v>
      </c>
      <c r="G174" s="122" t="s">
        <v>292</v>
      </c>
      <c r="H174" s="206">
        <v>42</v>
      </c>
      <c r="I174" s="124">
        <v>15.67</v>
      </c>
      <c r="J174" s="124">
        <f t="shared" si="11"/>
        <v>658.14</v>
      </c>
      <c r="K174" s="121" t="s">
        <v>1</v>
      </c>
      <c r="L174" s="24"/>
      <c r="M174" s="125" t="s">
        <v>1</v>
      </c>
      <c r="N174" s="126" t="s">
        <v>32</v>
      </c>
      <c r="O174" s="127">
        <v>0</v>
      </c>
      <c r="P174" s="127">
        <f t="shared" si="12"/>
        <v>0</v>
      </c>
      <c r="Q174" s="127">
        <v>0</v>
      </c>
      <c r="R174" s="127">
        <f t="shared" si="13"/>
        <v>0</v>
      </c>
      <c r="S174" s="127">
        <v>0</v>
      </c>
      <c r="T174" s="128">
        <f t="shared" si="14"/>
        <v>0</v>
      </c>
      <c r="W174" s="199"/>
      <c r="X174" s="205" t="s">
        <v>280</v>
      </c>
      <c r="Y174" s="119" t="s">
        <v>231</v>
      </c>
      <c r="Z174" s="120" t="s">
        <v>953</v>
      </c>
      <c r="AA174" s="121" t="s">
        <v>954</v>
      </c>
      <c r="AB174" s="122" t="s">
        <v>292</v>
      </c>
      <c r="AC174" s="206">
        <f>42+8</f>
        <v>50</v>
      </c>
      <c r="AD174" s="124">
        <v>15.67</v>
      </c>
      <c r="AE174" s="200">
        <f t="shared" si="15"/>
        <v>783.5</v>
      </c>
      <c r="AF174" s="956" t="s">
        <v>6229</v>
      </c>
      <c r="AG174" s="409"/>
      <c r="AH174" s="406"/>
      <c r="AI174" s="408"/>
      <c r="AR174" s="129" t="s">
        <v>258</v>
      </c>
      <c r="AT174" s="129" t="s">
        <v>231</v>
      </c>
      <c r="AU174" s="129" t="s">
        <v>76</v>
      </c>
      <c r="AY174" s="13" t="s">
        <v>228</v>
      </c>
      <c r="BE174" s="130">
        <f t="shared" si="16"/>
        <v>0</v>
      </c>
      <c r="BF174" s="130">
        <f t="shared" si="17"/>
        <v>658.14</v>
      </c>
      <c r="BG174" s="130">
        <f t="shared" si="18"/>
        <v>0</v>
      </c>
      <c r="BH174" s="130">
        <f t="shared" si="19"/>
        <v>0</v>
      </c>
      <c r="BI174" s="130">
        <f t="shared" si="20"/>
        <v>0</v>
      </c>
      <c r="BJ174" s="13" t="s">
        <v>76</v>
      </c>
      <c r="BK174" s="130">
        <f t="shared" si="21"/>
        <v>658.14</v>
      </c>
      <c r="BL174" s="13" t="s">
        <v>258</v>
      </c>
      <c r="BM174" s="129" t="s">
        <v>333</v>
      </c>
    </row>
    <row r="175" spans="2:65" s="1" customFormat="1" ht="16.5" customHeight="1" x14ac:dyDescent="0.2">
      <c r="B175" s="118"/>
      <c r="C175" s="205" t="s">
        <v>334</v>
      </c>
      <c r="D175" s="119" t="s">
        <v>231</v>
      </c>
      <c r="E175" s="120" t="s">
        <v>955</v>
      </c>
      <c r="F175" s="121" t="s">
        <v>956</v>
      </c>
      <c r="G175" s="122" t="s">
        <v>292</v>
      </c>
      <c r="H175" s="206">
        <v>44</v>
      </c>
      <c r="I175" s="124">
        <v>16.559999999999999</v>
      </c>
      <c r="J175" s="124">
        <f t="shared" si="11"/>
        <v>728.64</v>
      </c>
      <c r="K175" s="121" t="s">
        <v>1</v>
      </c>
      <c r="L175" s="24"/>
      <c r="M175" s="125" t="s">
        <v>1</v>
      </c>
      <c r="N175" s="126" t="s">
        <v>32</v>
      </c>
      <c r="O175" s="127">
        <v>0</v>
      </c>
      <c r="P175" s="127">
        <f t="shared" si="12"/>
        <v>0</v>
      </c>
      <c r="Q175" s="127">
        <v>0</v>
      </c>
      <c r="R175" s="127">
        <f t="shared" si="13"/>
        <v>0</v>
      </c>
      <c r="S175" s="127">
        <v>0</v>
      </c>
      <c r="T175" s="128">
        <f t="shared" si="14"/>
        <v>0</v>
      </c>
      <c r="W175" s="199"/>
      <c r="X175" s="205" t="s">
        <v>334</v>
      </c>
      <c r="Y175" s="119" t="s">
        <v>231</v>
      </c>
      <c r="Z175" s="120" t="s">
        <v>955</v>
      </c>
      <c r="AA175" s="121" t="s">
        <v>956</v>
      </c>
      <c r="AB175" s="122" t="s">
        <v>292</v>
      </c>
      <c r="AC175" s="206">
        <f>44+2</f>
        <v>46</v>
      </c>
      <c r="AD175" s="124">
        <v>16.559999999999999</v>
      </c>
      <c r="AE175" s="200">
        <f t="shared" si="15"/>
        <v>761.76</v>
      </c>
      <c r="AF175" s="956">
        <v>9</v>
      </c>
      <c r="AG175" s="409"/>
      <c r="AH175" s="406"/>
      <c r="AI175" s="408"/>
      <c r="AR175" s="129" t="s">
        <v>258</v>
      </c>
      <c r="AT175" s="129" t="s">
        <v>231</v>
      </c>
      <c r="AU175" s="129" t="s">
        <v>76</v>
      </c>
      <c r="AY175" s="13" t="s">
        <v>228</v>
      </c>
      <c r="BE175" s="130">
        <f t="shared" si="16"/>
        <v>0</v>
      </c>
      <c r="BF175" s="130">
        <f t="shared" si="17"/>
        <v>728.64</v>
      </c>
      <c r="BG175" s="130">
        <f t="shared" si="18"/>
        <v>0</v>
      </c>
      <c r="BH175" s="130">
        <f t="shared" si="19"/>
        <v>0</v>
      </c>
      <c r="BI175" s="130">
        <f t="shared" si="20"/>
        <v>0</v>
      </c>
      <c r="BJ175" s="13" t="s">
        <v>76</v>
      </c>
      <c r="BK175" s="130">
        <f t="shared" si="21"/>
        <v>728.64</v>
      </c>
      <c r="BL175" s="13" t="s">
        <v>258</v>
      </c>
      <c r="BM175" s="129" t="s">
        <v>337</v>
      </c>
    </row>
    <row r="176" spans="2:65" s="1" customFormat="1" ht="16.5" customHeight="1" x14ac:dyDescent="0.2">
      <c r="B176" s="118"/>
      <c r="C176" s="205" t="s">
        <v>285</v>
      </c>
      <c r="D176" s="119" t="s">
        <v>231</v>
      </c>
      <c r="E176" s="120" t="s">
        <v>957</v>
      </c>
      <c r="F176" s="121" t="s">
        <v>958</v>
      </c>
      <c r="G176" s="122" t="s">
        <v>292</v>
      </c>
      <c r="H176" s="206">
        <v>66</v>
      </c>
      <c r="I176" s="124">
        <v>16.559999999999999</v>
      </c>
      <c r="J176" s="124">
        <f t="shared" si="11"/>
        <v>1092.96</v>
      </c>
      <c r="K176" s="121" t="s">
        <v>1</v>
      </c>
      <c r="L176" s="24"/>
      <c r="M176" s="125" t="s">
        <v>1</v>
      </c>
      <c r="N176" s="126" t="s">
        <v>32</v>
      </c>
      <c r="O176" s="127">
        <v>0</v>
      </c>
      <c r="P176" s="127">
        <f t="shared" si="12"/>
        <v>0</v>
      </c>
      <c r="Q176" s="127">
        <v>0</v>
      </c>
      <c r="R176" s="127">
        <f t="shared" si="13"/>
        <v>0</v>
      </c>
      <c r="S176" s="127">
        <v>0</v>
      </c>
      <c r="T176" s="128">
        <f t="shared" si="14"/>
        <v>0</v>
      </c>
      <c r="W176" s="199"/>
      <c r="X176" s="205" t="s">
        <v>285</v>
      </c>
      <c r="Y176" s="119" t="s">
        <v>231</v>
      </c>
      <c r="Z176" s="120" t="s">
        <v>957</v>
      </c>
      <c r="AA176" s="121" t="s">
        <v>958</v>
      </c>
      <c r="AB176" s="122" t="s">
        <v>292</v>
      </c>
      <c r="AC176" s="206">
        <f>66+8+1</f>
        <v>75</v>
      </c>
      <c r="AD176" s="124">
        <v>16.559999999999999</v>
      </c>
      <c r="AE176" s="200">
        <f t="shared" si="15"/>
        <v>1242</v>
      </c>
      <c r="AF176" s="956" t="s">
        <v>6230</v>
      </c>
      <c r="AG176" s="409"/>
      <c r="AH176" s="406"/>
      <c r="AI176" s="408"/>
      <c r="AR176" s="129" t="s">
        <v>258</v>
      </c>
      <c r="AT176" s="129" t="s">
        <v>231</v>
      </c>
      <c r="AU176" s="129" t="s">
        <v>76</v>
      </c>
      <c r="AY176" s="13" t="s">
        <v>228</v>
      </c>
      <c r="BE176" s="130">
        <f t="shared" si="16"/>
        <v>0</v>
      </c>
      <c r="BF176" s="130">
        <f t="shared" si="17"/>
        <v>1092.96</v>
      </c>
      <c r="BG176" s="130">
        <f t="shared" si="18"/>
        <v>0</v>
      </c>
      <c r="BH176" s="130">
        <f t="shared" si="19"/>
        <v>0</v>
      </c>
      <c r="BI176" s="130">
        <f t="shared" si="20"/>
        <v>0</v>
      </c>
      <c r="BJ176" s="13" t="s">
        <v>76</v>
      </c>
      <c r="BK176" s="130">
        <f t="shared" si="21"/>
        <v>1092.96</v>
      </c>
      <c r="BL176" s="13" t="s">
        <v>258</v>
      </c>
      <c r="BM176" s="129" t="s">
        <v>340</v>
      </c>
    </row>
    <row r="177" spans="2:65" s="1" customFormat="1" ht="16.5" customHeight="1" x14ac:dyDescent="0.2">
      <c r="B177" s="118"/>
      <c r="C177" s="205" t="s">
        <v>341</v>
      </c>
      <c r="D177" s="119" t="s">
        <v>231</v>
      </c>
      <c r="E177" s="120" t="s">
        <v>959</v>
      </c>
      <c r="F177" s="121" t="s">
        <v>960</v>
      </c>
      <c r="G177" s="122" t="s">
        <v>292</v>
      </c>
      <c r="H177" s="206">
        <v>23</v>
      </c>
      <c r="I177" s="124">
        <v>23.24</v>
      </c>
      <c r="J177" s="124">
        <f t="shared" si="11"/>
        <v>534.52</v>
      </c>
      <c r="K177" s="121" t="s">
        <v>1</v>
      </c>
      <c r="L177" s="24"/>
      <c r="M177" s="125" t="s">
        <v>1</v>
      </c>
      <c r="N177" s="126" t="s">
        <v>32</v>
      </c>
      <c r="O177" s="127">
        <v>0</v>
      </c>
      <c r="P177" s="127">
        <f t="shared" si="12"/>
        <v>0</v>
      </c>
      <c r="Q177" s="127">
        <v>0</v>
      </c>
      <c r="R177" s="127">
        <f t="shared" si="13"/>
        <v>0</v>
      </c>
      <c r="S177" s="127">
        <v>0</v>
      </c>
      <c r="T177" s="128">
        <f t="shared" si="14"/>
        <v>0</v>
      </c>
      <c r="W177" s="199"/>
      <c r="X177" s="205" t="s">
        <v>341</v>
      </c>
      <c r="Y177" s="119" t="s">
        <v>231</v>
      </c>
      <c r="Z177" s="120" t="s">
        <v>959</v>
      </c>
      <c r="AA177" s="121" t="s">
        <v>960</v>
      </c>
      <c r="AB177" s="122" t="s">
        <v>292</v>
      </c>
      <c r="AC177" s="206">
        <f>23+22</f>
        <v>45</v>
      </c>
      <c r="AD177" s="124">
        <v>23.24</v>
      </c>
      <c r="AE177" s="200">
        <f t="shared" si="15"/>
        <v>1045.8</v>
      </c>
      <c r="AF177" s="956">
        <v>9</v>
      </c>
      <c r="AG177" s="409"/>
      <c r="AH177" s="406"/>
      <c r="AI177" s="408"/>
      <c r="AR177" s="129" t="s">
        <v>258</v>
      </c>
      <c r="AT177" s="129" t="s">
        <v>231</v>
      </c>
      <c r="AU177" s="129" t="s">
        <v>76</v>
      </c>
      <c r="AY177" s="13" t="s">
        <v>228</v>
      </c>
      <c r="BE177" s="130">
        <f t="shared" si="16"/>
        <v>0</v>
      </c>
      <c r="BF177" s="130">
        <f t="shared" si="17"/>
        <v>534.52</v>
      </c>
      <c r="BG177" s="130">
        <f t="shared" si="18"/>
        <v>0</v>
      </c>
      <c r="BH177" s="130">
        <f t="shared" si="19"/>
        <v>0</v>
      </c>
      <c r="BI177" s="130">
        <f t="shared" si="20"/>
        <v>0</v>
      </c>
      <c r="BJ177" s="13" t="s">
        <v>76</v>
      </c>
      <c r="BK177" s="130">
        <f t="shared" si="21"/>
        <v>534.52</v>
      </c>
      <c r="BL177" s="13" t="s">
        <v>258</v>
      </c>
      <c r="BM177" s="129" t="s">
        <v>344</v>
      </c>
    </row>
    <row r="178" spans="2:65" s="1" customFormat="1" ht="16.5" customHeight="1" x14ac:dyDescent="0.2">
      <c r="B178" s="118"/>
      <c r="C178" s="205" t="s">
        <v>288</v>
      </c>
      <c r="D178" s="119" t="s">
        <v>231</v>
      </c>
      <c r="E178" s="120" t="s">
        <v>961</v>
      </c>
      <c r="F178" s="121" t="s">
        <v>962</v>
      </c>
      <c r="G178" s="122" t="s">
        <v>292</v>
      </c>
      <c r="H178" s="206">
        <v>22</v>
      </c>
      <c r="I178" s="124">
        <v>25.26</v>
      </c>
      <c r="J178" s="124">
        <f t="shared" si="11"/>
        <v>555.72</v>
      </c>
      <c r="K178" s="121" t="s">
        <v>1</v>
      </c>
      <c r="L178" s="24"/>
      <c r="M178" s="125" t="s">
        <v>1</v>
      </c>
      <c r="N178" s="126" t="s">
        <v>32</v>
      </c>
      <c r="O178" s="127">
        <v>0</v>
      </c>
      <c r="P178" s="127">
        <f t="shared" si="12"/>
        <v>0</v>
      </c>
      <c r="Q178" s="127">
        <v>0</v>
      </c>
      <c r="R178" s="127">
        <f t="shared" si="13"/>
        <v>0</v>
      </c>
      <c r="S178" s="127">
        <v>0</v>
      </c>
      <c r="T178" s="128">
        <f t="shared" si="14"/>
        <v>0</v>
      </c>
      <c r="W178" s="199"/>
      <c r="X178" s="205" t="s">
        <v>288</v>
      </c>
      <c r="Y178" s="119" t="s">
        <v>231</v>
      </c>
      <c r="Z178" s="120" t="s">
        <v>961</v>
      </c>
      <c r="AA178" s="121" t="s">
        <v>962</v>
      </c>
      <c r="AB178" s="122" t="s">
        <v>292</v>
      </c>
      <c r="AC178" s="206">
        <f>22-19.5</f>
        <v>2.5</v>
      </c>
      <c r="AD178" s="124">
        <v>25.26</v>
      </c>
      <c r="AE178" s="200">
        <f t="shared" si="15"/>
        <v>63.15</v>
      </c>
      <c r="AF178" s="956">
        <v>9</v>
      </c>
      <c r="AG178" s="409"/>
      <c r="AH178" s="406"/>
      <c r="AI178" s="408"/>
      <c r="AR178" s="129" t="s">
        <v>258</v>
      </c>
      <c r="AT178" s="129" t="s">
        <v>231</v>
      </c>
      <c r="AU178" s="129" t="s">
        <v>76</v>
      </c>
      <c r="AY178" s="13" t="s">
        <v>228</v>
      </c>
      <c r="BE178" s="130">
        <f t="shared" si="16"/>
        <v>0</v>
      </c>
      <c r="BF178" s="130">
        <f t="shared" si="17"/>
        <v>555.72</v>
      </c>
      <c r="BG178" s="130">
        <f t="shared" si="18"/>
        <v>0</v>
      </c>
      <c r="BH178" s="130">
        <f t="shared" si="19"/>
        <v>0</v>
      </c>
      <c r="BI178" s="130">
        <f t="shared" si="20"/>
        <v>0</v>
      </c>
      <c r="BJ178" s="13" t="s">
        <v>76</v>
      </c>
      <c r="BK178" s="130">
        <f t="shared" si="21"/>
        <v>555.72</v>
      </c>
      <c r="BL178" s="13" t="s">
        <v>258</v>
      </c>
      <c r="BM178" s="129" t="s">
        <v>347</v>
      </c>
    </row>
    <row r="179" spans="2:65" s="1" customFormat="1" ht="16.5" customHeight="1" x14ac:dyDescent="0.2">
      <c r="B179" s="118"/>
      <c r="C179" s="205" t="s">
        <v>348</v>
      </c>
      <c r="D179" s="119" t="s">
        <v>231</v>
      </c>
      <c r="E179" s="120" t="s">
        <v>963</v>
      </c>
      <c r="F179" s="121" t="s">
        <v>964</v>
      </c>
      <c r="G179" s="122" t="s">
        <v>243</v>
      </c>
      <c r="H179" s="206">
        <v>1</v>
      </c>
      <c r="I179" s="124">
        <v>7.57</v>
      </c>
      <c r="J179" s="124">
        <f t="shared" si="11"/>
        <v>7.57</v>
      </c>
      <c r="K179" s="121" t="s">
        <v>1</v>
      </c>
      <c r="L179" s="24"/>
      <c r="M179" s="125" t="s">
        <v>1</v>
      </c>
      <c r="N179" s="126" t="s">
        <v>32</v>
      </c>
      <c r="O179" s="127">
        <v>0</v>
      </c>
      <c r="P179" s="127">
        <f t="shared" si="12"/>
        <v>0</v>
      </c>
      <c r="Q179" s="127">
        <v>0</v>
      </c>
      <c r="R179" s="127">
        <f t="shared" si="13"/>
        <v>0</v>
      </c>
      <c r="S179" s="127">
        <v>0</v>
      </c>
      <c r="T179" s="128">
        <f t="shared" si="14"/>
        <v>0</v>
      </c>
      <c r="W179" s="199"/>
      <c r="X179" s="205" t="s">
        <v>348</v>
      </c>
      <c r="Y179" s="119" t="s">
        <v>231</v>
      </c>
      <c r="Z179" s="120" t="s">
        <v>963</v>
      </c>
      <c r="AA179" s="121" t="s">
        <v>964</v>
      </c>
      <c r="AB179" s="122" t="s">
        <v>243</v>
      </c>
      <c r="AC179" s="206">
        <f>1+4</f>
        <v>5</v>
      </c>
      <c r="AD179" s="124">
        <v>7.57</v>
      </c>
      <c r="AE179" s="200">
        <f t="shared" si="15"/>
        <v>37.85</v>
      </c>
      <c r="AF179" s="956">
        <v>9</v>
      </c>
      <c r="AG179" s="409"/>
      <c r="AH179" s="406"/>
      <c r="AI179" s="408"/>
      <c r="AR179" s="129" t="s">
        <v>258</v>
      </c>
      <c r="AT179" s="129" t="s">
        <v>231</v>
      </c>
      <c r="AU179" s="129" t="s">
        <v>76</v>
      </c>
      <c r="AY179" s="13" t="s">
        <v>228</v>
      </c>
      <c r="BE179" s="130">
        <f t="shared" si="16"/>
        <v>0</v>
      </c>
      <c r="BF179" s="130">
        <f t="shared" si="17"/>
        <v>7.57</v>
      </c>
      <c r="BG179" s="130">
        <f t="shared" si="18"/>
        <v>0</v>
      </c>
      <c r="BH179" s="130">
        <f t="shared" si="19"/>
        <v>0</v>
      </c>
      <c r="BI179" s="130">
        <f t="shared" si="20"/>
        <v>0</v>
      </c>
      <c r="BJ179" s="13" t="s">
        <v>76</v>
      </c>
      <c r="BK179" s="130">
        <f t="shared" si="21"/>
        <v>7.57</v>
      </c>
      <c r="BL179" s="13" t="s">
        <v>258</v>
      </c>
      <c r="BM179" s="129" t="s">
        <v>351</v>
      </c>
    </row>
    <row r="180" spans="2:65" s="1" customFormat="1" ht="16.5" customHeight="1" x14ac:dyDescent="0.2">
      <c r="B180" s="118"/>
      <c r="C180" s="119" t="s">
        <v>293</v>
      </c>
      <c r="D180" s="119" t="s">
        <v>231</v>
      </c>
      <c r="E180" s="120" t="s">
        <v>965</v>
      </c>
      <c r="F180" s="121" t="s">
        <v>966</v>
      </c>
      <c r="G180" s="122" t="s">
        <v>243</v>
      </c>
      <c r="H180" s="123">
        <v>7</v>
      </c>
      <c r="I180" s="124">
        <v>37.729999999999997</v>
      </c>
      <c r="J180" s="124">
        <f t="shared" si="11"/>
        <v>264.11</v>
      </c>
      <c r="K180" s="121" t="s">
        <v>1</v>
      </c>
      <c r="L180" s="24"/>
      <c r="M180" s="125" t="s">
        <v>1</v>
      </c>
      <c r="N180" s="126" t="s">
        <v>32</v>
      </c>
      <c r="O180" s="127">
        <v>0</v>
      </c>
      <c r="P180" s="127">
        <f t="shared" si="12"/>
        <v>0</v>
      </c>
      <c r="Q180" s="127">
        <v>0</v>
      </c>
      <c r="R180" s="127">
        <f t="shared" si="13"/>
        <v>0</v>
      </c>
      <c r="S180" s="127">
        <v>0</v>
      </c>
      <c r="T180" s="128">
        <f t="shared" si="14"/>
        <v>0</v>
      </c>
      <c r="W180" s="199"/>
      <c r="X180" s="119" t="s">
        <v>293</v>
      </c>
      <c r="Y180" s="119" t="s">
        <v>231</v>
      </c>
      <c r="Z180" s="120" t="s">
        <v>965</v>
      </c>
      <c r="AA180" s="121" t="s">
        <v>966</v>
      </c>
      <c r="AB180" s="122" t="s">
        <v>243</v>
      </c>
      <c r="AC180" s="123">
        <v>7</v>
      </c>
      <c r="AD180" s="124">
        <v>37.729999999999997</v>
      </c>
      <c r="AE180" s="200">
        <f t="shared" si="15"/>
        <v>264.11</v>
      </c>
      <c r="AF180" s="956"/>
      <c r="AG180" s="409"/>
      <c r="AH180" s="406"/>
      <c r="AI180" s="408"/>
      <c r="AR180" s="129" t="s">
        <v>258</v>
      </c>
      <c r="AT180" s="129" t="s">
        <v>231</v>
      </c>
      <c r="AU180" s="129" t="s">
        <v>76</v>
      </c>
      <c r="AY180" s="13" t="s">
        <v>228</v>
      </c>
      <c r="BE180" s="130">
        <f t="shared" si="16"/>
        <v>0</v>
      </c>
      <c r="BF180" s="130">
        <f t="shared" si="17"/>
        <v>264.11</v>
      </c>
      <c r="BG180" s="130">
        <f t="shared" si="18"/>
        <v>0</v>
      </c>
      <c r="BH180" s="130">
        <f t="shared" si="19"/>
        <v>0</v>
      </c>
      <c r="BI180" s="130">
        <f t="shared" si="20"/>
        <v>0</v>
      </c>
      <c r="BJ180" s="13" t="s">
        <v>76</v>
      </c>
      <c r="BK180" s="130">
        <f t="shared" si="21"/>
        <v>264.11</v>
      </c>
      <c r="BL180" s="13" t="s">
        <v>258</v>
      </c>
      <c r="BM180" s="129" t="s">
        <v>354</v>
      </c>
    </row>
    <row r="181" spans="2:65" s="1" customFormat="1" ht="16.5" customHeight="1" x14ac:dyDescent="0.2">
      <c r="B181" s="118"/>
      <c r="C181" s="119" t="s">
        <v>355</v>
      </c>
      <c r="D181" s="119" t="s">
        <v>231</v>
      </c>
      <c r="E181" s="120" t="s">
        <v>967</v>
      </c>
      <c r="F181" s="121" t="s">
        <v>968</v>
      </c>
      <c r="G181" s="122" t="s">
        <v>243</v>
      </c>
      <c r="H181" s="123">
        <v>3</v>
      </c>
      <c r="I181" s="124">
        <v>41.45</v>
      </c>
      <c r="J181" s="124">
        <f t="shared" si="11"/>
        <v>124.35</v>
      </c>
      <c r="K181" s="121" t="s">
        <v>1</v>
      </c>
      <c r="L181" s="24"/>
      <c r="M181" s="125" t="s">
        <v>1</v>
      </c>
      <c r="N181" s="126" t="s">
        <v>32</v>
      </c>
      <c r="O181" s="127">
        <v>0</v>
      </c>
      <c r="P181" s="127">
        <f t="shared" si="12"/>
        <v>0</v>
      </c>
      <c r="Q181" s="127">
        <v>0</v>
      </c>
      <c r="R181" s="127">
        <f t="shared" si="13"/>
        <v>0</v>
      </c>
      <c r="S181" s="127">
        <v>0</v>
      </c>
      <c r="T181" s="128">
        <f t="shared" si="14"/>
        <v>0</v>
      </c>
      <c r="W181" s="199"/>
      <c r="X181" s="119" t="s">
        <v>355</v>
      </c>
      <c r="Y181" s="119" t="s">
        <v>231</v>
      </c>
      <c r="Z181" s="120" t="s">
        <v>967</v>
      </c>
      <c r="AA181" s="121" t="s">
        <v>968</v>
      </c>
      <c r="AB181" s="122" t="s">
        <v>243</v>
      </c>
      <c r="AC181" s="123">
        <v>3</v>
      </c>
      <c r="AD181" s="124">
        <v>41.45</v>
      </c>
      <c r="AE181" s="200">
        <f t="shared" si="15"/>
        <v>124.35</v>
      </c>
      <c r="AF181" s="956"/>
      <c r="AG181" s="409"/>
      <c r="AH181" s="406"/>
      <c r="AI181" s="408"/>
      <c r="AR181" s="129" t="s">
        <v>258</v>
      </c>
      <c r="AT181" s="129" t="s">
        <v>231</v>
      </c>
      <c r="AU181" s="129" t="s">
        <v>76</v>
      </c>
      <c r="AY181" s="13" t="s">
        <v>228</v>
      </c>
      <c r="BE181" s="130">
        <f t="shared" si="16"/>
        <v>0</v>
      </c>
      <c r="BF181" s="130">
        <f t="shared" si="17"/>
        <v>124.35</v>
      </c>
      <c r="BG181" s="130">
        <f t="shared" si="18"/>
        <v>0</v>
      </c>
      <c r="BH181" s="130">
        <f t="shared" si="19"/>
        <v>0</v>
      </c>
      <c r="BI181" s="130">
        <f t="shared" si="20"/>
        <v>0</v>
      </c>
      <c r="BJ181" s="13" t="s">
        <v>76</v>
      </c>
      <c r="BK181" s="130">
        <f t="shared" si="21"/>
        <v>124.35</v>
      </c>
      <c r="BL181" s="13" t="s">
        <v>258</v>
      </c>
      <c r="BM181" s="129" t="s">
        <v>358</v>
      </c>
    </row>
    <row r="182" spans="2:65" s="1" customFormat="1" ht="16.5" customHeight="1" x14ac:dyDescent="0.2">
      <c r="B182" s="118"/>
      <c r="C182" s="205" t="s">
        <v>296</v>
      </c>
      <c r="D182" s="119" t="s">
        <v>231</v>
      </c>
      <c r="E182" s="120" t="s">
        <v>969</v>
      </c>
      <c r="F182" s="121" t="s">
        <v>970</v>
      </c>
      <c r="G182" s="122" t="s">
        <v>292</v>
      </c>
      <c r="H182" s="206">
        <v>233</v>
      </c>
      <c r="I182" s="124">
        <v>0.8</v>
      </c>
      <c r="J182" s="124">
        <f t="shared" si="11"/>
        <v>186.4</v>
      </c>
      <c r="K182" s="121" t="s">
        <v>1</v>
      </c>
      <c r="L182" s="24"/>
      <c r="M182" s="125" t="s">
        <v>1</v>
      </c>
      <c r="N182" s="126" t="s">
        <v>32</v>
      </c>
      <c r="O182" s="127">
        <v>0</v>
      </c>
      <c r="P182" s="127">
        <f t="shared" si="12"/>
        <v>0</v>
      </c>
      <c r="Q182" s="127">
        <v>0</v>
      </c>
      <c r="R182" s="127">
        <f t="shared" si="13"/>
        <v>0</v>
      </c>
      <c r="S182" s="127">
        <v>0</v>
      </c>
      <c r="T182" s="128">
        <f t="shared" si="14"/>
        <v>0</v>
      </c>
      <c r="W182" s="199"/>
      <c r="X182" s="205" t="s">
        <v>296</v>
      </c>
      <c r="Y182" s="119" t="s">
        <v>231</v>
      </c>
      <c r="Z182" s="120" t="s">
        <v>969</v>
      </c>
      <c r="AA182" s="121" t="s">
        <v>970</v>
      </c>
      <c r="AB182" s="122" t="s">
        <v>292</v>
      </c>
      <c r="AC182" s="206">
        <f>233+10+23</f>
        <v>266</v>
      </c>
      <c r="AD182" s="124">
        <v>0.8</v>
      </c>
      <c r="AE182" s="200">
        <f t="shared" si="15"/>
        <v>212.8</v>
      </c>
      <c r="AF182" s="956" t="s">
        <v>6230</v>
      </c>
      <c r="AG182" s="409"/>
      <c r="AH182" s="406"/>
      <c r="AI182" s="408"/>
      <c r="AR182" s="129" t="s">
        <v>258</v>
      </c>
      <c r="AT182" s="129" t="s">
        <v>231</v>
      </c>
      <c r="AU182" s="129" t="s">
        <v>76</v>
      </c>
      <c r="AY182" s="13" t="s">
        <v>228</v>
      </c>
      <c r="BE182" s="130">
        <f t="shared" si="16"/>
        <v>0</v>
      </c>
      <c r="BF182" s="130">
        <f t="shared" si="17"/>
        <v>186.4</v>
      </c>
      <c r="BG182" s="130">
        <f t="shared" si="18"/>
        <v>0</v>
      </c>
      <c r="BH182" s="130">
        <f t="shared" si="19"/>
        <v>0</v>
      </c>
      <c r="BI182" s="130">
        <f t="shared" si="20"/>
        <v>0</v>
      </c>
      <c r="BJ182" s="13" t="s">
        <v>76</v>
      </c>
      <c r="BK182" s="130">
        <f t="shared" si="21"/>
        <v>186.4</v>
      </c>
      <c r="BL182" s="13" t="s">
        <v>258</v>
      </c>
      <c r="BM182" s="129" t="s">
        <v>361</v>
      </c>
    </row>
    <row r="183" spans="2:65" s="1" customFormat="1" ht="16.2" customHeight="1" x14ac:dyDescent="0.2">
      <c r="B183" s="118"/>
      <c r="C183" s="119" t="s">
        <v>362</v>
      </c>
      <c r="D183" s="119" t="s">
        <v>231</v>
      </c>
      <c r="E183" s="120" t="s">
        <v>971</v>
      </c>
      <c r="F183" s="121" t="s">
        <v>972</v>
      </c>
      <c r="G183" s="122" t="s">
        <v>292</v>
      </c>
      <c r="H183" s="123">
        <v>45</v>
      </c>
      <c r="I183" s="124">
        <v>1.03</v>
      </c>
      <c r="J183" s="124">
        <f t="shared" si="11"/>
        <v>46.35</v>
      </c>
      <c r="K183" s="121" t="s">
        <v>1</v>
      </c>
      <c r="L183" s="24"/>
      <c r="M183" s="125" t="s">
        <v>1</v>
      </c>
      <c r="N183" s="126" t="s">
        <v>32</v>
      </c>
      <c r="O183" s="127">
        <v>0</v>
      </c>
      <c r="P183" s="127">
        <f t="shared" si="12"/>
        <v>0</v>
      </c>
      <c r="Q183" s="127">
        <v>0</v>
      </c>
      <c r="R183" s="127">
        <f t="shared" si="13"/>
        <v>0</v>
      </c>
      <c r="S183" s="127">
        <v>0</v>
      </c>
      <c r="T183" s="128">
        <f t="shared" si="14"/>
        <v>0</v>
      </c>
      <c r="W183" s="199"/>
      <c r="X183" s="119" t="s">
        <v>362</v>
      </c>
      <c r="Y183" s="119" t="s">
        <v>231</v>
      </c>
      <c r="Z183" s="120" t="s">
        <v>971</v>
      </c>
      <c r="AA183" s="121" t="s">
        <v>972</v>
      </c>
      <c r="AB183" s="122" t="s">
        <v>292</v>
      </c>
      <c r="AC183" s="123">
        <v>45</v>
      </c>
      <c r="AD183" s="124">
        <v>1.03</v>
      </c>
      <c r="AE183" s="200">
        <f t="shared" si="15"/>
        <v>46.35</v>
      </c>
      <c r="AF183" s="956"/>
      <c r="AG183" s="409"/>
      <c r="AH183" s="406"/>
      <c r="AI183" s="408"/>
      <c r="AR183" s="129" t="s">
        <v>258</v>
      </c>
      <c r="AT183" s="129" t="s">
        <v>231</v>
      </c>
      <c r="AU183" s="129" t="s">
        <v>76</v>
      </c>
      <c r="AY183" s="13" t="s">
        <v>228</v>
      </c>
      <c r="BE183" s="130">
        <f t="shared" si="16"/>
        <v>0</v>
      </c>
      <c r="BF183" s="130">
        <f t="shared" si="17"/>
        <v>46.35</v>
      </c>
      <c r="BG183" s="130">
        <f t="shared" si="18"/>
        <v>0</v>
      </c>
      <c r="BH183" s="130">
        <f t="shared" si="19"/>
        <v>0</v>
      </c>
      <c r="BI183" s="130">
        <f t="shared" si="20"/>
        <v>0</v>
      </c>
      <c r="BJ183" s="13" t="s">
        <v>76</v>
      </c>
      <c r="BK183" s="130">
        <f t="shared" si="21"/>
        <v>46.35</v>
      </c>
      <c r="BL183" s="13" t="s">
        <v>258</v>
      </c>
      <c r="BM183" s="129" t="s">
        <v>365</v>
      </c>
    </row>
    <row r="184" spans="2:65" s="1" customFormat="1" ht="22.2" customHeight="1" x14ac:dyDescent="0.2">
      <c r="B184" s="118"/>
      <c r="C184" s="205" t="s">
        <v>300</v>
      </c>
      <c r="D184" s="119" t="s">
        <v>231</v>
      </c>
      <c r="E184" s="120" t="s">
        <v>973</v>
      </c>
      <c r="F184" s="121" t="s">
        <v>974</v>
      </c>
      <c r="G184" s="122" t="s">
        <v>570</v>
      </c>
      <c r="H184" s="206">
        <v>49.133000000000003</v>
      </c>
      <c r="I184" s="124">
        <v>6.01</v>
      </c>
      <c r="J184" s="124">
        <f t="shared" si="11"/>
        <v>295.29000000000002</v>
      </c>
      <c r="K184" s="121" t="s">
        <v>1</v>
      </c>
      <c r="L184" s="24"/>
      <c r="M184" s="125" t="s">
        <v>1</v>
      </c>
      <c r="N184" s="126" t="s">
        <v>32</v>
      </c>
      <c r="O184" s="127">
        <v>0</v>
      </c>
      <c r="P184" s="127">
        <f t="shared" si="12"/>
        <v>0</v>
      </c>
      <c r="Q184" s="127">
        <v>0</v>
      </c>
      <c r="R184" s="127">
        <f t="shared" si="13"/>
        <v>0</v>
      </c>
      <c r="S184" s="127">
        <v>0</v>
      </c>
      <c r="T184" s="128">
        <f t="shared" si="14"/>
        <v>0</v>
      </c>
      <c r="W184" s="199"/>
      <c r="X184" s="205" t="s">
        <v>300</v>
      </c>
      <c r="Y184" s="119" t="s">
        <v>231</v>
      </c>
      <c r="Z184" s="120" t="s">
        <v>973</v>
      </c>
      <c r="AA184" s="121" t="s">
        <v>974</v>
      </c>
      <c r="AB184" s="122" t="s">
        <v>570</v>
      </c>
      <c r="AC184" s="206">
        <f>49.133+2.228+3.654</f>
        <v>55.015000000000001</v>
      </c>
      <c r="AD184" s="124">
        <v>6.01</v>
      </c>
      <c r="AE184" s="200">
        <f t="shared" si="15"/>
        <v>330.64</v>
      </c>
      <c r="AF184" s="956" t="s">
        <v>6230</v>
      </c>
      <c r="AG184" s="409"/>
      <c r="AH184" s="406"/>
      <c r="AI184" s="408"/>
      <c r="AR184" s="129" t="s">
        <v>258</v>
      </c>
      <c r="AT184" s="129" t="s">
        <v>231</v>
      </c>
      <c r="AU184" s="129" t="s">
        <v>76</v>
      </c>
      <c r="AY184" s="13" t="s">
        <v>228</v>
      </c>
      <c r="BE184" s="130">
        <f t="shared" si="16"/>
        <v>0</v>
      </c>
      <c r="BF184" s="130">
        <f t="shared" si="17"/>
        <v>295.29000000000002</v>
      </c>
      <c r="BG184" s="130">
        <f t="shared" si="18"/>
        <v>0</v>
      </c>
      <c r="BH184" s="130">
        <f t="shared" si="19"/>
        <v>0</v>
      </c>
      <c r="BI184" s="130">
        <f t="shared" si="20"/>
        <v>0</v>
      </c>
      <c r="BJ184" s="13" t="s">
        <v>76</v>
      </c>
      <c r="BK184" s="130">
        <f t="shared" si="21"/>
        <v>295.29000000000002</v>
      </c>
      <c r="BL184" s="13" t="s">
        <v>258</v>
      </c>
      <c r="BM184" s="129" t="s">
        <v>368</v>
      </c>
    </row>
    <row r="185" spans="2:65" s="11" customFormat="1" ht="22.95" customHeight="1" x14ac:dyDescent="0.25">
      <c r="B185" s="106"/>
      <c r="D185" s="107" t="s">
        <v>57</v>
      </c>
      <c r="E185" s="116" t="s">
        <v>572</v>
      </c>
      <c r="F185" s="116" t="s">
        <v>573</v>
      </c>
      <c r="J185" s="117">
        <f>BK185</f>
        <v>14274.990000000003</v>
      </c>
      <c r="L185" s="106"/>
      <c r="M185" s="110"/>
      <c r="N185" s="111"/>
      <c r="O185" s="111"/>
      <c r="P185" s="112">
        <f>SUM(P186:P226)</f>
        <v>0</v>
      </c>
      <c r="Q185" s="111"/>
      <c r="R185" s="112">
        <f>SUM(R186:R226)</f>
        <v>0</v>
      </c>
      <c r="S185" s="111"/>
      <c r="T185" s="113">
        <f>SUM(T186:T226)</f>
        <v>0</v>
      </c>
      <c r="W185" s="195"/>
      <c r="X185" s="111"/>
      <c r="Y185" s="196" t="s">
        <v>57</v>
      </c>
      <c r="Z185" s="201" t="s">
        <v>572</v>
      </c>
      <c r="AA185" s="201" t="s">
        <v>573</v>
      </c>
      <c r="AB185" s="111"/>
      <c r="AC185" s="111"/>
      <c r="AD185" s="111"/>
      <c r="AE185" s="202">
        <f>SUM(AE186:AE226)</f>
        <v>21980.310000000005</v>
      </c>
      <c r="AF185" s="956"/>
      <c r="AG185" s="409"/>
      <c r="AH185" s="406"/>
      <c r="AI185" s="408"/>
      <c r="AR185" s="107" t="s">
        <v>76</v>
      </c>
      <c r="AT185" s="114" t="s">
        <v>57</v>
      </c>
      <c r="AU185" s="114" t="s">
        <v>63</v>
      </c>
      <c r="AY185" s="107" t="s">
        <v>228</v>
      </c>
      <c r="BK185" s="115">
        <f>SUM(BK186:BK226)</f>
        <v>14274.990000000003</v>
      </c>
    </row>
    <row r="186" spans="2:65" s="1" customFormat="1" ht="16.5" customHeight="1" x14ac:dyDescent="0.2">
      <c r="B186" s="118"/>
      <c r="C186" s="119" t="s">
        <v>369</v>
      </c>
      <c r="D186" s="119" t="s">
        <v>231</v>
      </c>
      <c r="E186" s="120" t="s">
        <v>975</v>
      </c>
      <c r="F186" s="121" t="s">
        <v>976</v>
      </c>
      <c r="G186" s="122" t="s">
        <v>292</v>
      </c>
      <c r="H186" s="123">
        <v>132</v>
      </c>
      <c r="I186" s="124">
        <v>7.93</v>
      </c>
      <c r="J186" s="124">
        <f t="shared" ref="J186:J226" si="22">ROUND(I186*H186,2)</f>
        <v>1046.76</v>
      </c>
      <c r="K186" s="121" t="s">
        <v>1</v>
      </c>
      <c r="L186" s="24"/>
      <c r="M186" s="125" t="s">
        <v>1</v>
      </c>
      <c r="N186" s="126" t="s">
        <v>32</v>
      </c>
      <c r="O186" s="127">
        <v>0</v>
      </c>
      <c r="P186" s="127">
        <f t="shared" ref="P186:P226" si="23">O186*H186</f>
        <v>0</v>
      </c>
      <c r="Q186" s="127">
        <v>0</v>
      </c>
      <c r="R186" s="127">
        <f t="shared" ref="R186:R226" si="24">Q186*H186</f>
        <v>0</v>
      </c>
      <c r="S186" s="127">
        <v>0</v>
      </c>
      <c r="T186" s="128">
        <f t="shared" ref="T186:T226" si="25">S186*H186</f>
        <v>0</v>
      </c>
      <c r="W186" s="199"/>
      <c r="X186" s="119" t="s">
        <v>369</v>
      </c>
      <c r="Y186" s="119" t="s">
        <v>231</v>
      </c>
      <c r="Z186" s="120" t="s">
        <v>975</v>
      </c>
      <c r="AA186" s="121" t="s">
        <v>976</v>
      </c>
      <c r="AB186" s="122" t="s">
        <v>292</v>
      </c>
      <c r="AC186" s="123">
        <v>132</v>
      </c>
      <c r="AD186" s="124">
        <v>7.93</v>
      </c>
      <c r="AE186" s="200">
        <f t="shared" ref="AE186:AE226" si="26">ROUND(AD186*AC186,2)</f>
        <v>1046.76</v>
      </c>
      <c r="AF186" s="956"/>
      <c r="AG186" s="409"/>
      <c r="AH186" s="406"/>
      <c r="AI186" s="408"/>
      <c r="AR186" s="129" t="s">
        <v>258</v>
      </c>
      <c r="AT186" s="129" t="s">
        <v>231</v>
      </c>
      <c r="AU186" s="129" t="s">
        <v>76</v>
      </c>
      <c r="AY186" s="13" t="s">
        <v>228</v>
      </c>
      <c r="BE186" s="130">
        <f t="shared" ref="BE186:BE226" si="27">IF(N186="základná",J186,0)</f>
        <v>0</v>
      </c>
      <c r="BF186" s="130">
        <f t="shared" ref="BF186:BF226" si="28">IF(N186="znížená",J186,0)</f>
        <v>1046.76</v>
      </c>
      <c r="BG186" s="130">
        <f t="shared" ref="BG186:BG226" si="29">IF(N186="zákl. prenesená",J186,0)</f>
        <v>0</v>
      </c>
      <c r="BH186" s="130">
        <f t="shared" ref="BH186:BH226" si="30">IF(N186="zníž. prenesená",J186,0)</f>
        <v>0</v>
      </c>
      <c r="BI186" s="130">
        <f t="shared" ref="BI186:BI226" si="31">IF(N186="nulová",J186,0)</f>
        <v>0</v>
      </c>
      <c r="BJ186" s="13" t="s">
        <v>76</v>
      </c>
      <c r="BK186" s="130">
        <f t="shared" ref="BK186:BK226" si="32">ROUND(I186*H186,2)</f>
        <v>1046.76</v>
      </c>
      <c r="BL186" s="13" t="s">
        <v>258</v>
      </c>
      <c r="BM186" s="129" t="s">
        <v>372</v>
      </c>
    </row>
    <row r="187" spans="2:65" s="1" customFormat="1" ht="16.5" customHeight="1" x14ac:dyDescent="0.2">
      <c r="B187" s="118"/>
      <c r="C187" s="205" t="s">
        <v>303</v>
      </c>
      <c r="D187" s="119" t="s">
        <v>231</v>
      </c>
      <c r="E187" s="120" t="s">
        <v>977</v>
      </c>
      <c r="F187" s="121" t="s">
        <v>978</v>
      </c>
      <c r="G187" s="122" t="s">
        <v>292</v>
      </c>
      <c r="H187" s="206">
        <v>168</v>
      </c>
      <c r="I187" s="124">
        <v>9.7200000000000006</v>
      </c>
      <c r="J187" s="124">
        <f t="shared" si="22"/>
        <v>1632.96</v>
      </c>
      <c r="K187" s="121" t="s">
        <v>1</v>
      </c>
      <c r="L187" s="24"/>
      <c r="M187" s="125" t="s">
        <v>1</v>
      </c>
      <c r="N187" s="126" t="s">
        <v>32</v>
      </c>
      <c r="O187" s="127">
        <v>0</v>
      </c>
      <c r="P187" s="127">
        <f t="shared" si="23"/>
        <v>0</v>
      </c>
      <c r="Q187" s="127">
        <v>0</v>
      </c>
      <c r="R187" s="127">
        <f t="shared" si="24"/>
        <v>0</v>
      </c>
      <c r="S187" s="127">
        <v>0</v>
      </c>
      <c r="T187" s="128">
        <f t="shared" si="25"/>
        <v>0</v>
      </c>
      <c r="W187" s="199"/>
      <c r="X187" s="205" t="s">
        <v>303</v>
      </c>
      <c r="Y187" s="119" t="s">
        <v>231</v>
      </c>
      <c r="Z187" s="120" t="s">
        <v>977</v>
      </c>
      <c r="AA187" s="121" t="s">
        <v>978</v>
      </c>
      <c r="AB187" s="122" t="s">
        <v>292</v>
      </c>
      <c r="AC187" s="206">
        <f>168+125.9</f>
        <v>293.89999999999998</v>
      </c>
      <c r="AD187" s="124">
        <v>9.7200000000000006</v>
      </c>
      <c r="AE187" s="200">
        <f t="shared" si="26"/>
        <v>2856.71</v>
      </c>
      <c r="AF187" s="956" t="s">
        <v>6229</v>
      </c>
      <c r="AG187" s="409"/>
      <c r="AH187" s="406"/>
      <c r="AI187" s="408"/>
      <c r="AR187" s="129" t="s">
        <v>258</v>
      </c>
      <c r="AT187" s="129" t="s">
        <v>231</v>
      </c>
      <c r="AU187" s="129" t="s">
        <v>76</v>
      </c>
      <c r="AY187" s="13" t="s">
        <v>228</v>
      </c>
      <c r="BE187" s="130">
        <f t="shared" si="27"/>
        <v>0</v>
      </c>
      <c r="BF187" s="130">
        <f t="shared" si="28"/>
        <v>1632.96</v>
      </c>
      <c r="BG187" s="130">
        <f t="shared" si="29"/>
        <v>0</v>
      </c>
      <c r="BH187" s="130">
        <f t="shared" si="30"/>
        <v>0</v>
      </c>
      <c r="BI187" s="130">
        <f t="shared" si="31"/>
        <v>0</v>
      </c>
      <c r="BJ187" s="13" t="s">
        <v>76</v>
      </c>
      <c r="BK187" s="130">
        <f t="shared" si="32"/>
        <v>1632.96</v>
      </c>
      <c r="BL187" s="13" t="s">
        <v>258</v>
      </c>
      <c r="BM187" s="129" t="s">
        <v>375</v>
      </c>
    </row>
    <row r="188" spans="2:65" s="1" customFormat="1" ht="16.5" customHeight="1" x14ac:dyDescent="0.2">
      <c r="B188" s="118"/>
      <c r="C188" s="205" t="s">
        <v>376</v>
      </c>
      <c r="D188" s="119" t="s">
        <v>231</v>
      </c>
      <c r="E188" s="120" t="s">
        <v>979</v>
      </c>
      <c r="F188" s="121" t="s">
        <v>980</v>
      </c>
      <c r="G188" s="122" t="s">
        <v>292</v>
      </c>
      <c r="H188" s="206">
        <v>58</v>
      </c>
      <c r="I188" s="124">
        <v>12.25</v>
      </c>
      <c r="J188" s="124">
        <f t="shared" si="22"/>
        <v>710.5</v>
      </c>
      <c r="K188" s="121" t="s">
        <v>1</v>
      </c>
      <c r="L188" s="24"/>
      <c r="M188" s="125" t="s">
        <v>1</v>
      </c>
      <c r="N188" s="126" t="s">
        <v>32</v>
      </c>
      <c r="O188" s="127">
        <v>0</v>
      </c>
      <c r="P188" s="127">
        <f t="shared" si="23"/>
        <v>0</v>
      </c>
      <c r="Q188" s="127">
        <v>0</v>
      </c>
      <c r="R188" s="127">
        <f t="shared" si="24"/>
        <v>0</v>
      </c>
      <c r="S188" s="127">
        <v>0</v>
      </c>
      <c r="T188" s="128">
        <f t="shared" si="25"/>
        <v>0</v>
      </c>
      <c r="W188" s="199"/>
      <c r="X188" s="205" t="s">
        <v>376</v>
      </c>
      <c r="Y188" s="119" t="s">
        <v>231</v>
      </c>
      <c r="Z188" s="120" t="s">
        <v>979</v>
      </c>
      <c r="AA188" s="121" t="s">
        <v>980</v>
      </c>
      <c r="AB188" s="122" t="s">
        <v>292</v>
      </c>
      <c r="AC188" s="206">
        <f>58+69.2</f>
        <v>127.2</v>
      </c>
      <c r="AD188" s="124">
        <v>12.25</v>
      </c>
      <c r="AE188" s="200">
        <f t="shared" si="26"/>
        <v>1558.2</v>
      </c>
      <c r="AF188" s="956" t="s">
        <v>6229</v>
      </c>
      <c r="AG188" s="409"/>
      <c r="AH188" s="406"/>
      <c r="AI188" s="408"/>
      <c r="AR188" s="129" t="s">
        <v>258</v>
      </c>
      <c r="AT188" s="129" t="s">
        <v>231</v>
      </c>
      <c r="AU188" s="129" t="s">
        <v>76</v>
      </c>
      <c r="AY188" s="13" t="s">
        <v>228</v>
      </c>
      <c r="BE188" s="130">
        <f t="shared" si="27"/>
        <v>0</v>
      </c>
      <c r="BF188" s="130">
        <f t="shared" si="28"/>
        <v>710.5</v>
      </c>
      <c r="BG188" s="130">
        <f t="shared" si="29"/>
        <v>0</v>
      </c>
      <c r="BH188" s="130">
        <f t="shared" si="30"/>
        <v>0</v>
      </c>
      <c r="BI188" s="130">
        <f t="shared" si="31"/>
        <v>0</v>
      </c>
      <c r="BJ188" s="13" t="s">
        <v>76</v>
      </c>
      <c r="BK188" s="130">
        <f t="shared" si="32"/>
        <v>710.5</v>
      </c>
      <c r="BL188" s="13" t="s">
        <v>258</v>
      </c>
      <c r="BM188" s="129" t="s">
        <v>379</v>
      </c>
    </row>
    <row r="189" spans="2:65" s="1" customFormat="1" ht="16.5" customHeight="1" x14ac:dyDescent="0.2">
      <c r="B189" s="118"/>
      <c r="C189" s="205" t="s">
        <v>308</v>
      </c>
      <c r="D189" s="119" t="s">
        <v>231</v>
      </c>
      <c r="E189" s="120" t="s">
        <v>981</v>
      </c>
      <c r="F189" s="121" t="s">
        <v>982</v>
      </c>
      <c r="G189" s="122" t="s">
        <v>292</v>
      </c>
      <c r="H189" s="206">
        <v>40</v>
      </c>
      <c r="I189" s="124">
        <v>15.55</v>
      </c>
      <c r="J189" s="124">
        <f t="shared" si="22"/>
        <v>622</v>
      </c>
      <c r="K189" s="121" t="s">
        <v>1</v>
      </c>
      <c r="L189" s="24"/>
      <c r="M189" s="125" t="s">
        <v>1</v>
      </c>
      <c r="N189" s="126" t="s">
        <v>32</v>
      </c>
      <c r="O189" s="127">
        <v>0</v>
      </c>
      <c r="P189" s="127">
        <f t="shared" si="23"/>
        <v>0</v>
      </c>
      <c r="Q189" s="127">
        <v>0</v>
      </c>
      <c r="R189" s="127">
        <f t="shared" si="24"/>
        <v>0</v>
      </c>
      <c r="S189" s="127">
        <v>0</v>
      </c>
      <c r="T189" s="128">
        <f t="shared" si="25"/>
        <v>0</v>
      </c>
      <c r="W189" s="199"/>
      <c r="X189" s="205" t="s">
        <v>308</v>
      </c>
      <c r="Y189" s="119" t="s">
        <v>231</v>
      </c>
      <c r="Z189" s="120" t="s">
        <v>981</v>
      </c>
      <c r="AA189" s="121" t="s">
        <v>982</v>
      </c>
      <c r="AB189" s="122" t="s">
        <v>292</v>
      </c>
      <c r="AC189" s="206">
        <f>40+68.5</f>
        <v>108.5</v>
      </c>
      <c r="AD189" s="124">
        <v>15.55</v>
      </c>
      <c r="AE189" s="200">
        <f t="shared" si="26"/>
        <v>1687.18</v>
      </c>
      <c r="AF189" s="956" t="s">
        <v>6229</v>
      </c>
      <c r="AG189" s="409"/>
      <c r="AH189" s="406"/>
      <c r="AI189" s="408"/>
      <c r="AR189" s="129" t="s">
        <v>258</v>
      </c>
      <c r="AT189" s="129" t="s">
        <v>231</v>
      </c>
      <c r="AU189" s="129" t="s">
        <v>76</v>
      </c>
      <c r="AY189" s="13" t="s">
        <v>228</v>
      </c>
      <c r="BE189" s="130">
        <f t="shared" si="27"/>
        <v>0</v>
      </c>
      <c r="BF189" s="130">
        <f t="shared" si="28"/>
        <v>622</v>
      </c>
      <c r="BG189" s="130">
        <f t="shared" si="29"/>
        <v>0</v>
      </c>
      <c r="BH189" s="130">
        <f t="shared" si="30"/>
        <v>0</v>
      </c>
      <c r="BI189" s="130">
        <f t="shared" si="31"/>
        <v>0</v>
      </c>
      <c r="BJ189" s="13" t="s">
        <v>76</v>
      </c>
      <c r="BK189" s="130">
        <f t="shared" si="32"/>
        <v>622</v>
      </c>
      <c r="BL189" s="13" t="s">
        <v>258</v>
      </c>
      <c r="BM189" s="129" t="s">
        <v>382</v>
      </c>
    </row>
    <row r="190" spans="2:65" s="1" customFormat="1" ht="16.5" customHeight="1" x14ac:dyDescent="0.2">
      <c r="B190" s="118"/>
      <c r="C190" s="205" t="s">
        <v>383</v>
      </c>
      <c r="D190" s="119" t="s">
        <v>231</v>
      </c>
      <c r="E190" s="120" t="s">
        <v>983</v>
      </c>
      <c r="F190" s="121" t="s">
        <v>984</v>
      </c>
      <c r="G190" s="122" t="s">
        <v>292</v>
      </c>
      <c r="H190" s="206">
        <v>24</v>
      </c>
      <c r="I190" s="124">
        <v>20.71</v>
      </c>
      <c r="J190" s="124">
        <f t="shared" si="22"/>
        <v>497.04</v>
      </c>
      <c r="K190" s="121" t="s">
        <v>1</v>
      </c>
      <c r="L190" s="24"/>
      <c r="M190" s="125" t="s">
        <v>1</v>
      </c>
      <c r="N190" s="126" t="s">
        <v>32</v>
      </c>
      <c r="O190" s="127">
        <v>0</v>
      </c>
      <c r="P190" s="127">
        <f t="shared" si="23"/>
        <v>0</v>
      </c>
      <c r="Q190" s="127">
        <v>0</v>
      </c>
      <c r="R190" s="127">
        <f t="shared" si="24"/>
        <v>0</v>
      </c>
      <c r="S190" s="127">
        <v>0</v>
      </c>
      <c r="T190" s="128">
        <f t="shared" si="25"/>
        <v>0</v>
      </c>
      <c r="W190" s="199"/>
      <c r="X190" s="205" t="s">
        <v>383</v>
      </c>
      <c r="Y190" s="119" t="s">
        <v>231</v>
      </c>
      <c r="Z190" s="120" t="s">
        <v>983</v>
      </c>
      <c r="AA190" s="121" t="s">
        <v>984</v>
      </c>
      <c r="AB190" s="122" t="s">
        <v>292</v>
      </c>
      <c r="AC190" s="206">
        <f>24+24</f>
        <v>48</v>
      </c>
      <c r="AD190" s="124">
        <v>20.71</v>
      </c>
      <c r="AE190" s="200">
        <f t="shared" si="26"/>
        <v>994.08</v>
      </c>
      <c r="AF190" s="956">
        <v>9</v>
      </c>
      <c r="AG190" s="409"/>
      <c r="AH190" s="406"/>
      <c r="AI190" s="408"/>
      <c r="AR190" s="129" t="s">
        <v>258</v>
      </c>
      <c r="AT190" s="129" t="s">
        <v>231</v>
      </c>
      <c r="AU190" s="129" t="s">
        <v>76</v>
      </c>
      <c r="AY190" s="13" t="s">
        <v>228</v>
      </c>
      <c r="BE190" s="130">
        <f t="shared" si="27"/>
        <v>0</v>
      </c>
      <c r="BF190" s="130">
        <f t="shared" si="28"/>
        <v>497.04</v>
      </c>
      <c r="BG190" s="130">
        <f t="shared" si="29"/>
        <v>0</v>
      </c>
      <c r="BH190" s="130">
        <f t="shared" si="30"/>
        <v>0</v>
      </c>
      <c r="BI190" s="130">
        <f t="shared" si="31"/>
        <v>0</v>
      </c>
      <c r="BJ190" s="13" t="s">
        <v>76</v>
      </c>
      <c r="BK190" s="130">
        <f t="shared" si="32"/>
        <v>497.04</v>
      </c>
      <c r="BL190" s="13" t="s">
        <v>258</v>
      </c>
      <c r="BM190" s="129" t="s">
        <v>386</v>
      </c>
    </row>
    <row r="191" spans="2:65" s="1" customFormat="1" ht="16.5" customHeight="1" x14ac:dyDescent="0.2">
      <c r="B191" s="118"/>
      <c r="C191" s="205" t="s">
        <v>312</v>
      </c>
      <c r="D191" s="119" t="s">
        <v>231</v>
      </c>
      <c r="E191" s="120" t="s">
        <v>985</v>
      </c>
      <c r="F191" s="121" t="s">
        <v>986</v>
      </c>
      <c r="G191" s="122" t="s">
        <v>292</v>
      </c>
      <c r="H191" s="206">
        <v>22</v>
      </c>
      <c r="I191" s="124">
        <v>28.42</v>
      </c>
      <c r="J191" s="124">
        <f t="shared" si="22"/>
        <v>625.24</v>
      </c>
      <c r="K191" s="121" t="s">
        <v>1</v>
      </c>
      <c r="L191" s="24"/>
      <c r="M191" s="125" t="s">
        <v>1</v>
      </c>
      <c r="N191" s="126" t="s">
        <v>32</v>
      </c>
      <c r="O191" s="127">
        <v>0</v>
      </c>
      <c r="P191" s="127">
        <f t="shared" si="23"/>
        <v>0</v>
      </c>
      <c r="Q191" s="127">
        <v>0</v>
      </c>
      <c r="R191" s="127">
        <f t="shared" si="24"/>
        <v>0</v>
      </c>
      <c r="S191" s="127">
        <v>0</v>
      </c>
      <c r="T191" s="128">
        <f t="shared" si="25"/>
        <v>0</v>
      </c>
      <c r="W191" s="199"/>
      <c r="X191" s="205" t="s">
        <v>312</v>
      </c>
      <c r="Y191" s="119" t="s">
        <v>231</v>
      </c>
      <c r="Z191" s="120" t="s">
        <v>985</v>
      </c>
      <c r="AA191" s="121" t="s">
        <v>986</v>
      </c>
      <c r="AB191" s="122" t="s">
        <v>292</v>
      </c>
      <c r="AC191" s="206">
        <f>22+11+11.5</f>
        <v>44.5</v>
      </c>
      <c r="AD191" s="124">
        <v>28.42</v>
      </c>
      <c r="AE191" s="200">
        <f t="shared" si="26"/>
        <v>1264.69</v>
      </c>
      <c r="AF191" s="956" t="s">
        <v>6230</v>
      </c>
      <c r="AG191" s="409"/>
      <c r="AH191" s="406"/>
      <c r="AI191" s="408"/>
      <c r="AR191" s="129" t="s">
        <v>258</v>
      </c>
      <c r="AT191" s="129" t="s">
        <v>231</v>
      </c>
      <c r="AU191" s="129" t="s">
        <v>76</v>
      </c>
      <c r="AY191" s="13" t="s">
        <v>228</v>
      </c>
      <c r="BE191" s="130">
        <f t="shared" si="27"/>
        <v>0</v>
      </c>
      <c r="BF191" s="130">
        <f t="shared" si="28"/>
        <v>625.24</v>
      </c>
      <c r="BG191" s="130">
        <f t="shared" si="29"/>
        <v>0</v>
      </c>
      <c r="BH191" s="130">
        <f t="shared" si="30"/>
        <v>0</v>
      </c>
      <c r="BI191" s="130">
        <f t="shared" si="31"/>
        <v>0</v>
      </c>
      <c r="BJ191" s="13" t="s">
        <v>76</v>
      </c>
      <c r="BK191" s="130">
        <f t="shared" si="32"/>
        <v>625.24</v>
      </c>
      <c r="BL191" s="13" t="s">
        <v>258</v>
      </c>
      <c r="BM191" s="129" t="s">
        <v>389</v>
      </c>
    </row>
    <row r="192" spans="2:65" s="1" customFormat="1" ht="16.5" customHeight="1" x14ac:dyDescent="0.2">
      <c r="B192" s="118"/>
      <c r="C192" s="205" t="s">
        <v>390</v>
      </c>
      <c r="D192" s="119" t="s">
        <v>231</v>
      </c>
      <c r="E192" s="120" t="s">
        <v>987</v>
      </c>
      <c r="F192" s="121" t="s">
        <v>988</v>
      </c>
      <c r="G192" s="122" t="s">
        <v>292</v>
      </c>
      <c r="H192" s="206">
        <v>22</v>
      </c>
      <c r="I192" s="124">
        <v>42.2</v>
      </c>
      <c r="J192" s="124">
        <f t="shared" si="22"/>
        <v>928.4</v>
      </c>
      <c r="K192" s="121" t="s">
        <v>1</v>
      </c>
      <c r="L192" s="24"/>
      <c r="M192" s="125" t="s">
        <v>1</v>
      </c>
      <c r="N192" s="126" t="s">
        <v>32</v>
      </c>
      <c r="O192" s="127">
        <v>0</v>
      </c>
      <c r="P192" s="127">
        <f t="shared" si="23"/>
        <v>0</v>
      </c>
      <c r="Q192" s="127">
        <v>0</v>
      </c>
      <c r="R192" s="127">
        <f t="shared" si="24"/>
        <v>0</v>
      </c>
      <c r="S192" s="127">
        <v>0</v>
      </c>
      <c r="T192" s="128">
        <f t="shared" si="25"/>
        <v>0</v>
      </c>
      <c r="W192" s="199"/>
      <c r="X192" s="205" t="s">
        <v>390</v>
      </c>
      <c r="Y192" s="119" t="s">
        <v>231</v>
      </c>
      <c r="Z192" s="120" t="s">
        <v>987</v>
      </c>
      <c r="AA192" s="121" t="s">
        <v>988</v>
      </c>
      <c r="AB192" s="122" t="s">
        <v>292</v>
      </c>
      <c r="AC192" s="206">
        <f>22+6</f>
        <v>28</v>
      </c>
      <c r="AD192" s="124">
        <v>42.2</v>
      </c>
      <c r="AE192" s="200">
        <f t="shared" si="26"/>
        <v>1181.5999999999999</v>
      </c>
      <c r="AF192" s="956" t="s">
        <v>6229</v>
      </c>
      <c r="AG192" s="409"/>
      <c r="AH192" s="406"/>
      <c r="AI192" s="408"/>
      <c r="AR192" s="129" t="s">
        <v>258</v>
      </c>
      <c r="AT192" s="129" t="s">
        <v>231</v>
      </c>
      <c r="AU192" s="129" t="s">
        <v>76</v>
      </c>
      <c r="AY192" s="13" t="s">
        <v>228</v>
      </c>
      <c r="BE192" s="130">
        <f t="shared" si="27"/>
        <v>0</v>
      </c>
      <c r="BF192" s="130">
        <f t="shared" si="28"/>
        <v>928.4</v>
      </c>
      <c r="BG192" s="130">
        <f t="shared" si="29"/>
        <v>0</v>
      </c>
      <c r="BH192" s="130">
        <f t="shared" si="30"/>
        <v>0</v>
      </c>
      <c r="BI192" s="130">
        <f t="shared" si="31"/>
        <v>0</v>
      </c>
      <c r="BJ192" s="13" t="s">
        <v>76</v>
      </c>
      <c r="BK192" s="130">
        <f t="shared" si="32"/>
        <v>928.4</v>
      </c>
      <c r="BL192" s="13" t="s">
        <v>258</v>
      </c>
      <c r="BM192" s="129" t="s">
        <v>393</v>
      </c>
    </row>
    <row r="193" spans="2:65" s="1" customFormat="1" ht="16.5" customHeight="1" x14ac:dyDescent="0.2">
      <c r="B193" s="118"/>
      <c r="C193" s="205" t="s">
        <v>316</v>
      </c>
      <c r="D193" s="119" t="s">
        <v>231</v>
      </c>
      <c r="E193" s="120" t="s">
        <v>989</v>
      </c>
      <c r="F193" s="121" t="s">
        <v>990</v>
      </c>
      <c r="G193" s="122" t="s">
        <v>292</v>
      </c>
      <c r="H193" s="206">
        <v>12</v>
      </c>
      <c r="I193" s="124">
        <v>62.06</v>
      </c>
      <c r="J193" s="124">
        <f t="shared" si="22"/>
        <v>744.72</v>
      </c>
      <c r="K193" s="121" t="s">
        <v>1</v>
      </c>
      <c r="L193" s="24"/>
      <c r="M193" s="125" t="s">
        <v>1</v>
      </c>
      <c r="N193" s="126" t="s">
        <v>32</v>
      </c>
      <c r="O193" s="127">
        <v>0</v>
      </c>
      <c r="P193" s="127">
        <f t="shared" si="23"/>
        <v>0</v>
      </c>
      <c r="Q193" s="127">
        <v>0</v>
      </c>
      <c r="R193" s="127">
        <f t="shared" si="24"/>
        <v>0</v>
      </c>
      <c r="S193" s="127">
        <v>0</v>
      </c>
      <c r="T193" s="128">
        <f t="shared" si="25"/>
        <v>0</v>
      </c>
      <c r="W193" s="199"/>
      <c r="X193" s="205" t="s">
        <v>316</v>
      </c>
      <c r="Y193" s="119" t="s">
        <v>231</v>
      </c>
      <c r="Z193" s="120" t="s">
        <v>989</v>
      </c>
      <c r="AA193" s="121" t="s">
        <v>990</v>
      </c>
      <c r="AB193" s="122" t="s">
        <v>292</v>
      </c>
      <c r="AC193" s="206">
        <f>12-2</f>
        <v>10</v>
      </c>
      <c r="AD193" s="124">
        <v>62.06</v>
      </c>
      <c r="AE193" s="200">
        <f t="shared" si="26"/>
        <v>620.6</v>
      </c>
      <c r="AF193" s="956">
        <v>9</v>
      </c>
      <c r="AG193" s="409"/>
      <c r="AH193" s="406"/>
      <c r="AI193" s="408"/>
      <c r="AR193" s="129" t="s">
        <v>258</v>
      </c>
      <c r="AT193" s="129" t="s">
        <v>231</v>
      </c>
      <c r="AU193" s="129" t="s">
        <v>76</v>
      </c>
      <c r="AY193" s="13" t="s">
        <v>228</v>
      </c>
      <c r="BE193" s="130">
        <f t="shared" si="27"/>
        <v>0</v>
      </c>
      <c r="BF193" s="130">
        <f t="shared" si="28"/>
        <v>744.72</v>
      </c>
      <c r="BG193" s="130">
        <f t="shared" si="29"/>
        <v>0</v>
      </c>
      <c r="BH193" s="130">
        <f t="shared" si="30"/>
        <v>0</v>
      </c>
      <c r="BI193" s="130">
        <f t="shared" si="31"/>
        <v>0</v>
      </c>
      <c r="BJ193" s="13" t="s">
        <v>76</v>
      </c>
      <c r="BK193" s="130">
        <f t="shared" si="32"/>
        <v>744.72</v>
      </c>
      <c r="BL193" s="13" t="s">
        <v>258</v>
      </c>
      <c r="BM193" s="129" t="s">
        <v>396</v>
      </c>
    </row>
    <row r="194" spans="2:65" s="1" customFormat="1" ht="16.5" customHeight="1" x14ac:dyDescent="0.2">
      <c r="B194" s="118"/>
      <c r="C194" s="119" t="s">
        <v>397</v>
      </c>
      <c r="D194" s="119" t="s">
        <v>231</v>
      </c>
      <c r="E194" s="120" t="s">
        <v>991</v>
      </c>
      <c r="F194" s="121" t="s">
        <v>992</v>
      </c>
      <c r="G194" s="122" t="s">
        <v>243</v>
      </c>
      <c r="H194" s="123">
        <v>107</v>
      </c>
      <c r="I194" s="124">
        <v>8.84</v>
      </c>
      <c r="J194" s="124">
        <f t="shared" si="22"/>
        <v>945.88</v>
      </c>
      <c r="K194" s="121" t="s">
        <v>1</v>
      </c>
      <c r="L194" s="24"/>
      <c r="M194" s="125" t="s">
        <v>1</v>
      </c>
      <c r="N194" s="126" t="s">
        <v>32</v>
      </c>
      <c r="O194" s="127">
        <v>0</v>
      </c>
      <c r="P194" s="127">
        <f t="shared" si="23"/>
        <v>0</v>
      </c>
      <c r="Q194" s="127">
        <v>0</v>
      </c>
      <c r="R194" s="127">
        <f t="shared" si="24"/>
        <v>0</v>
      </c>
      <c r="S194" s="127">
        <v>0</v>
      </c>
      <c r="T194" s="128">
        <f t="shared" si="25"/>
        <v>0</v>
      </c>
      <c r="W194" s="199"/>
      <c r="X194" s="119" t="s">
        <v>397</v>
      </c>
      <c r="Y194" s="119" t="s">
        <v>231</v>
      </c>
      <c r="Z194" s="120" t="s">
        <v>991</v>
      </c>
      <c r="AA194" s="121" t="s">
        <v>992</v>
      </c>
      <c r="AB194" s="122" t="s">
        <v>243</v>
      </c>
      <c r="AC194" s="123">
        <v>107</v>
      </c>
      <c r="AD194" s="124">
        <v>8.84</v>
      </c>
      <c r="AE194" s="200">
        <f t="shared" si="26"/>
        <v>945.88</v>
      </c>
      <c r="AF194" s="956"/>
      <c r="AG194" s="409"/>
      <c r="AH194" s="406"/>
      <c r="AI194" s="408"/>
      <c r="AR194" s="129" t="s">
        <v>258</v>
      </c>
      <c r="AT194" s="129" t="s">
        <v>231</v>
      </c>
      <c r="AU194" s="129" t="s">
        <v>76</v>
      </c>
      <c r="AY194" s="13" t="s">
        <v>228</v>
      </c>
      <c r="BE194" s="130">
        <f t="shared" si="27"/>
        <v>0</v>
      </c>
      <c r="BF194" s="130">
        <f t="shared" si="28"/>
        <v>945.88</v>
      </c>
      <c r="BG194" s="130">
        <f t="shared" si="29"/>
        <v>0</v>
      </c>
      <c r="BH194" s="130">
        <f t="shared" si="30"/>
        <v>0</v>
      </c>
      <c r="BI194" s="130">
        <f t="shared" si="31"/>
        <v>0</v>
      </c>
      <c r="BJ194" s="13" t="s">
        <v>76</v>
      </c>
      <c r="BK194" s="130">
        <f t="shared" si="32"/>
        <v>945.88</v>
      </c>
      <c r="BL194" s="13" t="s">
        <v>258</v>
      </c>
      <c r="BM194" s="129" t="s">
        <v>400</v>
      </c>
    </row>
    <row r="195" spans="2:65" s="1" customFormat="1" ht="16.5" customHeight="1" x14ac:dyDescent="0.2">
      <c r="B195" s="118"/>
      <c r="C195" s="119" t="s">
        <v>319</v>
      </c>
      <c r="D195" s="119" t="s">
        <v>231</v>
      </c>
      <c r="E195" s="120" t="s">
        <v>993</v>
      </c>
      <c r="F195" s="121" t="s">
        <v>994</v>
      </c>
      <c r="G195" s="122" t="s">
        <v>243</v>
      </c>
      <c r="H195" s="123">
        <v>9</v>
      </c>
      <c r="I195" s="124">
        <v>10.68</v>
      </c>
      <c r="J195" s="124">
        <f t="shared" si="22"/>
        <v>96.12</v>
      </c>
      <c r="K195" s="121" t="s">
        <v>1</v>
      </c>
      <c r="L195" s="24"/>
      <c r="M195" s="125" t="s">
        <v>1</v>
      </c>
      <c r="N195" s="126" t="s">
        <v>32</v>
      </c>
      <c r="O195" s="127">
        <v>0</v>
      </c>
      <c r="P195" s="127">
        <f t="shared" si="23"/>
        <v>0</v>
      </c>
      <c r="Q195" s="127">
        <v>0</v>
      </c>
      <c r="R195" s="127">
        <f t="shared" si="24"/>
        <v>0</v>
      </c>
      <c r="S195" s="127">
        <v>0</v>
      </c>
      <c r="T195" s="128">
        <f t="shared" si="25"/>
        <v>0</v>
      </c>
      <c r="W195" s="199"/>
      <c r="X195" s="119" t="s">
        <v>319</v>
      </c>
      <c r="Y195" s="119" t="s">
        <v>231</v>
      </c>
      <c r="Z195" s="120" t="s">
        <v>993</v>
      </c>
      <c r="AA195" s="121" t="s">
        <v>994</v>
      </c>
      <c r="AB195" s="122" t="s">
        <v>243</v>
      </c>
      <c r="AC195" s="123">
        <v>9</v>
      </c>
      <c r="AD195" s="124">
        <v>10.68</v>
      </c>
      <c r="AE195" s="200">
        <f t="shared" si="26"/>
        <v>96.12</v>
      </c>
      <c r="AF195" s="956"/>
      <c r="AG195" s="409"/>
      <c r="AH195" s="406"/>
      <c r="AI195" s="408"/>
      <c r="AR195" s="129" t="s">
        <v>258</v>
      </c>
      <c r="AT195" s="129" t="s">
        <v>231</v>
      </c>
      <c r="AU195" s="129" t="s">
        <v>76</v>
      </c>
      <c r="AY195" s="13" t="s">
        <v>228</v>
      </c>
      <c r="BE195" s="130">
        <f t="shared" si="27"/>
        <v>0</v>
      </c>
      <c r="BF195" s="130">
        <f t="shared" si="28"/>
        <v>96.12</v>
      </c>
      <c r="BG195" s="130">
        <f t="shared" si="29"/>
        <v>0</v>
      </c>
      <c r="BH195" s="130">
        <f t="shared" si="30"/>
        <v>0</v>
      </c>
      <c r="BI195" s="130">
        <f t="shared" si="31"/>
        <v>0</v>
      </c>
      <c r="BJ195" s="13" t="s">
        <v>76</v>
      </c>
      <c r="BK195" s="130">
        <f t="shared" si="32"/>
        <v>96.12</v>
      </c>
      <c r="BL195" s="13" t="s">
        <v>258</v>
      </c>
      <c r="BM195" s="129" t="s">
        <v>404</v>
      </c>
    </row>
    <row r="196" spans="2:65" s="1" customFormat="1" ht="16.5" customHeight="1" x14ac:dyDescent="0.2">
      <c r="B196" s="118"/>
      <c r="C196" s="119" t="s">
        <v>407</v>
      </c>
      <c r="D196" s="119" t="s">
        <v>231</v>
      </c>
      <c r="E196" s="120" t="s">
        <v>995</v>
      </c>
      <c r="F196" s="121" t="s">
        <v>996</v>
      </c>
      <c r="G196" s="122" t="s">
        <v>243</v>
      </c>
      <c r="H196" s="123">
        <v>98</v>
      </c>
      <c r="I196" s="124">
        <v>10.68</v>
      </c>
      <c r="J196" s="124">
        <f t="shared" si="22"/>
        <v>1046.6400000000001</v>
      </c>
      <c r="K196" s="121" t="s">
        <v>1</v>
      </c>
      <c r="L196" s="24"/>
      <c r="M196" s="125" t="s">
        <v>1</v>
      </c>
      <c r="N196" s="126" t="s">
        <v>32</v>
      </c>
      <c r="O196" s="127">
        <v>0</v>
      </c>
      <c r="P196" s="127">
        <f t="shared" si="23"/>
        <v>0</v>
      </c>
      <c r="Q196" s="127">
        <v>0</v>
      </c>
      <c r="R196" s="127">
        <f t="shared" si="24"/>
        <v>0</v>
      </c>
      <c r="S196" s="127">
        <v>0</v>
      </c>
      <c r="T196" s="128">
        <f t="shared" si="25"/>
        <v>0</v>
      </c>
      <c r="W196" s="199"/>
      <c r="X196" s="119" t="s">
        <v>407</v>
      </c>
      <c r="Y196" s="119" t="s">
        <v>231</v>
      </c>
      <c r="Z196" s="120" t="s">
        <v>995</v>
      </c>
      <c r="AA196" s="121" t="s">
        <v>996</v>
      </c>
      <c r="AB196" s="122" t="s">
        <v>243</v>
      </c>
      <c r="AC196" s="123">
        <v>98</v>
      </c>
      <c r="AD196" s="124">
        <v>10.68</v>
      </c>
      <c r="AE196" s="200">
        <f t="shared" si="26"/>
        <v>1046.6400000000001</v>
      </c>
      <c r="AF196" s="956"/>
      <c r="AG196" s="409"/>
      <c r="AH196" s="406"/>
      <c r="AI196" s="408"/>
      <c r="AR196" s="129" t="s">
        <v>258</v>
      </c>
      <c r="AT196" s="129" t="s">
        <v>231</v>
      </c>
      <c r="AU196" s="129" t="s">
        <v>76</v>
      </c>
      <c r="AY196" s="13" t="s">
        <v>228</v>
      </c>
      <c r="BE196" s="130">
        <f t="shared" si="27"/>
        <v>0</v>
      </c>
      <c r="BF196" s="130">
        <f t="shared" si="28"/>
        <v>1046.6400000000001</v>
      </c>
      <c r="BG196" s="130">
        <f t="shared" si="29"/>
        <v>0</v>
      </c>
      <c r="BH196" s="130">
        <f t="shared" si="30"/>
        <v>0</v>
      </c>
      <c r="BI196" s="130">
        <f t="shared" si="31"/>
        <v>0</v>
      </c>
      <c r="BJ196" s="13" t="s">
        <v>76</v>
      </c>
      <c r="BK196" s="130">
        <f t="shared" si="32"/>
        <v>1046.6400000000001</v>
      </c>
      <c r="BL196" s="13" t="s">
        <v>258</v>
      </c>
      <c r="BM196" s="129" t="s">
        <v>410</v>
      </c>
    </row>
    <row r="197" spans="2:65" s="1" customFormat="1" ht="16.5" customHeight="1" x14ac:dyDescent="0.2">
      <c r="B197" s="118"/>
      <c r="C197" s="119" t="s">
        <v>323</v>
      </c>
      <c r="D197" s="119" t="s">
        <v>231</v>
      </c>
      <c r="E197" s="120" t="s">
        <v>997</v>
      </c>
      <c r="F197" s="121" t="s">
        <v>998</v>
      </c>
      <c r="G197" s="122" t="s">
        <v>243</v>
      </c>
      <c r="H197" s="123">
        <v>5</v>
      </c>
      <c r="I197" s="124">
        <v>6.1</v>
      </c>
      <c r="J197" s="124">
        <f t="shared" si="22"/>
        <v>30.5</v>
      </c>
      <c r="K197" s="121" t="s">
        <v>1</v>
      </c>
      <c r="L197" s="24"/>
      <c r="M197" s="125" t="s">
        <v>1</v>
      </c>
      <c r="N197" s="126" t="s">
        <v>32</v>
      </c>
      <c r="O197" s="127">
        <v>0</v>
      </c>
      <c r="P197" s="127">
        <f t="shared" si="23"/>
        <v>0</v>
      </c>
      <c r="Q197" s="127">
        <v>0</v>
      </c>
      <c r="R197" s="127">
        <f t="shared" si="24"/>
        <v>0</v>
      </c>
      <c r="S197" s="127">
        <v>0</v>
      </c>
      <c r="T197" s="128">
        <f t="shared" si="25"/>
        <v>0</v>
      </c>
      <c r="W197" s="199"/>
      <c r="X197" s="119" t="s">
        <v>323</v>
      </c>
      <c r="Y197" s="119" t="s">
        <v>231</v>
      </c>
      <c r="Z197" s="120" t="s">
        <v>997</v>
      </c>
      <c r="AA197" s="121" t="s">
        <v>998</v>
      </c>
      <c r="AB197" s="122" t="s">
        <v>243</v>
      </c>
      <c r="AC197" s="123">
        <v>5</v>
      </c>
      <c r="AD197" s="124">
        <v>6.1</v>
      </c>
      <c r="AE197" s="200">
        <f t="shared" si="26"/>
        <v>30.5</v>
      </c>
      <c r="AF197" s="956"/>
      <c r="AG197" s="409"/>
      <c r="AH197" s="406"/>
      <c r="AI197" s="408"/>
      <c r="AR197" s="129" t="s">
        <v>258</v>
      </c>
      <c r="AT197" s="129" t="s">
        <v>231</v>
      </c>
      <c r="AU197" s="129" t="s">
        <v>76</v>
      </c>
      <c r="AY197" s="13" t="s">
        <v>228</v>
      </c>
      <c r="BE197" s="130">
        <f t="shared" si="27"/>
        <v>0</v>
      </c>
      <c r="BF197" s="130">
        <f t="shared" si="28"/>
        <v>30.5</v>
      </c>
      <c r="BG197" s="130">
        <f t="shared" si="29"/>
        <v>0</v>
      </c>
      <c r="BH197" s="130">
        <f t="shared" si="30"/>
        <v>0</v>
      </c>
      <c r="BI197" s="130">
        <f t="shared" si="31"/>
        <v>0</v>
      </c>
      <c r="BJ197" s="13" t="s">
        <v>76</v>
      </c>
      <c r="BK197" s="130">
        <f t="shared" si="32"/>
        <v>30.5</v>
      </c>
      <c r="BL197" s="13" t="s">
        <v>258</v>
      </c>
      <c r="BM197" s="129" t="s">
        <v>414</v>
      </c>
    </row>
    <row r="198" spans="2:65" s="1" customFormat="1" ht="16.5" customHeight="1" x14ac:dyDescent="0.2">
      <c r="B198" s="118"/>
      <c r="C198" s="205" t="s">
        <v>415</v>
      </c>
      <c r="D198" s="119" t="s">
        <v>231</v>
      </c>
      <c r="E198" s="120" t="s">
        <v>999</v>
      </c>
      <c r="F198" s="121" t="s">
        <v>1000</v>
      </c>
      <c r="G198" s="122" t="s">
        <v>243</v>
      </c>
      <c r="H198" s="206">
        <v>10</v>
      </c>
      <c r="I198" s="124">
        <v>7.94</v>
      </c>
      <c r="J198" s="124">
        <f t="shared" si="22"/>
        <v>79.400000000000006</v>
      </c>
      <c r="K198" s="121" t="s">
        <v>1</v>
      </c>
      <c r="L198" s="24"/>
      <c r="M198" s="125" t="s">
        <v>1</v>
      </c>
      <c r="N198" s="126" t="s">
        <v>32</v>
      </c>
      <c r="O198" s="127">
        <v>0</v>
      </c>
      <c r="P198" s="127">
        <f t="shared" si="23"/>
        <v>0</v>
      </c>
      <c r="Q198" s="127">
        <v>0</v>
      </c>
      <c r="R198" s="127">
        <f t="shared" si="24"/>
        <v>0</v>
      </c>
      <c r="S198" s="127">
        <v>0</v>
      </c>
      <c r="T198" s="128">
        <f t="shared" si="25"/>
        <v>0</v>
      </c>
      <c r="W198" s="199"/>
      <c r="X198" s="205" t="s">
        <v>415</v>
      </c>
      <c r="Y198" s="119" t="s">
        <v>231</v>
      </c>
      <c r="Z198" s="120" t="s">
        <v>999</v>
      </c>
      <c r="AA198" s="121" t="s">
        <v>1000</v>
      </c>
      <c r="AB198" s="122" t="s">
        <v>243</v>
      </c>
      <c r="AC198" s="206">
        <f>10+16</f>
        <v>26</v>
      </c>
      <c r="AD198" s="124">
        <v>7.94</v>
      </c>
      <c r="AE198" s="200">
        <f t="shared" si="26"/>
        <v>206.44</v>
      </c>
      <c r="AF198" s="956" t="s">
        <v>6229</v>
      </c>
      <c r="AG198" s="409"/>
      <c r="AH198" s="406"/>
      <c r="AI198" s="408"/>
      <c r="AR198" s="129" t="s">
        <v>258</v>
      </c>
      <c r="AT198" s="129" t="s">
        <v>231</v>
      </c>
      <c r="AU198" s="129" t="s">
        <v>76</v>
      </c>
      <c r="AY198" s="13" t="s">
        <v>228</v>
      </c>
      <c r="BE198" s="130">
        <f t="shared" si="27"/>
        <v>0</v>
      </c>
      <c r="BF198" s="130">
        <f t="shared" si="28"/>
        <v>79.400000000000006</v>
      </c>
      <c r="BG198" s="130">
        <f t="shared" si="29"/>
        <v>0</v>
      </c>
      <c r="BH198" s="130">
        <f t="shared" si="30"/>
        <v>0</v>
      </c>
      <c r="BI198" s="130">
        <f t="shared" si="31"/>
        <v>0</v>
      </c>
      <c r="BJ198" s="13" t="s">
        <v>76</v>
      </c>
      <c r="BK198" s="130">
        <f t="shared" si="32"/>
        <v>79.400000000000006</v>
      </c>
      <c r="BL198" s="13" t="s">
        <v>258</v>
      </c>
      <c r="BM198" s="129" t="s">
        <v>418</v>
      </c>
    </row>
    <row r="199" spans="2:65" s="1" customFormat="1" ht="16.5" customHeight="1" x14ac:dyDescent="0.2">
      <c r="B199" s="118"/>
      <c r="C199" s="205" t="s">
        <v>326</v>
      </c>
      <c r="D199" s="119" t="s">
        <v>231</v>
      </c>
      <c r="E199" s="120" t="s">
        <v>1001</v>
      </c>
      <c r="F199" s="121" t="s">
        <v>1002</v>
      </c>
      <c r="G199" s="122" t="s">
        <v>243</v>
      </c>
      <c r="H199" s="206">
        <v>6</v>
      </c>
      <c r="I199" s="124">
        <v>13.2</v>
      </c>
      <c r="J199" s="124">
        <f t="shared" si="22"/>
        <v>79.2</v>
      </c>
      <c r="K199" s="121" t="s">
        <v>1</v>
      </c>
      <c r="L199" s="24"/>
      <c r="M199" s="125" t="s">
        <v>1</v>
      </c>
      <c r="N199" s="126" t="s">
        <v>32</v>
      </c>
      <c r="O199" s="127">
        <v>0</v>
      </c>
      <c r="P199" s="127">
        <f t="shared" si="23"/>
        <v>0</v>
      </c>
      <c r="Q199" s="127">
        <v>0</v>
      </c>
      <c r="R199" s="127">
        <f t="shared" si="24"/>
        <v>0</v>
      </c>
      <c r="S199" s="127">
        <v>0</v>
      </c>
      <c r="T199" s="128">
        <f t="shared" si="25"/>
        <v>0</v>
      </c>
      <c r="W199" s="199"/>
      <c r="X199" s="205" t="s">
        <v>326</v>
      </c>
      <c r="Y199" s="119" t="s">
        <v>231</v>
      </c>
      <c r="Z199" s="120" t="s">
        <v>1001</v>
      </c>
      <c r="AA199" s="121" t="s">
        <v>1002</v>
      </c>
      <c r="AB199" s="122" t="s">
        <v>243</v>
      </c>
      <c r="AC199" s="206">
        <f>6+24</f>
        <v>30</v>
      </c>
      <c r="AD199" s="124">
        <v>13.2</v>
      </c>
      <c r="AE199" s="200">
        <f t="shared" si="26"/>
        <v>396</v>
      </c>
      <c r="AF199" s="956" t="s">
        <v>6229</v>
      </c>
      <c r="AG199" s="409"/>
      <c r="AH199" s="406"/>
      <c r="AI199" s="408"/>
      <c r="AR199" s="129" t="s">
        <v>258</v>
      </c>
      <c r="AT199" s="129" t="s">
        <v>231</v>
      </c>
      <c r="AU199" s="129" t="s">
        <v>76</v>
      </c>
      <c r="AY199" s="13" t="s">
        <v>228</v>
      </c>
      <c r="BE199" s="130">
        <f t="shared" si="27"/>
        <v>0</v>
      </c>
      <c r="BF199" s="130">
        <f t="shared" si="28"/>
        <v>79.2</v>
      </c>
      <c r="BG199" s="130">
        <f t="shared" si="29"/>
        <v>0</v>
      </c>
      <c r="BH199" s="130">
        <f t="shared" si="30"/>
        <v>0</v>
      </c>
      <c r="BI199" s="130">
        <f t="shared" si="31"/>
        <v>0</v>
      </c>
      <c r="BJ199" s="13" t="s">
        <v>76</v>
      </c>
      <c r="BK199" s="130">
        <f t="shared" si="32"/>
        <v>79.2</v>
      </c>
      <c r="BL199" s="13" t="s">
        <v>258</v>
      </c>
      <c r="BM199" s="129" t="s">
        <v>421</v>
      </c>
    </row>
    <row r="200" spans="2:65" s="1" customFormat="1" ht="16.5" customHeight="1" x14ac:dyDescent="0.2">
      <c r="B200" s="118"/>
      <c r="C200" s="205" t="s">
        <v>422</v>
      </c>
      <c r="D200" s="119" t="s">
        <v>231</v>
      </c>
      <c r="E200" s="120" t="s">
        <v>1003</v>
      </c>
      <c r="F200" s="121" t="s">
        <v>1004</v>
      </c>
      <c r="G200" s="122" t="s">
        <v>243</v>
      </c>
      <c r="H200" s="206">
        <v>8</v>
      </c>
      <c r="I200" s="124">
        <v>19.239999999999998</v>
      </c>
      <c r="J200" s="124">
        <f t="shared" si="22"/>
        <v>153.91999999999999</v>
      </c>
      <c r="K200" s="121" t="s">
        <v>1</v>
      </c>
      <c r="L200" s="24"/>
      <c r="M200" s="125" t="s">
        <v>1</v>
      </c>
      <c r="N200" s="126" t="s">
        <v>32</v>
      </c>
      <c r="O200" s="127">
        <v>0</v>
      </c>
      <c r="P200" s="127">
        <f t="shared" si="23"/>
        <v>0</v>
      </c>
      <c r="Q200" s="127">
        <v>0</v>
      </c>
      <c r="R200" s="127">
        <f t="shared" si="24"/>
        <v>0</v>
      </c>
      <c r="S200" s="127">
        <v>0</v>
      </c>
      <c r="T200" s="128">
        <f t="shared" si="25"/>
        <v>0</v>
      </c>
      <c r="W200" s="199"/>
      <c r="X200" s="205" t="s">
        <v>422</v>
      </c>
      <c r="Y200" s="119" t="s">
        <v>231</v>
      </c>
      <c r="Z200" s="120" t="s">
        <v>1003</v>
      </c>
      <c r="AA200" s="121" t="s">
        <v>1004</v>
      </c>
      <c r="AB200" s="122" t="s">
        <v>243</v>
      </c>
      <c r="AC200" s="206">
        <f>8+10</f>
        <v>18</v>
      </c>
      <c r="AD200" s="124">
        <v>19.239999999999998</v>
      </c>
      <c r="AE200" s="200">
        <f t="shared" si="26"/>
        <v>346.32</v>
      </c>
      <c r="AF200" s="956" t="s">
        <v>6229</v>
      </c>
      <c r="AG200" s="409"/>
      <c r="AH200" s="406"/>
      <c r="AI200" s="408"/>
      <c r="AR200" s="129" t="s">
        <v>258</v>
      </c>
      <c r="AT200" s="129" t="s">
        <v>231</v>
      </c>
      <c r="AU200" s="129" t="s">
        <v>76</v>
      </c>
      <c r="AY200" s="13" t="s">
        <v>228</v>
      </c>
      <c r="BE200" s="130">
        <f t="shared" si="27"/>
        <v>0</v>
      </c>
      <c r="BF200" s="130">
        <f t="shared" si="28"/>
        <v>153.91999999999999</v>
      </c>
      <c r="BG200" s="130">
        <f t="shared" si="29"/>
        <v>0</v>
      </c>
      <c r="BH200" s="130">
        <f t="shared" si="30"/>
        <v>0</v>
      </c>
      <c r="BI200" s="130">
        <f t="shared" si="31"/>
        <v>0</v>
      </c>
      <c r="BJ200" s="13" t="s">
        <v>76</v>
      </c>
      <c r="BK200" s="130">
        <f t="shared" si="32"/>
        <v>153.91999999999999</v>
      </c>
      <c r="BL200" s="13" t="s">
        <v>258</v>
      </c>
      <c r="BM200" s="129" t="s">
        <v>425</v>
      </c>
    </row>
    <row r="201" spans="2:65" s="1" customFormat="1" ht="16.5" customHeight="1" x14ac:dyDescent="0.2">
      <c r="B201" s="118"/>
      <c r="C201" s="119" t="s">
        <v>330</v>
      </c>
      <c r="D201" s="119" t="s">
        <v>231</v>
      </c>
      <c r="E201" s="120" t="s">
        <v>1005</v>
      </c>
      <c r="F201" s="121" t="s">
        <v>1006</v>
      </c>
      <c r="G201" s="122" t="s">
        <v>243</v>
      </c>
      <c r="H201" s="123">
        <v>5</v>
      </c>
      <c r="I201" s="124">
        <v>30.62</v>
      </c>
      <c r="J201" s="124">
        <f t="shared" si="22"/>
        <v>153.1</v>
      </c>
      <c r="K201" s="121" t="s">
        <v>1</v>
      </c>
      <c r="L201" s="24"/>
      <c r="M201" s="125" t="s">
        <v>1</v>
      </c>
      <c r="N201" s="126" t="s">
        <v>32</v>
      </c>
      <c r="O201" s="127">
        <v>0</v>
      </c>
      <c r="P201" s="127">
        <f t="shared" si="23"/>
        <v>0</v>
      </c>
      <c r="Q201" s="127">
        <v>0</v>
      </c>
      <c r="R201" s="127">
        <f t="shared" si="24"/>
        <v>0</v>
      </c>
      <c r="S201" s="127">
        <v>0</v>
      </c>
      <c r="T201" s="128">
        <f t="shared" si="25"/>
        <v>0</v>
      </c>
      <c r="W201" s="199"/>
      <c r="X201" s="119" t="s">
        <v>330</v>
      </c>
      <c r="Y201" s="119" t="s">
        <v>231</v>
      </c>
      <c r="Z201" s="120" t="s">
        <v>1005</v>
      </c>
      <c r="AA201" s="121" t="s">
        <v>1006</v>
      </c>
      <c r="AB201" s="122" t="s">
        <v>243</v>
      </c>
      <c r="AC201" s="123">
        <v>5</v>
      </c>
      <c r="AD201" s="124">
        <v>30.62</v>
      </c>
      <c r="AE201" s="200">
        <f t="shared" si="26"/>
        <v>153.1</v>
      </c>
      <c r="AF201" s="956"/>
      <c r="AG201" s="409"/>
      <c r="AH201" s="406"/>
      <c r="AI201" s="408"/>
      <c r="AR201" s="129" t="s">
        <v>258</v>
      </c>
      <c r="AT201" s="129" t="s">
        <v>231</v>
      </c>
      <c r="AU201" s="129" t="s">
        <v>76</v>
      </c>
      <c r="AY201" s="13" t="s">
        <v>228</v>
      </c>
      <c r="BE201" s="130">
        <f t="shared" si="27"/>
        <v>0</v>
      </c>
      <c r="BF201" s="130">
        <f t="shared" si="28"/>
        <v>153.1</v>
      </c>
      <c r="BG201" s="130">
        <f t="shared" si="29"/>
        <v>0</v>
      </c>
      <c r="BH201" s="130">
        <f t="shared" si="30"/>
        <v>0</v>
      </c>
      <c r="BI201" s="130">
        <f t="shared" si="31"/>
        <v>0</v>
      </c>
      <c r="BJ201" s="13" t="s">
        <v>76</v>
      </c>
      <c r="BK201" s="130">
        <f t="shared" si="32"/>
        <v>153.1</v>
      </c>
      <c r="BL201" s="13" t="s">
        <v>258</v>
      </c>
      <c r="BM201" s="129" t="s">
        <v>428</v>
      </c>
    </row>
    <row r="202" spans="2:65" s="1" customFormat="1" ht="16.5" customHeight="1" x14ac:dyDescent="0.2">
      <c r="B202" s="118"/>
      <c r="C202" s="205" t="s">
        <v>429</v>
      </c>
      <c r="D202" s="119" t="s">
        <v>231</v>
      </c>
      <c r="E202" s="120" t="s">
        <v>1007</v>
      </c>
      <c r="F202" s="121" t="s">
        <v>1008</v>
      </c>
      <c r="G202" s="122" t="s">
        <v>243</v>
      </c>
      <c r="H202" s="206">
        <v>3</v>
      </c>
      <c r="I202" s="124">
        <v>48.91</v>
      </c>
      <c r="J202" s="124">
        <f t="shared" si="22"/>
        <v>146.72999999999999</v>
      </c>
      <c r="K202" s="121" t="s">
        <v>1</v>
      </c>
      <c r="L202" s="24"/>
      <c r="M202" s="125" t="s">
        <v>1</v>
      </c>
      <c r="N202" s="126" t="s">
        <v>32</v>
      </c>
      <c r="O202" s="127">
        <v>0</v>
      </c>
      <c r="P202" s="127">
        <f t="shared" si="23"/>
        <v>0</v>
      </c>
      <c r="Q202" s="127">
        <v>0</v>
      </c>
      <c r="R202" s="127">
        <f t="shared" si="24"/>
        <v>0</v>
      </c>
      <c r="S202" s="127">
        <v>0</v>
      </c>
      <c r="T202" s="128">
        <f t="shared" si="25"/>
        <v>0</v>
      </c>
      <c r="W202" s="199"/>
      <c r="X202" s="205" t="s">
        <v>429</v>
      </c>
      <c r="Y202" s="119" t="s">
        <v>231</v>
      </c>
      <c r="Z202" s="120" t="s">
        <v>1007</v>
      </c>
      <c r="AA202" s="121" t="s">
        <v>1008</v>
      </c>
      <c r="AB202" s="122" t="s">
        <v>243</v>
      </c>
      <c r="AC202" s="206">
        <f>3+1+3</f>
        <v>7</v>
      </c>
      <c r="AD202" s="124">
        <v>48.91</v>
      </c>
      <c r="AE202" s="200">
        <f t="shared" si="26"/>
        <v>342.37</v>
      </c>
      <c r="AF202" s="956" t="s">
        <v>6230</v>
      </c>
      <c r="AG202" s="409"/>
      <c r="AH202" s="406"/>
      <c r="AI202" s="408"/>
      <c r="AR202" s="129" t="s">
        <v>258</v>
      </c>
      <c r="AT202" s="129" t="s">
        <v>231</v>
      </c>
      <c r="AU202" s="129" t="s">
        <v>76</v>
      </c>
      <c r="AY202" s="13" t="s">
        <v>228</v>
      </c>
      <c r="BE202" s="130">
        <f t="shared" si="27"/>
        <v>0</v>
      </c>
      <c r="BF202" s="130">
        <f t="shared" si="28"/>
        <v>146.72999999999999</v>
      </c>
      <c r="BG202" s="130">
        <f t="shared" si="29"/>
        <v>0</v>
      </c>
      <c r="BH202" s="130">
        <f t="shared" si="30"/>
        <v>0</v>
      </c>
      <c r="BI202" s="130">
        <f t="shared" si="31"/>
        <v>0</v>
      </c>
      <c r="BJ202" s="13" t="s">
        <v>76</v>
      </c>
      <c r="BK202" s="130">
        <f t="shared" si="32"/>
        <v>146.72999999999999</v>
      </c>
      <c r="BL202" s="13" t="s">
        <v>258</v>
      </c>
      <c r="BM202" s="129" t="s">
        <v>432</v>
      </c>
    </row>
    <row r="203" spans="2:65" s="1" customFormat="1" ht="16.5" customHeight="1" x14ac:dyDescent="0.2">
      <c r="B203" s="118"/>
      <c r="C203" s="205" t="s">
        <v>333</v>
      </c>
      <c r="D203" s="119" t="s">
        <v>231</v>
      </c>
      <c r="E203" s="120" t="s">
        <v>1009</v>
      </c>
      <c r="F203" s="121" t="s">
        <v>1010</v>
      </c>
      <c r="G203" s="122" t="s">
        <v>243</v>
      </c>
      <c r="H203" s="206">
        <v>1</v>
      </c>
      <c r="I203" s="124">
        <v>128.87</v>
      </c>
      <c r="J203" s="124">
        <f t="shared" si="22"/>
        <v>128.87</v>
      </c>
      <c r="K203" s="121" t="s">
        <v>1</v>
      </c>
      <c r="L203" s="24"/>
      <c r="M203" s="125" t="s">
        <v>1</v>
      </c>
      <c r="N203" s="126" t="s">
        <v>32</v>
      </c>
      <c r="O203" s="127">
        <v>0</v>
      </c>
      <c r="P203" s="127">
        <f t="shared" si="23"/>
        <v>0</v>
      </c>
      <c r="Q203" s="127">
        <v>0</v>
      </c>
      <c r="R203" s="127">
        <f t="shared" si="24"/>
        <v>0</v>
      </c>
      <c r="S203" s="127">
        <v>0</v>
      </c>
      <c r="T203" s="128">
        <f t="shared" si="25"/>
        <v>0</v>
      </c>
      <c r="W203" s="199"/>
      <c r="X203" s="205" t="s">
        <v>333</v>
      </c>
      <c r="Y203" s="119" t="s">
        <v>231</v>
      </c>
      <c r="Z203" s="120" t="s">
        <v>1009</v>
      </c>
      <c r="AA203" s="121" t="s">
        <v>1010</v>
      </c>
      <c r="AB203" s="122" t="s">
        <v>243</v>
      </c>
      <c r="AC203" s="206">
        <f>1+1</f>
        <v>2</v>
      </c>
      <c r="AD203" s="124">
        <v>128.87</v>
      </c>
      <c r="AE203" s="200">
        <f t="shared" si="26"/>
        <v>257.74</v>
      </c>
      <c r="AF203" s="956" t="s">
        <v>6229</v>
      </c>
      <c r="AG203" s="409"/>
      <c r="AH203" s="406"/>
      <c r="AI203" s="408"/>
      <c r="AR203" s="129" t="s">
        <v>258</v>
      </c>
      <c r="AT203" s="129" t="s">
        <v>231</v>
      </c>
      <c r="AU203" s="129" t="s">
        <v>76</v>
      </c>
      <c r="AY203" s="13" t="s">
        <v>228</v>
      </c>
      <c r="BE203" s="130">
        <f t="shared" si="27"/>
        <v>0</v>
      </c>
      <c r="BF203" s="130">
        <f t="shared" si="28"/>
        <v>128.87</v>
      </c>
      <c r="BG203" s="130">
        <f t="shared" si="29"/>
        <v>0</v>
      </c>
      <c r="BH203" s="130">
        <f t="shared" si="30"/>
        <v>0</v>
      </c>
      <c r="BI203" s="130">
        <f t="shared" si="31"/>
        <v>0</v>
      </c>
      <c r="BJ203" s="13" t="s">
        <v>76</v>
      </c>
      <c r="BK203" s="130">
        <f t="shared" si="32"/>
        <v>128.87</v>
      </c>
      <c r="BL203" s="13" t="s">
        <v>258</v>
      </c>
      <c r="BM203" s="129" t="s">
        <v>435</v>
      </c>
    </row>
    <row r="204" spans="2:65" s="1" customFormat="1" ht="16.5" customHeight="1" x14ac:dyDescent="0.2">
      <c r="B204" s="118"/>
      <c r="C204" s="205" t="s">
        <v>438</v>
      </c>
      <c r="D204" s="119" t="s">
        <v>231</v>
      </c>
      <c r="E204" s="120" t="s">
        <v>1011</v>
      </c>
      <c r="F204" s="121" t="s">
        <v>1012</v>
      </c>
      <c r="G204" s="122" t="s">
        <v>243</v>
      </c>
      <c r="H204" s="206">
        <v>1</v>
      </c>
      <c r="I204" s="124">
        <v>192.73</v>
      </c>
      <c r="J204" s="124">
        <f t="shared" si="22"/>
        <v>192.73</v>
      </c>
      <c r="K204" s="121" t="s">
        <v>1</v>
      </c>
      <c r="L204" s="24"/>
      <c r="M204" s="125" t="s">
        <v>1</v>
      </c>
      <c r="N204" s="126" t="s">
        <v>32</v>
      </c>
      <c r="O204" s="127">
        <v>0</v>
      </c>
      <c r="P204" s="127">
        <f t="shared" si="23"/>
        <v>0</v>
      </c>
      <c r="Q204" s="127">
        <v>0</v>
      </c>
      <c r="R204" s="127">
        <f t="shared" si="24"/>
        <v>0</v>
      </c>
      <c r="S204" s="127">
        <v>0</v>
      </c>
      <c r="T204" s="128">
        <f t="shared" si="25"/>
        <v>0</v>
      </c>
      <c r="W204" s="199"/>
      <c r="X204" s="205" t="s">
        <v>438</v>
      </c>
      <c r="Y204" s="119" t="s">
        <v>231</v>
      </c>
      <c r="Z204" s="120" t="s">
        <v>1011</v>
      </c>
      <c r="AA204" s="121" t="s">
        <v>1012</v>
      </c>
      <c r="AB204" s="122" t="s">
        <v>243</v>
      </c>
      <c r="AC204" s="206">
        <f>1-1</f>
        <v>0</v>
      </c>
      <c r="AD204" s="124">
        <v>192.73</v>
      </c>
      <c r="AE204" s="200">
        <f t="shared" si="26"/>
        <v>0</v>
      </c>
      <c r="AF204" s="956">
        <v>9</v>
      </c>
      <c r="AG204" s="409"/>
      <c r="AH204" s="406"/>
      <c r="AI204" s="408"/>
      <c r="AR204" s="129" t="s">
        <v>258</v>
      </c>
      <c r="AT204" s="129" t="s">
        <v>231</v>
      </c>
      <c r="AU204" s="129" t="s">
        <v>76</v>
      </c>
      <c r="AY204" s="13" t="s">
        <v>228</v>
      </c>
      <c r="BE204" s="130">
        <f t="shared" si="27"/>
        <v>0</v>
      </c>
      <c r="BF204" s="130">
        <f t="shared" si="28"/>
        <v>192.73</v>
      </c>
      <c r="BG204" s="130">
        <f t="shared" si="29"/>
        <v>0</v>
      </c>
      <c r="BH204" s="130">
        <f t="shared" si="30"/>
        <v>0</v>
      </c>
      <c r="BI204" s="130">
        <f t="shared" si="31"/>
        <v>0</v>
      </c>
      <c r="BJ204" s="13" t="s">
        <v>76</v>
      </c>
      <c r="BK204" s="130">
        <f t="shared" si="32"/>
        <v>192.73</v>
      </c>
      <c r="BL204" s="13" t="s">
        <v>258</v>
      </c>
      <c r="BM204" s="129" t="s">
        <v>441</v>
      </c>
    </row>
    <row r="205" spans="2:65" s="1" customFormat="1" ht="16.5" customHeight="1" x14ac:dyDescent="0.2">
      <c r="B205" s="118"/>
      <c r="C205" s="205" t="s">
        <v>337</v>
      </c>
      <c r="D205" s="119" t="s">
        <v>231</v>
      </c>
      <c r="E205" s="120" t="s">
        <v>1013</v>
      </c>
      <c r="F205" s="121" t="s">
        <v>1014</v>
      </c>
      <c r="G205" s="122" t="s">
        <v>243</v>
      </c>
      <c r="H205" s="206">
        <v>5</v>
      </c>
      <c r="I205" s="124">
        <v>2.2999999999999998</v>
      </c>
      <c r="J205" s="124">
        <f t="shared" si="22"/>
        <v>11.5</v>
      </c>
      <c r="K205" s="121" t="s">
        <v>1</v>
      </c>
      <c r="L205" s="24"/>
      <c r="M205" s="125" t="s">
        <v>1</v>
      </c>
      <c r="N205" s="126" t="s">
        <v>32</v>
      </c>
      <c r="O205" s="127">
        <v>0</v>
      </c>
      <c r="P205" s="127">
        <f t="shared" si="23"/>
        <v>0</v>
      </c>
      <c r="Q205" s="127">
        <v>0</v>
      </c>
      <c r="R205" s="127">
        <f t="shared" si="24"/>
        <v>0</v>
      </c>
      <c r="S205" s="127">
        <v>0</v>
      </c>
      <c r="T205" s="128">
        <f t="shared" si="25"/>
        <v>0</v>
      </c>
      <c r="W205" s="199"/>
      <c r="X205" s="205" t="s">
        <v>337</v>
      </c>
      <c r="Y205" s="119" t="s">
        <v>231</v>
      </c>
      <c r="Z205" s="120" t="s">
        <v>1013</v>
      </c>
      <c r="AA205" s="121" t="s">
        <v>1014</v>
      </c>
      <c r="AB205" s="122" t="s">
        <v>243</v>
      </c>
      <c r="AC205" s="206">
        <f>5+27</f>
        <v>32</v>
      </c>
      <c r="AD205" s="124">
        <v>2.2999999999999998</v>
      </c>
      <c r="AE205" s="200">
        <f t="shared" si="26"/>
        <v>73.599999999999994</v>
      </c>
      <c r="AF205" s="956" t="s">
        <v>6229</v>
      </c>
      <c r="AG205" s="409"/>
      <c r="AH205" s="406"/>
      <c r="AI205" s="408"/>
      <c r="AR205" s="129" t="s">
        <v>258</v>
      </c>
      <c r="AT205" s="129" t="s">
        <v>231</v>
      </c>
      <c r="AU205" s="129" t="s">
        <v>76</v>
      </c>
      <c r="AY205" s="13" t="s">
        <v>228</v>
      </c>
      <c r="BE205" s="130">
        <f t="shared" si="27"/>
        <v>0</v>
      </c>
      <c r="BF205" s="130">
        <f t="shared" si="28"/>
        <v>11.5</v>
      </c>
      <c r="BG205" s="130">
        <f t="shared" si="29"/>
        <v>0</v>
      </c>
      <c r="BH205" s="130">
        <f t="shared" si="30"/>
        <v>0</v>
      </c>
      <c r="BI205" s="130">
        <f t="shared" si="31"/>
        <v>0</v>
      </c>
      <c r="BJ205" s="13" t="s">
        <v>76</v>
      </c>
      <c r="BK205" s="130">
        <f t="shared" si="32"/>
        <v>11.5</v>
      </c>
      <c r="BL205" s="13" t="s">
        <v>258</v>
      </c>
      <c r="BM205" s="129" t="s">
        <v>444</v>
      </c>
    </row>
    <row r="206" spans="2:65" s="1" customFormat="1" ht="16.5" customHeight="1" x14ac:dyDescent="0.2">
      <c r="B206" s="118"/>
      <c r="C206" s="205" t="s">
        <v>445</v>
      </c>
      <c r="D206" s="119" t="s">
        <v>231</v>
      </c>
      <c r="E206" s="120" t="s">
        <v>1015</v>
      </c>
      <c r="F206" s="121" t="s">
        <v>1016</v>
      </c>
      <c r="G206" s="122" t="s">
        <v>243</v>
      </c>
      <c r="H206" s="206">
        <v>10</v>
      </c>
      <c r="I206" s="124">
        <v>3.83</v>
      </c>
      <c r="J206" s="124">
        <f t="shared" si="22"/>
        <v>38.299999999999997</v>
      </c>
      <c r="K206" s="121" t="s">
        <v>1</v>
      </c>
      <c r="L206" s="24"/>
      <c r="M206" s="125" t="s">
        <v>1</v>
      </c>
      <c r="N206" s="126" t="s">
        <v>32</v>
      </c>
      <c r="O206" s="127">
        <v>0</v>
      </c>
      <c r="P206" s="127">
        <f t="shared" si="23"/>
        <v>0</v>
      </c>
      <c r="Q206" s="127">
        <v>0</v>
      </c>
      <c r="R206" s="127">
        <f t="shared" si="24"/>
        <v>0</v>
      </c>
      <c r="S206" s="127">
        <v>0</v>
      </c>
      <c r="T206" s="128">
        <f t="shared" si="25"/>
        <v>0</v>
      </c>
      <c r="W206" s="199"/>
      <c r="X206" s="205" t="s">
        <v>445</v>
      </c>
      <c r="Y206" s="119" t="s">
        <v>231</v>
      </c>
      <c r="Z206" s="120" t="s">
        <v>1015</v>
      </c>
      <c r="AA206" s="121" t="s">
        <v>1016</v>
      </c>
      <c r="AB206" s="122" t="s">
        <v>243</v>
      </c>
      <c r="AC206" s="206">
        <f>10+13</f>
        <v>23</v>
      </c>
      <c r="AD206" s="124">
        <v>3.83</v>
      </c>
      <c r="AE206" s="200">
        <f t="shared" si="26"/>
        <v>88.09</v>
      </c>
      <c r="AF206" s="956" t="s">
        <v>6229</v>
      </c>
      <c r="AG206" s="409"/>
      <c r="AH206" s="406"/>
      <c r="AI206" s="408"/>
      <c r="AR206" s="129" t="s">
        <v>258</v>
      </c>
      <c r="AT206" s="129" t="s">
        <v>231</v>
      </c>
      <c r="AU206" s="129" t="s">
        <v>76</v>
      </c>
      <c r="AY206" s="13" t="s">
        <v>228</v>
      </c>
      <c r="BE206" s="130">
        <f t="shared" si="27"/>
        <v>0</v>
      </c>
      <c r="BF206" s="130">
        <f t="shared" si="28"/>
        <v>38.299999999999997</v>
      </c>
      <c r="BG206" s="130">
        <f t="shared" si="29"/>
        <v>0</v>
      </c>
      <c r="BH206" s="130">
        <f t="shared" si="30"/>
        <v>0</v>
      </c>
      <c r="BI206" s="130">
        <f t="shared" si="31"/>
        <v>0</v>
      </c>
      <c r="BJ206" s="13" t="s">
        <v>76</v>
      </c>
      <c r="BK206" s="130">
        <f t="shared" si="32"/>
        <v>38.299999999999997</v>
      </c>
      <c r="BL206" s="13" t="s">
        <v>258</v>
      </c>
      <c r="BM206" s="129" t="s">
        <v>448</v>
      </c>
    </row>
    <row r="207" spans="2:65" s="1" customFormat="1" ht="16.5" customHeight="1" x14ac:dyDescent="0.2">
      <c r="B207" s="118"/>
      <c r="C207" s="205" t="s">
        <v>340</v>
      </c>
      <c r="D207" s="119" t="s">
        <v>231</v>
      </c>
      <c r="E207" s="120" t="s">
        <v>1017</v>
      </c>
      <c r="F207" s="121" t="s">
        <v>1018</v>
      </c>
      <c r="G207" s="122" t="s">
        <v>243</v>
      </c>
      <c r="H207" s="206">
        <v>6</v>
      </c>
      <c r="I207" s="124">
        <v>4.24</v>
      </c>
      <c r="J207" s="124">
        <f t="shared" si="22"/>
        <v>25.44</v>
      </c>
      <c r="K207" s="121" t="s">
        <v>1</v>
      </c>
      <c r="L207" s="24"/>
      <c r="M207" s="125" t="s">
        <v>1</v>
      </c>
      <c r="N207" s="126" t="s">
        <v>32</v>
      </c>
      <c r="O207" s="127">
        <v>0</v>
      </c>
      <c r="P207" s="127">
        <f t="shared" si="23"/>
        <v>0</v>
      </c>
      <c r="Q207" s="127">
        <v>0</v>
      </c>
      <c r="R207" s="127">
        <f t="shared" si="24"/>
        <v>0</v>
      </c>
      <c r="S207" s="127">
        <v>0</v>
      </c>
      <c r="T207" s="128">
        <f t="shared" si="25"/>
        <v>0</v>
      </c>
      <c r="W207" s="199"/>
      <c r="X207" s="205" t="s">
        <v>340</v>
      </c>
      <c r="Y207" s="119" t="s">
        <v>231</v>
      </c>
      <c r="Z207" s="120" t="s">
        <v>1017</v>
      </c>
      <c r="AA207" s="121" t="s">
        <v>1018</v>
      </c>
      <c r="AB207" s="122" t="s">
        <v>243</v>
      </c>
      <c r="AC207" s="206">
        <f>6+24</f>
        <v>30</v>
      </c>
      <c r="AD207" s="124">
        <v>4.24</v>
      </c>
      <c r="AE207" s="200">
        <f t="shared" si="26"/>
        <v>127.2</v>
      </c>
      <c r="AF207" s="956" t="s">
        <v>6229</v>
      </c>
      <c r="AG207" s="409"/>
      <c r="AH207" s="406"/>
      <c r="AI207" s="408"/>
      <c r="AR207" s="129" t="s">
        <v>258</v>
      </c>
      <c r="AT207" s="129" t="s">
        <v>231</v>
      </c>
      <c r="AU207" s="129" t="s">
        <v>76</v>
      </c>
      <c r="AY207" s="13" t="s">
        <v>228</v>
      </c>
      <c r="BE207" s="130">
        <f t="shared" si="27"/>
        <v>0</v>
      </c>
      <c r="BF207" s="130">
        <f t="shared" si="28"/>
        <v>25.44</v>
      </c>
      <c r="BG207" s="130">
        <f t="shared" si="29"/>
        <v>0</v>
      </c>
      <c r="BH207" s="130">
        <f t="shared" si="30"/>
        <v>0</v>
      </c>
      <c r="BI207" s="130">
        <f t="shared" si="31"/>
        <v>0</v>
      </c>
      <c r="BJ207" s="13" t="s">
        <v>76</v>
      </c>
      <c r="BK207" s="130">
        <f t="shared" si="32"/>
        <v>25.44</v>
      </c>
      <c r="BL207" s="13" t="s">
        <v>258</v>
      </c>
      <c r="BM207" s="129" t="s">
        <v>451</v>
      </c>
    </row>
    <row r="208" spans="2:65" s="1" customFormat="1" ht="16.5" customHeight="1" x14ac:dyDescent="0.2">
      <c r="B208" s="118"/>
      <c r="C208" s="205" t="s">
        <v>452</v>
      </c>
      <c r="D208" s="119" t="s">
        <v>231</v>
      </c>
      <c r="E208" s="120" t="s">
        <v>1019</v>
      </c>
      <c r="F208" s="121" t="s">
        <v>1020</v>
      </c>
      <c r="G208" s="122" t="s">
        <v>243</v>
      </c>
      <c r="H208" s="206">
        <v>8</v>
      </c>
      <c r="I208" s="124">
        <v>4.99</v>
      </c>
      <c r="J208" s="124">
        <f t="shared" si="22"/>
        <v>39.92</v>
      </c>
      <c r="K208" s="121" t="s">
        <v>1</v>
      </c>
      <c r="L208" s="24"/>
      <c r="M208" s="125" t="s">
        <v>1</v>
      </c>
      <c r="N208" s="126" t="s">
        <v>32</v>
      </c>
      <c r="O208" s="127">
        <v>0</v>
      </c>
      <c r="P208" s="127">
        <f t="shared" si="23"/>
        <v>0</v>
      </c>
      <c r="Q208" s="127">
        <v>0</v>
      </c>
      <c r="R208" s="127">
        <f t="shared" si="24"/>
        <v>0</v>
      </c>
      <c r="S208" s="127">
        <v>0</v>
      </c>
      <c r="T208" s="128">
        <f t="shared" si="25"/>
        <v>0</v>
      </c>
      <c r="W208" s="199"/>
      <c r="X208" s="205" t="s">
        <v>452</v>
      </c>
      <c r="Y208" s="119" t="s">
        <v>231</v>
      </c>
      <c r="Z208" s="120" t="s">
        <v>1019</v>
      </c>
      <c r="AA208" s="121" t="s">
        <v>1020</v>
      </c>
      <c r="AB208" s="122" t="s">
        <v>243</v>
      </c>
      <c r="AC208" s="206">
        <f>8+10</f>
        <v>18</v>
      </c>
      <c r="AD208" s="124">
        <v>4.99</v>
      </c>
      <c r="AE208" s="200">
        <f t="shared" si="26"/>
        <v>89.82</v>
      </c>
      <c r="AF208" s="956" t="s">
        <v>6229</v>
      </c>
      <c r="AG208" s="409"/>
      <c r="AH208" s="406"/>
      <c r="AI208" s="408"/>
      <c r="AR208" s="129" t="s">
        <v>258</v>
      </c>
      <c r="AT208" s="129" t="s">
        <v>231</v>
      </c>
      <c r="AU208" s="129" t="s">
        <v>76</v>
      </c>
      <c r="AY208" s="13" t="s">
        <v>228</v>
      </c>
      <c r="BE208" s="130">
        <f t="shared" si="27"/>
        <v>0</v>
      </c>
      <c r="BF208" s="130">
        <f t="shared" si="28"/>
        <v>39.92</v>
      </c>
      <c r="BG208" s="130">
        <f t="shared" si="29"/>
        <v>0</v>
      </c>
      <c r="BH208" s="130">
        <f t="shared" si="30"/>
        <v>0</v>
      </c>
      <c r="BI208" s="130">
        <f t="shared" si="31"/>
        <v>0</v>
      </c>
      <c r="BJ208" s="13" t="s">
        <v>76</v>
      </c>
      <c r="BK208" s="130">
        <f t="shared" si="32"/>
        <v>39.92</v>
      </c>
      <c r="BL208" s="13" t="s">
        <v>258</v>
      </c>
      <c r="BM208" s="129" t="s">
        <v>455</v>
      </c>
    </row>
    <row r="209" spans="2:65" s="1" customFormat="1" ht="16.5" customHeight="1" x14ac:dyDescent="0.2">
      <c r="B209" s="118"/>
      <c r="C209" s="119" t="s">
        <v>344</v>
      </c>
      <c r="D209" s="119" t="s">
        <v>231</v>
      </c>
      <c r="E209" s="120" t="s">
        <v>1021</v>
      </c>
      <c r="F209" s="121" t="s">
        <v>1022</v>
      </c>
      <c r="G209" s="122" t="s">
        <v>243</v>
      </c>
      <c r="H209" s="123">
        <v>5</v>
      </c>
      <c r="I209" s="124">
        <v>6.44</v>
      </c>
      <c r="J209" s="124">
        <f t="shared" si="22"/>
        <v>32.200000000000003</v>
      </c>
      <c r="K209" s="121" t="s">
        <v>1</v>
      </c>
      <c r="L209" s="24"/>
      <c r="M209" s="125" t="s">
        <v>1</v>
      </c>
      <c r="N209" s="126" t="s">
        <v>32</v>
      </c>
      <c r="O209" s="127">
        <v>0</v>
      </c>
      <c r="P209" s="127">
        <f t="shared" si="23"/>
        <v>0</v>
      </c>
      <c r="Q209" s="127">
        <v>0</v>
      </c>
      <c r="R209" s="127">
        <f t="shared" si="24"/>
        <v>0</v>
      </c>
      <c r="S209" s="127">
        <v>0</v>
      </c>
      <c r="T209" s="128">
        <f t="shared" si="25"/>
        <v>0</v>
      </c>
      <c r="W209" s="199"/>
      <c r="X209" s="119" t="s">
        <v>344</v>
      </c>
      <c r="Y209" s="119" t="s">
        <v>231</v>
      </c>
      <c r="Z209" s="120" t="s">
        <v>1021</v>
      </c>
      <c r="AA209" s="121" t="s">
        <v>1022</v>
      </c>
      <c r="AB209" s="122" t="s">
        <v>243</v>
      </c>
      <c r="AC209" s="123">
        <v>5</v>
      </c>
      <c r="AD209" s="124">
        <v>6.44</v>
      </c>
      <c r="AE209" s="200">
        <f t="shared" si="26"/>
        <v>32.200000000000003</v>
      </c>
      <c r="AF209" s="956"/>
      <c r="AG209" s="409"/>
      <c r="AH209" s="406"/>
      <c r="AI209" s="408"/>
      <c r="AR209" s="129" t="s">
        <v>258</v>
      </c>
      <c r="AT209" s="129" t="s">
        <v>231</v>
      </c>
      <c r="AU209" s="129" t="s">
        <v>76</v>
      </c>
      <c r="AY209" s="13" t="s">
        <v>228</v>
      </c>
      <c r="BE209" s="130">
        <f t="shared" si="27"/>
        <v>0</v>
      </c>
      <c r="BF209" s="130">
        <f t="shared" si="28"/>
        <v>32.200000000000003</v>
      </c>
      <c r="BG209" s="130">
        <f t="shared" si="29"/>
        <v>0</v>
      </c>
      <c r="BH209" s="130">
        <f t="shared" si="30"/>
        <v>0</v>
      </c>
      <c r="BI209" s="130">
        <f t="shared" si="31"/>
        <v>0</v>
      </c>
      <c r="BJ209" s="13" t="s">
        <v>76</v>
      </c>
      <c r="BK209" s="130">
        <f t="shared" si="32"/>
        <v>32.200000000000003</v>
      </c>
      <c r="BL209" s="13" t="s">
        <v>258</v>
      </c>
      <c r="BM209" s="129" t="s">
        <v>458</v>
      </c>
    </row>
    <row r="210" spans="2:65" s="1" customFormat="1" ht="16.5" customHeight="1" x14ac:dyDescent="0.2">
      <c r="B210" s="118"/>
      <c r="C210" s="205" t="s">
        <v>459</v>
      </c>
      <c r="D210" s="119" t="s">
        <v>231</v>
      </c>
      <c r="E210" s="120" t="s">
        <v>1023</v>
      </c>
      <c r="F210" s="121" t="s">
        <v>1024</v>
      </c>
      <c r="G210" s="122" t="s">
        <v>243</v>
      </c>
      <c r="H210" s="206">
        <v>3</v>
      </c>
      <c r="I210" s="124">
        <v>7.73</v>
      </c>
      <c r="J210" s="124">
        <f t="shared" si="22"/>
        <v>23.19</v>
      </c>
      <c r="K210" s="121" t="s">
        <v>1</v>
      </c>
      <c r="L210" s="24"/>
      <c r="M210" s="125" t="s">
        <v>1</v>
      </c>
      <c r="N210" s="126" t="s">
        <v>32</v>
      </c>
      <c r="O210" s="127">
        <v>0</v>
      </c>
      <c r="P210" s="127">
        <f t="shared" si="23"/>
        <v>0</v>
      </c>
      <c r="Q210" s="127">
        <v>0</v>
      </c>
      <c r="R210" s="127">
        <f t="shared" si="24"/>
        <v>0</v>
      </c>
      <c r="S210" s="127">
        <v>0</v>
      </c>
      <c r="T210" s="128">
        <f t="shared" si="25"/>
        <v>0</v>
      </c>
      <c r="W210" s="199"/>
      <c r="X210" s="205" t="s">
        <v>459</v>
      </c>
      <c r="Y210" s="119" t="s">
        <v>231</v>
      </c>
      <c r="Z210" s="120" t="s">
        <v>1023</v>
      </c>
      <c r="AA210" s="121" t="s">
        <v>1024</v>
      </c>
      <c r="AB210" s="122" t="s">
        <v>243</v>
      </c>
      <c r="AC210" s="206">
        <f>3+1+3</f>
        <v>7</v>
      </c>
      <c r="AD210" s="124">
        <v>7.73</v>
      </c>
      <c r="AE210" s="200">
        <f t="shared" si="26"/>
        <v>54.11</v>
      </c>
      <c r="AF210" s="956" t="s">
        <v>6230</v>
      </c>
      <c r="AG210" s="409"/>
      <c r="AH210" s="406"/>
      <c r="AI210" s="408"/>
      <c r="AR210" s="129" t="s">
        <v>258</v>
      </c>
      <c r="AT210" s="129" t="s">
        <v>231</v>
      </c>
      <c r="AU210" s="129" t="s">
        <v>76</v>
      </c>
      <c r="AY210" s="13" t="s">
        <v>228</v>
      </c>
      <c r="BE210" s="130">
        <f t="shared" si="27"/>
        <v>0</v>
      </c>
      <c r="BF210" s="130">
        <f t="shared" si="28"/>
        <v>23.19</v>
      </c>
      <c r="BG210" s="130">
        <f t="shared" si="29"/>
        <v>0</v>
      </c>
      <c r="BH210" s="130">
        <f t="shared" si="30"/>
        <v>0</v>
      </c>
      <c r="BI210" s="130">
        <f t="shared" si="31"/>
        <v>0</v>
      </c>
      <c r="BJ210" s="13" t="s">
        <v>76</v>
      </c>
      <c r="BK210" s="130">
        <f t="shared" si="32"/>
        <v>23.19</v>
      </c>
      <c r="BL210" s="13" t="s">
        <v>258</v>
      </c>
      <c r="BM210" s="129" t="s">
        <v>462</v>
      </c>
    </row>
    <row r="211" spans="2:65" s="1" customFormat="1" ht="16.5" customHeight="1" x14ac:dyDescent="0.2">
      <c r="B211" s="118"/>
      <c r="C211" s="205" t="s">
        <v>347</v>
      </c>
      <c r="D211" s="119" t="s">
        <v>231</v>
      </c>
      <c r="E211" s="120" t="s">
        <v>1025</v>
      </c>
      <c r="F211" s="121" t="s">
        <v>1026</v>
      </c>
      <c r="G211" s="122" t="s">
        <v>243</v>
      </c>
      <c r="H211" s="206">
        <v>1</v>
      </c>
      <c r="I211" s="124">
        <v>11.6</v>
      </c>
      <c r="J211" s="124">
        <f t="shared" si="22"/>
        <v>11.6</v>
      </c>
      <c r="K211" s="121" t="s">
        <v>1</v>
      </c>
      <c r="L211" s="24"/>
      <c r="M211" s="125" t="s">
        <v>1</v>
      </c>
      <c r="N211" s="126" t="s">
        <v>32</v>
      </c>
      <c r="O211" s="127">
        <v>0</v>
      </c>
      <c r="P211" s="127">
        <f t="shared" si="23"/>
        <v>0</v>
      </c>
      <c r="Q211" s="127">
        <v>0</v>
      </c>
      <c r="R211" s="127">
        <f t="shared" si="24"/>
        <v>0</v>
      </c>
      <c r="S211" s="127">
        <v>0</v>
      </c>
      <c r="T211" s="128">
        <f t="shared" si="25"/>
        <v>0</v>
      </c>
      <c r="W211" s="199"/>
      <c r="X211" s="205" t="s">
        <v>347</v>
      </c>
      <c r="Y211" s="119" t="s">
        <v>231</v>
      </c>
      <c r="Z211" s="120" t="s">
        <v>1025</v>
      </c>
      <c r="AA211" s="121" t="s">
        <v>1026</v>
      </c>
      <c r="AB211" s="122" t="s">
        <v>243</v>
      </c>
      <c r="AC211" s="206">
        <f>1+1</f>
        <v>2</v>
      </c>
      <c r="AD211" s="124">
        <v>11.6</v>
      </c>
      <c r="AE211" s="200">
        <f t="shared" si="26"/>
        <v>23.2</v>
      </c>
      <c r="AF211" s="956" t="s">
        <v>6229</v>
      </c>
      <c r="AG211" s="409"/>
      <c r="AH211" s="406"/>
      <c r="AI211" s="408"/>
      <c r="AR211" s="129" t="s">
        <v>258</v>
      </c>
      <c r="AT211" s="129" t="s">
        <v>231</v>
      </c>
      <c r="AU211" s="129" t="s">
        <v>76</v>
      </c>
      <c r="AY211" s="13" t="s">
        <v>228</v>
      </c>
      <c r="BE211" s="130">
        <f t="shared" si="27"/>
        <v>0</v>
      </c>
      <c r="BF211" s="130">
        <f t="shared" si="28"/>
        <v>11.6</v>
      </c>
      <c r="BG211" s="130">
        <f t="shared" si="29"/>
        <v>0</v>
      </c>
      <c r="BH211" s="130">
        <f t="shared" si="30"/>
        <v>0</v>
      </c>
      <c r="BI211" s="130">
        <f t="shared" si="31"/>
        <v>0</v>
      </c>
      <c r="BJ211" s="13" t="s">
        <v>76</v>
      </c>
      <c r="BK211" s="130">
        <f t="shared" si="32"/>
        <v>11.6</v>
      </c>
      <c r="BL211" s="13" t="s">
        <v>258</v>
      </c>
      <c r="BM211" s="129" t="s">
        <v>465</v>
      </c>
    </row>
    <row r="212" spans="2:65" s="1" customFormat="1" ht="16.5" customHeight="1" x14ac:dyDescent="0.2">
      <c r="B212" s="118"/>
      <c r="C212" s="205" t="s">
        <v>466</v>
      </c>
      <c r="D212" s="119" t="s">
        <v>231</v>
      </c>
      <c r="E212" s="120" t="s">
        <v>1027</v>
      </c>
      <c r="F212" s="121" t="s">
        <v>1028</v>
      </c>
      <c r="G212" s="122" t="s">
        <v>243</v>
      </c>
      <c r="H212" s="206">
        <v>1</v>
      </c>
      <c r="I212" s="124">
        <v>13.5</v>
      </c>
      <c r="J212" s="124">
        <f t="shared" si="22"/>
        <v>13.5</v>
      </c>
      <c r="K212" s="121" t="s">
        <v>1</v>
      </c>
      <c r="L212" s="24"/>
      <c r="M212" s="125" t="s">
        <v>1</v>
      </c>
      <c r="N212" s="126" t="s">
        <v>32</v>
      </c>
      <c r="O212" s="127">
        <v>0</v>
      </c>
      <c r="P212" s="127">
        <f t="shared" si="23"/>
        <v>0</v>
      </c>
      <c r="Q212" s="127">
        <v>0</v>
      </c>
      <c r="R212" s="127">
        <f t="shared" si="24"/>
        <v>0</v>
      </c>
      <c r="S212" s="127">
        <v>0</v>
      </c>
      <c r="T212" s="128">
        <f t="shared" si="25"/>
        <v>0</v>
      </c>
      <c r="W212" s="199"/>
      <c r="X212" s="205" t="s">
        <v>466</v>
      </c>
      <c r="Y212" s="119" t="s">
        <v>231</v>
      </c>
      <c r="Z212" s="120" t="s">
        <v>1027</v>
      </c>
      <c r="AA212" s="121" t="s">
        <v>1028</v>
      </c>
      <c r="AB212" s="122" t="s">
        <v>243</v>
      </c>
      <c r="AC212" s="206">
        <f>1-1</f>
        <v>0</v>
      </c>
      <c r="AD212" s="124">
        <v>13.5</v>
      </c>
      <c r="AE212" s="200">
        <f t="shared" si="26"/>
        <v>0</v>
      </c>
      <c r="AF212" s="956">
        <v>9</v>
      </c>
      <c r="AG212" s="409"/>
      <c r="AH212" s="406"/>
      <c r="AI212" s="408"/>
      <c r="AR212" s="129" t="s">
        <v>258</v>
      </c>
      <c r="AT212" s="129" t="s">
        <v>231</v>
      </c>
      <c r="AU212" s="129" t="s">
        <v>76</v>
      </c>
      <c r="AY212" s="13" t="s">
        <v>228</v>
      </c>
      <c r="BE212" s="130">
        <f t="shared" si="27"/>
        <v>0</v>
      </c>
      <c r="BF212" s="130">
        <f t="shared" si="28"/>
        <v>13.5</v>
      </c>
      <c r="BG212" s="130">
        <f t="shared" si="29"/>
        <v>0</v>
      </c>
      <c r="BH212" s="130">
        <f t="shared" si="30"/>
        <v>0</v>
      </c>
      <c r="BI212" s="130">
        <f t="shared" si="31"/>
        <v>0</v>
      </c>
      <c r="BJ212" s="13" t="s">
        <v>76</v>
      </c>
      <c r="BK212" s="130">
        <f t="shared" si="32"/>
        <v>13.5</v>
      </c>
      <c r="BL212" s="13" t="s">
        <v>258</v>
      </c>
      <c r="BM212" s="129" t="s">
        <v>469</v>
      </c>
    </row>
    <row r="213" spans="2:65" s="631" customFormat="1" ht="16.95" customHeight="1" x14ac:dyDescent="0.2">
      <c r="B213" s="118"/>
      <c r="C213" s="1234" t="s">
        <v>5205</v>
      </c>
      <c r="D213" s="1235"/>
      <c r="E213" s="1235"/>
      <c r="F213" s="1235"/>
      <c r="G213" s="1235"/>
      <c r="H213" s="1235"/>
      <c r="I213" s="1235"/>
      <c r="J213" s="1236"/>
      <c r="K213" s="121"/>
      <c r="L213" s="24"/>
      <c r="M213" s="125"/>
      <c r="N213" s="126"/>
      <c r="O213" s="127"/>
      <c r="P213" s="127"/>
      <c r="Q213" s="127"/>
      <c r="R213" s="127"/>
      <c r="S213" s="127"/>
      <c r="T213" s="128"/>
      <c r="W213" s="199"/>
      <c r="X213" s="207" t="s">
        <v>6241</v>
      </c>
      <c r="Y213" s="207"/>
      <c r="Z213" s="208" t="s">
        <v>6231</v>
      </c>
      <c r="AA213" s="209" t="s">
        <v>6232</v>
      </c>
      <c r="AB213" s="210" t="s">
        <v>1194</v>
      </c>
      <c r="AC213" s="211">
        <v>24</v>
      </c>
      <c r="AD213" s="212">
        <v>9.02</v>
      </c>
      <c r="AE213" s="214">
        <f>AC213*AD213</f>
        <v>216.48</v>
      </c>
      <c r="AF213" s="956" t="s">
        <v>6229</v>
      </c>
      <c r="AG213" s="409"/>
      <c r="AH213" s="406"/>
      <c r="AI213" s="408"/>
      <c r="AR213" s="129"/>
      <c r="AT213" s="129"/>
      <c r="AU213" s="129"/>
      <c r="AY213" s="13"/>
      <c r="BE213" s="130"/>
      <c r="BF213" s="130"/>
      <c r="BG213" s="130"/>
      <c r="BH213" s="130"/>
      <c r="BI213" s="130"/>
      <c r="BJ213" s="13"/>
      <c r="BK213" s="130"/>
      <c r="BL213" s="13"/>
      <c r="BM213" s="129"/>
    </row>
    <row r="214" spans="2:65" s="631" customFormat="1" ht="27.45" customHeight="1" x14ac:dyDescent="0.2">
      <c r="B214" s="118"/>
      <c r="C214" s="1234" t="s">
        <v>5205</v>
      </c>
      <c r="D214" s="1235"/>
      <c r="E214" s="1235"/>
      <c r="F214" s="1235"/>
      <c r="G214" s="1235"/>
      <c r="H214" s="1235"/>
      <c r="I214" s="1235"/>
      <c r="J214" s="1236"/>
      <c r="K214" s="121"/>
      <c r="L214" s="24"/>
      <c r="M214" s="125"/>
      <c r="N214" s="126"/>
      <c r="O214" s="127"/>
      <c r="P214" s="127"/>
      <c r="Q214" s="127"/>
      <c r="R214" s="127"/>
      <c r="S214" s="127"/>
      <c r="T214" s="128"/>
      <c r="W214" s="199"/>
      <c r="X214" s="207" t="s">
        <v>6242</v>
      </c>
      <c r="Y214" s="207"/>
      <c r="Z214" s="208" t="s">
        <v>6233</v>
      </c>
      <c r="AA214" s="209" t="s">
        <v>6234</v>
      </c>
      <c r="AB214" s="210" t="s">
        <v>1194</v>
      </c>
      <c r="AC214" s="211">
        <v>6</v>
      </c>
      <c r="AD214" s="212">
        <v>11.28</v>
      </c>
      <c r="AE214" s="214">
        <f t="shared" ref="AE214:AE217" si="33">AC214*AD214</f>
        <v>67.679999999999993</v>
      </c>
      <c r="AF214" s="956" t="s">
        <v>6229</v>
      </c>
      <c r="AG214" s="409"/>
      <c r="AH214" s="406"/>
      <c r="AI214" s="408"/>
      <c r="AR214" s="129"/>
      <c r="AT214" s="129"/>
      <c r="AU214" s="129"/>
      <c r="AY214" s="13"/>
      <c r="BE214" s="130"/>
      <c r="BF214" s="130"/>
      <c r="BG214" s="130"/>
      <c r="BH214" s="130"/>
      <c r="BI214" s="130"/>
      <c r="BJ214" s="13"/>
      <c r="BK214" s="130"/>
      <c r="BL214" s="13"/>
      <c r="BM214" s="129"/>
    </row>
    <row r="215" spans="2:65" s="631" customFormat="1" ht="27.45" customHeight="1" x14ac:dyDescent="0.2">
      <c r="B215" s="118"/>
      <c r="C215" s="1234" t="s">
        <v>5205</v>
      </c>
      <c r="D215" s="1235"/>
      <c r="E215" s="1235"/>
      <c r="F215" s="1235"/>
      <c r="G215" s="1235"/>
      <c r="H215" s="1235"/>
      <c r="I215" s="1235"/>
      <c r="J215" s="1236"/>
      <c r="K215" s="121"/>
      <c r="L215" s="24"/>
      <c r="M215" s="125"/>
      <c r="N215" s="126"/>
      <c r="O215" s="127"/>
      <c r="P215" s="127"/>
      <c r="Q215" s="127"/>
      <c r="R215" s="127"/>
      <c r="S215" s="127"/>
      <c r="T215" s="128"/>
      <c r="W215" s="199"/>
      <c r="X215" s="207" t="s">
        <v>6243</v>
      </c>
      <c r="Y215" s="207"/>
      <c r="Z215" s="208" t="s">
        <v>6235</v>
      </c>
      <c r="AA215" s="209" t="s">
        <v>6236</v>
      </c>
      <c r="AB215" s="210" t="s">
        <v>1194</v>
      </c>
      <c r="AC215" s="211">
        <v>12</v>
      </c>
      <c r="AD215" s="212">
        <v>12.76</v>
      </c>
      <c r="AE215" s="214">
        <f t="shared" si="33"/>
        <v>153.12</v>
      </c>
      <c r="AF215" s="956" t="s">
        <v>6229</v>
      </c>
      <c r="AG215" s="409"/>
      <c r="AH215" s="406"/>
      <c r="AI215" s="408"/>
      <c r="AR215" s="129"/>
      <c r="AT215" s="129"/>
      <c r="AU215" s="129"/>
      <c r="AY215" s="13"/>
      <c r="BE215" s="130"/>
      <c r="BF215" s="130"/>
      <c r="BG215" s="130"/>
      <c r="BH215" s="130"/>
      <c r="BI215" s="130"/>
      <c r="BJ215" s="13"/>
      <c r="BK215" s="130"/>
      <c r="BL215" s="13"/>
      <c r="BM215" s="129"/>
    </row>
    <row r="216" spans="2:65" s="631" customFormat="1" ht="16.95" customHeight="1" x14ac:dyDescent="0.2">
      <c r="B216" s="118"/>
      <c r="C216" s="1234" t="s">
        <v>5205</v>
      </c>
      <c r="D216" s="1235"/>
      <c r="E216" s="1235"/>
      <c r="F216" s="1235"/>
      <c r="G216" s="1235"/>
      <c r="H216" s="1235"/>
      <c r="I216" s="1235"/>
      <c r="J216" s="1236"/>
      <c r="K216" s="121"/>
      <c r="L216" s="24"/>
      <c r="M216" s="125"/>
      <c r="N216" s="126"/>
      <c r="O216" s="127"/>
      <c r="P216" s="127"/>
      <c r="Q216" s="127"/>
      <c r="R216" s="127"/>
      <c r="S216" s="127"/>
      <c r="T216" s="128"/>
      <c r="W216" s="199"/>
      <c r="X216" s="207" t="s">
        <v>6244</v>
      </c>
      <c r="Y216" s="207"/>
      <c r="Z216" s="208" t="s">
        <v>6237</v>
      </c>
      <c r="AA216" s="209" t="s">
        <v>6238</v>
      </c>
      <c r="AB216" s="210" t="s">
        <v>1194</v>
      </c>
      <c r="AC216" s="211">
        <v>2</v>
      </c>
      <c r="AD216" s="212">
        <v>6.54</v>
      </c>
      <c r="AE216" s="214">
        <f t="shared" si="33"/>
        <v>13.08</v>
      </c>
      <c r="AF216" s="956" t="s">
        <v>6229</v>
      </c>
      <c r="AG216" s="409"/>
      <c r="AH216" s="406"/>
      <c r="AI216" s="408"/>
      <c r="AR216" s="129"/>
      <c r="AT216" s="129"/>
      <c r="AU216" s="129"/>
      <c r="AY216" s="13"/>
      <c r="BE216" s="130"/>
      <c r="BF216" s="130"/>
      <c r="BG216" s="130"/>
      <c r="BH216" s="130"/>
      <c r="BI216" s="130"/>
      <c r="BJ216" s="13"/>
      <c r="BK216" s="130"/>
      <c r="BL216" s="13"/>
      <c r="BM216" s="129"/>
    </row>
    <row r="217" spans="2:65" s="631" customFormat="1" ht="16.2" customHeight="1" x14ac:dyDescent="0.2">
      <c r="B217" s="118"/>
      <c r="C217" s="1234" t="s">
        <v>5205</v>
      </c>
      <c r="D217" s="1235"/>
      <c r="E217" s="1235"/>
      <c r="F217" s="1235"/>
      <c r="G217" s="1235"/>
      <c r="H217" s="1235"/>
      <c r="I217" s="1235"/>
      <c r="J217" s="1236"/>
      <c r="K217" s="121"/>
      <c r="L217" s="24"/>
      <c r="M217" s="125"/>
      <c r="N217" s="126"/>
      <c r="O217" s="127"/>
      <c r="P217" s="127"/>
      <c r="Q217" s="127"/>
      <c r="R217" s="127"/>
      <c r="S217" s="127"/>
      <c r="T217" s="128"/>
      <c r="W217" s="199"/>
      <c r="X217" s="1129" t="s">
        <v>6245</v>
      </c>
      <c r="Y217" s="1129"/>
      <c r="Z217" s="642" t="s">
        <v>6239</v>
      </c>
      <c r="AA217" s="643" t="s">
        <v>6240</v>
      </c>
      <c r="AB217" s="644" t="s">
        <v>1194</v>
      </c>
      <c r="AC217" s="645">
        <v>2</v>
      </c>
      <c r="AD217" s="646">
        <v>9.8000000000000007</v>
      </c>
      <c r="AE217" s="1128">
        <f t="shared" si="33"/>
        <v>19.600000000000001</v>
      </c>
      <c r="AF217" s="956" t="s">
        <v>6229</v>
      </c>
      <c r="AG217" s="409"/>
      <c r="AH217" s="406"/>
      <c r="AI217" s="408"/>
      <c r="AR217" s="129"/>
      <c r="AT217" s="129"/>
      <c r="AU217" s="129"/>
      <c r="AY217" s="13"/>
      <c r="BE217" s="130"/>
      <c r="BF217" s="130"/>
      <c r="BG217" s="130"/>
      <c r="BH217" s="130"/>
      <c r="BI217" s="130"/>
      <c r="BJ217" s="13"/>
      <c r="BK217" s="130"/>
      <c r="BL217" s="13"/>
      <c r="BM217" s="129"/>
    </row>
    <row r="218" spans="2:65" s="1" customFormat="1" ht="16.5" customHeight="1" x14ac:dyDescent="0.2">
      <c r="B218" s="118"/>
      <c r="C218" s="205" t="s">
        <v>351</v>
      </c>
      <c r="D218" s="119" t="s">
        <v>231</v>
      </c>
      <c r="E218" s="120" t="s">
        <v>1029</v>
      </c>
      <c r="F218" s="121" t="s">
        <v>1030</v>
      </c>
      <c r="G218" s="122" t="s">
        <v>292</v>
      </c>
      <c r="H218" s="206">
        <v>422</v>
      </c>
      <c r="I218" s="124">
        <v>1.52</v>
      </c>
      <c r="J218" s="124">
        <f t="shared" si="22"/>
        <v>641.44000000000005</v>
      </c>
      <c r="K218" s="121" t="s">
        <v>1</v>
      </c>
      <c r="L218" s="24"/>
      <c r="M218" s="125" t="s">
        <v>1</v>
      </c>
      <c r="N218" s="126" t="s">
        <v>32</v>
      </c>
      <c r="O218" s="127">
        <v>0</v>
      </c>
      <c r="P218" s="127">
        <f t="shared" si="23"/>
        <v>0</v>
      </c>
      <c r="Q218" s="127">
        <v>0</v>
      </c>
      <c r="R218" s="127">
        <f t="shared" si="24"/>
        <v>0</v>
      </c>
      <c r="S218" s="127">
        <v>0</v>
      </c>
      <c r="T218" s="128">
        <f t="shared" si="25"/>
        <v>0</v>
      </c>
      <c r="W218" s="199"/>
      <c r="X218" s="205" t="s">
        <v>351</v>
      </c>
      <c r="Y218" s="119" t="s">
        <v>231</v>
      </c>
      <c r="Z218" s="120" t="s">
        <v>1029</v>
      </c>
      <c r="AA218" s="121" t="s">
        <v>1030</v>
      </c>
      <c r="AB218" s="122" t="s">
        <v>292</v>
      </c>
      <c r="AC218" s="206">
        <f>422+24+275.1</f>
        <v>721.1</v>
      </c>
      <c r="AD218" s="124">
        <v>1.52</v>
      </c>
      <c r="AE218" s="200">
        <f t="shared" si="26"/>
        <v>1096.07</v>
      </c>
      <c r="AF218" s="956" t="s">
        <v>6230</v>
      </c>
      <c r="AG218" s="409"/>
      <c r="AH218" s="406"/>
      <c r="AI218" s="408"/>
      <c r="AR218" s="129" t="s">
        <v>258</v>
      </c>
      <c r="AT218" s="129" t="s">
        <v>231</v>
      </c>
      <c r="AU218" s="129" t="s">
        <v>76</v>
      </c>
      <c r="AY218" s="13" t="s">
        <v>228</v>
      </c>
      <c r="BE218" s="130">
        <f t="shared" si="27"/>
        <v>0</v>
      </c>
      <c r="BF218" s="130">
        <f t="shared" si="28"/>
        <v>641.44000000000005</v>
      </c>
      <c r="BG218" s="130">
        <f t="shared" si="29"/>
        <v>0</v>
      </c>
      <c r="BH218" s="130">
        <f t="shared" si="30"/>
        <v>0</v>
      </c>
      <c r="BI218" s="130">
        <f t="shared" si="31"/>
        <v>0</v>
      </c>
      <c r="BJ218" s="13" t="s">
        <v>76</v>
      </c>
      <c r="BK218" s="130">
        <f t="shared" si="32"/>
        <v>641.44000000000005</v>
      </c>
      <c r="BL218" s="13" t="s">
        <v>258</v>
      </c>
      <c r="BM218" s="129" t="s">
        <v>472</v>
      </c>
    </row>
    <row r="219" spans="2:65" s="1" customFormat="1" ht="16.5" customHeight="1" x14ac:dyDescent="0.2">
      <c r="B219" s="118"/>
      <c r="C219" s="205" t="s">
        <v>473</v>
      </c>
      <c r="D219" s="119" t="s">
        <v>231</v>
      </c>
      <c r="E219" s="120" t="s">
        <v>1031</v>
      </c>
      <c r="F219" s="121" t="s">
        <v>1032</v>
      </c>
      <c r="G219" s="122" t="s">
        <v>292</v>
      </c>
      <c r="H219" s="206">
        <v>56</v>
      </c>
      <c r="I219" s="124">
        <v>3.17</v>
      </c>
      <c r="J219" s="124">
        <f t="shared" si="22"/>
        <v>177.52</v>
      </c>
      <c r="K219" s="121" t="s">
        <v>1</v>
      </c>
      <c r="L219" s="24"/>
      <c r="M219" s="125" t="s">
        <v>1</v>
      </c>
      <c r="N219" s="126" t="s">
        <v>32</v>
      </c>
      <c r="O219" s="127">
        <v>0</v>
      </c>
      <c r="P219" s="127">
        <f t="shared" si="23"/>
        <v>0</v>
      </c>
      <c r="Q219" s="127">
        <v>0</v>
      </c>
      <c r="R219" s="127">
        <f t="shared" si="24"/>
        <v>0</v>
      </c>
      <c r="S219" s="127">
        <v>0</v>
      </c>
      <c r="T219" s="128">
        <f t="shared" si="25"/>
        <v>0</v>
      </c>
      <c r="W219" s="199"/>
      <c r="X219" s="205" t="s">
        <v>473</v>
      </c>
      <c r="Y219" s="119" t="s">
        <v>231</v>
      </c>
      <c r="Z219" s="120" t="s">
        <v>1031</v>
      </c>
      <c r="AA219" s="121" t="s">
        <v>1032</v>
      </c>
      <c r="AB219" s="122" t="s">
        <v>292</v>
      </c>
      <c r="AC219" s="206">
        <f>56-1+11.5</f>
        <v>66.5</v>
      </c>
      <c r="AD219" s="124">
        <v>3.17</v>
      </c>
      <c r="AE219" s="200">
        <f t="shared" si="26"/>
        <v>210.81</v>
      </c>
      <c r="AF219" s="956" t="s">
        <v>6230</v>
      </c>
      <c r="AG219" s="409"/>
      <c r="AH219" s="406"/>
      <c r="AI219" s="408"/>
      <c r="AR219" s="129" t="s">
        <v>258</v>
      </c>
      <c r="AT219" s="129" t="s">
        <v>231</v>
      </c>
      <c r="AU219" s="129" t="s">
        <v>76</v>
      </c>
      <c r="AY219" s="13" t="s">
        <v>228</v>
      </c>
      <c r="BE219" s="130">
        <f t="shared" si="27"/>
        <v>0</v>
      </c>
      <c r="BF219" s="130">
        <f t="shared" si="28"/>
        <v>177.52</v>
      </c>
      <c r="BG219" s="130">
        <f t="shared" si="29"/>
        <v>0</v>
      </c>
      <c r="BH219" s="130">
        <f t="shared" si="30"/>
        <v>0</v>
      </c>
      <c r="BI219" s="130">
        <f t="shared" si="31"/>
        <v>0</v>
      </c>
      <c r="BJ219" s="13" t="s">
        <v>76</v>
      </c>
      <c r="BK219" s="130">
        <f t="shared" si="32"/>
        <v>177.52</v>
      </c>
      <c r="BL219" s="13" t="s">
        <v>258</v>
      </c>
      <c r="BM219" s="129" t="s">
        <v>476</v>
      </c>
    </row>
    <row r="220" spans="2:65" s="1" customFormat="1" ht="16.5" customHeight="1" x14ac:dyDescent="0.2">
      <c r="B220" s="118"/>
      <c r="C220" s="205" t="s">
        <v>354</v>
      </c>
      <c r="D220" s="119" t="s">
        <v>231</v>
      </c>
      <c r="E220" s="120" t="s">
        <v>1033</v>
      </c>
      <c r="F220" s="121" t="s">
        <v>1034</v>
      </c>
      <c r="G220" s="122" t="s">
        <v>1035</v>
      </c>
      <c r="H220" s="206">
        <v>400</v>
      </c>
      <c r="I220" s="124">
        <v>6.79</v>
      </c>
      <c r="J220" s="124">
        <f t="shared" si="22"/>
        <v>2716</v>
      </c>
      <c r="K220" s="121" t="s">
        <v>1</v>
      </c>
      <c r="L220" s="24"/>
      <c r="M220" s="125" t="s">
        <v>1</v>
      </c>
      <c r="N220" s="126" t="s">
        <v>32</v>
      </c>
      <c r="O220" s="127">
        <v>0</v>
      </c>
      <c r="P220" s="127">
        <f t="shared" si="23"/>
        <v>0</v>
      </c>
      <c r="Q220" s="127">
        <v>0</v>
      </c>
      <c r="R220" s="127">
        <f t="shared" si="24"/>
        <v>0</v>
      </c>
      <c r="S220" s="127">
        <v>0</v>
      </c>
      <c r="T220" s="128">
        <f t="shared" si="25"/>
        <v>0</v>
      </c>
      <c r="W220" s="199"/>
      <c r="X220" s="205" t="s">
        <v>354</v>
      </c>
      <c r="Y220" s="119" t="s">
        <v>231</v>
      </c>
      <c r="Z220" s="120" t="s">
        <v>1033</v>
      </c>
      <c r="AA220" s="121" t="s">
        <v>1034</v>
      </c>
      <c r="AB220" s="122" t="s">
        <v>1035</v>
      </c>
      <c r="AC220" s="206">
        <f>400+25</f>
        <v>425</v>
      </c>
      <c r="AD220" s="124">
        <v>6.79</v>
      </c>
      <c r="AE220" s="200">
        <f t="shared" si="26"/>
        <v>2885.75</v>
      </c>
      <c r="AF220" s="956" t="s">
        <v>6229</v>
      </c>
      <c r="AG220" s="409"/>
      <c r="AH220" s="406"/>
      <c r="AI220" s="408"/>
      <c r="AR220" s="129" t="s">
        <v>258</v>
      </c>
      <c r="AT220" s="129" t="s">
        <v>231</v>
      </c>
      <c r="AU220" s="129" t="s">
        <v>76</v>
      </c>
      <c r="AY220" s="13" t="s">
        <v>228</v>
      </c>
      <c r="BE220" s="130">
        <f t="shared" si="27"/>
        <v>0</v>
      </c>
      <c r="BF220" s="130">
        <f t="shared" si="28"/>
        <v>2716</v>
      </c>
      <c r="BG220" s="130">
        <f t="shared" si="29"/>
        <v>0</v>
      </c>
      <c r="BH220" s="130">
        <f t="shared" si="30"/>
        <v>0</v>
      </c>
      <c r="BI220" s="130">
        <f t="shared" si="31"/>
        <v>0</v>
      </c>
      <c r="BJ220" s="13" t="s">
        <v>76</v>
      </c>
      <c r="BK220" s="130">
        <f t="shared" si="32"/>
        <v>2716</v>
      </c>
      <c r="BL220" s="13" t="s">
        <v>258</v>
      </c>
      <c r="BM220" s="129" t="s">
        <v>479</v>
      </c>
    </row>
    <row r="221" spans="2:65" s="633" customFormat="1" ht="21.45" customHeight="1" x14ac:dyDescent="0.2">
      <c r="B221" s="118"/>
      <c r="C221" s="1234" t="s">
        <v>5205</v>
      </c>
      <c r="D221" s="1235"/>
      <c r="E221" s="1235"/>
      <c r="F221" s="1235"/>
      <c r="G221" s="1235"/>
      <c r="H221" s="1235"/>
      <c r="I221" s="1235"/>
      <c r="J221" s="1236"/>
      <c r="K221" s="121"/>
      <c r="L221" s="24"/>
      <c r="M221" s="125"/>
      <c r="N221" s="126"/>
      <c r="O221" s="127"/>
      <c r="P221" s="127"/>
      <c r="Q221" s="127"/>
      <c r="R221" s="127"/>
      <c r="S221" s="127"/>
      <c r="T221" s="128"/>
      <c r="W221" s="199"/>
      <c r="X221" s="207" t="s">
        <v>5420</v>
      </c>
      <c r="Y221" s="207" t="s">
        <v>231</v>
      </c>
      <c r="Z221" s="208" t="s">
        <v>6248</v>
      </c>
      <c r="AA221" s="209" t="s">
        <v>6249</v>
      </c>
      <c r="AB221" s="210" t="s">
        <v>1194</v>
      </c>
      <c r="AC221" s="211">
        <v>5</v>
      </c>
      <c r="AD221" s="212">
        <v>5.12</v>
      </c>
      <c r="AE221" s="214">
        <v>25.6</v>
      </c>
      <c r="AF221" s="956" t="s">
        <v>6258</v>
      </c>
      <c r="AG221" s="409"/>
      <c r="AH221" s="406"/>
      <c r="AI221" s="408"/>
      <c r="AR221" s="129"/>
      <c r="AT221" s="129"/>
      <c r="AU221" s="129"/>
      <c r="AY221" s="13"/>
      <c r="BE221" s="130"/>
      <c r="BF221" s="130"/>
      <c r="BG221" s="130"/>
      <c r="BH221" s="130"/>
      <c r="BI221" s="130"/>
      <c r="BJ221" s="13"/>
      <c r="BK221" s="130"/>
      <c r="BL221" s="13"/>
      <c r="BM221" s="129"/>
    </row>
    <row r="222" spans="2:65" s="633" customFormat="1" ht="28.2" customHeight="1" x14ac:dyDescent="0.2">
      <c r="B222" s="118"/>
      <c r="C222" s="1234" t="s">
        <v>5205</v>
      </c>
      <c r="D222" s="1235"/>
      <c r="E222" s="1235"/>
      <c r="F222" s="1235"/>
      <c r="G222" s="1235"/>
      <c r="H222" s="1235"/>
      <c r="I222" s="1235"/>
      <c r="J222" s="1236"/>
      <c r="K222" s="121"/>
      <c r="L222" s="24"/>
      <c r="M222" s="125"/>
      <c r="N222" s="126"/>
      <c r="O222" s="127"/>
      <c r="P222" s="127"/>
      <c r="Q222" s="127"/>
      <c r="R222" s="127"/>
      <c r="S222" s="127"/>
      <c r="T222" s="128"/>
      <c r="W222" s="199"/>
      <c r="X222" s="1129" t="s">
        <v>6059</v>
      </c>
      <c r="Y222" s="1129" t="s">
        <v>231</v>
      </c>
      <c r="Z222" s="642" t="s">
        <v>6250</v>
      </c>
      <c r="AA222" s="643" t="s">
        <v>6251</v>
      </c>
      <c r="AB222" s="644" t="s">
        <v>1194</v>
      </c>
      <c r="AC222" s="645">
        <v>3</v>
      </c>
      <c r="AD222" s="646">
        <v>30.54</v>
      </c>
      <c r="AE222" s="1128">
        <v>91.62</v>
      </c>
      <c r="AF222" s="956" t="s">
        <v>6258</v>
      </c>
      <c r="AG222" s="409"/>
      <c r="AH222" s="406"/>
      <c r="AI222" s="408"/>
      <c r="AR222" s="129"/>
      <c r="AT222" s="129"/>
      <c r="AU222" s="129"/>
      <c r="AY222" s="13"/>
      <c r="BE222" s="130"/>
      <c r="BF222" s="130"/>
      <c r="BG222" s="130"/>
      <c r="BH222" s="130"/>
      <c r="BI222" s="130"/>
      <c r="BJ222" s="13"/>
      <c r="BK222" s="130"/>
      <c r="BL222" s="13"/>
      <c r="BM222" s="129"/>
    </row>
    <row r="223" spans="2:65" s="633" customFormat="1" ht="28.2" customHeight="1" x14ac:dyDescent="0.2">
      <c r="B223" s="118"/>
      <c r="C223" s="1234" t="s">
        <v>5205</v>
      </c>
      <c r="D223" s="1235"/>
      <c r="E223" s="1235"/>
      <c r="F223" s="1235"/>
      <c r="G223" s="1235"/>
      <c r="H223" s="1235"/>
      <c r="I223" s="1235"/>
      <c r="J223" s="1236"/>
      <c r="K223" s="121"/>
      <c r="L223" s="24"/>
      <c r="M223" s="125"/>
      <c r="N223" s="126"/>
      <c r="O223" s="127"/>
      <c r="P223" s="127"/>
      <c r="Q223" s="127"/>
      <c r="R223" s="127"/>
      <c r="S223" s="127"/>
      <c r="T223" s="128"/>
      <c r="W223" s="199"/>
      <c r="X223" s="1129" t="s">
        <v>6060</v>
      </c>
      <c r="Y223" s="1129" t="s">
        <v>231</v>
      </c>
      <c r="Z223" s="642" t="s">
        <v>6252</v>
      </c>
      <c r="AA223" s="643" t="s">
        <v>6253</v>
      </c>
      <c r="AB223" s="644" t="s">
        <v>1194</v>
      </c>
      <c r="AC223" s="645">
        <v>2</v>
      </c>
      <c r="AD223" s="646">
        <v>34.56</v>
      </c>
      <c r="AE223" s="1128">
        <v>69.12</v>
      </c>
      <c r="AF223" s="956" t="s">
        <v>6258</v>
      </c>
      <c r="AG223" s="409"/>
      <c r="AH223" s="406"/>
      <c r="AI223" s="408"/>
      <c r="AR223" s="129"/>
      <c r="AT223" s="129"/>
      <c r="AU223" s="129"/>
      <c r="AY223" s="13"/>
      <c r="BE223" s="130"/>
      <c r="BF223" s="130"/>
      <c r="BG223" s="130"/>
      <c r="BH223" s="130"/>
      <c r="BI223" s="130"/>
      <c r="BJ223" s="13"/>
      <c r="BK223" s="130"/>
      <c r="BL223" s="13"/>
      <c r="BM223" s="129"/>
    </row>
    <row r="224" spans="2:65" s="633" customFormat="1" ht="19.95" customHeight="1" x14ac:dyDescent="0.2">
      <c r="B224" s="118"/>
      <c r="C224" s="1234" t="s">
        <v>5205</v>
      </c>
      <c r="D224" s="1235"/>
      <c r="E224" s="1235"/>
      <c r="F224" s="1235"/>
      <c r="G224" s="1235"/>
      <c r="H224" s="1235"/>
      <c r="I224" s="1235"/>
      <c r="J224" s="1236"/>
      <c r="K224" s="121"/>
      <c r="L224" s="24"/>
      <c r="M224" s="125"/>
      <c r="N224" s="126"/>
      <c r="O224" s="127"/>
      <c r="P224" s="127"/>
      <c r="Q224" s="127"/>
      <c r="R224" s="127"/>
      <c r="S224" s="127"/>
      <c r="T224" s="128"/>
      <c r="W224" s="199"/>
      <c r="X224" s="207" t="s">
        <v>6061</v>
      </c>
      <c r="Y224" s="207" t="s">
        <v>231</v>
      </c>
      <c r="Z224" s="208" t="s">
        <v>6254</v>
      </c>
      <c r="AA224" s="209" t="s">
        <v>6255</v>
      </c>
      <c r="AB224" s="210" t="s">
        <v>1194</v>
      </c>
      <c r="AC224" s="211">
        <v>5</v>
      </c>
      <c r="AD224" s="212">
        <v>8.3000000000000007</v>
      </c>
      <c r="AE224" s="214">
        <v>41.5</v>
      </c>
      <c r="AF224" s="956" t="s">
        <v>6258</v>
      </c>
      <c r="AG224" s="409"/>
      <c r="AH224" s="406"/>
      <c r="AI224" s="408"/>
      <c r="AR224" s="129"/>
      <c r="AT224" s="129"/>
      <c r="AU224" s="129"/>
      <c r="AY224" s="13"/>
      <c r="BE224" s="130"/>
      <c r="BF224" s="130"/>
      <c r="BG224" s="130"/>
      <c r="BH224" s="130"/>
      <c r="BI224" s="130"/>
      <c r="BJ224" s="13"/>
      <c r="BK224" s="130"/>
      <c r="BL224" s="13"/>
      <c r="BM224" s="129"/>
    </row>
    <row r="225" spans="2:65" s="633" customFormat="1" ht="19.95" customHeight="1" x14ac:dyDescent="0.2">
      <c r="B225" s="118"/>
      <c r="C225" s="1234" t="s">
        <v>5205</v>
      </c>
      <c r="D225" s="1235"/>
      <c r="E225" s="1235"/>
      <c r="F225" s="1235"/>
      <c r="G225" s="1235"/>
      <c r="H225" s="1235"/>
      <c r="I225" s="1235"/>
      <c r="J225" s="1236"/>
      <c r="K225" s="121"/>
      <c r="L225" s="24"/>
      <c r="M225" s="125"/>
      <c r="N225" s="126"/>
      <c r="O225" s="127"/>
      <c r="P225" s="127"/>
      <c r="Q225" s="127"/>
      <c r="R225" s="127"/>
      <c r="S225" s="127"/>
      <c r="T225" s="128"/>
      <c r="W225" s="199"/>
      <c r="X225" s="207" t="s">
        <v>6062</v>
      </c>
      <c r="Y225" s="207" t="s">
        <v>231</v>
      </c>
      <c r="Z225" s="208" t="s">
        <v>6256</v>
      </c>
      <c r="AA225" s="209" t="s">
        <v>6257</v>
      </c>
      <c r="AB225" s="210" t="s">
        <v>1194</v>
      </c>
      <c r="AC225" s="211">
        <v>5</v>
      </c>
      <c r="AD225" s="212">
        <v>105</v>
      </c>
      <c r="AE225" s="214">
        <v>525</v>
      </c>
      <c r="AF225" s="956" t="s">
        <v>6258</v>
      </c>
      <c r="AG225" s="409"/>
      <c r="AH225" s="406"/>
      <c r="AI225" s="408"/>
      <c r="AR225" s="129"/>
      <c r="AT225" s="129"/>
      <c r="AU225" s="129"/>
      <c r="AY225" s="13"/>
      <c r="BE225" s="130"/>
      <c r="BF225" s="130"/>
      <c r="BG225" s="130"/>
      <c r="BH225" s="130"/>
      <c r="BI225" s="130"/>
      <c r="BJ225" s="13"/>
      <c r="BK225" s="130"/>
      <c r="BL225" s="13"/>
      <c r="BM225" s="129"/>
    </row>
    <row r="226" spans="2:65" s="1" customFormat="1" ht="16.5" customHeight="1" x14ac:dyDescent="0.2">
      <c r="B226" s="118"/>
      <c r="C226" s="205" t="s">
        <v>480</v>
      </c>
      <c r="D226" s="119" t="s">
        <v>231</v>
      </c>
      <c r="E226" s="120" t="s">
        <v>578</v>
      </c>
      <c r="F226" s="121" t="s">
        <v>1036</v>
      </c>
      <c r="G226" s="122" t="s">
        <v>570</v>
      </c>
      <c r="H226" s="206">
        <v>138.67500000000001</v>
      </c>
      <c r="I226" s="124">
        <v>4.93</v>
      </c>
      <c r="J226" s="124">
        <f t="shared" si="22"/>
        <v>683.67</v>
      </c>
      <c r="K226" s="121" t="s">
        <v>1</v>
      </c>
      <c r="L226" s="24"/>
      <c r="M226" s="125" t="s">
        <v>1</v>
      </c>
      <c r="N226" s="126" t="s">
        <v>32</v>
      </c>
      <c r="O226" s="127">
        <v>0</v>
      </c>
      <c r="P226" s="127">
        <f t="shared" si="23"/>
        <v>0</v>
      </c>
      <c r="Q226" s="127">
        <v>0</v>
      </c>
      <c r="R226" s="127">
        <f t="shared" si="24"/>
        <v>0</v>
      </c>
      <c r="S226" s="127">
        <v>0</v>
      </c>
      <c r="T226" s="128">
        <f t="shared" si="25"/>
        <v>0</v>
      </c>
      <c r="W226" s="199"/>
      <c r="X226" s="205" t="s">
        <v>480</v>
      </c>
      <c r="Y226" s="119" t="s">
        <v>231</v>
      </c>
      <c r="Z226" s="120" t="s">
        <v>578</v>
      </c>
      <c r="AA226" s="121" t="s">
        <v>1036</v>
      </c>
      <c r="AB226" s="122" t="s">
        <v>570</v>
      </c>
      <c r="AC226" s="206">
        <f>138.675+5.693+60.212+7.535</f>
        <v>212.11500000000004</v>
      </c>
      <c r="AD226" s="124">
        <v>4.93</v>
      </c>
      <c r="AE226" s="200">
        <f t="shared" si="26"/>
        <v>1045.73</v>
      </c>
      <c r="AF226" s="956" t="s">
        <v>6259</v>
      </c>
      <c r="AG226" s="409"/>
      <c r="AH226" s="406"/>
      <c r="AI226" s="408"/>
      <c r="AR226" s="129" t="s">
        <v>258</v>
      </c>
      <c r="AT226" s="129" t="s">
        <v>231</v>
      </c>
      <c r="AU226" s="129" t="s">
        <v>76</v>
      </c>
      <c r="AY226" s="13" t="s">
        <v>228</v>
      </c>
      <c r="BE226" s="130">
        <f t="shared" si="27"/>
        <v>0</v>
      </c>
      <c r="BF226" s="130">
        <f t="shared" si="28"/>
        <v>683.67</v>
      </c>
      <c r="BG226" s="130">
        <f t="shared" si="29"/>
        <v>0</v>
      </c>
      <c r="BH226" s="130">
        <f t="shared" si="30"/>
        <v>0</v>
      </c>
      <c r="BI226" s="130">
        <f t="shared" si="31"/>
        <v>0</v>
      </c>
      <c r="BJ226" s="13" t="s">
        <v>76</v>
      </c>
      <c r="BK226" s="130">
        <f t="shared" si="32"/>
        <v>683.67</v>
      </c>
      <c r="BL226" s="13" t="s">
        <v>258</v>
      </c>
      <c r="BM226" s="129" t="s">
        <v>483</v>
      </c>
    </row>
    <row r="227" spans="2:65" s="11" customFormat="1" ht="22.95" customHeight="1" x14ac:dyDescent="0.25">
      <c r="B227" s="106"/>
      <c r="D227" s="107" t="s">
        <v>57</v>
      </c>
      <c r="E227" s="116" t="s">
        <v>581</v>
      </c>
      <c r="F227" s="116" t="s">
        <v>582</v>
      </c>
      <c r="J227" s="117">
        <f>BK227</f>
        <v>18166.71</v>
      </c>
      <c r="L227" s="106"/>
      <c r="M227" s="110"/>
      <c r="N227" s="111"/>
      <c r="O227" s="111"/>
      <c r="P227" s="112">
        <f>SUM(P228:P252)</f>
        <v>0</v>
      </c>
      <c r="Q227" s="111"/>
      <c r="R227" s="112">
        <f>SUM(R228:R252)</f>
        <v>0</v>
      </c>
      <c r="S227" s="111"/>
      <c r="T227" s="113">
        <f>SUM(T228:T252)</f>
        <v>0</v>
      </c>
      <c r="W227" s="195"/>
      <c r="X227" s="111"/>
      <c r="Y227" s="196" t="s">
        <v>57</v>
      </c>
      <c r="Z227" s="201" t="s">
        <v>581</v>
      </c>
      <c r="AA227" s="201" t="s">
        <v>582</v>
      </c>
      <c r="AB227" s="111"/>
      <c r="AC227" s="111"/>
      <c r="AD227" s="111"/>
      <c r="AE227" s="202">
        <f>SUM(AE228:AE252)</f>
        <v>18371.369999999995</v>
      </c>
      <c r="AF227" s="956"/>
      <c r="AG227" s="409"/>
      <c r="AH227" s="406"/>
      <c r="AI227" s="408"/>
      <c r="AR227" s="107" t="s">
        <v>76</v>
      </c>
      <c r="AT227" s="114" t="s">
        <v>57</v>
      </c>
      <c r="AU227" s="114" t="s">
        <v>63</v>
      </c>
      <c r="AY227" s="107" t="s">
        <v>228</v>
      </c>
      <c r="BK227" s="115">
        <f>SUM(BK228:BK252)</f>
        <v>18166.71</v>
      </c>
    </row>
    <row r="228" spans="2:65" s="1" customFormat="1" ht="16.5" customHeight="1" x14ac:dyDescent="0.2">
      <c r="B228" s="118"/>
      <c r="C228" s="119" t="s">
        <v>358</v>
      </c>
      <c r="D228" s="119" t="s">
        <v>231</v>
      </c>
      <c r="E228" s="120" t="s">
        <v>1037</v>
      </c>
      <c r="F228" s="121" t="s">
        <v>1038</v>
      </c>
      <c r="G228" s="122" t="s">
        <v>243</v>
      </c>
      <c r="H228" s="123">
        <v>5</v>
      </c>
      <c r="I228" s="124">
        <v>72.760000000000005</v>
      </c>
      <c r="J228" s="124">
        <f t="shared" ref="J228:J252" si="34">ROUND(I228*H228,2)</f>
        <v>363.8</v>
      </c>
      <c r="K228" s="121" t="s">
        <v>1</v>
      </c>
      <c r="L228" s="24"/>
      <c r="M228" s="125" t="s">
        <v>1</v>
      </c>
      <c r="N228" s="126" t="s">
        <v>32</v>
      </c>
      <c r="O228" s="127">
        <v>0</v>
      </c>
      <c r="P228" s="127">
        <f t="shared" ref="P228:P252" si="35">O228*H228</f>
        <v>0</v>
      </c>
      <c r="Q228" s="127">
        <v>0</v>
      </c>
      <c r="R228" s="127">
        <f t="shared" ref="R228:R252" si="36">Q228*H228</f>
        <v>0</v>
      </c>
      <c r="S228" s="127">
        <v>0</v>
      </c>
      <c r="T228" s="128">
        <f t="shared" ref="T228:T252" si="37">S228*H228</f>
        <v>0</v>
      </c>
      <c r="W228" s="199"/>
      <c r="X228" s="119" t="s">
        <v>358</v>
      </c>
      <c r="Y228" s="119" t="s">
        <v>231</v>
      </c>
      <c r="Z228" s="120" t="s">
        <v>1037</v>
      </c>
      <c r="AA228" s="121" t="s">
        <v>1038</v>
      </c>
      <c r="AB228" s="122" t="s">
        <v>243</v>
      </c>
      <c r="AC228" s="123">
        <v>5</v>
      </c>
      <c r="AD228" s="124">
        <v>72.760000000000005</v>
      </c>
      <c r="AE228" s="200">
        <f t="shared" ref="AE228:AE252" si="38">ROUND(AD228*AC228,2)</f>
        <v>363.8</v>
      </c>
      <c r="AF228" s="956"/>
      <c r="AG228" s="409"/>
      <c r="AH228" s="406"/>
      <c r="AI228" s="408"/>
      <c r="AR228" s="129" t="s">
        <v>258</v>
      </c>
      <c r="AT228" s="129" t="s">
        <v>231</v>
      </c>
      <c r="AU228" s="129" t="s">
        <v>76</v>
      </c>
      <c r="AY228" s="13" t="s">
        <v>228</v>
      </c>
      <c r="BE228" s="130">
        <f t="shared" ref="BE228:BE252" si="39">IF(N228="základná",J228,0)</f>
        <v>0</v>
      </c>
      <c r="BF228" s="130">
        <f t="shared" ref="BF228:BF252" si="40">IF(N228="znížená",J228,0)</f>
        <v>363.8</v>
      </c>
      <c r="BG228" s="130">
        <f t="shared" ref="BG228:BG252" si="41">IF(N228="zákl. prenesená",J228,0)</f>
        <v>0</v>
      </c>
      <c r="BH228" s="130">
        <f t="shared" ref="BH228:BH252" si="42">IF(N228="zníž. prenesená",J228,0)</f>
        <v>0</v>
      </c>
      <c r="BI228" s="130">
        <f t="shared" ref="BI228:BI252" si="43">IF(N228="nulová",J228,0)</f>
        <v>0</v>
      </c>
      <c r="BJ228" s="13" t="s">
        <v>76</v>
      </c>
      <c r="BK228" s="130">
        <f t="shared" ref="BK228:BK252" si="44">ROUND(I228*H228,2)</f>
        <v>363.8</v>
      </c>
      <c r="BL228" s="13" t="s">
        <v>258</v>
      </c>
      <c r="BM228" s="129" t="s">
        <v>486</v>
      </c>
    </row>
    <row r="229" spans="2:65" s="1" customFormat="1" ht="16.5" customHeight="1" x14ac:dyDescent="0.2">
      <c r="B229" s="118"/>
      <c r="C229" s="119" t="s">
        <v>487</v>
      </c>
      <c r="D229" s="119" t="s">
        <v>231</v>
      </c>
      <c r="E229" s="120" t="s">
        <v>1039</v>
      </c>
      <c r="F229" s="121" t="s">
        <v>1040</v>
      </c>
      <c r="G229" s="122" t="s">
        <v>243</v>
      </c>
      <c r="H229" s="123">
        <v>14</v>
      </c>
      <c r="I229" s="124">
        <v>17</v>
      </c>
      <c r="J229" s="124">
        <f t="shared" si="34"/>
        <v>238</v>
      </c>
      <c r="K229" s="121" t="s">
        <v>1</v>
      </c>
      <c r="L229" s="24"/>
      <c r="M229" s="125" t="s">
        <v>1</v>
      </c>
      <c r="N229" s="126" t="s">
        <v>32</v>
      </c>
      <c r="O229" s="127">
        <v>0</v>
      </c>
      <c r="P229" s="127">
        <f t="shared" si="35"/>
        <v>0</v>
      </c>
      <c r="Q229" s="127">
        <v>0</v>
      </c>
      <c r="R229" s="127">
        <f t="shared" si="36"/>
        <v>0</v>
      </c>
      <c r="S229" s="127">
        <v>0</v>
      </c>
      <c r="T229" s="128">
        <f t="shared" si="37"/>
        <v>0</v>
      </c>
      <c r="W229" s="199"/>
      <c r="X229" s="119" t="s">
        <v>487</v>
      </c>
      <c r="Y229" s="119" t="s">
        <v>231</v>
      </c>
      <c r="Z229" s="120" t="s">
        <v>1039</v>
      </c>
      <c r="AA229" s="121" t="s">
        <v>1040</v>
      </c>
      <c r="AB229" s="122" t="s">
        <v>243</v>
      </c>
      <c r="AC229" s="123">
        <v>14</v>
      </c>
      <c r="AD229" s="124">
        <v>17</v>
      </c>
      <c r="AE229" s="200">
        <f t="shared" si="38"/>
        <v>238</v>
      </c>
      <c r="AF229" s="956"/>
      <c r="AG229" s="409"/>
      <c r="AH229" s="406"/>
      <c r="AI229" s="408"/>
      <c r="AR229" s="129" t="s">
        <v>258</v>
      </c>
      <c r="AT229" s="129" t="s">
        <v>231</v>
      </c>
      <c r="AU229" s="129" t="s">
        <v>76</v>
      </c>
      <c r="AY229" s="13" t="s">
        <v>228</v>
      </c>
      <c r="BE229" s="130">
        <f t="shared" si="39"/>
        <v>0</v>
      </c>
      <c r="BF229" s="130">
        <f t="shared" si="40"/>
        <v>238</v>
      </c>
      <c r="BG229" s="130">
        <f t="shared" si="41"/>
        <v>0</v>
      </c>
      <c r="BH229" s="130">
        <f t="shared" si="42"/>
        <v>0</v>
      </c>
      <c r="BI229" s="130">
        <f t="shared" si="43"/>
        <v>0</v>
      </c>
      <c r="BJ229" s="13" t="s">
        <v>76</v>
      </c>
      <c r="BK229" s="130">
        <f t="shared" si="44"/>
        <v>238</v>
      </c>
      <c r="BL229" s="13" t="s">
        <v>258</v>
      </c>
      <c r="BM229" s="129" t="s">
        <v>490</v>
      </c>
    </row>
    <row r="230" spans="2:65" s="1" customFormat="1" ht="16.5" customHeight="1" x14ac:dyDescent="0.2">
      <c r="B230" s="118"/>
      <c r="C230" s="119" t="s">
        <v>361</v>
      </c>
      <c r="D230" s="119" t="s">
        <v>231</v>
      </c>
      <c r="E230" s="120" t="s">
        <v>1041</v>
      </c>
      <c r="F230" s="121" t="s">
        <v>1042</v>
      </c>
      <c r="G230" s="122" t="s">
        <v>243</v>
      </c>
      <c r="H230" s="123">
        <v>5</v>
      </c>
      <c r="I230" s="124">
        <v>248.45</v>
      </c>
      <c r="J230" s="124">
        <f t="shared" si="34"/>
        <v>1242.25</v>
      </c>
      <c r="K230" s="121" t="s">
        <v>1</v>
      </c>
      <c r="L230" s="24"/>
      <c r="M230" s="125" t="s">
        <v>1</v>
      </c>
      <c r="N230" s="126" t="s">
        <v>32</v>
      </c>
      <c r="O230" s="127">
        <v>0</v>
      </c>
      <c r="P230" s="127">
        <f t="shared" si="35"/>
        <v>0</v>
      </c>
      <c r="Q230" s="127">
        <v>0</v>
      </c>
      <c r="R230" s="127">
        <f t="shared" si="36"/>
        <v>0</v>
      </c>
      <c r="S230" s="127">
        <v>0</v>
      </c>
      <c r="T230" s="128">
        <f t="shared" si="37"/>
        <v>0</v>
      </c>
      <c r="W230" s="199"/>
      <c r="X230" s="119" t="s">
        <v>361</v>
      </c>
      <c r="Y230" s="119" t="s">
        <v>231</v>
      </c>
      <c r="Z230" s="120" t="s">
        <v>1041</v>
      </c>
      <c r="AA230" s="121" t="s">
        <v>1042</v>
      </c>
      <c r="AB230" s="122" t="s">
        <v>243</v>
      </c>
      <c r="AC230" s="123">
        <v>5</v>
      </c>
      <c r="AD230" s="124">
        <v>248.45</v>
      </c>
      <c r="AE230" s="200">
        <f t="shared" si="38"/>
        <v>1242.25</v>
      </c>
      <c r="AF230" s="956"/>
      <c r="AG230" s="409"/>
      <c r="AH230" s="406"/>
      <c r="AI230" s="408"/>
      <c r="AR230" s="129" t="s">
        <v>258</v>
      </c>
      <c r="AT230" s="129" t="s">
        <v>231</v>
      </c>
      <c r="AU230" s="129" t="s">
        <v>76</v>
      </c>
      <c r="AY230" s="13" t="s">
        <v>228</v>
      </c>
      <c r="BE230" s="130">
        <f t="shared" si="39"/>
        <v>0</v>
      </c>
      <c r="BF230" s="130">
        <f t="shared" si="40"/>
        <v>1242.25</v>
      </c>
      <c r="BG230" s="130">
        <f t="shared" si="41"/>
        <v>0</v>
      </c>
      <c r="BH230" s="130">
        <f t="shared" si="42"/>
        <v>0</v>
      </c>
      <c r="BI230" s="130">
        <f t="shared" si="43"/>
        <v>0</v>
      </c>
      <c r="BJ230" s="13" t="s">
        <v>76</v>
      </c>
      <c r="BK230" s="130">
        <f t="shared" si="44"/>
        <v>1242.25</v>
      </c>
      <c r="BL230" s="13" t="s">
        <v>258</v>
      </c>
      <c r="BM230" s="129" t="s">
        <v>493</v>
      </c>
    </row>
    <row r="231" spans="2:65" s="1" customFormat="1" ht="16.5" customHeight="1" x14ac:dyDescent="0.2">
      <c r="B231" s="118"/>
      <c r="C231" s="119" t="s">
        <v>494</v>
      </c>
      <c r="D231" s="119" t="s">
        <v>231</v>
      </c>
      <c r="E231" s="120" t="s">
        <v>1043</v>
      </c>
      <c r="F231" s="121" t="s">
        <v>1044</v>
      </c>
      <c r="G231" s="122" t="s">
        <v>243</v>
      </c>
      <c r="H231" s="123">
        <v>5</v>
      </c>
      <c r="I231" s="124">
        <v>49.34</v>
      </c>
      <c r="J231" s="124">
        <f t="shared" si="34"/>
        <v>246.7</v>
      </c>
      <c r="K231" s="121" t="s">
        <v>1</v>
      </c>
      <c r="L231" s="24"/>
      <c r="M231" s="125" t="s">
        <v>1</v>
      </c>
      <c r="N231" s="126" t="s">
        <v>32</v>
      </c>
      <c r="O231" s="127">
        <v>0</v>
      </c>
      <c r="P231" s="127">
        <f t="shared" si="35"/>
        <v>0</v>
      </c>
      <c r="Q231" s="127">
        <v>0</v>
      </c>
      <c r="R231" s="127">
        <f t="shared" si="36"/>
        <v>0</v>
      </c>
      <c r="S231" s="127">
        <v>0</v>
      </c>
      <c r="T231" s="128">
        <f t="shared" si="37"/>
        <v>0</v>
      </c>
      <c r="W231" s="199"/>
      <c r="X231" s="119" t="s">
        <v>494</v>
      </c>
      <c r="Y231" s="119" t="s">
        <v>231</v>
      </c>
      <c r="Z231" s="120" t="s">
        <v>1043</v>
      </c>
      <c r="AA231" s="121" t="s">
        <v>1044</v>
      </c>
      <c r="AB231" s="122" t="s">
        <v>243</v>
      </c>
      <c r="AC231" s="123">
        <v>5</v>
      </c>
      <c r="AD231" s="124">
        <v>49.34</v>
      </c>
      <c r="AE231" s="200">
        <f t="shared" si="38"/>
        <v>246.7</v>
      </c>
      <c r="AF231" s="956"/>
      <c r="AG231" s="409"/>
      <c r="AH231" s="406"/>
      <c r="AI231" s="408"/>
      <c r="AR231" s="129" t="s">
        <v>258</v>
      </c>
      <c r="AT231" s="129" t="s">
        <v>231</v>
      </c>
      <c r="AU231" s="129" t="s">
        <v>76</v>
      </c>
      <c r="AY231" s="13" t="s">
        <v>228</v>
      </c>
      <c r="BE231" s="130">
        <f t="shared" si="39"/>
        <v>0</v>
      </c>
      <c r="BF231" s="130">
        <f t="shared" si="40"/>
        <v>246.7</v>
      </c>
      <c r="BG231" s="130">
        <f t="shared" si="41"/>
        <v>0</v>
      </c>
      <c r="BH231" s="130">
        <f t="shared" si="42"/>
        <v>0</v>
      </c>
      <c r="BI231" s="130">
        <f t="shared" si="43"/>
        <v>0</v>
      </c>
      <c r="BJ231" s="13" t="s">
        <v>76</v>
      </c>
      <c r="BK231" s="130">
        <f t="shared" si="44"/>
        <v>246.7</v>
      </c>
      <c r="BL231" s="13" t="s">
        <v>258</v>
      </c>
      <c r="BM231" s="129" t="s">
        <v>497</v>
      </c>
    </row>
    <row r="232" spans="2:65" s="1" customFormat="1" ht="16.5" customHeight="1" x14ac:dyDescent="0.2">
      <c r="B232" s="118"/>
      <c r="C232" s="119" t="s">
        <v>365</v>
      </c>
      <c r="D232" s="119" t="s">
        <v>231</v>
      </c>
      <c r="E232" s="120" t="s">
        <v>1045</v>
      </c>
      <c r="F232" s="121" t="s">
        <v>1046</v>
      </c>
      <c r="G232" s="122" t="s">
        <v>243</v>
      </c>
      <c r="H232" s="123">
        <v>9</v>
      </c>
      <c r="I232" s="124">
        <v>114.51</v>
      </c>
      <c r="J232" s="124">
        <f t="shared" si="34"/>
        <v>1030.5899999999999</v>
      </c>
      <c r="K232" s="121" t="s">
        <v>1</v>
      </c>
      <c r="L232" s="24"/>
      <c r="M232" s="125" t="s">
        <v>1</v>
      </c>
      <c r="N232" s="126" t="s">
        <v>32</v>
      </c>
      <c r="O232" s="127">
        <v>0</v>
      </c>
      <c r="P232" s="127">
        <f t="shared" si="35"/>
        <v>0</v>
      </c>
      <c r="Q232" s="127">
        <v>0</v>
      </c>
      <c r="R232" s="127">
        <f t="shared" si="36"/>
        <v>0</v>
      </c>
      <c r="S232" s="127">
        <v>0</v>
      </c>
      <c r="T232" s="128">
        <f t="shared" si="37"/>
        <v>0</v>
      </c>
      <c r="W232" s="199"/>
      <c r="X232" s="119" t="s">
        <v>365</v>
      </c>
      <c r="Y232" s="119" t="s">
        <v>231</v>
      </c>
      <c r="Z232" s="120" t="s">
        <v>1045</v>
      </c>
      <c r="AA232" s="121" t="s">
        <v>1046</v>
      </c>
      <c r="AB232" s="122" t="s">
        <v>243</v>
      </c>
      <c r="AC232" s="123">
        <v>9</v>
      </c>
      <c r="AD232" s="124">
        <v>114.51</v>
      </c>
      <c r="AE232" s="200">
        <f t="shared" si="38"/>
        <v>1030.5899999999999</v>
      </c>
      <c r="AF232" s="956"/>
      <c r="AG232" s="409"/>
      <c r="AH232" s="406"/>
      <c r="AI232" s="408"/>
      <c r="AR232" s="129" t="s">
        <v>258</v>
      </c>
      <c r="AT232" s="129" t="s">
        <v>231</v>
      </c>
      <c r="AU232" s="129" t="s">
        <v>76</v>
      </c>
      <c r="AY232" s="13" t="s">
        <v>228</v>
      </c>
      <c r="BE232" s="130">
        <f t="shared" si="39"/>
        <v>0</v>
      </c>
      <c r="BF232" s="130">
        <f t="shared" si="40"/>
        <v>1030.5899999999999</v>
      </c>
      <c r="BG232" s="130">
        <f t="shared" si="41"/>
        <v>0</v>
      </c>
      <c r="BH232" s="130">
        <f t="shared" si="42"/>
        <v>0</v>
      </c>
      <c r="BI232" s="130">
        <f t="shared" si="43"/>
        <v>0</v>
      </c>
      <c r="BJ232" s="13" t="s">
        <v>76</v>
      </c>
      <c r="BK232" s="130">
        <f t="shared" si="44"/>
        <v>1030.5899999999999</v>
      </c>
      <c r="BL232" s="13" t="s">
        <v>258</v>
      </c>
      <c r="BM232" s="129" t="s">
        <v>500</v>
      </c>
    </row>
    <row r="233" spans="2:65" s="1" customFormat="1" ht="16.5" customHeight="1" x14ac:dyDescent="0.2">
      <c r="B233" s="118"/>
      <c r="C233" s="119" t="s">
        <v>501</v>
      </c>
      <c r="D233" s="119" t="s">
        <v>231</v>
      </c>
      <c r="E233" s="120" t="s">
        <v>1047</v>
      </c>
      <c r="F233" s="121" t="s">
        <v>1048</v>
      </c>
      <c r="G233" s="122" t="s">
        <v>243</v>
      </c>
      <c r="H233" s="123">
        <v>5</v>
      </c>
      <c r="I233" s="124">
        <v>75.58</v>
      </c>
      <c r="J233" s="124">
        <f t="shared" si="34"/>
        <v>377.9</v>
      </c>
      <c r="K233" s="121" t="s">
        <v>1</v>
      </c>
      <c r="L233" s="24"/>
      <c r="M233" s="125" t="s">
        <v>1</v>
      </c>
      <c r="N233" s="126" t="s">
        <v>32</v>
      </c>
      <c r="O233" s="127">
        <v>0</v>
      </c>
      <c r="P233" s="127">
        <f t="shared" si="35"/>
        <v>0</v>
      </c>
      <c r="Q233" s="127">
        <v>0</v>
      </c>
      <c r="R233" s="127">
        <f t="shared" si="36"/>
        <v>0</v>
      </c>
      <c r="S233" s="127">
        <v>0</v>
      </c>
      <c r="T233" s="128">
        <f t="shared" si="37"/>
        <v>0</v>
      </c>
      <c r="W233" s="199"/>
      <c r="X233" s="119" t="s">
        <v>501</v>
      </c>
      <c r="Y233" s="119" t="s">
        <v>231</v>
      </c>
      <c r="Z233" s="120" t="s">
        <v>1047</v>
      </c>
      <c r="AA233" s="121" t="s">
        <v>1048</v>
      </c>
      <c r="AB233" s="122" t="s">
        <v>243</v>
      </c>
      <c r="AC233" s="123">
        <v>5</v>
      </c>
      <c r="AD233" s="124">
        <v>75.58</v>
      </c>
      <c r="AE233" s="200">
        <f t="shared" si="38"/>
        <v>377.9</v>
      </c>
      <c r="AF233" s="956"/>
      <c r="AG233" s="409"/>
      <c r="AH233" s="406"/>
      <c r="AI233" s="408"/>
      <c r="AR233" s="129" t="s">
        <v>258</v>
      </c>
      <c r="AT233" s="129" t="s">
        <v>231</v>
      </c>
      <c r="AU233" s="129" t="s">
        <v>76</v>
      </c>
      <c r="AY233" s="13" t="s">
        <v>228</v>
      </c>
      <c r="BE233" s="130">
        <f t="shared" si="39"/>
        <v>0</v>
      </c>
      <c r="BF233" s="130">
        <f t="shared" si="40"/>
        <v>377.9</v>
      </c>
      <c r="BG233" s="130">
        <f t="shared" si="41"/>
        <v>0</v>
      </c>
      <c r="BH233" s="130">
        <f t="shared" si="42"/>
        <v>0</v>
      </c>
      <c r="BI233" s="130">
        <f t="shared" si="43"/>
        <v>0</v>
      </c>
      <c r="BJ233" s="13" t="s">
        <v>76</v>
      </c>
      <c r="BK233" s="130">
        <f t="shared" si="44"/>
        <v>377.9</v>
      </c>
      <c r="BL233" s="13" t="s">
        <v>258</v>
      </c>
      <c r="BM233" s="129" t="s">
        <v>504</v>
      </c>
    </row>
    <row r="234" spans="2:65" s="1" customFormat="1" ht="16.5" customHeight="1" x14ac:dyDescent="0.2">
      <c r="B234" s="118"/>
      <c r="C234" s="119" t="s">
        <v>368</v>
      </c>
      <c r="D234" s="119" t="s">
        <v>231</v>
      </c>
      <c r="E234" s="120" t="s">
        <v>1049</v>
      </c>
      <c r="F234" s="121" t="s">
        <v>1050</v>
      </c>
      <c r="G234" s="122" t="s">
        <v>243</v>
      </c>
      <c r="H234" s="123">
        <v>9</v>
      </c>
      <c r="I234" s="124">
        <v>44.98</v>
      </c>
      <c r="J234" s="124">
        <f t="shared" si="34"/>
        <v>404.82</v>
      </c>
      <c r="K234" s="121" t="s">
        <v>1</v>
      </c>
      <c r="L234" s="24"/>
      <c r="M234" s="125" t="s">
        <v>1</v>
      </c>
      <c r="N234" s="126" t="s">
        <v>32</v>
      </c>
      <c r="O234" s="127">
        <v>0</v>
      </c>
      <c r="P234" s="127">
        <f t="shared" si="35"/>
        <v>0</v>
      </c>
      <c r="Q234" s="127">
        <v>0</v>
      </c>
      <c r="R234" s="127">
        <f t="shared" si="36"/>
        <v>0</v>
      </c>
      <c r="S234" s="127">
        <v>0</v>
      </c>
      <c r="T234" s="128">
        <f t="shared" si="37"/>
        <v>0</v>
      </c>
      <c r="W234" s="199"/>
      <c r="X234" s="119" t="s">
        <v>368</v>
      </c>
      <c r="Y234" s="119" t="s">
        <v>231</v>
      </c>
      <c r="Z234" s="120" t="s">
        <v>1049</v>
      </c>
      <c r="AA234" s="121" t="s">
        <v>1050</v>
      </c>
      <c r="AB234" s="122" t="s">
        <v>243</v>
      </c>
      <c r="AC234" s="123">
        <v>9</v>
      </c>
      <c r="AD234" s="124">
        <v>44.98</v>
      </c>
      <c r="AE234" s="200">
        <f t="shared" si="38"/>
        <v>404.82</v>
      </c>
      <c r="AF234" s="956"/>
      <c r="AG234" s="409"/>
      <c r="AH234" s="406"/>
      <c r="AI234" s="408"/>
      <c r="AR234" s="129" t="s">
        <v>258</v>
      </c>
      <c r="AT234" s="129" t="s">
        <v>231</v>
      </c>
      <c r="AU234" s="129" t="s">
        <v>76</v>
      </c>
      <c r="AY234" s="13" t="s">
        <v>228</v>
      </c>
      <c r="BE234" s="130">
        <f t="shared" si="39"/>
        <v>0</v>
      </c>
      <c r="BF234" s="130">
        <f t="shared" si="40"/>
        <v>404.82</v>
      </c>
      <c r="BG234" s="130">
        <f t="shared" si="41"/>
        <v>0</v>
      </c>
      <c r="BH234" s="130">
        <f t="shared" si="42"/>
        <v>0</v>
      </c>
      <c r="BI234" s="130">
        <f t="shared" si="43"/>
        <v>0</v>
      </c>
      <c r="BJ234" s="13" t="s">
        <v>76</v>
      </c>
      <c r="BK234" s="130">
        <f t="shared" si="44"/>
        <v>404.82</v>
      </c>
      <c r="BL234" s="13" t="s">
        <v>258</v>
      </c>
      <c r="BM234" s="129" t="s">
        <v>507</v>
      </c>
    </row>
    <row r="235" spans="2:65" s="1" customFormat="1" ht="16.5" customHeight="1" x14ac:dyDescent="0.2">
      <c r="B235" s="118"/>
      <c r="C235" s="119" t="s">
        <v>508</v>
      </c>
      <c r="D235" s="119" t="s">
        <v>231</v>
      </c>
      <c r="E235" s="120" t="s">
        <v>1051</v>
      </c>
      <c r="F235" s="121" t="s">
        <v>1052</v>
      </c>
      <c r="G235" s="122" t="s">
        <v>243</v>
      </c>
      <c r="H235" s="123">
        <v>2</v>
      </c>
      <c r="I235" s="124">
        <v>56.31</v>
      </c>
      <c r="J235" s="124">
        <f t="shared" si="34"/>
        <v>112.62</v>
      </c>
      <c r="K235" s="121" t="s">
        <v>1</v>
      </c>
      <c r="L235" s="24"/>
      <c r="M235" s="125" t="s">
        <v>1</v>
      </c>
      <c r="N235" s="126" t="s">
        <v>32</v>
      </c>
      <c r="O235" s="127">
        <v>0</v>
      </c>
      <c r="P235" s="127">
        <f t="shared" si="35"/>
        <v>0</v>
      </c>
      <c r="Q235" s="127">
        <v>0</v>
      </c>
      <c r="R235" s="127">
        <f t="shared" si="36"/>
        <v>0</v>
      </c>
      <c r="S235" s="127">
        <v>0</v>
      </c>
      <c r="T235" s="128">
        <f t="shared" si="37"/>
        <v>0</v>
      </c>
      <c r="W235" s="199"/>
      <c r="X235" s="119" t="s">
        <v>508</v>
      </c>
      <c r="Y235" s="119" t="s">
        <v>231</v>
      </c>
      <c r="Z235" s="120" t="s">
        <v>1051</v>
      </c>
      <c r="AA235" s="121" t="s">
        <v>1052</v>
      </c>
      <c r="AB235" s="122" t="s">
        <v>243</v>
      </c>
      <c r="AC235" s="123">
        <v>2</v>
      </c>
      <c r="AD235" s="124">
        <v>56.31</v>
      </c>
      <c r="AE235" s="200">
        <f t="shared" si="38"/>
        <v>112.62</v>
      </c>
      <c r="AF235" s="956"/>
      <c r="AG235" s="409"/>
      <c r="AH235" s="406"/>
      <c r="AI235" s="408"/>
      <c r="AR235" s="129" t="s">
        <v>258</v>
      </c>
      <c r="AT235" s="129" t="s">
        <v>231</v>
      </c>
      <c r="AU235" s="129" t="s">
        <v>76</v>
      </c>
      <c r="AY235" s="13" t="s">
        <v>228</v>
      </c>
      <c r="BE235" s="130">
        <f t="shared" si="39"/>
        <v>0</v>
      </c>
      <c r="BF235" s="130">
        <f t="shared" si="40"/>
        <v>112.62</v>
      </c>
      <c r="BG235" s="130">
        <f t="shared" si="41"/>
        <v>0</v>
      </c>
      <c r="BH235" s="130">
        <f t="shared" si="42"/>
        <v>0</v>
      </c>
      <c r="BI235" s="130">
        <f t="shared" si="43"/>
        <v>0</v>
      </c>
      <c r="BJ235" s="13" t="s">
        <v>76</v>
      </c>
      <c r="BK235" s="130">
        <f t="shared" si="44"/>
        <v>112.62</v>
      </c>
      <c r="BL235" s="13" t="s">
        <v>258</v>
      </c>
      <c r="BM235" s="129" t="s">
        <v>511</v>
      </c>
    </row>
    <row r="236" spans="2:65" s="1" customFormat="1" ht="16.5" customHeight="1" x14ac:dyDescent="0.2">
      <c r="B236" s="118"/>
      <c r="C236" s="119" t="s">
        <v>372</v>
      </c>
      <c r="D236" s="119" t="s">
        <v>231</v>
      </c>
      <c r="E236" s="120" t="s">
        <v>1053</v>
      </c>
      <c r="F236" s="121" t="s">
        <v>1054</v>
      </c>
      <c r="G236" s="122" t="s">
        <v>243</v>
      </c>
      <c r="H236" s="123">
        <v>2</v>
      </c>
      <c r="I236" s="124">
        <v>140.36000000000001</v>
      </c>
      <c r="J236" s="124">
        <f t="shared" si="34"/>
        <v>280.72000000000003</v>
      </c>
      <c r="K236" s="121" t="s">
        <v>1</v>
      </c>
      <c r="L236" s="24"/>
      <c r="M236" s="125" t="s">
        <v>1</v>
      </c>
      <c r="N236" s="126" t="s">
        <v>32</v>
      </c>
      <c r="O236" s="127">
        <v>0</v>
      </c>
      <c r="P236" s="127">
        <f t="shared" si="35"/>
        <v>0</v>
      </c>
      <c r="Q236" s="127">
        <v>0</v>
      </c>
      <c r="R236" s="127">
        <f t="shared" si="36"/>
        <v>0</v>
      </c>
      <c r="S236" s="127">
        <v>0</v>
      </c>
      <c r="T236" s="128">
        <f t="shared" si="37"/>
        <v>0</v>
      </c>
      <c r="W236" s="199"/>
      <c r="X236" s="119" t="s">
        <v>372</v>
      </c>
      <c r="Y236" s="119" t="s">
        <v>231</v>
      </c>
      <c r="Z236" s="120" t="s">
        <v>1053</v>
      </c>
      <c r="AA236" s="121" t="s">
        <v>1054</v>
      </c>
      <c r="AB236" s="122" t="s">
        <v>243</v>
      </c>
      <c r="AC236" s="123">
        <v>2</v>
      </c>
      <c r="AD236" s="124">
        <v>140.36000000000001</v>
      </c>
      <c r="AE236" s="200">
        <f t="shared" si="38"/>
        <v>280.72000000000003</v>
      </c>
      <c r="AF236" s="956"/>
      <c r="AG236" s="409"/>
      <c r="AH236" s="406"/>
      <c r="AI236" s="408"/>
      <c r="AR236" s="129" t="s">
        <v>258</v>
      </c>
      <c r="AT236" s="129" t="s">
        <v>231</v>
      </c>
      <c r="AU236" s="129" t="s">
        <v>76</v>
      </c>
      <c r="AY236" s="13" t="s">
        <v>228</v>
      </c>
      <c r="BE236" s="130">
        <f t="shared" si="39"/>
        <v>0</v>
      </c>
      <c r="BF236" s="130">
        <f t="shared" si="40"/>
        <v>280.72000000000003</v>
      </c>
      <c r="BG236" s="130">
        <f t="shared" si="41"/>
        <v>0</v>
      </c>
      <c r="BH236" s="130">
        <f t="shared" si="42"/>
        <v>0</v>
      </c>
      <c r="BI236" s="130">
        <f t="shared" si="43"/>
        <v>0</v>
      </c>
      <c r="BJ236" s="13" t="s">
        <v>76</v>
      </c>
      <c r="BK236" s="130">
        <f t="shared" si="44"/>
        <v>280.72000000000003</v>
      </c>
      <c r="BL236" s="13" t="s">
        <v>258</v>
      </c>
      <c r="BM236" s="129" t="s">
        <v>514</v>
      </c>
    </row>
    <row r="237" spans="2:65" s="1" customFormat="1" ht="16.5" customHeight="1" x14ac:dyDescent="0.2">
      <c r="B237" s="118"/>
      <c r="C237" s="119" t="s">
        <v>515</v>
      </c>
      <c r="D237" s="119" t="s">
        <v>231</v>
      </c>
      <c r="E237" s="120" t="s">
        <v>1055</v>
      </c>
      <c r="F237" s="121" t="s">
        <v>1056</v>
      </c>
      <c r="G237" s="122" t="s">
        <v>243</v>
      </c>
      <c r="H237" s="123">
        <v>2</v>
      </c>
      <c r="I237" s="124">
        <v>40.64</v>
      </c>
      <c r="J237" s="124">
        <f t="shared" si="34"/>
        <v>81.28</v>
      </c>
      <c r="K237" s="121" t="s">
        <v>1</v>
      </c>
      <c r="L237" s="24"/>
      <c r="M237" s="125" t="s">
        <v>1</v>
      </c>
      <c r="N237" s="126" t="s">
        <v>32</v>
      </c>
      <c r="O237" s="127">
        <v>0</v>
      </c>
      <c r="P237" s="127">
        <f t="shared" si="35"/>
        <v>0</v>
      </c>
      <c r="Q237" s="127">
        <v>0</v>
      </c>
      <c r="R237" s="127">
        <f t="shared" si="36"/>
        <v>0</v>
      </c>
      <c r="S237" s="127">
        <v>0</v>
      </c>
      <c r="T237" s="128">
        <f t="shared" si="37"/>
        <v>0</v>
      </c>
      <c r="W237" s="199"/>
      <c r="X237" s="119" t="s">
        <v>515</v>
      </c>
      <c r="Y237" s="119" t="s">
        <v>231</v>
      </c>
      <c r="Z237" s="120" t="s">
        <v>1055</v>
      </c>
      <c r="AA237" s="121" t="s">
        <v>1056</v>
      </c>
      <c r="AB237" s="122" t="s">
        <v>243</v>
      </c>
      <c r="AC237" s="123">
        <v>2</v>
      </c>
      <c r="AD237" s="124">
        <v>40.64</v>
      </c>
      <c r="AE237" s="200">
        <f t="shared" si="38"/>
        <v>81.28</v>
      </c>
      <c r="AF237" s="956"/>
      <c r="AG237" s="409"/>
      <c r="AH237" s="406"/>
      <c r="AI237" s="408"/>
      <c r="AR237" s="129" t="s">
        <v>258</v>
      </c>
      <c r="AT237" s="129" t="s">
        <v>231</v>
      </c>
      <c r="AU237" s="129" t="s">
        <v>76</v>
      </c>
      <c r="AY237" s="13" t="s">
        <v>228</v>
      </c>
      <c r="BE237" s="130">
        <f t="shared" si="39"/>
        <v>0</v>
      </c>
      <c r="BF237" s="130">
        <f t="shared" si="40"/>
        <v>81.28</v>
      </c>
      <c r="BG237" s="130">
        <f t="shared" si="41"/>
        <v>0</v>
      </c>
      <c r="BH237" s="130">
        <f t="shared" si="42"/>
        <v>0</v>
      </c>
      <c r="BI237" s="130">
        <f t="shared" si="43"/>
        <v>0</v>
      </c>
      <c r="BJ237" s="13" t="s">
        <v>76</v>
      </c>
      <c r="BK237" s="130">
        <f t="shared" si="44"/>
        <v>81.28</v>
      </c>
      <c r="BL237" s="13" t="s">
        <v>258</v>
      </c>
      <c r="BM237" s="129" t="s">
        <v>518</v>
      </c>
    </row>
    <row r="238" spans="2:65" s="1" customFormat="1" ht="16.5" customHeight="1" x14ac:dyDescent="0.2">
      <c r="B238" s="118"/>
      <c r="C238" s="119" t="s">
        <v>375</v>
      </c>
      <c r="D238" s="119" t="s">
        <v>231</v>
      </c>
      <c r="E238" s="120" t="s">
        <v>1057</v>
      </c>
      <c r="F238" s="121" t="s">
        <v>1058</v>
      </c>
      <c r="G238" s="122" t="s">
        <v>243</v>
      </c>
      <c r="H238" s="123">
        <v>2</v>
      </c>
      <c r="I238" s="124">
        <v>398.22</v>
      </c>
      <c r="J238" s="124">
        <f t="shared" si="34"/>
        <v>796.44</v>
      </c>
      <c r="K238" s="121" t="s">
        <v>1</v>
      </c>
      <c r="L238" s="24"/>
      <c r="M238" s="125" t="s">
        <v>1</v>
      </c>
      <c r="N238" s="126" t="s">
        <v>32</v>
      </c>
      <c r="O238" s="127">
        <v>0</v>
      </c>
      <c r="P238" s="127">
        <f t="shared" si="35"/>
        <v>0</v>
      </c>
      <c r="Q238" s="127">
        <v>0</v>
      </c>
      <c r="R238" s="127">
        <f t="shared" si="36"/>
        <v>0</v>
      </c>
      <c r="S238" s="127">
        <v>0</v>
      </c>
      <c r="T238" s="128">
        <f t="shared" si="37"/>
        <v>0</v>
      </c>
      <c r="W238" s="199"/>
      <c r="X238" s="119" t="s">
        <v>375</v>
      </c>
      <c r="Y238" s="119" t="s">
        <v>231</v>
      </c>
      <c r="Z238" s="120" t="s">
        <v>1057</v>
      </c>
      <c r="AA238" s="121" t="s">
        <v>1058</v>
      </c>
      <c r="AB238" s="122" t="s">
        <v>243</v>
      </c>
      <c r="AC238" s="123">
        <v>2</v>
      </c>
      <c r="AD238" s="124">
        <v>398.22</v>
      </c>
      <c r="AE238" s="200">
        <f t="shared" si="38"/>
        <v>796.44</v>
      </c>
      <c r="AF238" s="956"/>
      <c r="AG238" s="409"/>
      <c r="AH238" s="406"/>
      <c r="AI238" s="408"/>
      <c r="AR238" s="129" t="s">
        <v>258</v>
      </c>
      <c r="AT238" s="129" t="s">
        <v>231</v>
      </c>
      <c r="AU238" s="129" t="s">
        <v>76</v>
      </c>
      <c r="AY238" s="13" t="s">
        <v>228</v>
      </c>
      <c r="BE238" s="130">
        <f t="shared" si="39"/>
        <v>0</v>
      </c>
      <c r="BF238" s="130">
        <f t="shared" si="40"/>
        <v>796.44</v>
      </c>
      <c r="BG238" s="130">
        <f t="shared" si="41"/>
        <v>0</v>
      </c>
      <c r="BH238" s="130">
        <f t="shared" si="42"/>
        <v>0</v>
      </c>
      <c r="BI238" s="130">
        <f t="shared" si="43"/>
        <v>0</v>
      </c>
      <c r="BJ238" s="13" t="s">
        <v>76</v>
      </c>
      <c r="BK238" s="130">
        <f t="shared" si="44"/>
        <v>796.44</v>
      </c>
      <c r="BL238" s="13" t="s">
        <v>258</v>
      </c>
      <c r="BM238" s="129" t="s">
        <v>521</v>
      </c>
    </row>
    <row r="239" spans="2:65" s="1" customFormat="1" ht="16.5" customHeight="1" x14ac:dyDescent="0.2">
      <c r="B239" s="118"/>
      <c r="C239" s="119" t="s">
        <v>522</v>
      </c>
      <c r="D239" s="119" t="s">
        <v>231</v>
      </c>
      <c r="E239" s="120" t="s">
        <v>1059</v>
      </c>
      <c r="F239" s="121" t="s">
        <v>1060</v>
      </c>
      <c r="G239" s="122" t="s">
        <v>243</v>
      </c>
      <c r="H239" s="123">
        <v>35</v>
      </c>
      <c r="I239" s="124">
        <v>97.2</v>
      </c>
      <c r="J239" s="124">
        <f t="shared" si="34"/>
        <v>3402</v>
      </c>
      <c r="K239" s="121" t="s">
        <v>1</v>
      </c>
      <c r="L239" s="24"/>
      <c r="M239" s="125" t="s">
        <v>1</v>
      </c>
      <c r="N239" s="126" t="s">
        <v>32</v>
      </c>
      <c r="O239" s="127">
        <v>0</v>
      </c>
      <c r="P239" s="127">
        <f t="shared" si="35"/>
        <v>0</v>
      </c>
      <c r="Q239" s="127">
        <v>0</v>
      </c>
      <c r="R239" s="127">
        <f t="shared" si="36"/>
        <v>0</v>
      </c>
      <c r="S239" s="127">
        <v>0</v>
      </c>
      <c r="T239" s="128">
        <f t="shared" si="37"/>
        <v>0</v>
      </c>
      <c r="W239" s="199"/>
      <c r="X239" s="119" t="s">
        <v>522</v>
      </c>
      <c r="Y239" s="119" t="s">
        <v>231</v>
      </c>
      <c r="Z239" s="120" t="s">
        <v>1059</v>
      </c>
      <c r="AA239" s="121" t="s">
        <v>1060</v>
      </c>
      <c r="AB239" s="122" t="s">
        <v>243</v>
      </c>
      <c r="AC239" s="123">
        <v>35</v>
      </c>
      <c r="AD239" s="124">
        <v>97.2</v>
      </c>
      <c r="AE239" s="200">
        <f t="shared" si="38"/>
        <v>3402</v>
      </c>
      <c r="AF239" s="956"/>
      <c r="AG239" s="409"/>
      <c r="AH239" s="406"/>
      <c r="AI239" s="408"/>
      <c r="AR239" s="129" t="s">
        <v>258</v>
      </c>
      <c r="AT239" s="129" t="s">
        <v>231</v>
      </c>
      <c r="AU239" s="129" t="s">
        <v>76</v>
      </c>
      <c r="AY239" s="13" t="s">
        <v>228</v>
      </c>
      <c r="BE239" s="130">
        <f t="shared" si="39"/>
        <v>0</v>
      </c>
      <c r="BF239" s="130">
        <f t="shared" si="40"/>
        <v>3402</v>
      </c>
      <c r="BG239" s="130">
        <f t="shared" si="41"/>
        <v>0</v>
      </c>
      <c r="BH239" s="130">
        <f t="shared" si="42"/>
        <v>0</v>
      </c>
      <c r="BI239" s="130">
        <f t="shared" si="43"/>
        <v>0</v>
      </c>
      <c r="BJ239" s="13" t="s">
        <v>76</v>
      </c>
      <c r="BK239" s="130">
        <f t="shared" si="44"/>
        <v>3402</v>
      </c>
      <c r="BL239" s="13" t="s">
        <v>258</v>
      </c>
      <c r="BM239" s="129" t="s">
        <v>525</v>
      </c>
    </row>
    <row r="240" spans="2:65" s="1" customFormat="1" ht="24" customHeight="1" x14ac:dyDescent="0.2">
      <c r="B240" s="118"/>
      <c r="C240" s="119" t="s">
        <v>379</v>
      </c>
      <c r="D240" s="119" t="s">
        <v>231</v>
      </c>
      <c r="E240" s="120" t="s">
        <v>1061</v>
      </c>
      <c r="F240" s="121" t="s">
        <v>1062</v>
      </c>
      <c r="G240" s="122" t="s">
        <v>243</v>
      </c>
      <c r="H240" s="123">
        <v>7</v>
      </c>
      <c r="I240" s="124">
        <v>150.93</v>
      </c>
      <c r="J240" s="124">
        <f t="shared" si="34"/>
        <v>1056.51</v>
      </c>
      <c r="K240" s="121" t="s">
        <v>1</v>
      </c>
      <c r="L240" s="24"/>
      <c r="M240" s="125" t="s">
        <v>1</v>
      </c>
      <c r="N240" s="126" t="s">
        <v>32</v>
      </c>
      <c r="O240" s="127">
        <v>0</v>
      </c>
      <c r="P240" s="127">
        <f t="shared" si="35"/>
        <v>0</v>
      </c>
      <c r="Q240" s="127">
        <v>0</v>
      </c>
      <c r="R240" s="127">
        <f t="shared" si="36"/>
        <v>0</v>
      </c>
      <c r="S240" s="127">
        <v>0</v>
      </c>
      <c r="T240" s="128">
        <f t="shared" si="37"/>
        <v>0</v>
      </c>
      <c r="W240" s="199"/>
      <c r="X240" s="119" t="s">
        <v>379</v>
      </c>
      <c r="Y240" s="119" t="s">
        <v>231</v>
      </c>
      <c r="Z240" s="120" t="s">
        <v>1061</v>
      </c>
      <c r="AA240" s="121" t="s">
        <v>1062</v>
      </c>
      <c r="AB240" s="122" t="s">
        <v>243</v>
      </c>
      <c r="AC240" s="123">
        <v>7</v>
      </c>
      <c r="AD240" s="124">
        <v>150.93</v>
      </c>
      <c r="AE240" s="200">
        <f t="shared" si="38"/>
        <v>1056.51</v>
      </c>
      <c r="AF240" s="956"/>
      <c r="AG240" s="409"/>
      <c r="AH240" s="406"/>
      <c r="AI240" s="408"/>
      <c r="AR240" s="129" t="s">
        <v>258</v>
      </c>
      <c r="AT240" s="129" t="s">
        <v>231</v>
      </c>
      <c r="AU240" s="129" t="s">
        <v>76</v>
      </c>
      <c r="AY240" s="13" t="s">
        <v>228</v>
      </c>
      <c r="BE240" s="130">
        <f t="shared" si="39"/>
        <v>0</v>
      </c>
      <c r="BF240" s="130">
        <f t="shared" si="40"/>
        <v>1056.51</v>
      </c>
      <c r="BG240" s="130">
        <f t="shared" si="41"/>
        <v>0</v>
      </c>
      <c r="BH240" s="130">
        <f t="shared" si="42"/>
        <v>0</v>
      </c>
      <c r="BI240" s="130">
        <f t="shared" si="43"/>
        <v>0</v>
      </c>
      <c r="BJ240" s="13" t="s">
        <v>76</v>
      </c>
      <c r="BK240" s="130">
        <f t="shared" si="44"/>
        <v>1056.51</v>
      </c>
      <c r="BL240" s="13" t="s">
        <v>258</v>
      </c>
      <c r="BM240" s="129" t="s">
        <v>528</v>
      </c>
    </row>
    <row r="241" spans="2:65" s="1" customFormat="1" ht="16.5" customHeight="1" x14ac:dyDescent="0.2">
      <c r="B241" s="118"/>
      <c r="C241" s="119" t="s">
        <v>529</v>
      </c>
      <c r="D241" s="119" t="s">
        <v>231</v>
      </c>
      <c r="E241" s="120" t="s">
        <v>1063</v>
      </c>
      <c r="F241" s="121" t="s">
        <v>1064</v>
      </c>
      <c r="G241" s="122" t="s">
        <v>243</v>
      </c>
      <c r="H241" s="123">
        <v>2</v>
      </c>
      <c r="I241" s="124">
        <v>394.74</v>
      </c>
      <c r="J241" s="124">
        <f t="shared" si="34"/>
        <v>789.48</v>
      </c>
      <c r="K241" s="121" t="s">
        <v>1</v>
      </c>
      <c r="L241" s="24"/>
      <c r="M241" s="125" t="s">
        <v>1</v>
      </c>
      <c r="N241" s="126" t="s">
        <v>32</v>
      </c>
      <c r="O241" s="127">
        <v>0</v>
      </c>
      <c r="P241" s="127">
        <f t="shared" si="35"/>
        <v>0</v>
      </c>
      <c r="Q241" s="127">
        <v>0</v>
      </c>
      <c r="R241" s="127">
        <f t="shared" si="36"/>
        <v>0</v>
      </c>
      <c r="S241" s="127">
        <v>0</v>
      </c>
      <c r="T241" s="128">
        <f t="shared" si="37"/>
        <v>0</v>
      </c>
      <c r="W241" s="199"/>
      <c r="X241" s="119" t="s">
        <v>529</v>
      </c>
      <c r="Y241" s="119" t="s">
        <v>231</v>
      </c>
      <c r="Z241" s="120" t="s">
        <v>1063</v>
      </c>
      <c r="AA241" s="121" t="s">
        <v>1064</v>
      </c>
      <c r="AB241" s="122" t="s">
        <v>243</v>
      </c>
      <c r="AC241" s="123">
        <v>2</v>
      </c>
      <c r="AD241" s="124">
        <v>394.74</v>
      </c>
      <c r="AE241" s="200">
        <f t="shared" si="38"/>
        <v>789.48</v>
      </c>
      <c r="AF241" s="956"/>
      <c r="AG241" s="409"/>
      <c r="AH241" s="406"/>
      <c r="AI241" s="408"/>
      <c r="AR241" s="129" t="s">
        <v>258</v>
      </c>
      <c r="AT241" s="129" t="s">
        <v>231</v>
      </c>
      <c r="AU241" s="129" t="s">
        <v>76</v>
      </c>
      <c r="AY241" s="13" t="s">
        <v>228</v>
      </c>
      <c r="BE241" s="130">
        <f t="shared" si="39"/>
        <v>0</v>
      </c>
      <c r="BF241" s="130">
        <f t="shared" si="40"/>
        <v>789.48</v>
      </c>
      <c r="BG241" s="130">
        <f t="shared" si="41"/>
        <v>0</v>
      </c>
      <c r="BH241" s="130">
        <f t="shared" si="42"/>
        <v>0</v>
      </c>
      <c r="BI241" s="130">
        <f t="shared" si="43"/>
        <v>0</v>
      </c>
      <c r="BJ241" s="13" t="s">
        <v>76</v>
      </c>
      <c r="BK241" s="130">
        <f t="shared" si="44"/>
        <v>789.48</v>
      </c>
      <c r="BL241" s="13" t="s">
        <v>258</v>
      </c>
      <c r="BM241" s="129" t="s">
        <v>532</v>
      </c>
    </row>
    <row r="242" spans="2:65" s="1" customFormat="1" ht="16.5" customHeight="1" x14ac:dyDescent="0.2">
      <c r="B242" s="118"/>
      <c r="C242" s="119" t="s">
        <v>382</v>
      </c>
      <c r="D242" s="119" t="s">
        <v>231</v>
      </c>
      <c r="E242" s="120" t="s">
        <v>1065</v>
      </c>
      <c r="F242" s="121" t="s">
        <v>1066</v>
      </c>
      <c r="G242" s="122" t="s">
        <v>243</v>
      </c>
      <c r="H242" s="123">
        <v>2</v>
      </c>
      <c r="I242" s="124">
        <v>336.69</v>
      </c>
      <c r="J242" s="124">
        <f t="shared" si="34"/>
        <v>673.38</v>
      </c>
      <c r="K242" s="121" t="s">
        <v>1</v>
      </c>
      <c r="L242" s="24"/>
      <c r="M242" s="125" t="s">
        <v>1</v>
      </c>
      <c r="N242" s="126" t="s">
        <v>32</v>
      </c>
      <c r="O242" s="127">
        <v>0</v>
      </c>
      <c r="P242" s="127">
        <f t="shared" si="35"/>
        <v>0</v>
      </c>
      <c r="Q242" s="127">
        <v>0</v>
      </c>
      <c r="R242" s="127">
        <f t="shared" si="36"/>
        <v>0</v>
      </c>
      <c r="S242" s="127">
        <v>0</v>
      </c>
      <c r="T242" s="128">
        <f t="shared" si="37"/>
        <v>0</v>
      </c>
      <c r="W242" s="199"/>
      <c r="X242" s="119" t="s">
        <v>382</v>
      </c>
      <c r="Y242" s="119" t="s">
        <v>231</v>
      </c>
      <c r="Z242" s="120" t="s">
        <v>1065</v>
      </c>
      <c r="AA242" s="121" t="s">
        <v>1066</v>
      </c>
      <c r="AB242" s="122" t="s">
        <v>243</v>
      </c>
      <c r="AC242" s="123">
        <v>2</v>
      </c>
      <c r="AD242" s="124">
        <v>336.69</v>
      </c>
      <c r="AE242" s="200">
        <f t="shared" si="38"/>
        <v>673.38</v>
      </c>
      <c r="AF242" s="956"/>
      <c r="AG242" s="409"/>
      <c r="AH242" s="406"/>
      <c r="AI242" s="408"/>
      <c r="AR242" s="129" t="s">
        <v>258</v>
      </c>
      <c r="AT242" s="129" t="s">
        <v>231</v>
      </c>
      <c r="AU242" s="129" t="s">
        <v>76</v>
      </c>
      <c r="AY242" s="13" t="s">
        <v>228</v>
      </c>
      <c r="BE242" s="130">
        <f t="shared" si="39"/>
        <v>0</v>
      </c>
      <c r="BF242" s="130">
        <f t="shared" si="40"/>
        <v>673.38</v>
      </c>
      <c r="BG242" s="130">
        <f t="shared" si="41"/>
        <v>0</v>
      </c>
      <c r="BH242" s="130">
        <f t="shared" si="42"/>
        <v>0</v>
      </c>
      <c r="BI242" s="130">
        <f t="shared" si="43"/>
        <v>0</v>
      </c>
      <c r="BJ242" s="13" t="s">
        <v>76</v>
      </c>
      <c r="BK242" s="130">
        <f t="shared" si="44"/>
        <v>673.38</v>
      </c>
      <c r="BL242" s="13" t="s">
        <v>258</v>
      </c>
      <c r="BM242" s="129" t="s">
        <v>535</v>
      </c>
    </row>
    <row r="243" spans="2:65" s="1" customFormat="1" ht="16.5" customHeight="1" x14ac:dyDescent="0.2">
      <c r="B243" s="118"/>
      <c r="C243" s="119" t="s">
        <v>536</v>
      </c>
      <c r="D243" s="119" t="s">
        <v>231</v>
      </c>
      <c r="E243" s="120" t="s">
        <v>1067</v>
      </c>
      <c r="F243" s="121" t="s">
        <v>1068</v>
      </c>
      <c r="G243" s="122" t="s">
        <v>243</v>
      </c>
      <c r="H243" s="123">
        <v>2</v>
      </c>
      <c r="I243" s="124">
        <v>75.58</v>
      </c>
      <c r="J243" s="124">
        <f t="shared" si="34"/>
        <v>151.16</v>
      </c>
      <c r="K243" s="121" t="s">
        <v>1</v>
      </c>
      <c r="L243" s="24"/>
      <c r="M243" s="125" t="s">
        <v>1</v>
      </c>
      <c r="N243" s="126" t="s">
        <v>32</v>
      </c>
      <c r="O243" s="127">
        <v>0</v>
      </c>
      <c r="P243" s="127">
        <f t="shared" si="35"/>
        <v>0</v>
      </c>
      <c r="Q243" s="127">
        <v>0</v>
      </c>
      <c r="R243" s="127">
        <f t="shared" si="36"/>
        <v>0</v>
      </c>
      <c r="S243" s="127">
        <v>0</v>
      </c>
      <c r="T243" s="128">
        <f t="shared" si="37"/>
        <v>0</v>
      </c>
      <c r="W243" s="199"/>
      <c r="X243" s="119" t="s">
        <v>536</v>
      </c>
      <c r="Y243" s="119" t="s">
        <v>231</v>
      </c>
      <c r="Z243" s="120" t="s">
        <v>1067</v>
      </c>
      <c r="AA243" s="121" t="s">
        <v>1068</v>
      </c>
      <c r="AB243" s="122" t="s">
        <v>243</v>
      </c>
      <c r="AC243" s="123">
        <v>2</v>
      </c>
      <c r="AD243" s="124">
        <v>75.58</v>
      </c>
      <c r="AE243" s="200">
        <f t="shared" si="38"/>
        <v>151.16</v>
      </c>
      <c r="AF243" s="956"/>
      <c r="AG243" s="409"/>
      <c r="AH243" s="406"/>
      <c r="AI243" s="408"/>
      <c r="AR243" s="129" t="s">
        <v>258</v>
      </c>
      <c r="AT243" s="129" t="s">
        <v>231</v>
      </c>
      <c r="AU243" s="129" t="s">
        <v>76</v>
      </c>
      <c r="AY243" s="13" t="s">
        <v>228</v>
      </c>
      <c r="BE243" s="130">
        <f t="shared" si="39"/>
        <v>0</v>
      </c>
      <c r="BF243" s="130">
        <f t="shared" si="40"/>
        <v>151.16</v>
      </c>
      <c r="BG243" s="130">
        <f t="shared" si="41"/>
        <v>0</v>
      </c>
      <c r="BH243" s="130">
        <f t="shared" si="42"/>
        <v>0</v>
      </c>
      <c r="BI243" s="130">
        <f t="shared" si="43"/>
        <v>0</v>
      </c>
      <c r="BJ243" s="13" t="s">
        <v>76</v>
      </c>
      <c r="BK243" s="130">
        <f t="shared" si="44"/>
        <v>151.16</v>
      </c>
      <c r="BL243" s="13" t="s">
        <v>258</v>
      </c>
      <c r="BM243" s="129" t="s">
        <v>539</v>
      </c>
    </row>
    <row r="244" spans="2:65" s="1" customFormat="1" ht="16.5" customHeight="1" x14ac:dyDescent="0.2">
      <c r="B244" s="118"/>
      <c r="C244" s="119" t="s">
        <v>386</v>
      </c>
      <c r="D244" s="119" t="s">
        <v>231</v>
      </c>
      <c r="E244" s="120" t="s">
        <v>1069</v>
      </c>
      <c r="F244" s="121" t="s">
        <v>1070</v>
      </c>
      <c r="G244" s="122" t="s">
        <v>243</v>
      </c>
      <c r="H244" s="123">
        <v>7</v>
      </c>
      <c r="I244" s="124">
        <v>348.3</v>
      </c>
      <c r="J244" s="124">
        <f t="shared" si="34"/>
        <v>2438.1</v>
      </c>
      <c r="K244" s="121" t="s">
        <v>1</v>
      </c>
      <c r="L244" s="24"/>
      <c r="M244" s="125" t="s">
        <v>1</v>
      </c>
      <c r="N244" s="126" t="s">
        <v>32</v>
      </c>
      <c r="O244" s="127">
        <v>0</v>
      </c>
      <c r="P244" s="127">
        <f t="shared" si="35"/>
        <v>0</v>
      </c>
      <c r="Q244" s="127">
        <v>0</v>
      </c>
      <c r="R244" s="127">
        <f t="shared" si="36"/>
        <v>0</v>
      </c>
      <c r="S244" s="127">
        <v>0</v>
      </c>
      <c r="T244" s="128">
        <f t="shared" si="37"/>
        <v>0</v>
      </c>
      <c r="W244" s="199"/>
      <c r="X244" s="119" t="s">
        <v>386</v>
      </c>
      <c r="Y244" s="119" t="s">
        <v>231</v>
      </c>
      <c r="Z244" s="120" t="s">
        <v>1069</v>
      </c>
      <c r="AA244" s="121" t="s">
        <v>1070</v>
      </c>
      <c r="AB244" s="122" t="s">
        <v>243</v>
      </c>
      <c r="AC244" s="123">
        <v>7</v>
      </c>
      <c r="AD244" s="124">
        <v>348.3</v>
      </c>
      <c r="AE244" s="200">
        <f t="shared" si="38"/>
        <v>2438.1</v>
      </c>
      <c r="AF244" s="956"/>
      <c r="AG244" s="409"/>
      <c r="AH244" s="406"/>
      <c r="AI244" s="408"/>
      <c r="AR244" s="129" t="s">
        <v>258</v>
      </c>
      <c r="AT244" s="129" t="s">
        <v>231</v>
      </c>
      <c r="AU244" s="129" t="s">
        <v>76</v>
      </c>
      <c r="AY244" s="13" t="s">
        <v>228</v>
      </c>
      <c r="BE244" s="130">
        <f t="shared" si="39"/>
        <v>0</v>
      </c>
      <c r="BF244" s="130">
        <f t="shared" si="40"/>
        <v>2438.1</v>
      </c>
      <c r="BG244" s="130">
        <f t="shared" si="41"/>
        <v>0</v>
      </c>
      <c r="BH244" s="130">
        <f t="shared" si="42"/>
        <v>0</v>
      </c>
      <c r="BI244" s="130">
        <f t="shared" si="43"/>
        <v>0</v>
      </c>
      <c r="BJ244" s="13" t="s">
        <v>76</v>
      </c>
      <c r="BK244" s="130">
        <f t="shared" si="44"/>
        <v>2438.1</v>
      </c>
      <c r="BL244" s="13" t="s">
        <v>258</v>
      </c>
      <c r="BM244" s="129" t="s">
        <v>542</v>
      </c>
    </row>
    <row r="245" spans="2:65" s="1" customFormat="1" ht="16.5" customHeight="1" x14ac:dyDescent="0.2">
      <c r="B245" s="118"/>
      <c r="C245" s="119" t="s">
        <v>543</v>
      </c>
      <c r="D245" s="119" t="s">
        <v>231</v>
      </c>
      <c r="E245" s="120" t="s">
        <v>1071</v>
      </c>
      <c r="F245" s="121" t="s">
        <v>1072</v>
      </c>
      <c r="G245" s="122" t="s">
        <v>243</v>
      </c>
      <c r="H245" s="123">
        <v>35</v>
      </c>
      <c r="I245" s="124">
        <v>41.8</v>
      </c>
      <c r="J245" s="124">
        <f t="shared" si="34"/>
        <v>1463</v>
      </c>
      <c r="K245" s="121" t="s">
        <v>1</v>
      </c>
      <c r="L245" s="24"/>
      <c r="M245" s="125" t="s">
        <v>1</v>
      </c>
      <c r="N245" s="126" t="s">
        <v>32</v>
      </c>
      <c r="O245" s="127">
        <v>0</v>
      </c>
      <c r="P245" s="127">
        <f t="shared" si="35"/>
        <v>0</v>
      </c>
      <c r="Q245" s="127">
        <v>0</v>
      </c>
      <c r="R245" s="127">
        <f t="shared" si="36"/>
        <v>0</v>
      </c>
      <c r="S245" s="127">
        <v>0</v>
      </c>
      <c r="T245" s="128">
        <f t="shared" si="37"/>
        <v>0</v>
      </c>
      <c r="W245" s="199"/>
      <c r="X245" s="119" t="s">
        <v>543</v>
      </c>
      <c r="Y245" s="119" t="s">
        <v>231</v>
      </c>
      <c r="Z245" s="120" t="s">
        <v>1071</v>
      </c>
      <c r="AA245" s="121" t="s">
        <v>1072</v>
      </c>
      <c r="AB245" s="122" t="s">
        <v>243</v>
      </c>
      <c r="AC245" s="123">
        <v>35</v>
      </c>
      <c r="AD245" s="124">
        <v>41.8</v>
      </c>
      <c r="AE245" s="200">
        <f t="shared" si="38"/>
        <v>1463</v>
      </c>
      <c r="AF245" s="956"/>
      <c r="AG245" s="409"/>
      <c r="AH245" s="406"/>
      <c r="AI245" s="408"/>
      <c r="AR245" s="129" t="s">
        <v>258</v>
      </c>
      <c r="AT245" s="129" t="s">
        <v>231</v>
      </c>
      <c r="AU245" s="129" t="s">
        <v>76</v>
      </c>
      <c r="AY245" s="13" t="s">
        <v>228</v>
      </c>
      <c r="BE245" s="130">
        <f t="shared" si="39"/>
        <v>0</v>
      </c>
      <c r="BF245" s="130">
        <f t="shared" si="40"/>
        <v>1463</v>
      </c>
      <c r="BG245" s="130">
        <f t="shared" si="41"/>
        <v>0</v>
      </c>
      <c r="BH245" s="130">
        <f t="shared" si="42"/>
        <v>0</v>
      </c>
      <c r="BI245" s="130">
        <f t="shared" si="43"/>
        <v>0</v>
      </c>
      <c r="BJ245" s="13" t="s">
        <v>76</v>
      </c>
      <c r="BK245" s="130">
        <f t="shared" si="44"/>
        <v>1463</v>
      </c>
      <c r="BL245" s="13" t="s">
        <v>258</v>
      </c>
      <c r="BM245" s="129" t="s">
        <v>546</v>
      </c>
    </row>
    <row r="246" spans="2:65" s="1" customFormat="1" ht="16.5" customHeight="1" x14ac:dyDescent="0.2">
      <c r="B246" s="118"/>
      <c r="C246" s="119" t="s">
        <v>389</v>
      </c>
      <c r="D246" s="119" t="s">
        <v>231</v>
      </c>
      <c r="E246" s="120" t="s">
        <v>1073</v>
      </c>
      <c r="F246" s="121" t="s">
        <v>1074</v>
      </c>
      <c r="G246" s="122" t="s">
        <v>243</v>
      </c>
      <c r="H246" s="123">
        <v>2</v>
      </c>
      <c r="I246" s="124">
        <v>52.48</v>
      </c>
      <c r="J246" s="124">
        <f t="shared" si="34"/>
        <v>104.96</v>
      </c>
      <c r="K246" s="121" t="s">
        <v>1</v>
      </c>
      <c r="L246" s="24"/>
      <c r="M246" s="125" t="s">
        <v>1</v>
      </c>
      <c r="N246" s="126" t="s">
        <v>32</v>
      </c>
      <c r="O246" s="127">
        <v>0</v>
      </c>
      <c r="P246" s="127">
        <f t="shared" si="35"/>
        <v>0</v>
      </c>
      <c r="Q246" s="127">
        <v>0</v>
      </c>
      <c r="R246" s="127">
        <f t="shared" si="36"/>
        <v>0</v>
      </c>
      <c r="S246" s="127">
        <v>0</v>
      </c>
      <c r="T246" s="128">
        <f t="shared" si="37"/>
        <v>0</v>
      </c>
      <c r="W246" s="199"/>
      <c r="X246" s="119" t="s">
        <v>389</v>
      </c>
      <c r="Y246" s="119" t="s">
        <v>231</v>
      </c>
      <c r="Z246" s="120" t="s">
        <v>1073</v>
      </c>
      <c r="AA246" s="121" t="s">
        <v>1074</v>
      </c>
      <c r="AB246" s="122" t="s">
        <v>243</v>
      </c>
      <c r="AC246" s="123">
        <v>2</v>
      </c>
      <c r="AD246" s="124">
        <v>52.48</v>
      </c>
      <c r="AE246" s="200">
        <f t="shared" si="38"/>
        <v>104.96</v>
      </c>
      <c r="AF246" s="956"/>
      <c r="AG246" s="409"/>
      <c r="AH246" s="406"/>
      <c r="AI246" s="408"/>
      <c r="AR246" s="129" t="s">
        <v>258</v>
      </c>
      <c r="AT246" s="129" t="s">
        <v>231</v>
      </c>
      <c r="AU246" s="129" t="s">
        <v>76</v>
      </c>
      <c r="AY246" s="13" t="s">
        <v>228</v>
      </c>
      <c r="BE246" s="130">
        <f t="shared" si="39"/>
        <v>0</v>
      </c>
      <c r="BF246" s="130">
        <f t="shared" si="40"/>
        <v>104.96</v>
      </c>
      <c r="BG246" s="130">
        <f t="shared" si="41"/>
        <v>0</v>
      </c>
      <c r="BH246" s="130">
        <f t="shared" si="42"/>
        <v>0</v>
      </c>
      <c r="BI246" s="130">
        <f t="shared" si="43"/>
        <v>0</v>
      </c>
      <c r="BJ246" s="13" t="s">
        <v>76</v>
      </c>
      <c r="BK246" s="130">
        <f t="shared" si="44"/>
        <v>104.96</v>
      </c>
      <c r="BL246" s="13" t="s">
        <v>258</v>
      </c>
      <c r="BM246" s="129" t="s">
        <v>549</v>
      </c>
    </row>
    <row r="247" spans="2:65" s="1" customFormat="1" ht="16.5" customHeight="1" x14ac:dyDescent="0.2">
      <c r="B247" s="118"/>
      <c r="C247" s="205" t="s">
        <v>552</v>
      </c>
      <c r="D247" s="119" t="s">
        <v>231</v>
      </c>
      <c r="E247" s="120" t="s">
        <v>1075</v>
      </c>
      <c r="F247" s="121" t="s">
        <v>1076</v>
      </c>
      <c r="G247" s="122" t="s">
        <v>243</v>
      </c>
      <c r="H247" s="206">
        <v>7</v>
      </c>
      <c r="I247" s="124">
        <v>22.26</v>
      </c>
      <c r="J247" s="124">
        <f t="shared" si="34"/>
        <v>155.82</v>
      </c>
      <c r="K247" s="121" t="s">
        <v>1</v>
      </c>
      <c r="L247" s="24"/>
      <c r="M247" s="125" t="s">
        <v>1</v>
      </c>
      <c r="N247" s="126" t="s">
        <v>32</v>
      </c>
      <c r="O247" s="127">
        <v>0</v>
      </c>
      <c r="P247" s="127">
        <f t="shared" si="35"/>
        <v>0</v>
      </c>
      <c r="Q247" s="127">
        <v>0</v>
      </c>
      <c r="R247" s="127">
        <f t="shared" si="36"/>
        <v>0</v>
      </c>
      <c r="S247" s="127">
        <v>0</v>
      </c>
      <c r="T247" s="128">
        <f t="shared" si="37"/>
        <v>0</v>
      </c>
      <c r="W247" s="199"/>
      <c r="X247" s="205" t="s">
        <v>552</v>
      </c>
      <c r="Y247" s="119" t="s">
        <v>231</v>
      </c>
      <c r="Z247" s="120" t="s">
        <v>1075</v>
      </c>
      <c r="AA247" s="121" t="s">
        <v>1076</v>
      </c>
      <c r="AB247" s="122" t="s">
        <v>243</v>
      </c>
      <c r="AC247" s="206">
        <f>7+2</f>
        <v>9</v>
      </c>
      <c r="AD247" s="124">
        <v>22.26</v>
      </c>
      <c r="AE247" s="200">
        <f t="shared" si="38"/>
        <v>200.34</v>
      </c>
      <c r="AF247" s="956">
        <v>9</v>
      </c>
      <c r="AG247" s="409"/>
      <c r="AH247" s="406"/>
      <c r="AI247" s="408"/>
      <c r="AR247" s="129" t="s">
        <v>258</v>
      </c>
      <c r="AT247" s="129" t="s">
        <v>231</v>
      </c>
      <c r="AU247" s="129" t="s">
        <v>76</v>
      </c>
      <c r="AY247" s="13" t="s">
        <v>228</v>
      </c>
      <c r="BE247" s="130">
        <f t="shared" si="39"/>
        <v>0</v>
      </c>
      <c r="BF247" s="130">
        <f t="shared" si="40"/>
        <v>155.82</v>
      </c>
      <c r="BG247" s="130">
        <f t="shared" si="41"/>
        <v>0</v>
      </c>
      <c r="BH247" s="130">
        <f t="shared" si="42"/>
        <v>0</v>
      </c>
      <c r="BI247" s="130">
        <f t="shared" si="43"/>
        <v>0</v>
      </c>
      <c r="BJ247" s="13" t="s">
        <v>76</v>
      </c>
      <c r="BK247" s="130">
        <f t="shared" si="44"/>
        <v>155.82</v>
      </c>
      <c r="BL247" s="13" t="s">
        <v>258</v>
      </c>
      <c r="BM247" s="129" t="s">
        <v>555</v>
      </c>
    </row>
    <row r="248" spans="2:65" s="1" customFormat="1" ht="16.5" customHeight="1" x14ac:dyDescent="0.2">
      <c r="B248" s="118"/>
      <c r="C248" s="119" t="s">
        <v>393</v>
      </c>
      <c r="D248" s="119" t="s">
        <v>231</v>
      </c>
      <c r="E248" s="120" t="s">
        <v>1077</v>
      </c>
      <c r="F248" s="121" t="s">
        <v>1078</v>
      </c>
      <c r="G248" s="122" t="s">
        <v>243</v>
      </c>
      <c r="H248" s="288">
        <v>7</v>
      </c>
      <c r="I248" s="124">
        <v>44.7</v>
      </c>
      <c r="J248" s="124">
        <f t="shared" si="34"/>
        <v>312.89999999999998</v>
      </c>
      <c r="K248" s="121" t="s">
        <v>1</v>
      </c>
      <c r="L248" s="24"/>
      <c r="M248" s="125" t="s">
        <v>1</v>
      </c>
      <c r="N248" s="126" t="s">
        <v>32</v>
      </c>
      <c r="O248" s="127">
        <v>0</v>
      </c>
      <c r="P248" s="127">
        <f t="shared" si="35"/>
        <v>0</v>
      </c>
      <c r="Q248" s="127">
        <v>0</v>
      </c>
      <c r="R248" s="127">
        <f t="shared" si="36"/>
        <v>0</v>
      </c>
      <c r="S248" s="127">
        <v>0</v>
      </c>
      <c r="T248" s="128">
        <f t="shared" si="37"/>
        <v>0</v>
      </c>
      <c r="W248" s="199"/>
      <c r="X248" s="119" t="s">
        <v>393</v>
      </c>
      <c r="Y248" s="119" t="s">
        <v>231</v>
      </c>
      <c r="Z248" s="120" t="s">
        <v>1077</v>
      </c>
      <c r="AA248" s="121" t="s">
        <v>1078</v>
      </c>
      <c r="AB248" s="122" t="s">
        <v>243</v>
      </c>
      <c r="AC248" s="123">
        <v>7</v>
      </c>
      <c r="AD248" s="124">
        <v>44.7</v>
      </c>
      <c r="AE248" s="200">
        <f t="shared" si="38"/>
        <v>312.89999999999998</v>
      </c>
      <c r="AF248" s="956"/>
      <c r="AG248" s="409"/>
      <c r="AH248" s="406"/>
      <c r="AI248" s="408"/>
      <c r="AR248" s="129" t="s">
        <v>258</v>
      </c>
      <c r="AT248" s="129" t="s">
        <v>231</v>
      </c>
      <c r="AU248" s="129" t="s">
        <v>76</v>
      </c>
      <c r="AY248" s="13" t="s">
        <v>228</v>
      </c>
      <c r="BE248" s="130">
        <f t="shared" si="39"/>
        <v>0</v>
      </c>
      <c r="BF248" s="130">
        <f t="shared" si="40"/>
        <v>312.89999999999998</v>
      </c>
      <c r="BG248" s="130">
        <f t="shared" si="41"/>
        <v>0</v>
      </c>
      <c r="BH248" s="130">
        <f t="shared" si="42"/>
        <v>0</v>
      </c>
      <c r="BI248" s="130">
        <f t="shared" si="43"/>
        <v>0</v>
      </c>
      <c r="BJ248" s="13" t="s">
        <v>76</v>
      </c>
      <c r="BK248" s="130">
        <f t="shared" si="44"/>
        <v>312.89999999999998</v>
      </c>
      <c r="BL248" s="13" t="s">
        <v>258</v>
      </c>
      <c r="BM248" s="129" t="s">
        <v>562</v>
      </c>
    </row>
    <row r="249" spans="2:65" s="1" customFormat="1" ht="16.5" customHeight="1" x14ac:dyDescent="0.2">
      <c r="B249" s="118"/>
      <c r="C249" s="119" t="s">
        <v>563</v>
      </c>
      <c r="D249" s="119" t="s">
        <v>231</v>
      </c>
      <c r="E249" s="120" t="s">
        <v>1079</v>
      </c>
      <c r="F249" s="121" t="s">
        <v>1080</v>
      </c>
      <c r="G249" s="122" t="s">
        <v>243</v>
      </c>
      <c r="H249" s="123">
        <v>44</v>
      </c>
      <c r="I249" s="124">
        <v>24.38</v>
      </c>
      <c r="J249" s="124">
        <f t="shared" si="34"/>
        <v>1072.72</v>
      </c>
      <c r="K249" s="121" t="s">
        <v>1</v>
      </c>
      <c r="L249" s="24"/>
      <c r="M249" s="125" t="s">
        <v>1</v>
      </c>
      <c r="N249" s="126" t="s">
        <v>32</v>
      </c>
      <c r="O249" s="127">
        <v>0</v>
      </c>
      <c r="P249" s="127">
        <f t="shared" si="35"/>
        <v>0</v>
      </c>
      <c r="Q249" s="127">
        <v>0</v>
      </c>
      <c r="R249" s="127">
        <f t="shared" si="36"/>
        <v>0</v>
      </c>
      <c r="S249" s="127">
        <v>0</v>
      </c>
      <c r="T249" s="128">
        <f t="shared" si="37"/>
        <v>0</v>
      </c>
      <c r="W249" s="199"/>
      <c r="X249" s="119" t="s">
        <v>563</v>
      </c>
      <c r="Y249" s="119" t="s">
        <v>231</v>
      </c>
      <c r="Z249" s="120" t="s">
        <v>1079</v>
      </c>
      <c r="AA249" s="121" t="s">
        <v>1080</v>
      </c>
      <c r="AB249" s="122" t="s">
        <v>243</v>
      </c>
      <c r="AC249" s="123">
        <v>44</v>
      </c>
      <c r="AD249" s="124">
        <v>24.38</v>
      </c>
      <c r="AE249" s="200">
        <f t="shared" si="38"/>
        <v>1072.72</v>
      </c>
      <c r="AF249" s="956"/>
      <c r="AG249" s="409"/>
      <c r="AH249" s="406"/>
      <c r="AI249" s="408"/>
      <c r="AR249" s="129" t="s">
        <v>258</v>
      </c>
      <c r="AT249" s="129" t="s">
        <v>231</v>
      </c>
      <c r="AU249" s="129" t="s">
        <v>76</v>
      </c>
      <c r="AY249" s="13" t="s">
        <v>228</v>
      </c>
      <c r="BE249" s="130">
        <f t="shared" si="39"/>
        <v>0</v>
      </c>
      <c r="BF249" s="130">
        <f t="shared" si="40"/>
        <v>1072.72</v>
      </c>
      <c r="BG249" s="130">
        <f t="shared" si="41"/>
        <v>0</v>
      </c>
      <c r="BH249" s="130">
        <f t="shared" si="42"/>
        <v>0</v>
      </c>
      <c r="BI249" s="130">
        <f t="shared" si="43"/>
        <v>0</v>
      </c>
      <c r="BJ249" s="13" t="s">
        <v>76</v>
      </c>
      <c r="BK249" s="130">
        <f t="shared" si="44"/>
        <v>1072.72</v>
      </c>
      <c r="BL249" s="13" t="s">
        <v>258</v>
      </c>
      <c r="BM249" s="129" t="s">
        <v>567</v>
      </c>
    </row>
    <row r="250" spans="2:65" s="1" customFormat="1" ht="16.5" customHeight="1" x14ac:dyDescent="0.2">
      <c r="B250" s="118"/>
      <c r="C250" s="205" t="s">
        <v>396</v>
      </c>
      <c r="D250" s="119" t="s">
        <v>231</v>
      </c>
      <c r="E250" s="120" t="s">
        <v>1081</v>
      </c>
      <c r="F250" s="121" t="s">
        <v>1082</v>
      </c>
      <c r="G250" s="122" t="s">
        <v>243</v>
      </c>
      <c r="H250" s="206">
        <v>7</v>
      </c>
      <c r="I250" s="124">
        <v>46.16</v>
      </c>
      <c r="J250" s="124">
        <f t="shared" si="34"/>
        <v>323.12</v>
      </c>
      <c r="K250" s="121" t="s">
        <v>1</v>
      </c>
      <c r="L250" s="24"/>
      <c r="M250" s="125" t="s">
        <v>1</v>
      </c>
      <c r="N250" s="126" t="s">
        <v>32</v>
      </c>
      <c r="O250" s="127">
        <v>0</v>
      </c>
      <c r="P250" s="127">
        <f t="shared" si="35"/>
        <v>0</v>
      </c>
      <c r="Q250" s="127">
        <v>0</v>
      </c>
      <c r="R250" s="127">
        <f t="shared" si="36"/>
        <v>0</v>
      </c>
      <c r="S250" s="127">
        <v>0</v>
      </c>
      <c r="T250" s="128">
        <f t="shared" si="37"/>
        <v>0</v>
      </c>
      <c r="W250" s="199"/>
      <c r="X250" s="205" t="s">
        <v>396</v>
      </c>
      <c r="Y250" s="119" t="s">
        <v>231</v>
      </c>
      <c r="Z250" s="120" t="s">
        <v>1081</v>
      </c>
      <c r="AA250" s="121" t="s">
        <v>1082</v>
      </c>
      <c r="AB250" s="122" t="s">
        <v>243</v>
      </c>
      <c r="AC250" s="206">
        <f>7+2</f>
        <v>9</v>
      </c>
      <c r="AD250" s="124">
        <v>46.16</v>
      </c>
      <c r="AE250" s="200">
        <f t="shared" si="38"/>
        <v>415.44</v>
      </c>
      <c r="AF250" s="956">
        <v>9</v>
      </c>
      <c r="AG250" s="409"/>
      <c r="AH250" s="406"/>
      <c r="AI250" s="408"/>
      <c r="AR250" s="129" t="s">
        <v>258</v>
      </c>
      <c r="AT250" s="129" t="s">
        <v>231</v>
      </c>
      <c r="AU250" s="129" t="s">
        <v>76</v>
      </c>
      <c r="AY250" s="13" t="s">
        <v>228</v>
      </c>
      <c r="BE250" s="130">
        <f t="shared" si="39"/>
        <v>0</v>
      </c>
      <c r="BF250" s="130">
        <f t="shared" si="40"/>
        <v>323.12</v>
      </c>
      <c r="BG250" s="130">
        <f t="shared" si="41"/>
        <v>0</v>
      </c>
      <c r="BH250" s="130">
        <f t="shared" si="42"/>
        <v>0</v>
      </c>
      <c r="BI250" s="130">
        <f t="shared" si="43"/>
        <v>0</v>
      </c>
      <c r="BJ250" s="13" t="s">
        <v>76</v>
      </c>
      <c r="BK250" s="130">
        <f t="shared" si="44"/>
        <v>323.12</v>
      </c>
      <c r="BL250" s="13" t="s">
        <v>258</v>
      </c>
      <c r="BM250" s="129" t="s">
        <v>571</v>
      </c>
    </row>
    <row r="251" spans="2:65" s="1" customFormat="1" ht="16.5" customHeight="1" x14ac:dyDescent="0.2">
      <c r="B251" s="118"/>
      <c r="C251" s="205" t="s">
        <v>574</v>
      </c>
      <c r="D251" s="119" t="s">
        <v>231</v>
      </c>
      <c r="E251" s="120" t="s">
        <v>1083</v>
      </c>
      <c r="F251" s="121" t="s">
        <v>1084</v>
      </c>
      <c r="G251" s="122" t="s">
        <v>243</v>
      </c>
      <c r="H251" s="206">
        <v>7</v>
      </c>
      <c r="I251" s="124">
        <v>30.19</v>
      </c>
      <c r="J251" s="124">
        <f t="shared" si="34"/>
        <v>211.33</v>
      </c>
      <c r="K251" s="121" t="s">
        <v>1</v>
      </c>
      <c r="L251" s="24"/>
      <c r="M251" s="125" t="s">
        <v>1</v>
      </c>
      <c r="N251" s="126" t="s">
        <v>32</v>
      </c>
      <c r="O251" s="127">
        <v>0</v>
      </c>
      <c r="P251" s="127">
        <f t="shared" si="35"/>
        <v>0</v>
      </c>
      <c r="Q251" s="127">
        <v>0</v>
      </c>
      <c r="R251" s="127">
        <f t="shared" si="36"/>
        <v>0</v>
      </c>
      <c r="S251" s="127">
        <v>0</v>
      </c>
      <c r="T251" s="128">
        <f t="shared" si="37"/>
        <v>0</v>
      </c>
      <c r="W251" s="199"/>
      <c r="X251" s="205" t="s">
        <v>574</v>
      </c>
      <c r="Y251" s="119" t="s">
        <v>231</v>
      </c>
      <c r="Z251" s="120" t="s">
        <v>1083</v>
      </c>
      <c r="AA251" s="121" t="s">
        <v>1084</v>
      </c>
      <c r="AB251" s="122" t="s">
        <v>243</v>
      </c>
      <c r="AC251" s="206">
        <f>7+2</f>
        <v>9</v>
      </c>
      <c r="AD251" s="124">
        <v>30.19</v>
      </c>
      <c r="AE251" s="200">
        <f t="shared" si="38"/>
        <v>271.70999999999998</v>
      </c>
      <c r="AF251" s="956">
        <v>9</v>
      </c>
      <c r="AG251" s="409"/>
      <c r="AH251" s="406"/>
      <c r="AI251" s="408"/>
      <c r="AR251" s="129" t="s">
        <v>258</v>
      </c>
      <c r="AT251" s="129" t="s">
        <v>231</v>
      </c>
      <c r="AU251" s="129" t="s">
        <v>76</v>
      </c>
      <c r="AY251" s="13" t="s">
        <v>228</v>
      </c>
      <c r="BE251" s="130">
        <f t="shared" si="39"/>
        <v>0</v>
      </c>
      <c r="BF251" s="130">
        <f t="shared" si="40"/>
        <v>211.33</v>
      </c>
      <c r="BG251" s="130">
        <f t="shared" si="41"/>
        <v>0</v>
      </c>
      <c r="BH251" s="130">
        <f t="shared" si="42"/>
        <v>0</v>
      </c>
      <c r="BI251" s="130">
        <f t="shared" si="43"/>
        <v>0</v>
      </c>
      <c r="BJ251" s="13" t="s">
        <v>76</v>
      </c>
      <c r="BK251" s="130">
        <f t="shared" si="44"/>
        <v>211.33</v>
      </c>
      <c r="BL251" s="13" t="s">
        <v>258</v>
      </c>
      <c r="BM251" s="129" t="s">
        <v>577</v>
      </c>
    </row>
    <row r="252" spans="2:65" s="1" customFormat="1" ht="24.45" customHeight="1" x14ac:dyDescent="0.2">
      <c r="B252" s="118"/>
      <c r="C252" s="205" t="s">
        <v>400</v>
      </c>
      <c r="D252" s="119" t="s">
        <v>231</v>
      </c>
      <c r="E252" s="120" t="s">
        <v>1085</v>
      </c>
      <c r="F252" s="121" t="s">
        <v>1086</v>
      </c>
      <c r="G252" s="122" t="s">
        <v>570</v>
      </c>
      <c r="H252" s="206">
        <v>222.04599999999999</v>
      </c>
      <c r="I252" s="124">
        <v>3.77</v>
      </c>
      <c r="J252" s="124">
        <f t="shared" si="34"/>
        <v>837.11</v>
      </c>
      <c r="K252" s="121" t="s">
        <v>1</v>
      </c>
      <c r="L252" s="24"/>
      <c r="M252" s="125" t="s">
        <v>1</v>
      </c>
      <c r="N252" s="126" t="s">
        <v>32</v>
      </c>
      <c r="O252" s="127">
        <v>0</v>
      </c>
      <c r="P252" s="127">
        <f t="shared" si="35"/>
        <v>0</v>
      </c>
      <c r="Q252" s="127">
        <v>0</v>
      </c>
      <c r="R252" s="127">
        <f t="shared" si="36"/>
        <v>0</v>
      </c>
      <c r="S252" s="127">
        <v>0</v>
      </c>
      <c r="T252" s="128">
        <f t="shared" si="37"/>
        <v>0</v>
      </c>
      <c r="W252" s="199"/>
      <c r="X252" s="205" t="s">
        <v>400</v>
      </c>
      <c r="Y252" s="119" t="s">
        <v>231</v>
      </c>
      <c r="Z252" s="120" t="s">
        <v>1085</v>
      </c>
      <c r="AA252" s="121" t="s">
        <v>1086</v>
      </c>
      <c r="AB252" s="122" t="s">
        <v>570</v>
      </c>
      <c r="AC252" s="206">
        <f>222.046+1.972</f>
        <v>224.018</v>
      </c>
      <c r="AD252" s="124">
        <v>3.77</v>
      </c>
      <c r="AE252" s="200">
        <f t="shared" si="38"/>
        <v>844.55</v>
      </c>
      <c r="AF252" s="956">
        <v>9</v>
      </c>
      <c r="AG252" s="409"/>
      <c r="AH252" s="406"/>
      <c r="AI252" s="408"/>
      <c r="AR252" s="129" t="s">
        <v>258</v>
      </c>
      <c r="AT252" s="129" t="s">
        <v>231</v>
      </c>
      <c r="AU252" s="129" t="s">
        <v>76</v>
      </c>
      <c r="AY252" s="13" t="s">
        <v>228</v>
      </c>
      <c r="BE252" s="130">
        <f t="shared" si="39"/>
        <v>0</v>
      </c>
      <c r="BF252" s="130">
        <f t="shared" si="40"/>
        <v>837.11</v>
      </c>
      <c r="BG252" s="130">
        <f t="shared" si="41"/>
        <v>0</v>
      </c>
      <c r="BH252" s="130">
        <f t="shared" si="42"/>
        <v>0</v>
      </c>
      <c r="BI252" s="130">
        <f t="shared" si="43"/>
        <v>0</v>
      </c>
      <c r="BJ252" s="13" t="s">
        <v>76</v>
      </c>
      <c r="BK252" s="130">
        <f t="shared" si="44"/>
        <v>837.11</v>
      </c>
      <c r="BL252" s="13" t="s">
        <v>258</v>
      </c>
      <c r="BM252" s="129" t="s">
        <v>580</v>
      </c>
    </row>
    <row r="253" spans="2:65" s="11" customFormat="1" ht="22.95" customHeight="1" x14ac:dyDescent="0.25">
      <c r="B253" s="106"/>
      <c r="D253" s="107" t="s">
        <v>57</v>
      </c>
      <c r="E253" s="116" t="s">
        <v>882</v>
      </c>
      <c r="F253" s="116" t="s">
        <v>883</v>
      </c>
      <c r="J253" s="117">
        <f>BK253</f>
        <v>95.8</v>
      </c>
      <c r="L253" s="106"/>
      <c r="M253" s="110"/>
      <c r="N253" s="111"/>
      <c r="O253" s="111"/>
      <c r="P253" s="112">
        <f>SUM(P254:P255)</f>
        <v>0</v>
      </c>
      <c r="Q253" s="111"/>
      <c r="R253" s="112">
        <f>SUM(R254:R255)</f>
        <v>0</v>
      </c>
      <c r="S253" s="111"/>
      <c r="T253" s="113">
        <f>SUM(T254:T255)</f>
        <v>0</v>
      </c>
      <c r="W253" s="195"/>
      <c r="X253" s="111"/>
      <c r="Y253" s="196" t="s">
        <v>57</v>
      </c>
      <c r="Z253" s="201" t="s">
        <v>882</v>
      </c>
      <c r="AA253" s="201" t="s">
        <v>883</v>
      </c>
      <c r="AB253" s="111"/>
      <c r="AC253" s="111"/>
      <c r="AD253" s="111"/>
      <c r="AE253" s="202">
        <f>SUM(AE254:AE255)</f>
        <v>95.8</v>
      </c>
      <c r="AF253" s="956"/>
      <c r="AG253" s="409"/>
      <c r="AH253" s="406"/>
      <c r="AI253" s="408"/>
      <c r="AR253" s="107" t="s">
        <v>76</v>
      </c>
      <c r="AT253" s="114" t="s">
        <v>57</v>
      </c>
      <c r="AU253" s="114" t="s">
        <v>63</v>
      </c>
      <c r="AY253" s="107" t="s">
        <v>228</v>
      </c>
      <c r="BK253" s="115">
        <f>SUM(BK254:BK255)</f>
        <v>95.8</v>
      </c>
    </row>
    <row r="254" spans="2:65" s="1" customFormat="1" ht="16.5" customHeight="1" x14ac:dyDescent="0.2">
      <c r="B254" s="118"/>
      <c r="C254" s="119" t="s">
        <v>405</v>
      </c>
      <c r="D254" s="119" t="s">
        <v>231</v>
      </c>
      <c r="E254" s="120" t="s">
        <v>1087</v>
      </c>
      <c r="F254" s="121" t="s">
        <v>1088</v>
      </c>
      <c r="G254" s="122" t="s">
        <v>284</v>
      </c>
      <c r="H254" s="123">
        <v>20</v>
      </c>
      <c r="I254" s="124">
        <v>2.5</v>
      </c>
      <c r="J254" s="124">
        <f>ROUND(I254*H254,2)</f>
        <v>50</v>
      </c>
      <c r="K254" s="121" t="s">
        <v>1</v>
      </c>
      <c r="L254" s="24"/>
      <c r="M254" s="125" t="s">
        <v>1</v>
      </c>
      <c r="N254" s="126" t="s">
        <v>32</v>
      </c>
      <c r="O254" s="127">
        <v>0</v>
      </c>
      <c r="P254" s="127">
        <f>O254*H254</f>
        <v>0</v>
      </c>
      <c r="Q254" s="127">
        <v>0</v>
      </c>
      <c r="R254" s="127">
        <f>Q254*H254</f>
        <v>0</v>
      </c>
      <c r="S254" s="127">
        <v>0</v>
      </c>
      <c r="T254" s="128">
        <f>S254*H254</f>
        <v>0</v>
      </c>
      <c r="W254" s="199"/>
      <c r="X254" s="119" t="s">
        <v>405</v>
      </c>
      <c r="Y254" s="119" t="s">
        <v>231</v>
      </c>
      <c r="Z254" s="120" t="s">
        <v>1087</v>
      </c>
      <c r="AA254" s="121" t="s">
        <v>1088</v>
      </c>
      <c r="AB254" s="122" t="s">
        <v>284</v>
      </c>
      <c r="AC254" s="123">
        <v>20</v>
      </c>
      <c r="AD254" s="124">
        <v>2.5</v>
      </c>
      <c r="AE254" s="200">
        <f>ROUND(AD254*AC254,2)</f>
        <v>50</v>
      </c>
      <c r="AF254" s="956"/>
      <c r="AG254" s="409"/>
      <c r="AH254" s="406"/>
      <c r="AI254" s="408"/>
      <c r="AR254" s="129" t="s">
        <v>258</v>
      </c>
      <c r="AT254" s="129" t="s">
        <v>231</v>
      </c>
      <c r="AU254" s="129" t="s">
        <v>76</v>
      </c>
      <c r="AY254" s="13" t="s">
        <v>228</v>
      </c>
      <c r="BE254" s="130">
        <f>IF(N254="základná",J254,0)</f>
        <v>0</v>
      </c>
      <c r="BF254" s="130">
        <f>IF(N254="znížená",J254,0)</f>
        <v>50</v>
      </c>
      <c r="BG254" s="130">
        <f>IF(N254="zákl. prenesená",J254,0)</f>
        <v>0</v>
      </c>
      <c r="BH254" s="130">
        <f>IF(N254="zníž. prenesená",J254,0)</f>
        <v>0</v>
      </c>
      <c r="BI254" s="130">
        <f>IF(N254="nulová",J254,0)</f>
        <v>0</v>
      </c>
      <c r="BJ254" s="13" t="s">
        <v>76</v>
      </c>
      <c r="BK254" s="130">
        <f>ROUND(I254*H254,2)</f>
        <v>50</v>
      </c>
      <c r="BL254" s="13" t="s">
        <v>258</v>
      </c>
      <c r="BM254" s="129" t="s">
        <v>585</v>
      </c>
    </row>
    <row r="255" spans="2:65" s="1" customFormat="1" ht="16.5" customHeight="1" x14ac:dyDescent="0.2">
      <c r="B255" s="118"/>
      <c r="C255" s="119" t="s">
        <v>404</v>
      </c>
      <c r="D255" s="119" t="s">
        <v>231</v>
      </c>
      <c r="E255" s="120" t="s">
        <v>1089</v>
      </c>
      <c r="F255" s="121" t="s">
        <v>1090</v>
      </c>
      <c r="G255" s="122" t="s">
        <v>292</v>
      </c>
      <c r="H255" s="123">
        <v>20</v>
      </c>
      <c r="I255" s="124">
        <v>2.29</v>
      </c>
      <c r="J255" s="124">
        <f>ROUND(I255*H255,2)</f>
        <v>45.8</v>
      </c>
      <c r="K255" s="121" t="s">
        <v>1</v>
      </c>
      <c r="L255" s="24"/>
      <c r="M255" s="140" t="s">
        <v>1</v>
      </c>
      <c r="N255" s="141" t="s">
        <v>32</v>
      </c>
      <c r="O255" s="142">
        <v>0</v>
      </c>
      <c r="P255" s="142">
        <f>O255*H255</f>
        <v>0</v>
      </c>
      <c r="Q255" s="142">
        <v>0</v>
      </c>
      <c r="R255" s="142">
        <f>Q255*H255</f>
        <v>0</v>
      </c>
      <c r="S255" s="142">
        <v>0</v>
      </c>
      <c r="T255" s="143">
        <f>S255*H255</f>
        <v>0</v>
      </c>
      <c r="W255" s="199"/>
      <c r="X255" s="119" t="s">
        <v>404</v>
      </c>
      <c r="Y255" s="119" t="s">
        <v>231</v>
      </c>
      <c r="Z255" s="120" t="s">
        <v>1089</v>
      </c>
      <c r="AA255" s="121" t="s">
        <v>1090</v>
      </c>
      <c r="AB255" s="122" t="s">
        <v>292</v>
      </c>
      <c r="AC255" s="123">
        <v>20</v>
      </c>
      <c r="AD255" s="124">
        <v>2.29</v>
      </c>
      <c r="AE255" s="200">
        <f>ROUND(AD255*AC255,2)</f>
        <v>45.8</v>
      </c>
      <c r="AF255" s="956"/>
      <c r="AG255" s="409"/>
      <c r="AH255" s="406"/>
      <c r="AI255" s="408"/>
      <c r="AR255" s="129" t="s">
        <v>258</v>
      </c>
      <c r="AT255" s="129" t="s">
        <v>231</v>
      </c>
      <c r="AU255" s="129" t="s">
        <v>76</v>
      </c>
      <c r="AY255" s="13" t="s">
        <v>228</v>
      </c>
      <c r="BE255" s="130">
        <f>IF(N255="základná",J255,0)</f>
        <v>0</v>
      </c>
      <c r="BF255" s="130">
        <f>IF(N255="znížená",J255,0)</f>
        <v>45.8</v>
      </c>
      <c r="BG255" s="130">
        <f>IF(N255="zákl. prenesená",J255,0)</f>
        <v>0</v>
      </c>
      <c r="BH255" s="130">
        <f>IF(N255="zníž. prenesená",J255,0)</f>
        <v>0</v>
      </c>
      <c r="BI255" s="130">
        <f>IF(N255="nulová",J255,0)</f>
        <v>0</v>
      </c>
      <c r="BJ255" s="13" t="s">
        <v>76</v>
      </c>
      <c r="BK255" s="130">
        <f>ROUND(I255*H255,2)</f>
        <v>45.8</v>
      </c>
      <c r="BL255" s="13" t="s">
        <v>258</v>
      </c>
      <c r="BM255" s="129" t="s">
        <v>588</v>
      </c>
    </row>
    <row r="256" spans="2:65" s="1" customFormat="1" ht="7.05" customHeight="1" x14ac:dyDescent="0.2">
      <c r="B256" s="33"/>
      <c r="C256" s="34"/>
      <c r="D256" s="34"/>
      <c r="E256" s="34"/>
      <c r="F256" s="34"/>
      <c r="G256" s="34"/>
      <c r="H256" s="34"/>
      <c r="I256" s="34"/>
      <c r="J256" s="34"/>
      <c r="K256" s="34"/>
      <c r="L256" s="24"/>
      <c r="W256" s="175"/>
      <c r="X256" s="176"/>
      <c r="Y256" s="176"/>
      <c r="Z256" s="176"/>
      <c r="AA256" s="176"/>
      <c r="AB256" s="176"/>
      <c r="AC256" s="176"/>
      <c r="AD256" s="176"/>
      <c r="AE256" s="177"/>
      <c r="AF256" s="956"/>
      <c r="AG256" s="409"/>
      <c r="AH256" s="406"/>
      <c r="AI256" s="408"/>
    </row>
    <row r="257" spans="32:35" ht="12" x14ac:dyDescent="0.2">
      <c r="AF257" s="956"/>
      <c r="AG257" s="410"/>
      <c r="AH257" s="410"/>
      <c r="AI257" s="408"/>
    </row>
    <row r="258" spans="32:35" ht="12" x14ac:dyDescent="0.2">
      <c r="AF258" s="956"/>
      <c r="AG258" s="410"/>
      <c r="AH258" s="410"/>
      <c r="AI258" s="408"/>
    </row>
    <row r="259" spans="32:35" x14ac:dyDescent="0.2">
      <c r="AF259" s="410"/>
      <c r="AG259" s="410"/>
      <c r="AH259" s="410"/>
      <c r="AI259" s="408"/>
    </row>
  </sheetData>
  <autoFilter ref="C129:K255" xr:uid="{00000000-0009-0000-0000-000002000000}"/>
  <mergeCells count="41">
    <mergeCell ref="Y4:AE4"/>
    <mergeCell ref="F6:J7"/>
    <mergeCell ref="AA6:AE7"/>
    <mergeCell ref="C82:J82"/>
    <mergeCell ref="X82:AE82"/>
    <mergeCell ref="Z9:AC9"/>
    <mergeCell ref="Z18:AC18"/>
    <mergeCell ref="Z27:AC27"/>
    <mergeCell ref="C142:J142"/>
    <mergeCell ref="L2:V2"/>
    <mergeCell ref="E9:H9"/>
    <mergeCell ref="E18:H18"/>
    <mergeCell ref="E27:H27"/>
    <mergeCell ref="D4:J4"/>
    <mergeCell ref="C225:J225"/>
    <mergeCell ref="Z85:AC85"/>
    <mergeCell ref="Z84:AE84"/>
    <mergeCell ref="E85:H85"/>
    <mergeCell ref="E84:J84"/>
    <mergeCell ref="C162:J162"/>
    <mergeCell ref="E87:H87"/>
    <mergeCell ref="E120:H120"/>
    <mergeCell ref="E122:H122"/>
    <mergeCell ref="X117:AE117"/>
    <mergeCell ref="E119:J119"/>
    <mergeCell ref="Z119:AE119"/>
    <mergeCell ref="Z87:AC87"/>
    <mergeCell ref="Z120:AC120"/>
    <mergeCell ref="Z122:AC122"/>
    <mergeCell ref="C161:J161"/>
    <mergeCell ref="C145:J145"/>
    <mergeCell ref="C221:J221"/>
    <mergeCell ref="C222:J222"/>
    <mergeCell ref="C223:J223"/>
    <mergeCell ref="C224:J224"/>
    <mergeCell ref="C217:J217"/>
    <mergeCell ref="C168:J168"/>
    <mergeCell ref="C213:J213"/>
    <mergeCell ref="C214:J214"/>
    <mergeCell ref="C215:J215"/>
    <mergeCell ref="C216:J216"/>
  </mergeCells>
  <pageMargins left="0.39374999999999999" right="0.39374999999999999" top="0.39374999999999999" bottom="0.39374999999999999" header="0" footer="0"/>
  <pageSetup paperSize="9" scale="33" fitToWidth="0" orientation="portrait" blackAndWhite="1" r:id="rId1"/>
  <headerFooter>
    <oddFooter>&amp;CStrana &amp;P z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249977111117893"/>
    <pageSetUpPr fitToPage="1"/>
  </sheetPr>
  <dimension ref="A1:BM211"/>
  <sheetViews>
    <sheetView showGridLines="0" topLeftCell="F90" zoomScale="80" zoomScaleNormal="80" workbookViewId="0">
      <selection activeCell="AE97" activeCellId="2" sqref="AE110 AE102 AE97"/>
    </sheetView>
  </sheetViews>
  <sheetFormatPr defaultColWidth="8.7109375" defaultRowHeight="10.199999999999999" x14ac:dyDescent="0.2"/>
  <cols>
    <col min="1" max="1" width="8.28515625" customWidth="1"/>
    <col min="2" max="2" width="1.7109375" customWidth="1"/>
    <col min="3" max="4" width="4.28515625" customWidth="1"/>
    <col min="5" max="5" width="17.28515625" customWidth="1"/>
    <col min="6" max="6" width="50.7109375" customWidth="1"/>
    <col min="7" max="7" width="7" customWidth="1"/>
    <col min="8" max="8" width="13.28515625" customWidth="1"/>
    <col min="9" max="10" width="20.28515625" customWidth="1"/>
    <col min="11" max="11" width="20.28515625" hidden="1" customWidth="1"/>
    <col min="12" max="12" width="9.28515625" customWidth="1"/>
    <col min="13" max="13" width="10.7109375" hidden="1" customWidth="1"/>
    <col min="14" max="14" width="9.28515625" hidden="1"/>
    <col min="15" max="20" width="14.28515625" hidden="1" customWidth="1"/>
    <col min="21" max="21" width="16.28515625" hidden="1" customWidth="1"/>
    <col min="22" max="22" width="12.28515625" customWidth="1"/>
    <col min="23" max="23" width="1.7109375" style="683" customWidth="1"/>
    <col min="24" max="25" width="4.28515625" style="683" customWidth="1"/>
    <col min="26" max="26" width="17.28515625" style="683" customWidth="1"/>
    <col min="27" max="27" width="50.7109375" style="683" customWidth="1"/>
    <col min="28" max="28" width="7" style="683" customWidth="1"/>
    <col min="29" max="29" width="13" style="683" customWidth="1"/>
    <col min="30" max="31" width="20.28515625" style="683" customWidth="1"/>
    <col min="44" max="65" width="9.28515625" hidden="1"/>
  </cols>
  <sheetData>
    <row r="1" spans="1:46" x14ac:dyDescent="0.2">
      <c r="A1" s="73"/>
    </row>
    <row r="2" spans="1:46" ht="37.049999999999997" customHeight="1" x14ac:dyDescent="0.2">
      <c r="L2" s="1227" t="s">
        <v>5</v>
      </c>
      <c r="M2" s="1225"/>
      <c r="N2" s="1225"/>
      <c r="O2" s="1225"/>
      <c r="P2" s="1225"/>
      <c r="Q2" s="1225"/>
      <c r="R2" s="1225"/>
      <c r="S2" s="1225"/>
      <c r="T2" s="1225"/>
      <c r="U2" s="1225"/>
      <c r="V2" s="1225"/>
      <c r="AT2" s="13" t="s">
        <v>147</v>
      </c>
    </row>
    <row r="3" spans="1:46" ht="7.05" customHeight="1" x14ac:dyDescent="0.2">
      <c r="B3" s="14"/>
      <c r="C3" s="15"/>
      <c r="D3" s="15"/>
      <c r="E3" s="15"/>
      <c r="F3" s="15"/>
      <c r="G3" s="15"/>
      <c r="H3" s="15"/>
      <c r="I3" s="15"/>
      <c r="J3" s="15"/>
      <c r="K3" s="15"/>
      <c r="L3" s="16"/>
      <c r="W3" s="14"/>
      <c r="X3" s="15"/>
      <c r="Y3" s="15"/>
      <c r="Z3" s="15"/>
      <c r="AA3" s="15"/>
      <c r="AB3" s="15"/>
      <c r="AC3" s="15"/>
      <c r="AD3" s="15"/>
      <c r="AE3" s="690"/>
      <c r="AT3" s="13" t="s">
        <v>58</v>
      </c>
    </row>
    <row r="4" spans="1:46" ht="25.05" customHeight="1" x14ac:dyDescent="0.2">
      <c r="B4" s="16"/>
      <c r="C4" s="1165" t="s">
        <v>185</v>
      </c>
      <c r="D4" s="1165"/>
      <c r="E4" s="1165"/>
      <c r="F4" s="1165"/>
      <c r="G4" s="1165"/>
      <c r="H4" s="1165"/>
      <c r="I4" s="1165"/>
      <c r="J4" s="1165"/>
      <c r="L4" s="16"/>
      <c r="M4" s="74" t="s">
        <v>9</v>
      </c>
      <c r="W4" s="16"/>
      <c r="X4" s="1237" t="s">
        <v>185</v>
      </c>
      <c r="Y4" s="1237"/>
      <c r="Z4" s="1237"/>
      <c r="AA4" s="1237"/>
      <c r="AB4" s="1237"/>
      <c r="AC4" s="1237"/>
      <c r="AD4" s="1237"/>
      <c r="AE4" s="1238"/>
      <c r="AT4" s="13" t="s">
        <v>3</v>
      </c>
    </row>
    <row r="5" spans="1:46" ht="7.05" customHeight="1" x14ac:dyDescent="0.2">
      <c r="B5" s="16"/>
      <c r="L5" s="16"/>
      <c r="W5" s="16"/>
      <c r="X5" s="156"/>
      <c r="Y5" s="156"/>
      <c r="Z5" s="156"/>
      <c r="AA5" s="156"/>
      <c r="AB5" s="156"/>
      <c r="AC5" s="156"/>
      <c r="AD5" s="156"/>
      <c r="AE5" s="157"/>
    </row>
    <row r="6" spans="1:46" ht="12" customHeight="1" x14ac:dyDescent="0.2">
      <c r="B6" s="16"/>
      <c r="D6" s="548" t="s">
        <v>12</v>
      </c>
      <c r="F6" s="1254" t="s">
        <v>6176</v>
      </c>
      <c r="G6" s="1254"/>
      <c r="H6" s="1254"/>
      <c r="I6" s="1254"/>
      <c r="J6" s="1254"/>
      <c r="L6" s="16"/>
      <c r="W6" s="16"/>
      <c r="X6" s="156"/>
      <c r="Y6" s="541" t="s">
        <v>12</v>
      </c>
      <c r="Z6" s="156"/>
      <c r="AA6" s="1239" t="s">
        <v>6176</v>
      </c>
      <c r="AB6" s="1239"/>
      <c r="AC6" s="1239"/>
      <c r="AD6" s="1239"/>
      <c r="AE6" s="1240"/>
    </row>
    <row r="7" spans="1:46" ht="24.45" customHeight="1" x14ac:dyDescent="0.2">
      <c r="B7" s="16"/>
      <c r="D7" s="527"/>
      <c r="E7" s="531"/>
      <c r="F7" s="1254"/>
      <c r="G7" s="1254"/>
      <c r="H7" s="1254"/>
      <c r="I7" s="1254"/>
      <c r="J7" s="1254"/>
      <c r="L7" s="16"/>
      <c r="W7" s="16"/>
      <c r="X7" s="156"/>
      <c r="Y7" s="539"/>
      <c r="Z7" s="245"/>
      <c r="AA7" s="1239"/>
      <c r="AB7" s="1239"/>
      <c r="AC7" s="1239"/>
      <c r="AD7" s="1239"/>
      <c r="AE7" s="1240"/>
    </row>
    <row r="8" spans="1:46" s="1" customFormat="1" ht="12" customHeight="1" x14ac:dyDescent="0.2">
      <c r="B8" s="24"/>
      <c r="D8" s="549" t="s">
        <v>186</v>
      </c>
      <c r="F8" s="532" t="s">
        <v>4339</v>
      </c>
      <c r="L8" s="24"/>
      <c r="W8" s="24"/>
      <c r="X8" s="685"/>
      <c r="Y8" s="550" t="s">
        <v>186</v>
      </c>
      <c r="Z8" s="685"/>
      <c r="AA8" s="555" t="s">
        <v>4339</v>
      </c>
      <c r="AB8" s="685"/>
      <c r="AC8" s="685"/>
      <c r="AD8" s="685"/>
      <c r="AE8" s="159"/>
    </row>
    <row r="9" spans="1:46" s="1" customFormat="1" ht="37.049999999999997" customHeight="1" x14ac:dyDescent="0.2">
      <c r="B9" s="24"/>
      <c r="D9" s="521"/>
      <c r="E9" s="1251"/>
      <c r="F9" s="1252"/>
      <c r="G9" s="1252"/>
      <c r="H9" s="1252"/>
      <c r="L9" s="24"/>
      <c r="W9" s="24"/>
      <c r="X9" s="685"/>
      <c r="Y9" s="685"/>
      <c r="Z9" s="1245"/>
      <c r="AA9" s="1246"/>
      <c r="AB9" s="1246"/>
      <c r="AC9" s="1246"/>
      <c r="AD9" s="685"/>
      <c r="AE9" s="159"/>
    </row>
    <row r="10" spans="1:46" s="1" customFormat="1" x14ac:dyDescent="0.2">
      <c r="B10" s="24"/>
      <c r="D10" s="521"/>
      <c r="L10" s="24"/>
      <c r="W10" s="24"/>
      <c r="X10" s="685"/>
      <c r="Y10" s="685"/>
      <c r="Z10" s="685"/>
      <c r="AA10" s="685"/>
      <c r="AB10" s="685"/>
      <c r="AC10" s="685"/>
      <c r="AD10" s="685"/>
      <c r="AE10" s="159"/>
    </row>
    <row r="11" spans="1:46" s="1" customFormat="1" ht="12" customHeight="1" x14ac:dyDescent="0.2">
      <c r="B11" s="24"/>
      <c r="D11" s="528" t="s">
        <v>13</v>
      </c>
      <c r="F11" s="19" t="s">
        <v>1</v>
      </c>
      <c r="I11" s="528" t="s">
        <v>14</v>
      </c>
      <c r="J11" s="19" t="s">
        <v>1</v>
      </c>
      <c r="L11" s="24"/>
      <c r="W11" s="24"/>
      <c r="X11" s="685"/>
      <c r="Y11" s="688" t="s">
        <v>13</v>
      </c>
      <c r="Z11" s="685"/>
      <c r="AA11" s="684" t="s">
        <v>1</v>
      </c>
      <c r="AB11" s="685"/>
      <c r="AC11" s="685"/>
      <c r="AD11" s="688" t="s">
        <v>14</v>
      </c>
      <c r="AE11" s="161" t="s">
        <v>1</v>
      </c>
    </row>
    <row r="12" spans="1:46" s="1" customFormat="1" ht="12" customHeight="1" x14ac:dyDescent="0.2">
      <c r="B12" s="24"/>
      <c r="D12" s="528" t="s">
        <v>15</v>
      </c>
      <c r="F12" s="520" t="s">
        <v>6173</v>
      </c>
      <c r="I12" s="528" t="s">
        <v>17</v>
      </c>
      <c r="J12" s="39"/>
      <c r="L12" s="24"/>
      <c r="W12" s="24"/>
      <c r="X12" s="685"/>
      <c r="Y12" s="688" t="s">
        <v>15</v>
      </c>
      <c r="Z12" s="685"/>
      <c r="AA12" s="684" t="s">
        <v>6173</v>
      </c>
      <c r="AB12" s="685"/>
      <c r="AC12" s="685"/>
      <c r="AD12" s="688" t="s">
        <v>17</v>
      </c>
      <c r="AE12" s="162"/>
    </row>
    <row r="13" spans="1:46" s="1" customFormat="1" ht="10.95" customHeight="1" x14ac:dyDescent="0.2">
      <c r="B13" s="24"/>
      <c r="D13" s="521"/>
      <c r="F13" s="521"/>
      <c r="I13" s="521"/>
      <c r="L13" s="24"/>
      <c r="W13" s="24"/>
      <c r="X13" s="685"/>
      <c r="Y13" s="685"/>
      <c r="Z13" s="685"/>
      <c r="AA13" s="685"/>
      <c r="AB13" s="685"/>
      <c r="AC13" s="685"/>
      <c r="AD13" s="685"/>
      <c r="AE13" s="159"/>
    </row>
    <row r="14" spans="1:46" s="1" customFormat="1" ht="12" customHeight="1" x14ac:dyDescent="0.2">
      <c r="B14" s="24"/>
      <c r="D14" s="528" t="s">
        <v>18</v>
      </c>
      <c r="F14" s="529" t="s">
        <v>6175</v>
      </c>
      <c r="I14" s="528" t="s">
        <v>19</v>
      </c>
      <c r="J14" s="19" t="str">
        <f>IF('Rekapitulácia stavby'!AN10="","",'Rekapitulácia stavby'!AN10)</f>
        <v/>
      </c>
      <c r="L14" s="24"/>
      <c r="W14" s="24"/>
      <c r="X14" s="685"/>
      <c r="Y14" s="688" t="s">
        <v>18</v>
      </c>
      <c r="Z14" s="685"/>
      <c r="AA14" s="576" t="s">
        <v>6175</v>
      </c>
      <c r="AB14" s="685"/>
      <c r="AC14" s="685"/>
      <c r="AD14" s="688" t="s">
        <v>19</v>
      </c>
      <c r="AE14" s="161" t="str">
        <f>IF('Rekapitulácia stavby'!BI10="","",'Rekapitulácia stavby'!BI10)</f>
        <v/>
      </c>
    </row>
    <row r="15" spans="1:46" s="1" customFormat="1" ht="18" customHeight="1" x14ac:dyDescent="0.2">
      <c r="B15" s="24"/>
      <c r="D15" s="521"/>
      <c r="E15" s="19" t="str">
        <f>IF('Rekapitulácia stavby'!E11="","",'Rekapitulácia stavby'!E11)</f>
        <v/>
      </c>
      <c r="F15" s="521"/>
      <c r="I15" s="528" t="s">
        <v>20</v>
      </c>
      <c r="J15" s="19" t="str">
        <f>IF('Rekapitulácia stavby'!AN11="","",'Rekapitulácia stavby'!AN11)</f>
        <v/>
      </c>
      <c r="L15" s="24"/>
      <c r="W15" s="24"/>
      <c r="X15" s="685"/>
      <c r="Y15" s="685"/>
      <c r="Z15" s="684" t="str">
        <f>IF('Rekapitulácia stavby'!Z11="","",'Rekapitulácia stavby'!Z11)</f>
        <v/>
      </c>
      <c r="AA15" s="685"/>
      <c r="AB15" s="685"/>
      <c r="AC15" s="685"/>
      <c r="AD15" s="688" t="s">
        <v>20</v>
      </c>
      <c r="AE15" s="161" t="str">
        <f>IF('Rekapitulácia stavby'!BI11="","",'Rekapitulácia stavby'!BI11)</f>
        <v/>
      </c>
    </row>
    <row r="16" spans="1:46" s="1" customFormat="1" ht="7.05" customHeight="1" x14ac:dyDescent="0.2">
      <c r="B16" s="24"/>
      <c r="D16" s="521"/>
      <c r="F16" s="521"/>
      <c r="I16" s="521"/>
      <c r="L16" s="24"/>
      <c r="W16" s="24"/>
      <c r="X16" s="685"/>
      <c r="Y16" s="685"/>
      <c r="Z16" s="685"/>
      <c r="AA16" s="685"/>
      <c r="AB16" s="685"/>
      <c r="AC16" s="685"/>
      <c r="AD16" s="685"/>
      <c r="AE16" s="159"/>
    </row>
    <row r="17" spans="2:31" s="1" customFormat="1" ht="12" customHeight="1" x14ac:dyDescent="0.2">
      <c r="B17" s="24"/>
      <c r="D17" s="528" t="s">
        <v>21</v>
      </c>
      <c r="F17" s="529" t="s">
        <v>5202</v>
      </c>
      <c r="I17" s="528" t="s">
        <v>19</v>
      </c>
      <c r="J17" s="19"/>
      <c r="L17" s="24"/>
      <c r="W17" s="24"/>
      <c r="X17" s="685"/>
      <c r="Y17" s="688" t="s">
        <v>21</v>
      </c>
      <c r="Z17" s="685"/>
      <c r="AA17" s="576" t="s">
        <v>5202</v>
      </c>
      <c r="AB17" s="685"/>
      <c r="AC17" s="685"/>
      <c r="AD17" s="688" t="s">
        <v>19</v>
      </c>
      <c r="AE17" s="161"/>
    </row>
    <row r="18" spans="2:31" s="1" customFormat="1" ht="18" customHeight="1" x14ac:dyDescent="0.2">
      <c r="B18" s="24"/>
      <c r="D18" s="521"/>
      <c r="E18" s="1161"/>
      <c r="F18" s="1161"/>
      <c r="G18" s="1161"/>
      <c r="H18" s="1161"/>
      <c r="I18" s="528" t="s">
        <v>20</v>
      </c>
      <c r="J18" s="19" t="str">
        <f>'Rekapitulácia stavby'!AN14</f>
        <v/>
      </c>
      <c r="L18" s="24"/>
      <c r="W18" s="24"/>
      <c r="X18" s="685"/>
      <c r="Y18" s="685"/>
      <c r="Z18" s="1247"/>
      <c r="AA18" s="1247"/>
      <c r="AB18" s="1247"/>
      <c r="AC18" s="1247"/>
      <c r="AD18" s="688" t="s">
        <v>20</v>
      </c>
      <c r="AE18" s="161"/>
    </row>
    <row r="19" spans="2:31" s="1" customFormat="1" ht="7.05" customHeight="1" x14ac:dyDescent="0.2">
      <c r="B19" s="24"/>
      <c r="D19" s="521"/>
      <c r="I19" s="521"/>
      <c r="L19" s="24"/>
      <c r="W19" s="24"/>
      <c r="X19" s="685"/>
      <c r="Y19" s="685"/>
      <c r="Z19" s="685"/>
      <c r="AA19" s="685"/>
      <c r="AB19" s="685"/>
      <c r="AC19" s="685"/>
      <c r="AD19" s="685"/>
      <c r="AE19" s="159"/>
    </row>
    <row r="20" spans="2:31" s="1" customFormat="1" ht="12" customHeight="1" x14ac:dyDescent="0.2">
      <c r="B20" s="24"/>
      <c r="D20" s="528" t="s">
        <v>22</v>
      </c>
      <c r="I20" s="528" t="s">
        <v>19</v>
      </c>
      <c r="J20" s="19" t="str">
        <f>IF('Rekapitulácia stavby'!AN16="","",'Rekapitulácia stavby'!AN16)</f>
        <v/>
      </c>
      <c r="L20" s="24"/>
      <c r="W20" s="24"/>
      <c r="X20" s="685"/>
      <c r="Y20" s="688" t="s">
        <v>22</v>
      </c>
      <c r="Z20" s="685"/>
      <c r="AA20" s="685"/>
      <c r="AB20" s="685"/>
      <c r="AC20" s="685"/>
      <c r="AD20" s="688" t="s">
        <v>19</v>
      </c>
      <c r="AE20" s="161" t="str">
        <f>IF('Rekapitulácia stavby'!BI16="","",'Rekapitulácia stavby'!BI16)</f>
        <v/>
      </c>
    </row>
    <row r="21" spans="2:31" s="1" customFormat="1" ht="18" customHeight="1" x14ac:dyDescent="0.2">
      <c r="B21" s="24"/>
      <c r="D21" s="521"/>
      <c r="E21" s="19" t="str">
        <f>IF('Rekapitulácia stavby'!E17="","",'Rekapitulácia stavby'!E17)</f>
        <v xml:space="preserve"> </v>
      </c>
      <c r="I21" s="528" t="s">
        <v>20</v>
      </c>
      <c r="J21" s="19" t="str">
        <f>IF('Rekapitulácia stavby'!AN17="","",'Rekapitulácia stavby'!AN17)</f>
        <v/>
      </c>
      <c r="L21" s="24"/>
      <c r="W21" s="24"/>
      <c r="X21" s="685"/>
      <c r="Y21" s="685"/>
      <c r="Z21" s="684" t="str">
        <f>IF('Rekapitulácia stavby'!Z17="","",'Rekapitulácia stavby'!Z17)</f>
        <v/>
      </c>
      <c r="AA21" s="685"/>
      <c r="AB21" s="685"/>
      <c r="AC21" s="685"/>
      <c r="AD21" s="688" t="s">
        <v>20</v>
      </c>
      <c r="AE21" s="161" t="str">
        <f>IF('Rekapitulácia stavby'!BI17="","",'Rekapitulácia stavby'!BI17)</f>
        <v/>
      </c>
    </row>
    <row r="22" spans="2:31" s="1" customFormat="1" ht="7.05" customHeight="1" x14ac:dyDescent="0.2">
      <c r="B22" s="24"/>
      <c r="D22" s="521"/>
      <c r="I22" s="521"/>
      <c r="L22" s="24"/>
      <c r="W22" s="24"/>
      <c r="X22" s="685"/>
      <c r="Y22" s="685"/>
      <c r="Z22" s="685"/>
      <c r="AA22" s="685"/>
      <c r="AB22" s="685"/>
      <c r="AC22" s="685"/>
      <c r="AD22" s="685"/>
      <c r="AE22" s="159"/>
    </row>
    <row r="23" spans="2:31" s="1" customFormat="1" ht="12" customHeight="1" x14ac:dyDescent="0.2">
      <c r="B23" s="24"/>
      <c r="D23" s="528" t="s">
        <v>24</v>
      </c>
      <c r="I23" s="528" t="s">
        <v>19</v>
      </c>
      <c r="J23" s="19" t="str">
        <f>IF('Rekapitulácia stavby'!AN19="","",'Rekapitulácia stavby'!AN19)</f>
        <v/>
      </c>
      <c r="L23" s="24"/>
      <c r="W23" s="24"/>
      <c r="X23" s="685"/>
      <c r="Y23" s="688" t="s">
        <v>24</v>
      </c>
      <c r="Z23" s="685"/>
      <c r="AA23" s="685"/>
      <c r="AB23" s="685"/>
      <c r="AC23" s="685"/>
      <c r="AD23" s="688" t="s">
        <v>19</v>
      </c>
      <c r="AE23" s="161" t="str">
        <f>IF('Rekapitulácia stavby'!BI19="","",'Rekapitulácia stavby'!BI19)</f>
        <v/>
      </c>
    </row>
    <row r="24" spans="2:31" s="1" customFormat="1" ht="18" customHeight="1" x14ac:dyDescent="0.2">
      <c r="B24" s="24"/>
      <c r="D24" s="521"/>
      <c r="E24" s="19" t="str">
        <f>IF('Rekapitulácia stavby'!E20="","",'Rekapitulácia stavby'!E20)</f>
        <v xml:space="preserve"> </v>
      </c>
      <c r="I24" s="528" t="s">
        <v>20</v>
      </c>
      <c r="J24" s="19" t="str">
        <f>IF('Rekapitulácia stavby'!AN20="","",'Rekapitulácia stavby'!AN20)</f>
        <v/>
      </c>
      <c r="L24" s="24"/>
      <c r="W24" s="24"/>
      <c r="X24" s="685"/>
      <c r="Y24" s="685"/>
      <c r="Z24" s="684" t="str">
        <f>IF('Rekapitulácia stavby'!Z20="","",'Rekapitulácia stavby'!Z20)</f>
        <v/>
      </c>
      <c r="AA24" s="685"/>
      <c r="AB24" s="685"/>
      <c r="AC24" s="685"/>
      <c r="AD24" s="688" t="s">
        <v>20</v>
      </c>
      <c r="AE24" s="161" t="str">
        <f>IF('Rekapitulácia stavby'!BI20="","",'Rekapitulácia stavby'!BI20)</f>
        <v/>
      </c>
    </row>
    <row r="25" spans="2:31" s="1" customFormat="1" ht="7.05" customHeight="1" x14ac:dyDescent="0.2">
      <c r="B25" s="24"/>
      <c r="D25" s="521"/>
      <c r="L25" s="24"/>
      <c r="W25" s="24"/>
      <c r="X25" s="685"/>
      <c r="Y25" s="685"/>
      <c r="Z25" s="685"/>
      <c r="AA25" s="685"/>
      <c r="AB25" s="685"/>
      <c r="AC25" s="685"/>
      <c r="AD25" s="685"/>
      <c r="AE25" s="159"/>
    </row>
    <row r="26" spans="2:31" s="1" customFormat="1" ht="12" customHeight="1" x14ac:dyDescent="0.2">
      <c r="B26" s="24"/>
      <c r="D26" s="528" t="s">
        <v>25</v>
      </c>
      <c r="L26" s="24"/>
      <c r="W26" s="24"/>
      <c r="X26" s="685"/>
      <c r="Y26" s="688" t="s">
        <v>25</v>
      </c>
      <c r="Z26" s="685"/>
      <c r="AA26" s="685"/>
      <c r="AB26" s="685"/>
      <c r="AC26" s="685"/>
      <c r="AD26" s="685"/>
      <c r="AE26" s="159"/>
    </row>
    <row r="27" spans="2:31" s="7" customFormat="1" ht="16.5" customHeight="1" x14ac:dyDescent="0.2">
      <c r="B27" s="75"/>
      <c r="E27" s="1228" t="s">
        <v>1</v>
      </c>
      <c r="F27" s="1228"/>
      <c r="G27" s="1228"/>
      <c r="H27" s="1228"/>
      <c r="L27" s="75"/>
      <c r="W27" s="75"/>
      <c r="X27" s="164"/>
      <c r="Y27" s="164"/>
      <c r="Z27" s="1248" t="s">
        <v>1</v>
      </c>
      <c r="AA27" s="1248"/>
      <c r="AB27" s="1248"/>
      <c r="AC27" s="1248"/>
      <c r="AD27" s="164"/>
      <c r="AE27" s="165"/>
    </row>
    <row r="28" spans="2:31" s="1" customFormat="1" ht="7.05" customHeight="1" x14ac:dyDescent="0.2">
      <c r="B28" s="24"/>
      <c r="L28" s="24"/>
      <c r="W28" s="24"/>
      <c r="X28" s="685"/>
      <c r="Y28" s="685"/>
      <c r="Z28" s="685"/>
      <c r="AA28" s="685"/>
      <c r="AB28" s="685"/>
      <c r="AC28" s="685"/>
      <c r="AD28" s="685"/>
      <c r="AE28" s="159"/>
    </row>
    <row r="29" spans="2:31" s="1" customFormat="1" ht="7.05" customHeight="1" x14ac:dyDescent="0.2">
      <c r="B29" s="24"/>
      <c r="D29" s="40"/>
      <c r="E29" s="40"/>
      <c r="F29" s="40"/>
      <c r="G29" s="40"/>
      <c r="H29" s="40"/>
      <c r="I29" s="40"/>
      <c r="J29" s="40"/>
      <c r="K29" s="40"/>
      <c r="L29" s="24"/>
      <c r="W29" s="24"/>
      <c r="X29" s="685"/>
      <c r="Y29" s="40"/>
      <c r="Z29" s="40"/>
      <c r="AA29" s="40"/>
      <c r="AB29" s="40"/>
      <c r="AC29" s="40"/>
      <c r="AD29" s="40"/>
      <c r="AE29" s="166"/>
    </row>
    <row r="30" spans="2:31" s="1" customFormat="1" ht="25.2" customHeight="1" x14ac:dyDescent="0.2">
      <c r="B30" s="24"/>
      <c r="D30" s="76" t="s">
        <v>26</v>
      </c>
      <c r="J30" s="53">
        <f>ROUND(J131, 2)</f>
        <v>291607.14</v>
      </c>
      <c r="L30" s="24"/>
      <c r="W30" s="24"/>
      <c r="X30" s="685"/>
      <c r="Y30" s="167" t="s">
        <v>26</v>
      </c>
      <c r="Z30" s="685"/>
      <c r="AA30" s="685"/>
      <c r="AB30" s="685"/>
      <c r="AC30" s="685"/>
      <c r="AD30" s="685"/>
      <c r="AE30" s="168">
        <f>ROUND(AE131, 2)</f>
        <v>315347.39</v>
      </c>
    </row>
    <row r="31" spans="2:31" s="1" customFormat="1" ht="7.05" customHeight="1" x14ac:dyDescent="0.2">
      <c r="B31" s="24"/>
      <c r="D31" s="40"/>
      <c r="E31" s="40"/>
      <c r="F31" s="40"/>
      <c r="G31" s="40"/>
      <c r="H31" s="40"/>
      <c r="I31" s="40"/>
      <c r="J31" s="40"/>
      <c r="K31" s="40"/>
      <c r="L31" s="24"/>
      <c r="W31" s="24"/>
      <c r="X31" s="685"/>
      <c r="Y31" s="40"/>
      <c r="Z31" s="40"/>
      <c r="AA31" s="40"/>
      <c r="AB31" s="40"/>
      <c r="AC31" s="40"/>
      <c r="AD31" s="40"/>
      <c r="AE31" s="166"/>
    </row>
    <row r="32" spans="2:31" s="1" customFormat="1" ht="14.55" customHeight="1" x14ac:dyDescent="0.2">
      <c r="B32" s="24"/>
      <c r="D32" s="521"/>
      <c r="E32" s="521"/>
      <c r="F32" s="534" t="s">
        <v>28</v>
      </c>
      <c r="G32" s="521"/>
      <c r="H32" s="521"/>
      <c r="I32" s="534" t="s">
        <v>27</v>
      </c>
      <c r="J32" s="534" t="s">
        <v>29</v>
      </c>
      <c r="L32" s="24"/>
      <c r="W32" s="24"/>
      <c r="X32" s="685"/>
      <c r="Y32" s="685"/>
      <c r="Z32" s="685"/>
      <c r="AA32" s="542" t="s">
        <v>28</v>
      </c>
      <c r="AB32" s="685"/>
      <c r="AC32" s="685"/>
      <c r="AD32" s="542" t="s">
        <v>27</v>
      </c>
      <c r="AE32" s="543" t="s">
        <v>29</v>
      </c>
    </row>
    <row r="33" spans="2:31" s="1" customFormat="1" ht="14.55" customHeight="1" x14ac:dyDescent="0.2">
      <c r="B33" s="24"/>
      <c r="D33" s="13" t="s">
        <v>30</v>
      </c>
      <c r="E33" s="528" t="s">
        <v>31</v>
      </c>
      <c r="F33" s="398">
        <f>ROUND((SUM(BE131:BE210)),  2)</f>
        <v>0</v>
      </c>
      <c r="G33" s="521"/>
      <c r="H33" s="521"/>
      <c r="I33" s="535">
        <v>0.2</v>
      </c>
      <c r="J33" s="398">
        <f>ROUND(((SUM(BE131:BE210))*I33),  2)</f>
        <v>0</v>
      </c>
      <c r="L33" s="24"/>
      <c r="W33" s="24"/>
      <c r="X33" s="685"/>
      <c r="Y33" s="544" t="s">
        <v>30</v>
      </c>
      <c r="Z33" s="688" t="s">
        <v>31</v>
      </c>
      <c r="AA33" s="545">
        <f>ROUND((SUM(BZ131:BZ210)),  2)</f>
        <v>0</v>
      </c>
      <c r="AB33" s="685"/>
      <c r="AC33" s="685"/>
      <c r="AD33" s="546">
        <v>0.2</v>
      </c>
      <c r="AE33" s="547">
        <f>ROUND(((SUM(BZ131:BZ210))*AD33),  2)</f>
        <v>0</v>
      </c>
    </row>
    <row r="34" spans="2:31" s="1" customFormat="1" ht="14.55" customHeight="1" x14ac:dyDescent="0.2">
      <c r="B34" s="24"/>
      <c r="D34" s="521"/>
      <c r="E34" s="528" t="s">
        <v>32</v>
      </c>
      <c r="F34" s="398">
        <f>ROUND((SUM(BF131:BF210)),  2)</f>
        <v>291607.14</v>
      </c>
      <c r="G34" s="521"/>
      <c r="H34" s="521"/>
      <c r="I34" s="535">
        <v>0.2</v>
      </c>
      <c r="J34" s="398">
        <f>ROUND(((SUM(BF131:BF210))*I34),  2)</f>
        <v>58321.43</v>
      </c>
      <c r="L34" s="24"/>
      <c r="W34" s="24"/>
      <c r="X34" s="685"/>
      <c r="Y34" s="685"/>
      <c r="Z34" s="688" t="s">
        <v>32</v>
      </c>
      <c r="AA34" s="545">
        <f>AE30</f>
        <v>315347.39</v>
      </c>
      <c r="AB34" s="685"/>
      <c r="AC34" s="685"/>
      <c r="AD34" s="546">
        <v>0.2</v>
      </c>
      <c r="AE34" s="547">
        <f>AA34*0.2</f>
        <v>63069.478000000003</v>
      </c>
    </row>
    <row r="35" spans="2:31" s="1" customFormat="1" ht="14.55" hidden="1" customHeight="1" x14ac:dyDescent="0.2">
      <c r="B35" s="24"/>
      <c r="E35" s="21" t="s">
        <v>33</v>
      </c>
      <c r="F35" s="78">
        <f>ROUND((SUM(BG131:BG210)),  2)</f>
        <v>0</v>
      </c>
      <c r="I35" s="79">
        <v>0.2</v>
      </c>
      <c r="J35" s="78">
        <f>0</f>
        <v>0</v>
      </c>
      <c r="L35" s="24"/>
      <c r="W35" s="24"/>
      <c r="X35" s="685"/>
      <c r="Y35" s="685"/>
      <c r="Z35" s="686" t="s">
        <v>33</v>
      </c>
      <c r="AA35" s="170">
        <f>ROUND((SUM(CB131:CB210)),  2)</f>
        <v>0</v>
      </c>
      <c r="AB35" s="685"/>
      <c r="AC35" s="685"/>
      <c r="AD35" s="171">
        <v>0.2</v>
      </c>
      <c r="AE35" s="172">
        <f>0</f>
        <v>0</v>
      </c>
    </row>
    <row r="36" spans="2:31" s="1" customFormat="1" ht="14.55" hidden="1" customHeight="1" x14ac:dyDescent="0.2">
      <c r="B36" s="24"/>
      <c r="E36" s="21" t="s">
        <v>34</v>
      </c>
      <c r="F36" s="78">
        <f>ROUND((SUM(BH131:BH210)),  2)</f>
        <v>0</v>
      </c>
      <c r="I36" s="79">
        <v>0.2</v>
      </c>
      <c r="J36" s="78">
        <f>0</f>
        <v>0</v>
      </c>
      <c r="L36" s="24"/>
      <c r="W36" s="24"/>
      <c r="X36" s="685"/>
      <c r="Y36" s="685"/>
      <c r="Z36" s="686" t="s">
        <v>34</v>
      </c>
      <c r="AA36" s="170">
        <f>ROUND((SUM(CC131:CC210)),  2)</f>
        <v>0</v>
      </c>
      <c r="AB36" s="685"/>
      <c r="AC36" s="685"/>
      <c r="AD36" s="171">
        <v>0.2</v>
      </c>
      <c r="AE36" s="172">
        <f>0</f>
        <v>0</v>
      </c>
    </row>
    <row r="37" spans="2:31" s="1" customFormat="1" ht="14.55" hidden="1" customHeight="1" x14ac:dyDescent="0.2">
      <c r="B37" s="24"/>
      <c r="E37" s="21" t="s">
        <v>35</v>
      </c>
      <c r="F37" s="78">
        <f>ROUND((SUM(BI131:BI210)),  2)</f>
        <v>0</v>
      </c>
      <c r="I37" s="79">
        <v>0</v>
      </c>
      <c r="J37" s="78">
        <f>0</f>
        <v>0</v>
      </c>
      <c r="L37" s="24"/>
      <c r="W37" s="24"/>
      <c r="X37" s="685"/>
      <c r="Y37" s="685"/>
      <c r="Z37" s="686" t="s">
        <v>35</v>
      </c>
      <c r="AA37" s="170">
        <f>ROUND((SUM(CD131:CD210)),  2)</f>
        <v>0</v>
      </c>
      <c r="AB37" s="685"/>
      <c r="AC37" s="685"/>
      <c r="AD37" s="171">
        <v>0</v>
      </c>
      <c r="AE37" s="172">
        <f>0</f>
        <v>0</v>
      </c>
    </row>
    <row r="38" spans="2:31" s="1" customFormat="1" ht="7.05" customHeight="1" x14ac:dyDescent="0.2">
      <c r="B38" s="24"/>
      <c r="L38" s="24"/>
      <c r="W38" s="24"/>
      <c r="X38" s="685"/>
      <c r="Y38" s="685"/>
      <c r="Z38" s="685"/>
      <c r="AA38" s="685"/>
      <c r="AB38" s="685"/>
      <c r="AC38" s="685"/>
      <c r="AD38" s="685"/>
      <c r="AE38" s="159"/>
    </row>
    <row r="39" spans="2:31" s="1" customFormat="1" ht="25.2" customHeight="1" x14ac:dyDescent="0.2">
      <c r="B39" s="24"/>
      <c r="C39" s="80"/>
      <c r="D39" s="81" t="s">
        <v>36</v>
      </c>
      <c r="E39" s="44"/>
      <c r="F39" s="44"/>
      <c r="G39" s="82" t="s">
        <v>37</v>
      </c>
      <c r="H39" s="83" t="s">
        <v>38</v>
      </c>
      <c r="I39" s="44"/>
      <c r="J39" s="84">
        <f>SUM(J30:J37)</f>
        <v>349928.57</v>
      </c>
      <c r="K39" s="85"/>
      <c r="L39" s="24"/>
      <c r="W39" s="24"/>
      <c r="X39" s="173"/>
      <c r="Y39" s="81" t="s">
        <v>36</v>
      </c>
      <c r="Z39" s="44"/>
      <c r="AA39" s="44"/>
      <c r="AB39" s="82" t="s">
        <v>37</v>
      </c>
      <c r="AC39" s="83" t="s">
        <v>38</v>
      </c>
      <c r="AD39" s="44"/>
      <c r="AE39" s="174">
        <f>SUM(AE30:AE37)</f>
        <v>378416.86800000002</v>
      </c>
    </row>
    <row r="40" spans="2:31" s="1" customFormat="1" ht="14.55" customHeight="1" x14ac:dyDescent="0.2">
      <c r="B40" s="24"/>
      <c r="L40" s="24"/>
      <c r="W40" s="24"/>
      <c r="X40" s="685"/>
      <c r="Y40" s="685"/>
      <c r="Z40" s="685"/>
      <c r="AA40" s="685"/>
      <c r="AB40" s="685"/>
      <c r="AC40" s="685"/>
      <c r="AD40" s="685"/>
      <c r="AE40" s="159"/>
    </row>
    <row r="41" spans="2:31" ht="14.55" customHeight="1" x14ac:dyDescent="0.2">
      <c r="B41" s="16"/>
      <c r="L41" s="16"/>
      <c r="W41" s="16"/>
      <c r="X41" s="156"/>
      <c r="Y41" s="156"/>
      <c r="Z41" s="156"/>
      <c r="AA41" s="156"/>
      <c r="AB41" s="156"/>
      <c r="AC41" s="156"/>
      <c r="AD41" s="156"/>
      <c r="AE41" s="157"/>
    </row>
    <row r="42" spans="2:31" ht="14.55" customHeight="1" x14ac:dyDescent="0.2">
      <c r="B42" s="16"/>
      <c r="L42" s="16"/>
      <c r="W42" s="16"/>
      <c r="X42" s="156"/>
      <c r="Y42" s="156"/>
      <c r="Z42" s="156"/>
      <c r="AA42" s="156"/>
      <c r="AB42" s="156"/>
      <c r="AC42" s="156"/>
      <c r="AD42" s="156"/>
      <c r="AE42" s="157"/>
    </row>
    <row r="43" spans="2:31" ht="14.55" customHeight="1" x14ac:dyDescent="0.2">
      <c r="B43" s="16"/>
      <c r="L43" s="16"/>
      <c r="W43" s="16"/>
      <c r="X43" s="156"/>
      <c r="Y43" s="156"/>
      <c r="Z43" s="156"/>
      <c r="AA43" s="156"/>
      <c r="AB43" s="156"/>
      <c r="AC43" s="156"/>
      <c r="AD43" s="156"/>
      <c r="AE43" s="157"/>
    </row>
    <row r="44" spans="2:31" ht="14.55" customHeight="1" x14ac:dyDescent="0.2">
      <c r="B44" s="16"/>
      <c r="L44" s="16"/>
      <c r="W44" s="16"/>
      <c r="X44" s="156"/>
      <c r="Y44" s="156"/>
      <c r="Z44" s="156"/>
      <c r="AA44" s="156"/>
      <c r="AB44" s="156"/>
      <c r="AC44" s="156"/>
      <c r="AD44" s="156"/>
      <c r="AE44" s="157"/>
    </row>
    <row r="45" spans="2:31" ht="14.55" customHeight="1" x14ac:dyDescent="0.2">
      <c r="B45" s="16"/>
      <c r="L45" s="16"/>
      <c r="W45" s="16"/>
      <c r="X45" s="156"/>
      <c r="Y45" s="156"/>
      <c r="Z45" s="156"/>
      <c r="AA45" s="156"/>
      <c r="AB45" s="156"/>
      <c r="AC45" s="156"/>
      <c r="AD45" s="156"/>
      <c r="AE45" s="157"/>
    </row>
    <row r="46" spans="2:31" ht="14.55" customHeight="1" x14ac:dyDescent="0.2">
      <c r="B46" s="16"/>
      <c r="L46" s="16"/>
      <c r="W46" s="16"/>
      <c r="X46" s="156"/>
      <c r="Y46" s="156"/>
      <c r="Z46" s="156"/>
      <c r="AA46" s="156"/>
      <c r="AB46" s="156"/>
      <c r="AC46" s="156"/>
      <c r="AD46" s="156"/>
      <c r="AE46" s="157"/>
    </row>
    <row r="47" spans="2:31" ht="14.55" customHeight="1" x14ac:dyDescent="0.2">
      <c r="B47" s="16"/>
      <c r="L47" s="16"/>
      <c r="W47" s="16"/>
      <c r="X47" s="156"/>
      <c r="Y47" s="156"/>
      <c r="Z47" s="156"/>
      <c r="AA47" s="156"/>
      <c r="AB47" s="156"/>
      <c r="AC47" s="156"/>
      <c r="AD47" s="156"/>
      <c r="AE47" s="157"/>
    </row>
    <row r="48" spans="2:31" ht="14.55" customHeight="1" x14ac:dyDescent="0.2">
      <c r="B48" s="16"/>
      <c r="L48" s="16"/>
      <c r="W48" s="16"/>
      <c r="X48" s="156"/>
      <c r="Y48" s="156"/>
      <c r="Z48" s="156"/>
      <c r="AA48" s="156"/>
      <c r="AB48" s="156"/>
      <c r="AC48" s="156"/>
      <c r="AD48" s="156"/>
      <c r="AE48" s="157"/>
    </row>
    <row r="49" spans="2:31" ht="14.55" customHeight="1" x14ac:dyDescent="0.2">
      <c r="B49" s="16"/>
      <c r="D49" s="156"/>
      <c r="E49" s="156"/>
      <c r="F49" s="156"/>
      <c r="G49" s="156"/>
      <c r="H49" s="156"/>
      <c r="I49" s="156"/>
      <c r="J49" s="156"/>
      <c r="L49" s="16"/>
      <c r="W49" s="16"/>
      <c r="X49" s="156"/>
      <c r="Y49" s="156"/>
      <c r="Z49" s="156"/>
      <c r="AA49" s="156"/>
      <c r="AB49" s="156"/>
      <c r="AC49" s="156"/>
      <c r="AD49" s="156"/>
      <c r="AE49" s="157"/>
    </row>
    <row r="50" spans="2:31" s="1" customFormat="1" ht="14.55" customHeight="1" x14ac:dyDescent="0.2">
      <c r="B50" s="24"/>
      <c r="D50" s="530"/>
      <c r="E50" s="523"/>
      <c r="F50" s="523"/>
      <c r="G50" s="530"/>
      <c r="H50" s="523"/>
      <c r="I50" s="523"/>
      <c r="J50" s="523"/>
      <c r="K50" s="32"/>
      <c r="L50" s="24"/>
      <c r="W50" s="24"/>
      <c r="X50" s="685"/>
      <c r="Y50" s="530"/>
      <c r="Z50" s="685"/>
      <c r="AA50" s="685"/>
      <c r="AB50" s="530"/>
      <c r="AC50" s="685"/>
      <c r="AD50" s="685"/>
      <c r="AE50" s="159"/>
    </row>
    <row r="51" spans="2:31" x14ac:dyDescent="0.2">
      <c r="B51" s="16"/>
      <c r="D51" s="156"/>
      <c r="E51" s="156"/>
      <c r="F51" s="156"/>
      <c r="G51" s="156"/>
      <c r="H51" s="156"/>
      <c r="I51" s="156"/>
      <c r="J51" s="156"/>
      <c r="L51" s="16"/>
      <c r="W51" s="16"/>
      <c r="X51" s="156"/>
      <c r="Y51" s="156"/>
      <c r="Z51" s="156"/>
      <c r="AA51" s="156"/>
      <c r="AB51" s="156"/>
      <c r="AC51" s="156"/>
      <c r="AD51" s="156"/>
      <c r="AE51" s="157"/>
    </row>
    <row r="52" spans="2:31" x14ac:dyDescent="0.2">
      <c r="B52" s="16"/>
      <c r="D52" s="156"/>
      <c r="E52" s="156"/>
      <c r="F52" s="156"/>
      <c r="G52" s="156"/>
      <c r="H52" s="156"/>
      <c r="I52" s="156"/>
      <c r="J52" s="156"/>
      <c r="L52" s="16"/>
      <c r="W52" s="16"/>
      <c r="X52" s="156"/>
      <c r="Y52" s="156"/>
      <c r="Z52" s="156"/>
      <c r="AA52" s="156"/>
      <c r="AB52" s="156"/>
      <c r="AC52" s="156"/>
      <c r="AD52" s="156"/>
      <c r="AE52" s="157"/>
    </row>
    <row r="53" spans="2:31" x14ac:dyDescent="0.2">
      <c r="B53" s="16"/>
      <c r="D53" s="156"/>
      <c r="E53" s="156"/>
      <c r="F53" s="156"/>
      <c r="G53" s="156"/>
      <c r="H53" s="156"/>
      <c r="I53" s="156"/>
      <c r="J53" s="156"/>
      <c r="L53" s="16"/>
      <c r="W53" s="16"/>
      <c r="X53" s="156"/>
      <c r="Y53" s="156"/>
      <c r="Z53" s="156"/>
      <c r="AA53" s="156"/>
      <c r="AB53" s="156"/>
      <c r="AC53" s="156"/>
      <c r="AD53" s="156"/>
      <c r="AE53" s="157"/>
    </row>
    <row r="54" spans="2:31" x14ac:dyDescent="0.2">
      <c r="B54" s="16"/>
      <c r="D54" s="156"/>
      <c r="E54" s="156"/>
      <c r="F54" s="156"/>
      <c r="G54" s="156"/>
      <c r="H54" s="156"/>
      <c r="I54" s="156"/>
      <c r="J54" s="156"/>
      <c r="L54" s="16"/>
      <c r="W54" s="16"/>
      <c r="X54" s="156"/>
      <c r="Y54" s="156"/>
      <c r="Z54" s="156"/>
      <c r="AA54" s="156"/>
      <c r="AB54" s="156"/>
      <c r="AC54" s="156"/>
      <c r="AD54" s="156"/>
      <c r="AE54" s="157"/>
    </row>
    <row r="55" spans="2:31" x14ac:dyDescent="0.2">
      <c r="B55" s="16"/>
      <c r="D55" s="156"/>
      <c r="E55" s="156"/>
      <c r="F55" s="156"/>
      <c r="G55" s="156"/>
      <c r="H55" s="156"/>
      <c r="I55" s="156"/>
      <c r="J55" s="156"/>
      <c r="L55" s="16"/>
      <c r="W55" s="16"/>
      <c r="X55" s="156"/>
      <c r="Y55" s="156"/>
      <c r="Z55" s="156"/>
      <c r="AA55" s="156"/>
      <c r="AB55" s="156"/>
      <c r="AC55" s="156"/>
      <c r="AD55" s="156"/>
      <c r="AE55" s="157"/>
    </row>
    <row r="56" spans="2:31" x14ac:dyDescent="0.2">
      <c r="B56" s="16"/>
      <c r="D56" s="156"/>
      <c r="E56" s="156"/>
      <c r="F56" s="156"/>
      <c r="G56" s="156"/>
      <c r="H56" s="156"/>
      <c r="I56" s="156"/>
      <c r="J56" s="156"/>
      <c r="L56" s="16"/>
      <c r="W56" s="16"/>
      <c r="X56" s="156"/>
      <c r="Y56" s="156"/>
      <c r="Z56" s="156"/>
      <c r="AA56" s="156"/>
      <c r="AB56" s="156"/>
      <c r="AC56" s="156"/>
      <c r="AD56" s="156"/>
      <c r="AE56" s="157"/>
    </row>
    <row r="57" spans="2:31" x14ac:dyDescent="0.2">
      <c r="B57" s="16"/>
      <c r="D57" s="156"/>
      <c r="E57" s="156"/>
      <c r="F57" s="156"/>
      <c r="G57" s="156"/>
      <c r="H57" s="156"/>
      <c r="I57" s="156"/>
      <c r="J57" s="156"/>
      <c r="L57" s="16"/>
      <c r="W57" s="16"/>
      <c r="X57" s="156"/>
      <c r="Y57" s="156"/>
      <c r="Z57" s="156"/>
      <c r="AA57" s="156"/>
      <c r="AB57" s="156"/>
      <c r="AC57" s="156"/>
      <c r="AD57" s="156"/>
      <c r="AE57" s="157"/>
    </row>
    <row r="58" spans="2:31" x14ac:dyDescent="0.2">
      <c r="B58" s="16"/>
      <c r="D58" s="156"/>
      <c r="E58" s="156"/>
      <c r="F58" s="156"/>
      <c r="G58" s="156"/>
      <c r="H58" s="156"/>
      <c r="I58" s="156"/>
      <c r="J58" s="156"/>
      <c r="L58" s="16"/>
      <c r="W58" s="16"/>
      <c r="X58" s="156"/>
      <c r="Y58" s="156"/>
      <c r="Z58" s="156"/>
      <c r="AA58" s="156"/>
      <c r="AB58" s="156"/>
      <c r="AC58" s="156"/>
      <c r="AD58" s="156"/>
      <c r="AE58" s="157"/>
    </row>
    <row r="59" spans="2:31" x14ac:dyDescent="0.2">
      <c r="B59" s="16"/>
      <c r="D59" s="156"/>
      <c r="E59" s="156"/>
      <c r="F59" s="156"/>
      <c r="G59" s="156"/>
      <c r="H59" s="156"/>
      <c r="I59" s="156"/>
      <c r="J59" s="156"/>
      <c r="L59" s="16"/>
      <c r="W59" s="16"/>
      <c r="X59" s="156"/>
      <c r="Y59" s="156"/>
      <c r="Z59" s="156"/>
      <c r="AA59" s="156"/>
      <c r="AB59" s="156"/>
      <c r="AC59" s="156"/>
      <c r="AD59" s="156"/>
      <c r="AE59" s="157"/>
    </row>
    <row r="60" spans="2:31" x14ac:dyDescent="0.2">
      <c r="B60" s="16"/>
      <c r="D60" s="156"/>
      <c r="E60" s="156"/>
      <c r="F60" s="156"/>
      <c r="G60" s="156"/>
      <c r="H60" s="156"/>
      <c r="I60" s="156"/>
      <c r="J60" s="156"/>
      <c r="L60" s="16"/>
      <c r="W60" s="16"/>
      <c r="X60" s="156"/>
      <c r="Y60" s="156"/>
      <c r="Z60" s="156"/>
      <c r="AA60" s="156"/>
      <c r="AB60" s="156"/>
      <c r="AC60" s="156"/>
      <c r="AD60" s="156"/>
      <c r="AE60" s="157"/>
    </row>
    <row r="61" spans="2:31" s="1" customFormat="1" ht="13.2" x14ac:dyDescent="0.2">
      <c r="B61" s="24"/>
      <c r="D61" s="522"/>
      <c r="E61" s="523"/>
      <c r="F61" s="536"/>
      <c r="G61" s="522"/>
      <c r="H61" s="523"/>
      <c r="I61" s="523"/>
      <c r="J61" s="169"/>
      <c r="K61" s="26"/>
      <c r="L61" s="24"/>
      <c r="W61" s="24"/>
      <c r="X61" s="685"/>
      <c r="Y61" s="686"/>
      <c r="Z61" s="685"/>
      <c r="AA61" s="536"/>
      <c r="AB61" s="686"/>
      <c r="AC61" s="685"/>
      <c r="AD61" s="685"/>
      <c r="AE61" s="577"/>
    </row>
    <row r="62" spans="2:31" x14ac:dyDescent="0.2">
      <c r="B62" s="16"/>
      <c r="D62" s="156"/>
      <c r="E62" s="156"/>
      <c r="F62" s="156"/>
      <c r="G62" s="156"/>
      <c r="H62" s="156"/>
      <c r="I62" s="156"/>
      <c r="J62" s="156"/>
      <c r="L62" s="16"/>
      <c r="W62" s="16"/>
      <c r="X62" s="156"/>
      <c r="Y62" s="156"/>
      <c r="Z62" s="156"/>
      <c r="AA62" s="156"/>
      <c r="AB62" s="156"/>
      <c r="AC62" s="156"/>
      <c r="AD62" s="156"/>
      <c r="AE62" s="157"/>
    </row>
    <row r="63" spans="2:31" x14ac:dyDescent="0.2">
      <c r="B63" s="16"/>
      <c r="D63" s="156"/>
      <c r="E63" s="156"/>
      <c r="F63" s="156"/>
      <c r="G63" s="156"/>
      <c r="H63" s="156"/>
      <c r="I63" s="156"/>
      <c r="J63" s="156"/>
      <c r="L63" s="16"/>
      <c r="W63" s="16"/>
      <c r="X63" s="156"/>
      <c r="Y63" s="156"/>
      <c r="Z63" s="156"/>
      <c r="AA63" s="156"/>
      <c r="AB63" s="156"/>
      <c r="AC63" s="156"/>
      <c r="AD63" s="156"/>
      <c r="AE63" s="157"/>
    </row>
    <row r="64" spans="2:31" x14ac:dyDescent="0.2">
      <c r="B64" s="16"/>
      <c r="D64" s="156"/>
      <c r="E64" s="156"/>
      <c r="F64" s="156"/>
      <c r="G64" s="156"/>
      <c r="H64" s="156"/>
      <c r="I64" s="156"/>
      <c r="J64" s="156"/>
      <c r="L64" s="16"/>
      <c r="W64" s="16"/>
      <c r="X64" s="156"/>
      <c r="Y64" s="156"/>
      <c r="Z64" s="156"/>
      <c r="AA64" s="156"/>
      <c r="AB64" s="156"/>
      <c r="AC64" s="156"/>
      <c r="AD64" s="156"/>
      <c r="AE64" s="157"/>
    </row>
    <row r="65" spans="2:31" s="1" customFormat="1" ht="13.2" x14ac:dyDescent="0.2">
      <c r="B65" s="24"/>
      <c r="D65" s="530"/>
      <c r="E65" s="523"/>
      <c r="F65" s="523"/>
      <c r="G65" s="530"/>
      <c r="H65" s="523"/>
      <c r="I65" s="523"/>
      <c r="J65" s="523"/>
      <c r="K65" s="32"/>
      <c r="L65" s="24"/>
      <c r="W65" s="24"/>
      <c r="X65" s="685"/>
      <c r="Y65" s="530"/>
      <c r="Z65" s="685"/>
      <c r="AA65" s="685"/>
      <c r="AB65" s="530"/>
      <c r="AC65" s="685"/>
      <c r="AD65" s="685"/>
      <c r="AE65" s="159"/>
    </row>
    <row r="66" spans="2:31" x14ac:dyDescent="0.2">
      <c r="B66" s="16"/>
      <c r="D66" s="156"/>
      <c r="E66" s="156"/>
      <c r="F66" s="156"/>
      <c r="G66" s="156"/>
      <c r="H66" s="156"/>
      <c r="I66" s="156"/>
      <c r="J66" s="156"/>
      <c r="L66" s="16"/>
      <c r="W66" s="16"/>
      <c r="X66" s="156"/>
      <c r="Y66" s="156"/>
      <c r="Z66" s="156"/>
      <c r="AA66" s="156"/>
      <c r="AB66" s="156"/>
      <c r="AC66" s="156"/>
      <c r="AD66" s="156"/>
      <c r="AE66" s="157"/>
    </row>
    <row r="67" spans="2:31" x14ac:dyDescent="0.2">
      <c r="B67" s="16"/>
      <c r="D67" s="156"/>
      <c r="E67" s="156"/>
      <c r="F67" s="156"/>
      <c r="G67" s="156"/>
      <c r="H67" s="156"/>
      <c r="I67" s="156"/>
      <c r="J67" s="156"/>
      <c r="L67" s="16"/>
      <c r="W67" s="16"/>
      <c r="X67" s="156"/>
      <c r="Y67" s="156"/>
      <c r="Z67" s="156"/>
      <c r="AA67" s="156"/>
      <c r="AB67" s="156"/>
      <c r="AC67" s="156"/>
      <c r="AD67" s="156"/>
      <c r="AE67" s="157"/>
    </row>
    <row r="68" spans="2:31" x14ac:dyDescent="0.2">
      <c r="B68" s="16"/>
      <c r="D68" s="156"/>
      <c r="E68" s="156"/>
      <c r="F68" s="156"/>
      <c r="G68" s="156"/>
      <c r="H68" s="156"/>
      <c r="I68" s="156"/>
      <c r="J68" s="156"/>
      <c r="L68" s="16"/>
      <c r="W68" s="16"/>
      <c r="X68" s="156"/>
      <c r="Y68" s="156"/>
      <c r="Z68" s="156"/>
      <c r="AA68" s="156"/>
      <c r="AB68" s="156"/>
      <c r="AC68" s="156"/>
      <c r="AD68" s="156"/>
      <c r="AE68" s="157"/>
    </row>
    <row r="69" spans="2:31" x14ac:dyDescent="0.2">
      <c r="B69" s="16"/>
      <c r="D69" s="156"/>
      <c r="E69" s="156"/>
      <c r="F69" s="156"/>
      <c r="G69" s="156"/>
      <c r="H69" s="156"/>
      <c r="I69" s="156"/>
      <c r="J69" s="156"/>
      <c r="L69" s="16"/>
      <c r="W69" s="16"/>
      <c r="X69" s="156"/>
      <c r="Y69" s="156"/>
      <c r="Z69" s="156"/>
      <c r="AA69" s="156"/>
      <c r="AB69" s="156"/>
      <c r="AC69" s="156"/>
      <c r="AD69" s="156"/>
      <c r="AE69" s="157"/>
    </row>
    <row r="70" spans="2:31" x14ac:dyDescent="0.2">
      <c r="B70" s="16"/>
      <c r="D70" s="156"/>
      <c r="E70" s="156"/>
      <c r="F70" s="156"/>
      <c r="G70" s="156"/>
      <c r="H70" s="156"/>
      <c r="I70" s="156"/>
      <c r="J70" s="156"/>
      <c r="L70" s="16"/>
      <c r="W70" s="16"/>
      <c r="X70" s="156"/>
      <c r="Y70" s="156"/>
      <c r="Z70" s="156"/>
      <c r="AA70" s="156"/>
      <c r="AB70" s="156"/>
      <c r="AC70" s="156"/>
      <c r="AD70" s="156"/>
      <c r="AE70" s="157"/>
    </row>
    <row r="71" spans="2:31" x14ac:dyDescent="0.2">
      <c r="B71" s="16"/>
      <c r="D71" s="156"/>
      <c r="E71" s="156"/>
      <c r="F71" s="156"/>
      <c r="G71" s="156"/>
      <c r="H71" s="156"/>
      <c r="I71" s="156"/>
      <c r="J71" s="156"/>
      <c r="L71" s="16"/>
      <c r="W71" s="16"/>
      <c r="X71" s="156"/>
      <c r="Y71" s="156"/>
      <c r="Z71" s="156"/>
      <c r="AA71" s="156"/>
      <c r="AB71" s="156"/>
      <c r="AC71" s="156"/>
      <c r="AD71" s="156"/>
      <c r="AE71" s="157"/>
    </row>
    <row r="72" spans="2:31" x14ac:dyDescent="0.2">
      <c r="B72" s="16"/>
      <c r="D72" s="156"/>
      <c r="E72" s="156"/>
      <c r="F72" s="156"/>
      <c r="G72" s="156"/>
      <c r="H72" s="156"/>
      <c r="I72" s="156"/>
      <c r="J72" s="156"/>
      <c r="L72" s="16"/>
      <c r="W72" s="16"/>
      <c r="X72" s="156"/>
      <c r="Y72" s="156"/>
      <c r="Z72" s="156"/>
      <c r="AA72" s="156"/>
      <c r="AB72" s="156"/>
      <c r="AC72" s="156"/>
      <c r="AD72" s="156"/>
      <c r="AE72" s="157"/>
    </row>
    <row r="73" spans="2:31" x14ac:dyDescent="0.2">
      <c r="B73" s="16"/>
      <c r="D73" s="156"/>
      <c r="E73" s="156"/>
      <c r="F73" s="156"/>
      <c r="G73" s="156"/>
      <c r="H73" s="156"/>
      <c r="I73" s="156"/>
      <c r="J73" s="156"/>
      <c r="L73" s="16"/>
      <c r="W73" s="16"/>
      <c r="X73" s="156"/>
      <c r="Y73" s="156"/>
      <c r="Z73" s="156"/>
      <c r="AA73" s="156"/>
      <c r="AB73" s="156"/>
      <c r="AC73" s="156"/>
      <c r="AD73" s="156"/>
      <c r="AE73" s="157"/>
    </row>
    <row r="74" spans="2:31" x14ac:dyDescent="0.2">
      <c r="B74" s="16"/>
      <c r="D74" s="156"/>
      <c r="E74" s="156"/>
      <c r="F74" s="156"/>
      <c r="G74" s="156"/>
      <c r="H74" s="156"/>
      <c r="I74" s="156"/>
      <c r="J74" s="156"/>
      <c r="L74" s="16"/>
      <c r="W74" s="16"/>
      <c r="X74" s="156"/>
      <c r="Y74" s="156"/>
      <c r="Z74" s="156"/>
      <c r="AA74" s="156"/>
      <c r="AB74" s="156"/>
      <c r="AC74" s="156"/>
      <c r="AD74" s="156"/>
      <c r="AE74" s="157"/>
    </row>
    <row r="75" spans="2:31" x14ac:dyDescent="0.2">
      <c r="B75" s="16"/>
      <c r="D75" s="156"/>
      <c r="E75" s="156"/>
      <c r="F75" s="156"/>
      <c r="G75" s="156"/>
      <c r="H75" s="156"/>
      <c r="I75" s="156"/>
      <c r="J75" s="156"/>
      <c r="L75" s="16"/>
      <c r="W75" s="16"/>
      <c r="X75" s="156"/>
      <c r="Y75" s="156"/>
      <c r="Z75" s="156"/>
      <c r="AA75" s="156"/>
      <c r="AB75" s="156"/>
      <c r="AC75" s="156"/>
      <c r="AD75" s="156"/>
      <c r="AE75" s="157"/>
    </row>
    <row r="76" spans="2:31" s="1" customFormat="1" ht="13.2" x14ac:dyDescent="0.2">
      <c r="B76" s="24"/>
      <c r="D76" s="522"/>
      <c r="E76" s="523"/>
      <c r="F76" s="536"/>
      <c r="G76" s="522"/>
      <c r="H76" s="523"/>
      <c r="I76" s="523"/>
      <c r="J76" s="169"/>
      <c r="K76" s="26"/>
      <c r="L76" s="24"/>
      <c r="W76" s="24"/>
      <c r="X76" s="685"/>
      <c r="Y76" s="686"/>
      <c r="Z76" s="685"/>
      <c r="AA76" s="536"/>
      <c r="AB76" s="686"/>
      <c r="AC76" s="685"/>
      <c r="AD76" s="685"/>
      <c r="AE76" s="577"/>
    </row>
    <row r="77" spans="2:31" s="1" customFormat="1" ht="14.55" customHeight="1" x14ac:dyDescent="0.2">
      <c r="B77" s="33"/>
      <c r="C77" s="34"/>
      <c r="D77" s="34"/>
      <c r="E77" s="34"/>
      <c r="F77" s="34"/>
      <c r="G77" s="34"/>
      <c r="H77" s="34"/>
      <c r="I77" s="34"/>
      <c r="J77" s="34"/>
      <c r="K77" s="34"/>
      <c r="L77" s="24"/>
      <c r="W77" s="33"/>
      <c r="X77" s="34"/>
      <c r="Y77" s="34"/>
      <c r="Z77" s="34"/>
      <c r="AA77" s="34"/>
      <c r="AB77" s="34"/>
      <c r="AC77" s="34"/>
      <c r="AD77" s="34"/>
      <c r="AE77" s="250"/>
    </row>
    <row r="81" spans="2:47" s="1" customFormat="1" ht="7.05" customHeight="1" x14ac:dyDescent="0.2">
      <c r="B81" s="35"/>
      <c r="C81" s="36"/>
      <c r="D81" s="36"/>
      <c r="E81" s="36"/>
      <c r="F81" s="36"/>
      <c r="G81" s="36"/>
      <c r="H81" s="36"/>
      <c r="I81" s="36"/>
      <c r="J81" s="36"/>
      <c r="K81" s="36"/>
      <c r="L81" s="24"/>
      <c r="W81" s="35"/>
      <c r="X81" s="36"/>
      <c r="Y81" s="36"/>
      <c r="Z81" s="36"/>
      <c r="AA81" s="36"/>
      <c r="AB81" s="36"/>
      <c r="AC81" s="36"/>
      <c r="AD81" s="36"/>
      <c r="AE81" s="647"/>
    </row>
    <row r="82" spans="2:47" s="1" customFormat="1" ht="25.05" customHeight="1" x14ac:dyDescent="0.2">
      <c r="B82" s="24"/>
      <c r="C82" s="1165" t="s">
        <v>188</v>
      </c>
      <c r="D82" s="1165"/>
      <c r="E82" s="1165"/>
      <c r="F82" s="1165"/>
      <c r="G82" s="1165"/>
      <c r="H82" s="1165"/>
      <c r="I82" s="1165"/>
      <c r="J82" s="1165"/>
      <c r="L82" s="24"/>
      <c r="W82" s="24"/>
      <c r="X82" s="1237" t="s">
        <v>188</v>
      </c>
      <c r="Y82" s="1237"/>
      <c r="Z82" s="1237"/>
      <c r="AA82" s="1237"/>
      <c r="AB82" s="1237"/>
      <c r="AC82" s="1237"/>
      <c r="AD82" s="1237"/>
      <c r="AE82" s="1238"/>
    </row>
    <row r="83" spans="2:47" s="1" customFormat="1" ht="7.05" customHeight="1" x14ac:dyDescent="0.2">
      <c r="B83" s="24"/>
      <c r="L83" s="24"/>
      <c r="W83" s="24"/>
      <c r="X83" s="685"/>
      <c r="Y83" s="685"/>
      <c r="Z83" s="685"/>
      <c r="AA83" s="685"/>
      <c r="AB83" s="685"/>
      <c r="AC83" s="685"/>
      <c r="AD83" s="685"/>
      <c r="AE83" s="159"/>
    </row>
    <row r="84" spans="2:47" s="1" customFormat="1" ht="12" customHeight="1" x14ac:dyDescent="0.2">
      <c r="B84" s="24"/>
      <c r="C84" s="528" t="s">
        <v>12</v>
      </c>
      <c r="E84" s="1242" t="s">
        <v>6177</v>
      </c>
      <c r="F84" s="1242"/>
      <c r="G84" s="1242"/>
      <c r="H84" s="1242"/>
      <c r="I84" s="1242"/>
      <c r="J84" s="1242"/>
      <c r="L84" s="24"/>
      <c r="W84" s="24"/>
      <c r="X84" s="688" t="s">
        <v>12</v>
      </c>
      <c r="Y84" s="685"/>
      <c r="Z84" s="1163" t="s">
        <v>6177</v>
      </c>
      <c r="AA84" s="1163"/>
      <c r="AB84" s="1163"/>
      <c r="AC84" s="1163"/>
      <c r="AD84" s="1163"/>
      <c r="AE84" s="1241"/>
    </row>
    <row r="85" spans="2:47" s="1" customFormat="1" ht="23.55" customHeight="1" x14ac:dyDescent="0.2">
      <c r="B85" s="24"/>
      <c r="C85" s="521"/>
      <c r="E85" s="1243"/>
      <c r="F85" s="1244"/>
      <c r="G85" s="1244"/>
      <c r="H85" s="1244"/>
      <c r="L85" s="24"/>
      <c r="W85" s="24"/>
      <c r="X85" s="685"/>
      <c r="Y85" s="685"/>
      <c r="Z85" s="1249"/>
      <c r="AA85" s="1250"/>
      <c r="AB85" s="1250"/>
      <c r="AC85" s="1250"/>
      <c r="AD85" s="685"/>
      <c r="AE85" s="159"/>
    </row>
    <row r="86" spans="2:47" s="1" customFormat="1" ht="12" customHeight="1" x14ac:dyDescent="0.2">
      <c r="B86" s="24"/>
      <c r="C86" s="528" t="s">
        <v>186</v>
      </c>
      <c r="F86" s="532" t="s">
        <v>4339</v>
      </c>
      <c r="L86" s="24"/>
      <c r="W86" s="24"/>
      <c r="X86" s="688" t="s">
        <v>186</v>
      </c>
      <c r="Y86" s="685"/>
      <c r="Z86" s="685"/>
      <c r="AA86" s="555" t="s">
        <v>4339</v>
      </c>
      <c r="AB86" s="685"/>
      <c r="AC86" s="685"/>
      <c r="AD86" s="685"/>
      <c r="AE86" s="159"/>
    </row>
    <row r="87" spans="2:47" s="1" customFormat="1" ht="16.5" customHeight="1" x14ac:dyDescent="0.2">
      <c r="B87" s="24"/>
      <c r="C87" s="521"/>
      <c r="E87" s="1251"/>
      <c r="F87" s="1252"/>
      <c r="G87" s="1252"/>
      <c r="H87" s="1252"/>
      <c r="L87" s="24"/>
      <c r="W87" s="24"/>
      <c r="X87" s="685"/>
      <c r="Y87" s="685"/>
      <c r="Z87" s="1245"/>
      <c r="AA87" s="1246"/>
      <c r="AB87" s="1246"/>
      <c r="AC87" s="1246"/>
      <c r="AD87" s="685"/>
      <c r="AE87" s="159"/>
    </row>
    <row r="88" spans="2:47" s="1" customFormat="1" ht="7.05" customHeight="1" x14ac:dyDescent="0.2">
      <c r="B88" s="24"/>
      <c r="C88" s="521"/>
      <c r="L88" s="24"/>
      <c r="W88" s="24"/>
      <c r="X88" s="685"/>
      <c r="Y88" s="685"/>
      <c r="Z88" s="685"/>
      <c r="AA88" s="685"/>
      <c r="AB88" s="685"/>
      <c r="AC88" s="685"/>
      <c r="AD88" s="685"/>
      <c r="AE88" s="159"/>
    </row>
    <row r="89" spans="2:47" s="1" customFormat="1" ht="12" customHeight="1" x14ac:dyDescent="0.2">
      <c r="B89" s="24"/>
      <c r="C89" s="528" t="s">
        <v>15</v>
      </c>
      <c r="F89" s="19" t="str">
        <f>F12</f>
        <v>Kuzmányho nábrežie 28, 960 01 Zvolen</v>
      </c>
      <c r="I89" s="528" t="s">
        <v>17</v>
      </c>
      <c r="J89" s="39" t="str">
        <f>IF(J12="","",J12)</f>
        <v/>
      </c>
      <c r="L89" s="24"/>
      <c r="W89" s="24"/>
      <c r="X89" s="688" t="s">
        <v>15</v>
      </c>
      <c r="Y89" s="685"/>
      <c r="Z89" s="685"/>
      <c r="AA89" s="684" t="str">
        <f>AA12</f>
        <v>Kuzmányho nábrežie 28, 960 01 Zvolen</v>
      </c>
      <c r="AB89" s="685"/>
      <c r="AC89" s="685"/>
      <c r="AD89" s="688" t="s">
        <v>17</v>
      </c>
      <c r="AE89" s="162" t="str">
        <f>IF(AE12="","",AE12)</f>
        <v/>
      </c>
    </row>
    <row r="90" spans="2:47" s="1" customFormat="1" ht="7.05" customHeight="1" x14ac:dyDescent="0.2">
      <c r="B90" s="24"/>
      <c r="C90" s="521"/>
      <c r="I90" s="521"/>
      <c r="L90" s="24"/>
      <c r="W90" s="24"/>
      <c r="X90" s="685"/>
      <c r="Y90" s="685"/>
      <c r="Z90" s="685"/>
      <c r="AA90" s="685"/>
      <c r="AB90" s="685"/>
      <c r="AC90" s="685"/>
      <c r="AD90" s="685"/>
      <c r="AE90" s="159"/>
    </row>
    <row r="91" spans="2:47" s="1" customFormat="1" ht="15.3" customHeight="1" x14ac:dyDescent="0.2">
      <c r="B91" s="24"/>
      <c r="C91" s="528" t="s">
        <v>18</v>
      </c>
      <c r="F91" s="529" t="s">
        <v>6175</v>
      </c>
      <c r="I91" s="528" t="s">
        <v>22</v>
      </c>
      <c r="J91" s="22" t="str">
        <f>E21</f>
        <v xml:space="preserve"> </v>
      </c>
      <c r="L91" s="24"/>
      <c r="W91" s="24"/>
      <c r="X91" s="688" t="s">
        <v>18</v>
      </c>
      <c r="Y91" s="685"/>
      <c r="Z91" s="685"/>
      <c r="AA91" s="576" t="s">
        <v>6175</v>
      </c>
      <c r="AB91" s="685"/>
      <c r="AC91" s="685"/>
      <c r="AD91" s="688" t="s">
        <v>22</v>
      </c>
      <c r="AE91" s="181" t="str">
        <f>Z21</f>
        <v/>
      </c>
    </row>
    <row r="92" spans="2:47" s="1" customFormat="1" ht="15.3" customHeight="1" x14ac:dyDescent="0.2">
      <c r="B92" s="24"/>
      <c r="C92" s="528" t="s">
        <v>21</v>
      </c>
      <c r="F92" s="529" t="s">
        <v>5202</v>
      </c>
      <c r="I92" s="528" t="s">
        <v>24</v>
      </c>
      <c r="J92" s="22" t="str">
        <f>E24</f>
        <v xml:space="preserve"> </v>
      </c>
      <c r="L92" s="24"/>
      <c r="W92" s="24"/>
      <c r="X92" s="688" t="s">
        <v>21</v>
      </c>
      <c r="Y92" s="685"/>
      <c r="Z92" s="685"/>
      <c r="AA92" s="576" t="s">
        <v>5202</v>
      </c>
      <c r="AB92" s="685"/>
      <c r="AC92" s="685"/>
      <c r="AD92" s="688" t="s">
        <v>24</v>
      </c>
      <c r="AE92" s="181" t="str">
        <f>Z24</f>
        <v/>
      </c>
    </row>
    <row r="93" spans="2:47" s="1" customFormat="1" ht="10.199999999999999" customHeight="1" x14ac:dyDescent="0.2">
      <c r="B93" s="24"/>
      <c r="L93" s="24"/>
      <c r="W93" s="24"/>
      <c r="X93" s="685"/>
      <c r="Y93" s="685"/>
      <c r="Z93" s="685"/>
      <c r="AA93" s="685"/>
      <c r="AB93" s="685"/>
      <c r="AC93" s="685"/>
      <c r="AD93" s="685"/>
      <c r="AE93" s="159"/>
    </row>
    <row r="94" spans="2:47" s="1" customFormat="1" ht="29.25" customHeight="1" x14ac:dyDescent="0.2">
      <c r="B94" s="24"/>
      <c r="C94" s="86" t="s">
        <v>189</v>
      </c>
      <c r="D94" s="80"/>
      <c r="E94" s="80"/>
      <c r="F94" s="80"/>
      <c r="G94" s="80"/>
      <c r="H94" s="80"/>
      <c r="I94" s="80"/>
      <c r="J94" s="87" t="s">
        <v>190</v>
      </c>
      <c r="K94" s="80"/>
      <c r="L94" s="24"/>
      <c r="W94" s="24"/>
      <c r="X94" s="182" t="s">
        <v>189</v>
      </c>
      <c r="Y94" s="173"/>
      <c r="Z94" s="173"/>
      <c r="AA94" s="173"/>
      <c r="AB94" s="173"/>
      <c r="AC94" s="173"/>
      <c r="AD94" s="173"/>
      <c r="AE94" s="183" t="s">
        <v>190</v>
      </c>
    </row>
    <row r="95" spans="2:47" s="1" customFormat="1" ht="10.199999999999999" customHeight="1" x14ac:dyDescent="0.2">
      <c r="B95" s="24"/>
      <c r="L95" s="24"/>
      <c r="W95" s="24"/>
      <c r="X95" s="685"/>
      <c r="Y95" s="685"/>
      <c r="Z95" s="685"/>
      <c r="AA95" s="685"/>
      <c r="AB95" s="685"/>
      <c r="AC95" s="685"/>
      <c r="AD95" s="685"/>
      <c r="AE95" s="159"/>
    </row>
    <row r="96" spans="2:47" s="1" customFormat="1" ht="22.95" customHeight="1" x14ac:dyDescent="0.2">
      <c r="B96" s="24"/>
      <c r="C96" s="88" t="s">
        <v>191</v>
      </c>
      <c r="J96" s="53">
        <f>J131</f>
        <v>291607.14</v>
      </c>
      <c r="L96" s="24"/>
      <c r="W96" s="24"/>
      <c r="X96" s="184" t="s">
        <v>191</v>
      </c>
      <c r="Y96" s="685"/>
      <c r="Z96" s="685"/>
      <c r="AA96" s="685"/>
      <c r="AB96" s="685"/>
      <c r="AC96" s="685"/>
      <c r="AD96" s="685"/>
      <c r="AE96" s="168">
        <f>AE131</f>
        <v>315347.39</v>
      </c>
      <c r="AU96" s="13" t="s">
        <v>192</v>
      </c>
    </row>
    <row r="97" spans="2:31" s="8" customFormat="1" ht="25.05" customHeight="1" x14ac:dyDescent="0.2">
      <c r="B97" s="89"/>
      <c r="D97" s="90" t="s">
        <v>3080</v>
      </c>
      <c r="E97" s="91"/>
      <c r="F97" s="91"/>
      <c r="G97" s="91"/>
      <c r="H97" s="91"/>
      <c r="I97" s="91"/>
      <c r="J97" s="92">
        <f>J132</f>
        <v>62224.229999999996</v>
      </c>
      <c r="L97" s="89"/>
      <c r="W97" s="89"/>
      <c r="X97" s="186"/>
      <c r="Y97" s="90" t="s">
        <v>3080</v>
      </c>
      <c r="Z97" s="91"/>
      <c r="AA97" s="91"/>
      <c r="AB97" s="91"/>
      <c r="AC97" s="91"/>
      <c r="AD97" s="91"/>
      <c r="AE97" s="187">
        <f>AE132</f>
        <v>80297.320000000007</v>
      </c>
    </row>
    <row r="98" spans="2:31" s="9" customFormat="1" ht="19.95" customHeight="1" x14ac:dyDescent="0.2">
      <c r="B98" s="93"/>
      <c r="D98" s="94" t="s">
        <v>3083</v>
      </c>
      <c r="E98" s="95"/>
      <c r="F98" s="95"/>
      <c r="G98" s="95"/>
      <c r="H98" s="95"/>
      <c r="I98" s="95"/>
      <c r="J98" s="96">
        <f>J133</f>
        <v>2264.36</v>
      </c>
      <c r="L98" s="93"/>
      <c r="W98" s="93"/>
      <c r="X98" s="189"/>
      <c r="Y98" s="94" t="s">
        <v>3083</v>
      </c>
      <c r="Z98" s="95"/>
      <c r="AA98" s="95"/>
      <c r="AB98" s="95"/>
      <c r="AC98" s="95"/>
      <c r="AD98" s="95"/>
      <c r="AE98" s="190">
        <f>AE133</f>
        <v>2264.36</v>
      </c>
    </row>
    <row r="99" spans="2:31" s="9" customFormat="1" ht="19.95" customHeight="1" x14ac:dyDescent="0.2">
      <c r="B99" s="93"/>
      <c r="D99" s="94" t="s">
        <v>3084</v>
      </c>
      <c r="E99" s="95"/>
      <c r="F99" s="95"/>
      <c r="G99" s="95"/>
      <c r="H99" s="95"/>
      <c r="I99" s="95"/>
      <c r="J99" s="96">
        <f>J136</f>
        <v>2561.92</v>
      </c>
      <c r="L99" s="93"/>
      <c r="W99" s="93"/>
      <c r="X99" s="189"/>
      <c r="Y99" s="94" t="s">
        <v>3084</v>
      </c>
      <c r="Z99" s="95"/>
      <c r="AA99" s="95"/>
      <c r="AB99" s="95"/>
      <c r="AC99" s="95"/>
      <c r="AD99" s="95"/>
      <c r="AE99" s="190">
        <f>AE136</f>
        <v>0</v>
      </c>
    </row>
    <row r="100" spans="2:31" s="9" customFormat="1" ht="19.95" customHeight="1" x14ac:dyDescent="0.2">
      <c r="B100" s="93"/>
      <c r="D100" s="94" t="s">
        <v>3086</v>
      </c>
      <c r="E100" s="95"/>
      <c r="F100" s="95"/>
      <c r="G100" s="95"/>
      <c r="H100" s="95"/>
      <c r="I100" s="95"/>
      <c r="J100" s="96">
        <f>J147</f>
        <v>36943.49</v>
      </c>
      <c r="L100" s="93"/>
      <c r="W100" s="93"/>
      <c r="X100" s="189"/>
      <c r="Y100" s="94" t="s">
        <v>3086</v>
      </c>
      <c r="Z100" s="95"/>
      <c r="AA100" s="95"/>
      <c r="AB100" s="95"/>
      <c r="AC100" s="95"/>
      <c r="AD100" s="95"/>
      <c r="AE100" s="190">
        <f>AE147</f>
        <v>46588.03</v>
      </c>
    </row>
    <row r="101" spans="2:31" s="9" customFormat="1" ht="19.95" customHeight="1" x14ac:dyDescent="0.2">
      <c r="B101" s="93"/>
      <c r="D101" s="94" t="s">
        <v>3087</v>
      </c>
      <c r="E101" s="95"/>
      <c r="F101" s="95"/>
      <c r="G101" s="95"/>
      <c r="H101" s="95"/>
      <c r="I101" s="95"/>
      <c r="J101" s="96">
        <f>J156</f>
        <v>20454.46</v>
      </c>
      <c r="L101" s="93"/>
      <c r="W101" s="93"/>
      <c r="X101" s="189"/>
      <c r="Y101" s="94" t="s">
        <v>3087</v>
      </c>
      <c r="Z101" s="95"/>
      <c r="AA101" s="95"/>
      <c r="AB101" s="95"/>
      <c r="AC101" s="95"/>
      <c r="AD101" s="95"/>
      <c r="AE101" s="190">
        <f>AE156</f>
        <v>31444.93</v>
      </c>
    </row>
    <row r="102" spans="2:31" s="8" customFormat="1" ht="25.05" customHeight="1" x14ac:dyDescent="0.2">
      <c r="B102" s="89"/>
      <c r="D102" s="90" t="s">
        <v>3089</v>
      </c>
      <c r="E102" s="91"/>
      <c r="F102" s="91"/>
      <c r="G102" s="91"/>
      <c r="H102" s="91"/>
      <c r="I102" s="91"/>
      <c r="J102" s="92">
        <f>J170</f>
        <v>148215.51</v>
      </c>
      <c r="L102" s="89"/>
      <c r="W102" s="89"/>
      <c r="X102" s="186"/>
      <c r="Y102" s="90" t="s">
        <v>3089</v>
      </c>
      <c r="Z102" s="91"/>
      <c r="AA102" s="91"/>
      <c r="AB102" s="91"/>
      <c r="AC102" s="91"/>
      <c r="AD102" s="91"/>
      <c r="AE102" s="187">
        <f>AE170</f>
        <v>147120.67000000001</v>
      </c>
    </row>
    <row r="103" spans="2:31" s="9" customFormat="1" ht="19.95" customHeight="1" x14ac:dyDescent="0.2">
      <c r="B103" s="93"/>
      <c r="D103" s="94" t="s">
        <v>3090</v>
      </c>
      <c r="E103" s="95"/>
      <c r="F103" s="95"/>
      <c r="G103" s="95"/>
      <c r="H103" s="95"/>
      <c r="I103" s="95"/>
      <c r="J103" s="96">
        <f>J171</f>
        <v>30637.140000000003</v>
      </c>
      <c r="L103" s="93"/>
      <c r="W103" s="93"/>
      <c r="X103" s="189"/>
      <c r="Y103" s="94" t="s">
        <v>3090</v>
      </c>
      <c r="Z103" s="95"/>
      <c r="AA103" s="95"/>
      <c r="AB103" s="95"/>
      <c r="AC103" s="95"/>
      <c r="AD103" s="95"/>
      <c r="AE103" s="190">
        <f>AE171</f>
        <v>30637.140000000003</v>
      </c>
    </row>
    <row r="104" spans="2:31" s="9" customFormat="1" ht="19.95" customHeight="1" x14ac:dyDescent="0.2">
      <c r="B104" s="93"/>
      <c r="D104" s="94" t="s">
        <v>4340</v>
      </c>
      <c r="E104" s="95"/>
      <c r="F104" s="95"/>
      <c r="G104" s="95"/>
      <c r="H104" s="95"/>
      <c r="I104" s="95"/>
      <c r="J104" s="96">
        <f>J179</f>
        <v>39608.49</v>
      </c>
      <c r="L104" s="93"/>
      <c r="W104" s="93"/>
      <c r="X104" s="189"/>
      <c r="Y104" s="94" t="s">
        <v>4340</v>
      </c>
      <c r="Z104" s="95"/>
      <c r="AA104" s="95"/>
      <c r="AB104" s="95"/>
      <c r="AC104" s="95"/>
      <c r="AD104" s="95"/>
      <c r="AE104" s="190">
        <f>AE179</f>
        <v>39608.49</v>
      </c>
    </row>
    <row r="105" spans="2:31" s="9" customFormat="1" ht="19.95" customHeight="1" x14ac:dyDescent="0.2">
      <c r="B105" s="93"/>
      <c r="D105" s="94" t="s">
        <v>4341</v>
      </c>
      <c r="E105" s="95"/>
      <c r="F105" s="95"/>
      <c r="G105" s="95"/>
      <c r="H105" s="95"/>
      <c r="I105" s="95"/>
      <c r="J105" s="96">
        <f>J187</f>
        <v>6969.53</v>
      </c>
      <c r="L105" s="93"/>
      <c r="W105" s="93"/>
      <c r="X105" s="189"/>
      <c r="Y105" s="94" t="s">
        <v>4341</v>
      </c>
      <c r="Z105" s="95"/>
      <c r="AA105" s="95"/>
      <c r="AB105" s="95"/>
      <c r="AC105" s="95"/>
      <c r="AD105" s="95"/>
      <c r="AE105" s="190">
        <f>AE187</f>
        <v>6969.53</v>
      </c>
    </row>
    <row r="106" spans="2:31" s="9" customFormat="1" ht="19.95" customHeight="1" x14ac:dyDescent="0.2">
      <c r="B106" s="93"/>
      <c r="D106" s="94" t="s">
        <v>3092</v>
      </c>
      <c r="E106" s="95"/>
      <c r="F106" s="95"/>
      <c r="G106" s="95"/>
      <c r="H106" s="95"/>
      <c r="I106" s="95"/>
      <c r="J106" s="96">
        <f>J190</f>
        <v>66097.790000000008</v>
      </c>
      <c r="L106" s="93"/>
      <c r="W106" s="93"/>
      <c r="X106" s="189"/>
      <c r="Y106" s="94" t="s">
        <v>3092</v>
      </c>
      <c r="Z106" s="95"/>
      <c r="AA106" s="95"/>
      <c r="AB106" s="95"/>
      <c r="AC106" s="95"/>
      <c r="AD106" s="95"/>
      <c r="AE106" s="190">
        <f>AE190</f>
        <v>66097.790000000008</v>
      </c>
    </row>
    <row r="107" spans="2:31" s="9" customFormat="1" ht="19.95" customHeight="1" x14ac:dyDescent="0.2">
      <c r="B107" s="93"/>
      <c r="D107" s="94" t="s">
        <v>3093</v>
      </c>
      <c r="E107" s="95"/>
      <c r="F107" s="95"/>
      <c r="G107" s="95"/>
      <c r="H107" s="95"/>
      <c r="I107" s="95"/>
      <c r="J107" s="96">
        <f>J196</f>
        <v>1094.8399999999999</v>
      </c>
      <c r="L107" s="93"/>
      <c r="W107" s="93"/>
      <c r="X107" s="189"/>
      <c r="Y107" s="94" t="s">
        <v>3093</v>
      </c>
      <c r="Z107" s="95"/>
      <c r="AA107" s="95"/>
      <c r="AB107" s="95"/>
      <c r="AC107" s="95"/>
      <c r="AD107" s="95"/>
      <c r="AE107" s="190">
        <f>AE196</f>
        <v>0</v>
      </c>
    </row>
    <row r="108" spans="2:31" s="9" customFormat="1" ht="19.95" customHeight="1" x14ac:dyDescent="0.2">
      <c r="B108" s="93"/>
      <c r="D108" s="94" t="s">
        <v>3094</v>
      </c>
      <c r="E108" s="95"/>
      <c r="F108" s="95"/>
      <c r="G108" s="95"/>
      <c r="H108" s="95"/>
      <c r="I108" s="95"/>
      <c r="J108" s="96">
        <f>J200</f>
        <v>3513.14</v>
      </c>
      <c r="L108" s="93"/>
      <c r="W108" s="93"/>
      <c r="X108" s="189"/>
      <c r="Y108" s="94" t="s">
        <v>3094</v>
      </c>
      <c r="Z108" s="95"/>
      <c r="AA108" s="95"/>
      <c r="AB108" s="95"/>
      <c r="AC108" s="95"/>
      <c r="AD108" s="95"/>
      <c r="AE108" s="190">
        <f>AE200</f>
        <v>3513.14</v>
      </c>
    </row>
    <row r="109" spans="2:31" s="9" customFormat="1" ht="19.95" customHeight="1" x14ac:dyDescent="0.2">
      <c r="B109" s="93"/>
      <c r="D109" s="94" t="s">
        <v>3096</v>
      </c>
      <c r="E109" s="95"/>
      <c r="F109" s="95"/>
      <c r="G109" s="95"/>
      <c r="H109" s="95"/>
      <c r="I109" s="95"/>
      <c r="J109" s="96">
        <f>J202</f>
        <v>294.58</v>
      </c>
      <c r="L109" s="93"/>
      <c r="W109" s="93"/>
      <c r="X109" s="189"/>
      <c r="Y109" s="94" t="s">
        <v>3096</v>
      </c>
      <c r="Z109" s="95"/>
      <c r="AA109" s="95"/>
      <c r="AB109" s="95"/>
      <c r="AC109" s="95"/>
      <c r="AD109" s="95"/>
      <c r="AE109" s="190">
        <f>AE202</f>
        <v>294.58</v>
      </c>
    </row>
    <row r="110" spans="2:31" s="8" customFormat="1" ht="25.05" customHeight="1" x14ac:dyDescent="0.2">
      <c r="B110" s="89"/>
      <c r="D110" s="90" t="s">
        <v>3097</v>
      </c>
      <c r="E110" s="91"/>
      <c r="F110" s="91"/>
      <c r="G110" s="91"/>
      <c r="H110" s="91"/>
      <c r="I110" s="91"/>
      <c r="J110" s="92">
        <f>J204</f>
        <v>81167.399999999994</v>
      </c>
      <c r="L110" s="89"/>
      <c r="W110" s="89"/>
      <c r="X110" s="186"/>
      <c r="Y110" s="90" t="s">
        <v>3097</v>
      </c>
      <c r="Z110" s="91"/>
      <c r="AA110" s="91"/>
      <c r="AB110" s="91"/>
      <c r="AC110" s="91"/>
      <c r="AD110" s="91"/>
      <c r="AE110" s="187">
        <f>AE204</f>
        <v>87929.4</v>
      </c>
    </row>
    <row r="111" spans="2:31" s="9" customFormat="1" ht="19.95" customHeight="1" x14ac:dyDescent="0.2">
      <c r="B111" s="93"/>
      <c r="D111" s="94" t="s">
        <v>3098</v>
      </c>
      <c r="E111" s="95"/>
      <c r="F111" s="95"/>
      <c r="G111" s="95"/>
      <c r="H111" s="95"/>
      <c r="I111" s="95"/>
      <c r="J111" s="96">
        <f>J205</f>
        <v>81167.399999999994</v>
      </c>
      <c r="L111" s="93"/>
      <c r="W111" s="93"/>
      <c r="X111" s="189"/>
      <c r="Y111" s="94" t="s">
        <v>3098</v>
      </c>
      <c r="Z111" s="95"/>
      <c r="AA111" s="95"/>
      <c r="AB111" s="95"/>
      <c r="AC111" s="95"/>
      <c r="AD111" s="95"/>
      <c r="AE111" s="190">
        <f>AE205</f>
        <v>87929.4</v>
      </c>
    </row>
    <row r="112" spans="2:31" s="1" customFormat="1" ht="21.75" customHeight="1" x14ac:dyDescent="0.2">
      <c r="B112" s="24"/>
      <c r="L112" s="24"/>
      <c r="W112" s="24"/>
      <c r="X112" s="685"/>
      <c r="Y112" s="685"/>
      <c r="Z112" s="685"/>
      <c r="AA112" s="685"/>
      <c r="AB112" s="685"/>
      <c r="AC112" s="685"/>
      <c r="AD112" s="685"/>
      <c r="AE112" s="159"/>
    </row>
    <row r="113" spans="2:31" s="1" customFormat="1" ht="7.05" customHeight="1" x14ac:dyDescent="0.2">
      <c r="B113" s="33"/>
      <c r="C113" s="34"/>
      <c r="D113" s="34"/>
      <c r="E113" s="34"/>
      <c r="F113" s="34"/>
      <c r="G113" s="34"/>
      <c r="H113" s="34"/>
      <c r="I113" s="34"/>
      <c r="J113" s="34"/>
      <c r="K113" s="34"/>
      <c r="L113" s="24"/>
      <c r="W113" s="33"/>
      <c r="X113" s="34"/>
      <c r="Y113" s="34"/>
      <c r="Z113" s="34"/>
      <c r="AA113" s="34"/>
      <c r="AB113" s="34"/>
      <c r="AC113" s="34"/>
      <c r="AD113" s="34"/>
      <c r="AE113" s="250"/>
    </row>
    <row r="117" spans="2:31" s="1" customFormat="1" ht="7.05" customHeight="1" x14ac:dyDescent="0.2">
      <c r="B117" s="35"/>
      <c r="C117" s="36"/>
      <c r="D117" s="36"/>
      <c r="E117" s="36"/>
      <c r="F117" s="36"/>
      <c r="G117" s="36"/>
      <c r="H117" s="36"/>
      <c r="I117" s="36"/>
      <c r="J117" s="36"/>
      <c r="K117" s="36"/>
      <c r="L117" s="24"/>
      <c r="W117" s="35"/>
      <c r="X117" s="36"/>
      <c r="Y117" s="36"/>
      <c r="Z117" s="36"/>
      <c r="AA117" s="36"/>
      <c r="AB117" s="36"/>
      <c r="AC117" s="36"/>
      <c r="AD117" s="36"/>
      <c r="AE117" s="647"/>
    </row>
    <row r="118" spans="2:31" s="1" customFormat="1" ht="25.05" customHeight="1" x14ac:dyDescent="0.2">
      <c r="B118" s="24"/>
      <c r="C118" s="1165" t="s">
        <v>214</v>
      </c>
      <c r="D118" s="1165"/>
      <c r="E118" s="1165"/>
      <c r="F118" s="1165"/>
      <c r="G118" s="1165"/>
      <c r="H118" s="1165"/>
      <c r="I118" s="1165"/>
      <c r="J118" s="1165"/>
      <c r="L118" s="24"/>
      <c r="W118" s="24"/>
      <c r="X118" s="1237" t="s">
        <v>214</v>
      </c>
      <c r="Y118" s="1237"/>
      <c r="Z118" s="1237"/>
      <c r="AA118" s="1237"/>
      <c r="AB118" s="1237"/>
      <c r="AC118" s="1237"/>
      <c r="AD118" s="1237"/>
      <c r="AE118" s="1238"/>
    </row>
    <row r="119" spans="2:31" s="1" customFormat="1" ht="7.05" customHeight="1" x14ac:dyDescent="0.2">
      <c r="B119" s="24"/>
      <c r="L119" s="24"/>
      <c r="W119" s="24"/>
      <c r="X119" s="685"/>
      <c r="Y119" s="685"/>
      <c r="Z119" s="685"/>
      <c r="AA119" s="685"/>
      <c r="AB119" s="685"/>
      <c r="AC119" s="685"/>
      <c r="AD119" s="685"/>
      <c r="AE119" s="159"/>
    </row>
    <row r="120" spans="2:31" s="1" customFormat="1" ht="12" customHeight="1" x14ac:dyDescent="0.2">
      <c r="B120" s="24"/>
      <c r="C120" s="528" t="s">
        <v>12</v>
      </c>
      <c r="E120" s="1242" t="s">
        <v>6177</v>
      </c>
      <c r="F120" s="1242"/>
      <c r="G120" s="1242"/>
      <c r="H120" s="1242"/>
      <c r="I120" s="1242"/>
      <c r="J120" s="1242"/>
      <c r="L120" s="24"/>
      <c r="W120" s="24"/>
      <c r="X120" s="688" t="s">
        <v>12</v>
      </c>
      <c r="Y120" s="685"/>
      <c r="Z120" s="1163" t="s">
        <v>6177</v>
      </c>
      <c r="AA120" s="1163"/>
      <c r="AB120" s="1163"/>
      <c r="AC120" s="1163"/>
      <c r="AD120" s="1163"/>
      <c r="AE120" s="1241"/>
    </row>
    <row r="121" spans="2:31" s="1" customFormat="1" ht="24.45" customHeight="1" x14ac:dyDescent="0.2">
      <c r="B121" s="24"/>
      <c r="C121" s="521"/>
      <c r="E121" s="1243"/>
      <c r="F121" s="1244"/>
      <c r="G121" s="1244"/>
      <c r="H121" s="1244"/>
      <c r="L121" s="24"/>
      <c r="W121" s="24"/>
      <c r="X121" s="685"/>
      <c r="Y121" s="685"/>
      <c r="Z121" s="1249"/>
      <c r="AA121" s="1250"/>
      <c r="AB121" s="1250"/>
      <c r="AC121" s="1250"/>
      <c r="AD121" s="685"/>
      <c r="AE121" s="159"/>
    </row>
    <row r="122" spans="2:31" s="1" customFormat="1" ht="12" customHeight="1" x14ac:dyDescent="0.2">
      <c r="B122" s="24"/>
      <c r="C122" s="528" t="s">
        <v>186</v>
      </c>
      <c r="F122" s="532" t="s">
        <v>4339</v>
      </c>
      <c r="L122" s="24"/>
      <c r="W122" s="24"/>
      <c r="X122" s="688" t="s">
        <v>186</v>
      </c>
      <c r="Y122" s="685"/>
      <c r="Z122" s="685"/>
      <c r="AA122" s="555" t="s">
        <v>4339</v>
      </c>
      <c r="AB122" s="685"/>
      <c r="AC122" s="685"/>
      <c r="AD122" s="685"/>
      <c r="AE122" s="159"/>
    </row>
    <row r="123" spans="2:31" s="1" customFormat="1" ht="16.5" customHeight="1" x14ac:dyDescent="0.2">
      <c r="B123" s="24"/>
      <c r="C123" s="521"/>
      <c r="E123" s="1251"/>
      <c r="F123" s="1252"/>
      <c r="G123" s="1252"/>
      <c r="H123" s="1252"/>
      <c r="L123" s="24"/>
      <c r="W123" s="24"/>
      <c r="X123" s="685"/>
      <c r="Y123" s="685"/>
      <c r="Z123" s="1245"/>
      <c r="AA123" s="1246"/>
      <c r="AB123" s="1246"/>
      <c r="AC123" s="1246"/>
      <c r="AD123" s="685"/>
      <c r="AE123" s="159"/>
    </row>
    <row r="124" spans="2:31" s="1" customFormat="1" ht="7.05" customHeight="1" x14ac:dyDescent="0.2">
      <c r="B124" s="24"/>
      <c r="C124" s="521"/>
      <c r="L124" s="24"/>
      <c r="W124" s="24"/>
      <c r="X124" s="685"/>
      <c r="Y124" s="685"/>
      <c r="Z124" s="685"/>
      <c r="AA124" s="685"/>
      <c r="AB124" s="685"/>
      <c r="AC124" s="685"/>
      <c r="AD124" s="685"/>
      <c r="AE124" s="159"/>
    </row>
    <row r="125" spans="2:31" s="1" customFormat="1" ht="12" customHeight="1" x14ac:dyDescent="0.2">
      <c r="B125" s="24"/>
      <c r="C125" s="528" t="s">
        <v>15</v>
      </c>
      <c r="F125" s="19" t="str">
        <f>F12</f>
        <v>Kuzmányho nábrežie 28, 960 01 Zvolen</v>
      </c>
      <c r="I125" s="528" t="s">
        <v>17</v>
      </c>
      <c r="J125" s="39" t="str">
        <f>IF(J12="","",J12)</f>
        <v/>
      </c>
      <c r="L125" s="24"/>
      <c r="W125" s="24"/>
      <c r="X125" s="688" t="s">
        <v>15</v>
      </c>
      <c r="Y125" s="685"/>
      <c r="Z125" s="685"/>
      <c r="AA125" s="684" t="str">
        <f>AA12</f>
        <v>Kuzmányho nábrežie 28, 960 01 Zvolen</v>
      </c>
      <c r="AB125" s="685"/>
      <c r="AC125" s="685"/>
      <c r="AD125" s="688" t="s">
        <v>17</v>
      </c>
      <c r="AE125" s="162" t="str">
        <f>IF(AE12="","",AE12)</f>
        <v/>
      </c>
    </row>
    <row r="126" spans="2:31" s="1" customFormat="1" ht="7.05" customHeight="1" x14ac:dyDescent="0.2">
      <c r="B126" s="24"/>
      <c r="C126" s="521"/>
      <c r="I126" s="521"/>
      <c r="L126" s="24"/>
      <c r="W126" s="24"/>
      <c r="X126" s="685"/>
      <c r="Y126" s="685"/>
      <c r="Z126" s="685"/>
      <c r="AA126" s="685"/>
      <c r="AB126" s="685"/>
      <c r="AC126" s="685"/>
      <c r="AD126" s="685"/>
      <c r="AE126" s="159"/>
    </row>
    <row r="127" spans="2:31" s="1" customFormat="1" ht="15.3" customHeight="1" x14ac:dyDescent="0.2">
      <c r="B127" s="24"/>
      <c r="C127" s="528" t="s">
        <v>18</v>
      </c>
      <c r="F127" s="529" t="s">
        <v>6175</v>
      </c>
      <c r="I127" s="528" t="s">
        <v>22</v>
      </c>
      <c r="J127" s="22" t="str">
        <f>E21</f>
        <v xml:space="preserve"> </v>
      </c>
      <c r="L127" s="24"/>
      <c r="W127" s="24"/>
      <c r="X127" s="688" t="s">
        <v>18</v>
      </c>
      <c r="Y127" s="685"/>
      <c r="Z127" s="685"/>
      <c r="AA127" s="576" t="s">
        <v>6175</v>
      </c>
      <c r="AB127" s="685"/>
      <c r="AC127" s="685"/>
      <c r="AD127" s="688" t="s">
        <v>22</v>
      </c>
      <c r="AE127" s="181" t="str">
        <f>Z21</f>
        <v/>
      </c>
    </row>
    <row r="128" spans="2:31" s="1" customFormat="1" ht="15.3" customHeight="1" x14ac:dyDescent="0.2">
      <c r="B128" s="24"/>
      <c r="C128" s="528" t="s">
        <v>21</v>
      </c>
      <c r="F128" s="529" t="s">
        <v>5202</v>
      </c>
      <c r="I128" s="528" t="s">
        <v>24</v>
      </c>
      <c r="J128" s="22" t="str">
        <f>E24</f>
        <v xml:space="preserve"> </v>
      </c>
      <c r="L128" s="24"/>
      <c r="W128" s="24"/>
      <c r="X128" s="688" t="s">
        <v>21</v>
      </c>
      <c r="Y128" s="685"/>
      <c r="Z128" s="685"/>
      <c r="AA128" s="576" t="s">
        <v>5202</v>
      </c>
      <c r="AB128" s="685"/>
      <c r="AC128" s="685"/>
      <c r="AD128" s="688" t="s">
        <v>24</v>
      </c>
      <c r="AE128" s="692"/>
    </row>
    <row r="129" spans="2:65" s="1" customFormat="1" ht="10.199999999999999" customHeight="1" x14ac:dyDescent="0.2">
      <c r="B129" s="24"/>
      <c r="L129" s="24"/>
      <c r="W129" s="24"/>
      <c r="X129" s="685"/>
      <c r="Y129" s="685"/>
      <c r="Z129" s="685"/>
      <c r="AA129" s="685"/>
      <c r="AB129" s="685"/>
      <c r="AC129" s="685"/>
      <c r="AD129" s="685"/>
      <c r="AE129" s="693"/>
    </row>
    <row r="130" spans="2:65" s="10" customFormat="1" ht="29.25" customHeight="1" x14ac:dyDescent="0.2">
      <c r="B130" s="97"/>
      <c r="C130" s="98" t="s">
        <v>215</v>
      </c>
      <c r="D130" s="99" t="s">
        <v>43</v>
      </c>
      <c r="E130" s="99" t="s">
        <v>41</v>
      </c>
      <c r="F130" s="99" t="s">
        <v>42</v>
      </c>
      <c r="G130" s="99" t="s">
        <v>216</v>
      </c>
      <c r="H130" s="99" t="s">
        <v>217</v>
      </c>
      <c r="I130" s="99" t="s">
        <v>218</v>
      </c>
      <c r="J130" s="100" t="s">
        <v>190</v>
      </c>
      <c r="K130" s="101" t="s">
        <v>219</v>
      </c>
      <c r="L130" s="97"/>
      <c r="M130" s="46" t="s">
        <v>1</v>
      </c>
      <c r="N130" s="47" t="s">
        <v>30</v>
      </c>
      <c r="O130" s="47" t="s">
        <v>220</v>
      </c>
      <c r="P130" s="47" t="s">
        <v>221</v>
      </c>
      <c r="Q130" s="47" t="s">
        <v>222</v>
      </c>
      <c r="R130" s="47" t="s">
        <v>223</v>
      </c>
      <c r="S130" s="47" t="s">
        <v>224</v>
      </c>
      <c r="T130" s="48" t="s">
        <v>225</v>
      </c>
      <c r="W130" s="97"/>
      <c r="X130" s="98" t="s">
        <v>215</v>
      </c>
      <c r="Y130" s="99" t="s">
        <v>43</v>
      </c>
      <c r="Z130" s="99" t="s">
        <v>41</v>
      </c>
      <c r="AA130" s="99" t="s">
        <v>42</v>
      </c>
      <c r="AB130" s="99" t="s">
        <v>216</v>
      </c>
      <c r="AC130" s="99" t="s">
        <v>217</v>
      </c>
      <c r="AD130" s="99" t="s">
        <v>218</v>
      </c>
      <c r="AE130" s="192" t="s">
        <v>190</v>
      </c>
      <c r="AF130" s="228" t="s">
        <v>5220</v>
      </c>
    </row>
    <row r="131" spans="2:65" s="1" customFormat="1" ht="22.95" customHeight="1" x14ac:dyDescent="0.3">
      <c r="B131" s="24"/>
      <c r="C131" s="51" t="s">
        <v>191</v>
      </c>
      <c r="J131" s="102">
        <f>BK131</f>
        <v>291607.14</v>
      </c>
      <c r="L131" s="24"/>
      <c r="M131" s="49"/>
      <c r="N131" s="40"/>
      <c r="O131" s="40"/>
      <c r="P131" s="103">
        <f>P132+P170+P204</f>
        <v>3.9444615000000001</v>
      </c>
      <c r="Q131" s="40"/>
      <c r="R131" s="103">
        <f>R132+R170+R204</f>
        <v>7.7658839999999998</v>
      </c>
      <c r="S131" s="40"/>
      <c r="T131" s="104">
        <f>T132+T170+T204</f>
        <v>0</v>
      </c>
      <c r="W131" s="24"/>
      <c r="X131" s="193" t="s">
        <v>191</v>
      </c>
      <c r="Y131" s="685"/>
      <c r="Z131" s="685"/>
      <c r="AA131" s="685"/>
      <c r="AB131" s="685"/>
      <c r="AC131" s="685"/>
      <c r="AD131" s="685"/>
      <c r="AE131" s="194">
        <f>AE132+AE170+AE204</f>
        <v>315347.39</v>
      </c>
      <c r="AF131" s="227"/>
      <c r="AT131" s="13" t="s">
        <v>57</v>
      </c>
      <c r="AU131" s="13" t="s">
        <v>192</v>
      </c>
      <c r="BK131" s="105">
        <f>BK132+BK170+BK204</f>
        <v>291607.14</v>
      </c>
    </row>
    <row r="132" spans="2:65" s="11" customFormat="1" ht="25.95" customHeight="1" x14ac:dyDescent="0.25">
      <c r="B132" s="106"/>
      <c r="D132" s="107" t="s">
        <v>57</v>
      </c>
      <c r="E132" s="108" t="s">
        <v>226</v>
      </c>
      <c r="F132" s="108" t="s">
        <v>3099</v>
      </c>
      <c r="J132" s="109">
        <f>BK132</f>
        <v>62224.229999999996</v>
      </c>
      <c r="L132" s="106"/>
      <c r="M132" s="110"/>
      <c r="N132" s="111"/>
      <c r="O132" s="111"/>
      <c r="P132" s="112">
        <f>P133+P136+P147+P156</f>
        <v>3.9444615000000001</v>
      </c>
      <c r="Q132" s="111"/>
      <c r="R132" s="112">
        <f>R133+R136+R147+R156</f>
        <v>7.7658839999999998</v>
      </c>
      <c r="S132" s="111"/>
      <c r="T132" s="113">
        <f>T133+T136+T147+T156</f>
        <v>0</v>
      </c>
      <c r="W132" s="106"/>
      <c r="X132" s="111"/>
      <c r="Y132" s="196" t="s">
        <v>57</v>
      </c>
      <c r="Z132" s="197" t="s">
        <v>226</v>
      </c>
      <c r="AA132" s="197" t="s">
        <v>3099</v>
      </c>
      <c r="AB132" s="111"/>
      <c r="AC132" s="111"/>
      <c r="AD132" s="111"/>
      <c r="AE132" s="198">
        <f>AE133+AE136+AE147+AE156</f>
        <v>80297.320000000007</v>
      </c>
      <c r="AF132" s="248"/>
      <c r="AR132" s="107" t="s">
        <v>63</v>
      </c>
      <c r="AT132" s="114" t="s">
        <v>57</v>
      </c>
      <c r="AU132" s="114" t="s">
        <v>58</v>
      </c>
      <c r="AY132" s="107" t="s">
        <v>228</v>
      </c>
      <c r="BK132" s="115">
        <f>BK133+BK136+BK147+BK156</f>
        <v>62224.229999999996</v>
      </c>
    </row>
    <row r="133" spans="2:65" s="11" customFormat="1" ht="22.95" customHeight="1" x14ac:dyDescent="0.25">
      <c r="B133" s="106"/>
      <c r="D133" s="107" t="s">
        <v>57</v>
      </c>
      <c r="E133" s="116" t="s">
        <v>229</v>
      </c>
      <c r="F133" s="116" t="s">
        <v>3158</v>
      </c>
      <c r="J133" s="117">
        <f>BK133</f>
        <v>2264.36</v>
      </c>
      <c r="L133" s="106"/>
      <c r="M133" s="110"/>
      <c r="N133" s="111"/>
      <c r="O133" s="111"/>
      <c r="P133" s="112">
        <f>SUM(P134:P135)</f>
        <v>0</v>
      </c>
      <c r="Q133" s="111"/>
      <c r="R133" s="112">
        <f>SUM(R134:R135)</f>
        <v>0</v>
      </c>
      <c r="S133" s="111"/>
      <c r="T133" s="113">
        <f>SUM(T134:T135)</f>
        <v>0</v>
      </c>
      <c r="W133" s="106"/>
      <c r="X133" s="111"/>
      <c r="Y133" s="196" t="s">
        <v>57</v>
      </c>
      <c r="Z133" s="201" t="s">
        <v>229</v>
      </c>
      <c r="AA133" s="201" t="s">
        <v>3158</v>
      </c>
      <c r="AB133" s="111"/>
      <c r="AC133" s="111"/>
      <c r="AD133" s="111"/>
      <c r="AE133" s="202">
        <f>SUM(AE134:AE135)</f>
        <v>2264.36</v>
      </c>
      <c r="AF133" s="248"/>
      <c r="AR133" s="107" t="s">
        <v>63</v>
      </c>
      <c r="AT133" s="114" t="s">
        <v>57</v>
      </c>
      <c r="AU133" s="114" t="s">
        <v>63</v>
      </c>
      <c r="AY133" s="107" t="s">
        <v>228</v>
      </c>
      <c r="BK133" s="115">
        <f>SUM(BK134:BK135)</f>
        <v>2264.36</v>
      </c>
    </row>
    <row r="134" spans="2:65" s="1" customFormat="1" ht="16.5" customHeight="1" x14ac:dyDescent="0.2">
      <c r="B134" s="118"/>
      <c r="C134" s="119" t="s">
        <v>63</v>
      </c>
      <c r="D134" s="119" t="s">
        <v>231</v>
      </c>
      <c r="E134" s="120" t="s">
        <v>4342</v>
      </c>
      <c r="F134" s="121" t="s">
        <v>4343</v>
      </c>
      <c r="G134" s="122" t="s">
        <v>234</v>
      </c>
      <c r="H134" s="123">
        <v>12.84</v>
      </c>
      <c r="I134" s="124">
        <v>171.83</v>
      </c>
      <c r="J134" s="124">
        <f>ROUND(I134*H134,2)</f>
        <v>2206.3000000000002</v>
      </c>
      <c r="K134" s="121" t="s">
        <v>1</v>
      </c>
      <c r="L134" s="24"/>
      <c r="M134" s="125" t="s">
        <v>1</v>
      </c>
      <c r="N134" s="126" t="s">
        <v>32</v>
      </c>
      <c r="O134" s="127">
        <v>0</v>
      </c>
      <c r="P134" s="127">
        <f>O134*H134</f>
        <v>0</v>
      </c>
      <c r="Q134" s="127">
        <v>0</v>
      </c>
      <c r="R134" s="127">
        <f>Q134*H134</f>
        <v>0</v>
      </c>
      <c r="S134" s="127">
        <v>0</v>
      </c>
      <c r="T134" s="128">
        <f>S134*H134</f>
        <v>0</v>
      </c>
      <c r="W134" s="118"/>
      <c r="X134" s="119" t="s">
        <v>63</v>
      </c>
      <c r="Y134" s="119" t="s">
        <v>231</v>
      </c>
      <c r="Z134" s="120" t="s">
        <v>4342</v>
      </c>
      <c r="AA134" s="121" t="s">
        <v>4343</v>
      </c>
      <c r="AB134" s="122" t="s">
        <v>234</v>
      </c>
      <c r="AC134" s="123">
        <v>12.84</v>
      </c>
      <c r="AD134" s="124">
        <v>171.83</v>
      </c>
      <c r="AE134" s="200">
        <f>ROUND(AD134*AC134,2)</f>
        <v>2206.3000000000002</v>
      </c>
      <c r="AF134" s="248"/>
      <c r="AR134" s="129" t="s">
        <v>235</v>
      </c>
      <c r="AT134" s="129" t="s">
        <v>231</v>
      </c>
      <c r="AU134" s="129" t="s">
        <v>76</v>
      </c>
      <c r="AY134" s="13" t="s">
        <v>228</v>
      </c>
      <c r="BE134" s="130">
        <f>IF(N134="základná",J134,0)</f>
        <v>0</v>
      </c>
      <c r="BF134" s="130">
        <f>IF(N134="znížená",J134,0)</f>
        <v>2206.3000000000002</v>
      </c>
      <c r="BG134" s="130">
        <f>IF(N134="zákl. prenesená",J134,0)</f>
        <v>0</v>
      </c>
      <c r="BH134" s="130">
        <f>IF(N134="zníž. prenesená",J134,0)</f>
        <v>0</v>
      </c>
      <c r="BI134" s="130">
        <f>IF(N134="nulová",J134,0)</f>
        <v>0</v>
      </c>
      <c r="BJ134" s="13" t="s">
        <v>76</v>
      </c>
      <c r="BK134" s="130">
        <f>ROUND(I134*H134,2)</f>
        <v>2206.3000000000002</v>
      </c>
      <c r="BL134" s="13" t="s">
        <v>235</v>
      </c>
      <c r="BM134" s="129" t="s">
        <v>76</v>
      </c>
    </row>
    <row r="135" spans="2:65" s="1" customFormat="1" ht="24" customHeight="1" x14ac:dyDescent="0.2">
      <c r="B135" s="118"/>
      <c r="C135" s="119" t="s">
        <v>76</v>
      </c>
      <c r="D135" s="119" t="s">
        <v>231</v>
      </c>
      <c r="E135" s="120" t="s">
        <v>4344</v>
      </c>
      <c r="F135" s="121" t="s">
        <v>4345</v>
      </c>
      <c r="G135" s="122" t="s">
        <v>1194</v>
      </c>
      <c r="H135" s="123">
        <v>2</v>
      </c>
      <c r="I135" s="124">
        <v>29.03</v>
      </c>
      <c r="J135" s="124">
        <f>ROUND(I135*H135,2)</f>
        <v>58.06</v>
      </c>
      <c r="K135" s="121" t="s">
        <v>1</v>
      </c>
      <c r="L135" s="24"/>
      <c r="M135" s="125" t="s">
        <v>1</v>
      </c>
      <c r="N135" s="126" t="s">
        <v>32</v>
      </c>
      <c r="O135" s="127">
        <v>0</v>
      </c>
      <c r="P135" s="127">
        <f>O135*H135</f>
        <v>0</v>
      </c>
      <c r="Q135" s="127">
        <v>0</v>
      </c>
      <c r="R135" s="127">
        <f>Q135*H135</f>
        <v>0</v>
      </c>
      <c r="S135" s="127">
        <v>0</v>
      </c>
      <c r="T135" s="128">
        <f>S135*H135</f>
        <v>0</v>
      </c>
      <c r="W135" s="118"/>
      <c r="X135" s="119" t="s">
        <v>76</v>
      </c>
      <c r="Y135" s="119" t="s">
        <v>231</v>
      </c>
      <c r="Z135" s="120" t="s">
        <v>4344</v>
      </c>
      <c r="AA135" s="121" t="s">
        <v>4345</v>
      </c>
      <c r="AB135" s="122" t="s">
        <v>1194</v>
      </c>
      <c r="AC135" s="123">
        <v>2</v>
      </c>
      <c r="AD135" s="124">
        <v>29.03</v>
      </c>
      <c r="AE135" s="200">
        <f>ROUND(AD135*AC135,2)</f>
        <v>58.06</v>
      </c>
      <c r="AF135" s="248"/>
      <c r="AR135" s="129" t="s">
        <v>235</v>
      </c>
      <c r="AT135" s="129" t="s">
        <v>231</v>
      </c>
      <c r="AU135" s="129" t="s">
        <v>76</v>
      </c>
      <c r="AY135" s="13" t="s">
        <v>228</v>
      </c>
      <c r="BE135" s="130">
        <f>IF(N135="základná",J135,0)</f>
        <v>0</v>
      </c>
      <c r="BF135" s="130">
        <f>IF(N135="znížená",J135,0)</f>
        <v>58.06</v>
      </c>
      <c r="BG135" s="130">
        <f>IF(N135="zákl. prenesená",J135,0)</f>
        <v>0</v>
      </c>
      <c r="BH135" s="130">
        <f>IF(N135="zníž. prenesená",J135,0)</f>
        <v>0</v>
      </c>
      <c r="BI135" s="130">
        <f>IF(N135="nulová",J135,0)</f>
        <v>0</v>
      </c>
      <c r="BJ135" s="13" t="s">
        <v>76</v>
      </c>
      <c r="BK135" s="130">
        <f>ROUND(I135*H135,2)</f>
        <v>58.06</v>
      </c>
      <c r="BL135" s="13" t="s">
        <v>235</v>
      </c>
      <c r="BM135" s="129" t="s">
        <v>235</v>
      </c>
    </row>
    <row r="136" spans="2:65" s="11" customFormat="1" ht="22.95" customHeight="1" x14ac:dyDescent="0.25">
      <c r="B136" s="106"/>
      <c r="D136" s="107" t="s">
        <v>57</v>
      </c>
      <c r="E136" s="116" t="s">
        <v>235</v>
      </c>
      <c r="F136" s="116" t="s">
        <v>3191</v>
      </c>
      <c r="J136" s="117">
        <f>BK136</f>
        <v>2561.92</v>
      </c>
      <c r="L136" s="106"/>
      <c r="M136" s="110"/>
      <c r="N136" s="111"/>
      <c r="O136" s="111"/>
      <c r="P136" s="112">
        <f>SUM(P137:P146)</f>
        <v>3.9444615000000001</v>
      </c>
      <c r="Q136" s="111"/>
      <c r="R136" s="112">
        <f>SUM(R137:R146)</f>
        <v>7.7658839999999998</v>
      </c>
      <c r="S136" s="111"/>
      <c r="T136" s="113">
        <f>SUM(T137:T146)</f>
        <v>0</v>
      </c>
      <c r="W136" s="106"/>
      <c r="X136" s="111"/>
      <c r="Y136" s="196" t="s">
        <v>57</v>
      </c>
      <c r="Z136" s="201" t="s">
        <v>235</v>
      </c>
      <c r="AA136" s="201" t="s">
        <v>3191</v>
      </c>
      <c r="AB136" s="111"/>
      <c r="AC136" s="111"/>
      <c r="AD136" s="111"/>
      <c r="AE136" s="202">
        <f>SUM(AE137:AE146)</f>
        <v>0</v>
      </c>
      <c r="AF136" s="248"/>
      <c r="AR136" s="107" t="s">
        <v>63</v>
      </c>
      <c r="AT136" s="114" t="s">
        <v>57</v>
      </c>
      <c r="AU136" s="114" t="s">
        <v>63</v>
      </c>
      <c r="AY136" s="107" t="s">
        <v>228</v>
      </c>
      <c r="BK136" s="115">
        <f>SUM(BK137:BK146)</f>
        <v>2561.92</v>
      </c>
    </row>
    <row r="137" spans="2:65" s="1" customFormat="1" ht="24" customHeight="1" x14ac:dyDescent="0.2">
      <c r="B137" s="118"/>
      <c r="C137" s="1070" t="s">
        <v>229</v>
      </c>
      <c r="D137" s="119" t="s">
        <v>231</v>
      </c>
      <c r="E137" s="120" t="s">
        <v>4346</v>
      </c>
      <c r="F137" s="121" t="s">
        <v>4347</v>
      </c>
      <c r="G137" s="122" t="s">
        <v>234</v>
      </c>
      <c r="H137" s="1071">
        <v>3.15</v>
      </c>
      <c r="I137" s="124">
        <v>104.49</v>
      </c>
      <c r="J137" s="124">
        <f t="shared" ref="J137:J146" si="0">ROUND(I137*H137,2)</f>
        <v>329.14</v>
      </c>
      <c r="K137" s="121" t="s">
        <v>3204</v>
      </c>
      <c r="L137" s="24"/>
      <c r="M137" s="125" t="s">
        <v>1</v>
      </c>
      <c r="N137" s="126" t="s">
        <v>32</v>
      </c>
      <c r="O137" s="127">
        <v>1.25221</v>
      </c>
      <c r="P137" s="127">
        <f t="shared" ref="P137:P146" si="1">O137*H137</f>
        <v>3.9444615000000001</v>
      </c>
      <c r="Q137" s="127">
        <v>2.46536</v>
      </c>
      <c r="R137" s="127">
        <f t="shared" ref="R137:R146" si="2">Q137*H137</f>
        <v>7.7658839999999998</v>
      </c>
      <c r="S137" s="127">
        <v>0</v>
      </c>
      <c r="T137" s="128">
        <f t="shared" ref="T137:T146" si="3">S137*H137</f>
        <v>0</v>
      </c>
      <c r="W137" s="118"/>
      <c r="X137" s="1070" t="s">
        <v>229</v>
      </c>
      <c r="Y137" s="119" t="s">
        <v>231</v>
      </c>
      <c r="Z137" s="120" t="s">
        <v>4346</v>
      </c>
      <c r="AA137" s="121" t="s">
        <v>4347</v>
      </c>
      <c r="AB137" s="122" t="s">
        <v>234</v>
      </c>
      <c r="AC137" s="1071">
        <v>0</v>
      </c>
      <c r="AD137" s="124">
        <v>104.49</v>
      </c>
      <c r="AE137" s="200">
        <f t="shared" ref="AE137:AE146" si="4">ROUND(AD137*AC137,2)</f>
        <v>0</v>
      </c>
      <c r="AF137" s="248" t="s">
        <v>6652</v>
      </c>
      <c r="AR137" s="129" t="s">
        <v>235</v>
      </c>
      <c r="AT137" s="129" t="s">
        <v>231</v>
      </c>
      <c r="AU137" s="129" t="s">
        <v>76</v>
      </c>
      <c r="AY137" s="13" t="s">
        <v>228</v>
      </c>
      <c r="BE137" s="130">
        <f t="shared" ref="BE137:BE146" si="5">IF(N137="základná",J137,0)</f>
        <v>0</v>
      </c>
      <c r="BF137" s="130">
        <f t="shared" ref="BF137:BF146" si="6">IF(N137="znížená",J137,0)</f>
        <v>329.14</v>
      </c>
      <c r="BG137" s="130">
        <f t="shared" ref="BG137:BG146" si="7">IF(N137="zákl. prenesená",J137,0)</f>
        <v>0</v>
      </c>
      <c r="BH137" s="130">
        <f t="shared" ref="BH137:BH146" si="8">IF(N137="zníž. prenesená",J137,0)</f>
        <v>0</v>
      </c>
      <c r="BI137" s="130">
        <f t="shared" ref="BI137:BI146" si="9">IF(N137="nulová",J137,0)</f>
        <v>0</v>
      </c>
      <c r="BJ137" s="13" t="s">
        <v>76</v>
      </c>
      <c r="BK137" s="130">
        <f t="shared" ref="BK137:BK146" si="10">ROUND(I137*H137,2)</f>
        <v>329.14</v>
      </c>
      <c r="BL137" s="13" t="s">
        <v>235</v>
      </c>
      <c r="BM137" s="129" t="s">
        <v>4348</v>
      </c>
    </row>
    <row r="138" spans="2:65" s="1" customFormat="1" ht="16.5" customHeight="1" x14ac:dyDescent="0.2">
      <c r="B138" s="118"/>
      <c r="C138" s="1070" t="s">
        <v>235</v>
      </c>
      <c r="D138" s="119" t="s">
        <v>231</v>
      </c>
      <c r="E138" s="120" t="s">
        <v>3194</v>
      </c>
      <c r="F138" s="121" t="s">
        <v>3195</v>
      </c>
      <c r="G138" s="122" t="s">
        <v>284</v>
      </c>
      <c r="H138" s="1071">
        <v>21</v>
      </c>
      <c r="I138" s="124">
        <v>13.93</v>
      </c>
      <c r="J138" s="124">
        <f t="shared" si="0"/>
        <v>292.52999999999997</v>
      </c>
      <c r="K138" s="121" t="s">
        <v>1</v>
      </c>
      <c r="L138" s="24"/>
      <c r="M138" s="125" t="s">
        <v>1</v>
      </c>
      <c r="N138" s="126" t="s">
        <v>32</v>
      </c>
      <c r="O138" s="127">
        <v>0</v>
      </c>
      <c r="P138" s="127">
        <f t="shared" si="1"/>
        <v>0</v>
      </c>
      <c r="Q138" s="127">
        <v>0</v>
      </c>
      <c r="R138" s="127">
        <f t="shared" si="2"/>
        <v>0</v>
      </c>
      <c r="S138" s="127">
        <v>0</v>
      </c>
      <c r="T138" s="128">
        <f t="shared" si="3"/>
        <v>0</v>
      </c>
      <c r="W138" s="118"/>
      <c r="X138" s="1070" t="s">
        <v>235</v>
      </c>
      <c r="Y138" s="119" t="s">
        <v>231</v>
      </c>
      <c r="Z138" s="120" t="s">
        <v>3194</v>
      </c>
      <c r="AA138" s="121" t="s">
        <v>3195</v>
      </c>
      <c r="AB138" s="122" t="s">
        <v>284</v>
      </c>
      <c r="AC138" s="1071">
        <v>0</v>
      </c>
      <c r="AD138" s="124">
        <v>13.93</v>
      </c>
      <c r="AE138" s="200">
        <f t="shared" si="4"/>
        <v>0</v>
      </c>
      <c r="AF138" s="924" t="s">
        <v>6652</v>
      </c>
      <c r="AR138" s="129" t="s">
        <v>235</v>
      </c>
      <c r="AT138" s="129" t="s">
        <v>231</v>
      </c>
      <c r="AU138" s="129" t="s">
        <v>76</v>
      </c>
      <c r="AY138" s="13" t="s">
        <v>228</v>
      </c>
      <c r="BE138" s="130">
        <f t="shared" si="5"/>
        <v>0</v>
      </c>
      <c r="BF138" s="130">
        <f t="shared" si="6"/>
        <v>292.52999999999997</v>
      </c>
      <c r="BG138" s="130">
        <f t="shared" si="7"/>
        <v>0</v>
      </c>
      <c r="BH138" s="130">
        <f t="shared" si="8"/>
        <v>0</v>
      </c>
      <c r="BI138" s="130">
        <f t="shared" si="9"/>
        <v>0</v>
      </c>
      <c r="BJ138" s="13" t="s">
        <v>76</v>
      </c>
      <c r="BK138" s="130">
        <f t="shared" si="10"/>
        <v>292.52999999999997</v>
      </c>
      <c r="BL138" s="13" t="s">
        <v>235</v>
      </c>
      <c r="BM138" s="129" t="s">
        <v>244</v>
      </c>
    </row>
    <row r="139" spans="2:65" s="1" customFormat="1" ht="16.5" customHeight="1" x14ac:dyDescent="0.2">
      <c r="B139" s="118"/>
      <c r="C139" s="1070" t="s">
        <v>245</v>
      </c>
      <c r="D139" s="119" t="s">
        <v>231</v>
      </c>
      <c r="E139" s="120" t="s">
        <v>3196</v>
      </c>
      <c r="F139" s="121" t="s">
        <v>3197</v>
      </c>
      <c r="G139" s="122" t="s">
        <v>284</v>
      </c>
      <c r="H139" s="1071">
        <v>21</v>
      </c>
      <c r="I139" s="124">
        <v>2.9</v>
      </c>
      <c r="J139" s="124">
        <f t="shared" si="0"/>
        <v>60.9</v>
      </c>
      <c r="K139" s="121" t="s">
        <v>1</v>
      </c>
      <c r="L139" s="24"/>
      <c r="M139" s="125" t="s">
        <v>1</v>
      </c>
      <c r="N139" s="126" t="s">
        <v>32</v>
      </c>
      <c r="O139" s="127">
        <v>0</v>
      </c>
      <c r="P139" s="127">
        <f t="shared" si="1"/>
        <v>0</v>
      </c>
      <c r="Q139" s="127">
        <v>0</v>
      </c>
      <c r="R139" s="127">
        <f t="shared" si="2"/>
        <v>0</v>
      </c>
      <c r="S139" s="127">
        <v>0</v>
      </c>
      <c r="T139" s="128">
        <f t="shared" si="3"/>
        <v>0</v>
      </c>
      <c r="W139" s="118"/>
      <c r="X139" s="1070" t="s">
        <v>245</v>
      </c>
      <c r="Y139" s="119" t="s">
        <v>231</v>
      </c>
      <c r="Z139" s="120" t="s">
        <v>3196</v>
      </c>
      <c r="AA139" s="121" t="s">
        <v>3197</v>
      </c>
      <c r="AB139" s="122" t="s">
        <v>284</v>
      </c>
      <c r="AC139" s="1071">
        <v>0</v>
      </c>
      <c r="AD139" s="124">
        <v>2.9</v>
      </c>
      <c r="AE139" s="200">
        <f t="shared" si="4"/>
        <v>0</v>
      </c>
      <c r="AF139" s="924" t="s">
        <v>6652</v>
      </c>
      <c r="AR139" s="129" t="s">
        <v>235</v>
      </c>
      <c r="AT139" s="129" t="s">
        <v>231</v>
      </c>
      <c r="AU139" s="129" t="s">
        <v>76</v>
      </c>
      <c r="AY139" s="13" t="s">
        <v>228</v>
      </c>
      <c r="BE139" s="130">
        <f t="shared" si="5"/>
        <v>0</v>
      </c>
      <c r="BF139" s="130">
        <f t="shared" si="6"/>
        <v>60.9</v>
      </c>
      <c r="BG139" s="130">
        <f t="shared" si="7"/>
        <v>0</v>
      </c>
      <c r="BH139" s="130">
        <f t="shared" si="8"/>
        <v>0</v>
      </c>
      <c r="BI139" s="130">
        <f t="shared" si="9"/>
        <v>0</v>
      </c>
      <c r="BJ139" s="13" t="s">
        <v>76</v>
      </c>
      <c r="BK139" s="130">
        <f t="shared" si="10"/>
        <v>60.9</v>
      </c>
      <c r="BL139" s="13" t="s">
        <v>235</v>
      </c>
      <c r="BM139" s="129" t="s">
        <v>248</v>
      </c>
    </row>
    <row r="140" spans="2:65" s="1" customFormat="1" ht="24" customHeight="1" x14ac:dyDescent="0.2">
      <c r="B140" s="118"/>
      <c r="C140" s="1070" t="s">
        <v>240</v>
      </c>
      <c r="D140" s="119" t="s">
        <v>231</v>
      </c>
      <c r="E140" s="120" t="s">
        <v>4349</v>
      </c>
      <c r="F140" s="121" t="s">
        <v>4350</v>
      </c>
      <c r="G140" s="122" t="s">
        <v>284</v>
      </c>
      <c r="H140" s="1071">
        <v>21</v>
      </c>
      <c r="I140" s="124">
        <v>6.39</v>
      </c>
      <c r="J140" s="124">
        <f t="shared" si="0"/>
        <v>134.19</v>
      </c>
      <c r="K140" s="121" t="s">
        <v>1</v>
      </c>
      <c r="L140" s="24"/>
      <c r="M140" s="125" t="s">
        <v>1</v>
      </c>
      <c r="N140" s="126" t="s">
        <v>32</v>
      </c>
      <c r="O140" s="127">
        <v>0</v>
      </c>
      <c r="P140" s="127">
        <f t="shared" si="1"/>
        <v>0</v>
      </c>
      <c r="Q140" s="127">
        <v>0</v>
      </c>
      <c r="R140" s="127">
        <f t="shared" si="2"/>
        <v>0</v>
      </c>
      <c r="S140" s="127">
        <v>0</v>
      </c>
      <c r="T140" s="128">
        <f t="shared" si="3"/>
        <v>0</v>
      </c>
      <c r="W140" s="118"/>
      <c r="X140" s="1070" t="s">
        <v>240</v>
      </c>
      <c r="Y140" s="119" t="s">
        <v>231</v>
      </c>
      <c r="Z140" s="120" t="s">
        <v>4349</v>
      </c>
      <c r="AA140" s="121" t="s">
        <v>4350</v>
      </c>
      <c r="AB140" s="122" t="s">
        <v>284</v>
      </c>
      <c r="AC140" s="1071">
        <v>0</v>
      </c>
      <c r="AD140" s="124">
        <v>6.39</v>
      </c>
      <c r="AE140" s="200">
        <f t="shared" si="4"/>
        <v>0</v>
      </c>
      <c r="AF140" s="924" t="s">
        <v>6652</v>
      </c>
      <c r="AR140" s="129" t="s">
        <v>235</v>
      </c>
      <c r="AT140" s="129" t="s">
        <v>231</v>
      </c>
      <c r="AU140" s="129" t="s">
        <v>76</v>
      </c>
      <c r="AY140" s="13" t="s">
        <v>228</v>
      </c>
      <c r="BE140" s="130">
        <f t="shared" si="5"/>
        <v>0</v>
      </c>
      <c r="BF140" s="130">
        <f t="shared" si="6"/>
        <v>134.19</v>
      </c>
      <c r="BG140" s="130">
        <f t="shared" si="7"/>
        <v>0</v>
      </c>
      <c r="BH140" s="130">
        <f t="shared" si="8"/>
        <v>0</v>
      </c>
      <c r="BI140" s="130">
        <f t="shared" si="9"/>
        <v>0</v>
      </c>
      <c r="BJ140" s="13" t="s">
        <v>76</v>
      </c>
      <c r="BK140" s="130">
        <f t="shared" si="10"/>
        <v>134.19</v>
      </c>
      <c r="BL140" s="13" t="s">
        <v>235</v>
      </c>
      <c r="BM140" s="129" t="s">
        <v>251</v>
      </c>
    </row>
    <row r="141" spans="2:65" s="1" customFormat="1" ht="24" customHeight="1" x14ac:dyDescent="0.2">
      <c r="B141" s="118"/>
      <c r="C141" s="1070" t="s">
        <v>252</v>
      </c>
      <c r="D141" s="119" t="s">
        <v>231</v>
      </c>
      <c r="E141" s="120" t="s">
        <v>4351</v>
      </c>
      <c r="F141" s="121" t="s">
        <v>4352</v>
      </c>
      <c r="G141" s="122" t="s">
        <v>284</v>
      </c>
      <c r="H141" s="1071">
        <v>21</v>
      </c>
      <c r="I141" s="124">
        <v>1.74</v>
      </c>
      <c r="J141" s="124">
        <f t="shared" si="0"/>
        <v>36.54</v>
      </c>
      <c r="K141" s="121" t="s">
        <v>1</v>
      </c>
      <c r="L141" s="24"/>
      <c r="M141" s="125" t="s">
        <v>1</v>
      </c>
      <c r="N141" s="126" t="s">
        <v>32</v>
      </c>
      <c r="O141" s="127">
        <v>0</v>
      </c>
      <c r="P141" s="127">
        <f t="shared" si="1"/>
        <v>0</v>
      </c>
      <c r="Q141" s="127">
        <v>0</v>
      </c>
      <c r="R141" s="127">
        <f t="shared" si="2"/>
        <v>0</v>
      </c>
      <c r="S141" s="127">
        <v>0</v>
      </c>
      <c r="T141" s="128">
        <f t="shared" si="3"/>
        <v>0</v>
      </c>
      <c r="W141" s="118"/>
      <c r="X141" s="1070" t="s">
        <v>252</v>
      </c>
      <c r="Y141" s="119" t="s">
        <v>231</v>
      </c>
      <c r="Z141" s="120" t="s">
        <v>4351</v>
      </c>
      <c r="AA141" s="121" t="s">
        <v>4352</v>
      </c>
      <c r="AB141" s="122" t="s">
        <v>284</v>
      </c>
      <c r="AC141" s="1071">
        <v>0</v>
      </c>
      <c r="AD141" s="124">
        <v>1.74</v>
      </c>
      <c r="AE141" s="200">
        <f t="shared" si="4"/>
        <v>0</v>
      </c>
      <c r="AF141" s="924" t="s">
        <v>6652</v>
      </c>
      <c r="AR141" s="129" t="s">
        <v>235</v>
      </c>
      <c r="AT141" s="129" t="s">
        <v>231</v>
      </c>
      <c r="AU141" s="129" t="s">
        <v>76</v>
      </c>
      <c r="AY141" s="13" t="s">
        <v>228</v>
      </c>
      <c r="BE141" s="130">
        <f t="shared" si="5"/>
        <v>0</v>
      </c>
      <c r="BF141" s="130">
        <f t="shared" si="6"/>
        <v>36.54</v>
      </c>
      <c r="BG141" s="130">
        <f t="shared" si="7"/>
        <v>0</v>
      </c>
      <c r="BH141" s="130">
        <f t="shared" si="8"/>
        <v>0</v>
      </c>
      <c r="BI141" s="130">
        <f t="shared" si="9"/>
        <v>0</v>
      </c>
      <c r="BJ141" s="13" t="s">
        <v>76</v>
      </c>
      <c r="BK141" s="130">
        <f t="shared" si="10"/>
        <v>36.54</v>
      </c>
      <c r="BL141" s="13" t="s">
        <v>235</v>
      </c>
      <c r="BM141" s="129" t="s">
        <v>255</v>
      </c>
    </row>
    <row r="142" spans="2:65" s="1" customFormat="1" ht="24" customHeight="1" x14ac:dyDescent="0.2">
      <c r="B142" s="118"/>
      <c r="C142" s="1070" t="s">
        <v>244</v>
      </c>
      <c r="D142" s="119" t="s">
        <v>231</v>
      </c>
      <c r="E142" s="120" t="s">
        <v>3202</v>
      </c>
      <c r="F142" s="121" t="s">
        <v>3203</v>
      </c>
      <c r="G142" s="122" t="s">
        <v>271</v>
      </c>
      <c r="H142" s="1071">
        <v>0.41</v>
      </c>
      <c r="I142" s="124">
        <v>1044.9000000000001</v>
      </c>
      <c r="J142" s="124">
        <f t="shared" si="0"/>
        <v>428.41</v>
      </c>
      <c r="K142" s="121" t="s">
        <v>1</v>
      </c>
      <c r="L142" s="24"/>
      <c r="M142" s="125" t="s">
        <v>1</v>
      </c>
      <c r="N142" s="126" t="s">
        <v>32</v>
      </c>
      <c r="O142" s="127">
        <v>0</v>
      </c>
      <c r="P142" s="127">
        <f t="shared" si="1"/>
        <v>0</v>
      </c>
      <c r="Q142" s="127">
        <v>0</v>
      </c>
      <c r="R142" s="127">
        <f t="shared" si="2"/>
        <v>0</v>
      </c>
      <c r="S142" s="127">
        <v>0</v>
      </c>
      <c r="T142" s="128">
        <f t="shared" si="3"/>
        <v>0</v>
      </c>
      <c r="W142" s="118"/>
      <c r="X142" s="1070" t="s">
        <v>244</v>
      </c>
      <c r="Y142" s="119" t="s">
        <v>231</v>
      </c>
      <c r="Z142" s="120" t="s">
        <v>3202</v>
      </c>
      <c r="AA142" s="121" t="s">
        <v>3203</v>
      </c>
      <c r="AB142" s="122" t="s">
        <v>271</v>
      </c>
      <c r="AC142" s="1071">
        <v>0</v>
      </c>
      <c r="AD142" s="124">
        <v>1044.9000000000001</v>
      </c>
      <c r="AE142" s="200">
        <f t="shared" si="4"/>
        <v>0</v>
      </c>
      <c r="AF142" s="924" t="s">
        <v>6652</v>
      </c>
      <c r="AR142" s="129" t="s">
        <v>235</v>
      </c>
      <c r="AT142" s="129" t="s">
        <v>231</v>
      </c>
      <c r="AU142" s="129" t="s">
        <v>76</v>
      </c>
      <c r="AY142" s="13" t="s">
        <v>228</v>
      </c>
      <c r="BE142" s="130">
        <f t="shared" si="5"/>
        <v>0</v>
      </c>
      <c r="BF142" s="130">
        <f t="shared" si="6"/>
        <v>428.41</v>
      </c>
      <c r="BG142" s="130">
        <f t="shared" si="7"/>
        <v>0</v>
      </c>
      <c r="BH142" s="130">
        <f t="shared" si="8"/>
        <v>0</v>
      </c>
      <c r="BI142" s="130">
        <f t="shared" si="9"/>
        <v>0</v>
      </c>
      <c r="BJ142" s="13" t="s">
        <v>76</v>
      </c>
      <c r="BK142" s="130">
        <f t="shared" si="10"/>
        <v>428.41</v>
      </c>
      <c r="BL142" s="13" t="s">
        <v>235</v>
      </c>
      <c r="BM142" s="129" t="s">
        <v>258</v>
      </c>
    </row>
    <row r="143" spans="2:65" s="1" customFormat="1" ht="16.5" customHeight="1" x14ac:dyDescent="0.2">
      <c r="B143" s="118"/>
      <c r="C143" s="1070" t="s">
        <v>259</v>
      </c>
      <c r="D143" s="119" t="s">
        <v>231</v>
      </c>
      <c r="E143" s="120" t="s">
        <v>4353</v>
      </c>
      <c r="F143" s="121" t="s">
        <v>4354</v>
      </c>
      <c r="G143" s="122" t="s">
        <v>234</v>
      </c>
      <c r="H143" s="1071">
        <v>3.3250000000000002</v>
      </c>
      <c r="I143" s="124">
        <v>110.3</v>
      </c>
      <c r="J143" s="124">
        <f t="shared" si="0"/>
        <v>366.75</v>
      </c>
      <c r="K143" s="121" t="s">
        <v>1</v>
      </c>
      <c r="L143" s="24"/>
      <c r="M143" s="125" t="s">
        <v>1</v>
      </c>
      <c r="N143" s="126" t="s">
        <v>32</v>
      </c>
      <c r="O143" s="127">
        <v>0</v>
      </c>
      <c r="P143" s="127">
        <f t="shared" si="1"/>
        <v>0</v>
      </c>
      <c r="Q143" s="127">
        <v>0</v>
      </c>
      <c r="R143" s="127">
        <f t="shared" si="2"/>
        <v>0</v>
      </c>
      <c r="S143" s="127">
        <v>0</v>
      </c>
      <c r="T143" s="128">
        <f t="shared" si="3"/>
        <v>0</v>
      </c>
      <c r="W143" s="118"/>
      <c r="X143" s="1070" t="s">
        <v>259</v>
      </c>
      <c r="Y143" s="119" t="s">
        <v>231</v>
      </c>
      <c r="Z143" s="120" t="s">
        <v>4353</v>
      </c>
      <c r="AA143" s="121" t="s">
        <v>4354</v>
      </c>
      <c r="AB143" s="122" t="s">
        <v>234</v>
      </c>
      <c r="AC143" s="1071">
        <v>0</v>
      </c>
      <c r="AD143" s="124">
        <v>110.3</v>
      </c>
      <c r="AE143" s="200">
        <f t="shared" si="4"/>
        <v>0</v>
      </c>
      <c r="AF143" s="924" t="s">
        <v>6652</v>
      </c>
      <c r="AR143" s="129" t="s">
        <v>235</v>
      </c>
      <c r="AT143" s="129" t="s">
        <v>231</v>
      </c>
      <c r="AU143" s="129" t="s">
        <v>76</v>
      </c>
      <c r="AY143" s="13" t="s">
        <v>228</v>
      </c>
      <c r="BE143" s="130">
        <f t="shared" si="5"/>
        <v>0</v>
      </c>
      <c r="BF143" s="130">
        <f t="shared" si="6"/>
        <v>366.75</v>
      </c>
      <c r="BG143" s="130">
        <f t="shared" si="7"/>
        <v>0</v>
      </c>
      <c r="BH143" s="130">
        <f t="shared" si="8"/>
        <v>0</v>
      </c>
      <c r="BI143" s="130">
        <f t="shared" si="9"/>
        <v>0</v>
      </c>
      <c r="BJ143" s="13" t="s">
        <v>76</v>
      </c>
      <c r="BK143" s="130">
        <f t="shared" si="10"/>
        <v>366.75</v>
      </c>
      <c r="BL143" s="13" t="s">
        <v>235</v>
      </c>
      <c r="BM143" s="129" t="s">
        <v>262</v>
      </c>
    </row>
    <row r="144" spans="2:65" s="1" customFormat="1" ht="24" customHeight="1" x14ac:dyDescent="0.2">
      <c r="B144" s="118"/>
      <c r="C144" s="1070" t="s">
        <v>248</v>
      </c>
      <c r="D144" s="119" t="s">
        <v>231</v>
      </c>
      <c r="E144" s="120" t="s">
        <v>4355</v>
      </c>
      <c r="F144" s="121" t="s">
        <v>4356</v>
      </c>
      <c r="G144" s="122" t="s">
        <v>271</v>
      </c>
      <c r="H144" s="1071">
        <v>0.432</v>
      </c>
      <c r="I144" s="124">
        <v>1044.9000000000001</v>
      </c>
      <c r="J144" s="124">
        <f t="shared" si="0"/>
        <v>451.4</v>
      </c>
      <c r="K144" s="121" t="s">
        <v>1</v>
      </c>
      <c r="L144" s="24"/>
      <c r="M144" s="125" t="s">
        <v>1</v>
      </c>
      <c r="N144" s="126" t="s">
        <v>32</v>
      </c>
      <c r="O144" s="127">
        <v>0</v>
      </c>
      <c r="P144" s="127">
        <f t="shared" si="1"/>
        <v>0</v>
      </c>
      <c r="Q144" s="127">
        <v>0</v>
      </c>
      <c r="R144" s="127">
        <f t="shared" si="2"/>
        <v>0</v>
      </c>
      <c r="S144" s="127">
        <v>0</v>
      </c>
      <c r="T144" s="128">
        <f t="shared" si="3"/>
        <v>0</v>
      </c>
      <c r="W144" s="118"/>
      <c r="X144" s="1070" t="s">
        <v>248</v>
      </c>
      <c r="Y144" s="119" t="s">
        <v>231</v>
      </c>
      <c r="Z144" s="120" t="s">
        <v>4355</v>
      </c>
      <c r="AA144" s="121" t="s">
        <v>4356</v>
      </c>
      <c r="AB144" s="122" t="s">
        <v>271</v>
      </c>
      <c r="AC144" s="1071">
        <v>0</v>
      </c>
      <c r="AD144" s="124">
        <v>1044.9000000000001</v>
      </c>
      <c r="AE144" s="200">
        <f t="shared" si="4"/>
        <v>0</v>
      </c>
      <c r="AF144" s="924" t="s">
        <v>6652</v>
      </c>
      <c r="AR144" s="129" t="s">
        <v>235</v>
      </c>
      <c r="AT144" s="129" t="s">
        <v>231</v>
      </c>
      <c r="AU144" s="129" t="s">
        <v>76</v>
      </c>
      <c r="AY144" s="13" t="s">
        <v>228</v>
      </c>
      <c r="BE144" s="130">
        <f t="shared" si="5"/>
        <v>0</v>
      </c>
      <c r="BF144" s="130">
        <f t="shared" si="6"/>
        <v>451.4</v>
      </c>
      <c r="BG144" s="130">
        <f t="shared" si="7"/>
        <v>0</v>
      </c>
      <c r="BH144" s="130">
        <f t="shared" si="8"/>
        <v>0</v>
      </c>
      <c r="BI144" s="130">
        <f t="shared" si="9"/>
        <v>0</v>
      </c>
      <c r="BJ144" s="13" t="s">
        <v>76</v>
      </c>
      <c r="BK144" s="130">
        <f t="shared" si="10"/>
        <v>451.4</v>
      </c>
      <c r="BL144" s="13" t="s">
        <v>235</v>
      </c>
      <c r="BM144" s="129" t="s">
        <v>7</v>
      </c>
    </row>
    <row r="145" spans="2:65" s="1" customFormat="1" ht="24" customHeight="1" x14ac:dyDescent="0.2">
      <c r="B145" s="118"/>
      <c r="C145" s="1070" t="s">
        <v>265</v>
      </c>
      <c r="D145" s="119" t="s">
        <v>231</v>
      </c>
      <c r="E145" s="120" t="s">
        <v>4357</v>
      </c>
      <c r="F145" s="121" t="s">
        <v>4358</v>
      </c>
      <c r="G145" s="122" t="s">
        <v>284</v>
      </c>
      <c r="H145" s="1071">
        <v>22.75</v>
      </c>
      <c r="I145" s="124">
        <v>16.25</v>
      </c>
      <c r="J145" s="124">
        <f t="shared" si="0"/>
        <v>369.69</v>
      </c>
      <c r="K145" s="121" t="s">
        <v>1</v>
      </c>
      <c r="L145" s="24"/>
      <c r="M145" s="125" t="s">
        <v>1</v>
      </c>
      <c r="N145" s="126" t="s">
        <v>32</v>
      </c>
      <c r="O145" s="127">
        <v>0</v>
      </c>
      <c r="P145" s="127">
        <f t="shared" si="1"/>
        <v>0</v>
      </c>
      <c r="Q145" s="127">
        <v>0</v>
      </c>
      <c r="R145" s="127">
        <f t="shared" si="2"/>
        <v>0</v>
      </c>
      <c r="S145" s="127">
        <v>0</v>
      </c>
      <c r="T145" s="128">
        <f t="shared" si="3"/>
        <v>0</v>
      </c>
      <c r="W145" s="118"/>
      <c r="X145" s="1070" t="s">
        <v>265</v>
      </c>
      <c r="Y145" s="119" t="s">
        <v>231</v>
      </c>
      <c r="Z145" s="120" t="s">
        <v>4357</v>
      </c>
      <c r="AA145" s="121" t="s">
        <v>4358</v>
      </c>
      <c r="AB145" s="122" t="s">
        <v>284</v>
      </c>
      <c r="AC145" s="1071">
        <v>0</v>
      </c>
      <c r="AD145" s="124">
        <v>16.25</v>
      </c>
      <c r="AE145" s="200">
        <f t="shared" si="4"/>
        <v>0</v>
      </c>
      <c r="AF145" s="924" t="s">
        <v>6652</v>
      </c>
      <c r="AR145" s="129" t="s">
        <v>235</v>
      </c>
      <c r="AT145" s="129" t="s">
        <v>231</v>
      </c>
      <c r="AU145" s="129" t="s">
        <v>76</v>
      </c>
      <c r="AY145" s="13" t="s">
        <v>228</v>
      </c>
      <c r="BE145" s="130">
        <f t="shared" si="5"/>
        <v>0</v>
      </c>
      <c r="BF145" s="130">
        <f t="shared" si="6"/>
        <v>369.69</v>
      </c>
      <c r="BG145" s="130">
        <f t="shared" si="7"/>
        <v>0</v>
      </c>
      <c r="BH145" s="130">
        <f t="shared" si="8"/>
        <v>0</v>
      </c>
      <c r="BI145" s="130">
        <f t="shared" si="9"/>
        <v>0</v>
      </c>
      <c r="BJ145" s="13" t="s">
        <v>76</v>
      </c>
      <c r="BK145" s="130">
        <f t="shared" si="10"/>
        <v>369.69</v>
      </c>
      <c r="BL145" s="13" t="s">
        <v>235</v>
      </c>
      <c r="BM145" s="129" t="s">
        <v>268</v>
      </c>
    </row>
    <row r="146" spans="2:65" s="1" customFormat="1" ht="24" customHeight="1" x14ac:dyDescent="0.2">
      <c r="B146" s="118"/>
      <c r="C146" s="1070" t="s">
        <v>251</v>
      </c>
      <c r="D146" s="119" t="s">
        <v>231</v>
      </c>
      <c r="E146" s="120" t="s">
        <v>4359</v>
      </c>
      <c r="F146" s="121" t="s">
        <v>4360</v>
      </c>
      <c r="G146" s="122" t="s">
        <v>284</v>
      </c>
      <c r="H146" s="1071">
        <v>22.75</v>
      </c>
      <c r="I146" s="124">
        <v>4.0599999999999996</v>
      </c>
      <c r="J146" s="124">
        <f t="shared" si="0"/>
        <v>92.37</v>
      </c>
      <c r="K146" s="121" t="s">
        <v>1</v>
      </c>
      <c r="L146" s="24"/>
      <c r="M146" s="125" t="s">
        <v>1</v>
      </c>
      <c r="N146" s="126" t="s">
        <v>32</v>
      </c>
      <c r="O146" s="127">
        <v>0</v>
      </c>
      <c r="P146" s="127">
        <f t="shared" si="1"/>
        <v>0</v>
      </c>
      <c r="Q146" s="127">
        <v>0</v>
      </c>
      <c r="R146" s="127">
        <f t="shared" si="2"/>
        <v>0</v>
      </c>
      <c r="S146" s="127">
        <v>0</v>
      </c>
      <c r="T146" s="128">
        <f t="shared" si="3"/>
        <v>0</v>
      </c>
      <c r="W146" s="118"/>
      <c r="X146" s="1070" t="s">
        <v>251</v>
      </c>
      <c r="Y146" s="119" t="s">
        <v>231</v>
      </c>
      <c r="Z146" s="120" t="s">
        <v>4359</v>
      </c>
      <c r="AA146" s="121" t="s">
        <v>4360</v>
      </c>
      <c r="AB146" s="122" t="s">
        <v>284</v>
      </c>
      <c r="AC146" s="1071">
        <v>0</v>
      </c>
      <c r="AD146" s="124">
        <v>4.0599999999999996</v>
      </c>
      <c r="AE146" s="200">
        <f t="shared" si="4"/>
        <v>0</v>
      </c>
      <c r="AF146" s="924" t="s">
        <v>6652</v>
      </c>
      <c r="AR146" s="129" t="s">
        <v>235</v>
      </c>
      <c r="AT146" s="129" t="s">
        <v>231</v>
      </c>
      <c r="AU146" s="129" t="s">
        <v>76</v>
      </c>
      <c r="AY146" s="13" t="s">
        <v>228</v>
      </c>
      <c r="BE146" s="130">
        <f t="shared" si="5"/>
        <v>0</v>
      </c>
      <c r="BF146" s="130">
        <f t="shared" si="6"/>
        <v>92.37</v>
      </c>
      <c r="BG146" s="130">
        <f t="shared" si="7"/>
        <v>0</v>
      </c>
      <c r="BH146" s="130">
        <f t="shared" si="8"/>
        <v>0</v>
      </c>
      <c r="BI146" s="130">
        <f t="shared" si="9"/>
        <v>0</v>
      </c>
      <c r="BJ146" s="13" t="s">
        <v>76</v>
      </c>
      <c r="BK146" s="130">
        <f t="shared" si="10"/>
        <v>92.37</v>
      </c>
      <c r="BL146" s="13" t="s">
        <v>235</v>
      </c>
      <c r="BM146" s="129" t="s">
        <v>272</v>
      </c>
    </row>
    <row r="147" spans="2:65" s="11" customFormat="1" ht="22.95" customHeight="1" x14ac:dyDescent="0.25">
      <c r="B147" s="106"/>
      <c r="D147" s="107" t="s">
        <v>57</v>
      </c>
      <c r="E147" s="116" t="s">
        <v>240</v>
      </c>
      <c r="F147" s="116" t="s">
        <v>3217</v>
      </c>
      <c r="J147" s="117">
        <f>BK147</f>
        <v>36943.49</v>
      </c>
      <c r="L147" s="106"/>
      <c r="M147" s="110"/>
      <c r="N147" s="111"/>
      <c r="O147" s="111"/>
      <c r="P147" s="112">
        <f>SUM(P148:P155)</f>
        <v>0</v>
      </c>
      <c r="Q147" s="111"/>
      <c r="R147" s="112">
        <f>SUM(R148:R155)</f>
        <v>0</v>
      </c>
      <c r="S147" s="111"/>
      <c r="T147" s="113">
        <f>SUM(T148:T155)</f>
        <v>0</v>
      </c>
      <c r="W147" s="106"/>
      <c r="X147" s="111"/>
      <c r="Y147" s="196" t="s">
        <v>57</v>
      </c>
      <c r="Z147" s="201" t="s">
        <v>240</v>
      </c>
      <c r="AA147" s="201" t="s">
        <v>3217</v>
      </c>
      <c r="AB147" s="111"/>
      <c r="AC147" s="111"/>
      <c r="AD147" s="111"/>
      <c r="AE147" s="202">
        <f>SUM(AE148:AE155)</f>
        <v>46588.03</v>
      </c>
      <c r="AF147" s="248"/>
      <c r="AR147" s="107" t="s">
        <v>63</v>
      </c>
      <c r="AT147" s="114" t="s">
        <v>57</v>
      </c>
      <c r="AU147" s="114" t="s">
        <v>63</v>
      </c>
      <c r="AY147" s="107" t="s">
        <v>228</v>
      </c>
      <c r="BK147" s="115">
        <f>SUM(BK148:BK155)</f>
        <v>36943.49</v>
      </c>
    </row>
    <row r="148" spans="2:65" s="1" customFormat="1" ht="16.5" customHeight="1" x14ac:dyDescent="0.2">
      <c r="B148" s="118"/>
      <c r="C148" s="119" t="s">
        <v>273</v>
      </c>
      <c r="D148" s="119" t="s">
        <v>231</v>
      </c>
      <c r="E148" s="120" t="s">
        <v>3218</v>
      </c>
      <c r="F148" s="121" t="s">
        <v>3219</v>
      </c>
      <c r="G148" s="122" t="s">
        <v>284</v>
      </c>
      <c r="H148" s="123">
        <v>126.97499999999999</v>
      </c>
      <c r="I148" s="124">
        <v>2.09</v>
      </c>
      <c r="J148" s="124">
        <f t="shared" ref="J148:J155" si="11">ROUND(I148*H148,2)</f>
        <v>265.38</v>
      </c>
      <c r="K148" s="121" t="s">
        <v>1</v>
      </c>
      <c r="L148" s="24"/>
      <c r="M148" s="125" t="s">
        <v>1</v>
      </c>
      <c r="N148" s="126" t="s">
        <v>32</v>
      </c>
      <c r="O148" s="127">
        <v>0</v>
      </c>
      <c r="P148" s="127">
        <f t="shared" ref="P148:P155" si="12">O148*H148</f>
        <v>0</v>
      </c>
      <c r="Q148" s="127">
        <v>0</v>
      </c>
      <c r="R148" s="127">
        <f t="shared" ref="R148:R155" si="13">Q148*H148</f>
        <v>0</v>
      </c>
      <c r="S148" s="127">
        <v>0</v>
      </c>
      <c r="T148" s="128">
        <f t="shared" ref="T148:T155" si="14">S148*H148</f>
        <v>0</v>
      </c>
      <c r="W148" s="118"/>
      <c r="X148" s="119" t="s">
        <v>273</v>
      </c>
      <c r="Y148" s="119" t="s">
        <v>231</v>
      </c>
      <c r="Z148" s="120" t="s">
        <v>3218</v>
      </c>
      <c r="AA148" s="121" t="s">
        <v>3219</v>
      </c>
      <c r="AB148" s="122" t="s">
        <v>284</v>
      </c>
      <c r="AC148" s="123">
        <v>126.97499999999999</v>
      </c>
      <c r="AD148" s="124">
        <v>2.09</v>
      </c>
      <c r="AE148" s="200">
        <f t="shared" ref="AE148:AE155" si="15">ROUND(AD148*AC148,2)</f>
        <v>265.38</v>
      </c>
      <c r="AF148" s="248"/>
      <c r="AR148" s="129" t="s">
        <v>235</v>
      </c>
      <c r="AT148" s="129" t="s">
        <v>231</v>
      </c>
      <c r="AU148" s="129" t="s">
        <v>76</v>
      </c>
      <c r="AY148" s="13" t="s">
        <v>228</v>
      </c>
      <c r="BE148" s="130">
        <f t="shared" ref="BE148:BE155" si="16">IF(N148="základná",J148,0)</f>
        <v>0</v>
      </c>
      <c r="BF148" s="130">
        <f t="shared" ref="BF148:BF155" si="17">IF(N148="znížená",J148,0)</f>
        <v>265.38</v>
      </c>
      <c r="BG148" s="130">
        <f t="shared" ref="BG148:BG155" si="18">IF(N148="zákl. prenesená",J148,0)</f>
        <v>0</v>
      </c>
      <c r="BH148" s="130">
        <f t="shared" ref="BH148:BH155" si="19">IF(N148="zníž. prenesená",J148,0)</f>
        <v>0</v>
      </c>
      <c r="BI148" s="130">
        <f t="shared" ref="BI148:BI155" si="20">IF(N148="nulová",J148,0)</f>
        <v>0</v>
      </c>
      <c r="BJ148" s="13" t="s">
        <v>76</v>
      </c>
      <c r="BK148" s="130">
        <f t="shared" ref="BK148:BK155" si="21">ROUND(I148*H148,2)</f>
        <v>265.38</v>
      </c>
      <c r="BL148" s="13" t="s">
        <v>235</v>
      </c>
      <c r="BM148" s="129" t="s">
        <v>276</v>
      </c>
    </row>
    <row r="149" spans="2:65" s="1" customFormat="1" ht="16.5" customHeight="1" x14ac:dyDescent="0.2">
      <c r="B149" s="118"/>
      <c r="C149" s="119" t="s">
        <v>255</v>
      </c>
      <c r="D149" s="119" t="s">
        <v>231</v>
      </c>
      <c r="E149" s="120" t="s">
        <v>3220</v>
      </c>
      <c r="F149" s="121" t="s">
        <v>3221</v>
      </c>
      <c r="G149" s="122" t="s">
        <v>284</v>
      </c>
      <c r="H149" s="123">
        <v>126.97499999999999</v>
      </c>
      <c r="I149" s="124">
        <v>11.61</v>
      </c>
      <c r="J149" s="124">
        <f t="shared" si="11"/>
        <v>1474.18</v>
      </c>
      <c r="K149" s="121" t="s">
        <v>1</v>
      </c>
      <c r="L149" s="24"/>
      <c r="M149" s="125" t="s">
        <v>1</v>
      </c>
      <c r="N149" s="126" t="s">
        <v>32</v>
      </c>
      <c r="O149" s="127">
        <v>0</v>
      </c>
      <c r="P149" s="127">
        <f t="shared" si="12"/>
        <v>0</v>
      </c>
      <c r="Q149" s="127">
        <v>0</v>
      </c>
      <c r="R149" s="127">
        <f t="shared" si="13"/>
        <v>0</v>
      </c>
      <c r="S149" s="127">
        <v>0</v>
      </c>
      <c r="T149" s="128">
        <f t="shared" si="14"/>
        <v>0</v>
      </c>
      <c r="W149" s="118"/>
      <c r="X149" s="119" t="s">
        <v>255</v>
      </c>
      <c r="Y149" s="119" t="s">
        <v>231</v>
      </c>
      <c r="Z149" s="120" t="s">
        <v>3220</v>
      </c>
      <c r="AA149" s="121" t="s">
        <v>3221</v>
      </c>
      <c r="AB149" s="122" t="s">
        <v>284</v>
      </c>
      <c r="AC149" s="123">
        <v>126.97499999999999</v>
      </c>
      <c r="AD149" s="124">
        <v>11.61</v>
      </c>
      <c r="AE149" s="200">
        <f t="shared" si="15"/>
        <v>1474.18</v>
      </c>
      <c r="AF149" s="248"/>
      <c r="AR149" s="129" t="s">
        <v>235</v>
      </c>
      <c r="AT149" s="129" t="s">
        <v>231</v>
      </c>
      <c r="AU149" s="129" t="s">
        <v>76</v>
      </c>
      <c r="AY149" s="13" t="s">
        <v>228</v>
      </c>
      <c r="BE149" s="130">
        <f t="shared" si="16"/>
        <v>0</v>
      </c>
      <c r="BF149" s="130">
        <f t="shared" si="17"/>
        <v>1474.18</v>
      </c>
      <c r="BG149" s="130">
        <f t="shared" si="18"/>
        <v>0</v>
      </c>
      <c r="BH149" s="130">
        <f t="shared" si="19"/>
        <v>0</v>
      </c>
      <c r="BI149" s="130">
        <f t="shared" si="20"/>
        <v>0</v>
      </c>
      <c r="BJ149" s="13" t="s">
        <v>76</v>
      </c>
      <c r="BK149" s="130">
        <f t="shared" si="21"/>
        <v>1474.18</v>
      </c>
      <c r="BL149" s="13" t="s">
        <v>235</v>
      </c>
      <c r="BM149" s="129" t="s">
        <v>280</v>
      </c>
    </row>
    <row r="150" spans="2:65" s="1" customFormat="1" ht="16.5" customHeight="1" x14ac:dyDescent="0.2">
      <c r="B150" s="118"/>
      <c r="C150" s="205" t="s">
        <v>281</v>
      </c>
      <c r="D150" s="119" t="s">
        <v>231</v>
      </c>
      <c r="E150" s="120" t="s">
        <v>3222</v>
      </c>
      <c r="F150" s="121" t="s">
        <v>3223</v>
      </c>
      <c r="G150" s="122" t="s">
        <v>284</v>
      </c>
      <c r="H150" s="206">
        <v>150.5</v>
      </c>
      <c r="I150" s="124">
        <v>14.51</v>
      </c>
      <c r="J150" s="124">
        <f t="shared" si="11"/>
        <v>2183.7600000000002</v>
      </c>
      <c r="K150" s="121" t="s">
        <v>1</v>
      </c>
      <c r="L150" s="24"/>
      <c r="M150" s="125" t="s">
        <v>1</v>
      </c>
      <c r="N150" s="126" t="s">
        <v>32</v>
      </c>
      <c r="O150" s="127">
        <v>0</v>
      </c>
      <c r="P150" s="127">
        <f t="shared" si="12"/>
        <v>0</v>
      </c>
      <c r="Q150" s="127">
        <v>0</v>
      </c>
      <c r="R150" s="127">
        <f t="shared" si="13"/>
        <v>0</v>
      </c>
      <c r="S150" s="127">
        <v>0</v>
      </c>
      <c r="T150" s="128">
        <f t="shared" si="14"/>
        <v>0</v>
      </c>
      <c r="W150" s="118"/>
      <c r="X150" s="205" t="s">
        <v>281</v>
      </c>
      <c r="Y150" s="119" t="s">
        <v>231</v>
      </c>
      <c r="Z150" s="120" t="s">
        <v>3222</v>
      </c>
      <c r="AA150" s="121" t="s">
        <v>3223</v>
      </c>
      <c r="AB150" s="122" t="s">
        <v>284</v>
      </c>
      <c r="AC150" s="206">
        <f>150.5+191.5</f>
        <v>342</v>
      </c>
      <c r="AD150" s="124">
        <v>14.51</v>
      </c>
      <c r="AE150" s="200">
        <f t="shared" si="15"/>
        <v>4962.42</v>
      </c>
      <c r="AF150" s="248" t="s">
        <v>6051</v>
      </c>
      <c r="AR150" s="129" t="s">
        <v>235</v>
      </c>
      <c r="AT150" s="129" t="s">
        <v>231</v>
      </c>
      <c r="AU150" s="129" t="s">
        <v>76</v>
      </c>
      <c r="AY150" s="13" t="s">
        <v>228</v>
      </c>
      <c r="BE150" s="130">
        <f t="shared" si="16"/>
        <v>0</v>
      </c>
      <c r="BF150" s="130">
        <f t="shared" si="17"/>
        <v>2183.7600000000002</v>
      </c>
      <c r="BG150" s="130">
        <f t="shared" si="18"/>
        <v>0</v>
      </c>
      <c r="BH150" s="130">
        <f t="shared" si="19"/>
        <v>0</v>
      </c>
      <c r="BI150" s="130">
        <f t="shared" si="20"/>
        <v>0</v>
      </c>
      <c r="BJ150" s="13" t="s">
        <v>76</v>
      </c>
      <c r="BK150" s="130">
        <f t="shared" si="21"/>
        <v>2183.7600000000002</v>
      </c>
      <c r="BL150" s="13" t="s">
        <v>235</v>
      </c>
      <c r="BM150" s="129" t="s">
        <v>285</v>
      </c>
    </row>
    <row r="151" spans="2:65" s="1" customFormat="1" ht="24" customHeight="1" x14ac:dyDescent="0.2">
      <c r="B151" s="118"/>
      <c r="C151" s="285" t="s">
        <v>258</v>
      </c>
      <c r="D151" s="119" t="s">
        <v>231</v>
      </c>
      <c r="E151" s="120" t="s">
        <v>4361</v>
      </c>
      <c r="F151" s="121" t="s">
        <v>4362</v>
      </c>
      <c r="G151" s="122" t="s">
        <v>284</v>
      </c>
      <c r="H151" s="288">
        <v>150.5</v>
      </c>
      <c r="I151" s="124">
        <v>40.64</v>
      </c>
      <c r="J151" s="124">
        <f t="shared" si="11"/>
        <v>6116.32</v>
      </c>
      <c r="K151" s="121" t="s">
        <v>1</v>
      </c>
      <c r="L151" s="24"/>
      <c r="M151" s="125" t="s">
        <v>1</v>
      </c>
      <c r="N151" s="126" t="s">
        <v>32</v>
      </c>
      <c r="O151" s="127">
        <v>0</v>
      </c>
      <c r="P151" s="127">
        <f t="shared" si="12"/>
        <v>0</v>
      </c>
      <c r="Q151" s="127">
        <v>0</v>
      </c>
      <c r="R151" s="127">
        <f t="shared" si="13"/>
        <v>0</v>
      </c>
      <c r="S151" s="127">
        <v>0</v>
      </c>
      <c r="T151" s="128">
        <f t="shared" si="14"/>
        <v>0</v>
      </c>
      <c r="W151" s="118"/>
      <c r="X151" s="285" t="s">
        <v>258</v>
      </c>
      <c r="Y151" s="119" t="s">
        <v>231</v>
      </c>
      <c r="Z151" s="120" t="s">
        <v>4361</v>
      </c>
      <c r="AA151" s="121" t="s">
        <v>4362</v>
      </c>
      <c r="AB151" s="122" t="s">
        <v>284</v>
      </c>
      <c r="AC151" s="288">
        <v>150.5</v>
      </c>
      <c r="AD151" s="124">
        <v>40.64</v>
      </c>
      <c r="AE151" s="200">
        <f t="shared" si="15"/>
        <v>6116.32</v>
      </c>
      <c r="AF151" s="248"/>
      <c r="AR151" s="129" t="s">
        <v>235</v>
      </c>
      <c r="AT151" s="129" t="s">
        <v>231</v>
      </c>
      <c r="AU151" s="129" t="s">
        <v>76</v>
      </c>
      <c r="AY151" s="13" t="s">
        <v>228</v>
      </c>
      <c r="BE151" s="130">
        <f t="shared" si="16"/>
        <v>0</v>
      </c>
      <c r="BF151" s="130">
        <f t="shared" si="17"/>
        <v>6116.32</v>
      </c>
      <c r="BG151" s="130">
        <f t="shared" si="18"/>
        <v>0</v>
      </c>
      <c r="BH151" s="130">
        <f t="shared" si="19"/>
        <v>0</v>
      </c>
      <c r="BI151" s="130">
        <f t="shared" si="20"/>
        <v>0</v>
      </c>
      <c r="BJ151" s="13" t="s">
        <v>76</v>
      </c>
      <c r="BK151" s="130">
        <f t="shared" si="21"/>
        <v>6116.32</v>
      </c>
      <c r="BL151" s="13" t="s">
        <v>235</v>
      </c>
      <c r="BM151" s="129" t="s">
        <v>288</v>
      </c>
    </row>
    <row r="152" spans="2:65" s="687" customFormat="1" ht="28.95" customHeight="1" x14ac:dyDescent="0.2">
      <c r="B152" s="118"/>
      <c r="C152" s="1234" t="s">
        <v>5205</v>
      </c>
      <c r="D152" s="1235"/>
      <c r="E152" s="1235"/>
      <c r="F152" s="1235"/>
      <c r="G152" s="1235"/>
      <c r="H152" s="1235"/>
      <c r="I152" s="1235"/>
      <c r="J152" s="1236"/>
      <c r="K152" s="121"/>
      <c r="L152" s="24"/>
      <c r="M152" s="125"/>
      <c r="N152" s="126"/>
      <c r="O152" s="127"/>
      <c r="P152" s="127"/>
      <c r="Q152" s="127"/>
      <c r="R152" s="127"/>
      <c r="S152" s="127"/>
      <c r="T152" s="128"/>
      <c r="W152" s="118"/>
      <c r="X152" s="207" t="s">
        <v>6371</v>
      </c>
      <c r="Y152" s="207" t="s">
        <v>231</v>
      </c>
      <c r="Z152" s="208" t="s">
        <v>6555</v>
      </c>
      <c r="AA152" s="209" t="s">
        <v>6556</v>
      </c>
      <c r="AB152" s="210" t="s">
        <v>284</v>
      </c>
      <c r="AC152" s="211">
        <v>179.5</v>
      </c>
      <c r="AD152" s="212">
        <v>38.25</v>
      </c>
      <c r="AE152" s="214">
        <f t="shared" si="15"/>
        <v>6865.88</v>
      </c>
      <c r="AF152" s="248" t="s">
        <v>6051</v>
      </c>
      <c r="AR152" s="129"/>
      <c r="AT152" s="129"/>
      <c r="AU152" s="129"/>
      <c r="AY152" s="13"/>
      <c r="BE152" s="130"/>
      <c r="BF152" s="130"/>
      <c r="BG152" s="130"/>
      <c r="BH152" s="130"/>
      <c r="BI152" s="130"/>
      <c r="BJ152" s="13"/>
      <c r="BK152" s="130"/>
      <c r="BL152" s="13"/>
      <c r="BM152" s="129"/>
    </row>
    <row r="153" spans="2:65" s="1" customFormat="1" ht="36" customHeight="1" x14ac:dyDescent="0.2">
      <c r="B153" s="118"/>
      <c r="C153" s="119" t="s">
        <v>289</v>
      </c>
      <c r="D153" s="119" t="s">
        <v>231</v>
      </c>
      <c r="E153" s="120" t="s">
        <v>3232</v>
      </c>
      <c r="F153" s="121" t="s">
        <v>3233</v>
      </c>
      <c r="G153" s="122" t="s">
        <v>284</v>
      </c>
      <c r="H153" s="123">
        <v>533.79999999999995</v>
      </c>
      <c r="I153" s="124">
        <v>2.79</v>
      </c>
      <c r="J153" s="124">
        <f t="shared" si="11"/>
        <v>1489.3</v>
      </c>
      <c r="K153" s="121" t="s">
        <v>1</v>
      </c>
      <c r="L153" s="24"/>
      <c r="M153" s="125" t="s">
        <v>1</v>
      </c>
      <c r="N153" s="126" t="s">
        <v>32</v>
      </c>
      <c r="O153" s="127">
        <v>0</v>
      </c>
      <c r="P153" s="127">
        <f t="shared" si="12"/>
        <v>0</v>
      </c>
      <c r="Q153" s="127">
        <v>0</v>
      </c>
      <c r="R153" s="127">
        <f t="shared" si="13"/>
        <v>0</v>
      </c>
      <c r="S153" s="127">
        <v>0</v>
      </c>
      <c r="T153" s="128">
        <f t="shared" si="14"/>
        <v>0</v>
      </c>
      <c r="W153" s="118"/>
      <c r="X153" s="119" t="s">
        <v>289</v>
      </c>
      <c r="Y153" s="119" t="s">
        <v>231</v>
      </c>
      <c r="Z153" s="120" t="s">
        <v>3232</v>
      </c>
      <c r="AA153" s="121" t="s">
        <v>3233</v>
      </c>
      <c r="AB153" s="122" t="s">
        <v>284</v>
      </c>
      <c r="AC153" s="123">
        <v>533.79999999999995</v>
      </c>
      <c r="AD153" s="124">
        <v>2.79</v>
      </c>
      <c r="AE153" s="200">
        <f t="shared" si="15"/>
        <v>1489.3</v>
      </c>
      <c r="AF153" s="248"/>
      <c r="AR153" s="129" t="s">
        <v>235</v>
      </c>
      <c r="AT153" s="129" t="s">
        <v>231</v>
      </c>
      <c r="AU153" s="129" t="s">
        <v>76</v>
      </c>
      <c r="AY153" s="13" t="s">
        <v>228</v>
      </c>
      <c r="BE153" s="130">
        <f t="shared" si="16"/>
        <v>0</v>
      </c>
      <c r="BF153" s="130">
        <f t="shared" si="17"/>
        <v>1489.3</v>
      </c>
      <c r="BG153" s="130">
        <f t="shared" si="18"/>
        <v>0</v>
      </c>
      <c r="BH153" s="130">
        <f t="shared" si="19"/>
        <v>0</v>
      </c>
      <c r="BI153" s="130">
        <f t="shared" si="20"/>
        <v>0</v>
      </c>
      <c r="BJ153" s="13" t="s">
        <v>76</v>
      </c>
      <c r="BK153" s="130">
        <f t="shared" si="21"/>
        <v>1489.3</v>
      </c>
      <c r="BL153" s="13" t="s">
        <v>235</v>
      </c>
      <c r="BM153" s="129" t="s">
        <v>293</v>
      </c>
    </row>
    <row r="154" spans="2:65" s="1" customFormat="1" ht="16.5" customHeight="1" x14ac:dyDescent="0.2">
      <c r="B154" s="118"/>
      <c r="C154" s="119" t="s">
        <v>262</v>
      </c>
      <c r="D154" s="119" t="s">
        <v>231</v>
      </c>
      <c r="E154" s="120" t="s">
        <v>3244</v>
      </c>
      <c r="F154" s="121" t="s">
        <v>3245</v>
      </c>
      <c r="G154" s="122" t="s">
        <v>284</v>
      </c>
      <c r="H154" s="123">
        <v>533.79999999999995</v>
      </c>
      <c r="I154" s="124">
        <v>38.31</v>
      </c>
      <c r="J154" s="124">
        <f t="shared" si="11"/>
        <v>20449.88</v>
      </c>
      <c r="K154" s="121" t="s">
        <v>1</v>
      </c>
      <c r="L154" s="24"/>
      <c r="M154" s="125" t="s">
        <v>1</v>
      </c>
      <c r="N154" s="126" t="s">
        <v>32</v>
      </c>
      <c r="O154" s="127">
        <v>0</v>
      </c>
      <c r="P154" s="127">
        <f t="shared" si="12"/>
        <v>0</v>
      </c>
      <c r="Q154" s="127">
        <v>0</v>
      </c>
      <c r="R154" s="127">
        <f t="shared" si="13"/>
        <v>0</v>
      </c>
      <c r="S154" s="127">
        <v>0</v>
      </c>
      <c r="T154" s="128">
        <f t="shared" si="14"/>
        <v>0</v>
      </c>
      <c r="W154" s="118"/>
      <c r="X154" s="119" t="s">
        <v>262</v>
      </c>
      <c r="Y154" s="119" t="s">
        <v>231</v>
      </c>
      <c r="Z154" s="120" t="s">
        <v>3244</v>
      </c>
      <c r="AA154" s="121" t="s">
        <v>3245</v>
      </c>
      <c r="AB154" s="122" t="s">
        <v>284</v>
      </c>
      <c r="AC154" s="123">
        <v>533.79999999999995</v>
      </c>
      <c r="AD154" s="124">
        <v>38.31</v>
      </c>
      <c r="AE154" s="200">
        <f t="shared" si="15"/>
        <v>20449.88</v>
      </c>
      <c r="AF154" s="248"/>
      <c r="AR154" s="129" t="s">
        <v>235</v>
      </c>
      <c r="AT154" s="129" t="s">
        <v>231</v>
      </c>
      <c r="AU154" s="129" t="s">
        <v>76</v>
      </c>
      <c r="AY154" s="13" t="s">
        <v>228</v>
      </c>
      <c r="BE154" s="130">
        <f t="shared" si="16"/>
        <v>0</v>
      </c>
      <c r="BF154" s="130">
        <f t="shared" si="17"/>
        <v>20449.88</v>
      </c>
      <c r="BG154" s="130">
        <f t="shared" si="18"/>
        <v>0</v>
      </c>
      <c r="BH154" s="130">
        <f t="shared" si="19"/>
        <v>0</v>
      </c>
      <c r="BI154" s="130">
        <f t="shared" si="20"/>
        <v>0</v>
      </c>
      <c r="BJ154" s="13" t="s">
        <v>76</v>
      </c>
      <c r="BK154" s="130">
        <f t="shared" si="21"/>
        <v>20449.88</v>
      </c>
      <c r="BL154" s="13" t="s">
        <v>235</v>
      </c>
      <c r="BM154" s="129" t="s">
        <v>296</v>
      </c>
    </row>
    <row r="155" spans="2:65" s="1" customFormat="1" ht="22.95" customHeight="1" x14ac:dyDescent="0.2">
      <c r="B155" s="118"/>
      <c r="C155" s="119" t="s">
        <v>297</v>
      </c>
      <c r="D155" s="119" t="s">
        <v>231</v>
      </c>
      <c r="E155" s="120" t="s">
        <v>4363</v>
      </c>
      <c r="F155" s="121" t="s">
        <v>4364</v>
      </c>
      <c r="G155" s="122" t="s">
        <v>284</v>
      </c>
      <c r="H155" s="123">
        <v>427.62</v>
      </c>
      <c r="I155" s="124">
        <v>11.61</v>
      </c>
      <c r="J155" s="124">
        <f t="shared" si="11"/>
        <v>4964.67</v>
      </c>
      <c r="K155" s="121" t="s">
        <v>1</v>
      </c>
      <c r="L155" s="24"/>
      <c r="M155" s="125" t="s">
        <v>1</v>
      </c>
      <c r="N155" s="126" t="s">
        <v>32</v>
      </c>
      <c r="O155" s="127">
        <v>0</v>
      </c>
      <c r="P155" s="127">
        <f t="shared" si="12"/>
        <v>0</v>
      </c>
      <c r="Q155" s="127">
        <v>0</v>
      </c>
      <c r="R155" s="127">
        <f t="shared" si="13"/>
        <v>0</v>
      </c>
      <c r="S155" s="127">
        <v>0</v>
      </c>
      <c r="T155" s="128">
        <f t="shared" si="14"/>
        <v>0</v>
      </c>
      <c r="W155" s="118"/>
      <c r="X155" s="119" t="s">
        <v>297</v>
      </c>
      <c r="Y155" s="119" t="s">
        <v>231</v>
      </c>
      <c r="Z155" s="120" t="s">
        <v>4363</v>
      </c>
      <c r="AA155" s="121" t="s">
        <v>4364</v>
      </c>
      <c r="AB155" s="122" t="s">
        <v>284</v>
      </c>
      <c r="AC155" s="123">
        <v>427.62</v>
      </c>
      <c r="AD155" s="124">
        <v>11.61</v>
      </c>
      <c r="AE155" s="200">
        <f t="shared" si="15"/>
        <v>4964.67</v>
      </c>
      <c r="AF155" s="248"/>
      <c r="AR155" s="129" t="s">
        <v>235</v>
      </c>
      <c r="AT155" s="129" t="s">
        <v>231</v>
      </c>
      <c r="AU155" s="129" t="s">
        <v>76</v>
      </c>
      <c r="AY155" s="13" t="s">
        <v>228</v>
      </c>
      <c r="BE155" s="130">
        <f t="shared" si="16"/>
        <v>0</v>
      </c>
      <c r="BF155" s="130">
        <f t="shared" si="17"/>
        <v>4964.67</v>
      </c>
      <c r="BG155" s="130">
        <f t="shared" si="18"/>
        <v>0</v>
      </c>
      <c r="BH155" s="130">
        <f t="shared" si="19"/>
        <v>0</v>
      </c>
      <c r="BI155" s="130">
        <f t="shared" si="20"/>
        <v>0</v>
      </c>
      <c r="BJ155" s="13" t="s">
        <v>76</v>
      </c>
      <c r="BK155" s="130">
        <f t="shared" si="21"/>
        <v>4964.67</v>
      </c>
      <c r="BL155" s="13" t="s">
        <v>235</v>
      </c>
      <c r="BM155" s="129" t="s">
        <v>300</v>
      </c>
    </row>
    <row r="156" spans="2:65" s="11" customFormat="1" ht="22.95" customHeight="1" x14ac:dyDescent="0.25">
      <c r="B156" s="106"/>
      <c r="D156" s="107" t="s">
        <v>57</v>
      </c>
      <c r="E156" s="116" t="s">
        <v>259</v>
      </c>
      <c r="F156" s="116" t="s">
        <v>3246</v>
      </c>
      <c r="J156" s="117">
        <f>BK156</f>
        <v>20454.46</v>
      </c>
      <c r="L156" s="106"/>
      <c r="M156" s="110"/>
      <c r="N156" s="111"/>
      <c r="O156" s="111"/>
      <c r="P156" s="112">
        <f>SUM(P157:P169)</f>
        <v>0</v>
      </c>
      <c r="Q156" s="111"/>
      <c r="R156" s="112">
        <f>SUM(R157:R169)</f>
        <v>0</v>
      </c>
      <c r="S156" s="111"/>
      <c r="T156" s="113">
        <f>SUM(T157:T169)</f>
        <v>0</v>
      </c>
      <c r="W156" s="106"/>
      <c r="X156" s="111"/>
      <c r="Y156" s="196" t="s">
        <v>57</v>
      </c>
      <c r="Z156" s="201" t="s">
        <v>259</v>
      </c>
      <c r="AA156" s="201" t="s">
        <v>3246</v>
      </c>
      <c r="AB156" s="111"/>
      <c r="AC156" s="111"/>
      <c r="AD156" s="111"/>
      <c r="AE156" s="202">
        <f>SUM(AE157:AE169)</f>
        <v>31444.93</v>
      </c>
      <c r="AF156" s="248"/>
      <c r="AR156" s="107" t="s">
        <v>63</v>
      </c>
      <c r="AT156" s="114" t="s">
        <v>57</v>
      </c>
      <c r="AU156" s="114" t="s">
        <v>63</v>
      </c>
      <c r="AY156" s="107" t="s">
        <v>228</v>
      </c>
      <c r="BK156" s="115">
        <f>SUM(BK157:BK169)</f>
        <v>20454.46</v>
      </c>
    </row>
    <row r="157" spans="2:65" s="1" customFormat="1" ht="24" customHeight="1" x14ac:dyDescent="0.2">
      <c r="B157" s="118"/>
      <c r="C157" s="205" t="s">
        <v>7</v>
      </c>
      <c r="D157" s="119" t="s">
        <v>231</v>
      </c>
      <c r="E157" s="120" t="s">
        <v>3247</v>
      </c>
      <c r="F157" s="121" t="s">
        <v>3248</v>
      </c>
      <c r="G157" s="122" t="s">
        <v>284</v>
      </c>
      <c r="H157" s="206">
        <v>150.5</v>
      </c>
      <c r="I157" s="124">
        <v>3.48</v>
      </c>
      <c r="J157" s="124">
        <f t="shared" ref="J157:J169" si="22">ROUND(I157*H157,2)</f>
        <v>523.74</v>
      </c>
      <c r="K157" s="121" t="s">
        <v>1</v>
      </c>
      <c r="L157" s="24"/>
      <c r="M157" s="125" t="s">
        <v>1</v>
      </c>
      <c r="N157" s="126" t="s">
        <v>32</v>
      </c>
      <c r="O157" s="127">
        <v>0</v>
      </c>
      <c r="P157" s="127">
        <f t="shared" ref="P157:P169" si="23">O157*H157</f>
        <v>0</v>
      </c>
      <c r="Q157" s="127">
        <v>0</v>
      </c>
      <c r="R157" s="127">
        <f t="shared" ref="R157:R169" si="24">Q157*H157</f>
        <v>0</v>
      </c>
      <c r="S157" s="127">
        <v>0</v>
      </c>
      <c r="T157" s="128">
        <f t="shared" ref="T157:T169" si="25">S157*H157</f>
        <v>0</v>
      </c>
      <c r="W157" s="118"/>
      <c r="X157" s="205" t="s">
        <v>7</v>
      </c>
      <c r="Y157" s="119" t="s">
        <v>231</v>
      </c>
      <c r="Z157" s="120" t="s">
        <v>3247</v>
      </c>
      <c r="AA157" s="121" t="s">
        <v>3248</v>
      </c>
      <c r="AB157" s="122" t="s">
        <v>284</v>
      </c>
      <c r="AC157" s="206">
        <f>150.5+1500</f>
        <v>1650.5</v>
      </c>
      <c r="AD157" s="124">
        <v>3.48</v>
      </c>
      <c r="AE157" s="200">
        <f t="shared" ref="AE157:AE169" si="26">ROUND(AD157*AC157,2)</f>
        <v>5743.74</v>
      </c>
      <c r="AF157" s="248" t="s">
        <v>5694</v>
      </c>
      <c r="AR157" s="129" t="s">
        <v>235</v>
      </c>
      <c r="AT157" s="129" t="s">
        <v>231</v>
      </c>
      <c r="AU157" s="129" t="s">
        <v>76</v>
      </c>
      <c r="AY157" s="13" t="s">
        <v>228</v>
      </c>
      <c r="BE157" s="130">
        <f t="shared" ref="BE157:BE169" si="27">IF(N157="základná",J157,0)</f>
        <v>0</v>
      </c>
      <c r="BF157" s="130">
        <f t="shared" ref="BF157:BF169" si="28">IF(N157="znížená",J157,0)</f>
        <v>523.74</v>
      </c>
      <c r="BG157" s="130">
        <f t="shared" ref="BG157:BG169" si="29">IF(N157="zákl. prenesená",J157,0)</f>
        <v>0</v>
      </c>
      <c r="BH157" s="130">
        <f t="shared" ref="BH157:BH169" si="30">IF(N157="zníž. prenesená",J157,0)</f>
        <v>0</v>
      </c>
      <c r="BI157" s="130">
        <f t="shared" ref="BI157:BI169" si="31">IF(N157="nulová",J157,0)</f>
        <v>0</v>
      </c>
      <c r="BJ157" s="13" t="s">
        <v>76</v>
      </c>
      <c r="BK157" s="130">
        <f t="shared" ref="BK157:BK169" si="32">ROUND(I157*H157,2)</f>
        <v>523.74</v>
      </c>
      <c r="BL157" s="13" t="s">
        <v>235</v>
      </c>
      <c r="BM157" s="129" t="s">
        <v>303</v>
      </c>
    </row>
    <row r="158" spans="2:65" s="1" customFormat="1" ht="36" customHeight="1" x14ac:dyDescent="0.2">
      <c r="B158" s="118"/>
      <c r="C158" s="205" t="s">
        <v>305</v>
      </c>
      <c r="D158" s="119" t="s">
        <v>231</v>
      </c>
      <c r="E158" s="120" t="s">
        <v>3249</v>
      </c>
      <c r="F158" s="121" t="s">
        <v>3250</v>
      </c>
      <c r="G158" s="122" t="s">
        <v>284</v>
      </c>
      <c r="H158" s="206">
        <v>150.5</v>
      </c>
      <c r="I158" s="124">
        <v>1.1599999999999999</v>
      </c>
      <c r="J158" s="124">
        <f t="shared" si="22"/>
        <v>174.58</v>
      </c>
      <c r="K158" s="121" t="s">
        <v>1</v>
      </c>
      <c r="L158" s="24"/>
      <c r="M158" s="125" t="s">
        <v>1</v>
      </c>
      <c r="N158" s="126" t="s">
        <v>32</v>
      </c>
      <c r="O158" s="127">
        <v>0</v>
      </c>
      <c r="P158" s="127">
        <f t="shared" si="23"/>
        <v>0</v>
      </c>
      <c r="Q158" s="127">
        <v>0</v>
      </c>
      <c r="R158" s="127">
        <f t="shared" si="24"/>
        <v>0</v>
      </c>
      <c r="S158" s="127">
        <v>0</v>
      </c>
      <c r="T158" s="128">
        <f t="shared" si="25"/>
        <v>0</v>
      </c>
      <c r="W158" s="118"/>
      <c r="X158" s="205" t="s">
        <v>305</v>
      </c>
      <c r="Y158" s="119" t="s">
        <v>231</v>
      </c>
      <c r="Z158" s="120" t="s">
        <v>3249</v>
      </c>
      <c r="AA158" s="121" t="s">
        <v>3250</v>
      </c>
      <c r="AB158" s="122" t="s">
        <v>284</v>
      </c>
      <c r="AC158" s="206">
        <f>150.5+4500</f>
        <v>4650.5</v>
      </c>
      <c r="AD158" s="124">
        <v>1.1599999999999999</v>
      </c>
      <c r="AE158" s="200">
        <f t="shared" si="26"/>
        <v>5394.58</v>
      </c>
      <c r="AF158" s="248" t="s">
        <v>5694</v>
      </c>
      <c r="AR158" s="129" t="s">
        <v>235</v>
      </c>
      <c r="AT158" s="129" t="s">
        <v>231</v>
      </c>
      <c r="AU158" s="129" t="s">
        <v>76</v>
      </c>
      <c r="AY158" s="13" t="s">
        <v>228</v>
      </c>
      <c r="BE158" s="130">
        <f t="shared" si="27"/>
        <v>0</v>
      </c>
      <c r="BF158" s="130">
        <f t="shared" si="28"/>
        <v>174.58</v>
      </c>
      <c r="BG158" s="130">
        <f t="shared" si="29"/>
        <v>0</v>
      </c>
      <c r="BH158" s="130">
        <f t="shared" si="30"/>
        <v>0</v>
      </c>
      <c r="BI158" s="130">
        <f t="shared" si="31"/>
        <v>0</v>
      </c>
      <c r="BJ158" s="13" t="s">
        <v>76</v>
      </c>
      <c r="BK158" s="130">
        <f t="shared" si="32"/>
        <v>174.58</v>
      </c>
      <c r="BL158" s="13" t="s">
        <v>235</v>
      </c>
      <c r="BM158" s="129" t="s">
        <v>308</v>
      </c>
    </row>
    <row r="159" spans="2:65" s="1" customFormat="1" ht="24" customHeight="1" x14ac:dyDescent="0.2">
      <c r="B159" s="118"/>
      <c r="C159" s="205" t="s">
        <v>268</v>
      </c>
      <c r="D159" s="119" t="s">
        <v>231</v>
      </c>
      <c r="E159" s="120" t="s">
        <v>3251</v>
      </c>
      <c r="F159" s="121" t="s">
        <v>3252</v>
      </c>
      <c r="G159" s="122" t="s">
        <v>284</v>
      </c>
      <c r="H159" s="206">
        <v>150.5</v>
      </c>
      <c r="I159" s="124">
        <v>1.45</v>
      </c>
      <c r="J159" s="124">
        <f t="shared" si="22"/>
        <v>218.23</v>
      </c>
      <c r="K159" s="121" t="s">
        <v>1</v>
      </c>
      <c r="L159" s="24"/>
      <c r="M159" s="125" t="s">
        <v>1</v>
      </c>
      <c r="N159" s="126" t="s">
        <v>32</v>
      </c>
      <c r="O159" s="127">
        <v>0</v>
      </c>
      <c r="P159" s="127">
        <f t="shared" si="23"/>
        <v>0</v>
      </c>
      <c r="Q159" s="127">
        <v>0</v>
      </c>
      <c r="R159" s="127">
        <f t="shared" si="24"/>
        <v>0</v>
      </c>
      <c r="S159" s="127">
        <v>0</v>
      </c>
      <c r="T159" s="128">
        <f t="shared" si="25"/>
        <v>0</v>
      </c>
      <c r="W159" s="118"/>
      <c r="X159" s="205" t="s">
        <v>268</v>
      </c>
      <c r="Y159" s="119" t="s">
        <v>231</v>
      </c>
      <c r="Z159" s="120" t="s">
        <v>3251</v>
      </c>
      <c r="AA159" s="121" t="s">
        <v>3252</v>
      </c>
      <c r="AB159" s="122" t="s">
        <v>284</v>
      </c>
      <c r="AC159" s="206">
        <f>150.5+1500</f>
        <v>1650.5</v>
      </c>
      <c r="AD159" s="124">
        <v>1.45</v>
      </c>
      <c r="AE159" s="200">
        <f t="shared" si="26"/>
        <v>2393.23</v>
      </c>
      <c r="AF159" s="248" t="s">
        <v>5694</v>
      </c>
      <c r="AR159" s="129" t="s">
        <v>235</v>
      </c>
      <c r="AT159" s="129" t="s">
        <v>231</v>
      </c>
      <c r="AU159" s="129" t="s">
        <v>76</v>
      </c>
      <c r="AY159" s="13" t="s">
        <v>228</v>
      </c>
      <c r="BE159" s="130">
        <f t="shared" si="27"/>
        <v>0</v>
      </c>
      <c r="BF159" s="130">
        <f t="shared" si="28"/>
        <v>218.23</v>
      </c>
      <c r="BG159" s="130">
        <f t="shared" si="29"/>
        <v>0</v>
      </c>
      <c r="BH159" s="130">
        <f t="shared" si="30"/>
        <v>0</v>
      </c>
      <c r="BI159" s="130">
        <f t="shared" si="31"/>
        <v>0</v>
      </c>
      <c r="BJ159" s="13" t="s">
        <v>76</v>
      </c>
      <c r="BK159" s="130">
        <f t="shared" si="32"/>
        <v>218.23</v>
      </c>
      <c r="BL159" s="13" t="s">
        <v>235</v>
      </c>
      <c r="BM159" s="129" t="s">
        <v>312</v>
      </c>
    </row>
    <row r="160" spans="2:65" s="1" customFormat="1" ht="24" customHeight="1" x14ac:dyDescent="0.2">
      <c r="B160" s="118"/>
      <c r="C160" s="119" t="s">
        <v>313</v>
      </c>
      <c r="D160" s="119" t="s">
        <v>231</v>
      </c>
      <c r="E160" s="120" t="s">
        <v>3253</v>
      </c>
      <c r="F160" s="121" t="s">
        <v>3254</v>
      </c>
      <c r="G160" s="122" t="s">
        <v>284</v>
      </c>
      <c r="H160" s="123">
        <v>16.25</v>
      </c>
      <c r="I160" s="124">
        <v>3.48</v>
      </c>
      <c r="J160" s="124">
        <f t="shared" si="22"/>
        <v>56.55</v>
      </c>
      <c r="K160" s="121" t="s">
        <v>1</v>
      </c>
      <c r="L160" s="24"/>
      <c r="M160" s="125" t="s">
        <v>1</v>
      </c>
      <c r="N160" s="126" t="s">
        <v>32</v>
      </c>
      <c r="O160" s="127">
        <v>0</v>
      </c>
      <c r="P160" s="127">
        <f t="shared" si="23"/>
        <v>0</v>
      </c>
      <c r="Q160" s="127">
        <v>0</v>
      </c>
      <c r="R160" s="127">
        <f t="shared" si="24"/>
        <v>0</v>
      </c>
      <c r="S160" s="127">
        <v>0</v>
      </c>
      <c r="T160" s="128">
        <f t="shared" si="25"/>
        <v>0</v>
      </c>
      <c r="W160" s="118"/>
      <c r="X160" s="119" t="s">
        <v>313</v>
      </c>
      <c r="Y160" s="119" t="s">
        <v>231</v>
      </c>
      <c r="Z160" s="120" t="s">
        <v>3253</v>
      </c>
      <c r="AA160" s="121" t="s">
        <v>3254</v>
      </c>
      <c r="AB160" s="122" t="s">
        <v>284</v>
      </c>
      <c r="AC160" s="123">
        <v>16.25</v>
      </c>
      <c r="AD160" s="124">
        <v>3.48</v>
      </c>
      <c r="AE160" s="200">
        <f t="shared" si="26"/>
        <v>56.55</v>
      </c>
      <c r="AF160" s="248"/>
      <c r="AR160" s="129" t="s">
        <v>235</v>
      </c>
      <c r="AT160" s="129" t="s">
        <v>231</v>
      </c>
      <c r="AU160" s="129" t="s">
        <v>76</v>
      </c>
      <c r="AY160" s="13" t="s">
        <v>228</v>
      </c>
      <c r="BE160" s="130">
        <f t="shared" si="27"/>
        <v>0</v>
      </c>
      <c r="BF160" s="130">
        <f t="shared" si="28"/>
        <v>56.55</v>
      </c>
      <c r="BG160" s="130">
        <f t="shared" si="29"/>
        <v>0</v>
      </c>
      <c r="BH160" s="130">
        <f t="shared" si="30"/>
        <v>0</v>
      </c>
      <c r="BI160" s="130">
        <f t="shared" si="31"/>
        <v>0</v>
      </c>
      <c r="BJ160" s="13" t="s">
        <v>76</v>
      </c>
      <c r="BK160" s="130">
        <f t="shared" si="32"/>
        <v>56.55</v>
      </c>
      <c r="BL160" s="13" t="s">
        <v>235</v>
      </c>
      <c r="BM160" s="129" t="s">
        <v>316</v>
      </c>
    </row>
    <row r="161" spans="2:65" s="1" customFormat="1" ht="16.5" customHeight="1" x14ac:dyDescent="0.2">
      <c r="B161" s="118"/>
      <c r="C161" s="119" t="s">
        <v>272</v>
      </c>
      <c r="D161" s="119" t="s">
        <v>231</v>
      </c>
      <c r="E161" s="120" t="s">
        <v>3255</v>
      </c>
      <c r="F161" s="121" t="s">
        <v>3256</v>
      </c>
      <c r="G161" s="122" t="s">
        <v>284</v>
      </c>
      <c r="H161" s="123">
        <v>533.79999999999995</v>
      </c>
      <c r="I161" s="124">
        <v>1.74</v>
      </c>
      <c r="J161" s="124">
        <f t="shared" si="22"/>
        <v>928.81</v>
      </c>
      <c r="K161" s="121" t="s">
        <v>1</v>
      </c>
      <c r="L161" s="24"/>
      <c r="M161" s="125" t="s">
        <v>1</v>
      </c>
      <c r="N161" s="126" t="s">
        <v>32</v>
      </c>
      <c r="O161" s="127">
        <v>0</v>
      </c>
      <c r="P161" s="127">
        <f t="shared" si="23"/>
        <v>0</v>
      </c>
      <c r="Q161" s="127">
        <v>0</v>
      </c>
      <c r="R161" s="127">
        <f t="shared" si="24"/>
        <v>0</v>
      </c>
      <c r="S161" s="127">
        <v>0</v>
      </c>
      <c r="T161" s="128">
        <f t="shared" si="25"/>
        <v>0</v>
      </c>
      <c r="W161" s="118"/>
      <c r="X161" s="119" t="s">
        <v>272</v>
      </c>
      <c r="Y161" s="119" t="s">
        <v>231</v>
      </c>
      <c r="Z161" s="120" t="s">
        <v>3255</v>
      </c>
      <c r="AA161" s="121" t="s">
        <v>3256</v>
      </c>
      <c r="AB161" s="122" t="s">
        <v>284</v>
      </c>
      <c r="AC161" s="123">
        <v>533.79999999999995</v>
      </c>
      <c r="AD161" s="124">
        <v>1.74</v>
      </c>
      <c r="AE161" s="200">
        <f t="shared" si="26"/>
        <v>928.81</v>
      </c>
      <c r="AF161" s="248"/>
      <c r="AR161" s="129" t="s">
        <v>235</v>
      </c>
      <c r="AT161" s="129" t="s">
        <v>231</v>
      </c>
      <c r="AU161" s="129" t="s">
        <v>76</v>
      </c>
      <c r="AY161" s="13" t="s">
        <v>228</v>
      </c>
      <c r="BE161" s="130">
        <f t="shared" si="27"/>
        <v>0</v>
      </c>
      <c r="BF161" s="130">
        <f t="shared" si="28"/>
        <v>928.81</v>
      </c>
      <c r="BG161" s="130">
        <f t="shared" si="29"/>
        <v>0</v>
      </c>
      <c r="BH161" s="130">
        <f t="shared" si="30"/>
        <v>0</v>
      </c>
      <c r="BI161" s="130">
        <f t="shared" si="31"/>
        <v>0</v>
      </c>
      <c r="BJ161" s="13" t="s">
        <v>76</v>
      </c>
      <c r="BK161" s="130">
        <f t="shared" si="32"/>
        <v>928.81</v>
      </c>
      <c r="BL161" s="13" t="s">
        <v>235</v>
      </c>
      <c r="BM161" s="129" t="s">
        <v>319</v>
      </c>
    </row>
    <row r="162" spans="2:65" s="1" customFormat="1" ht="32.549999999999997" customHeight="1" x14ac:dyDescent="0.2">
      <c r="B162" s="118"/>
      <c r="C162" s="119" t="s">
        <v>320</v>
      </c>
      <c r="D162" s="119" t="s">
        <v>231</v>
      </c>
      <c r="E162" s="120" t="s">
        <v>3257</v>
      </c>
      <c r="F162" s="121" t="s">
        <v>3258</v>
      </c>
      <c r="G162" s="122" t="s">
        <v>234</v>
      </c>
      <c r="H162" s="123">
        <v>17.969000000000001</v>
      </c>
      <c r="I162" s="124">
        <v>17.420000000000002</v>
      </c>
      <c r="J162" s="124">
        <f t="shared" si="22"/>
        <v>313.02</v>
      </c>
      <c r="K162" s="121" t="s">
        <v>1</v>
      </c>
      <c r="L162" s="24"/>
      <c r="M162" s="125" t="s">
        <v>1</v>
      </c>
      <c r="N162" s="126" t="s">
        <v>32</v>
      </c>
      <c r="O162" s="127">
        <v>0</v>
      </c>
      <c r="P162" s="127">
        <f t="shared" si="23"/>
        <v>0</v>
      </c>
      <c r="Q162" s="127">
        <v>0</v>
      </c>
      <c r="R162" s="127">
        <f t="shared" si="24"/>
        <v>0</v>
      </c>
      <c r="S162" s="127">
        <v>0</v>
      </c>
      <c r="T162" s="128">
        <f t="shared" si="25"/>
        <v>0</v>
      </c>
      <c r="W162" s="118"/>
      <c r="X162" s="119" t="s">
        <v>320</v>
      </c>
      <c r="Y162" s="119" t="s">
        <v>231</v>
      </c>
      <c r="Z162" s="120" t="s">
        <v>3257</v>
      </c>
      <c r="AA162" s="121" t="s">
        <v>3258</v>
      </c>
      <c r="AB162" s="122" t="s">
        <v>234</v>
      </c>
      <c r="AC162" s="123">
        <v>17.969000000000001</v>
      </c>
      <c r="AD162" s="124">
        <v>17.420000000000002</v>
      </c>
      <c r="AE162" s="200">
        <f t="shared" si="26"/>
        <v>313.02</v>
      </c>
      <c r="AF162" s="248"/>
      <c r="AR162" s="129" t="s">
        <v>235</v>
      </c>
      <c r="AT162" s="129" t="s">
        <v>231</v>
      </c>
      <c r="AU162" s="129" t="s">
        <v>76</v>
      </c>
      <c r="AY162" s="13" t="s">
        <v>228</v>
      </c>
      <c r="BE162" s="130">
        <f t="shared" si="27"/>
        <v>0</v>
      </c>
      <c r="BF162" s="130">
        <f t="shared" si="28"/>
        <v>313.02</v>
      </c>
      <c r="BG162" s="130">
        <f t="shared" si="29"/>
        <v>0</v>
      </c>
      <c r="BH162" s="130">
        <f t="shared" si="30"/>
        <v>0</v>
      </c>
      <c r="BI162" s="130">
        <f t="shared" si="31"/>
        <v>0</v>
      </c>
      <c r="BJ162" s="13" t="s">
        <v>76</v>
      </c>
      <c r="BK162" s="130">
        <f t="shared" si="32"/>
        <v>313.02</v>
      </c>
      <c r="BL162" s="13" t="s">
        <v>235</v>
      </c>
      <c r="BM162" s="129" t="s">
        <v>323</v>
      </c>
    </row>
    <row r="163" spans="2:65" s="1" customFormat="1" ht="24" customHeight="1" x14ac:dyDescent="0.2">
      <c r="B163" s="118"/>
      <c r="C163" s="119" t="s">
        <v>276</v>
      </c>
      <c r="D163" s="119" t="s">
        <v>231</v>
      </c>
      <c r="E163" s="120" t="s">
        <v>3259</v>
      </c>
      <c r="F163" s="121" t="s">
        <v>3260</v>
      </c>
      <c r="G163" s="122" t="s">
        <v>234</v>
      </c>
      <c r="H163" s="123">
        <v>3.25</v>
      </c>
      <c r="I163" s="124">
        <v>34.83</v>
      </c>
      <c r="J163" s="124">
        <f t="shared" si="22"/>
        <v>113.2</v>
      </c>
      <c r="K163" s="121" t="s">
        <v>1</v>
      </c>
      <c r="L163" s="24"/>
      <c r="M163" s="125" t="s">
        <v>1</v>
      </c>
      <c r="N163" s="126" t="s">
        <v>32</v>
      </c>
      <c r="O163" s="127">
        <v>0</v>
      </c>
      <c r="P163" s="127">
        <f t="shared" si="23"/>
        <v>0</v>
      </c>
      <c r="Q163" s="127">
        <v>0</v>
      </c>
      <c r="R163" s="127">
        <f t="shared" si="24"/>
        <v>0</v>
      </c>
      <c r="S163" s="127">
        <v>0</v>
      </c>
      <c r="T163" s="128">
        <f t="shared" si="25"/>
        <v>0</v>
      </c>
      <c r="W163" s="118"/>
      <c r="X163" s="119" t="s">
        <v>276</v>
      </c>
      <c r="Y163" s="119" t="s">
        <v>231</v>
      </c>
      <c r="Z163" s="120" t="s">
        <v>3259</v>
      </c>
      <c r="AA163" s="121" t="s">
        <v>3260</v>
      </c>
      <c r="AB163" s="122" t="s">
        <v>234</v>
      </c>
      <c r="AC163" s="123">
        <v>3.25</v>
      </c>
      <c r="AD163" s="124">
        <v>34.83</v>
      </c>
      <c r="AE163" s="200">
        <f t="shared" si="26"/>
        <v>113.2</v>
      </c>
      <c r="AF163" s="248"/>
      <c r="AR163" s="129" t="s">
        <v>235</v>
      </c>
      <c r="AT163" s="129" t="s">
        <v>231</v>
      </c>
      <c r="AU163" s="129" t="s">
        <v>76</v>
      </c>
      <c r="AY163" s="13" t="s">
        <v>228</v>
      </c>
      <c r="BE163" s="130">
        <f t="shared" si="27"/>
        <v>0</v>
      </c>
      <c r="BF163" s="130">
        <f t="shared" si="28"/>
        <v>113.2</v>
      </c>
      <c r="BG163" s="130">
        <f t="shared" si="29"/>
        <v>0</v>
      </c>
      <c r="BH163" s="130">
        <f t="shared" si="30"/>
        <v>0</v>
      </c>
      <c r="BI163" s="130">
        <f t="shared" si="31"/>
        <v>0</v>
      </c>
      <c r="BJ163" s="13" t="s">
        <v>76</v>
      </c>
      <c r="BK163" s="130">
        <f t="shared" si="32"/>
        <v>113.2</v>
      </c>
      <c r="BL163" s="13" t="s">
        <v>235</v>
      </c>
      <c r="BM163" s="129" t="s">
        <v>326</v>
      </c>
    </row>
    <row r="164" spans="2:65" s="1" customFormat="1" ht="16.5" customHeight="1" x14ac:dyDescent="0.2">
      <c r="B164" s="118"/>
      <c r="C164" s="1070" t="s">
        <v>327</v>
      </c>
      <c r="D164" s="119" t="s">
        <v>231</v>
      </c>
      <c r="E164" s="120" t="s">
        <v>4365</v>
      </c>
      <c r="F164" s="121" t="s">
        <v>4366</v>
      </c>
      <c r="G164" s="122" t="s">
        <v>284</v>
      </c>
      <c r="H164" s="1071">
        <v>562.15</v>
      </c>
      <c r="I164" s="124">
        <v>11.61</v>
      </c>
      <c r="J164" s="124">
        <f t="shared" si="22"/>
        <v>6526.56</v>
      </c>
      <c r="K164" s="121" t="s">
        <v>1</v>
      </c>
      <c r="L164" s="24"/>
      <c r="M164" s="125" t="s">
        <v>1</v>
      </c>
      <c r="N164" s="126" t="s">
        <v>32</v>
      </c>
      <c r="O164" s="127">
        <v>0</v>
      </c>
      <c r="P164" s="127">
        <f t="shared" si="23"/>
        <v>0</v>
      </c>
      <c r="Q164" s="127">
        <v>0</v>
      </c>
      <c r="R164" s="127">
        <f t="shared" si="24"/>
        <v>0</v>
      </c>
      <c r="S164" s="127">
        <v>0</v>
      </c>
      <c r="T164" s="128">
        <f t="shared" si="25"/>
        <v>0</v>
      </c>
      <c r="W164" s="118"/>
      <c r="X164" s="1070" t="s">
        <v>327</v>
      </c>
      <c r="Y164" s="119" t="s">
        <v>231</v>
      </c>
      <c r="Z164" s="120" t="s">
        <v>4365</v>
      </c>
      <c r="AA164" s="121" t="s">
        <v>4366</v>
      </c>
      <c r="AB164" s="122" t="s">
        <v>284</v>
      </c>
      <c r="AC164" s="1071">
        <f>562.15-28.108</f>
        <v>534.04200000000003</v>
      </c>
      <c r="AD164" s="124">
        <v>11.61</v>
      </c>
      <c r="AE164" s="200">
        <f t="shared" si="26"/>
        <v>6200.23</v>
      </c>
      <c r="AF164" s="248" t="s">
        <v>6652</v>
      </c>
      <c r="AR164" s="129" t="s">
        <v>235</v>
      </c>
      <c r="AT164" s="129" t="s">
        <v>231</v>
      </c>
      <c r="AU164" s="129" t="s">
        <v>76</v>
      </c>
      <c r="AY164" s="13" t="s">
        <v>228</v>
      </c>
      <c r="BE164" s="130">
        <f t="shared" si="27"/>
        <v>0</v>
      </c>
      <c r="BF164" s="130">
        <f t="shared" si="28"/>
        <v>6526.56</v>
      </c>
      <c r="BG164" s="130">
        <f t="shared" si="29"/>
        <v>0</v>
      </c>
      <c r="BH164" s="130">
        <f t="shared" si="30"/>
        <v>0</v>
      </c>
      <c r="BI164" s="130">
        <f t="shared" si="31"/>
        <v>0</v>
      </c>
      <c r="BJ164" s="13" t="s">
        <v>76</v>
      </c>
      <c r="BK164" s="130">
        <f t="shared" si="32"/>
        <v>6526.56</v>
      </c>
      <c r="BL164" s="13" t="s">
        <v>235</v>
      </c>
      <c r="BM164" s="129" t="s">
        <v>330</v>
      </c>
    </row>
    <row r="165" spans="2:65" s="1" customFormat="1" ht="24" customHeight="1" x14ac:dyDescent="0.2">
      <c r="B165" s="118"/>
      <c r="C165" s="1070" t="s">
        <v>280</v>
      </c>
      <c r="D165" s="119" t="s">
        <v>231</v>
      </c>
      <c r="E165" s="120" t="s">
        <v>4367</v>
      </c>
      <c r="F165" s="121" t="s">
        <v>4368</v>
      </c>
      <c r="G165" s="122" t="s">
        <v>271</v>
      </c>
      <c r="H165" s="1071">
        <v>266.89100000000002</v>
      </c>
      <c r="I165" s="124">
        <v>3.48</v>
      </c>
      <c r="J165" s="124">
        <f t="shared" si="22"/>
        <v>928.78</v>
      </c>
      <c r="K165" s="121" t="s">
        <v>1</v>
      </c>
      <c r="L165" s="24"/>
      <c r="M165" s="125" t="s">
        <v>1</v>
      </c>
      <c r="N165" s="126" t="s">
        <v>32</v>
      </c>
      <c r="O165" s="127">
        <v>0</v>
      </c>
      <c r="P165" s="127">
        <f t="shared" si="23"/>
        <v>0</v>
      </c>
      <c r="Q165" s="127">
        <v>0</v>
      </c>
      <c r="R165" s="127">
        <f t="shared" si="24"/>
        <v>0</v>
      </c>
      <c r="S165" s="127">
        <v>0</v>
      </c>
      <c r="T165" s="128">
        <f t="shared" si="25"/>
        <v>0</v>
      </c>
      <c r="W165" s="118"/>
      <c r="X165" s="1070" t="s">
        <v>280</v>
      </c>
      <c r="Y165" s="119" t="s">
        <v>231</v>
      </c>
      <c r="Z165" s="120" t="s">
        <v>4367</v>
      </c>
      <c r="AA165" s="121" t="s">
        <v>4368</v>
      </c>
      <c r="AB165" s="122" t="s">
        <v>271</v>
      </c>
      <c r="AC165" s="1071">
        <f>266.891-13.345</f>
        <v>253.54600000000002</v>
      </c>
      <c r="AD165" s="124">
        <v>3.48</v>
      </c>
      <c r="AE165" s="200">
        <f t="shared" si="26"/>
        <v>882.34</v>
      </c>
      <c r="AF165" s="924" t="s">
        <v>6652</v>
      </c>
      <c r="AR165" s="129" t="s">
        <v>235</v>
      </c>
      <c r="AT165" s="129" t="s">
        <v>231</v>
      </c>
      <c r="AU165" s="129" t="s">
        <v>76</v>
      </c>
      <c r="AY165" s="13" t="s">
        <v>228</v>
      </c>
      <c r="BE165" s="130">
        <f t="shared" si="27"/>
        <v>0</v>
      </c>
      <c r="BF165" s="130">
        <f t="shared" si="28"/>
        <v>928.78</v>
      </c>
      <c r="BG165" s="130">
        <f t="shared" si="29"/>
        <v>0</v>
      </c>
      <c r="BH165" s="130">
        <f t="shared" si="30"/>
        <v>0</v>
      </c>
      <c r="BI165" s="130">
        <f t="shared" si="31"/>
        <v>0</v>
      </c>
      <c r="BJ165" s="13" t="s">
        <v>76</v>
      </c>
      <c r="BK165" s="130">
        <f t="shared" si="32"/>
        <v>928.78</v>
      </c>
      <c r="BL165" s="13" t="s">
        <v>235</v>
      </c>
      <c r="BM165" s="129" t="s">
        <v>333</v>
      </c>
    </row>
    <row r="166" spans="2:65" s="1" customFormat="1" ht="24" customHeight="1" x14ac:dyDescent="0.2">
      <c r="B166" s="118"/>
      <c r="C166" s="1070" t="s">
        <v>334</v>
      </c>
      <c r="D166" s="119" t="s">
        <v>231</v>
      </c>
      <c r="E166" s="120" t="s">
        <v>4369</v>
      </c>
      <c r="F166" s="121" t="s">
        <v>4370</v>
      </c>
      <c r="G166" s="122" t="s">
        <v>271</v>
      </c>
      <c r="H166" s="1071">
        <v>533.78200000000004</v>
      </c>
      <c r="I166" s="124">
        <v>0.57999999999999996</v>
      </c>
      <c r="J166" s="124">
        <f t="shared" si="22"/>
        <v>309.58999999999997</v>
      </c>
      <c r="K166" s="121" t="s">
        <v>1</v>
      </c>
      <c r="L166" s="24"/>
      <c r="M166" s="125" t="s">
        <v>1</v>
      </c>
      <c r="N166" s="126" t="s">
        <v>32</v>
      </c>
      <c r="O166" s="127">
        <v>0</v>
      </c>
      <c r="P166" s="127">
        <f t="shared" si="23"/>
        <v>0</v>
      </c>
      <c r="Q166" s="127">
        <v>0</v>
      </c>
      <c r="R166" s="127">
        <f t="shared" si="24"/>
        <v>0</v>
      </c>
      <c r="S166" s="127">
        <v>0</v>
      </c>
      <c r="T166" s="128">
        <f t="shared" si="25"/>
        <v>0</v>
      </c>
      <c r="W166" s="118"/>
      <c r="X166" s="1070" t="s">
        <v>334</v>
      </c>
      <c r="Y166" s="119" t="s">
        <v>231</v>
      </c>
      <c r="Z166" s="120" t="s">
        <v>4369</v>
      </c>
      <c r="AA166" s="121" t="s">
        <v>4370</v>
      </c>
      <c r="AB166" s="122" t="s">
        <v>271</v>
      </c>
      <c r="AC166" s="1071">
        <f>533.782-26.69</f>
        <v>507.09200000000004</v>
      </c>
      <c r="AD166" s="124">
        <v>0.57999999999999996</v>
      </c>
      <c r="AE166" s="200">
        <f t="shared" si="26"/>
        <v>294.11</v>
      </c>
      <c r="AF166" s="924" t="s">
        <v>6652</v>
      </c>
      <c r="AR166" s="129" t="s">
        <v>235</v>
      </c>
      <c r="AT166" s="129" t="s">
        <v>231</v>
      </c>
      <c r="AU166" s="129" t="s">
        <v>76</v>
      </c>
      <c r="AY166" s="13" t="s">
        <v>228</v>
      </c>
      <c r="BE166" s="130">
        <f t="shared" si="27"/>
        <v>0</v>
      </c>
      <c r="BF166" s="130">
        <f t="shared" si="28"/>
        <v>309.58999999999997</v>
      </c>
      <c r="BG166" s="130">
        <f t="shared" si="29"/>
        <v>0</v>
      </c>
      <c r="BH166" s="130">
        <f t="shared" si="30"/>
        <v>0</v>
      </c>
      <c r="BI166" s="130">
        <f t="shared" si="31"/>
        <v>0</v>
      </c>
      <c r="BJ166" s="13" t="s">
        <v>76</v>
      </c>
      <c r="BK166" s="130">
        <f t="shared" si="32"/>
        <v>309.58999999999997</v>
      </c>
      <c r="BL166" s="13" t="s">
        <v>235</v>
      </c>
      <c r="BM166" s="129" t="s">
        <v>337</v>
      </c>
    </row>
    <row r="167" spans="2:65" s="1" customFormat="1" ht="24.45" customHeight="1" x14ac:dyDescent="0.2">
      <c r="B167" s="118"/>
      <c r="C167" s="1070" t="s">
        <v>285</v>
      </c>
      <c r="D167" s="119" t="s">
        <v>231</v>
      </c>
      <c r="E167" s="120" t="s">
        <v>3265</v>
      </c>
      <c r="F167" s="121" t="s">
        <v>3266</v>
      </c>
      <c r="G167" s="122" t="s">
        <v>271</v>
      </c>
      <c r="H167" s="1071">
        <v>266.89100000000002</v>
      </c>
      <c r="I167" s="124">
        <v>4.6399999999999997</v>
      </c>
      <c r="J167" s="124">
        <f t="shared" si="22"/>
        <v>1238.3699999999999</v>
      </c>
      <c r="K167" s="121" t="s">
        <v>1</v>
      </c>
      <c r="L167" s="24"/>
      <c r="M167" s="125" t="s">
        <v>1</v>
      </c>
      <c r="N167" s="126" t="s">
        <v>32</v>
      </c>
      <c r="O167" s="127">
        <v>0</v>
      </c>
      <c r="P167" s="127">
        <f t="shared" si="23"/>
        <v>0</v>
      </c>
      <c r="Q167" s="127">
        <v>0</v>
      </c>
      <c r="R167" s="127">
        <f t="shared" si="24"/>
        <v>0</v>
      </c>
      <c r="S167" s="127">
        <v>0</v>
      </c>
      <c r="T167" s="128">
        <f t="shared" si="25"/>
        <v>0</v>
      </c>
      <c r="W167" s="118"/>
      <c r="X167" s="1070" t="s">
        <v>285</v>
      </c>
      <c r="Y167" s="119" t="s">
        <v>231</v>
      </c>
      <c r="Z167" s="120" t="s">
        <v>3265</v>
      </c>
      <c r="AA167" s="121" t="s">
        <v>3266</v>
      </c>
      <c r="AB167" s="122" t="s">
        <v>271</v>
      </c>
      <c r="AC167" s="1071">
        <f>266.891-13.345</f>
        <v>253.54600000000002</v>
      </c>
      <c r="AD167" s="124">
        <v>4.6399999999999997</v>
      </c>
      <c r="AE167" s="200">
        <f t="shared" si="26"/>
        <v>1176.45</v>
      </c>
      <c r="AF167" s="924" t="s">
        <v>6652</v>
      </c>
      <c r="AR167" s="129" t="s">
        <v>235</v>
      </c>
      <c r="AT167" s="129" t="s">
        <v>231</v>
      </c>
      <c r="AU167" s="129" t="s">
        <v>76</v>
      </c>
      <c r="AY167" s="13" t="s">
        <v>228</v>
      </c>
      <c r="BE167" s="130">
        <f t="shared" si="27"/>
        <v>0</v>
      </c>
      <c r="BF167" s="130">
        <f t="shared" si="28"/>
        <v>1238.3699999999999</v>
      </c>
      <c r="BG167" s="130">
        <f t="shared" si="29"/>
        <v>0</v>
      </c>
      <c r="BH167" s="130">
        <f t="shared" si="30"/>
        <v>0</v>
      </c>
      <c r="BI167" s="130">
        <f t="shared" si="31"/>
        <v>0</v>
      </c>
      <c r="BJ167" s="13" t="s">
        <v>76</v>
      </c>
      <c r="BK167" s="130">
        <f t="shared" si="32"/>
        <v>1238.3699999999999</v>
      </c>
      <c r="BL167" s="13" t="s">
        <v>235</v>
      </c>
      <c r="BM167" s="129" t="s">
        <v>340</v>
      </c>
    </row>
    <row r="168" spans="2:65" s="1" customFormat="1" ht="24" customHeight="1" x14ac:dyDescent="0.2">
      <c r="B168" s="118"/>
      <c r="C168" s="1070" t="s">
        <v>341</v>
      </c>
      <c r="D168" s="119" t="s">
        <v>231</v>
      </c>
      <c r="E168" s="120" t="s">
        <v>4371</v>
      </c>
      <c r="F168" s="121" t="s">
        <v>4372</v>
      </c>
      <c r="G168" s="122" t="s">
        <v>271</v>
      </c>
      <c r="H168" s="1071">
        <v>13.345000000000001</v>
      </c>
      <c r="I168" s="124">
        <v>88</v>
      </c>
      <c r="J168" s="124">
        <f t="shared" si="22"/>
        <v>1174.3599999999999</v>
      </c>
      <c r="K168" s="121" t="s">
        <v>1</v>
      </c>
      <c r="L168" s="24"/>
      <c r="M168" s="125" t="s">
        <v>1</v>
      </c>
      <c r="N168" s="126" t="s">
        <v>32</v>
      </c>
      <c r="O168" s="127">
        <v>0</v>
      </c>
      <c r="P168" s="127">
        <f t="shared" si="23"/>
        <v>0</v>
      </c>
      <c r="Q168" s="127">
        <v>0</v>
      </c>
      <c r="R168" s="127">
        <f t="shared" si="24"/>
        <v>0</v>
      </c>
      <c r="S168" s="127">
        <v>0</v>
      </c>
      <c r="T168" s="128">
        <f t="shared" si="25"/>
        <v>0</v>
      </c>
      <c r="W168" s="118"/>
      <c r="X168" s="1070" t="s">
        <v>341</v>
      </c>
      <c r="Y168" s="119" t="s">
        <v>231</v>
      </c>
      <c r="Z168" s="120" t="s">
        <v>4371</v>
      </c>
      <c r="AA168" s="121" t="s">
        <v>4372</v>
      </c>
      <c r="AB168" s="122" t="s">
        <v>271</v>
      </c>
      <c r="AC168" s="1071">
        <v>0</v>
      </c>
      <c r="AD168" s="124">
        <v>88</v>
      </c>
      <c r="AE168" s="200">
        <f t="shared" si="26"/>
        <v>0</v>
      </c>
      <c r="AF168" s="924" t="s">
        <v>6652</v>
      </c>
      <c r="AR168" s="129" t="s">
        <v>235</v>
      </c>
      <c r="AT168" s="129" t="s">
        <v>231</v>
      </c>
      <c r="AU168" s="129" t="s">
        <v>76</v>
      </c>
      <c r="AY168" s="13" t="s">
        <v>228</v>
      </c>
      <c r="BE168" s="130">
        <f t="shared" si="27"/>
        <v>0</v>
      </c>
      <c r="BF168" s="130">
        <f t="shared" si="28"/>
        <v>1174.3599999999999</v>
      </c>
      <c r="BG168" s="130">
        <f t="shared" si="29"/>
        <v>0</v>
      </c>
      <c r="BH168" s="130">
        <f t="shared" si="30"/>
        <v>0</v>
      </c>
      <c r="BI168" s="130">
        <f t="shared" si="31"/>
        <v>0</v>
      </c>
      <c r="BJ168" s="13" t="s">
        <v>76</v>
      </c>
      <c r="BK168" s="130">
        <f t="shared" si="32"/>
        <v>1174.3599999999999</v>
      </c>
      <c r="BL168" s="13" t="s">
        <v>235</v>
      </c>
      <c r="BM168" s="129" t="s">
        <v>344</v>
      </c>
    </row>
    <row r="169" spans="2:65" s="1" customFormat="1" ht="24" customHeight="1" x14ac:dyDescent="0.2">
      <c r="B169" s="118"/>
      <c r="C169" s="119" t="s">
        <v>288</v>
      </c>
      <c r="D169" s="119" t="s">
        <v>231</v>
      </c>
      <c r="E169" s="120" t="s">
        <v>3267</v>
      </c>
      <c r="F169" s="121" t="s">
        <v>3268</v>
      </c>
      <c r="G169" s="122" t="s">
        <v>271</v>
      </c>
      <c r="H169" s="123">
        <v>253.54599999999999</v>
      </c>
      <c r="I169" s="124">
        <v>31.35</v>
      </c>
      <c r="J169" s="124">
        <f t="shared" si="22"/>
        <v>7948.67</v>
      </c>
      <c r="K169" s="121" t="s">
        <v>1</v>
      </c>
      <c r="L169" s="24"/>
      <c r="M169" s="125" t="s">
        <v>1</v>
      </c>
      <c r="N169" s="126" t="s">
        <v>32</v>
      </c>
      <c r="O169" s="127">
        <v>0</v>
      </c>
      <c r="P169" s="127">
        <f t="shared" si="23"/>
        <v>0</v>
      </c>
      <c r="Q169" s="127">
        <v>0</v>
      </c>
      <c r="R169" s="127">
        <f t="shared" si="24"/>
        <v>0</v>
      </c>
      <c r="S169" s="127">
        <v>0</v>
      </c>
      <c r="T169" s="128">
        <f t="shared" si="25"/>
        <v>0</v>
      </c>
      <c r="W169" s="118"/>
      <c r="X169" s="119" t="s">
        <v>288</v>
      </c>
      <c r="Y169" s="119" t="s">
        <v>231</v>
      </c>
      <c r="Z169" s="120" t="s">
        <v>3267</v>
      </c>
      <c r="AA169" s="121" t="s">
        <v>3268</v>
      </c>
      <c r="AB169" s="122" t="s">
        <v>271</v>
      </c>
      <c r="AC169" s="123">
        <v>253.54599999999999</v>
      </c>
      <c r="AD169" s="124">
        <v>31.35</v>
      </c>
      <c r="AE169" s="200">
        <f t="shared" si="26"/>
        <v>7948.67</v>
      </c>
      <c r="AF169" s="248"/>
      <c r="AR169" s="129" t="s">
        <v>235</v>
      </c>
      <c r="AT169" s="129" t="s">
        <v>231</v>
      </c>
      <c r="AU169" s="129" t="s">
        <v>76</v>
      </c>
      <c r="AY169" s="13" t="s">
        <v>228</v>
      </c>
      <c r="BE169" s="130">
        <f t="shared" si="27"/>
        <v>0</v>
      </c>
      <c r="BF169" s="130">
        <f t="shared" si="28"/>
        <v>7948.67</v>
      </c>
      <c r="BG169" s="130">
        <f t="shared" si="29"/>
        <v>0</v>
      </c>
      <c r="BH169" s="130">
        <f t="shared" si="30"/>
        <v>0</v>
      </c>
      <c r="BI169" s="130">
        <f t="shared" si="31"/>
        <v>0</v>
      </c>
      <c r="BJ169" s="13" t="s">
        <v>76</v>
      </c>
      <c r="BK169" s="130">
        <f t="shared" si="32"/>
        <v>7948.67</v>
      </c>
      <c r="BL169" s="13" t="s">
        <v>235</v>
      </c>
      <c r="BM169" s="129" t="s">
        <v>347</v>
      </c>
    </row>
    <row r="170" spans="2:65" s="11" customFormat="1" ht="25.95" customHeight="1" x14ac:dyDescent="0.25">
      <c r="B170" s="106"/>
      <c r="D170" s="107" t="s">
        <v>57</v>
      </c>
      <c r="E170" s="108" t="s">
        <v>556</v>
      </c>
      <c r="F170" s="108" t="s">
        <v>3272</v>
      </c>
      <c r="J170" s="109">
        <f>BK170</f>
        <v>148215.51</v>
      </c>
      <c r="L170" s="106"/>
      <c r="M170" s="110"/>
      <c r="N170" s="111"/>
      <c r="O170" s="111"/>
      <c r="P170" s="112">
        <f>P171+P179+P187+P190+P196+P200+P202</f>
        <v>0</v>
      </c>
      <c r="Q170" s="111"/>
      <c r="R170" s="112">
        <f>R171+R179+R187+R190+R196+R200+R202</f>
        <v>0</v>
      </c>
      <c r="S170" s="111"/>
      <c r="T170" s="113">
        <f>T171+T179+T187+T190+T196+T200+T202</f>
        <v>0</v>
      </c>
      <c r="W170" s="106"/>
      <c r="X170" s="111"/>
      <c r="Y170" s="196" t="s">
        <v>57</v>
      </c>
      <c r="Z170" s="197" t="s">
        <v>556</v>
      </c>
      <c r="AA170" s="197" t="s">
        <v>3272</v>
      </c>
      <c r="AB170" s="111"/>
      <c r="AC170" s="111"/>
      <c r="AD170" s="111"/>
      <c r="AE170" s="198">
        <f>AE171+AE179+AE187+AE190+AE196+AE200+AE202</f>
        <v>147120.67000000001</v>
      </c>
      <c r="AF170" s="248"/>
      <c r="AR170" s="107" t="s">
        <v>63</v>
      </c>
      <c r="AT170" s="114" t="s">
        <v>57</v>
      </c>
      <c r="AU170" s="114" t="s">
        <v>58</v>
      </c>
      <c r="AY170" s="107" t="s">
        <v>228</v>
      </c>
      <c r="BK170" s="115">
        <f>BK171+BK179+BK187+BK190+BK196+BK200+BK202</f>
        <v>148215.51</v>
      </c>
    </row>
    <row r="171" spans="2:65" s="11" customFormat="1" ht="22.95" customHeight="1" x14ac:dyDescent="0.25">
      <c r="B171" s="106"/>
      <c r="D171" s="107" t="s">
        <v>57</v>
      </c>
      <c r="E171" s="116" t="s">
        <v>3293</v>
      </c>
      <c r="F171" s="116" t="s">
        <v>3294</v>
      </c>
      <c r="J171" s="117">
        <f>BK171</f>
        <v>30637.140000000003</v>
      </c>
      <c r="L171" s="106"/>
      <c r="M171" s="110"/>
      <c r="N171" s="111"/>
      <c r="O171" s="111"/>
      <c r="P171" s="112">
        <f>SUM(P172:P178)</f>
        <v>0</v>
      </c>
      <c r="Q171" s="111"/>
      <c r="R171" s="112">
        <f>SUM(R172:R178)</f>
        <v>0</v>
      </c>
      <c r="S171" s="111"/>
      <c r="T171" s="113">
        <f>SUM(T172:T178)</f>
        <v>0</v>
      </c>
      <c r="W171" s="106"/>
      <c r="X171" s="111"/>
      <c r="Y171" s="196" t="s">
        <v>57</v>
      </c>
      <c r="Z171" s="201" t="s">
        <v>3293</v>
      </c>
      <c r="AA171" s="201" t="s">
        <v>3294</v>
      </c>
      <c r="AB171" s="111"/>
      <c r="AC171" s="111"/>
      <c r="AD171" s="111"/>
      <c r="AE171" s="202">
        <f>SUM(AE172:AE178)</f>
        <v>30637.140000000003</v>
      </c>
      <c r="AF171" s="248"/>
      <c r="AR171" s="107" t="s">
        <v>63</v>
      </c>
      <c r="AT171" s="114" t="s">
        <v>57</v>
      </c>
      <c r="AU171" s="114" t="s">
        <v>63</v>
      </c>
      <c r="AY171" s="107" t="s">
        <v>228</v>
      </c>
      <c r="BK171" s="115">
        <f>SUM(BK172:BK178)</f>
        <v>30637.140000000003</v>
      </c>
    </row>
    <row r="172" spans="2:65" s="1" customFormat="1" ht="16.5" customHeight="1" x14ac:dyDescent="0.2">
      <c r="B172" s="118"/>
      <c r="C172" s="119" t="s">
        <v>348</v>
      </c>
      <c r="D172" s="119" t="s">
        <v>231</v>
      </c>
      <c r="E172" s="120" t="s">
        <v>3295</v>
      </c>
      <c r="F172" s="121" t="s">
        <v>3296</v>
      </c>
      <c r="G172" s="122" t="s">
        <v>284</v>
      </c>
      <c r="H172" s="123">
        <v>101.68</v>
      </c>
      <c r="I172" s="124">
        <v>2.9</v>
      </c>
      <c r="J172" s="124">
        <f t="shared" ref="J172:J178" si="33">ROUND(I172*H172,2)</f>
        <v>294.87</v>
      </c>
      <c r="K172" s="121" t="s">
        <v>1</v>
      </c>
      <c r="L172" s="24"/>
      <c r="M172" s="125" t="s">
        <v>1</v>
      </c>
      <c r="N172" s="126" t="s">
        <v>32</v>
      </c>
      <c r="O172" s="127">
        <v>0</v>
      </c>
      <c r="P172" s="127">
        <f t="shared" ref="P172:P178" si="34">O172*H172</f>
        <v>0</v>
      </c>
      <c r="Q172" s="127">
        <v>0</v>
      </c>
      <c r="R172" s="127">
        <f t="shared" ref="R172:R178" si="35">Q172*H172</f>
        <v>0</v>
      </c>
      <c r="S172" s="127">
        <v>0</v>
      </c>
      <c r="T172" s="128">
        <f t="shared" ref="T172:T178" si="36">S172*H172</f>
        <v>0</v>
      </c>
      <c r="W172" s="118"/>
      <c r="X172" s="119" t="s">
        <v>348</v>
      </c>
      <c r="Y172" s="119" t="s">
        <v>231</v>
      </c>
      <c r="Z172" s="120" t="s">
        <v>3295</v>
      </c>
      <c r="AA172" s="121" t="s">
        <v>3296</v>
      </c>
      <c r="AB172" s="122" t="s">
        <v>284</v>
      </c>
      <c r="AC172" s="123">
        <v>101.68</v>
      </c>
      <c r="AD172" s="124">
        <v>2.9</v>
      </c>
      <c r="AE172" s="200">
        <f t="shared" ref="AE172:AE178" si="37">ROUND(AD172*AC172,2)</f>
        <v>294.87</v>
      </c>
      <c r="AF172" s="248"/>
      <c r="AR172" s="129" t="s">
        <v>235</v>
      </c>
      <c r="AT172" s="129" t="s">
        <v>231</v>
      </c>
      <c r="AU172" s="129" t="s">
        <v>76</v>
      </c>
      <c r="AY172" s="13" t="s">
        <v>228</v>
      </c>
      <c r="BE172" s="130">
        <f t="shared" ref="BE172:BE178" si="38">IF(N172="základná",J172,0)</f>
        <v>0</v>
      </c>
      <c r="BF172" s="130">
        <f t="shared" ref="BF172:BF178" si="39">IF(N172="znížená",J172,0)</f>
        <v>294.87</v>
      </c>
      <c r="BG172" s="130">
        <f t="shared" ref="BG172:BG178" si="40">IF(N172="zákl. prenesená",J172,0)</f>
        <v>0</v>
      </c>
      <c r="BH172" s="130">
        <f t="shared" ref="BH172:BH178" si="41">IF(N172="zníž. prenesená",J172,0)</f>
        <v>0</v>
      </c>
      <c r="BI172" s="130">
        <f t="shared" ref="BI172:BI178" si="42">IF(N172="nulová",J172,0)</f>
        <v>0</v>
      </c>
      <c r="BJ172" s="13" t="s">
        <v>76</v>
      </c>
      <c r="BK172" s="130">
        <f t="shared" ref="BK172:BK178" si="43">ROUND(I172*H172,2)</f>
        <v>294.87</v>
      </c>
      <c r="BL172" s="13" t="s">
        <v>235</v>
      </c>
      <c r="BM172" s="129" t="s">
        <v>351</v>
      </c>
    </row>
    <row r="173" spans="2:65" s="1" customFormat="1" ht="16.5" customHeight="1" x14ac:dyDescent="0.2">
      <c r="B173" s="118"/>
      <c r="C173" s="131" t="s">
        <v>293</v>
      </c>
      <c r="D173" s="131" t="s">
        <v>277</v>
      </c>
      <c r="E173" s="132" t="s">
        <v>3297</v>
      </c>
      <c r="F173" s="133" t="s">
        <v>3298</v>
      </c>
      <c r="G173" s="134" t="s">
        <v>284</v>
      </c>
      <c r="H173" s="135">
        <v>116.932</v>
      </c>
      <c r="I173" s="136">
        <v>4.6399999999999997</v>
      </c>
      <c r="J173" s="136">
        <f t="shared" si="33"/>
        <v>542.55999999999995</v>
      </c>
      <c r="K173" s="133" t="s">
        <v>1</v>
      </c>
      <c r="L173" s="137"/>
      <c r="M173" s="138" t="s">
        <v>1</v>
      </c>
      <c r="N173" s="139" t="s">
        <v>32</v>
      </c>
      <c r="O173" s="127">
        <v>0</v>
      </c>
      <c r="P173" s="127">
        <f t="shared" si="34"/>
        <v>0</v>
      </c>
      <c r="Q173" s="127">
        <v>0</v>
      </c>
      <c r="R173" s="127">
        <f t="shared" si="35"/>
        <v>0</v>
      </c>
      <c r="S173" s="127">
        <v>0</v>
      </c>
      <c r="T173" s="128">
        <f t="shared" si="36"/>
        <v>0</v>
      </c>
      <c r="W173" s="118"/>
      <c r="X173" s="131" t="s">
        <v>293</v>
      </c>
      <c r="Y173" s="131" t="s">
        <v>277</v>
      </c>
      <c r="Z173" s="132" t="s">
        <v>3297</v>
      </c>
      <c r="AA173" s="133" t="s">
        <v>3298</v>
      </c>
      <c r="AB173" s="134" t="s">
        <v>284</v>
      </c>
      <c r="AC173" s="135">
        <v>116.932</v>
      </c>
      <c r="AD173" s="136">
        <v>4.6399999999999997</v>
      </c>
      <c r="AE173" s="229">
        <f t="shared" si="37"/>
        <v>542.55999999999995</v>
      </c>
      <c r="AF173" s="248"/>
      <c r="AR173" s="129" t="s">
        <v>244</v>
      </c>
      <c r="AT173" s="129" t="s">
        <v>277</v>
      </c>
      <c r="AU173" s="129" t="s">
        <v>76</v>
      </c>
      <c r="AY173" s="13" t="s">
        <v>228</v>
      </c>
      <c r="BE173" s="130">
        <f t="shared" si="38"/>
        <v>0</v>
      </c>
      <c r="BF173" s="130">
        <f t="shared" si="39"/>
        <v>542.55999999999995</v>
      </c>
      <c r="BG173" s="130">
        <f t="shared" si="40"/>
        <v>0</v>
      </c>
      <c r="BH173" s="130">
        <f t="shared" si="41"/>
        <v>0</v>
      </c>
      <c r="BI173" s="130">
        <f t="shared" si="42"/>
        <v>0</v>
      </c>
      <c r="BJ173" s="13" t="s">
        <v>76</v>
      </c>
      <c r="BK173" s="130">
        <f t="shared" si="43"/>
        <v>542.55999999999995</v>
      </c>
      <c r="BL173" s="13" t="s">
        <v>235</v>
      </c>
      <c r="BM173" s="129" t="s">
        <v>354</v>
      </c>
    </row>
    <row r="174" spans="2:65" s="1" customFormat="1" ht="36" customHeight="1" x14ac:dyDescent="0.2">
      <c r="B174" s="118"/>
      <c r="C174" s="119" t="s">
        <v>355</v>
      </c>
      <c r="D174" s="119" t="s">
        <v>231</v>
      </c>
      <c r="E174" s="120" t="s">
        <v>4373</v>
      </c>
      <c r="F174" s="121" t="s">
        <v>4374</v>
      </c>
      <c r="G174" s="122" t="s">
        <v>284</v>
      </c>
      <c r="H174" s="123">
        <v>1081.52</v>
      </c>
      <c r="I174" s="124">
        <v>10.45</v>
      </c>
      <c r="J174" s="124">
        <f t="shared" si="33"/>
        <v>11301.88</v>
      </c>
      <c r="K174" s="121" t="s">
        <v>1</v>
      </c>
      <c r="L174" s="24"/>
      <c r="M174" s="125" t="s">
        <v>1</v>
      </c>
      <c r="N174" s="126" t="s">
        <v>32</v>
      </c>
      <c r="O174" s="127">
        <v>0</v>
      </c>
      <c r="P174" s="127">
        <f t="shared" si="34"/>
        <v>0</v>
      </c>
      <c r="Q174" s="127">
        <v>0</v>
      </c>
      <c r="R174" s="127">
        <f t="shared" si="35"/>
        <v>0</v>
      </c>
      <c r="S174" s="127">
        <v>0</v>
      </c>
      <c r="T174" s="128">
        <f t="shared" si="36"/>
        <v>0</v>
      </c>
      <c r="W174" s="118"/>
      <c r="X174" s="119" t="s">
        <v>355</v>
      </c>
      <c r="Y174" s="119" t="s">
        <v>231</v>
      </c>
      <c r="Z174" s="120" t="s">
        <v>4373</v>
      </c>
      <c r="AA174" s="121" t="s">
        <v>4374</v>
      </c>
      <c r="AB174" s="122" t="s">
        <v>284</v>
      </c>
      <c r="AC174" s="123">
        <v>1081.52</v>
      </c>
      <c r="AD174" s="124">
        <v>10.45</v>
      </c>
      <c r="AE174" s="200">
        <f t="shared" si="37"/>
        <v>11301.88</v>
      </c>
      <c r="AF174" s="248"/>
      <c r="AR174" s="129" t="s">
        <v>235</v>
      </c>
      <c r="AT174" s="129" t="s">
        <v>231</v>
      </c>
      <c r="AU174" s="129" t="s">
        <v>76</v>
      </c>
      <c r="AY174" s="13" t="s">
        <v>228</v>
      </c>
      <c r="BE174" s="130">
        <f t="shared" si="38"/>
        <v>0</v>
      </c>
      <c r="BF174" s="130">
        <f t="shared" si="39"/>
        <v>11301.88</v>
      </c>
      <c r="BG174" s="130">
        <f t="shared" si="40"/>
        <v>0</v>
      </c>
      <c r="BH174" s="130">
        <f t="shared" si="41"/>
        <v>0</v>
      </c>
      <c r="BI174" s="130">
        <f t="shared" si="42"/>
        <v>0</v>
      </c>
      <c r="BJ174" s="13" t="s">
        <v>76</v>
      </c>
      <c r="BK174" s="130">
        <f t="shared" si="43"/>
        <v>11301.88</v>
      </c>
      <c r="BL174" s="13" t="s">
        <v>235</v>
      </c>
      <c r="BM174" s="129" t="s">
        <v>358</v>
      </c>
    </row>
    <row r="175" spans="2:65" s="1" customFormat="1" ht="16.5" customHeight="1" x14ac:dyDescent="0.2">
      <c r="B175" s="118"/>
      <c r="C175" s="131" t="s">
        <v>296</v>
      </c>
      <c r="D175" s="131" t="s">
        <v>277</v>
      </c>
      <c r="E175" s="132" t="s">
        <v>3301</v>
      </c>
      <c r="F175" s="133" t="s">
        <v>4375</v>
      </c>
      <c r="G175" s="134" t="s">
        <v>284</v>
      </c>
      <c r="H175" s="135">
        <v>1243.758</v>
      </c>
      <c r="I175" s="136">
        <v>12.19</v>
      </c>
      <c r="J175" s="136">
        <f t="shared" si="33"/>
        <v>15161.41</v>
      </c>
      <c r="K175" s="133" t="s">
        <v>1</v>
      </c>
      <c r="L175" s="137"/>
      <c r="M175" s="138" t="s">
        <v>1</v>
      </c>
      <c r="N175" s="139" t="s">
        <v>32</v>
      </c>
      <c r="O175" s="127">
        <v>0</v>
      </c>
      <c r="P175" s="127">
        <f t="shared" si="34"/>
        <v>0</v>
      </c>
      <c r="Q175" s="127">
        <v>0</v>
      </c>
      <c r="R175" s="127">
        <f t="shared" si="35"/>
        <v>0</v>
      </c>
      <c r="S175" s="127">
        <v>0</v>
      </c>
      <c r="T175" s="128">
        <f t="shared" si="36"/>
        <v>0</v>
      </c>
      <c r="W175" s="118"/>
      <c r="X175" s="131" t="s">
        <v>296</v>
      </c>
      <c r="Y175" s="131" t="s">
        <v>277</v>
      </c>
      <c r="Z175" s="132" t="s">
        <v>3301</v>
      </c>
      <c r="AA175" s="133" t="s">
        <v>4375</v>
      </c>
      <c r="AB175" s="134" t="s">
        <v>284</v>
      </c>
      <c r="AC175" s="135">
        <v>1243.758</v>
      </c>
      <c r="AD175" s="136">
        <v>12.19</v>
      </c>
      <c r="AE175" s="229">
        <f t="shared" si="37"/>
        <v>15161.41</v>
      </c>
      <c r="AF175" s="248"/>
      <c r="AR175" s="129" t="s">
        <v>244</v>
      </c>
      <c r="AT175" s="129" t="s">
        <v>277</v>
      </c>
      <c r="AU175" s="129" t="s">
        <v>76</v>
      </c>
      <c r="AY175" s="13" t="s">
        <v>228</v>
      </c>
      <c r="BE175" s="130">
        <f t="shared" si="38"/>
        <v>0</v>
      </c>
      <c r="BF175" s="130">
        <f t="shared" si="39"/>
        <v>15161.41</v>
      </c>
      <c r="BG175" s="130">
        <f t="shared" si="40"/>
        <v>0</v>
      </c>
      <c r="BH175" s="130">
        <f t="shared" si="41"/>
        <v>0</v>
      </c>
      <c r="BI175" s="130">
        <f t="shared" si="42"/>
        <v>0</v>
      </c>
      <c r="BJ175" s="13" t="s">
        <v>76</v>
      </c>
      <c r="BK175" s="130">
        <f t="shared" si="43"/>
        <v>15161.41</v>
      </c>
      <c r="BL175" s="13" t="s">
        <v>235</v>
      </c>
      <c r="BM175" s="129" t="s">
        <v>361</v>
      </c>
    </row>
    <row r="176" spans="2:65" s="1" customFormat="1" ht="24" customHeight="1" x14ac:dyDescent="0.2">
      <c r="B176" s="118"/>
      <c r="C176" s="119" t="s">
        <v>362</v>
      </c>
      <c r="D176" s="119" t="s">
        <v>231</v>
      </c>
      <c r="E176" s="120" t="s">
        <v>3303</v>
      </c>
      <c r="F176" s="121" t="s">
        <v>3304</v>
      </c>
      <c r="G176" s="122" t="s">
        <v>284</v>
      </c>
      <c r="H176" s="123">
        <v>1081.52</v>
      </c>
      <c r="I176" s="124">
        <v>1.1599999999999999</v>
      </c>
      <c r="J176" s="124">
        <f t="shared" si="33"/>
        <v>1254.56</v>
      </c>
      <c r="K176" s="121" t="s">
        <v>1</v>
      </c>
      <c r="L176" s="24"/>
      <c r="M176" s="125" t="s">
        <v>1</v>
      </c>
      <c r="N176" s="126" t="s">
        <v>32</v>
      </c>
      <c r="O176" s="127">
        <v>0</v>
      </c>
      <c r="P176" s="127">
        <f t="shared" si="34"/>
        <v>0</v>
      </c>
      <c r="Q176" s="127">
        <v>0</v>
      </c>
      <c r="R176" s="127">
        <f t="shared" si="35"/>
        <v>0</v>
      </c>
      <c r="S176" s="127">
        <v>0</v>
      </c>
      <c r="T176" s="128">
        <f t="shared" si="36"/>
        <v>0</v>
      </c>
      <c r="W176" s="118"/>
      <c r="X176" s="119" t="s">
        <v>362</v>
      </c>
      <c r="Y176" s="119" t="s">
        <v>231</v>
      </c>
      <c r="Z176" s="120" t="s">
        <v>3303</v>
      </c>
      <c r="AA176" s="121" t="s">
        <v>3304</v>
      </c>
      <c r="AB176" s="122" t="s">
        <v>284</v>
      </c>
      <c r="AC176" s="123">
        <v>1081.52</v>
      </c>
      <c r="AD176" s="124">
        <v>1.1599999999999999</v>
      </c>
      <c r="AE176" s="200">
        <f t="shared" si="37"/>
        <v>1254.56</v>
      </c>
      <c r="AF176" s="248"/>
      <c r="AR176" s="129" t="s">
        <v>235</v>
      </c>
      <c r="AT176" s="129" t="s">
        <v>231</v>
      </c>
      <c r="AU176" s="129" t="s">
        <v>76</v>
      </c>
      <c r="AY176" s="13" t="s">
        <v>228</v>
      </c>
      <c r="BE176" s="130">
        <f t="shared" si="38"/>
        <v>0</v>
      </c>
      <c r="BF176" s="130">
        <f t="shared" si="39"/>
        <v>1254.56</v>
      </c>
      <c r="BG176" s="130">
        <f t="shared" si="40"/>
        <v>0</v>
      </c>
      <c r="BH176" s="130">
        <f t="shared" si="41"/>
        <v>0</v>
      </c>
      <c r="BI176" s="130">
        <f t="shared" si="42"/>
        <v>0</v>
      </c>
      <c r="BJ176" s="13" t="s">
        <v>76</v>
      </c>
      <c r="BK176" s="130">
        <f t="shared" si="43"/>
        <v>1254.56</v>
      </c>
      <c r="BL176" s="13" t="s">
        <v>235</v>
      </c>
      <c r="BM176" s="129" t="s">
        <v>365</v>
      </c>
    </row>
    <row r="177" spans="2:65" s="1" customFormat="1" ht="16.5" customHeight="1" x14ac:dyDescent="0.2">
      <c r="B177" s="118"/>
      <c r="C177" s="131" t="s">
        <v>300</v>
      </c>
      <c r="D177" s="131" t="s">
        <v>277</v>
      </c>
      <c r="E177" s="132" t="s">
        <v>3305</v>
      </c>
      <c r="F177" s="133" t="s">
        <v>3306</v>
      </c>
      <c r="G177" s="134" t="s">
        <v>284</v>
      </c>
      <c r="H177" s="135">
        <v>1243.748</v>
      </c>
      <c r="I177" s="136">
        <v>1.1599999999999999</v>
      </c>
      <c r="J177" s="136">
        <f t="shared" si="33"/>
        <v>1442.75</v>
      </c>
      <c r="K177" s="133" t="s">
        <v>1</v>
      </c>
      <c r="L177" s="137"/>
      <c r="M177" s="138" t="s">
        <v>1</v>
      </c>
      <c r="N177" s="139" t="s">
        <v>32</v>
      </c>
      <c r="O177" s="127">
        <v>0</v>
      </c>
      <c r="P177" s="127">
        <f t="shared" si="34"/>
        <v>0</v>
      </c>
      <c r="Q177" s="127">
        <v>0</v>
      </c>
      <c r="R177" s="127">
        <f t="shared" si="35"/>
        <v>0</v>
      </c>
      <c r="S177" s="127">
        <v>0</v>
      </c>
      <c r="T177" s="128">
        <f t="shared" si="36"/>
        <v>0</v>
      </c>
      <c r="W177" s="118"/>
      <c r="X177" s="131" t="s">
        <v>300</v>
      </c>
      <c r="Y177" s="131" t="s">
        <v>277</v>
      </c>
      <c r="Z177" s="132" t="s">
        <v>3305</v>
      </c>
      <c r="AA177" s="133" t="s">
        <v>3306</v>
      </c>
      <c r="AB177" s="134" t="s">
        <v>284</v>
      </c>
      <c r="AC177" s="135">
        <v>1243.748</v>
      </c>
      <c r="AD177" s="136">
        <v>1.1599999999999999</v>
      </c>
      <c r="AE177" s="229">
        <f t="shared" si="37"/>
        <v>1442.75</v>
      </c>
      <c r="AF177" s="248"/>
      <c r="AR177" s="129" t="s">
        <v>244</v>
      </c>
      <c r="AT177" s="129" t="s">
        <v>277</v>
      </c>
      <c r="AU177" s="129" t="s">
        <v>76</v>
      </c>
      <c r="AY177" s="13" t="s">
        <v>228</v>
      </c>
      <c r="BE177" s="130">
        <f t="shared" si="38"/>
        <v>0</v>
      </c>
      <c r="BF177" s="130">
        <f t="shared" si="39"/>
        <v>1442.75</v>
      </c>
      <c r="BG177" s="130">
        <f t="shared" si="40"/>
        <v>0</v>
      </c>
      <c r="BH177" s="130">
        <f t="shared" si="41"/>
        <v>0</v>
      </c>
      <c r="BI177" s="130">
        <f t="shared" si="42"/>
        <v>0</v>
      </c>
      <c r="BJ177" s="13" t="s">
        <v>76</v>
      </c>
      <c r="BK177" s="130">
        <f t="shared" si="43"/>
        <v>1442.75</v>
      </c>
      <c r="BL177" s="13" t="s">
        <v>235</v>
      </c>
      <c r="BM177" s="129" t="s">
        <v>368</v>
      </c>
    </row>
    <row r="178" spans="2:65" s="1" customFormat="1" ht="24" customHeight="1" x14ac:dyDescent="0.2">
      <c r="B178" s="118"/>
      <c r="C178" s="119" t="s">
        <v>369</v>
      </c>
      <c r="D178" s="119" t="s">
        <v>231</v>
      </c>
      <c r="E178" s="120" t="s">
        <v>4376</v>
      </c>
      <c r="F178" s="121" t="s">
        <v>4377</v>
      </c>
      <c r="G178" s="122" t="s">
        <v>570</v>
      </c>
      <c r="H178" s="123">
        <v>200.34800000000001</v>
      </c>
      <c r="I178" s="124">
        <v>3.19</v>
      </c>
      <c r="J178" s="124">
        <f t="shared" si="33"/>
        <v>639.11</v>
      </c>
      <c r="K178" s="121" t="s">
        <v>1</v>
      </c>
      <c r="L178" s="24"/>
      <c r="M178" s="125" t="s">
        <v>1</v>
      </c>
      <c r="N178" s="126" t="s">
        <v>32</v>
      </c>
      <c r="O178" s="127">
        <v>0</v>
      </c>
      <c r="P178" s="127">
        <f t="shared" si="34"/>
        <v>0</v>
      </c>
      <c r="Q178" s="127">
        <v>0</v>
      </c>
      <c r="R178" s="127">
        <f t="shared" si="35"/>
        <v>0</v>
      </c>
      <c r="S178" s="127">
        <v>0</v>
      </c>
      <c r="T178" s="128">
        <f t="shared" si="36"/>
        <v>0</v>
      </c>
      <c r="W178" s="118"/>
      <c r="X178" s="119" t="s">
        <v>369</v>
      </c>
      <c r="Y178" s="119" t="s">
        <v>231</v>
      </c>
      <c r="Z178" s="120" t="s">
        <v>4376</v>
      </c>
      <c r="AA178" s="121" t="s">
        <v>4377</v>
      </c>
      <c r="AB178" s="122" t="s">
        <v>570</v>
      </c>
      <c r="AC178" s="123">
        <v>200.34800000000001</v>
      </c>
      <c r="AD178" s="124">
        <v>3.19</v>
      </c>
      <c r="AE178" s="200">
        <f t="shared" si="37"/>
        <v>639.11</v>
      </c>
      <c r="AF178" s="248"/>
      <c r="AR178" s="129" t="s">
        <v>235</v>
      </c>
      <c r="AT178" s="129" t="s">
        <v>231</v>
      </c>
      <c r="AU178" s="129" t="s">
        <v>76</v>
      </c>
      <c r="AY178" s="13" t="s">
        <v>228</v>
      </c>
      <c r="BE178" s="130">
        <f t="shared" si="38"/>
        <v>0</v>
      </c>
      <c r="BF178" s="130">
        <f t="shared" si="39"/>
        <v>639.11</v>
      </c>
      <c r="BG178" s="130">
        <f t="shared" si="40"/>
        <v>0</v>
      </c>
      <c r="BH178" s="130">
        <f t="shared" si="41"/>
        <v>0</v>
      </c>
      <c r="BI178" s="130">
        <f t="shared" si="42"/>
        <v>0</v>
      </c>
      <c r="BJ178" s="13" t="s">
        <v>76</v>
      </c>
      <c r="BK178" s="130">
        <f t="shared" si="43"/>
        <v>639.11</v>
      </c>
      <c r="BL178" s="13" t="s">
        <v>235</v>
      </c>
      <c r="BM178" s="129" t="s">
        <v>372</v>
      </c>
    </row>
    <row r="179" spans="2:65" s="11" customFormat="1" ht="22.95" customHeight="1" x14ac:dyDescent="0.25">
      <c r="B179" s="106"/>
      <c r="D179" s="107" t="s">
        <v>57</v>
      </c>
      <c r="E179" s="116" t="s">
        <v>1201</v>
      </c>
      <c r="F179" s="116" t="s">
        <v>1</v>
      </c>
      <c r="J179" s="117">
        <f>BK179</f>
        <v>39608.49</v>
      </c>
      <c r="L179" s="106"/>
      <c r="M179" s="110"/>
      <c r="N179" s="111"/>
      <c r="O179" s="111"/>
      <c r="P179" s="112">
        <f>SUM(P180:P186)</f>
        <v>0</v>
      </c>
      <c r="Q179" s="111"/>
      <c r="R179" s="112">
        <f>SUM(R180:R186)</f>
        <v>0</v>
      </c>
      <c r="S179" s="111"/>
      <c r="T179" s="113">
        <f>SUM(T180:T186)</f>
        <v>0</v>
      </c>
      <c r="W179" s="106"/>
      <c r="X179" s="111"/>
      <c r="Y179" s="196" t="s">
        <v>57</v>
      </c>
      <c r="Z179" s="201" t="s">
        <v>1201</v>
      </c>
      <c r="AA179" s="201" t="s">
        <v>1</v>
      </c>
      <c r="AB179" s="111"/>
      <c r="AC179" s="111"/>
      <c r="AD179" s="111"/>
      <c r="AE179" s="202">
        <f>SUM(AE180:AE186)</f>
        <v>39608.49</v>
      </c>
      <c r="AF179" s="248"/>
      <c r="AR179" s="107" t="s">
        <v>63</v>
      </c>
      <c r="AT179" s="114" t="s">
        <v>57</v>
      </c>
      <c r="AU179" s="114" t="s">
        <v>63</v>
      </c>
      <c r="AY179" s="107" t="s">
        <v>228</v>
      </c>
      <c r="BK179" s="115">
        <f>SUM(BK180:BK186)</f>
        <v>39608.49</v>
      </c>
    </row>
    <row r="180" spans="2:65" s="1" customFormat="1" ht="24" customHeight="1" x14ac:dyDescent="0.2">
      <c r="B180" s="118"/>
      <c r="C180" s="119" t="s">
        <v>303</v>
      </c>
      <c r="D180" s="119" t="s">
        <v>231</v>
      </c>
      <c r="E180" s="120" t="s">
        <v>3313</v>
      </c>
      <c r="F180" s="121" t="s">
        <v>3314</v>
      </c>
      <c r="G180" s="122" t="s">
        <v>284</v>
      </c>
      <c r="H180" s="123">
        <v>533.79999999999995</v>
      </c>
      <c r="I180" s="124">
        <v>2.09</v>
      </c>
      <c r="J180" s="124">
        <f t="shared" ref="J180:J186" si="44">ROUND(I180*H180,2)</f>
        <v>1115.6400000000001</v>
      </c>
      <c r="K180" s="121" t="s">
        <v>1</v>
      </c>
      <c r="L180" s="24"/>
      <c r="M180" s="125" t="s">
        <v>1</v>
      </c>
      <c r="N180" s="126" t="s">
        <v>32</v>
      </c>
      <c r="O180" s="127">
        <v>0</v>
      </c>
      <c r="P180" s="127">
        <f t="shared" ref="P180:P186" si="45">O180*H180</f>
        <v>0</v>
      </c>
      <c r="Q180" s="127">
        <v>0</v>
      </c>
      <c r="R180" s="127">
        <f t="shared" ref="R180:R186" si="46">Q180*H180</f>
        <v>0</v>
      </c>
      <c r="S180" s="127">
        <v>0</v>
      </c>
      <c r="T180" s="128">
        <f t="shared" ref="T180:T186" si="47">S180*H180</f>
        <v>0</v>
      </c>
      <c r="W180" s="118"/>
      <c r="X180" s="119" t="s">
        <v>303</v>
      </c>
      <c r="Y180" s="119" t="s">
        <v>231</v>
      </c>
      <c r="Z180" s="120" t="s">
        <v>3313</v>
      </c>
      <c r="AA180" s="121" t="s">
        <v>3314</v>
      </c>
      <c r="AB180" s="122" t="s">
        <v>284</v>
      </c>
      <c r="AC180" s="123">
        <v>533.79999999999995</v>
      </c>
      <c r="AD180" s="124">
        <v>2.09</v>
      </c>
      <c r="AE180" s="200">
        <f t="shared" ref="AE180:AE186" si="48">ROUND(AD180*AC180,2)</f>
        <v>1115.6400000000001</v>
      </c>
      <c r="AF180" s="248"/>
      <c r="AR180" s="129" t="s">
        <v>235</v>
      </c>
      <c r="AT180" s="129" t="s">
        <v>231</v>
      </c>
      <c r="AU180" s="129" t="s">
        <v>76</v>
      </c>
      <c r="AY180" s="13" t="s">
        <v>228</v>
      </c>
      <c r="BE180" s="130">
        <f t="shared" ref="BE180:BE186" si="49">IF(N180="základná",J180,0)</f>
        <v>0</v>
      </c>
      <c r="BF180" s="130">
        <f t="shared" ref="BF180:BF186" si="50">IF(N180="znížená",J180,0)</f>
        <v>1115.6400000000001</v>
      </c>
      <c r="BG180" s="130">
        <f t="shared" ref="BG180:BG186" si="51">IF(N180="zákl. prenesená",J180,0)</f>
        <v>0</v>
      </c>
      <c r="BH180" s="130">
        <f t="shared" ref="BH180:BH186" si="52">IF(N180="zníž. prenesená",J180,0)</f>
        <v>0</v>
      </c>
      <c r="BI180" s="130">
        <f t="shared" ref="BI180:BI186" si="53">IF(N180="nulová",J180,0)</f>
        <v>0</v>
      </c>
      <c r="BJ180" s="13" t="s">
        <v>76</v>
      </c>
      <c r="BK180" s="130">
        <f t="shared" ref="BK180:BK186" si="54">ROUND(I180*H180,2)</f>
        <v>1115.6400000000001</v>
      </c>
      <c r="BL180" s="13" t="s">
        <v>235</v>
      </c>
      <c r="BM180" s="129" t="s">
        <v>375</v>
      </c>
    </row>
    <row r="181" spans="2:65" s="1" customFormat="1" ht="16.5" customHeight="1" x14ac:dyDescent="0.2">
      <c r="B181" s="118"/>
      <c r="C181" s="131" t="s">
        <v>376</v>
      </c>
      <c r="D181" s="131" t="s">
        <v>277</v>
      </c>
      <c r="E181" s="132" t="s">
        <v>4378</v>
      </c>
      <c r="F181" s="133" t="s">
        <v>4379</v>
      </c>
      <c r="G181" s="134" t="s">
        <v>284</v>
      </c>
      <c r="H181" s="135">
        <v>881.52499999999998</v>
      </c>
      <c r="I181" s="136">
        <v>13.93</v>
      </c>
      <c r="J181" s="136">
        <f t="shared" si="44"/>
        <v>12279.64</v>
      </c>
      <c r="K181" s="133" t="s">
        <v>1</v>
      </c>
      <c r="L181" s="137"/>
      <c r="M181" s="138" t="s">
        <v>1</v>
      </c>
      <c r="N181" s="139" t="s">
        <v>32</v>
      </c>
      <c r="O181" s="127">
        <v>0</v>
      </c>
      <c r="P181" s="127">
        <f t="shared" si="45"/>
        <v>0</v>
      </c>
      <c r="Q181" s="127">
        <v>0</v>
      </c>
      <c r="R181" s="127">
        <f t="shared" si="46"/>
        <v>0</v>
      </c>
      <c r="S181" s="127">
        <v>0</v>
      </c>
      <c r="T181" s="128">
        <f t="shared" si="47"/>
        <v>0</v>
      </c>
      <c r="W181" s="118"/>
      <c r="X181" s="131" t="s">
        <v>376</v>
      </c>
      <c r="Y181" s="131" t="s">
        <v>277</v>
      </c>
      <c r="Z181" s="132" t="s">
        <v>4378</v>
      </c>
      <c r="AA181" s="133" t="s">
        <v>4379</v>
      </c>
      <c r="AB181" s="134" t="s">
        <v>284</v>
      </c>
      <c r="AC181" s="135">
        <v>881.52499999999998</v>
      </c>
      <c r="AD181" s="136">
        <v>13.93</v>
      </c>
      <c r="AE181" s="229">
        <f t="shared" si="48"/>
        <v>12279.64</v>
      </c>
      <c r="AF181" s="248"/>
      <c r="AR181" s="129" t="s">
        <v>244</v>
      </c>
      <c r="AT181" s="129" t="s">
        <v>277</v>
      </c>
      <c r="AU181" s="129" t="s">
        <v>76</v>
      </c>
      <c r="AY181" s="13" t="s">
        <v>228</v>
      </c>
      <c r="BE181" s="130">
        <f t="shared" si="49"/>
        <v>0</v>
      </c>
      <c r="BF181" s="130">
        <f t="shared" si="50"/>
        <v>12279.64</v>
      </c>
      <c r="BG181" s="130">
        <f t="shared" si="51"/>
        <v>0</v>
      </c>
      <c r="BH181" s="130">
        <f t="shared" si="52"/>
        <v>0</v>
      </c>
      <c r="BI181" s="130">
        <f t="shared" si="53"/>
        <v>0</v>
      </c>
      <c r="BJ181" s="13" t="s">
        <v>76</v>
      </c>
      <c r="BK181" s="130">
        <f t="shared" si="54"/>
        <v>12279.64</v>
      </c>
      <c r="BL181" s="13" t="s">
        <v>235</v>
      </c>
      <c r="BM181" s="129" t="s">
        <v>379</v>
      </c>
    </row>
    <row r="182" spans="2:65" s="1" customFormat="1" ht="16.5" customHeight="1" x14ac:dyDescent="0.2">
      <c r="B182" s="118"/>
      <c r="C182" s="131" t="s">
        <v>308</v>
      </c>
      <c r="D182" s="131" t="s">
        <v>277</v>
      </c>
      <c r="E182" s="132" t="s">
        <v>3315</v>
      </c>
      <c r="F182" s="133" t="s">
        <v>4380</v>
      </c>
      <c r="G182" s="134" t="s">
        <v>284</v>
      </c>
      <c r="H182" s="135">
        <v>207.42699999999999</v>
      </c>
      <c r="I182" s="136">
        <v>13.93</v>
      </c>
      <c r="J182" s="136">
        <f t="shared" si="44"/>
        <v>2889.46</v>
      </c>
      <c r="K182" s="133" t="s">
        <v>1</v>
      </c>
      <c r="L182" s="137"/>
      <c r="M182" s="138" t="s">
        <v>1</v>
      </c>
      <c r="N182" s="139" t="s">
        <v>32</v>
      </c>
      <c r="O182" s="127">
        <v>0</v>
      </c>
      <c r="P182" s="127">
        <f t="shared" si="45"/>
        <v>0</v>
      </c>
      <c r="Q182" s="127">
        <v>0</v>
      </c>
      <c r="R182" s="127">
        <f t="shared" si="46"/>
        <v>0</v>
      </c>
      <c r="S182" s="127">
        <v>0</v>
      </c>
      <c r="T182" s="128">
        <f t="shared" si="47"/>
        <v>0</v>
      </c>
      <c r="W182" s="118"/>
      <c r="X182" s="131" t="s">
        <v>308</v>
      </c>
      <c r="Y182" s="131" t="s">
        <v>277</v>
      </c>
      <c r="Z182" s="132" t="s">
        <v>3315</v>
      </c>
      <c r="AA182" s="133" t="s">
        <v>4380</v>
      </c>
      <c r="AB182" s="134" t="s">
        <v>284</v>
      </c>
      <c r="AC182" s="135">
        <v>207.42699999999999</v>
      </c>
      <c r="AD182" s="136">
        <v>13.93</v>
      </c>
      <c r="AE182" s="229">
        <f t="shared" si="48"/>
        <v>2889.46</v>
      </c>
      <c r="AF182" s="248"/>
      <c r="AR182" s="129" t="s">
        <v>244</v>
      </c>
      <c r="AT182" s="129" t="s">
        <v>277</v>
      </c>
      <c r="AU182" s="129" t="s">
        <v>76</v>
      </c>
      <c r="AY182" s="13" t="s">
        <v>228</v>
      </c>
      <c r="BE182" s="130">
        <f t="shared" si="49"/>
        <v>0</v>
      </c>
      <c r="BF182" s="130">
        <f t="shared" si="50"/>
        <v>2889.46</v>
      </c>
      <c r="BG182" s="130">
        <f t="shared" si="51"/>
        <v>0</v>
      </c>
      <c r="BH182" s="130">
        <f t="shared" si="52"/>
        <v>0</v>
      </c>
      <c r="BI182" s="130">
        <f t="shared" si="53"/>
        <v>0</v>
      </c>
      <c r="BJ182" s="13" t="s">
        <v>76</v>
      </c>
      <c r="BK182" s="130">
        <f t="shared" si="54"/>
        <v>2889.46</v>
      </c>
      <c r="BL182" s="13" t="s">
        <v>235</v>
      </c>
      <c r="BM182" s="129" t="s">
        <v>382</v>
      </c>
    </row>
    <row r="183" spans="2:65" s="1" customFormat="1" ht="16.5" customHeight="1" x14ac:dyDescent="0.2">
      <c r="B183" s="118"/>
      <c r="C183" s="131" t="s">
        <v>383</v>
      </c>
      <c r="D183" s="131" t="s">
        <v>277</v>
      </c>
      <c r="E183" s="132" t="s">
        <v>4381</v>
      </c>
      <c r="F183" s="133" t="s">
        <v>4382</v>
      </c>
      <c r="G183" s="134" t="s">
        <v>292</v>
      </c>
      <c r="H183" s="135">
        <v>42</v>
      </c>
      <c r="I183" s="136">
        <v>17.420000000000002</v>
      </c>
      <c r="J183" s="136">
        <f t="shared" si="44"/>
        <v>731.64</v>
      </c>
      <c r="K183" s="133" t="s">
        <v>1</v>
      </c>
      <c r="L183" s="137"/>
      <c r="M183" s="138" t="s">
        <v>1</v>
      </c>
      <c r="N183" s="139" t="s">
        <v>32</v>
      </c>
      <c r="O183" s="127">
        <v>0</v>
      </c>
      <c r="P183" s="127">
        <f t="shared" si="45"/>
        <v>0</v>
      </c>
      <c r="Q183" s="127">
        <v>0</v>
      </c>
      <c r="R183" s="127">
        <f t="shared" si="46"/>
        <v>0</v>
      </c>
      <c r="S183" s="127">
        <v>0</v>
      </c>
      <c r="T183" s="128">
        <f t="shared" si="47"/>
        <v>0</v>
      </c>
      <c r="W183" s="118"/>
      <c r="X183" s="131" t="s">
        <v>383</v>
      </c>
      <c r="Y183" s="131" t="s">
        <v>277</v>
      </c>
      <c r="Z183" s="132" t="s">
        <v>4381</v>
      </c>
      <c r="AA183" s="133" t="s">
        <v>4382</v>
      </c>
      <c r="AB183" s="134" t="s">
        <v>292</v>
      </c>
      <c r="AC183" s="135">
        <v>42</v>
      </c>
      <c r="AD183" s="136">
        <v>17.420000000000002</v>
      </c>
      <c r="AE183" s="229">
        <f t="shared" si="48"/>
        <v>731.64</v>
      </c>
      <c r="AF183" s="248"/>
      <c r="AR183" s="129" t="s">
        <v>244</v>
      </c>
      <c r="AT183" s="129" t="s">
        <v>277</v>
      </c>
      <c r="AU183" s="129" t="s">
        <v>76</v>
      </c>
      <c r="AY183" s="13" t="s">
        <v>228</v>
      </c>
      <c r="BE183" s="130">
        <f t="shared" si="49"/>
        <v>0</v>
      </c>
      <c r="BF183" s="130">
        <f t="shared" si="50"/>
        <v>731.64</v>
      </c>
      <c r="BG183" s="130">
        <f t="shared" si="51"/>
        <v>0</v>
      </c>
      <c r="BH183" s="130">
        <f t="shared" si="52"/>
        <v>0</v>
      </c>
      <c r="BI183" s="130">
        <f t="shared" si="53"/>
        <v>0</v>
      </c>
      <c r="BJ183" s="13" t="s">
        <v>76</v>
      </c>
      <c r="BK183" s="130">
        <f t="shared" si="54"/>
        <v>731.64</v>
      </c>
      <c r="BL183" s="13" t="s">
        <v>235</v>
      </c>
      <c r="BM183" s="129" t="s">
        <v>386</v>
      </c>
    </row>
    <row r="184" spans="2:65" s="1" customFormat="1" ht="24" customHeight="1" x14ac:dyDescent="0.2">
      <c r="B184" s="118"/>
      <c r="C184" s="119" t="s">
        <v>312</v>
      </c>
      <c r="D184" s="119" t="s">
        <v>231</v>
      </c>
      <c r="E184" s="120" t="s">
        <v>3321</v>
      </c>
      <c r="F184" s="121" t="s">
        <v>3322</v>
      </c>
      <c r="G184" s="122" t="s">
        <v>284</v>
      </c>
      <c r="H184" s="123">
        <v>979.84</v>
      </c>
      <c r="I184" s="124">
        <v>2.9</v>
      </c>
      <c r="J184" s="124">
        <f t="shared" si="44"/>
        <v>2841.54</v>
      </c>
      <c r="K184" s="121" t="s">
        <v>1</v>
      </c>
      <c r="L184" s="24"/>
      <c r="M184" s="125" t="s">
        <v>1</v>
      </c>
      <c r="N184" s="126" t="s">
        <v>32</v>
      </c>
      <c r="O184" s="127">
        <v>0</v>
      </c>
      <c r="P184" s="127">
        <f t="shared" si="45"/>
        <v>0</v>
      </c>
      <c r="Q184" s="127">
        <v>0</v>
      </c>
      <c r="R184" s="127">
        <f t="shared" si="46"/>
        <v>0</v>
      </c>
      <c r="S184" s="127">
        <v>0</v>
      </c>
      <c r="T184" s="128">
        <f t="shared" si="47"/>
        <v>0</v>
      </c>
      <c r="W184" s="118"/>
      <c r="X184" s="119" t="s">
        <v>312</v>
      </c>
      <c r="Y184" s="119" t="s">
        <v>231</v>
      </c>
      <c r="Z184" s="120" t="s">
        <v>3321</v>
      </c>
      <c r="AA184" s="121" t="s">
        <v>3322</v>
      </c>
      <c r="AB184" s="122" t="s">
        <v>284</v>
      </c>
      <c r="AC184" s="123">
        <v>979.84</v>
      </c>
      <c r="AD184" s="124">
        <v>2.9</v>
      </c>
      <c r="AE184" s="200">
        <f t="shared" si="48"/>
        <v>2841.54</v>
      </c>
      <c r="AF184" s="248"/>
      <c r="AR184" s="129" t="s">
        <v>235</v>
      </c>
      <c r="AT184" s="129" t="s">
        <v>231</v>
      </c>
      <c r="AU184" s="129" t="s">
        <v>76</v>
      </c>
      <c r="AY184" s="13" t="s">
        <v>228</v>
      </c>
      <c r="BE184" s="130">
        <f t="shared" si="49"/>
        <v>0</v>
      </c>
      <c r="BF184" s="130">
        <f t="shared" si="50"/>
        <v>2841.54</v>
      </c>
      <c r="BG184" s="130">
        <f t="shared" si="51"/>
        <v>0</v>
      </c>
      <c r="BH184" s="130">
        <f t="shared" si="52"/>
        <v>0</v>
      </c>
      <c r="BI184" s="130">
        <f t="shared" si="53"/>
        <v>0</v>
      </c>
      <c r="BJ184" s="13" t="s">
        <v>76</v>
      </c>
      <c r="BK184" s="130">
        <f t="shared" si="54"/>
        <v>2841.54</v>
      </c>
      <c r="BL184" s="13" t="s">
        <v>235</v>
      </c>
      <c r="BM184" s="129" t="s">
        <v>389</v>
      </c>
    </row>
    <row r="185" spans="2:65" s="1" customFormat="1" ht="16.5" customHeight="1" x14ac:dyDescent="0.2">
      <c r="B185" s="118"/>
      <c r="C185" s="131" t="s">
        <v>390</v>
      </c>
      <c r="D185" s="131" t="s">
        <v>277</v>
      </c>
      <c r="E185" s="132" t="s">
        <v>3311</v>
      </c>
      <c r="F185" s="133" t="s">
        <v>3312</v>
      </c>
      <c r="G185" s="134" t="s">
        <v>284</v>
      </c>
      <c r="H185" s="135">
        <v>1998.874</v>
      </c>
      <c r="I185" s="136">
        <v>9.2899999999999991</v>
      </c>
      <c r="J185" s="136">
        <f t="shared" si="44"/>
        <v>18569.54</v>
      </c>
      <c r="K185" s="133" t="s">
        <v>1</v>
      </c>
      <c r="L185" s="137"/>
      <c r="M185" s="138" t="s">
        <v>1</v>
      </c>
      <c r="N185" s="139" t="s">
        <v>32</v>
      </c>
      <c r="O185" s="127">
        <v>0</v>
      </c>
      <c r="P185" s="127">
        <f t="shared" si="45"/>
        <v>0</v>
      </c>
      <c r="Q185" s="127">
        <v>0</v>
      </c>
      <c r="R185" s="127">
        <f t="shared" si="46"/>
        <v>0</v>
      </c>
      <c r="S185" s="127">
        <v>0</v>
      </c>
      <c r="T185" s="128">
        <f t="shared" si="47"/>
        <v>0</v>
      </c>
      <c r="W185" s="118"/>
      <c r="X185" s="131" t="s">
        <v>390</v>
      </c>
      <c r="Y185" s="131" t="s">
        <v>277</v>
      </c>
      <c r="Z185" s="132" t="s">
        <v>3311</v>
      </c>
      <c r="AA185" s="133" t="s">
        <v>3312</v>
      </c>
      <c r="AB185" s="134" t="s">
        <v>284</v>
      </c>
      <c r="AC185" s="135">
        <v>1998.874</v>
      </c>
      <c r="AD185" s="136">
        <v>9.2899999999999991</v>
      </c>
      <c r="AE185" s="229">
        <f t="shared" si="48"/>
        <v>18569.54</v>
      </c>
      <c r="AF185" s="248"/>
      <c r="AR185" s="129" t="s">
        <v>244</v>
      </c>
      <c r="AT185" s="129" t="s">
        <v>277</v>
      </c>
      <c r="AU185" s="129" t="s">
        <v>76</v>
      </c>
      <c r="AY185" s="13" t="s">
        <v>228</v>
      </c>
      <c r="BE185" s="130">
        <f t="shared" si="49"/>
        <v>0</v>
      </c>
      <c r="BF185" s="130">
        <f t="shared" si="50"/>
        <v>18569.54</v>
      </c>
      <c r="BG185" s="130">
        <f t="shared" si="51"/>
        <v>0</v>
      </c>
      <c r="BH185" s="130">
        <f t="shared" si="52"/>
        <v>0</v>
      </c>
      <c r="BI185" s="130">
        <f t="shared" si="53"/>
        <v>0</v>
      </c>
      <c r="BJ185" s="13" t="s">
        <v>76</v>
      </c>
      <c r="BK185" s="130">
        <f t="shared" si="54"/>
        <v>18569.54</v>
      </c>
      <c r="BL185" s="13" t="s">
        <v>235</v>
      </c>
      <c r="BM185" s="129" t="s">
        <v>393</v>
      </c>
    </row>
    <row r="186" spans="2:65" s="1" customFormat="1" ht="24" customHeight="1" x14ac:dyDescent="0.2">
      <c r="B186" s="118"/>
      <c r="C186" s="119" t="s">
        <v>316</v>
      </c>
      <c r="D186" s="119" t="s">
        <v>231</v>
      </c>
      <c r="E186" s="120" t="s">
        <v>4383</v>
      </c>
      <c r="F186" s="121" t="s">
        <v>4384</v>
      </c>
      <c r="G186" s="122" t="s">
        <v>570</v>
      </c>
      <c r="H186" s="123">
        <v>724.56100000000004</v>
      </c>
      <c r="I186" s="124">
        <v>1.63</v>
      </c>
      <c r="J186" s="124">
        <f t="shared" si="44"/>
        <v>1181.03</v>
      </c>
      <c r="K186" s="121" t="s">
        <v>1</v>
      </c>
      <c r="L186" s="24"/>
      <c r="M186" s="125" t="s">
        <v>1</v>
      </c>
      <c r="N186" s="126" t="s">
        <v>32</v>
      </c>
      <c r="O186" s="127">
        <v>0</v>
      </c>
      <c r="P186" s="127">
        <f t="shared" si="45"/>
        <v>0</v>
      </c>
      <c r="Q186" s="127">
        <v>0</v>
      </c>
      <c r="R186" s="127">
        <f t="shared" si="46"/>
        <v>0</v>
      </c>
      <c r="S186" s="127">
        <v>0</v>
      </c>
      <c r="T186" s="128">
        <f t="shared" si="47"/>
        <v>0</v>
      </c>
      <c r="W186" s="118"/>
      <c r="X186" s="119" t="s">
        <v>316</v>
      </c>
      <c r="Y186" s="119" t="s">
        <v>231</v>
      </c>
      <c r="Z186" s="120" t="s">
        <v>4383</v>
      </c>
      <c r="AA186" s="121" t="s">
        <v>4384</v>
      </c>
      <c r="AB186" s="122" t="s">
        <v>570</v>
      </c>
      <c r="AC186" s="123">
        <v>724.56100000000004</v>
      </c>
      <c r="AD186" s="124">
        <v>1.63</v>
      </c>
      <c r="AE186" s="200">
        <f t="shared" si="48"/>
        <v>1181.03</v>
      </c>
      <c r="AF186" s="248"/>
      <c r="AR186" s="129" t="s">
        <v>235</v>
      </c>
      <c r="AT186" s="129" t="s">
        <v>231</v>
      </c>
      <c r="AU186" s="129" t="s">
        <v>76</v>
      </c>
      <c r="AY186" s="13" t="s">
        <v>228</v>
      </c>
      <c r="BE186" s="130">
        <f t="shared" si="49"/>
        <v>0</v>
      </c>
      <c r="BF186" s="130">
        <f t="shared" si="50"/>
        <v>1181.03</v>
      </c>
      <c r="BG186" s="130">
        <f t="shared" si="51"/>
        <v>0</v>
      </c>
      <c r="BH186" s="130">
        <f t="shared" si="52"/>
        <v>0</v>
      </c>
      <c r="BI186" s="130">
        <f t="shared" si="53"/>
        <v>0</v>
      </c>
      <c r="BJ186" s="13" t="s">
        <v>76</v>
      </c>
      <c r="BK186" s="130">
        <f t="shared" si="54"/>
        <v>1181.03</v>
      </c>
      <c r="BL186" s="13" t="s">
        <v>235</v>
      </c>
      <c r="BM186" s="129" t="s">
        <v>396</v>
      </c>
    </row>
    <row r="187" spans="2:65" s="11" customFormat="1" ht="22.95" customHeight="1" x14ac:dyDescent="0.25">
      <c r="B187" s="106"/>
      <c r="D187" s="107" t="s">
        <v>57</v>
      </c>
      <c r="E187" s="116" t="s">
        <v>4385</v>
      </c>
      <c r="F187" s="116" t="s">
        <v>4386</v>
      </c>
      <c r="J187" s="117">
        <f>BK187</f>
        <v>6969.53</v>
      </c>
      <c r="L187" s="106"/>
      <c r="M187" s="110"/>
      <c r="N187" s="111"/>
      <c r="O187" s="111"/>
      <c r="P187" s="112">
        <f>SUM(P188:P189)</f>
        <v>0</v>
      </c>
      <c r="Q187" s="111"/>
      <c r="R187" s="112">
        <f>SUM(R188:R189)</f>
        <v>0</v>
      </c>
      <c r="S187" s="111"/>
      <c r="T187" s="113">
        <f>SUM(T188:T189)</f>
        <v>0</v>
      </c>
      <c r="W187" s="106"/>
      <c r="X187" s="111"/>
      <c r="Y187" s="196" t="s">
        <v>57</v>
      </c>
      <c r="Z187" s="201" t="s">
        <v>4385</v>
      </c>
      <c r="AA187" s="201" t="s">
        <v>4386</v>
      </c>
      <c r="AB187" s="111"/>
      <c r="AC187" s="111"/>
      <c r="AD187" s="111"/>
      <c r="AE187" s="202">
        <f>SUM(AE188:AE189)</f>
        <v>6969.53</v>
      </c>
      <c r="AF187" s="248"/>
      <c r="AR187" s="107" t="s">
        <v>63</v>
      </c>
      <c r="AT187" s="114" t="s">
        <v>57</v>
      </c>
      <c r="AU187" s="114" t="s">
        <v>63</v>
      </c>
      <c r="AY187" s="107" t="s">
        <v>228</v>
      </c>
      <c r="BK187" s="115">
        <f>SUM(BK188:BK189)</f>
        <v>6969.53</v>
      </c>
    </row>
    <row r="188" spans="2:65" s="1" customFormat="1" ht="16.5" customHeight="1" x14ac:dyDescent="0.2">
      <c r="B188" s="118"/>
      <c r="C188" s="119" t="s">
        <v>397</v>
      </c>
      <c r="D188" s="119" t="s">
        <v>231</v>
      </c>
      <c r="E188" s="120" t="s">
        <v>4387</v>
      </c>
      <c r="F188" s="121" t="s">
        <v>4388</v>
      </c>
      <c r="G188" s="122" t="s">
        <v>284</v>
      </c>
      <c r="H188" s="123">
        <v>80</v>
      </c>
      <c r="I188" s="124">
        <v>87.08</v>
      </c>
      <c r="J188" s="124">
        <f>ROUND(I188*H188,2)</f>
        <v>6966.4</v>
      </c>
      <c r="K188" s="121" t="s">
        <v>1</v>
      </c>
      <c r="L188" s="24"/>
      <c r="M188" s="125" t="s">
        <v>1</v>
      </c>
      <c r="N188" s="126" t="s">
        <v>32</v>
      </c>
      <c r="O188" s="127">
        <v>0</v>
      </c>
      <c r="P188" s="127">
        <f>O188*H188</f>
        <v>0</v>
      </c>
      <c r="Q188" s="127">
        <v>0</v>
      </c>
      <c r="R188" s="127">
        <f>Q188*H188</f>
        <v>0</v>
      </c>
      <c r="S188" s="127">
        <v>0</v>
      </c>
      <c r="T188" s="128">
        <f>S188*H188</f>
        <v>0</v>
      </c>
      <c r="W188" s="118"/>
      <c r="X188" s="119" t="s">
        <v>397</v>
      </c>
      <c r="Y188" s="119" t="s">
        <v>231</v>
      </c>
      <c r="Z188" s="120" t="s">
        <v>4387</v>
      </c>
      <c r="AA188" s="121" t="s">
        <v>4388</v>
      </c>
      <c r="AB188" s="122" t="s">
        <v>284</v>
      </c>
      <c r="AC188" s="123">
        <v>80</v>
      </c>
      <c r="AD188" s="124">
        <v>87.08</v>
      </c>
      <c r="AE188" s="200">
        <f>ROUND(AD188*AC188,2)</f>
        <v>6966.4</v>
      </c>
      <c r="AF188" s="248"/>
      <c r="AR188" s="129" t="s">
        <v>235</v>
      </c>
      <c r="AT188" s="129" t="s">
        <v>231</v>
      </c>
      <c r="AU188" s="129" t="s">
        <v>76</v>
      </c>
      <c r="AY188" s="13" t="s">
        <v>228</v>
      </c>
      <c r="BE188" s="130">
        <f>IF(N188="základná",J188,0)</f>
        <v>0</v>
      </c>
      <c r="BF188" s="130">
        <f>IF(N188="znížená",J188,0)</f>
        <v>6966.4</v>
      </c>
      <c r="BG188" s="130">
        <f>IF(N188="zákl. prenesená",J188,0)</f>
        <v>0</v>
      </c>
      <c r="BH188" s="130">
        <f>IF(N188="zníž. prenesená",J188,0)</f>
        <v>0</v>
      </c>
      <c r="BI188" s="130">
        <f>IF(N188="nulová",J188,0)</f>
        <v>0</v>
      </c>
      <c r="BJ188" s="13" t="s">
        <v>76</v>
      </c>
      <c r="BK188" s="130">
        <f>ROUND(I188*H188,2)</f>
        <v>6966.4</v>
      </c>
      <c r="BL188" s="13" t="s">
        <v>235</v>
      </c>
      <c r="BM188" s="129" t="s">
        <v>400</v>
      </c>
    </row>
    <row r="189" spans="2:65" s="1" customFormat="1" ht="24" customHeight="1" x14ac:dyDescent="0.2">
      <c r="B189" s="118"/>
      <c r="C189" s="119" t="s">
        <v>319</v>
      </c>
      <c r="D189" s="119" t="s">
        <v>231</v>
      </c>
      <c r="E189" s="120" t="s">
        <v>4389</v>
      </c>
      <c r="F189" s="121" t="s">
        <v>4390</v>
      </c>
      <c r="G189" s="122" t="s">
        <v>271</v>
      </c>
      <c r="H189" s="123">
        <v>7.6999999999999999E-2</v>
      </c>
      <c r="I189" s="124">
        <v>40.64</v>
      </c>
      <c r="J189" s="124">
        <f>ROUND(I189*H189,2)</f>
        <v>3.13</v>
      </c>
      <c r="K189" s="121" t="s">
        <v>1</v>
      </c>
      <c r="L189" s="24"/>
      <c r="M189" s="125" t="s">
        <v>1</v>
      </c>
      <c r="N189" s="126" t="s">
        <v>32</v>
      </c>
      <c r="O189" s="127">
        <v>0</v>
      </c>
      <c r="P189" s="127">
        <f>O189*H189</f>
        <v>0</v>
      </c>
      <c r="Q189" s="127">
        <v>0</v>
      </c>
      <c r="R189" s="127">
        <f>Q189*H189</f>
        <v>0</v>
      </c>
      <c r="S189" s="127">
        <v>0</v>
      </c>
      <c r="T189" s="128">
        <f>S189*H189</f>
        <v>0</v>
      </c>
      <c r="W189" s="118"/>
      <c r="X189" s="119" t="s">
        <v>319</v>
      </c>
      <c r="Y189" s="119" t="s">
        <v>231</v>
      </c>
      <c r="Z189" s="120" t="s">
        <v>4389</v>
      </c>
      <c r="AA189" s="121" t="s">
        <v>4390</v>
      </c>
      <c r="AB189" s="122" t="s">
        <v>271</v>
      </c>
      <c r="AC189" s="123">
        <v>7.6999999999999999E-2</v>
      </c>
      <c r="AD189" s="124">
        <v>40.64</v>
      </c>
      <c r="AE189" s="200">
        <f>ROUND(AD189*AC189,2)</f>
        <v>3.13</v>
      </c>
      <c r="AF189" s="248"/>
      <c r="AR189" s="129" t="s">
        <v>235</v>
      </c>
      <c r="AT189" s="129" t="s">
        <v>231</v>
      </c>
      <c r="AU189" s="129" t="s">
        <v>76</v>
      </c>
      <c r="AY189" s="13" t="s">
        <v>228</v>
      </c>
      <c r="BE189" s="130">
        <f>IF(N189="základná",J189,0)</f>
        <v>0</v>
      </c>
      <c r="BF189" s="130">
        <f>IF(N189="znížená",J189,0)</f>
        <v>3.13</v>
      </c>
      <c r="BG189" s="130">
        <f>IF(N189="zákl. prenesená",J189,0)</f>
        <v>0</v>
      </c>
      <c r="BH189" s="130">
        <f>IF(N189="zníž. prenesená",J189,0)</f>
        <v>0</v>
      </c>
      <c r="BI189" s="130">
        <f>IF(N189="nulová",J189,0)</f>
        <v>0</v>
      </c>
      <c r="BJ189" s="13" t="s">
        <v>76</v>
      </c>
      <c r="BK189" s="130">
        <f>ROUND(I189*H189,2)</f>
        <v>3.13</v>
      </c>
      <c r="BL189" s="13" t="s">
        <v>235</v>
      </c>
      <c r="BM189" s="129" t="s">
        <v>404</v>
      </c>
    </row>
    <row r="190" spans="2:65" s="11" customFormat="1" ht="22.95" customHeight="1" x14ac:dyDescent="0.25">
      <c r="B190" s="106"/>
      <c r="D190" s="107" t="s">
        <v>57</v>
      </c>
      <c r="E190" s="116" t="s">
        <v>717</v>
      </c>
      <c r="F190" s="116" t="s">
        <v>3382</v>
      </c>
      <c r="J190" s="117">
        <f>BK190</f>
        <v>66097.790000000008</v>
      </c>
      <c r="L190" s="106"/>
      <c r="M190" s="110"/>
      <c r="N190" s="111"/>
      <c r="O190" s="111"/>
      <c r="P190" s="112">
        <f>SUM(P191:P195)</f>
        <v>0</v>
      </c>
      <c r="Q190" s="111"/>
      <c r="R190" s="112">
        <f>SUM(R191:R195)</f>
        <v>0</v>
      </c>
      <c r="S190" s="111"/>
      <c r="T190" s="113">
        <f>SUM(T191:T195)</f>
        <v>0</v>
      </c>
      <c r="W190" s="106"/>
      <c r="X190" s="111"/>
      <c r="Y190" s="196" t="s">
        <v>57</v>
      </c>
      <c r="Z190" s="201" t="s">
        <v>717</v>
      </c>
      <c r="AA190" s="201" t="s">
        <v>3382</v>
      </c>
      <c r="AB190" s="111"/>
      <c r="AC190" s="111"/>
      <c r="AD190" s="111"/>
      <c r="AE190" s="202">
        <f>SUM(AE191:AE195)</f>
        <v>66097.790000000008</v>
      </c>
      <c r="AF190" s="248"/>
      <c r="AR190" s="107" t="s">
        <v>63</v>
      </c>
      <c r="AT190" s="114" t="s">
        <v>57</v>
      </c>
      <c r="AU190" s="114" t="s">
        <v>63</v>
      </c>
      <c r="AY190" s="107" t="s">
        <v>228</v>
      </c>
      <c r="BK190" s="115">
        <f>SUM(BK191:BK195)</f>
        <v>66097.790000000008</v>
      </c>
    </row>
    <row r="191" spans="2:65" s="1" customFormat="1" ht="24" customHeight="1" x14ac:dyDescent="0.2">
      <c r="B191" s="118"/>
      <c r="C191" s="119" t="s">
        <v>407</v>
      </c>
      <c r="D191" s="119" t="s">
        <v>231</v>
      </c>
      <c r="E191" s="120" t="s">
        <v>4391</v>
      </c>
      <c r="F191" s="121" t="s">
        <v>4392</v>
      </c>
      <c r="G191" s="122" t="s">
        <v>1194</v>
      </c>
      <c r="H191" s="123">
        <v>2</v>
      </c>
      <c r="I191" s="124">
        <v>1393.2</v>
      </c>
      <c r="J191" s="124">
        <f>ROUND(I191*H191,2)</f>
        <v>2786.4</v>
      </c>
      <c r="K191" s="121" t="s">
        <v>1</v>
      </c>
      <c r="L191" s="24"/>
      <c r="M191" s="125" t="s">
        <v>1</v>
      </c>
      <c r="N191" s="126" t="s">
        <v>32</v>
      </c>
      <c r="O191" s="127">
        <v>0</v>
      </c>
      <c r="P191" s="127">
        <f>O191*H191</f>
        <v>0</v>
      </c>
      <c r="Q191" s="127">
        <v>0</v>
      </c>
      <c r="R191" s="127">
        <f>Q191*H191</f>
        <v>0</v>
      </c>
      <c r="S191" s="127">
        <v>0</v>
      </c>
      <c r="T191" s="128">
        <f>S191*H191</f>
        <v>0</v>
      </c>
      <c r="W191" s="118"/>
      <c r="X191" s="119" t="s">
        <v>407</v>
      </c>
      <c r="Y191" s="119" t="s">
        <v>231</v>
      </c>
      <c r="Z191" s="120" t="s">
        <v>4391</v>
      </c>
      <c r="AA191" s="121" t="s">
        <v>4392</v>
      </c>
      <c r="AB191" s="122" t="s">
        <v>1194</v>
      </c>
      <c r="AC191" s="123">
        <v>2</v>
      </c>
      <c r="AD191" s="124">
        <v>1393.2</v>
      </c>
      <c r="AE191" s="200">
        <f>ROUND(AD191*AC191,2)</f>
        <v>2786.4</v>
      </c>
      <c r="AF191" s="248"/>
      <c r="AR191" s="129" t="s">
        <v>235</v>
      </c>
      <c r="AT191" s="129" t="s">
        <v>231</v>
      </c>
      <c r="AU191" s="129" t="s">
        <v>76</v>
      </c>
      <c r="AY191" s="13" t="s">
        <v>228</v>
      </c>
      <c r="BE191" s="130">
        <f>IF(N191="základná",J191,0)</f>
        <v>0</v>
      </c>
      <c r="BF191" s="130">
        <f>IF(N191="znížená",J191,0)</f>
        <v>2786.4</v>
      </c>
      <c r="BG191" s="130">
        <f>IF(N191="zákl. prenesená",J191,0)</f>
        <v>0</v>
      </c>
      <c r="BH191" s="130">
        <f>IF(N191="zníž. prenesená",J191,0)</f>
        <v>0</v>
      </c>
      <c r="BI191" s="130">
        <f>IF(N191="nulová",J191,0)</f>
        <v>0</v>
      </c>
      <c r="BJ191" s="13" t="s">
        <v>76</v>
      </c>
      <c r="BK191" s="130">
        <f>ROUND(I191*H191,2)</f>
        <v>2786.4</v>
      </c>
      <c r="BL191" s="13" t="s">
        <v>235</v>
      </c>
      <c r="BM191" s="129" t="s">
        <v>410</v>
      </c>
    </row>
    <row r="192" spans="2:65" s="1" customFormat="1" ht="16.5" customHeight="1" x14ac:dyDescent="0.2">
      <c r="B192" s="118"/>
      <c r="C192" s="119" t="s">
        <v>323</v>
      </c>
      <c r="D192" s="119" t="s">
        <v>231</v>
      </c>
      <c r="E192" s="120" t="s">
        <v>4393</v>
      </c>
      <c r="F192" s="121" t="s">
        <v>4394</v>
      </c>
      <c r="G192" s="122" t="s">
        <v>284</v>
      </c>
      <c r="H192" s="123">
        <v>38.71</v>
      </c>
      <c r="I192" s="124">
        <v>195.05</v>
      </c>
      <c r="J192" s="124">
        <f>ROUND(I192*H192,2)</f>
        <v>7550.39</v>
      </c>
      <c r="K192" s="121" t="s">
        <v>1</v>
      </c>
      <c r="L192" s="24"/>
      <c r="M192" s="125" t="s">
        <v>1</v>
      </c>
      <c r="N192" s="126" t="s">
        <v>32</v>
      </c>
      <c r="O192" s="127">
        <v>0</v>
      </c>
      <c r="P192" s="127">
        <f>O192*H192</f>
        <v>0</v>
      </c>
      <c r="Q192" s="127">
        <v>0</v>
      </c>
      <c r="R192" s="127">
        <f>Q192*H192</f>
        <v>0</v>
      </c>
      <c r="S192" s="127">
        <v>0</v>
      </c>
      <c r="T192" s="128">
        <f>S192*H192</f>
        <v>0</v>
      </c>
      <c r="W192" s="118"/>
      <c r="X192" s="119" t="s">
        <v>323</v>
      </c>
      <c r="Y192" s="119" t="s">
        <v>231</v>
      </c>
      <c r="Z192" s="120" t="s">
        <v>4393</v>
      </c>
      <c r="AA192" s="121" t="s">
        <v>4394</v>
      </c>
      <c r="AB192" s="122" t="s">
        <v>284</v>
      </c>
      <c r="AC192" s="123">
        <v>38.71</v>
      </c>
      <c r="AD192" s="124">
        <v>195.05</v>
      </c>
      <c r="AE192" s="200">
        <f>ROUND(AD192*AC192,2)</f>
        <v>7550.39</v>
      </c>
      <c r="AF192" s="248"/>
      <c r="AR192" s="129" t="s">
        <v>235</v>
      </c>
      <c r="AT192" s="129" t="s">
        <v>231</v>
      </c>
      <c r="AU192" s="129" t="s">
        <v>76</v>
      </c>
      <c r="AY192" s="13" t="s">
        <v>228</v>
      </c>
      <c r="BE192" s="130">
        <f>IF(N192="základná",J192,0)</f>
        <v>0</v>
      </c>
      <c r="BF192" s="130">
        <f>IF(N192="znížená",J192,0)</f>
        <v>7550.39</v>
      </c>
      <c r="BG192" s="130">
        <f>IF(N192="zákl. prenesená",J192,0)</f>
        <v>0</v>
      </c>
      <c r="BH192" s="130">
        <f>IF(N192="zníž. prenesená",J192,0)</f>
        <v>0</v>
      </c>
      <c r="BI192" s="130">
        <f>IF(N192="nulová",J192,0)</f>
        <v>0</v>
      </c>
      <c r="BJ192" s="13" t="s">
        <v>76</v>
      </c>
      <c r="BK192" s="130">
        <f>ROUND(I192*H192,2)</f>
        <v>7550.39</v>
      </c>
      <c r="BL192" s="13" t="s">
        <v>235</v>
      </c>
      <c r="BM192" s="129" t="s">
        <v>414</v>
      </c>
    </row>
    <row r="193" spans="2:65" s="1" customFormat="1" ht="36" customHeight="1" x14ac:dyDescent="0.2">
      <c r="B193" s="118"/>
      <c r="C193" s="119" t="s">
        <v>415</v>
      </c>
      <c r="D193" s="119" t="s">
        <v>231</v>
      </c>
      <c r="E193" s="120" t="s">
        <v>3399</v>
      </c>
      <c r="F193" s="121" t="s">
        <v>3400</v>
      </c>
      <c r="G193" s="122" t="s">
        <v>284</v>
      </c>
      <c r="H193" s="123">
        <v>425.66899999999998</v>
      </c>
      <c r="I193" s="124">
        <v>58.05</v>
      </c>
      <c r="J193" s="124">
        <f>ROUND(I193*H193,2)</f>
        <v>24710.09</v>
      </c>
      <c r="K193" s="121" t="s">
        <v>1</v>
      </c>
      <c r="L193" s="24"/>
      <c r="M193" s="125" t="s">
        <v>1</v>
      </c>
      <c r="N193" s="126" t="s">
        <v>32</v>
      </c>
      <c r="O193" s="127">
        <v>0</v>
      </c>
      <c r="P193" s="127">
        <f>O193*H193</f>
        <v>0</v>
      </c>
      <c r="Q193" s="127">
        <v>0</v>
      </c>
      <c r="R193" s="127">
        <f>Q193*H193</f>
        <v>0</v>
      </c>
      <c r="S193" s="127">
        <v>0</v>
      </c>
      <c r="T193" s="128">
        <f>S193*H193</f>
        <v>0</v>
      </c>
      <c r="W193" s="118"/>
      <c r="X193" s="119" t="s">
        <v>415</v>
      </c>
      <c r="Y193" s="119" t="s">
        <v>231</v>
      </c>
      <c r="Z193" s="120" t="s">
        <v>3399</v>
      </c>
      <c r="AA193" s="121" t="s">
        <v>3400</v>
      </c>
      <c r="AB193" s="122" t="s">
        <v>284</v>
      </c>
      <c r="AC193" s="123">
        <v>425.66899999999998</v>
      </c>
      <c r="AD193" s="124">
        <v>58.05</v>
      </c>
      <c r="AE193" s="200">
        <f>ROUND(AD193*AC193,2)</f>
        <v>24710.09</v>
      </c>
      <c r="AF193" s="248"/>
      <c r="AR193" s="129" t="s">
        <v>235</v>
      </c>
      <c r="AT193" s="129" t="s">
        <v>231</v>
      </c>
      <c r="AU193" s="129" t="s">
        <v>76</v>
      </c>
      <c r="AY193" s="13" t="s">
        <v>228</v>
      </c>
      <c r="BE193" s="130">
        <f>IF(N193="základná",J193,0)</f>
        <v>0</v>
      </c>
      <c r="BF193" s="130">
        <f>IF(N193="znížená",J193,0)</f>
        <v>24710.09</v>
      </c>
      <c r="BG193" s="130">
        <f>IF(N193="zákl. prenesená",J193,0)</f>
        <v>0</v>
      </c>
      <c r="BH193" s="130">
        <f>IF(N193="zníž. prenesená",J193,0)</f>
        <v>0</v>
      </c>
      <c r="BI193" s="130">
        <f>IF(N193="nulová",J193,0)</f>
        <v>0</v>
      </c>
      <c r="BJ193" s="13" t="s">
        <v>76</v>
      </c>
      <c r="BK193" s="130">
        <f>ROUND(I193*H193,2)</f>
        <v>24710.09</v>
      </c>
      <c r="BL193" s="13" t="s">
        <v>235</v>
      </c>
      <c r="BM193" s="129" t="s">
        <v>418</v>
      </c>
    </row>
    <row r="194" spans="2:65" s="1" customFormat="1" ht="36" customHeight="1" x14ac:dyDescent="0.2">
      <c r="B194" s="118"/>
      <c r="C194" s="119" t="s">
        <v>326</v>
      </c>
      <c r="D194" s="119" t="s">
        <v>231</v>
      </c>
      <c r="E194" s="120" t="s">
        <v>3401</v>
      </c>
      <c r="F194" s="121" t="s">
        <v>4395</v>
      </c>
      <c r="G194" s="122" t="s">
        <v>284</v>
      </c>
      <c r="H194" s="123">
        <v>467.95100000000002</v>
      </c>
      <c r="I194" s="124">
        <v>65.02</v>
      </c>
      <c r="J194" s="124">
        <f>ROUND(I194*H194,2)</f>
        <v>30426.17</v>
      </c>
      <c r="K194" s="121" t="s">
        <v>1</v>
      </c>
      <c r="L194" s="24"/>
      <c r="M194" s="125" t="s">
        <v>1</v>
      </c>
      <c r="N194" s="126" t="s">
        <v>32</v>
      </c>
      <c r="O194" s="127">
        <v>0</v>
      </c>
      <c r="P194" s="127">
        <f>O194*H194</f>
        <v>0</v>
      </c>
      <c r="Q194" s="127">
        <v>0</v>
      </c>
      <c r="R194" s="127">
        <f>Q194*H194</f>
        <v>0</v>
      </c>
      <c r="S194" s="127">
        <v>0</v>
      </c>
      <c r="T194" s="128">
        <f>S194*H194</f>
        <v>0</v>
      </c>
      <c r="W194" s="118"/>
      <c r="X194" s="119" t="s">
        <v>326</v>
      </c>
      <c r="Y194" s="119" t="s">
        <v>231</v>
      </c>
      <c r="Z194" s="120" t="s">
        <v>3401</v>
      </c>
      <c r="AA194" s="121" t="s">
        <v>4395</v>
      </c>
      <c r="AB194" s="122" t="s">
        <v>284</v>
      </c>
      <c r="AC194" s="123">
        <v>467.95100000000002</v>
      </c>
      <c r="AD194" s="124">
        <v>65.02</v>
      </c>
      <c r="AE194" s="200">
        <f>ROUND(AD194*AC194,2)</f>
        <v>30426.17</v>
      </c>
      <c r="AF194" s="248"/>
      <c r="AR194" s="129" t="s">
        <v>235</v>
      </c>
      <c r="AT194" s="129" t="s">
        <v>231</v>
      </c>
      <c r="AU194" s="129" t="s">
        <v>76</v>
      </c>
      <c r="AY194" s="13" t="s">
        <v>228</v>
      </c>
      <c r="BE194" s="130">
        <f>IF(N194="základná",J194,0)</f>
        <v>0</v>
      </c>
      <c r="BF194" s="130">
        <f>IF(N194="znížená",J194,0)</f>
        <v>30426.17</v>
      </c>
      <c r="BG194" s="130">
        <f>IF(N194="zákl. prenesená",J194,0)</f>
        <v>0</v>
      </c>
      <c r="BH194" s="130">
        <f>IF(N194="zníž. prenesená",J194,0)</f>
        <v>0</v>
      </c>
      <c r="BI194" s="130">
        <f>IF(N194="nulová",J194,0)</f>
        <v>0</v>
      </c>
      <c r="BJ194" s="13" t="s">
        <v>76</v>
      </c>
      <c r="BK194" s="130">
        <f>ROUND(I194*H194,2)</f>
        <v>30426.17</v>
      </c>
      <c r="BL194" s="13" t="s">
        <v>235</v>
      </c>
      <c r="BM194" s="129" t="s">
        <v>421</v>
      </c>
    </row>
    <row r="195" spans="2:65" s="1" customFormat="1" ht="24" customHeight="1" x14ac:dyDescent="0.2">
      <c r="B195" s="118"/>
      <c r="C195" s="119" t="s">
        <v>422</v>
      </c>
      <c r="D195" s="119" t="s">
        <v>231</v>
      </c>
      <c r="E195" s="120" t="s">
        <v>4396</v>
      </c>
      <c r="F195" s="121" t="s">
        <v>4397</v>
      </c>
      <c r="G195" s="122" t="s">
        <v>570</v>
      </c>
      <c r="H195" s="123">
        <v>488.07799999999997</v>
      </c>
      <c r="I195" s="124">
        <v>1.28</v>
      </c>
      <c r="J195" s="124">
        <f>ROUND(I195*H195,2)</f>
        <v>624.74</v>
      </c>
      <c r="K195" s="121" t="s">
        <v>1</v>
      </c>
      <c r="L195" s="24"/>
      <c r="M195" s="125" t="s">
        <v>1</v>
      </c>
      <c r="N195" s="126" t="s">
        <v>32</v>
      </c>
      <c r="O195" s="127">
        <v>0</v>
      </c>
      <c r="P195" s="127">
        <f>O195*H195</f>
        <v>0</v>
      </c>
      <c r="Q195" s="127">
        <v>0</v>
      </c>
      <c r="R195" s="127">
        <f>Q195*H195</f>
        <v>0</v>
      </c>
      <c r="S195" s="127">
        <v>0</v>
      </c>
      <c r="T195" s="128">
        <f>S195*H195</f>
        <v>0</v>
      </c>
      <c r="W195" s="118"/>
      <c r="X195" s="119" t="s">
        <v>422</v>
      </c>
      <c r="Y195" s="119" t="s">
        <v>231</v>
      </c>
      <c r="Z195" s="120" t="s">
        <v>4396</v>
      </c>
      <c r="AA195" s="121" t="s">
        <v>4397</v>
      </c>
      <c r="AB195" s="122" t="s">
        <v>570</v>
      </c>
      <c r="AC195" s="123">
        <v>488.07799999999997</v>
      </c>
      <c r="AD195" s="124">
        <v>1.28</v>
      </c>
      <c r="AE195" s="200">
        <f>ROUND(AD195*AC195,2)</f>
        <v>624.74</v>
      </c>
      <c r="AF195" s="248"/>
      <c r="AR195" s="129" t="s">
        <v>235</v>
      </c>
      <c r="AT195" s="129" t="s">
        <v>231</v>
      </c>
      <c r="AU195" s="129" t="s">
        <v>76</v>
      </c>
      <c r="AY195" s="13" t="s">
        <v>228</v>
      </c>
      <c r="BE195" s="130">
        <f>IF(N195="základná",J195,0)</f>
        <v>0</v>
      </c>
      <c r="BF195" s="130">
        <f>IF(N195="znížená",J195,0)</f>
        <v>624.74</v>
      </c>
      <c r="BG195" s="130">
        <f>IF(N195="zákl. prenesená",J195,0)</f>
        <v>0</v>
      </c>
      <c r="BH195" s="130">
        <f>IF(N195="zníž. prenesená",J195,0)</f>
        <v>0</v>
      </c>
      <c r="BI195" s="130">
        <f>IF(N195="nulová",J195,0)</f>
        <v>0</v>
      </c>
      <c r="BJ195" s="13" t="s">
        <v>76</v>
      </c>
      <c r="BK195" s="130">
        <f>ROUND(I195*H195,2)</f>
        <v>624.74</v>
      </c>
      <c r="BL195" s="13" t="s">
        <v>235</v>
      </c>
      <c r="BM195" s="129" t="s">
        <v>425</v>
      </c>
    </row>
    <row r="196" spans="2:65" s="11" customFormat="1" ht="22.95" customHeight="1" x14ac:dyDescent="0.25">
      <c r="B196" s="106"/>
      <c r="D196" s="107" t="s">
        <v>57</v>
      </c>
      <c r="E196" s="116" t="s">
        <v>785</v>
      </c>
      <c r="F196" s="116" t="s">
        <v>3407</v>
      </c>
      <c r="J196" s="117">
        <f>BK196</f>
        <v>1094.8399999999999</v>
      </c>
      <c r="L196" s="106"/>
      <c r="M196" s="110"/>
      <c r="N196" s="111"/>
      <c r="O196" s="111"/>
      <c r="P196" s="112">
        <f>SUM(P197:P199)</f>
        <v>0</v>
      </c>
      <c r="Q196" s="111"/>
      <c r="R196" s="112">
        <f>SUM(R197:R199)</f>
        <v>0</v>
      </c>
      <c r="S196" s="111"/>
      <c r="T196" s="113">
        <f>SUM(T197:T199)</f>
        <v>0</v>
      </c>
      <c r="W196" s="106"/>
      <c r="X196" s="111"/>
      <c r="Y196" s="196" t="s">
        <v>57</v>
      </c>
      <c r="Z196" s="201" t="s">
        <v>785</v>
      </c>
      <c r="AA196" s="201" t="s">
        <v>3407</v>
      </c>
      <c r="AB196" s="111"/>
      <c r="AC196" s="111"/>
      <c r="AD196" s="111"/>
      <c r="AE196" s="202">
        <f>SUM(AE197:AE199)</f>
        <v>0</v>
      </c>
      <c r="AF196" s="248"/>
      <c r="AR196" s="107" t="s">
        <v>63</v>
      </c>
      <c r="AT196" s="114" t="s">
        <v>57</v>
      </c>
      <c r="AU196" s="114" t="s">
        <v>63</v>
      </c>
      <c r="AY196" s="107" t="s">
        <v>228</v>
      </c>
      <c r="BK196" s="115">
        <f>SUM(BK197:BK199)</f>
        <v>1094.8399999999999</v>
      </c>
    </row>
    <row r="197" spans="2:65" s="1" customFormat="1" ht="24" customHeight="1" x14ac:dyDescent="0.2">
      <c r="B197" s="118"/>
      <c r="C197" s="1070" t="s">
        <v>330</v>
      </c>
      <c r="D197" s="119" t="s">
        <v>231</v>
      </c>
      <c r="E197" s="120" t="s">
        <v>4398</v>
      </c>
      <c r="F197" s="121" t="s">
        <v>4399</v>
      </c>
      <c r="G197" s="122" t="s">
        <v>284</v>
      </c>
      <c r="H197" s="1071">
        <v>23.145</v>
      </c>
      <c r="I197" s="124">
        <v>29.03</v>
      </c>
      <c r="J197" s="124">
        <f>ROUND(I197*H197,2)</f>
        <v>671.9</v>
      </c>
      <c r="K197" s="121" t="s">
        <v>1</v>
      </c>
      <c r="L197" s="24"/>
      <c r="M197" s="125" t="s">
        <v>1</v>
      </c>
      <c r="N197" s="126" t="s">
        <v>32</v>
      </c>
      <c r="O197" s="127">
        <v>0</v>
      </c>
      <c r="P197" s="127">
        <f>O197*H197</f>
        <v>0</v>
      </c>
      <c r="Q197" s="127">
        <v>0</v>
      </c>
      <c r="R197" s="127">
        <f>Q197*H197</f>
        <v>0</v>
      </c>
      <c r="S197" s="127">
        <v>0</v>
      </c>
      <c r="T197" s="128">
        <f>S197*H197</f>
        <v>0</v>
      </c>
      <c r="W197" s="118"/>
      <c r="X197" s="1070" t="s">
        <v>330</v>
      </c>
      <c r="Y197" s="119" t="s">
        <v>231</v>
      </c>
      <c r="Z197" s="120" t="s">
        <v>4398</v>
      </c>
      <c r="AA197" s="121" t="s">
        <v>4399</v>
      </c>
      <c r="AB197" s="122" t="s">
        <v>284</v>
      </c>
      <c r="AC197" s="1071">
        <v>0</v>
      </c>
      <c r="AD197" s="124">
        <v>29.03</v>
      </c>
      <c r="AE197" s="200">
        <f>ROUND(AD197*AC197,2)</f>
        <v>0</v>
      </c>
      <c r="AF197" s="248" t="s">
        <v>6652</v>
      </c>
      <c r="AR197" s="129" t="s">
        <v>235</v>
      </c>
      <c r="AT197" s="129" t="s">
        <v>231</v>
      </c>
      <c r="AU197" s="129" t="s">
        <v>76</v>
      </c>
      <c r="AY197" s="13" t="s">
        <v>228</v>
      </c>
      <c r="BE197" s="130">
        <f>IF(N197="základná",J197,0)</f>
        <v>0</v>
      </c>
      <c r="BF197" s="130">
        <f>IF(N197="znížená",J197,0)</f>
        <v>671.9</v>
      </c>
      <c r="BG197" s="130">
        <f>IF(N197="zákl. prenesená",J197,0)</f>
        <v>0</v>
      </c>
      <c r="BH197" s="130">
        <f>IF(N197="zníž. prenesená",J197,0)</f>
        <v>0</v>
      </c>
      <c r="BI197" s="130">
        <f>IF(N197="nulová",J197,0)</f>
        <v>0</v>
      </c>
      <c r="BJ197" s="13" t="s">
        <v>76</v>
      </c>
      <c r="BK197" s="130">
        <f>ROUND(I197*H197,2)</f>
        <v>671.9</v>
      </c>
      <c r="BL197" s="13" t="s">
        <v>235</v>
      </c>
      <c r="BM197" s="129" t="s">
        <v>428</v>
      </c>
    </row>
    <row r="198" spans="2:65" s="1" customFormat="1" ht="16.5" customHeight="1" x14ac:dyDescent="0.2">
      <c r="B198" s="118"/>
      <c r="C198" s="979" t="s">
        <v>429</v>
      </c>
      <c r="D198" s="131" t="s">
        <v>277</v>
      </c>
      <c r="E198" s="132" t="s">
        <v>4400</v>
      </c>
      <c r="F198" s="133" t="s">
        <v>4401</v>
      </c>
      <c r="G198" s="134" t="s">
        <v>284</v>
      </c>
      <c r="H198" s="978">
        <v>24.302</v>
      </c>
      <c r="I198" s="136">
        <v>16.25</v>
      </c>
      <c r="J198" s="136">
        <f>ROUND(I198*H198,2)</f>
        <v>394.91</v>
      </c>
      <c r="K198" s="133" t="s">
        <v>1</v>
      </c>
      <c r="L198" s="137"/>
      <c r="M198" s="138" t="s">
        <v>1</v>
      </c>
      <c r="N198" s="139" t="s">
        <v>32</v>
      </c>
      <c r="O198" s="127">
        <v>0</v>
      </c>
      <c r="P198" s="127">
        <f>O198*H198</f>
        <v>0</v>
      </c>
      <c r="Q198" s="127">
        <v>0</v>
      </c>
      <c r="R198" s="127">
        <f>Q198*H198</f>
        <v>0</v>
      </c>
      <c r="S198" s="127">
        <v>0</v>
      </c>
      <c r="T198" s="128">
        <f>S198*H198</f>
        <v>0</v>
      </c>
      <c r="W198" s="118"/>
      <c r="X198" s="979" t="s">
        <v>429</v>
      </c>
      <c r="Y198" s="131" t="s">
        <v>277</v>
      </c>
      <c r="Z198" s="132" t="s">
        <v>4400</v>
      </c>
      <c r="AA198" s="133" t="s">
        <v>4401</v>
      </c>
      <c r="AB198" s="134" t="s">
        <v>284</v>
      </c>
      <c r="AC198" s="978">
        <v>0</v>
      </c>
      <c r="AD198" s="136">
        <v>16.25</v>
      </c>
      <c r="AE198" s="229">
        <f>ROUND(AD198*AC198,2)</f>
        <v>0</v>
      </c>
      <c r="AF198" s="924" t="s">
        <v>6652</v>
      </c>
      <c r="AR198" s="129" t="s">
        <v>244</v>
      </c>
      <c r="AT198" s="129" t="s">
        <v>277</v>
      </c>
      <c r="AU198" s="129" t="s">
        <v>76</v>
      </c>
      <c r="AY198" s="13" t="s">
        <v>228</v>
      </c>
      <c r="BE198" s="130">
        <f>IF(N198="základná",J198,0)</f>
        <v>0</v>
      </c>
      <c r="BF198" s="130">
        <f>IF(N198="znížená",J198,0)</f>
        <v>394.91</v>
      </c>
      <c r="BG198" s="130">
        <f>IF(N198="zákl. prenesená",J198,0)</f>
        <v>0</v>
      </c>
      <c r="BH198" s="130">
        <f>IF(N198="zníž. prenesená",J198,0)</f>
        <v>0</v>
      </c>
      <c r="BI198" s="130">
        <f>IF(N198="nulová",J198,0)</f>
        <v>0</v>
      </c>
      <c r="BJ198" s="13" t="s">
        <v>76</v>
      </c>
      <c r="BK198" s="130">
        <f>ROUND(I198*H198,2)</f>
        <v>394.91</v>
      </c>
      <c r="BL198" s="13" t="s">
        <v>235</v>
      </c>
      <c r="BM198" s="129" t="s">
        <v>432</v>
      </c>
    </row>
    <row r="199" spans="2:65" s="1" customFormat="1" ht="24" customHeight="1" x14ac:dyDescent="0.2">
      <c r="B199" s="118"/>
      <c r="C199" s="1070" t="s">
        <v>333</v>
      </c>
      <c r="D199" s="119" t="s">
        <v>231</v>
      </c>
      <c r="E199" s="120" t="s">
        <v>4402</v>
      </c>
      <c r="F199" s="121" t="s">
        <v>4403</v>
      </c>
      <c r="G199" s="122" t="s">
        <v>570</v>
      </c>
      <c r="H199" s="1071">
        <v>6.8029999999999999</v>
      </c>
      <c r="I199" s="124">
        <v>4.12</v>
      </c>
      <c r="J199" s="124">
        <f>ROUND(I199*H199,2)</f>
        <v>28.03</v>
      </c>
      <c r="K199" s="121" t="s">
        <v>1</v>
      </c>
      <c r="L199" s="24"/>
      <c r="M199" s="125" t="s">
        <v>1</v>
      </c>
      <c r="N199" s="126" t="s">
        <v>32</v>
      </c>
      <c r="O199" s="127">
        <v>0</v>
      </c>
      <c r="P199" s="127">
        <f>O199*H199</f>
        <v>0</v>
      </c>
      <c r="Q199" s="127">
        <v>0</v>
      </c>
      <c r="R199" s="127">
        <f>Q199*H199</f>
        <v>0</v>
      </c>
      <c r="S199" s="127">
        <v>0</v>
      </c>
      <c r="T199" s="128">
        <f>S199*H199</f>
        <v>0</v>
      </c>
      <c r="W199" s="118"/>
      <c r="X199" s="1070" t="s">
        <v>333</v>
      </c>
      <c r="Y199" s="119" t="s">
        <v>231</v>
      </c>
      <c r="Z199" s="120" t="s">
        <v>4402</v>
      </c>
      <c r="AA199" s="121" t="s">
        <v>4403</v>
      </c>
      <c r="AB199" s="122" t="s">
        <v>570</v>
      </c>
      <c r="AC199" s="1071">
        <v>0</v>
      </c>
      <c r="AD199" s="124">
        <v>4.12</v>
      </c>
      <c r="AE199" s="200">
        <f>ROUND(AD199*AC199,2)</f>
        <v>0</v>
      </c>
      <c r="AF199" s="924" t="s">
        <v>6652</v>
      </c>
      <c r="AR199" s="129" t="s">
        <v>235</v>
      </c>
      <c r="AT199" s="129" t="s">
        <v>231</v>
      </c>
      <c r="AU199" s="129" t="s">
        <v>76</v>
      </c>
      <c r="AY199" s="13" t="s">
        <v>228</v>
      </c>
      <c r="BE199" s="130">
        <f>IF(N199="základná",J199,0)</f>
        <v>0</v>
      </c>
      <c r="BF199" s="130">
        <f>IF(N199="znížená",J199,0)</f>
        <v>28.03</v>
      </c>
      <c r="BG199" s="130">
        <f>IF(N199="zákl. prenesená",J199,0)</f>
        <v>0</v>
      </c>
      <c r="BH199" s="130">
        <f>IF(N199="zníž. prenesená",J199,0)</f>
        <v>0</v>
      </c>
      <c r="BI199" s="130">
        <f>IF(N199="nulová",J199,0)</f>
        <v>0</v>
      </c>
      <c r="BJ199" s="13" t="s">
        <v>76</v>
      </c>
      <c r="BK199" s="130">
        <f>ROUND(I199*H199,2)</f>
        <v>28.03</v>
      </c>
      <c r="BL199" s="13" t="s">
        <v>235</v>
      </c>
      <c r="BM199" s="129" t="s">
        <v>435</v>
      </c>
    </row>
    <row r="200" spans="2:65" s="11" customFormat="1" ht="22.95" customHeight="1" x14ac:dyDescent="0.25">
      <c r="B200" s="106"/>
      <c r="D200" s="107" t="s">
        <v>57</v>
      </c>
      <c r="E200" s="116" t="s">
        <v>3420</v>
      </c>
      <c r="F200" s="116" t="s">
        <v>3421</v>
      </c>
      <c r="J200" s="117">
        <f>BK200</f>
        <v>3513.14</v>
      </c>
      <c r="L200" s="106"/>
      <c r="M200" s="110"/>
      <c r="N200" s="111"/>
      <c r="O200" s="111"/>
      <c r="P200" s="112">
        <f>P201</f>
        <v>0</v>
      </c>
      <c r="Q200" s="111"/>
      <c r="R200" s="112">
        <f>R201</f>
        <v>0</v>
      </c>
      <c r="S200" s="111"/>
      <c r="T200" s="113">
        <f>T201</f>
        <v>0</v>
      </c>
      <c r="W200" s="106"/>
      <c r="X200" s="111"/>
      <c r="Y200" s="196" t="s">
        <v>57</v>
      </c>
      <c r="Z200" s="201" t="s">
        <v>3420</v>
      </c>
      <c r="AA200" s="201" t="s">
        <v>3421</v>
      </c>
      <c r="AB200" s="111"/>
      <c r="AC200" s="111"/>
      <c r="AD200" s="111"/>
      <c r="AE200" s="202">
        <f>AE201</f>
        <v>3513.14</v>
      </c>
      <c r="AF200" s="248"/>
      <c r="AR200" s="107" t="s">
        <v>63</v>
      </c>
      <c r="AT200" s="114" t="s">
        <v>57</v>
      </c>
      <c r="AU200" s="114" t="s">
        <v>63</v>
      </c>
      <c r="AY200" s="107" t="s">
        <v>228</v>
      </c>
      <c r="BK200" s="115">
        <f>BK201</f>
        <v>3513.14</v>
      </c>
    </row>
    <row r="201" spans="2:65" s="1" customFormat="1" ht="16.5" customHeight="1" x14ac:dyDescent="0.2">
      <c r="B201" s="118"/>
      <c r="C201" s="119" t="s">
        <v>438</v>
      </c>
      <c r="D201" s="119" t="s">
        <v>231</v>
      </c>
      <c r="E201" s="120" t="s">
        <v>3422</v>
      </c>
      <c r="F201" s="121" t="s">
        <v>3423</v>
      </c>
      <c r="G201" s="122" t="s">
        <v>284</v>
      </c>
      <c r="H201" s="123">
        <v>432.12</v>
      </c>
      <c r="I201" s="124">
        <v>8.1300000000000008</v>
      </c>
      <c r="J201" s="124">
        <f>ROUND(I201*H201,2)</f>
        <v>3513.14</v>
      </c>
      <c r="K201" s="121" t="s">
        <v>1</v>
      </c>
      <c r="L201" s="24"/>
      <c r="M201" s="125" t="s">
        <v>1</v>
      </c>
      <c r="N201" s="126" t="s">
        <v>32</v>
      </c>
      <c r="O201" s="127">
        <v>0</v>
      </c>
      <c r="P201" s="127">
        <f>O201*H201</f>
        <v>0</v>
      </c>
      <c r="Q201" s="127">
        <v>0</v>
      </c>
      <c r="R201" s="127">
        <f>Q201*H201</f>
        <v>0</v>
      </c>
      <c r="S201" s="127">
        <v>0</v>
      </c>
      <c r="T201" s="128">
        <f>S201*H201</f>
        <v>0</v>
      </c>
      <c r="W201" s="118"/>
      <c r="X201" s="119" t="s">
        <v>438</v>
      </c>
      <c r="Y201" s="119" t="s">
        <v>231</v>
      </c>
      <c r="Z201" s="120" t="s">
        <v>3422</v>
      </c>
      <c r="AA201" s="121" t="s">
        <v>3423</v>
      </c>
      <c r="AB201" s="122" t="s">
        <v>284</v>
      </c>
      <c r="AC201" s="123">
        <v>432.12</v>
      </c>
      <c r="AD201" s="124">
        <v>8.1300000000000008</v>
      </c>
      <c r="AE201" s="200">
        <f>ROUND(AD201*AC201,2)</f>
        <v>3513.14</v>
      </c>
      <c r="AF201" s="248"/>
      <c r="AR201" s="129" t="s">
        <v>235</v>
      </c>
      <c r="AT201" s="129" t="s">
        <v>231</v>
      </c>
      <c r="AU201" s="129" t="s">
        <v>76</v>
      </c>
      <c r="AY201" s="13" t="s">
        <v>228</v>
      </c>
      <c r="BE201" s="130">
        <f>IF(N201="základná",J201,0)</f>
        <v>0</v>
      </c>
      <c r="BF201" s="130">
        <f>IF(N201="znížená",J201,0)</f>
        <v>3513.14</v>
      </c>
      <c r="BG201" s="130">
        <f>IF(N201="zákl. prenesená",J201,0)</f>
        <v>0</v>
      </c>
      <c r="BH201" s="130">
        <f>IF(N201="zníž. prenesená",J201,0)</f>
        <v>0</v>
      </c>
      <c r="BI201" s="130">
        <f>IF(N201="nulová",J201,0)</f>
        <v>0</v>
      </c>
      <c r="BJ201" s="13" t="s">
        <v>76</v>
      </c>
      <c r="BK201" s="130">
        <f>ROUND(I201*H201,2)</f>
        <v>3513.14</v>
      </c>
      <c r="BL201" s="13" t="s">
        <v>235</v>
      </c>
      <c r="BM201" s="129" t="s">
        <v>441</v>
      </c>
    </row>
    <row r="202" spans="2:65" s="11" customFormat="1" ht="22.95" customHeight="1" x14ac:dyDescent="0.25">
      <c r="B202" s="106"/>
      <c r="D202" s="107" t="s">
        <v>57</v>
      </c>
      <c r="E202" s="116" t="s">
        <v>3433</v>
      </c>
      <c r="F202" s="116" t="s">
        <v>3434</v>
      </c>
      <c r="J202" s="117">
        <f>BK202</f>
        <v>294.58</v>
      </c>
      <c r="L202" s="106"/>
      <c r="M202" s="110"/>
      <c r="N202" s="111"/>
      <c r="O202" s="111"/>
      <c r="P202" s="112">
        <f>P203</f>
        <v>0</v>
      </c>
      <c r="Q202" s="111"/>
      <c r="R202" s="112">
        <f>R203</f>
        <v>0</v>
      </c>
      <c r="S202" s="111"/>
      <c r="T202" s="113">
        <f>T203</f>
        <v>0</v>
      </c>
      <c r="W202" s="106"/>
      <c r="X202" s="111"/>
      <c r="Y202" s="196" t="s">
        <v>57</v>
      </c>
      <c r="Z202" s="201" t="s">
        <v>3433</v>
      </c>
      <c r="AA202" s="201" t="s">
        <v>3434</v>
      </c>
      <c r="AB202" s="111"/>
      <c r="AC202" s="111"/>
      <c r="AD202" s="111"/>
      <c r="AE202" s="202">
        <f>AE203</f>
        <v>294.58</v>
      </c>
      <c r="AF202" s="248"/>
      <c r="AR202" s="107" t="s">
        <v>63</v>
      </c>
      <c r="AT202" s="114" t="s">
        <v>57</v>
      </c>
      <c r="AU202" s="114" t="s">
        <v>63</v>
      </c>
      <c r="AY202" s="107" t="s">
        <v>228</v>
      </c>
      <c r="BK202" s="115">
        <f>BK203</f>
        <v>294.58</v>
      </c>
    </row>
    <row r="203" spans="2:65" s="1" customFormat="1" ht="16.5" customHeight="1" x14ac:dyDescent="0.2">
      <c r="B203" s="118"/>
      <c r="C203" s="119" t="s">
        <v>337</v>
      </c>
      <c r="D203" s="119" t="s">
        <v>231</v>
      </c>
      <c r="E203" s="120" t="s">
        <v>3435</v>
      </c>
      <c r="F203" s="121" t="s">
        <v>3436</v>
      </c>
      <c r="G203" s="122" t="s">
        <v>284</v>
      </c>
      <c r="H203" s="123">
        <v>126.97499999999999</v>
      </c>
      <c r="I203" s="124">
        <v>2.3199999999999998</v>
      </c>
      <c r="J203" s="124">
        <f>ROUND(I203*H203,2)</f>
        <v>294.58</v>
      </c>
      <c r="K203" s="121" t="s">
        <v>1</v>
      </c>
      <c r="L203" s="24"/>
      <c r="M203" s="125" t="s">
        <v>1</v>
      </c>
      <c r="N203" s="126" t="s">
        <v>32</v>
      </c>
      <c r="O203" s="127">
        <v>0</v>
      </c>
      <c r="P203" s="127">
        <f>O203*H203</f>
        <v>0</v>
      </c>
      <c r="Q203" s="127">
        <v>0</v>
      </c>
      <c r="R203" s="127">
        <f>Q203*H203</f>
        <v>0</v>
      </c>
      <c r="S203" s="127">
        <v>0</v>
      </c>
      <c r="T203" s="128">
        <f>S203*H203</f>
        <v>0</v>
      </c>
      <c r="W203" s="118"/>
      <c r="X203" s="119" t="s">
        <v>337</v>
      </c>
      <c r="Y203" s="119" t="s">
        <v>231</v>
      </c>
      <c r="Z203" s="120" t="s">
        <v>3435</v>
      </c>
      <c r="AA203" s="121" t="s">
        <v>3436</v>
      </c>
      <c r="AB203" s="122" t="s">
        <v>284</v>
      </c>
      <c r="AC203" s="123">
        <v>126.97499999999999</v>
      </c>
      <c r="AD203" s="124">
        <v>2.3199999999999998</v>
      </c>
      <c r="AE203" s="200">
        <f>ROUND(AD203*AC203,2)</f>
        <v>294.58</v>
      </c>
      <c r="AF203" s="248"/>
      <c r="AR203" s="129" t="s">
        <v>235</v>
      </c>
      <c r="AT203" s="129" t="s">
        <v>231</v>
      </c>
      <c r="AU203" s="129" t="s">
        <v>76</v>
      </c>
      <c r="AY203" s="13" t="s">
        <v>228</v>
      </c>
      <c r="BE203" s="130">
        <f>IF(N203="základná",J203,0)</f>
        <v>0</v>
      </c>
      <c r="BF203" s="130">
        <f>IF(N203="znížená",J203,0)</f>
        <v>294.58</v>
      </c>
      <c r="BG203" s="130">
        <f>IF(N203="zákl. prenesená",J203,0)</f>
        <v>0</v>
      </c>
      <c r="BH203" s="130">
        <f>IF(N203="zníž. prenesená",J203,0)</f>
        <v>0</v>
      </c>
      <c r="BI203" s="130">
        <f>IF(N203="nulová",J203,0)</f>
        <v>0</v>
      </c>
      <c r="BJ203" s="13" t="s">
        <v>76</v>
      </c>
      <c r="BK203" s="130">
        <f>ROUND(I203*H203,2)</f>
        <v>294.58</v>
      </c>
      <c r="BL203" s="13" t="s">
        <v>235</v>
      </c>
      <c r="BM203" s="129" t="s">
        <v>444</v>
      </c>
    </row>
    <row r="204" spans="2:65" s="11" customFormat="1" ht="25.95" customHeight="1" x14ac:dyDescent="0.25">
      <c r="B204" s="106"/>
      <c r="D204" s="107" t="s">
        <v>57</v>
      </c>
      <c r="E204" s="108" t="s">
        <v>277</v>
      </c>
      <c r="F204" s="108" t="s">
        <v>3437</v>
      </c>
      <c r="J204" s="109">
        <f>BK204</f>
        <v>81167.399999999994</v>
      </c>
      <c r="L204" s="106"/>
      <c r="M204" s="110"/>
      <c r="N204" s="111"/>
      <c r="O204" s="111"/>
      <c r="P204" s="112">
        <f>P205</f>
        <v>0</v>
      </c>
      <c r="Q204" s="111"/>
      <c r="R204" s="112">
        <f>R205</f>
        <v>0</v>
      </c>
      <c r="S204" s="111"/>
      <c r="T204" s="113">
        <f>T205</f>
        <v>0</v>
      </c>
      <c r="W204" s="106"/>
      <c r="X204" s="111"/>
      <c r="Y204" s="196" t="s">
        <v>57</v>
      </c>
      <c r="Z204" s="197" t="s">
        <v>277</v>
      </c>
      <c r="AA204" s="197" t="s">
        <v>3437</v>
      </c>
      <c r="AB204" s="111"/>
      <c r="AC204" s="111"/>
      <c r="AD204" s="111"/>
      <c r="AE204" s="198">
        <f>AE205</f>
        <v>87929.4</v>
      </c>
      <c r="AF204" s="248"/>
      <c r="AR204" s="107" t="s">
        <v>63</v>
      </c>
      <c r="AT204" s="114" t="s">
        <v>57</v>
      </c>
      <c r="AU204" s="114" t="s">
        <v>58</v>
      </c>
      <c r="AY204" s="107" t="s">
        <v>228</v>
      </c>
      <c r="BK204" s="115">
        <f>BK205</f>
        <v>81167.399999999994</v>
      </c>
    </row>
    <row r="205" spans="2:65" s="11" customFormat="1" ht="22.95" customHeight="1" x14ac:dyDescent="0.25">
      <c r="B205" s="106"/>
      <c r="D205" s="107" t="s">
        <v>57</v>
      </c>
      <c r="E205" s="116" t="s">
        <v>3438</v>
      </c>
      <c r="F205" s="116" t="s">
        <v>3439</v>
      </c>
      <c r="J205" s="117">
        <f>BK205</f>
        <v>81167.399999999994</v>
      </c>
      <c r="L205" s="106"/>
      <c r="M205" s="110"/>
      <c r="N205" s="111"/>
      <c r="O205" s="111"/>
      <c r="P205" s="112">
        <f>SUM(P206:P210)</f>
        <v>0</v>
      </c>
      <c r="Q205" s="111"/>
      <c r="R205" s="112">
        <f>SUM(R206:R210)</f>
        <v>0</v>
      </c>
      <c r="S205" s="111"/>
      <c r="T205" s="113">
        <f>SUM(T206:T210)</f>
        <v>0</v>
      </c>
      <c r="W205" s="106"/>
      <c r="X205" s="111"/>
      <c r="Y205" s="196" t="s">
        <v>57</v>
      </c>
      <c r="Z205" s="201" t="s">
        <v>3438</v>
      </c>
      <c r="AA205" s="201" t="s">
        <v>3439</v>
      </c>
      <c r="AB205" s="111"/>
      <c r="AC205" s="111"/>
      <c r="AD205" s="111"/>
      <c r="AE205" s="202">
        <f>SUM(AE206:AE210)</f>
        <v>87929.4</v>
      </c>
      <c r="AF205" s="248"/>
      <c r="AR205" s="107" t="s">
        <v>63</v>
      </c>
      <c r="AT205" s="114" t="s">
        <v>57</v>
      </c>
      <c r="AU205" s="114" t="s">
        <v>63</v>
      </c>
      <c r="AY205" s="107" t="s">
        <v>228</v>
      </c>
      <c r="BK205" s="115">
        <f>SUM(BK206:BK210)</f>
        <v>81167.399999999994</v>
      </c>
    </row>
    <row r="206" spans="2:65" s="1" customFormat="1" ht="36" customHeight="1" x14ac:dyDescent="0.2">
      <c r="B206" s="118"/>
      <c r="C206" s="119" t="s">
        <v>445</v>
      </c>
      <c r="D206" s="119" t="s">
        <v>231</v>
      </c>
      <c r="E206" s="120" t="s">
        <v>4404</v>
      </c>
      <c r="F206" s="121" t="s">
        <v>4405</v>
      </c>
      <c r="G206" s="122" t="s">
        <v>1035</v>
      </c>
      <c r="H206" s="123">
        <v>10700</v>
      </c>
      <c r="I206" s="124">
        <v>4.2</v>
      </c>
      <c r="J206" s="124">
        <f>ROUND(I206*H206,2)</f>
        <v>44940</v>
      </c>
      <c r="K206" s="121" t="s">
        <v>1</v>
      </c>
      <c r="L206" s="24"/>
      <c r="M206" s="125" t="s">
        <v>1</v>
      </c>
      <c r="N206" s="126" t="s">
        <v>32</v>
      </c>
      <c r="O206" s="127">
        <v>0</v>
      </c>
      <c r="P206" s="127">
        <f>O206*H206</f>
        <v>0</v>
      </c>
      <c r="Q206" s="127">
        <v>0</v>
      </c>
      <c r="R206" s="127">
        <f>Q206*H206</f>
        <v>0</v>
      </c>
      <c r="S206" s="127">
        <v>0</v>
      </c>
      <c r="T206" s="128">
        <f>S206*H206</f>
        <v>0</v>
      </c>
      <c r="W206" s="118"/>
      <c r="X206" s="119" t="s">
        <v>445</v>
      </c>
      <c r="Y206" s="119" t="s">
        <v>231</v>
      </c>
      <c r="Z206" s="120" t="s">
        <v>4404</v>
      </c>
      <c r="AA206" s="121" t="s">
        <v>4405</v>
      </c>
      <c r="AB206" s="122" t="s">
        <v>1035</v>
      </c>
      <c r="AC206" s="123">
        <v>10700</v>
      </c>
      <c r="AD206" s="124">
        <v>4.2</v>
      </c>
      <c r="AE206" s="200">
        <f>ROUND(AD206*AC206,2)</f>
        <v>44940</v>
      </c>
      <c r="AF206" s="248"/>
      <c r="AR206" s="129" t="s">
        <v>235</v>
      </c>
      <c r="AT206" s="129" t="s">
        <v>231</v>
      </c>
      <c r="AU206" s="129" t="s">
        <v>76</v>
      </c>
      <c r="AY206" s="13" t="s">
        <v>228</v>
      </c>
      <c r="BE206" s="130">
        <f>IF(N206="základná",J206,0)</f>
        <v>0</v>
      </c>
      <c r="BF206" s="130">
        <f>IF(N206="znížená",J206,0)</f>
        <v>44940</v>
      </c>
      <c r="BG206" s="130">
        <f>IF(N206="zákl. prenesená",J206,0)</f>
        <v>0</v>
      </c>
      <c r="BH206" s="130">
        <f>IF(N206="zníž. prenesená",J206,0)</f>
        <v>0</v>
      </c>
      <c r="BI206" s="130">
        <f>IF(N206="nulová",J206,0)</f>
        <v>0</v>
      </c>
      <c r="BJ206" s="13" t="s">
        <v>76</v>
      </c>
      <c r="BK206" s="130">
        <f>ROUND(I206*H206,2)</f>
        <v>44940</v>
      </c>
      <c r="BL206" s="13" t="s">
        <v>235</v>
      </c>
      <c r="BM206" s="129" t="s">
        <v>448</v>
      </c>
    </row>
    <row r="207" spans="2:65" s="1080" customFormat="1" ht="36" customHeight="1" x14ac:dyDescent="0.2">
      <c r="B207" s="1028"/>
      <c r="C207" s="1234" t="s">
        <v>5205</v>
      </c>
      <c r="D207" s="1235"/>
      <c r="E207" s="1235"/>
      <c r="F207" s="1235"/>
      <c r="G207" s="1235"/>
      <c r="H207" s="1235"/>
      <c r="I207" s="1235"/>
      <c r="J207" s="1236"/>
      <c r="K207" s="1031"/>
      <c r="L207" s="1027"/>
      <c r="M207" s="1035"/>
      <c r="N207" s="1036"/>
      <c r="O207" s="1037"/>
      <c r="P207" s="1037"/>
      <c r="Q207" s="1037"/>
      <c r="R207" s="1037"/>
      <c r="S207" s="1037"/>
      <c r="T207" s="1038"/>
      <c r="W207" s="1028"/>
      <c r="X207" s="1072" t="s">
        <v>6655</v>
      </c>
      <c r="Y207" s="1072" t="s">
        <v>231</v>
      </c>
      <c r="Z207" s="1073" t="s">
        <v>6653</v>
      </c>
      <c r="AA207" s="1074" t="s">
        <v>6654</v>
      </c>
      <c r="AB207" s="1075" t="s">
        <v>1035</v>
      </c>
      <c r="AC207" s="1076">
        <v>1610</v>
      </c>
      <c r="AD207" s="1077">
        <v>4.2</v>
      </c>
      <c r="AE207" s="1078">
        <f>ROUND(AD207*AC207,2)</f>
        <v>6762</v>
      </c>
      <c r="AF207" s="924" t="s">
        <v>6652</v>
      </c>
      <c r="AR207" s="1039"/>
      <c r="AT207" s="1039"/>
      <c r="AU207" s="1039"/>
      <c r="AY207" s="1026"/>
      <c r="BE207" s="1040"/>
      <c r="BF207" s="1040"/>
      <c r="BG207" s="1040"/>
      <c r="BH207" s="1040"/>
      <c r="BI207" s="1040"/>
      <c r="BJ207" s="1026"/>
      <c r="BK207" s="1040"/>
      <c r="BL207" s="1026"/>
      <c r="BM207" s="1039"/>
    </row>
    <row r="208" spans="2:65" s="1" customFormat="1" ht="24" customHeight="1" x14ac:dyDescent="0.2">
      <c r="B208" s="118"/>
      <c r="C208" s="119" t="s">
        <v>340</v>
      </c>
      <c r="D208" s="119" t="s">
        <v>231</v>
      </c>
      <c r="E208" s="120" t="s">
        <v>4406</v>
      </c>
      <c r="F208" s="121" t="s">
        <v>4407</v>
      </c>
      <c r="G208" s="122" t="s">
        <v>1035</v>
      </c>
      <c r="H208" s="123">
        <v>5671</v>
      </c>
      <c r="I208" s="124">
        <v>4.2</v>
      </c>
      <c r="J208" s="124">
        <f>ROUND(I208*H208,2)</f>
        <v>23818.2</v>
      </c>
      <c r="K208" s="121" t="s">
        <v>1</v>
      </c>
      <c r="L208" s="24"/>
      <c r="M208" s="125" t="s">
        <v>1</v>
      </c>
      <c r="N208" s="126" t="s">
        <v>32</v>
      </c>
      <c r="O208" s="127">
        <v>0</v>
      </c>
      <c r="P208" s="127">
        <f>O208*H208</f>
        <v>0</v>
      </c>
      <c r="Q208" s="127">
        <v>0</v>
      </c>
      <c r="R208" s="127">
        <f>Q208*H208</f>
        <v>0</v>
      </c>
      <c r="S208" s="127">
        <v>0</v>
      </c>
      <c r="T208" s="128">
        <f>S208*H208</f>
        <v>0</v>
      </c>
      <c r="W208" s="118"/>
      <c r="X208" s="119" t="s">
        <v>340</v>
      </c>
      <c r="Y208" s="119" t="s">
        <v>231</v>
      </c>
      <c r="Z208" s="120" t="s">
        <v>4406</v>
      </c>
      <c r="AA208" s="121" t="s">
        <v>4407</v>
      </c>
      <c r="AB208" s="122" t="s">
        <v>1035</v>
      </c>
      <c r="AC208" s="123">
        <v>5671</v>
      </c>
      <c r="AD208" s="124">
        <v>4.2</v>
      </c>
      <c r="AE208" s="200">
        <f>ROUND(AD208*AC208,2)</f>
        <v>23818.2</v>
      </c>
      <c r="AF208" s="248"/>
      <c r="AR208" s="129" t="s">
        <v>235</v>
      </c>
      <c r="AT208" s="129" t="s">
        <v>231</v>
      </c>
      <c r="AU208" s="129" t="s">
        <v>76</v>
      </c>
      <c r="AY208" s="13" t="s">
        <v>228</v>
      </c>
      <c r="BE208" s="130">
        <f>IF(N208="základná",J208,0)</f>
        <v>0</v>
      </c>
      <c r="BF208" s="130">
        <f>IF(N208="znížená",J208,0)</f>
        <v>23818.2</v>
      </c>
      <c r="BG208" s="130">
        <f>IF(N208="zákl. prenesená",J208,0)</f>
        <v>0</v>
      </c>
      <c r="BH208" s="130">
        <f>IF(N208="zníž. prenesená",J208,0)</f>
        <v>0</v>
      </c>
      <c r="BI208" s="130">
        <f>IF(N208="nulová",J208,0)</f>
        <v>0</v>
      </c>
      <c r="BJ208" s="13" t="s">
        <v>76</v>
      </c>
      <c r="BK208" s="130">
        <f>ROUND(I208*H208,2)</f>
        <v>23818.2</v>
      </c>
      <c r="BL208" s="13" t="s">
        <v>235</v>
      </c>
      <c r="BM208" s="129" t="s">
        <v>451</v>
      </c>
    </row>
    <row r="209" spans="2:65" s="1" customFormat="1" ht="16.5" customHeight="1" x14ac:dyDescent="0.2">
      <c r="B209" s="118"/>
      <c r="C209" s="119" t="s">
        <v>452</v>
      </c>
      <c r="D209" s="119" t="s">
        <v>231</v>
      </c>
      <c r="E209" s="120" t="s">
        <v>4408</v>
      </c>
      <c r="F209" s="121" t="s">
        <v>4409</v>
      </c>
      <c r="G209" s="122" t="s">
        <v>1035</v>
      </c>
      <c r="H209" s="123">
        <v>2020</v>
      </c>
      <c r="I209" s="124">
        <v>5.81</v>
      </c>
      <c r="J209" s="124">
        <f>ROUND(I209*H209,2)</f>
        <v>11736.2</v>
      </c>
      <c r="K209" s="121" t="s">
        <v>1</v>
      </c>
      <c r="L209" s="24"/>
      <c r="M209" s="125" t="s">
        <v>1</v>
      </c>
      <c r="N209" s="126" t="s">
        <v>32</v>
      </c>
      <c r="O209" s="127">
        <v>0</v>
      </c>
      <c r="P209" s="127">
        <f>O209*H209</f>
        <v>0</v>
      </c>
      <c r="Q209" s="127">
        <v>0</v>
      </c>
      <c r="R209" s="127">
        <f>Q209*H209</f>
        <v>0</v>
      </c>
      <c r="S209" s="127">
        <v>0</v>
      </c>
      <c r="T209" s="128">
        <f>S209*H209</f>
        <v>0</v>
      </c>
      <c r="W209" s="118"/>
      <c r="X209" s="119" t="s">
        <v>452</v>
      </c>
      <c r="Y209" s="119" t="s">
        <v>231</v>
      </c>
      <c r="Z209" s="120" t="s">
        <v>4408</v>
      </c>
      <c r="AA209" s="121" t="s">
        <v>4409</v>
      </c>
      <c r="AB209" s="122" t="s">
        <v>1035</v>
      </c>
      <c r="AC209" s="123">
        <v>2020</v>
      </c>
      <c r="AD209" s="124">
        <v>5.81</v>
      </c>
      <c r="AE209" s="200">
        <f>ROUND(AD209*AC209,2)</f>
        <v>11736.2</v>
      </c>
      <c r="AF209" s="248"/>
      <c r="AR209" s="129" t="s">
        <v>235</v>
      </c>
      <c r="AT209" s="129" t="s">
        <v>231</v>
      </c>
      <c r="AU209" s="129" t="s">
        <v>76</v>
      </c>
      <c r="AY209" s="13" t="s">
        <v>228</v>
      </c>
      <c r="BE209" s="130">
        <f>IF(N209="základná",J209,0)</f>
        <v>0</v>
      </c>
      <c r="BF209" s="130">
        <f>IF(N209="znížená",J209,0)</f>
        <v>11736.2</v>
      </c>
      <c r="BG209" s="130">
        <f>IF(N209="zákl. prenesená",J209,0)</f>
        <v>0</v>
      </c>
      <c r="BH209" s="130">
        <f>IF(N209="zníž. prenesená",J209,0)</f>
        <v>0</v>
      </c>
      <c r="BI209" s="130">
        <f>IF(N209="nulová",J209,0)</f>
        <v>0</v>
      </c>
      <c r="BJ209" s="13" t="s">
        <v>76</v>
      </c>
      <c r="BK209" s="130">
        <f>ROUND(I209*H209,2)</f>
        <v>11736.2</v>
      </c>
      <c r="BL209" s="13" t="s">
        <v>235</v>
      </c>
      <c r="BM209" s="129" t="s">
        <v>455</v>
      </c>
    </row>
    <row r="210" spans="2:65" s="1" customFormat="1" ht="16.5" customHeight="1" x14ac:dyDescent="0.2">
      <c r="B210" s="118"/>
      <c r="C210" s="119" t="s">
        <v>344</v>
      </c>
      <c r="D210" s="119" t="s">
        <v>231</v>
      </c>
      <c r="E210" s="120" t="s">
        <v>4410</v>
      </c>
      <c r="F210" s="121" t="s">
        <v>4411</v>
      </c>
      <c r="G210" s="122" t="s">
        <v>1194</v>
      </c>
      <c r="H210" s="123">
        <v>100</v>
      </c>
      <c r="I210" s="124">
        <v>6.73</v>
      </c>
      <c r="J210" s="124">
        <f>ROUND(I210*H210,2)</f>
        <v>673</v>
      </c>
      <c r="K210" s="121" t="s">
        <v>1</v>
      </c>
      <c r="L210" s="24"/>
      <c r="M210" s="140" t="s">
        <v>1</v>
      </c>
      <c r="N210" s="141" t="s">
        <v>32</v>
      </c>
      <c r="O210" s="142">
        <v>0</v>
      </c>
      <c r="P210" s="142">
        <f>O210*H210</f>
        <v>0</v>
      </c>
      <c r="Q210" s="142">
        <v>0</v>
      </c>
      <c r="R210" s="142">
        <f>Q210*H210</f>
        <v>0</v>
      </c>
      <c r="S210" s="142">
        <v>0</v>
      </c>
      <c r="T210" s="143">
        <f>S210*H210</f>
        <v>0</v>
      </c>
      <c r="W210" s="118"/>
      <c r="X210" s="119" t="s">
        <v>344</v>
      </c>
      <c r="Y210" s="119" t="s">
        <v>231</v>
      </c>
      <c r="Z210" s="120" t="s">
        <v>4410</v>
      </c>
      <c r="AA210" s="121" t="s">
        <v>4411</v>
      </c>
      <c r="AB210" s="122" t="s">
        <v>1194</v>
      </c>
      <c r="AC210" s="123">
        <v>100</v>
      </c>
      <c r="AD210" s="124">
        <v>6.73</v>
      </c>
      <c r="AE210" s="200">
        <f>ROUND(AD210*AC210,2)</f>
        <v>673</v>
      </c>
      <c r="AF210" s="248"/>
      <c r="AR210" s="129" t="s">
        <v>235</v>
      </c>
      <c r="AT210" s="129" t="s">
        <v>231</v>
      </c>
      <c r="AU210" s="129" t="s">
        <v>76</v>
      </c>
      <c r="AY210" s="13" t="s">
        <v>228</v>
      </c>
      <c r="BE210" s="130">
        <f>IF(N210="základná",J210,0)</f>
        <v>0</v>
      </c>
      <c r="BF210" s="130">
        <f>IF(N210="znížená",J210,0)</f>
        <v>673</v>
      </c>
      <c r="BG210" s="130">
        <f>IF(N210="zákl. prenesená",J210,0)</f>
        <v>0</v>
      </c>
      <c r="BH210" s="130">
        <f>IF(N210="zníž. prenesená",J210,0)</f>
        <v>0</v>
      </c>
      <c r="BI210" s="130">
        <f>IF(N210="nulová",J210,0)</f>
        <v>0</v>
      </c>
      <c r="BJ210" s="13" t="s">
        <v>76</v>
      </c>
      <c r="BK210" s="130">
        <f>ROUND(I210*H210,2)</f>
        <v>673</v>
      </c>
      <c r="BL210" s="13" t="s">
        <v>235</v>
      </c>
      <c r="BM210" s="129" t="s">
        <v>458</v>
      </c>
    </row>
    <row r="211" spans="2:65" s="1" customFormat="1" ht="7.05" customHeight="1" x14ac:dyDescent="0.2">
      <c r="B211" s="33"/>
      <c r="C211" s="34"/>
      <c r="D211" s="34"/>
      <c r="E211" s="34"/>
      <c r="F211" s="34"/>
      <c r="G211" s="34"/>
      <c r="H211" s="34"/>
      <c r="I211" s="34"/>
      <c r="J211" s="34"/>
      <c r="K211" s="34"/>
      <c r="L211" s="24"/>
      <c r="W211" s="33"/>
      <c r="X211" s="34"/>
      <c r="Y211" s="34"/>
      <c r="Z211" s="34"/>
      <c r="AA211" s="34"/>
      <c r="AB211" s="34"/>
      <c r="AC211" s="34"/>
      <c r="AD211" s="34"/>
      <c r="AE211" s="250"/>
    </row>
  </sheetData>
  <autoFilter ref="C130:K210" xr:uid="{00000000-0009-0000-0000-00001D000000}"/>
  <mergeCells count="29">
    <mergeCell ref="Z120:AE120"/>
    <mergeCell ref="Z121:AC121"/>
    <mergeCell ref="Z123:AC123"/>
    <mergeCell ref="C152:J152"/>
    <mergeCell ref="X82:AE82"/>
    <mergeCell ref="Z84:AE84"/>
    <mergeCell ref="Z85:AC85"/>
    <mergeCell ref="Z87:AC87"/>
    <mergeCell ref="X118:AE118"/>
    <mergeCell ref="E87:H87"/>
    <mergeCell ref="E121:H121"/>
    <mergeCell ref="E123:H123"/>
    <mergeCell ref="C118:J118"/>
    <mergeCell ref="E120:J120"/>
    <mergeCell ref="X4:AE4"/>
    <mergeCell ref="AA6:AE7"/>
    <mergeCell ref="Z9:AC9"/>
    <mergeCell ref="Z18:AC18"/>
    <mergeCell ref="Z27:AC27"/>
    <mergeCell ref="C207:J207"/>
    <mergeCell ref="L2:V2"/>
    <mergeCell ref="E9:H9"/>
    <mergeCell ref="E18:H18"/>
    <mergeCell ref="E27:H27"/>
    <mergeCell ref="E85:H85"/>
    <mergeCell ref="C4:J4"/>
    <mergeCell ref="F6:J7"/>
    <mergeCell ref="C82:J82"/>
    <mergeCell ref="E84:J84"/>
  </mergeCells>
  <phoneticPr fontId="0" type="noConversion"/>
  <pageMargins left="0.39374999999999999" right="0.39374999999999999" top="0.39374999999999999" bottom="0.39374999999999999" header="0" footer="0"/>
  <pageSetup paperSize="9" scale="87" fitToHeight="100" orientation="portrait" blackAndWhite="1" r:id="rId1"/>
  <headerFooter>
    <oddFooter>&amp;CStrana &amp;P z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C000"/>
    <pageSetUpPr fitToPage="1"/>
  </sheetPr>
  <dimension ref="A1:BM244"/>
  <sheetViews>
    <sheetView showGridLines="0" topLeftCell="J82" zoomScale="80" zoomScaleNormal="80" workbookViewId="0">
      <selection activeCell="AE97" activeCellId="1" sqref="AE105 AE97"/>
    </sheetView>
  </sheetViews>
  <sheetFormatPr defaultColWidth="8.7109375" defaultRowHeight="10.199999999999999" x14ac:dyDescent="0.2"/>
  <cols>
    <col min="1" max="1" width="8.28515625" customWidth="1"/>
    <col min="2" max="2" width="1.7109375" customWidth="1"/>
    <col min="3" max="4" width="4.28515625" customWidth="1"/>
    <col min="5" max="5" width="17.28515625" customWidth="1"/>
    <col min="6" max="6" width="50.7109375" customWidth="1"/>
    <col min="7" max="7" width="7" customWidth="1"/>
    <col min="8" max="8" width="11.42578125" customWidth="1"/>
    <col min="9" max="10" width="20.28515625" customWidth="1"/>
    <col min="11" max="11" width="20.28515625" hidden="1" customWidth="1"/>
    <col min="12" max="12" width="9.28515625" customWidth="1"/>
    <col min="13" max="13" width="10.7109375" hidden="1" customWidth="1"/>
    <col min="14" max="14" width="9.28515625" hidden="1"/>
    <col min="15" max="20" width="14.28515625" hidden="1" customWidth="1"/>
    <col min="21" max="21" width="16.28515625" hidden="1" customWidth="1"/>
    <col min="22" max="22" width="12.28515625" customWidth="1"/>
    <col min="23" max="23" width="1.7109375" style="402" customWidth="1"/>
    <col min="24" max="24" width="5.42578125" style="402" customWidth="1"/>
    <col min="25" max="25" width="4.28515625" style="402" customWidth="1"/>
    <col min="26" max="26" width="17.28515625" style="402" customWidth="1"/>
    <col min="27" max="27" width="50.7109375" style="402" customWidth="1"/>
    <col min="28" max="28" width="7" style="402" customWidth="1"/>
    <col min="29" max="29" width="11.42578125" style="402" customWidth="1"/>
    <col min="30" max="31" width="20.28515625" style="402" customWidth="1"/>
    <col min="32" max="32" width="14.7109375" customWidth="1"/>
    <col min="44" max="65" width="9.28515625" hidden="1"/>
  </cols>
  <sheetData>
    <row r="1" spans="1:46" x14ac:dyDescent="0.2">
      <c r="A1" s="73"/>
    </row>
    <row r="2" spans="1:46" ht="37.049999999999997" customHeight="1" x14ac:dyDescent="0.2">
      <c r="L2" s="1227" t="s">
        <v>5</v>
      </c>
      <c r="M2" s="1225"/>
      <c r="N2" s="1225"/>
      <c r="O2" s="1225"/>
      <c r="P2" s="1225"/>
      <c r="Q2" s="1225"/>
      <c r="R2" s="1225"/>
      <c r="S2" s="1225"/>
      <c r="T2" s="1225"/>
      <c r="U2" s="1225"/>
      <c r="V2" s="1225"/>
      <c r="AT2" s="13" t="s">
        <v>150</v>
      </c>
    </row>
    <row r="3" spans="1:46" ht="7.05" customHeight="1" x14ac:dyDescent="0.2">
      <c r="B3" s="14"/>
      <c r="C3" s="15"/>
      <c r="D3" s="15"/>
      <c r="E3" s="15"/>
      <c r="F3" s="15"/>
      <c r="G3" s="15"/>
      <c r="H3" s="15"/>
      <c r="I3" s="15"/>
      <c r="J3" s="15"/>
      <c r="K3" s="15"/>
      <c r="L3" s="16"/>
      <c r="W3" s="152"/>
      <c r="X3" s="153"/>
      <c r="Y3" s="153"/>
      <c r="Z3" s="153"/>
      <c r="AA3" s="153"/>
      <c r="AB3" s="153"/>
      <c r="AC3" s="153"/>
      <c r="AD3" s="153"/>
      <c r="AE3" s="154"/>
      <c r="AT3" s="13" t="s">
        <v>58</v>
      </c>
    </row>
    <row r="4" spans="1:46" ht="25.05" customHeight="1" x14ac:dyDescent="0.2">
      <c r="B4" s="16"/>
      <c r="D4" s="1165" t="s">
        <v>185</v>
      </c>
      <c r="E4" s="1165"/>
      <c r="F4" s="1165"/>
      <c r="G4" s="1165"/>
      <c r="H4" s="1165"/>
      <c r="I4" s="1165"/>
      <c r="J4" s="1165"/>
      <c r="L4" s="16"/>
      <c r="M4" s="74" t="s">
        <v>9</v>
      </c>
      <c r="W4" s="155"/>
      <c r="X4" s="156"/>
      <c r="Y4" s="1237" t="s">
        <v>185</v>
      </c>
      <c r="Z4" s="1237"/>
      <c r="AA4" s="1237"/>
      <c r="AB4" s="1237"/>
      <c r="AC4" s="1237"/>
      <c r="AD4" s="1237"/>
      <c r="AE4" s="1238"/>
      <c r="AT4" s="13" t="s">
        <v>3</v>
      </c>
    </row>
    <row r="5" spans="1:46" ht="7.05" customHeight="1" x14ac:dyDescent="0.2">
      <c r="B5" s="16"/>
      <c r="L5" s="16"/>
      <c r="W5" s="155"/>
      <c r="X5" s="156"/>
      <c r="Y5" s="156"/>
      <c r="Z5" s="156"/>
      <c r="AA5" s="156"/>
      <c r="AB5" s="156"/>
      <c r="AC5" s="156"/>
      <c r="AD5" s="156"/>
      <c r="AE5" s="157"/>
    </row>
    <row r="6" spans="1:46" ht="12" customHeight="1" x14ac:dyDescent="0.2">
      <c r="B6" s="16"/>
      <c r="D6" s="548" t="s">
        <v>12</v>
      </c>
      <c r="F6" s="1254" t="s">
        <v>6176</v>
      </c>
      <c r="G6" s="1254"/>
      <c r="H6" s="1254"/>
      <c r="I6" s="1254"/>
      <c r="J6" s="1254"/>
      <c r="L6" s="16"/>
      <c r="W6" s="155"/>
      <c r="X6" s="156"/>
      <c r="Y6" s="541" t="s">
        <v>12</v>
      </c>
      <c r="Z6" s="156"/>
      <c r="AA6" s="1239" t="s">
        <v>6176</v>
      </c>
      <c r="AB6" s="1239"/>
      <c r="AC6" s="1239"/>
      <c r="AD6" s="1239"/>
      <c r="AE6" s="1240"/>
    </row>
    <row r="7" spans="1:46" ht="22.95" customHeight="1" x14ac:dyDescent="0.2">
      <c r="B7" s="16"/>
      <c r="D7" s="527"/>
      <c r="E7" s="531"/>
      <c r="F7" s="1254"/>
      <c r="G7" s="1254"/>
      <c r="H7" s="1254"/>
      <c r="I7" s="1254"/>
      <c r="J7" s="1254"/>
      <c r="L7" s="16"/>
      <c r="W7" s="155"/>
      <c r="X7" s="156"/>
      <c r="Y7" s="539"/>
      <c r="Z7" s="245"/>
      <c r="AA7" s="1239"/>
      <c r="AB7" s="1239"/>
      <c r="AC7" s="1239"/>
      <c r="AD7" s="1239"/>
      <c r="AE7" s="1240"/>
    </row>
    <row r="8" spans="1:46" s="1" customFormat="1" ht="12" customHeight="1" x14ac:dyDescent="0.2">
      <c r="B8" s="24"/>
      <c r="D8" s="549" t="s">
        <v>186</v>
      </c>
      <c r="F8" s="532" t="s">
        <v>4412</v>
      </c>
      <c r="L8" s="24"/>
      <c r="W8" s="158"/>
      <c r="X8" s="404"/>
      <c r="Y8" s="550" t="s">
        <v>186</v>
      </c>
      <c r="Z8" s="557"/>
      <c r="AA8" s="555" t="s">
        <v>4412</v>
      </c>
      <c r="AB8" s="557"/>
      <c r="AC8" s="557"/>
      <c r="AD8" s="557"/>
      <c r="AE8" s="159"/>
    </row>
    <row r="9" spans="1:46" s="1" customFormat="1" ht="37.049999999999997" customHeight="1" x14ac:dyDescent="0.2">
      <c r="B9" s="24"/>
      <c r="D9" s="521"/>
      <c r="E9" s="1251"/>
      <c r="F9" s="1252"/>
      <c r="G9" s="1252"/>
      <c r="H9" s="1252"/>
      <c r="L9" s="24"/>
      <c r="W9" s="158"/>
      <c r="X9" s="404"/>
      <c r="Y9" s="557"/>
      <c r="Z9" s="1245"/>
      <c r="AA9" s="1246"/>
      <c r="AB9" s="1246"/>
      <c r="AC9" s="1246"/>
      <c r="AD9" s="557"/>
      <c r="AE9" s="159"/>
    </row>
    <row r="10" spans="1:46" s="1" customFormat="1" x14ac:dyDescent="0.2">
      <c r="B10" s="24"/>
      <c r="D10" s="521"/>
      <c r="L10" s="24"/>
      <c r="W10" s="158"/>
      <c r="X10" s="404"/>
      <c r="Y10" s="557"/>
      <c r="Z10" s="557"/>
      <c r="AA10" s="557"/>
      <c r="AB10" s="557"/>
      <c r="AC10" s="557"/>
      <c r="AD10" s="557"/>
      <c r="AE10" s="159"/>
    </row>
    <row r="11" spans="1:46" s="1" customFormat="1" ht="12" customHeight="1" x14ac:dyDescent="0.2">
      <c r="B11" s="24"/>
      <c r="D11" s="528" t="s">
        <v>13</v>
      </c>
      <c r="F11" s="19" t="s">
        <v>1</v>
      </c>
      <c r="I11" s="528" t="s">
        <v>14</v>
      </c>
      <c r="J11" s="19" t="s">
        <v>1</v>
      </c>
      <c r="L11" s="24"/>
      <c r="W11" s="158"/>
      <c r="X11" s="404"/>
      <c r="Y11" s="538" t="s">
        <v>13</v>
      </c>
      <c r="Z11" s="557"/>
      <c r="AA11" s="558" t="s">
        <v>1</v>
      </c>
      <c r="AB11" s="557"/>
      <c r="AC11" s="557"/>
      <c r="AD11" s="538" t="s">
        <v>14</v>
      </c>
      <c r="AE11" s="161" t="s">
        <v>1</v>
      </c>
    </row>
    <row r="12" spans="1:46" s="1" customFormat="1" ht="12" customHeight="1" x14ac:dyDescent="0.2">
      <c r="B12" s="24"/>
      <c r="D12" s="528" t="s">
        <v>15</v>
      </c>
      <c r="F12" s="520" t="s">
        <v>6173</v>
      </c>
      <c r="I12" s="528" t="s">
        <v>17</v>
      </c>
      <c r="J12" s="39"/>
      <c r="L12" s="24"/>
      <c r="W12" s="158"/>
      <c r="X12" s="404"/>
      <c r="Y12" s="538" t="s">
        <v>15</v>
      </c>
      <c r="Z12" s="557"/>
      <c r="AA12" s="558" t="s">
        <v>6173</v>
      </c>
      <c r="AB12" s="557"/>
      <c r="AC12" s="557"/>
      <c r="AD12" s="538" t="s">
        <v>17</v>
      </c>
      <c r="AE12" s="162"/>
    </row>
    <row r="13" spans="1:46" s="1" customFormat="1" ht="10.95" customHeight="1" x14ac:dyDescent="0.2">
      <c r="B13" s="24"/>
      <c r="D13" s="521"/>
      <c r="F13" s="521"/>
      <c r="I13" s="521"/>
      <c r="L13" s="24"/>
      <c r="W13" s="158"/>
      <c r="X13" s="404"/>
      <c r="Y13" s="557"/>
      <c r="Z13" s="557"/>
      <c r="AA13" s="557"/>
      <c r="AB13" s="557"/>
      <c r="AC13" s="557"/>
      <c r="AD13" s="557"/>
      <c r="AE13" s="159"/>
    </row>
    <row r="14" spans="1:46" s="1" customFormat="1" ht="12" customHeight="1" x14ac:dyDescent="0.2">
      <c r="B14" s="24"/>
      <c r="D14" s="528" t="s">
        <v>18</v>
      </c>
      <c r="F14" s="529" t="s">
        <v>6175</v>
      </c>
      <c r="I14" s="528" t="s">
        <v>19</v>
      </c>
      <c r="J14" s="19" t="str">
        <f>IF('Rekapitulácia stavby'!AN10="","",'Rekapitulácia stavby'!AN10)</f>
        <v/>
      </c>
      <c r="L14" s="24"/>
      <c r="W14" s="158"/>
      <c r="X14" s="404"/>
      <c r="Y14" s="538" t="s">
        <v>18</v>
      </c>
      <c r="Z14" s="557"/>
      <c r="AA14" s="576" t="s">
        <v>6175</v>
      </c>
      <c r="AB14" s="557"/>
      <c r="AC14" s="557"/>
      <c r="AD14" s="538" t="s">
        <v>19</v>
      </c>
      <c r="AE14" s="161" t="str">
        <f>IF('Rekapitulácia stavby'!BI10="","",'Rekapitulácia stavby'!BI10)</f>
        <v/>
      </c>
    </row>
    <row r="15" spans="1:46" s="1" customFormat="1" ht="18" customHeight="1" x14ac:dyDescent="0.2">
      <c r="B15" s="24"/>
      <c r="D15" s="521"/>
      <c r="E15" s="19" t="str">
        <f>IF('Rekapitulácia stavby'!E11="","",'Rekapitulácia stavby'!E11)</f>
        <v/>
      </c>
      <c r="F15" s="521"/>
      <c r="I15" s="528" t="s">
        <v>20</v>
      </c>
      <c r="J15" s="19" t="str">
        <f>IF('Rekapitulácia stavby'!AN11="","",'Rekapitulácia stavby'!AN11)</f>
        <v/>
      </c>
      <c r="L15" s="24"/>
      <c r="W15" s="158"/>
      <c r="X15" s="404"/>
      <c r="Y15" s="557"/>
      <c r="Z15" s="558" t="str">
        <f>IF('Rekapitulácia stavby'!Z11="","",'Rekapitulácia stavby'!Z11)</f>
        <v/>
      </c>
      <c r="AA15" s="557"/>
      <c r="AB15" s="557"/>
      <c r="AC15" s="557"/>
      <c r="AD15" s="538" t="s">
        <v>20</v>
      </c>
      <c r="AE15" s="161" t="str">
        <f>IF('Rekapitulácia stavby'!BI11="","",'Rekapitulácia stavby'!BI11)</f>
        <v/>
      </c>
    </row>
    <row r="16" spans="1:46" s="1" customFormat="1" ht="7.05" customHeight="1" x14ac:dyDescent="0.2">
      <c r="B16" s="24"/>
      <c r="D16" s="521"/>
      <c r="F16" s="521"/>
      <c r="I16" s="521"/>
      <c r="L16" s="24"/>
      <c r="W16" s="158"/>
      <c r="X16" s="404"/>
      <c r="Y16" s="557"/>
      <c r="Z16" s="557"/>
      <c r="AA16" s="557"/>
      <c r="AB16" s="557"/>
      <c r="AC16" s="557"/>
      <c r="AD16" s="557"/>
      <c r="AE16" s="159"/>
    </row>
    <row r="17" spans="2:31" s="1" customFormat="1" ht="12" customHeight="1" x14ac:dyDescent="0.2">
      <c r="B17" s="24"/>
      <c r="D17" s="528" t="s">
        <v>21</v>
      </c>
      <c r="F17" s="529" t="s">
        <v>5202</v>
      </c>
      <c r="I17" s="528" t="s">
        <v>19</v>
      </c>
      <c r="J17" s="19"/>
      <c r="L17" s="24"/>
      <c r="W17" s="158"/>
      <c r="X17" s="404"/>
      <c r="Y17" s="538" t="s">
        <v>21</v>
      </c>
      <c r="Z17" s="557"/>
      <c r="AA17" s="576" t="s">
        <v>5202</v>
      </c>
      <c r="AB17" s="557"/>
      <c r="AC17" s="557"/>
      <c r="AD17" s="538" t="s">
        <v>19</v>
      </c>
      <c r="AE17" s="161"/>
    </row>
    <row r="18" spans="2:31" s="1" customFormat="1" ht="18" customHeight="1" x14ac:dyDescent="0.2">
      <c r="B18" s="24"/>
      <c r="D18" s="521"/>
      <c r="E18" s="1161"/>
      <c r="F18" s="1161"/>
      <c r="G18" s="1161"/>
      <c r="H18" s="1161"/>
      <c r="I18" s="528" t="s">
        <v>20</v>
      </c>
      <c r="J18" s="19" t="str">
        <f>'Rekapitulácia stavby'!AN14</f>
        <v/>
      </c>
      <c r="L18" s="24"/>
      <c r="W18" s="158"/>
      <c r="X18" s="404"/>
      <c r="Y18" s="557"/>
      <c r="Z18" s="1247"/>
      <c r="AA18" s="1247"/>
      <c r="AB18" s="1247"/>
      <c r="AC18" s="1247"/>
      <c r="AD18" s="538" t="s">
        <v>20</v>
      </c>
      <c r="AE18" s="161"/>
    </row>
    <row r="19" spans="2:31" s="1" customFormat="1" ht="7.05" customHeight="1" x14ac:dyDescent="0.2">
      <c r="B19" s="24"/>
      <c r="D19" s="521"/>
      <c r="I19" s="521"/>
      <c r="L19" s="24"/>
      <c r="W19" s="158"/>
      <c r="X19" s="404"/>
      <c r="Y19" s="557"/>
      <c r="Z19" s="557"/>
      <c r="AA19" s="557"/>
      <c r="AB19" s="557"/>
      <c r="AC19" s="557"/>
      <c r="AD19" s="557"/>
      <c r="AE19" s="159"/>
    </row>
    <row r="20" spans="2:31" s="1" customFormat="1" ht="12" customHeight="1" x14ac:dyDescent="0.2">
      <c r="B20" s="24"/>
      <c r="D20" s="528" t="s">
        <v>22</v>
      </c>
      <c r="I20" s="528" t="s">
        <v>19</v>
      </c>
      <c r="J20" s="19" t="str">
        <f>IF('Rekapitulácia stavby'!AN16="","",'Rekapitulácia stavby'!AN16)</f>
        <v/>
      </c>
      <c r="L20" s="24"/>
      <c r="W20" s="158"/>
      <c r="X20" s="404"/>
      <c r="Y20" s="538" t="s">
        <v>22</v>
      </c>
      <c r="Z20" s="557"/>
      <c r="AA20" s="557"/>
      <c r="AB20" s="557"/>
      <c r="AC20" s="557"/>
      <c r="AD20" s="538" t="s">
        <v>19</v>
      </c>
      <c r="AE20" s="161" t="str">
        <f>IF('Rekapitulácia stavby'!BI16="","",'Rekapitulácia stavby'!BI16)</f>
        <v/>
      </c>
    </row>
    <row r="21" spans="2:31" s="1" customFormat="1" ht="18" customHeight="1" x14ac:dyDescent="0.2">
      <c r="B21" s="24"/>
      <c r="D21" s="521"/>
      <c r="E21" s="19" t="str">
        <f>IF('Rekapitulácia stavby'!E17="","",'Rekapitulácia stavby'!E17)</f>
        <v xml:space="preserve"> </v>
      </c>
      <c r="I21" s="528" t="s">
        <v>20</v>
      </c>
      <c r="J21" s="19" t="str">
        <f>IF('Rekapitulácia stavby'!AN17="","",'Rekapitulácia stavby'!AN17)</f>
        <v/>
      </c>
      <c r="L21" s="24"/>
      <c r="W21" s="158"/>
      <c r="X21" s="404"/>
      <c r="Y21" s="557"/>
      <c r="Z21" s="558" t="str">
        <f>IF('Rekapitulácia stavby'!Z17="","",'Rekapitulácia stavby'!Z17)</f>
        <v/>
      </c>
      <c r="AA21" s="557"/>
      <c r="AB21" s="557"/>
      <c r="AC21" s="557"/>
      <c r="AD21" s="538" t="s">
        <v>20</v>
      </c>
      <c r="AE21" s="161" t="str">
        <f>IF('Rekapitulácia stavby'!BI17="","",'Rekapitulácia stavby'!BI17)</f>
        <v/>
      </c>
    </row>
    <row r="22" spans="2:31" s="1" customFormat="1" ht="7.05" customHeight="1" x14ac:dyDescent="0.2">
      <c r="B22" s="24"/>
      <c r="D22" s="521"/>
      <c r="I22" s="521"/>
      <c r="L22" s="24"/>
      <c r="W22" s="158"/>
      <c r="X22" s="404"/>
      <c r="Y22" s="557"/>
      <c r="Z22" s="557"/>
      <c r="AA22" s="557"/>
      <c r="AB22" s="557"/>
      <c r="AC22" s="557"/>
      <c r="AD22" s="557"/>
      <c r="AE22" s="159"/>
    </row>
    <row r="23" spans="2:31" s="1" customFormat="1" ht="12" customHeight="1" x14ac:dyDescent="0.2">
      <c r="B23" s="24"/>
      <c r="D23" s="528" t="s">
        <v>24</v>
      </c>
      <c r="I23" s="528" t="s">
        <v>19</v>
      </c>
      <c r="J23" s="19" t="str">
        <f>IF('Rekapitulácia stavby'!AN19="","",'Rekapitulácia stavby'!AN19)</f>
        <v/>
      </c>
      <c r="L23" s="24"/>
      <c r="W23" s="158"/>
      <c r="X23" s="404"/>
      <c r="Y23" s="538" t="s">
        <v>24</v>
      </c>
      <c r="Z23" s="557"/>
      <c r="AA23" s="557"/>
      <c r="AB23" s="557"/>
      <c r="AC23" s="557"/>
      <c r="AD23" s="538" t="s">
        <v>19</v>
      </c>
      <c r="AE23" s="161" t="str">
        <f>IF('Rekapitulácia stavby'!BI19="","",'Rekapitulácia stavby'!BI19)</f>
        <v/>
      </c>
    </row>
    <row r="24" spans="2:31" s="1" customFormat="1" ht="18" customHeight="1" x14ac:dyDescent="0.2">
      <c r="B24" s="24"/>
      <c r="D24" s="521"/>
      <c r="E24" s="19" t="str">
        <f>IF('Rekapitulácia stavby'!E20="","",'Rekapitulácia stavby'!E20)</f>
        <v xml:space="preserve"> </v>
      </c>
      <c r="I24" s="528" t="s">
        <v>20</v>
      </c>
      <c r="J24" s="19" t="str">
        <f>IF('Rekapitulácia stavby'!AN20="","",'Rekapitulácia stavby'!AN20)</f>
        <v/>
      </c>
      <c r="L24" s="24"/>
      <c r="W24" s="158"/>
      <c r="X24" s="404"/>
      <c r="Y24" s="557"/>
      <c r="Z24" s="558" t="str">
        <f>IF('Rekapitulácia stavby'!Z20="","",'Rekapitulácia stavby'!Z20)</f>
        <v/>
      </c>
      <c r="AA24" s="557"/>
      <c r="AB24" s="557"/>
      <c r="AC24" s="557"/>
      <c r="AD24" s="558" t="s">
        <v>20</v>
      </c>
      <c r="AE24" s="161" t="str">
        <f>IF('Rekapitulácia stavby'!BI20="","",'Rekapitulácia stavby'!BI20)</f>
        <v/>
      </c>
    </row>
    <row r="25" spans="2:31" s="1" customFormat="1" ht="7.05" customHeight="1" x14ac:dyDescent="0.2">
      <c r="B25" s="24"/>
      <c r="D25" s="521"/>
      <c r="L25" s="24"/>
      <c r="W25" s="158"/>
      <c r="X25" s="404"/>
      <c r="Y25" s="557"/>
      <c r="Z25" s="557"/>
      <c r="AA25" s="557"/>
      <c r="AB25" s="557"/>
      <c r="AC25" s="557"/>
      <c r="AD25" s="557"/>
      <c r="AE25" s="159"/>
    </row>
    <row r="26" spans="2:31" s="1" customFormat="1" ht="12" customHeight="1" x14ac:dyDescent="0.2">
      <c r="B26" s="24"/>
      <c r="D26" s="528" t="s">
        <v>25</v>
      </c>
      <c r="L26" s="24"/>
      <c r="W26" s="158"/>
      <c r="X26" s="404"/>
      <c r="Y26" s="559" t="s">
        <v>25</v>
      </c>
      <c r="Z26" s="557"/>
      <c r="AA26" s="557"/>
      <c r="AB26" s="557"/>
      <c r="AC26" s="557"/>
      <c r="AD26" s="557"/>
      <c r="AE26" s="159"/>
    </row>
    <row r="27" spans="2:31" s="7" customFormat="1" ht="16.5" customHeight="1" x14ac:dyDescent="0.2">
      <c r="B27" s="75"/>
      <c r="E27" s="1228" t="s">
        <v>1</v>
      </c>
      <c r="F27" s="1228"/>
      <c r="G27" s="1228"/>
      <c r="H27" s="1228"/>
      <c r="L27" s="75"/>
      <c r="W27" s="163"/>
      <c r="X27" s="164"/>
      <c r="Y27" s="164"/>
      <c r="Z27" s="1248" t="s">
        <v>1</v>
      </c>
      <c r="AA27" s="1248"/>
      <c r="AB27" s="1248"/>
      <c r="AC27" s="1248"/>
      <c r="AD27" s="164"/>
      <c r="AE27" s="165"/>
    </row>
    <row r="28" spans="2:31" s="1" customFormat="1" ht="7.05" customHeight="1" x14ac:dyDescent="0.2">
      <c r="B28" s="24"/>
      <c r="L28" s="24"/>
      <c r="W28" s="158"/>
      <c r="X28" s="404"/>
      <c r="Y28" s="557"/>
      <c r="Z28" s="557"/>
      <c r="AA28" s="557"/>
      <c r="AB28" s="557"/>
      <c r="AC28" s="557"/>
      <c r="AD28" s="557"/>
      <c r="AE28" s="159"/>
    </row>
    <row r="29" spans="2:31" s="1" customFormat="1" ht="7.05" customHeight="1" x14ac:dyDescent="0.2">
      <c r="B29" s="24"/>
      <c r="D29" s="40"/>
      <c r="E29" s="40"/>
      <c r="F29" s="40"/>
      <c r="G29" s="40"/>
      <c r="H29" s="40"/>
      <c r="I29" s="40"/>
      <c r="J29" s="40"/>
      <c r="K29" s="40"/>
      <c r="L29" s="24"/>
      <c r="W29" s="158"/>
      <c r="X29" s="404"/>
      <c r="Y29" s="40"/>
      <c r="Z29" s="40"/>
      <c r="AA29" s="40"/>
      <c r="AB29" s="40"/>
      <c r="AC29" s="40"/>
      <c r="AD29" s="40"/>
      <c r="AE29" s="166"/>
    </row>
    <row r="30" spans="2:31" s="1" customFormat="1" ht="25.2" customHeight="1" x14ac:dyDescent="0.2">
      <c r="B30" s="24"/>
      <c r="D30" s="76" t="s">
        <v>26</v>
      </c>
      <c r="J30" s="53">
        <f>ROUND(J130, 2)</f>
        <v>21649.18</v>
      </c>
      <c r="L30" s="24"/>
      <c r="W30" s="158"/>
      <c r="X30" s="404"/>
      <c r="Y30" s="167" t="s">
        <v>26</v>
      </c>
      <c r="Z30" s="557"/>
      <c r="AA30" s="557"/>
      <c r="AB30" s="557"/>
      <c r="AC30" s="557"/>
      <c r="AD30" s="557"/>
      <c r="AE30" s="168">
        <f>ROUND(AE130, 2)</f>
        <v>43891.27</v>
      </c>
    </row>
    <row r="31" spans="2:31" s="1" customFormat="1" ht="7.05" customHeight="1" x14ac:dyDescent="0.2">
      <c r="B31" s="24"/>
      <c r="D31" s="40"/>
      <c r="E31" s="40"/>
      <c r="F31" s="40"/>
      <c r="G31" s="40"/>
      <c r="H31" s="40"/>
      <c r="I31" s="40"/>
      <c r="J31" s="40"/>
      <c r="K31" s="40"/>
      <c r="L31" s="24"/>
      <c r="W31" s="158"/>
      <c r="X31" s="404"/>
      <c r="Y31" s="40"/>
      <c r="Z31" s="40"/>
      <c r="AA31" s="40"/>
      <c r="AB31" s="40"/>
      <c r="AC31" s="40"/>
      <c r="AD31" s="40"/>
      <c r="AE31" s="166"/>
    </row>
    <row r="32" spans="2:31" s="1" customFormat="1" ht="14.55" customHeight="1" x14ac:dyDescent="0.2">
      <c r="B32" s="24"/>
      <c r="D32" s="521"/>
      <c r="E32" s="521"/>
      <c r="F32" s="534" t="s">
        <v>28</v>
      </c>
      <c r="G32" s="521"/>
      <c r="H32" s="521"/>
      <c r="I32" s="534" t="s">
        <v>27</v>
      </c>
      <c r="J32" s="534" t="s">
        <v>29</v>
      </c>
      <c r="L32" s="24"/>
      <c r="W32" s="158"/>
      <c r="X32" s="404"/>
      <c r="Y32" s="557"/>
      <c r="Z32" s="557"/>
      <c r="AA32" s="542" t="s">
        <v>28</v>
      </c>
      <c r="AB32" s="557"/>
      <c r="AC32" s="557"/>
      <c r="AD32" s="542" t="s">
        <v>27</v>
      </c>
      <c r="AE32" s="543" t="s">
        <v>29</v>
      </c>
    </row>
    <row r="33" spans="2:31" s="1" customFormat="1" ht="14.55" customHeight="1" x14ac:dyDescent="0.2">
      <c r="B33" s="24"/>
      <c r="D33" s="13" t="s">
        <v>30</v>
      </c>
      <c r="E33" s="528" t="s">
        <v>31</v>
      </c>
      <c r="F33" s="398">
        <f>ROUND((SUM(BE130:BE242)),  2)</f>
        <v>0</v>
      </c>
      <c r="G33" s="521"/>
      <c r="H33" s="521"/>
      <c r="I33" s="535">
        <v>0.2</v>
      </c>
      <c r="J33" s="398">
        <f>ROUND(((SUM(BE130:BE242))*I33),  2)</f>
        <v>0</v>
      </c>
      <c r="L33" s="24"/>
      <c r="W33" s="158"/>
      <c r="X33" s="404"/>
      <c r="Y33" s="544" t="s">
        <v>30</v>
      </c>
      <c r="Z33" s="538" t="s">
        <v>31</v>
      </c>
      <c r="AA33" s="545">
        <f>ROUND((SUM(BZ130:BZ242)),  2)</f>
        <v>0</v>
      </c>
      <c r="AB33" s="557"/>
      <c r="AC33" s="557"/>
      <c r="AD33" s="546">
        <v>0.2</v>
      </c>
      <c r="AE33" s="547">
        <f>ROUND(((SUM(BZ130:BZ242))*AD33),  2)</f>
        <v>0</v>
      </c>
    </row>
    <row r="34" spans="2:31" s="1" customFormat="1" ht="14.55" customHeight="1" x14ac:dyDescent="0.2">
      <c r="B34" s="24"/>
      <c r="D34" s="521"/>
      <c r="E34" s="528" t="s">
        <v>32</v>
      </c>
      <c r="F34" s="398">
        <f>ROUND((SUM(BF130:BF242)),  2)</f>
        <v>21649.18</v>
      </c>
      <c r="G34" s="521"/>
      <c r="H34" s="521"/>
      <c r="I34" s="535">
        <v>0.2</v>
      </c>
      <c r="J34" s="398">
        <f>ROUND(((SUM(BF130:BF242))*I34),  2)</f>
        <v>4329.84</v>
      </c>
      <c r="L34" s="24"/>
      <c r="W34" s="158"/>
      <c r="X34" s="404"/>
      <c r="Y34" s="557"/>
      <c r="Z34" s="538" t="s">
        <v>32</v>
      </c>
      <c r="AA34" s="545">
        <f>AE30</f>
        <v>43891.27</v>
      </c>
      <c r="AB34" s="557"/>
      <c r="AC34" s="557"/>
      <c r="AD34" s="546">
        <v>0.2</v>
      </c>
      <c r="AE34" s="547">
        <f>AE30*0.2</f>
        <v>8778.253999999999</v>
      </c>
    </row>
    <row r="35" spans="2:31" s="1" customFormat="1" ht="14.55" hidden="1" customHeight="1" x14ac:dyDescent="0.2">
      <c r="B35" s="24"/>
      <c r="E35" s="21" t="s">
        <v>33</v>
      </c>
      <c r="F35" s="78">
        <f>ROUND((SUM(BG130:BG242)),  2)</f>
        <v>0</v>
      </c>
      <c r="I35" s="79">
        <v>0.2</v>
      </c>
      <c r="J35" s="78">
        <f>0</f>
        <v>0</v>
      </c>
      <c r="L35" s="24"/>
      <c r="W35" s="158"/>
      <c r="X35" s="404"/>
      <c r="Y35" s="557"/>
      <c r="Z35" s="559" t="s">
        <v>33</v>
      </c>
      <c r="AA35" s="170">
        <f>ROUND((SUM(CB130:CB242)),  2)</f>
        <v>0</v>
      </c>
      <c r="AB35" s="557"/>
      <c r="AC35" s="557"/>
      <c r="AD35" s="171">
        <v>0.2</v>
      </c>
      <c r="AE35" s="172">
        <f>0</f>
        <v>0</v>
      </c>
    </row>
    <row r="36" spans="2:31" s="1" customFormat="1" ht="14.55" hidden="1" customHeight="1" x14ac:dyDescent="0.2">
      <c r="B36" s="24"/>
      <c r="E36" s="21" t="s">
        <v>34</v>
      </c>
      <c r="F36" s="78">
        <f>ROUND((SUM(BH130:BH242)),  2)</f>
        <v>0</v>
      </c>
      <c r="I36" s="79">
        <v>0.2</v>
      </c>
      <c r="J36" s="78">
        <f>0</f>
        <v>0</v>
      </c>
      <c r="L36" s="24"/>
      <c r="W36" s="158"/>
      <c r="X36" s="404"/>
      <c r="Y36" s="557"/>
      <c r="Z36" s="559" t="s">
        <v>34</v>
      </c>
      <c r="AA36" s="170">
        <f>ROUND((SUM(CC130:CC242)),  2)</f>
        <v>0</v>
      </c>
      <c r="AB36" s="557"/>
      <c r="AC36" s="557"/>
      <c r="AD36" s="171">
        <v>0.2</v>
      </c>
      <c r="AE36" s="172">
        <f>0</f>
        <v>0</v>
      </c>
    </row>
    <row r="37" spans="2:31" s="1" customFormat="1" ht="14.55" hidden="1" customHeight="1" x14ac:dyDescent="0.2">
      <c r="B37" s="24"/>
      <c r="E37" s="21" t="s">
        <v>35</v>
      </c>
      <c r="F37" s="78">
        <f>ROUND((SUM(BI130:BI242)),  2)</f>
        <v>0</v>
      </c>
      <c r="I37" s="79">
        <v>0</v>
      </c>
      <c r="J37" s="78">
        <f>0</f>
        <v>0</v>
      </c>
      <c r="L37" s="24"/>
      <c r="W37" s="158"/>
      <c r="X37" s="404"/>
      <c r="Y37" s="557"/>
      <c r="Z37" s="559" t="s">
        <v>35</v>
      </c>
      <c r="AA37" s="170">
        <f>ROUND((SUM(CD130:CD242)),  2)</f>
        <v>0</v>
      </c>
      <c r="AB37" s="557"/>
      <c r="AC37" s="557"/>
      <c r="AD37" s="171">
        <v>0</v>
      </c>
      <c r="AE37" s="172">
        <f>0</f>
        <v>0</v>
      </c>
    </row>
    <row r="38" spans="2:31" s="1" customFormat="1" ht="7.05" customHeight="1" x14ac:dyDescent="0.2">
      <c r="B38" s="24"/>
      <c r="L38" s="24"/>
      <c r="W38" s="158"/>
      <c r="X38" s="404"/>
      <c r="Y38" s="557"/>
      <c r="Z38" s="557"/>
      <c r="AA38" s="557"/>
      <c r="AB38" s="557"/>
      <c r="AC38" s="557"/>
      <c r="AD38" s="557"/>
      <c r="AE38" s="159"/>
    </row>
    <row r="39" spans="2:31" s="1" customFormat="1" ht="25.2" customHeight="1" x14ac:dyDescent="0.2">
      <c r="B39" s="24"/>
      <c r="C39" s="80"/>
      <c r="D39" s="81" t="s">
        <v>36</v>
      </c>
      <c r="E39" s="44"/>
      <c r="F39" s="44"/>
      <c r="G39" s="82" t="s">
        <v>37</v>
      </c>
      <c r="H39" s="83" t="s">
        <v>38</v>
      </c>
      <c r="I39" s="44"/>
      <c r="J39" s="84">
        <f>SUM(J30:J37)</f>
        <v>25979.02</v>
      </c>
      <c r="K39" s="85"/>
      <c r="L39" s="24"/>
      <c r="W39" s="158"/>
      <c r="X39" s="173"/>
      <c r="Y39" s="81" t="s">
        <v>36</v>
      </c>
      <c r="Z39" s="44"/>
      <c r="AA39" s="44"/>
      <c r="AB39" s="82" t="s">
        <v>37</v>
      </c>
      <c r="AC39" s="83" t="s">
        <v>38</v>
      </c>
      <c r="AD39" s="44"/>
      <c r="AE39" s="174">
        <f>SUM(AE30:AE37)</f>
        <v>52669.523999999998</v>
      </c>
    </row>
    <row r="40" spans="2:31" s="1" customFormat="1" ht="14.55" customHeight="1" x14ac:dyDescent="0.2">
      <c r="B40" s="24"/>
      <c r="L40" s="24"/>
      <c r="W40" s="158"/>
      <c r="X40" s="404"/>
      <c r="Y40" s="557"/>
      <c r="Z40" s="557"/>
      <c r="AA40" s="557"/>
      <c r="AB40" s="557"/>
      <c r="AC40" s="557"/>
      <c r="AD40" s="557"/>
      <c r="AE40" s="159"/>
    </row>
    <row r="41" spans="2:31" ht="14.55" customHeight="1" x14ac:dyDescent="0.2">
      <c r="B41" s="16"/>
      <c r="L41" s="16"/>
      <c r="W41" s="155"/>
      <c r="X41" s="156"/>
      <c r="Y41" s="156"/>
      <c r="Z41" s="156"/>
      <c r="AA41" s="156"/>
      <c r="AB41" s="156"/>
      <c r="AC41" s="156"/>
      <c r="AD41" s="156"/>
      <c r="AE41" s="157"/>
    </row>
    <row r="42" spans="2:31" ht="14.55" customHeight="1" x14ac:dyDescent="0.2">
      <c r="B42" s="16"/>
      <c r="L42" s="16"/>
      <c r="W42" s="155"/>
      <c r="X42" s="156"/>
      <c r="Y42" s="156"/>
      <c r="Z42" s="156"/>
      <c r="AA42" s="156"/>
      <c r="AB42" s="156"/>
      <c r="AC42" s="156"/>
      <c r="AD42" s="156"/>
      <c r="AE42" s="157"/>
    </row>
    <row r="43" spans="2:31" ht="14.55" customHeight="1" x14ac:dyDescent="0.2">
      <c r="B43" s="16"/>
      <c r="L43" s="16"/>
      <c r="W43" s="155"/>
      <c r="X43" s="156"/>
      <c r="Y43" s="156"/>
      <c r="Z43" s="156"/>
      <c r="AA43" s="156"/>
      <c r="AB43" s="156"/>
      <c r="AC43" s="156"/>
      <c r="AD43" s="156"/>
      <c r="AE43" s="157"/>
    </row>
    <row r="44" spans="2:31" ht="14.55" customHeight="1" x14ac:dyDescent="0.2">
      <c r="B44" s="16"/>
      <c r="L44" s="16"/>
      <c r="W44" s="155"/>
      <c r="X44" s="156"/>
      <c r="Y44" s="156"/>
      <c r="Z44" s="156"/>
      <c r="AA44" s="156"/>
      <c r="AB44" s="156"/>
      <c r="AC44" s="156"/>
      <c r="AD44" s="156"/>
      <c r="AE44" s="157"/>
    </row>
    <row r="45" spans="2:31" ht="14.55" customHeight="1" x14ac:dyDescent="0.2">
      <c r="B45" s="16"/>
      <c r="L45" s="16"/>
      <c r="W45" s="155"/>
      <c r="X45" s="156"/>
      <c r="Y45" s="156"/>
      <c r="Z45" s="156"/>
      <c r="AA45" s="156"/>
      <c r="AB45" s="156"/>
      <c r="AC45" s="156"/>
      <c r="AD45" s="156"/>
      <c r="AE45" s="157"/>
    </row>
    <row r="46" spans="2:31" ht="14.55" customHeight="1" x14ac:dyDescent="0.2">
      <c r="B46" s="16"/>
      <c r="L46" s="16"/>
      <c r="W46" s="155"/>
      <c r="X46" s="156"/>
      <c r="Y46" s="156"/>
      <c r="Z46" s="156"/>
      <c r="AA46" s="156"/>
      <c r="AB46" s="156"/>
      <c r="AC46" s="156"/>
      <c r="AD46" s="156"/>
      <c r="AE46" s="157"/>
    </row>
    <row r="47" spans="2:31" ht="14.55" customHeight="1" x14ac:dyDescent="0.2">
      <c r="B47" s="16"/>
      <c r="L47" s="16"/>
      <c r="W47" s="155"/>
      <c r="X47" s="156"/>
      <c r="Y47" s="156"/>
      <c r="Z47" s="156"/>
      <c r="AA47" s="156"/>
      <c r="AB47" s="156"/>
      <c r="AC47" s="156"/>
      <c r="AD47" s="156"/>
      <c r="AE47" s="157"/>
    </row>
    <row r="48" spans="2:31" ht="14.55" customHeight="1" x14ac:dyDescent="0.2">
      <c r="B48" s="16"/>
      <c r="L48" s="16"/>
      <c r="W48" s="155"/>
      <c r="X48" s="156"/>
      <c r="Y48" s="156"/>
      <c r="Z48" s="156"/>
      <c r="AA48" s="156"/>
      <c r="AB48" s="156"/>
      <c r="AC48" s="156"/>
      <c r="AD48" s="156"/>
      <c r="AE48" s="157"/>
    </row>
    <row r="49" spans="2:31" ht="14.55" customHeight="1" x14ac:dyDescent="0.2">
      <c r="B49" s="16"/>
      <c r="D49" s="156"/>
      <c r="E49" s="156"/>
      <c r="F49" s="156"/>
      <c r="G49" s="156"/>
      <c r="H49" s="156"/>
      <c r="I49" s="156"/>
      <c r="J49" s="156"/>
      <c r="L49" s="16"/>
      <c r="W49" s="155"/>
      <c r="X49" s="156"/>
      <c r="Y49" s="156"/>
      <c r="Z49" s="156"/>
      <c r="AA49" s="156"/>
      <c r="AB49" s="156"/>
      <c r="AC49" s="156"/>
      <c r="AD49" s="156"/>
      <c r="AE49" s="157"/>
    </row>
    <row r="50" spans="2:31" s="1" customFormat="1" ht="14.55" customHeight="1" x14ac:dyDescent="0.2">
      <c r="B50" s="24"/>
      <c r="D50" s="530"/>
      <c r="E50" s="523"/>
      <c r="F50" s="523"/>
      <c r="G50" s="530"/>
      <c r="H50" s="523"/>
      <c r="I50" s="523"/>
      <c r="J50" s="523"/>
      <c r="K50" s="32"/>
      <c r="L50" s="24"/>
      <c r="W50" s="158"/>
      <c r="X50" s="404"/>
      <c r="Y50" s="530"/>
      <c r="Z50" s="557"/>
      <c r="AA50" s="557"/>
      <c r="AB50" s="530"/>
      <c r="AC50" s="557"/>
      <c r="AD50" s="557"/>
      <c r="AE50" s="159"/>
    </row>
    <row r="51" spans="2:31" x14ac:dyDescent="0.2">
      <c r="B51" s="16"/>
      <c r="D51" s="156"/>
      <c r="E51" s="156"/>
      <c r="F51" s="156"/>
      <c r="G51" s="156"/>
      <c r="H51" s="156"/>
      <c r="I51" s="156"/>
      <c r="J51" s="156"/>
      <c r="L51" s="16"/>
      <c r="W51" s="155"/>
      <c r="X51" s="156"/>
      <c r="Y51" s="156"/>
      <c r="Z51" s="156"/>
      <c r="AA51" s="156"/>
      <c r="AB51" s="156"/>
      <c r="AC51" s="156"/>
      <c r="AD51" s="156"/>
      <c r="AE51" s="157"/>
    </row>
    <row r="52" spans="2:31" x14ac:dyDescent="0.2">
      <c r="B52" s="16"/>
      <c r="D52" s="156"/>
      <c r="E52" s="156"/>
      <c r="F52" s="156"/>
      <c r="G52" s="156"/>
      <c r="H52" s="156"/>
      <c r="I52" s="156"/>
      <c r="J52" s="156"/>
      <c r="L52" s="16"/>
      <c r="W52" s="155"/>
      <c r="X52" s="156"/>
      <c r="Y52" s="156"/>
      <c r="Z52" s="156"/>
      <c r="AA52" s="156"/>
      <c r="AB52" s="156"/>
      <c r="AC52" s="156"/>
      <c r="AD52" s="156"/>
      <c r="AE52" s="157"/>
    </row>
    <row r="53" spans="2:31" x14ac:dyDescent="0.2">
      <c r="B53" s="16"/>
      <c r="D53" s="156"/>
      <c r="E53" s="156"/>
      <c r="F53" s="156"/>
      <c r="G53" s="156"/>
      <c r="H53" s="156"/>
      <c r="I53" s="156"/>
      <c r="J53" s="156"/>
      <c r="L53" s="16"/>
      <c r="W53" s="155"/>
      <c r="X53" s="156"/>
      <c r="Y53" s="156"/>
      <c r="Z53" s="156"/>
      <c r="AA53" s="156"/>
      <c r="AB53" s="156"/>
      <c r="AC53" s="156"/>
      <c r="AD53" s="156"/>
      <c r="AE53" s="157"/>
    </row>
    <row r="54" spans="2:31" x14ac:dyDescent="0.2">
      <c r="B54" s="16"/>
      <c r="D54" s="156"/>
      <c r="E54" s="156"/>
      <c r="F54" s="156"/>
      <c r="G54" s="156"/>
      <c r="H54" s="156"/>
      <c r="I54" s="156"/>
      <c r="J54" s="156"/>
      <c r="L54" s="16"/>
      <c r="W54" s="155"/>
      <c r="X54" s="156"/>
      <c r="Y54" s="156"/>
      <c r="Z54" s="156"/>
      <c r="AA54" s="156"/>
      <c r="AB54" s="156"/>
      <c r="AC54" s="156"/>
      <c r="AD54" s="156"/>
      <c r="AE54" s="157"/>
    </row>
    <row r="55" spans="2:31" x14ac:dyDescent="0.2">
      <c r="B55" s="16"/>
      <c r="D55" s="156"/>
      <c r="E55" s="156"/>
      <c r="F55" s="156"/>
      <c r="G55" s="156"/>
      <c r="H55" s="156"/>
      <c r="I55" s="156"/>
      <c r="J55" s="156"/>
      <c r="L55" s="16"/>
      <c r="W55" s="155"/>
      <c r="X55" s="156"/>
      <c r="Y55" s="156"/>
      <c r="Z55" s="156"/>
      <c r="AA55" s="156"/>
      <c r="AB55" s="156"/>
      <c r="AC55" s="156"/>
      <c r="AD55" s="156"/>
      <c r="AE55" s="157"/>
    </row>
    <row r="56" spans="2:31" x14ac:dyDescent="0.2">
      <c r="B56" s="16"/>
      <c r="D56" s="156"/>
      <c r="E56" s="156"/>
      <c r="F56" s="156"/>
      <c r="G56" s="156"/>
      <c r="H56" s="156"/>
      <c r="I56" s="156"/>
      <c r="J56" s="156"/>
      <c r="L56" s="16"/>
      <c r="W56" s="155"/>
      <c r="X56" s="156"/>
      <c r="Y56" s="156"/>
      <c r="Z56" s="156"/>
      <c r="AA56" s="156"/>
      <c r="AB56" s="156"/>
      <c r="AC56" s="156"/>
      <c r="AD56" s="156"/>
      <c r="AE56" s="157"/>
    </row>
    <row r="57" spans="2:31" x14ac:dyDescent="0.2">
      <c r="B57" s="16"/>
      <c r="D57" s="156"/>
      <c r="E57" s="156"/>
      <c r="F57" s="156"/>
      <c r="G57" s="156"/>
      <c r="H57" s="156"/>
      <c r="I57" s="156"/>
      <c r="J57" s="156"/>
      <c r="L57" s="16"/>
      <c r="W57" s="155"/>
      <c r="X57" s="156"/>
      <c r="Y57" s="156"/>
      <c r="Z57" s="156"/>
      <c r="AA57" s="156"/>
      <c r="AB57" s="156"/>
      <c r="AC57" s="156"/>
      <c r="AD57" s="156"/>
      <c r="AE57" s="157"/>
    </row>
    <row r="58" spans="2:31" x14ac:dyDescent="0.2">
      <c r="B58" s="16"/>
      <c r="D58" s="156"/>
      <c r="E58" s="156"/>
      <c r="F58" s="156"/>
      <c r="G58" s="156"/>
      <c r="H58" s="156"/>
      <c r="I58" s="156"/>
      <c r="J58" s="156"/>
      <c r="L58" s="16"/>
      <c r="W58" s="155"/>
      <c r="X58" s="156"/>
      <c r="Y58" s="156"/>
      <c r="Z58" s="156"/>
      <c r="AA58" s="156"/>
      <c r="AB58" s="156"/>
      <c r="AC58" s="156"/>
      <c r="AD58" s="156"/>
      <c r="AE58" s="157"/>
    </row>
    <row r="59" spans="2:31" x14ac:dyDescent="0.2">
      <c r="B59" s="16"/>
      <c r="D59" s="156"/>
      <c r="E59" s="156"/>
      <c r="F59" s="156"/>
      <c r="G59" s="156"/>
      <c r="H59" s="156"/>
      <c r="I59" s="156"/>
      <c r="J59" s="156"/>
      <c r="L59" s="16"/>
      <c r="W59" s="155"/>
      <c r="X59" s="156"/>
      <c r="Y59" s="156"/>
      <c r="Z59" s="156"/>
      <c r="AA59" s="156"/>
      <c r="AB59" s="156"/>
      <c r="AC59" s="156"/>
      <c r="AD59" s="156"/>
      <c r="AE59" s="157"/>
    </row>
    <row r="60" spans="2:31" x14ac:dyDescent="0.2">
      <c r="B60" s="16"/>
      <c r="D60" s="156"/>
      <c r="E60" s="156"/>
      <c r="F60" s="156"/>
      <c r="G60" s="156"/>
      <c r="H60" s="156"/>
      <c r="I60" s="156"/>
      <c r="J60" s="156"/>
      <c r="L60" s="16"/>
      <c r="W60" s="155"/>
      <c r="X60" s="156"/>
      <c r="Y60" s="156"/>
      <c r="Z60" s="156"/>
      <c r="AA60" s="156"/>
      <c r="AB60" s="156"/>
      <c r="AC60" s="156"/>
      <c r="AD60" s="156"/>
      <c r="AE60" s="157"/>
    </row>
    <row r="61" spans="2:31" s="1" customFormat="1" ht="13.2" x14ac:dyDescent="0.2">
      <c r="B61" s="24"/>
      <c r="D61" s="522"/>
      <c r="E61" s="523"/>
      <c r="F61" s="536"/>
      <c r="G61" s="522"/>
      <c r="H61" s="523"/>
      <c r="I61" s="523"/>
      <c r="J61" s="169"/>
      <c r="K61" s="26"/>
      <c r="L61" s="24"/>
      <c r="W61" s="158"/>
      <c r="X61" s="404"/>
      <c r="Y61" s="559"/>
      <c r="Z61" s="557"/>
      <c r="AA61" s="536"/>
      <c r="AB61" s="559"/>
      <c r="AC61" s="557"/>
      <c r="AD61" s="557"/>
      <c r="AE61" s="577"/>
    </row>
    <row r="62" spans="2:31" x14ac:dyDescent="0.2">
      <c r="B62" s="16"/>
      <c r="D62" s="156"/>
      <c r="E62" s="156"/>
      <c r="F62" s="156"/>
      <c r="G62" s="156"/>
      <c r="H62" s="156"/>
      <c r="I62" s="156"/>
      <c r="J62" s="156"/>
      <c r="L62" s="16"/>
      <c r="W62" s="155"/>
      <c r="X62" s="156"/>
      <c r="Y62" s="156"/>
      <c r="Z62" s="156"/>
      <c r="AA62" s="156"/>
      <c r="AB62" s="156"/>
      <c r="AC62" s="156"/>
      <c r="AD62" s="156"/>
      <c r="AE62" s="157"/>
    </row>
    <row r="63" spans="2:31" x14ac:dyDescent="0.2">
      <c r="B63" s="16"/>
      <c r="D63" s="156"/>
      <c r="E63" s="156"/>
      <c r="F63" s="156"/>
      <c r="G63" s="156"/>
      <c r="H63" s="156"/>
      <c r="I63" s="156"/>
      <c r="J63" s="156"/>
      <c r="L63" s="16"/>
      <c r="W63" s="155"/>
      <c r="X63" s="156"/>
      <c r="Y63" s="156"/>
      <c r="Z63" s="156"/>
      <c r="AA63" s="156"/>
      <c r="AB63" s="156"/>
      <c r="AC63" s="156"/>
      <c r="AD63" s="156"/>
      <c r="AE63" s="157"/>
    </row>
    <row r="64" spans="2:31" x14ac:dyDescent="0.2">
      <c r="B64" s="16"/>
      <c r="D64" s="156"/>
      <c r="E64" s="156"/>
      <c r="F64" s="156"/>
      <c r="G64" s="156"/>
      <c r="H64" s="156"/>
      <c r="I64" s="156"/>
      <c r="J64" s="156"/>
      <c r="L64" s="16"/>
      <c r="W64" s="155"/>
      <c r="X64" s="156"/>
      <c r="Y64" s="156"/>
      <c r="Z64" s="156"/>
      <c r="AA64" s="156"/>
      <c r="AB64" s="156"/>
      <c r="AC64" s="156"/>
      <c r="AD64" s="156"/>
      <c r="AE64" s="157"/>
    </row>
    <row r="65" spans="2:31" s="1" customFormat="1" ht="13.2" x14ac:dyDescent="0.2">
      <c r="B65" s="24"/>
      <c r="D65" s="530"/>
      <c r="E65" s="523"/>
      <c r="F65" s="523"/>
      <c r="G65" s="530"/>
      <c r="H65" s="523"/>
      <c r="I65" s="523"/>
      <c r="J65" s="523"/>
      <c r="K65" s="32"/>
      <c r="L65" s="24"/>
      <c r="W65" s="158"/>
      <c r="X65" s="404"/>
      <c r="Y65" s="530"/>
      <c r="Z65" s="557"/>
      <c r="AA65" s="557"/>
      <c r="AB65" s="530"/>
      <c r="AC65" s="557"/>
      <c r="AD65" s="557"/>
      <c r="AE65" s="159"/>
    </row>
    <row r="66" spans="2:31" x14ac:dyDescent="0.2">
      <c r="B66" s="16"/>
      <c r="D66" s="156"/>
      <c r="E66" s="156"/>
      <c r="F66" s="156"/>
      <c r="G66" s="156"/>
      <c r="H66" s="156"/>
      <c r="I66" s="156"/>
      <c r="J66" s="156"/>
      <c r="L66" s="16"/>
      <c r="W66" s="155"/>
      <c r="X66" s="156"/>
      <c r="Y66" s="156"/>
      <c r="Z66" s="156"/>
      <c r="AA66" s="156"/>
      <c r="AB66" s="156"/>
      <c r="AC66" s="156"/>
      <c r="AD66" s="156"/>
      <c r="AE66" s="157"/>
    </row>
    <row r="67" spans="2:31" x14ac:dyDescent="0.2">
      <c r="B67" s="16"/>
      <c r="D67" s="156"/>
      <c r="E67" s="156"/>
      <c r="F67" s="156"/>
      <c r="G67" s="156"/>
      <c r="H67" s="156"/>
      <c r="I67" s="156"/>
      <c r="J67" s="156"/>
      <c r="L67" s="16"/>
      <c r="W67" s="155"/>
      <c r="X67" s="156"/>
      <c r="Y67" s="156"/>
      <c r="Z67" s="156"/>
      <c r="AA67" s="156"/>
      <c r="AB67" s="156"/>
      <c r="AC67" s="156"/>
      <c r="AD67" s="156"/>
      <c r="AE67" s="157"/>
    </row>
    <row r="68" spans="2:31" x14ac:dyDescent="0.2">
      <c r="B68" s="16"/>
      <c r="D68" s="156"/>
      <c r="E68" s="156"/>
      <c r="F68" s="156"/>
      <c r="G68" s="156"/>
      <c r="H68" s="156"/>
      <c r="I68" s="156"/>
      <c r="J68" s="156"/>
      <c r="L68" s="16"/>
      <c r="W68" s="155"/>
      <c r="X68" s="156"/>
      <c r="Y68" s="156"/>
      <c r="Z68" s="156"/>
      <c r="AA68" s="156"/>
      <c r="AB68" s="156"/>
      <c r="AC68" s="156"/>
      <c r="AD68" s="156"/>
      <c r="AE68" s="157"/>
    </row>
    <row r="69" spans="2:31" x14ac:dyDescent="0.2">
      <c r="B69" s="16"/>
      <c r="D69" s="156"/>
      <c r="E69" s="156"/>
      <c r="F69" s="156"/>
      <c r="G69" s="156"/>
      <c r="H69" s="156"/>
      <c r="I69" s="156"/>
      <c r="J69" s="156"/>
      <c r="L69" s="16"/>
      <c r="W69" s="155"/>
      <c r="X69" s="156"/>
      <c r="Y69" s="156"/>
      <c r="Z69" s="156"/>
      <c r="AA69" s="156"/>
      <c r="AB69" s="156"/>
      <c r="AC69" s="156"/>
      <c r="AD69" s="156"/>
      <c r="AE69" s="157"/>
    </row>
    <row r="70" spans="2:31" x14ac:dyDescent="0.2">
      <c r="B70" s="16"/>
      <c r="D70" s="156"/>
      <c r="E70" s="156"/>
      <c r="F70" s="156"/>
      <c r="G70" s="156"/>
      <c r="H70" s="156"/>
      <c r="I70" s="156"/>
      <c r="J70" s="156"/>
      <c r="L70" s="16"/>
      <c r="W70" s="155"/>
      <c r="X70" s="156"/>
      <c r="Y70" s="156"/>
      <c r="Z70" s="156"/>
      <c r="AA70" s="156"/>
      <c r="AB70" s="156"/>
      <c r="AC70" s="156"/>
      <c r="AD70" s="156"/>
      <c r="AE70" s="157"/>
    </row>
    <row r="71" spans="2:31" x14ac:dyDescent="0.2">
      <c r="B71" s="16"/>
      <c r="D71" s="156"/>
      <c r="E71" s="156"/>
      <c r="F71" s="156"/>
      <c r="G71" s="156"/>
      <c r="H71" s="156"/>
      <c r="I71" s="156"/>
      <c r="J71" s="156"/>
      <c r="L71" s="16"/>
      <c r="W71" s="155"/>
      <c r="X71" s="156"/>
      <c r="Y71" s="156"/>
      <c r="Z71" s="156"/>
      <c r="AA71" s="156"/>
      <c r="AB71" s="156"/>
      <c r="AC71" s="156"/>
      <c r="AD71" s="156"/>
      <c r="AE71" s="157"/>
    </row>
    <row r="72" spans="2:31" x14ac:dyDescent="0.2">
      <c r="B72" s="16"/>
      <c r="D72" s="156"/>
      <c r="E72" s="156"/>
      <c r="F72" s="156"/>
      <c r="G72" s="156"/>
      <c r="H72" s="156"/>
      <c r="I72" s="156"/>
      <c r="J72" s="156"/>
      <c r="L72" s="16"/>
      <c r="W72" s="155"/>
      <c r="X72" s="156"/>
      <c r="Y72" s="156"/>
      <c r="Z72" s="156"/>
      <c r="AA72" s="156"/>
      <c r="AB72" s="156"/>
      <c r="AC72" s="156"/>
      <c r="AD72" s="156"/>
      <c r="AE72" s="157"/>
    </row>
    <row r="73" spans="2:31" x14ac:dyDescent="0.2">
      <c r="B73" s="16"/>
      <c r="D73" s="156"/>
      <c r="E73" s="156"/>
      <c r="F73" s="156"/>
      <c r="G73" s="156"/>
      <c r="H73" s="156"/>
      <c r="I73" s="156"/>
      <c r="J73" s="156"/>
      <c r="L73" s="16"/>
      <c r="W73" s="155"/>
      <c r="X73" s="156"/>
      <c r="Y73" s="156"/>
      <c r="Z73" s="156"/>
      <c r="AA73" s="156"/>
      <c r="AB73" s="156"/>
      <c r="AC73" s="156"/>
      <c r="AD73" s="156"/>
      <c r="AE73" s="157"/>
    </row>
    <row r="74" spans="2:31" x14ac:dyDescent="0.2">
      <c r="B74" s="16"/>
      <c r="D74" s="156"/>
      <c r="E74" s="156"/>
      <c r="F74" s="156"/>
      <c r="G74" s="156"/>
      <c r="H74" s="156"/>
      <c r="I74" s="156"/>
      <c r="J74" s="156"/>
      <c r="L74" s="16"/>
      <c r="W74" s="155"/>
      <c r="X74" s="156"/>
      <c r="Y74" s="156"/>
      <c r="Z74" s="156"/>
      <c r="AA74" s="156"/>
      <c r="AB74" s="156"/>
      <c r="AC74" s="156"/>
      <c r="AD74" s="156"/>
      <c r="AE74" s="157"/>
    </row>
    <row r="75" spans="2:31" x14ac:dyDescent="0.2">
      <c r="B75" s="16"/>
      <c r="D75" s="156"/>
      <c r="E75" s="156"/>
      <c r="F75" s="156"/>
      <c r="G75" s="156"/>
      <c r="H75" s="156"/>
      <c r="I75" s="156"/>
      <c r="J75" s="156"/>
      <c r="L75" s="16"/>
      <c r="W75" s="155"/>
      <c r="X75" s="156"/>
      <c r="Y75" s="156"/>
      <c r="Z75" s="156"/>
      <c r="AA75" s="156"/>
      <c r="AB75" s="156"/>
      <c r="AC75" s="156"/>
      <c r="AD75" s="156"/>
      <c r="AE75" s="157"/>
    </row>
    <row r="76" spans="2:31" s="1" customFormat="1" ht="13.2" x14ac:dyDescent="0.2">
      <c r="B76" s="24"/>
      <c r="D76" s="522"/>
      <c r="E76" s="523"/>
      <c r="F76" s="536"/>
      <c r="G76" s="522"/>
      <c r="H76" s="523"/>
      <c r="I76" s="523"/>
      <c r="J76" s="169"/>
      <c r="K76" s="26"/>
      <c r="L76" s="24"/>
      <c r="W76" s="158"/>
      <c r="X76" s="404"/>
      <c r="Y76" s="559"/>
      <c r="Z76" s="557"/>
      <c r="AA76" s="536"/>
      <c r="AB76" s="559"/>
      <c r="AC76" s="557"/>
      <c r="AD76" s="557"/>
      <c r="AE76" s="577"/>
    </row>
    <row r="77" spans="2:31" s="1" customFormat="1" ht="14.55" customHeight="1" x14ac:dyDescent="0.2">
      <c r="B77" s="33"/>
      <c r="C77" s="34"/>
      <c r="D77" s="34"/>
      <c r="E77" s="34"/>
      <c r="F77" s="34"/>
      <c r="G77" s="34"/>
      <c r="H77" s="34"/>
      <c r="I77" s="34"/>
      <c r="J77" s="34"/>
      <c r="K77" s="34"/>
      <c r="L77" s="24"/>
      <c r="W77" s="175"/>
      <c r="X77" s="176"/>
      <c r="Y77" s="176"/>
      <c r="Z77" s="176"/>
      <c r="AA77" s="176"/>
      <c r="AB77" s="176"/>
      <c r="AC77" s="176"/>
      <c r="AD77" s="176"/>
      <c r="AE77" s="177"/>
    </row>
    <row r="81" spans="2:47" s="1" customFormat="1" ht="7.05" customHeight="1" x14ac:dyDescent="0.2">
      <c r="B81" s="35"/>
      <c r="C81" s="36"/>
      <c r="D81" s="36"/>
      <c r="E81" s="36"/>
      <c r="F81" s="36"/>
      <c r="G81" s="36"/>
      <c r="H81" s="36"/>
      <c r="I81" s="36"/>
      <c r="J81" s="36"/>
      <c r="K81" s="36"/>
      <c r="L81" s="24"/>
      <c r="W81" s="178"/>
      <c r="X81" s="179"/>
      <c r="Y81" s="179"/>
      <c r="Z81" s="179"/>
      <c r="AA81" s="179"/>
      <c r="AB81" s="179"/>
      <c r="AC81" s="179"/>
      <c r="AD81" s="179"/>
      <c r="AE81" s="180"/>
    </row>
    <row r="82" spans="2:47" s="1" customFormat="1" ht="25.05" customHeight="1" x14ac:dyDescent="0.2">
      <c r="B82" s="1256" t="s">
        <v>188</v>
      </c>
      <c r="C82" s="1165"/>
      <c r="D82" s="1165"/>
      <c r="E82" s="1165"/>
      <c r="F82" s="1165"/>
      <c r="G82" s="1165"/>
      <c r="H82" s="1165"/>
      <c r="I82" s="1165"/>
      <c r="J82" s="1165"/>
      <c r="L82" s="24"/>
      <c r="W82" s="158"/>
      <c r="X82" s="1237" t="s">
        <v>188</v>
      </c>
      <c r="Y82" s="1237"/>
      <c r="Z82" s="1237"/>
      <c r="AA82" s="1237"/>
      <c r="AB82" s="1237"/>
      <c r="AC82" s="1237"/>
      <c r="AD82" s="1237"/>
      <c r="AE82" s="1238"/>
    </row>
    <row r="83" spans="2:47" s="1" customFormat="1" ht="7.05" customHeight="1" x14ac:dyDescent="0.2">
      <c r="B83" s="24"/>
      <c r="L83" s="24"/>
      <c r="W83" s="158"/>
      <c r="X83" s="557"/>
      <c r="Y83" s="557"/>
      <c r="Z83" s="557"/>
      <c r="AA83" s="557"/>
      <c r="AB83" s="557"/>
      <c r="AC83" s="557"/>
      <c r="AD83" s="557"/>
      <c r="AE83" s="159"/>
    </row>
    <row r="84" spans="2:47" s="1" customFormat="1" ht="12" customHeight="1" x14ac:dyDescent="0.2">
      <c r="B84" s="24"/>
      <c r="C84" s="528" t="s">
        <v>12</v>
      </c>
      <c r="E84" s="1242" t="s">
        <v>6177</v>
      </c>
      <c r="F84" s="1242"/>
      <c r="G84" s="1242"/>
      <c r="H84" s="1242"/>
      <c r="I84" s="1242"/>
      <c r="J84" s="1242"/>
      <c r="L84" s="24"/>
      <c r="W84" s="158"/>
      <c r="X84" s="538" t="s">
        <v>12</v>
      </c>
      <c r="Y84" s="557"/>
      <c r="Z84" s="1163" t="s">
        <v>6177</v>
      </c>
      <c r="AA84" s="1163"/>
      <c r="AB84" s="1163"/>
      <c r="AC84" s="1163"/>
      <c r="AD84" s="1163"/>
      <c r="AE84" s="1241"/>
    </row>
    <row r="85" spans="2:47" s="1" customFormat="1" ht="22.95" customHeight="1" x14ac:dyDescent="0.2">
      <c r="B85" s="24"/>
      <c r="C85" s="521"/>
      <c r="E85" s="1243"/>
      <c r="F85" s="1244"/>
      <c r="G85" s="1244"/>
      <c r="H85" s="1244"/>
      <c r="L85" s="24"/>
      <c r="W85" s="158"/>
      <c r="X85" s="557"/>
      <c r="Y85" s="557"/>
      <c r="Z85" s="1249"/>
      <c r="AA85" s="1250"/>
      <c r="AB85" s="1250"/>
      <c r="AC85" s="1250"/>
      <c r="AD85" s="557"/>
      <c r="AE85" s="159"/>
    </row>
    <row r="86" spans="2:47" s="1" customFormat="1" ht="12" customHeight="1" x14ac:dyDescent="0.2">
      <c r="B86" s="24"/>
      <c r="C86" s="528" t="s">
        <v>186</v>
      </c>
      <c r="F86" s="532" t="s">
        <v>4412</v>
      </c>
      <c r="L86" s="24"/>
      <c r="W86" s="158"/>
      <c r="X86" s="538" t="s">
        <v>186</v>
      </c>
      <c r="Y86" s="557"/>
      <c r="Z86" s="557"/>
      <c r="AA86" s="555" t="s">
        <v>4412</v>
      </c>
      <c r="AB86" s="557"/>
      <c r="AC86" s="557"/>
      <c r="AD86" s="557"/>
      <c r="AE86" s="159"/>
    </row>
    <row r="87" spans="2:47" s="1" customFormat="1" ht="16.5" customHeight="1" x14ac:dyDescent="0.2">
      <c r="B87" s="24"/>
      <c r="C87" s="521"/>
      <c r="E87" s="1251"/>
      <c r="F87" s="1252"/>
      <c r="G87" s="1252"/>
      <c r="H87" s="1252"/>
      <c r="L87" s="24"/>
      <c r="W87" s="158"/>
      <c r="X87" s="557"/>
      <c r="Y87" s="557"/>
      <c r="Z87" s="1245"/>
      <c r="AA87" s="1246"/>
      <c r="AB87" s="1246"/>
      <c r="AC87" s="1246"/>
      <c r="AD87" s="557"/>
      <c r="AE87" s="159"/>
    </row>
    <row r="88" spans="2:47" s="1" customFormat="1" ht="7.05" customHeight="1" x14ac:dyDescent="0.2">
      <c r="B88" s="24"/>
      <c r="C88" s="521"/>
      <c r="L88" s="24"/>
      <c r="W88" s="158"/>
      <c r="X88" s="557"/>
      <c r="Y88" s="557"/>
      <c r="Z88" s="557"/>
      <c r="AA88" s="557"/>
      <c r="AB88" s="557"/>
      <c r="AC88" s="557"/>
      <c r="AD88" s="557"/>
      <c r="AE88" s="159"/>
    </row>
    <row r="89" spans="2:47" s="1" customFormat="1" ht="12" customHeight="1" x14ac:dyDescent="0.2">
      <c r="B89" s="24"/>
      <c r="C89" s="528" t="s">
        <v>15</v>
      </c>
      <c r="F89" s="19" t="str">
        <f>F12</f>
        <v>Kuzmányho nábrežie 28, 960 01 Zvolen</v>
      </c>
      <c r="I89" s="528" t="s">
        <v>17</v>
      </c>
      <c r="J89" s="39" t="str">
        <f>IF(J12="","",J12)</f>
        <v/>
      </c>
      <c r="L89" s="24"/>
      <c r="W89" s="158"/>
      <c r="X89" s="538" t="s">
        <v>15</v>
      </c>
      <c r="Y89" s="557"/>
      <c r="Z89" s="557"/>
      <c r="AA89" s="558" t="str">
        <f>AA12</f>
        <v>Kuzmányho nábrežie 28, 960 01 Zvolen</v>
      </c>
      <c r="AB89" s="557"/>
      <c r="AC89" s="557"/>
      <c r="AD89" s="538" t="s">
        <v>17</v>
      </c>
      <c r="AE89" s="162" t="str">
        <f>IF(AE12="","",AE12)</f>
        <v/>
      </c>
    </row>
    <row r="90" spans="2:47" s="1" customFormat="1" ht="7.05" customHeight="1" x14ac:dyDescent="0.2">
      <c r="B90" s="24"/>
      <c r="C90" s="521"/>
      <c r="I90" s="521"/>
      <c r="L90" s="24"/>
      <c r="W90" s="158"/>
      <c r="X90" s="557"/>
      <c r="Y90" s="557"/>
      <c r="Z90" s="557"/>
      <c r="AA90" s="557"/>
      <c r="AB90" s="557"/>
      <c r="AC90" s="557"/>
      <c r="AD90" s="557"/>
      <c r="AE90" s="159"/>
    </row>
    <row r="91" spans="2:47" s="1" customFormat="1" ht="15.3" customHeight="1" x14ac:dyDescent="0.2">
      <c r="B91" s="24"/>
      <c r="C91" s="528" t="s">
        <v>18</v>
      </c>
      <c r="F91" s="529" t="s">
        <v>6175</v>
      </c>
      <c r="I91" s="528" t="s">
        <v>22</v>
      </c>
      <c r="J91" s="22" t="str">
        <f>E21</f>
        <v xml:space="preserve"> </v>
      </c>
      <c r="L91" s="24"/>
      <c r="W91" s="158"/>
      <c r="X91" s="538" t="s">
        <v>18</v>
      </c>
      <c r="Y91" s="557"/>
      <c r="Z91" s="557"/>
      <c r="AA91" s="576" t="s">
        <v>6175</v>
      </c>
      <c r="AB91" s="557"/>
      <c r="AC91" s="557"/>
      <c r="AD91" s="538" t="s">
        <v>22</v>
      </c>
      <c r="AE91" s="181" t="str">
        <f>Z21</f>
        <v/>
      </c>
    </row>
    <row r="92" spans="2:47" s="1" customFormat="1" ht="15.3" customHeight="1" x14ac:dyDescent="0.2">
      <c r="B92" s="24"/>
      <c r="C92" s="528" t="s">
        <v>21</v>
      </c>
      <c r="F92" s="529" t="s">
        <v>5202</v>
      </c>
      <c r="I92" s="528" t="s">
        <v>24</v>
      </c>
      <c r="J92" s="22" t="str">
        <f>E24</f>
        <v xml:space="preserve"> </v>
      </c>
      <c r="L92" s="24"/>
      <c r="W92" s="158"/>
      <c r="X92" s="538" t="s">
        <v>21</v>
      </c>
      <c r="Y92" s="557"/>
      <c r="Z92" s="557"/>
      <c r="AA92" s="576" t="s">
        <v>5202</v>
      </c>
      <c r="AB92" s="557"/>
      <c r="AC92" s="557"/>
      <c r="AD92" s="538" t="s">
        <v>24</v>
      </c>
      <c r="AE92" s="181" t="str">
        <f>Z24</f>
        <v/>
      </c>
    </row>
    <row r="93" spans="2:47" s="1" customFormat="1" ht="10.199999999999999" customHeight="1" x14ac:dyDescent="0.2">
      <c r="B93" s="24"/>
      <c r="L93" s="24"/>
      <c r="W93" s="158"/>
      <c r="X93" s="557"/>
      <c r="Y93" s="557"/>
      <c r="Z93" s="557"/>
      <c r="AA93" s="557"/>
      <c r="AB93" s="557"/>
      <c r="AC93" s="557"/>
      <c r="AD93" s="557"/>
      <c r="AE93" s="159"/>
    </row>
    <row r="94" spans="2:47" s="1" customFormat="1" ht="29.25" customHeight="1" x14ac:dyDescent="0.2">
      <c r="B94" s="24"/>
      <c r="C94" s="86" t="s">
        <v>189</v>
      </c>
      <c r="D94" s="80"/>
      <c r="E94" s="80"/>
      <c r="F94" s="80"/>
      <c r="G94" s="80"/>
      <c r="H94" s="80"/>
      <c r="I94" s="80"/>
      <c r="J94" s="87" t="s">
        <v>190</v>
      </c>
      <c r="K94" s="80"/>
      <c r="L94" s="24"/>
      <c r="W94" s="158"/>
      <c r="X94" s="182" t="s">
        <v>189</v>
      </c>
      <c r="Y94" s="173"/>
      <c r="Z94" s="173"/>
      <c r="AA94" s="173"/>
      <c r="AB94" s="173"/>
      <c r="AC94" s="173"/>
      <c r="AD94" s="173"/>
      <c r="AE94" s="183" t="s">
        <v>190</v>
      </c>
    </row>
    <row r="95" spans="2:47" s="1" customFormat="1" ht="10.199999999999999" customHeight="1" x14ac:dyDescent="0.2">
      <c r="B95" s="24"/>
      <c r="L95" s="24"/>
      <c r="W95" s="158"/>
      <c r="X95" s="557"/>
      <c r="Y95" s="557"/>
      <c r="Z95" s="557"/>
      <c r="AA95" s="557"/>
      <c r="AB95" s="557"/>
      <c r="AC95" s="557"/>
      <c r="AD95" s="557"/>
      <c r="AE95" s="159"/>
    </row>
    <row r="96" spans="2:47" s="1" customFormat="1" ht="22.95" customHeight="1" x14ac:dyDescent="0.2">
      <c r="B96" s="24"/>
      <c r="C96" s="88" t="s">
        <v>191</v>
      </c>
      <c r="J96" s="53">
        <f>J130</f>
        <v>21649.18</v>
      </c>
      <c r="L96" s="24"/>
      <c r="W96" s="158"/>
      <c r="X96" s="184" t="s">
        <v>191</v>
      </c>
      <c r="Y96" s="557"/>
      <c r="Z96" s="557"/>
      <c r="AA96" s="557"/>
      <c r="AB96" s="557"/>
      <c r="AC96" s="557"/>
      <c r="AD96" s="557"/>
      <c r="AE96" s="168">
        <f>AE130</f>
        <v>43891.273559999994</v>
      </c>
      <c r="AU96" s="13" t="s">
        <v>192</v>
      </c>
    </row>
    <row r="97" spans="2:31" s="8" customFormat="1" ht="25.05" customHeight="1" x14ac:dyDescent="0.2">
      <c r="B97" s="89"/>
      <c r="D97" s="90" t="s">
        <v>3499</v>
      </c>
      <c r="E97" s="91"/>
      <c r="F97" s="91"/>
      <c r="G97" s="91"/>
      <c r="H97" s="91"/>
      <c r="I97" s="91"/>
      <c r="J97" s="92">
        <f>J131</f>
        <v>5740.45</v>
      </c>
      <c r="L97" s="89"/>
      <c r="W97" s="185"/>
      <c r="X97" s="186"/>
      <c r="Y97" s="90" t="s">
        <v>3499</v>
      </c>
      <c r="Z97" s="91"/>
      <c r="AA97" s="91"/>
      <c r="AB97" s="91"/>
      <c r="AC97" s="91"/>
      <c r="AD97" s="91"/>
      <c r="AE97" s="187">
        <f>AE131</f>
        <v>12460.75856</v>
      </c>
    </row>
    <row r="98" spans="2:31" s="8" customFormat="1" ht="25.05" customHeight="1" x14ac:dyDescent="0.25">
      <c r="B98" s="89"/>
      <c r="D98" s="1234" t="s">
        <v>5205</v>
      </c>
      <c r="E98" s="1235"/>
      <c r="F98" s="1235"/>
      <c r="G98" s="1235"/>
      <c r="H98" s="1235"/>
      <c r="I98" s="1235"/>
      <c r="J98" s="1235"/>
      <c r="K98" s="1236"/>
      <c r="L98" s="89"/>
      <c r="W98" s="185"/>
      <c r="X98" s="186"/>
      <c r="Y98" s="201" t="s">
        <v>6034</v>
      </c>
      <c r="Z98" s="95"/>
      <c r="AA98" s="95"/>
      <c r="AB98" s="95"/>
      <c r="AC98" s="95"/>
      <c r="AD98" s="95"/>
      <c r="AE98" s="190">
        <f>AE132</f>
        <v>559.85</v>
      </c>
    </row>
    <row r="99" spans="2:31" s="8" customFormat="1" ht="25.05" customHeight="1" x14ac:dyDescent="0.25">
      <c r="B99" s="89"/>
      <c r="D99" s="1234" t="s">
        <v>5205</v>
      </c>
      <c r="E99" s="1235"/>
      <c r="F99" s="1235"/>
      <c r="G99" s="1235"/>
      <c r="H99" s="1235"/>
      <c r="I99" s="1235"/>
      <c r="J99" s="1235"/>
      <c r="K99" s="1236"/>
      <c r="L99" s="89"/>
      <c r="W99" s="185"/>
      <c r="X99" s="186"/>
      <c r="Y99" s="201" t="s">
        <v>6035</v>
      </c>
      <c r="Z99" s="95"/>
      <c r="AA99" s="95"/>
      <c r="AB99" s="95"/>
      <c r="AC99" s="95"/>
      <c r="AD99" s="95"/>
      <c r="AE99" s="190">
        <f>AE137</f>
        <v>1824.38</v>
      </c>
    </row>
    <row r="100" spans="2:31" s="9" customFormat="1" ht="19.95" customHeight="1" x14ac:dyDescent="0.2">
      <c r="B100" s="93"/>
      <c r="D100" s="94" t="s">
        <v>4413</v>
      </c>
      <c r="E100" s="95"/>
      <c r="F100" s="95"/>
      <c r="G100" s="95"/>
      <c r="H100" s="95"/>
      <c r="I100" s="95"/>
      <c r="J100" s="96">
        <f>J140</f>
        <v>988.05</v>
      </c>
      <c r="L100" s="93"/>
      <c r="W100" s="188"/>
      <c r="X100" s="189"/>
      <c r="Y100" s="94" t="s">
        <v>4413</v>
      </c>
      <c r="Z100" s="95"/>
      <c r="AA100" s="95"/>
      <c r="AB100" s="95"/>
      <c r="AC100" s="95"/>
      <c r="AD100" s="95"/>
      <c r="AE100" s="190">
        <f>AE140</f>
        <v>1196.07</v>
      </c>
    </row>
    <row r="101" spans="2:31" s="9" customFormat="1" ht="19.95" customHeight="1" x14ac:dyDescent="0.2">
      <c r="B101" s="93"/>
      <c r="D101" s="94" t="s">
        <v>4414</v>
      </c>
      <c r="E101" s="95"/>
      <c r="F101" s="95"/>
      <c r="G101" s="95"/>
      <c r="H101" s="95"/>
      <c r="I101" s="95"/>
      <c r="J101" s="96">
        <f>J142</f>
        <v>2081.2800000000002</v>
      </c>
      <c r="L101" s="93"/>
      <c r="W101" s="188"/>
      <c r="X101" s="189"/>
      <c r="Y101" s="94" t="s">
        <v>4414</v>
      </c>
      <c r="Z101" s="95"/>
      <c r="AA101" s="95"/>
      <c r="AB101" s="95"/>
      <c r="AC101" s="95"/>
      <c r="AD101" s="95"/>
      <c r="AE101" s="190">
        <f>AE142</f>
        <v>2692.71</v>
      </c>
    </row>
    <row r="102" spans="2:31" s="9" customFormat="1" ht="19.95" customHeight="1" x14ac:dyDescent="0.2">
      <c r="B102" s="93"/>
      <c r="D102" s="94" t="s">
        <v>4415</v>
      </c>
      <c r="E102" s="95"/>
      <c r="F102" s="95"/>
      <c r="G102" s="95"/>
      <c r="H102" s="95"/>
      <c r="I102" s="95"/>
      <c r="J102" s="96">
        <f>J145</f>
        <v>1033.98</v>
      </c>
      <c r="L102" s="93"/>
      <c r="W102" s="188"/>
      <c r="X102" s="189"/>
      <c r="Y102" s="94" t="s">
        <v>4415</v>
      </c>
      <c r="Z102" s="95"/>
      <c r="AA102" s="95"/>
      <c r="AB102" s="95"/>
      <c r="AC102" s="95"/>
      <c r="AD102" s="95"/>
      <c r="AE102" s="190">
        <f>AE145</f>
        <v>2697.8285599999999</v>
      </c>
    </row>
    <row r="103" spans="2:31" s="9" customFormat="1" ht="19.95" customHeight="1" x14ac:dyDescent="0.2">
      <c r="B103" s="93"/>
      <c r="D103" s="94" t="s">
        <v>4416</v>
      </c>
      <c r="E103" s="95"/>
      <c r="F103" s="95"/>
      <c r="G103" s="95"/>
      <c r="H103" s="95"/>
      <c r="I103" s="95"/>
      <c r="J103" s="96">
        <f>J150</f>
        <v>1499.64</v>
      </c>
      <c r="L103" s="93"/>
      <c r="W103" s="188"/>
      <c r="X103" s="189"/>
      <c r="Y103" s="94" t="s">
        <v>4416</v>
      </c>
      <c r="Z103" s="95"/>
      <c r="AA103" s="95"/>
      <c r="AB103" s="95"/>
      <c r="AC103" s="95"/>
      <c r="AD103" s="95"/>
      <c r="AE103" s="190">
        <f>AE150</f>
        <v>2879.99</v>
      </c>
    </row>
    <row r="104" spans="2:31" s="9" customFormat="1" ht="19.95" customHeight="1" x14ac:dyDescent="0.2">
      <c r="B104" s="93"/>
      <c r="D104" s="94" t="s">
        <v>4417</v>
      </c>
      <c r="E104" s="95"/>
      <c r="F104" s="95"/>
      <c r="G104" s="95"/>
      <c r="H104" s="95"/>
      <c r="I104" s="95"/>
      <c r="J104" s="96">
        <f>J161</f>
        <v>137.5</v>
      </c>
      <c r="L104" s="93"/>
      <c r="W104" s="188"/>
      <c r="X104" s="189"/>
      <c r="Y104" s="94" t="s">
        <v>4417</v>
      </c>
      <c r="Z104" s="95"/>
      <c r="AA104" s="95"/>
      <c r="AB104" s="95"/>
      <c r="AC104" s="95"/>
      <c r="AD104" s="95"/>
      <c r="AE104" s="190">
        <f>AE161</f>
        <v>609.92999999999995</v>
      </c>
    </row>
    <row r="105" spans="2:31" s="8" customFormat="1" ht="25.05" customHeight="1" x14ac:dyDescent="0.2">
      <c r="B105" s="89"/>
      <c r="D105" s="90" t="s">
        <v>4418</v>
      </c>
      <c r="E105" s="91"/>
      <c r="F105" s="91"/>
      <c r="G105" s="91"/>
      <c r="H105" s="91"/>
      <c r="I105" s="91"/>
      <c r="J105" s="92">
        <f>J163</f>
        <v>15908.73</v>
      </c>
      <c r="L105" s="89"/>
      <c r="W105" s="185"/>
      <c r="X105" s="186"/>
      <c r="Y105" s="90" t="s">
        <v>4418</v>
      </c>
      <c r="Z105" s="91"/>
      <c r="AA105" s="91"/>
      <c r="AB105" s="91"/>
      <c r="AC105" s="91"/>
      <c r="AD105" s="91"/>
      <c r="AE105" s="187">
        <f>AE163</f>
        <v>31430.514999999996</v>
      </c>
    </row>
    <row r="106" spans="2:31" s="9" customFormat="1" ht="19.95" customHeight="1" x14ac:dyDescent="0.2">
      <c r="B106" s="93"/>
      <c r="D106" s="94" t="s">
        <v>4419</v>
      </c>
      <c r="E106" s="95"/>
      <c r="F106" s="95"/>
      <c r="G106" s="95"/>
      <c r="H106" s="95"/>
      <c r="I106" s="95"/>
      <c r="J106" s="96">
        <f>J164</f>
        <v>1465.7300000000002</v>
      </c>
      <c r="L106" s="93"/>
      <c r="W106" s="188"/>
      <c r="X106" s="189"/>
      <c r="Y106" s="94" t="s">
        <v>4419</v>
      </c>
      <c r="Z106" s="95"/>
      <c r="AA106" s="95"/>
      <c r="AB106" s="95"/>
      <c r="AC106" s="95"/>
      <c r="AD106" s="95"/>
      <c r="AE106" s="190">
        <f>AE164</f>
        <v>1465.7300000000002</v>
      </c>
    </row>
    <row r="107" spans="2:31" s="9" customFormat="1" ht="19.95" customHeight="1" x14ac:dyDescent="0.2">
      <c r="B107" s="93"/>
      <c r="D107" s="94" t="s">
        <v>4420</v>
      </c>
      <c r="E107" s="95"/>
      <c r="F107" s="95"/>
      <c r="G107" s="95"/>
      <c r="H107" s="95"/>
      <c r="I107" s="95"/>
      <c r="J107" s="96">
        <f>J170</f>
        <v>1579.52</v>
      </c>
      <c r="L107" s="93"/>
      <c r="W107" s="188"/>
      <c r="X107" s="189"/>
      <c r="Y107" s="94" t="s">
        <v>4420</v>
      </c>
      <c r="Z107" s="95"/>
      <c r="AA107" s="95"/>
      <c r="AB107" s="95"/>
      <c r="AC107" s="95"/>
      <c r="AD107" s="95"/>
      <c r="AE107" s="190">
        <f>AE170</f>
        <v>4654.4900000000007</v>
      </c>
    </row>
    <row r="108" spans="2:31" s="9" customFormat="1" ht="19.95" customHeight="1" x14ac:dyDescent="0.2">
      <c r="B108" s="93"/>
      <c r="D108" s="94" t="s">
        <v>4421</v>
      </c>
      <c r="E108" s="95"/>
      <c r="F108" s="95"/>
      <c r="G108" s="95"/>
      <c r="H108" s="95"/>
      <c r="I108" s="95"/>
      <c r="J108" s="96">
        <f>J173</f>
        <v>1836.2500000000002</v>
      </c>
      <c r="L108" s="93"/>
      <c r="W108" s="188"/>
      <c r="X108" s="189"/>
      <c r="Y108" s="94" t="s">
        <v>4421</v>
      </c>
      <c r="Z108" s="95"/>
      <c r="AA108" s="95"/>
      <c r="AB108" s="95"/>
      <c r="AC108" s="95"/>
      <c r="AD108" s="95"/>
      <c r="AE108" s="190">
        <f>AE173</f>
        <v>6985.1699999999992</v>
      </c>
    </row>
    <row r="109" spans="2:31" s="9" customFormat="1" ht="19.95" customHeight="1" x14ac:dyDescent="0.2">
      <c r="B109" s="93"/>
      <c r="D109" s="94" t="s">
        <v>4422</v>
      </c>
      <c r="E109" s="95"/>
      <c r="F109" s="95"/>
      <c r="G109" s="95"/>
      <c r="H109" s="95"/>
      <c r="I109" s="95"/>
      <c r="J109" s="96">
        <f>J195</f>
        <v>7105.66</v>
      </c>
      <c r="L109" s="93"/>
      <c r="W109" s="188"/>
      <c r="X109" s="189"/>
      <c r="Y109" s="94" t="s">
        <v>4422</v>
      </c>
      <c r="Z109" s="95"/>
      <c r="AA109" s="95"/>
      <c r="AB109" s="95"/>
      <c r="AC109" s="95"/>
      <c r="AD109" s="95"/>
      <c r="AE109" s="190">
        <f>AE195</f>
        <v>11754.014999999996</v>
      </c>
    </row>
    <row r="110" spans="2:31" s="9" customFormat="1" ht="19.95" customHeight="1" x14ac:dyDescent="0.2">
      <c r="B110" s="93"/>
      <c r="D110" s="94" t="s">
        <v>4423</v>
      </c>
      <c r="E110" s="95"/>
      <c r="F110" s="95"/>
      <c r="G110" s="95"/>
      <c r="H110" s="95"/>
      <c r="I110" s="95"/>
      <c r="J110" s="96">
        <f>J220</f>
        <v>3921.57</v>
      </c>
      <c r="L110" s="93"/>
      <c r="W110" s="188"/>
      <c r="X110" s="189"/>
      <c r="Y110" s="94" t="s">
        <v>4423</v>
      </c>
      <c r="Z110" s="95"/>
      <c r="AA110" s="95"/>
      <c r="AB110" s="95"/>
      <c r="AC110" s="95"/>
      <c r="AD110" s="95"/>
      <c r="AE110" s="190">
        <f>AE220</f>
        <v>6571.11</v>
      </c>
    </row>
    <row r="111" spans="2:31" s="1" customFormat="1" ht="21.75" customHeight="1" x14ac:dyDescent="0.2">
      <c r="B111" s="24"/>
      <c r="L111" s="24"/>
      <c r="W111" s="158"/>
      <c r="X111" s="557"/>
      <c r="Y111" s="557"/>
      <c r="Z111" s="557"/>
      <c r="AA111" s="557"/>
      <c r="AB111" s="557"/>
      <c r="AC111" s="557"/>
      <c r="AD111" s="557"/>
      <c r="AE111" s="159"/>
    </row>
    <row r="112" spans="2:31" s="1" customFormat="1" ht="7.05" customHeight="1" x14ac:dyDescent="0.2">
      <c r="B112" s="33"/>
      <c r="C112" s="34"/>
      <c r="D112" s="34"/>
      <c r="E112" s="34"/>
      <c r="F112" s="34"/>
      <c r="G112" s="34"/>
      <c r="H112" s="34"/>
      <c r="I112" s="34"/>
      <c r="J112" s="34"/>
      <c r="K112" s="34"/>
      <c r="L112" s="24"/>
      <c r="W112" s="175"/>
      <c r="X112" s="176"/>
      <c r="Y112" s="176"/>
      <c r="Z112" s="176"/>
      <c r="AA112" s="176"/>
      <c r="AB112" s="176"/>
      <c r="AC112" s="176"/>
      <c r="AD112" s="176"/>
      <c r="AE112" s="177"/>
    </row>
    <row r="116" spans="2:31" s="1" customFormat="1" ht="7.05" customHeight="1" x14ac:dyDescent="0.2">
      <c r="B116" s="35"/>
      <c r="C116" s="36"/>
      <c r="D116" s="36"/>
      <c r="E116" s="36"/>
      <c r="F116" s="36"/>
      <c r="G116" s="36"/>
      <c r="H116" s="36"/>
      <c r="I116" s="36"/>
      <c r="J116" s="36"/>
      <c r="K116" s="36"/>
      <c r="L116" s="24"/>
      <c r="W116" s="178"/>
      <c r="X116" s="179"/>
      <c r="Y116" s="179"/>
      <c r="Z116" s="179"/>
      <c r="AA116" s="179"/>
      <c r="AB116" s="179"/>
      <c r="AC116" s="179"/>
      <c r="AD116" s="179"/>
      <c r="AE116" s="180"/>
    </row>
    <row r="117" spans="2:31" s="1" customFormat="1" ht="25.05" customHeight="1" x14ac:dyDescent="0.2">
      <c r="B117" s="24"/>
      <c r="C117" s="1165" t="s">
        <v>214</v>
      </c>
      <c r="D117" s="1165"/>
      <c r="E117" s="1165"/>
      <c r="F117" s="1165"/>
      <c r="G117" s="1165"/>
      <c r="H117" s="1165"/>
      <c r="I117" s="1165"/>
      <c r="J117" s="1165"/>
      <c r="L117" s="24"/>
      <c r="W117" s="158"/>
      <c r="X117" s="1237" t="s">
        <v>214</v>
      </c>
      <c r="Y117" s="1237"/>
      <c r="Z117" s="1237"/>
      <c r="AA117" s="1237"/>
      <c r="AB117" s="1237"/>
      <c r="AC117" s="1237"/>
      <c r="AD117" s="1237"/>
      <c r="AE117" s="1238"/>
    </row>
    <row r="118" spans="2:31" s="1" customFormat="1" ht="7.05" customHeight="1" x14ac:dyDescent="0.2">
      <c r="B118" s="24"/>
      <c r="L118" s="24"/>
      <c r="W118" s="158"/>
      <c r="X118" s="557"/>
      <c r="Y118" s="557"/>
      <c r="Z118" s="557"/>
      <c r="AA118" s="557"/>
      <c r="AB118" s="557"/>
      <c r="AC118" s="557"/>
      <c r="AD118" s="557"/>
      <c r="AE118" s="159"/>
    </row>
    <row r="119" spans="2:31" s="1" customFormat="1" ht="12" customHeight="1" x14ac:dyDescent="0.2">
      <c r="B119" s="24"/>
      <c r="C119" s="528" t="s">
        <v>12</v>
      </c>
      <c r="E119" s="1242" t="s">
        <v>6177</v>
      </c>
      <c r="F119" s="1242"/>
      <c r="G119" s="1242"/>
      <c r="H119" s="1242"/>
      <c r="I119" s="1242"/>
      <c r="J119" s="1242"/>
      <c r="L119" s="24"/>
      <c r="W119" s="158"/>
      <c r="X119" s="538" t="s">
        <v>12</v>
      </c>
      <c r="Y119" s="557"/>
      <c r="Z119" s="1163" t="s">
        <v>6177</v>
      </c>
      <c r="AA119" s="1163"/>
      <c r="AB119" s="1163"/>
      <c r="AC119" s="1163"/>
      <c r="AD119" s="1163"/>
      <c r="AE119" s="1241"/>
    </row>
    <row r="120" spans="2:31" s="1" customFormat="1" ht="24" customHeight="1" x14ac:dyDescent="0.2">
      <c r="B120" s="24"/>
      <c r="C120" s="521"/>
      <c r="E120" s="1243"/>
      <c r="F120" s="1244"/>
      <c r="G120" s="1244"/>
      <c r="H120" s="1244"/>
      <c r="L120" s="24"/>
      <c r="W120" s="158"/>
      <c r="X120" s="557"/>
      <c r="Y120" s="557"/>
      <c r="Z120" s="1249"/>
      <c r="AA120" s="1250"/>
      <c r="AB120" s="1250"/>
      <c r="AC120" s="1250"/>
      <c r="AD120" s="557"/>
      <c r="AE120" s="159"/>
    </row>
    <row r="121" spans="2:31" s="1" customFormat="1" ht="12" customHeight="1" x14ac:dyDescent="0.2">
      <c r="B121" s="24"/>
      <c r="C121" s="528" t="s">
        <v>186</v>
      </c>
      <c r="F121" s="532" t="s">
        <v>4412</v>
      </c>
      <c r="L121" s="24"/>
      <c r="W121" s="158"/>
      <c r="X121" s="538" t="s">
        <v>186</v>
      </c>
      <c r="Y121" s="557"/>
      <c r="Z121" s="557"/>
      <c r="AA121" s="555" t="s">
        <v>4412</v>
      </c>
      <c r="AB121" s="557"/>
      <c r="AC121" s="557"/>
      <c r="AD121" s="557"/>
      <c r="AE121" s="159"/>
    </row>
    <row r="122" spans="2:31" s="1" customFormat="1" ht="16.5" customHeight="1" x14ac:dyDescent="0.2">
      <c r="B122" s="24"/>
      <c r="C122" s="521"/>
      <c r="E122" s="1251"/>
      <c r="F122" s="1252"/>
      <c r="G122" s="1252"/>
      <c r="H122" s="1252"/>
      <c r="L122" s="24"/>
      <c r="W122" s="158"/>
      <c r="X122" s="557"/>
      <c r="Y122" s="557"/>
      <c r="Z122" s="1245"/>
      <c r="AA122" s="1246"/>
      <c r="AB122" s="1246"/>
      <c r="AC122" s="1246"/>
      <c r="AD122" s="557"/>
      <c r="AE122" s="159"/>
    </row>
    <row r="123" spans="2:31" s="1" customFormat="1" ht="7.05" customHeight="1" x14ac:dyDescent="0.2">
      <c r="B123" s="24"/>
      <c r="C123" s="521"/>
      <c r="L123" s="24"/>
      <c r="W123" s="158"/>
      <c r="X123" s="557"/>
      <c r="Y123" s="557"/>
      <c r="Z123" s="557"/>
      <c r="AA123" s="557"/>
      <c r="AB123" s="557"/>
      <c r="AC123" s="557"/>
      <c r="AD123" s="557"/>
      <c r="AE123" s="159"/>
    </row>
    <row r="124" spans="2:31" s="1" customFormat="1" ht="12" customHeight="1" x14ac:dyDescent="0.2">
      <c r="B124" s="24"/>
      <c r="C124" s="528" t="s">
        <v>15</v>
      </c>
      <c r="F124" s="19" t="str">
        <f>F12</f>
        <v>Kuzmányho nábrežie 28, 960 01 Zvolen</v>
      </c>
      <c r="I124" s="528" t="s">
        <v>17</v>
      </c>
      <c r="J124" s="39" t="str">
        <f>IF(J12="","",J12)</f>
        <v/>
      </c>
      <c r="L124" s="24"/>
      <c r="W124" s="158"/>
      <c r="X124" s="538" t="s">
        <v>15</v>
      </c>
      <c r="Y124" s="557"/>
      <c r="Z124" s="557"/>
      <c r="AA124" s="558" t="str">
        <f>AA12</f>
        <v>Kuzmányho nábrežie 28, 960 01 Zvolen</v>
      </c>
      <c r="AB124" s="557"/>
      <c r="AC124" s="557"/>
      <c r="AD124" s="538" t="s">
        <v>17</v>
      </c>
      <c r="AE124" s="162" t="str">
        <f>IF(AE12="","",AE12)</f>
        <v/>
      </c>
    </row>
    <row r="125" spans="2:31" s="1" customFormat="1" ht="7.05" customHeight="1" x14ac:dyDescent="0.2">
      <c r="B125" s="24"/>
      <c r="C125" s="521"/>
      <c r="I125" s="521"/>
      <c r="L125" s="24"/>
      <c r="W125" s="158"/>
      <c r="X125" s="557"/>
      <c r="Y125" s="557"/>
      <c r="Z125" s="557"/>
      <c r="AA125" s="557"/>
      <c r="AB125" s="557"/>
      <c r="AC125" s="557"/>
      <c r="AD125" s="557"/>
      <c r="AE125" s="159"/>
    </row>
    <row r="126" spans="2:31" s="1" customFormat="1" ht="15.3" customHeight="1" x14ac:dyDescent="0.2">
      <c r="B126" s="24"/>
      <c r="C126" s="528" t="s">
        <v>18</v>
      </c>
      <c r="F126" s="529" t="s">
        <v>6175</v>
      </c>
      <c r="I126" s="528" t="s">
        <v>22</v>
      </c>
      <c r="J126" s="22" t="str">
        <f>E21</f>
        <v xml:space="preserve"> </v>
      </c>
      <c r="L126" s="24"/>
      <c r="W126" s="158"/>
      <c r="X126" s="538" t="s">
        <v>18</v>
      </c>
      <c r="Y126" s="557"/>
      <c r="Z126" s="557"/>
      <c r="AA126" s="576" t="s">
        <v>6175</v>
      </c>
      <c r="AB126" s="557"/>
      <c r="AC126" s="557"/>
      <c r="AD126" s="538" t="s">
        <v>22</v>
      </c>
      <c r="AE126" s="181" t="str">
        <f>Z21</f>
        <v/>
      </c>
    </row>
    <row r="127" spans="2:31" s="1" customFormat="1" ht="15.3" customHeight="1" x14ac:dyDescent="0.3">
      <c r="B127" s="24"/>
      <c r="C127" s="528" t="s">
        <v>21</v>
      </c>
      <c r="F127" s="529" t="s">
        <v>5202</v>
      </c>
      <c r="I127" s="528" t="s">
        <v>24</v>
      </c>
      <c r="J127" s="22" t="str">
        <f>E24</f>
        <v xml:space="preserve"> </v>
      </c>
      <c r="L127" s="24"/>
      <c r="W127" s="158"/>
      <c r="X127" s="538" t="s">
        <v>21</v>
      </c>
      <c r="Y127" s="557"/>
      <c r="Z127" s="557"/>
      <c r="AA127" s="576" t="s">
        <v>5202</v>
      </c>
      <c r="AB127" s="557"/>
      <c r="AC127" s="557"/>
      <c r="AD127" s="538" t="s">
        <v>24</v>
      </c>
      <c r="AE127" s="194"/>
    </row>
    <row r="128" spans="2:31" s="1" customFormat="1" ht="10.199999999999999" customHeight="1" x14ac:dyDescent="0.2">
      <c r="B128" s="24"/>
      <c r="L128" s="24"/>
      <c r="W128" s="158"/>
      <c r="X128" s="557"/>
      <c r="Y128" s="557"/>
      <c r="Z128" s="557"/>
      <c r="AA128" s="557"/>
      <c r="AB128" s="557"/>
      <c r="AC128" s="557"/>
      <c r="AD128" s="557"/>
      <c r="AE128" s="159"/>
    </row>
    <row r="129" spans="2:65" s="10" customFormat="1" ht="29.25" customHeight="1" x14ac:dyDescent="0.2">
      <c r="B129" s="97"/>
      <c r="C129" s="98" t="s">
        <v>215</v>
      </c>
      <c r="D129" s="99" t="s">
        <v>43</v>
      </c>
      <c r="E129" s="99" t="s">
        <v>41</v>
      </c>
      <c r="F129" s="99" t="s">
        <v>42</v>
      </c>
      <c r="G129" s="99" t="s">
        <v>216</v>
      </c>
      <c r="H129" s="99" t="s">
        <v>217</v>
      </c>
      <c r="I129" s="99" t="s">
        <v>218</v>
      </c>
      <c r="J129" s="100" t="s">
        <v>190</v>
      </c>
      <c r="K129" s="101" t="s">
        <v>219</v>
      </c>
      <c r="L129" s="97"/>
      <c r="M129" s="46" t="s">
        <v>1</v>
      </c>
      <c r="N129" s="47" t="s">
        <v>30</v>
      </c>
      <c r="O129" s="47" t="s">
        <v>220</v>
      </c>
      <c r="P129" s="47" t="s">
        <v>221</v>
      </c>
      <c r="Q129" s="47" t="s">
        <v>222</v>
      </c>
      <c r="R129" s="47" t="s">
        <v>223</v>
      </c>
      <c r="S129" s="47" t="s">
        <v>224</v>
      </c>
      <c r="T129" s="48" t="s">
        <v>225</v>
      </c>
      <c r="W129" s="191"/>
      <c r="X129" s="98" t="s">
        <v>215</v>
      </c>
      <c r="Y129" s="99" t="s">
        <v>43</v>
      </c>
      <c r="Z129" s="99" t="s">
        <v>41</v>
      </c>
      <c r="AA129" s="99" t="s">
        <v>42</v>
      </c>
      <c r="AB129" s="99" t="s">
        <v>216</v>
      </c>
      <c r="AC129" s="99" t="s">
        <v>217</v>
      </c>
      <c r="AD129" s="99" t="s">
        <v>218</v>
      </c>
      <c r="AE129" s="192" t="s">
        <v>190</v>
      </c>
      <c r="AF129" s="228" t="s">
        <v>5220</v>
      </c>
    </row>
    <row r="130" spans="2:65" s="1" customFormat="1" ht="22.95" customHeight="1" x14ac:dyDescent="0.3">
      <c r="B130" s="24"/>
      <c r="C130" s="51" t="s">
        <v>191</v>
      </c>
      <c r="J130" s="102">
        <f>BK130</f>
        <v>21649.18</v>
      </c>
      <c r="L130" s="24"/>
      <c r="M130" s="49"/>
      <c r="N130" s="40"/>
      <c r="O130" s="40"/>
      <c r="P130" s="103">
        <f>P131+P163</f>
        <v>131.42379199999999</v>
      </c>
      <c r="Q130" s="40"/>
      <c r="R130" s="103">
        <f>R131+R163</f>
        <v>4.8152687999999999E-2</v>
      </c>
      <c r="S130" s="40"/>
      <c r="T130" s="104">
        <f>T131+T163</f>
        <v>6.9</v>
      </c>
      <c r="W130" s="158"/>
      <c r="X130" s="193" t="s">
        <v>191</v>
      </c>
      <c r="Y130" s="557"/>
      <c r="Z130" s="557"/>
      <c r="AA130" s="557"/>
      <c r="AB130" s="557"/>
      <c r="AC130" s="557"/>
      <c r="AD130" s="557"/>
      <c r="AE130" s="194">
        <f>AE131+AE163</f>
        <v>43891.273559999994</v>
      </c>
      <c r="AF130" s="227"/>
      <c r="AG130" s="130"/>
      <c r="AT130" s="13" t="s">
        <v>57</v>
      </c>
      <c r="AU130" s="13" t="s">
        <v>192</v>
      </c>
      <c r="BK130" s="105">
        <f>BK131+BK163</f>
        <v>21649.18</v>
      </c>
    </row>
    <row r="131" spans="2:65" s="11" customFormat="1" ht="25.95" customHeight="1" x14ac:dyDescent="0.25">
      <c r="B131" s="106"/>
      <c r="D131" s="107" t="s">
        <v>57</v>
      </c>
      <c r="E131" s="108" t="s">
        <v>1201</v>
      </c>
      <c r="F131" s="108" t="s">
        <v>227</v>
      </c>
      <c r="J131" s="109">
        <f>BK131</f>
        <v>5740.45</v>
      </c>
      <c r="L131" s="106"/>
      <c r="M131" s="110"/>
      <c r="N131" s="111"/>
      <c r="O131" s="111"/>
      <c r="P131" s="112">
        <f>P140+P142+P145+P150+P161</f>
        <v>112.68787999999998</v>
      </c>
      <c r="Q131" s="111"/>
      <c r="R131" s="112">
        <f>R140+R142+R145+R150+R161</f>
        <v>0</v>
      </c>
      <c r="S131" s="111"/>
      <c r="T131" s="113">
        <f>T140+T142+T145+T150+T161</f>
        <v>6.9</v>
      </c>
      <c r="W131" s="195"/>
      <c r="X131" s="111"/>
      <c r="Y131" s="196" t="s">
        <v>57</v>
      </c>
      <c r="Z131" s="197" t="s">
        <v>1201</v>
      </c>
      <c r="AA131" s="197" t="s">
        <v>227</v>
      </c>
      <c r="AB131" s="111"/>
      <c r="AC131" s="111"/>
      <c r="AD131" s="111"/>
      <c r="AE131" s="198">
        <f>AE132+AE137+AE140+AE142+AE145+AE150+AE161</f>
        <v>12460.75856</v>
      </c>
      <c r="AF131" s="1131"/>
      <c r="AG131" s="292"/>
      <c r="AH131" s="364"/>
      <c r="AR131" s="107" t="s">
        <v>63</v>
      </c>
      <c r="AT131" s="114" t="s">
        <v>57</v>
      </c>
      <c r="AU131" s="114" t="s">
        <v>58</v>
      </c>
      <c r="AY131" s="107" t="s">
        <v>228</v>
      </c>
      <c r="BK131" s="115">
        <f>BK140+BK142+BK145+BK150+BK161</f>
        <v>5740.45</v>
      </c>
    </row>
    <row r="132" spans="2:65" s="11" customFormat="1" ht="25.95" customHeight="1" x14ac:dyDescent="0.25">
      <c r="B132" s="106"/>
      <c r="D132" s="107"/>
      <c r="E132" s="108"/>
      <c r="F132" s="108"/>
      <c r="J132" s="109"/>
      <c r="L132" s="106"/>
      <c r="M132" s="110"/>
      <c r="N132" s="111"/>
      <c r="O132" s="111"/>
      <c r="P132" s="112"/>
      <c r="Q132" s="111"/>
      <c r="R132" s="112"/>
      <c r="S132" s="111"/>
      <c r="T132" s="113"/>
      <c r="W132" s="195"/>
      <c r="X132" s="280"/>
      <c r="Y132" s="196" t="s">
        <v>57</v>
      </c>
      <c r="Z132" s="201" t="s">
        <v>63</v>
      </c>
      <c r="AA132" s="201" t="s">
        <v>3100</v>
      </c>
      <c r="AB132" s="280"/>
      <c r="AC132" s="280"/>
      <c r="AD132" s="280"/>
      <c r="AE132" s="281">
        <f>SUM(AE133:AE136)</f>
        <v>559.85</v>
      </c>
      <c r="AF132" s="1131"/>
      <c r="AG132" s="292"/>
      <c r="AR132" s="107"/>
      <c r="AT132" s="114"/>
      <c r="AU132" s="114"/>
      <c r="AY132" s="107"/>
      <c r="BK132" s="115"/>
    </row>
    <row r="133" spans="2:65" s="11" customFormat="1" ht="25.95" customHeight="1" x14ac:dyDescent="0.2">
      <c r="B133" s="106"/>
      <c r="C133" s="1234" t="s">
        <v>5205</v>
      </c>
      <c r="D133" s="1235"/>
      <c r="E133" s="1235"/>
      <c r="F133" s="1235"/>
      <c r="G133" s="1235"/>
      <c r="H133" s="1235"/>
      <c r="I133" s="1235"/>
      <c r="J133" s="1236"/>
      <c r="L133" s="106"/>
      <c r="M133" s="110"/>
      <c r="N133" s="111"/>
      <c r="O133" s="111"/>
      <c r="P133" s="112"/>
      <c r="Q133" s="111"/>
      <c r="R133" s="112"/>
      <c r="S133" s="111"/>
      <c r="T133" s="113"/>
      <c r="W133" s="195"/>
      <c r="X133" s="207" t="s">
        <v>5323</v>
      </c>
      <c r="Y133" s="207" t="s">
        <v>231</v>
      </c>
      <c r="Z133" s="208" t="s">
        <v>899</v>
      </c>
      <c r="AA133" s="209" t="s">
        <v>900</v>
      </c>
      <c r="AB133" s="210" t="s">
        <v>234</v>
      </c>
      <c r="AC133" s="211">
        <v>17.7</v>
      </c>
      <c r="AD133" s="212">
        <v>17.420000000000002</v>
      </c>
      <c r="AE133" s="214">
        <f>ROUND(AD133*AC133,2)</f>
        <v>308.33</v>
      </c>
      <c r="AF133" s="1131">
        <v>9</v>
      </c>
      <c r="AG133" s="409"/>
      <c r="AH133" s="364"/>
      <c r="AR133" s="107"/>
      <c r="AT133" s="114"/>
      <c r="AU133" s="114"/>
      <c r="AY133" s="107"/>
      <c r="BK133" s="115"/>
    </row>
    <row r="134" spans="2:65" s="11" customFormat="1" ht="25.95" customHeight="1" x14ac:dyDescent="0.2">
      <c r="B134" s="106"/>
      <c r="C134" s="1234" t="s">
        <v>5205</v>
      </c>
      <c r="D134" s="1235"/>
      <c r="E134" s="1235"/>
      <c r="F134" s="1235"/>
      <c r="G134" s="1235"/>
      <c r="H134" s="1235"/>
      <c r="I134" s="1235"/>
      <c r="J134" s="1236"/>
      <c r="L134" s="106"/>
      <c r="M134" s="110"/>
      <c r="N134" s="111"/>
      <c r="O134" s="111"/>
      <c r="P134" s="112"/>
      <c r="Q134" s="111"/>
      <c r="R134" s="112"/>
      <c r="S134" s="111"/>
      <c r="T134" s="113"/>
      <c r="W134" s="195"/>
      <c r="X134" s="207" t="s">
        <v>5836</v>
      </c>
      <c r="Y134" s="207" t="s">
        <v>231</v>
      </c>
      <c r="Z134" s="208" t="s">
        <v>901</v>
      </c>
      <c r="AA134" s="209" t="s">
        <v>902</v>
      </c>
      <c r="AB134" s="210" t="s">
        <v>234</v>
      </c>
      <c r="AC134" s="211">
        <v>17.7</v>
      </c>
      <c r="AD134" s="212">
        <v>1.43</v>
      </c>
      <c r="AE134" s="214">
        <f>ROUND(AD134*AC134,2)</f>
        <v>25.31</v>
      </c>
      <c r="AF134" s="1131">
        <v>9</v>
      </c>
      <c r="AG134" s="409"/>
      <c r="AH134" s="364"/>
      <c r="AR134" s="107"/>
      <c r="AT134" s="114"/>
      <c r="AU134" s="114"/>
      <c r="AY134" s="107"/>
      <c r="BK134" s="115"/>
    </row>
    <row r="135" spans="2:65" s="11" customFormat="1" ht="25.95" customHeight="1" x14ac:dyDescent="0.2">
      <c r="B135" s="106"/>
      <c r="C135" s="1234" t="s">
        <v>5205</v>
      </c>
      <c r="D135" s="1235"/>
      <c r="E135" s="1235"/>
      <c r="F135" s="1235"/>
      <c r="G135" s="1235"/>
      <c r="H135" s="1235"/>
      <c r="I135" s="1235"/>
      <c r="J135" s="1236"/>
      <c r="L135" s="106"/>
      <c r="M135" s="110"/>
      <c r="N135" s="111"/>
      <c r="O135" s="111"/>
      <c r="P135" s="112"/>
      <c r="Q135" s="111"/>
      <c r="R135" s="112"/>
      <c r="S135" s="111"/>
      <c r="T135" s="113"/>
      <c r="W135" s="195"/>
      <c r="X135" s="207" t="s">
        <v>6024</v>
      </c>
      <c r="Y135" s="207" t="s">
        <v>231</v>
      </c>
      <c r="Z135" s="208" t="s">
        <v>903</v>
      </c>
      <c r="AA135" s="209" t="s">
        <v>904</v>
      </c>
      <c r="AB135" s="210" t="s">
        <v>234</v>
      </c>
      <c r="AC135" s="211">
        <v>17.7</v>
      </c>
      <c r="AD135" s="212">
        <v>6.97</v>
      </c>
      <c r="AE135" s="214">
        <f>ROUND(AD135*AC135,2)</f>
        <v>123.37</v>
      </c>
      <c r="AF135" s="1131">
        <v>9</v>
      </c>
      <c r="AG135" s="409"/>
      <c r="AH135" s="364"/>
      <c r="AR135" s="107"/>
      <c r="AT135" s="114"/>
      <c r="AU135" s="114"/>
      <c r="AY135" s="107"/>
      <c r="BK135" s="115"/>
    </row>
    <row r="136" spans="2:65" s="11" customFormat="1" ht="25.95" customHeight="1" x14ac:dyDescent="0.2">
      <c r="B136" s="106"/>
      <c r="C136" s="1234" t="s">
        <v>5205</v>
      </c>
      <c r="D136" s="1235"/>
      <c r="E136" s="1235"/>
      <c r="F136" s="1235"/>
      <c r="G136" s="1235"/>
      <c r="H136" s="1235"/>
      <c r="I136" s="1235"/>
      <c r="J136" s="1236"/>
      <c r="L136" s="106"/>
      <c r="M136" s="110"/>
      <c r="N136" s="111"/>
      <c r="O136" s="111"/>
      <c r="P136" s="112"/>
      <c r="Q136" s="111"/>
      <c r="R136" s="112"/>
      <c r="S136" s="111"/>
      <c r="T136" s="113"/>
      <c r="W136" s="195"/>
      <c r="X136" s="207" t="s">
        <v>6025</v>
      </c>
      <c r="Y136" s="207" t="s">
        <v>231</v>
      </c>
      <c r="Z136" s="208" t="s">
        <v>905</v>
      </c>
      <c r="AA136" s="209" t="s">
        <v>906</v>
      </c>
      <c r="AB136" s="210" t="s">
        <v>234</v>
      </c>
      <c r="AC136" s="211">
        <v>17.7</v>
      </c>
      <c r="AD136" s="212">
        <v>5.81</v>
      </c>
      <c r="AE136" s="214">
        <f>ROUND(AD136*AC136,2)</f>
        <v>102.84</v>
      </c>
      <c r="AF136" s="1131">
        <v>9</v>
      </c>
      <c r="AG136" s="409"/>
      <c r="AH136" s="364"/>
      <c r="AR136" s="107"/>
      <c r="AT136" s="114"/>
      <c r="AU136" s="114"/>
      <c r="AY136" s="107"/>
      <c r="BK136" s="115"/>
    </row>
    <row r="137" spans="2:65" s="11" customFormat="1" ht="25.95" customHeight="1" x14ac:dyDescent="0.25">
      <c r="B137" s="106"/>
      <c r="D137" s="107"/>
      <c r="E137" s="108"/>
      <c r="F137" s="108"/>
      <c r="J137" s="109"/>
      <c r="L137" s="106"/>
      <c r="M137" s="110"/>
      <c r="N137" s="111"/>
      <c r="O137" s="111"/>
      <c r="P137" s="112"/>
      <c r="Q137" s="111"/>
      <c r="R137" s="112"/>
      <c r="S137" s="111"/>
      <c r="T137" s="113"/>
      <c r="W137" s="195"/>
      <c r="X137" s="280"/>
      <c r="Y137" s="196" t="s">
        <v>57</v>
      </c>
      <c r="Z137" s="201" t="s">
        <v>76</v>
      </c>
      <c r="AA137" s="201" t="s">
        <v>907</v>
      </c>
      <c r="AB137" s="280"/>
      <c r="AC137" s="280"/>
      <c r="AD137" s="280"/>
      <c r="AE137" s="281">
        <f>SUM(AE138:AE139)</f>
        <v>1824.38</v>
      </c>
      <c r="AF137" s="1131"/>
      <c r="AG137" s="409"/>
      <c r="AH137" s="364"/>
      <c r="AR137" s="107"/>
      <c r="AT137" s="114"/>
      <c r="AU137" s="114"/>
      <c r="AY137" s="107"/>
      <c r="BK137" s="115"/>
    </row>
    <row r="138" spans="2:65" s="11" customFormat="1" ht="25.95" customHeight="1" x14ac:dyDescent="0.2">
      <c r="B138" s="106"/>
      <c r="C138" s="1234" t="s">
        <v>5205</v>
      </c>
      <c r="D138" s="1235"/>
      <c r="E138" s="1235"/>
      <c r="F138" s="1235"/>
      <c r="G138" s="1235"/>
      <c r="H138" s="1235"/>
      <c r="I138" s="1235"/>
      <c r="J138" s="1236"/>
      <c r="L138" s="106"/>
      <c r="M138" s="110"/>
      <c r="N138" s="111"/>
      <c r="O138" s="111"/>
      <c r="P138" s="112"/>
      <c r="Q138" s="111"/>
      <c r="R138" s="112"/>
      <c r="S138" s="111"/>
      <c r="T138" s="113"/>
      <c r="W138" s="195"/>
      <c r="X138" s="207" t="s">
        <v>6026</v>
      </c>
      <c r="Y138" s="207" t="s">
        <v>231</v>
      </c>
      <c r="Z138" s="208" t="s">
        <v>908</v>
      </c>
      <c r="AA138" s="209" t="s">
        <v>909</v>
      </c>
      <c r="AB138" s="210" t="s">
        <v>234</v>
      </c>
      <c r="AC138" s="211">
        <v>17.7</v>
      </c>
      <c r="AD138" s="212">
        <v>29.03</v>
      </c>
      <c r="AE138" s="214">
        <f>ROUND(AD138*AC138,2)</f>
        <v>513.83000000000004</v>
      </c>
      <c r="AF138" s="1131">
        <v>9</v>
      </c>
      <c r="AG138" s="409"/>
      <c r="AH138" s="364"/>
      <c r="AR138" s="107"/>
      <c r="AT138" s="114"/>
      <c r="AU138" s="114"/>
      <c r="AY138" s="107"/>
      <c r="BK138" s="115"/>
    </row>
    <row r="139" spans="2:65" s="11" customFormat="1" ht="25.95" customHeight="1" x14ac:dyDescent="0.2">
      <c r="B139" s="106"/>
      <c r="C139" s="1234" t="s">
        <v>5205</v>
      </c>
      <c r="D139" s="1235"/>
      <c r="E139" s="1235"/>
      <c r="F139" s="1235"/>
      <c r="G139" s="1235"/>
      <c r="H139" s="1235"/>
      <c r="I139" s="1235"/>
      <c r="J139" s="1236"/>
      <c r="L139" s="106"/>
      <c r="M139" s="110"/>
      <c r="N139" s="111"/>
      <c r="O139" s="111"/>
      <c r="P139" s="112"/>
      <c r="Q139" s="111"/>
      <c r="R139" s="112"/>
      <c r="S139" s="111"/>
      <c r="T139" s="113"/>
      <c r="W139" s="195"/>
      <c r="X139" s="207" t="s">
        <v>6027</v>
      </c>
      <c r="Y139" s="207" t="s">
        <v>231</v>
      </c>
      <c r="Z139" s="208" t="s">
        <v>910</v>
      </c>
      <c r="AA139" s="209" t="s">
        <v>911</v>
      </c>
      <c r="AB139" s="210" t="s">
        <v>234</v>
      </c>
      <c r="AC139" s="211">
        <f>14.8+0.25</f>
        <v>15.05</v>
      </c>
      <c r="AD139" s="212">
        <v>87.08</v>
      </c>
      <c r="AE139" s="214">
        <f>ROUND(AD139*AC139,2)</f>
        <v>1310.55</v>
      </c>
      <c r="AF139" s="1131" t="s">
        <v>6287</v>
      </c>
      <c r="AG139" s="409"/>
      <c r="AH139" s="364"/>
      <c r="AR139" s="107"/>
      <c r="AT139" s="114"/>
      <c r="AU139" s="114"/>
      <c r="AY139" s="107"/>
      <c r="BK139" s="115"/>
    </row>
    <row r="140" spans="2:65" s="11" customFormat="1" ht="22.95" customHeight="1" x14ac:dyDescent="0.25">
      <c r="B140" s="106"/>
      <c r="D140" s="107" t="s">
        <v>57</v>
      </c>
      <c r="E140" s="116" t="s">
        <v>1211</v>
      </c>
      <c r="F140" s="116" t="s">
        <v>309</v>
      </c>
      <c r="J140" s="117">
        <f>BK140</f>
        <v>988.05</v>
      </c>
      <c r="L140" s="106"/>
      <c r="M140" s="110"/>
      <c r="N140" s="111"/>
      <c r="O140" s="111"/>
      <c r="P140" s="112">
        <f>P141</f>
        <v>0</v>
      </c>
      <c r="Q140" s="111"/>
      <c r="R140" s="112">
        <f>R141</f>
        <v>0</v>
      </c>
      <c r="S140" s="111"/>
      <c r="T140" s="113">
        <f>T141</f>
        <v>0</v>
      </c>
      <c r="W140" s="195"/>
      <c r="X140" s="111"/>
      <c r="Y140" s="196" t="s">
        <v>57</v>
      </c>
      <c r="Z140" s="201" t="s">
        <v>1211</v>
      </c>
      <c r="AA140" s="201" t="s">
        <v>309</v>
      </c>
      <c r="AB140" s="111"/>
      <c r="AC140" s="111"/>
      <c r="AD140" s="111"/>
      <c r="AE140" s="202">
        <f>SUM(AE141)</f>
        <v>1196.07</v>
      </c>
      <c r="AF140" s="1131"/>
      <c r="AG140" s="409"/>
      <c r="AH140" s="364"/>
      <c r="AR140" s="107" t="s">
        <v>63</v>
      </c>
      <c r="AT140" s="114" t="s">
        <v>57</v>
      </c>
      <c r="AU140" s="114" t="s">
        <v>63</v>
      </c>
      <c r="AY140" s="107" t="s">
        <v>228</v>
      </c>
      <c r="BK140" s="115">
        <f>BK141</f>
        <v>988.05</v>
      </c>
    </row>
    <row r="141" spans="2:65" s="1" customFormat="1" ht="24" customHeight="1" x14ac:dyDescent="0.2">
      <c r="B141" s="118"/>
      <c r="C141" s="205" t="s">
        <v>63</v>
      </c>
      <c r="D141" s="119" t="s">
        <v>231</v>
      </c>
      <c r="E141" s="120" t="s">
        <v>4424</v>
      </c>
      <c r="F141" s="121" t="s">
        <v>4425</v>
      </c>
      <c r="G141" s="122" t="s">
        <v>234</v>
      </c>
      <c r="H141" s="206">
        <v>7.4</v>
      </c>
      <c r="I141" s="124">
        <v>133.52000000000001</v>
      </c>
      <c r="J141" s="124">
        <f>ROUND(I141*H141,2)</f>
        <v>988.05</v>
      </c>
      <c r="K141" s="121" t="s">
        <v>1</v>
      </c>
      <c r="L141" s="24"/>
      <c r="M141" s="125" t="s">
        <v>1</v>
      </c>
      <c r="N141" s="126" t="s">
        <v>32</v>
      </c>
      <c r="O141" s="127">
        <v>0</v>
      </c>
      <c r="P141" s="127">
        <f>O141*H141</f>
        <v>0</v>
      </c>
      <c r="Q141" s="127">
        <v>0</v>
      </c>
      <c r="R141" s="127">
        <f>Q141*H141</f>
        <v>0</v>
      </c>
      <c r="S141" s="127">
        <v>0</v>
      </c>
      <c r="T141" s="128">
        <f>S141*H141</f>
        <v>0</v>
      </c>
      <c r="W141" s="199"/>
      <c r="X141" s="205" t="s">
        <v>63</v>
      </c>
      <c r="Y141" s="119" t="s">
        <v>231</v>
      </c>
      <c r="Z141" s="120" t="s">
        <v>4424</v>
      </c>
      <c r="AA141" s="121" t="s">
        <v>4425</v>
      </c>
      <c r="AB141" s="122" t="s">
        <v>234</v>
      </c>
      <c r="AC141" s="206">
        <f>7.4+1.5+0.058</f>
        <v>8.9580000000000002</v>
      </c>
      <c r="AD141" s="124">
        <v>133.52000000000001</v>
      </c>
      <c r="AE141" s="200">
        <f>ROUND(AD141*AC141,2)</f>
        <v>1196.07</v>
      </c>
      <c r="AF141" s="1131" t="s">
        <v>6595</v>
      </c>
      <c r="AG141" s="409"/>
      <c r="AH141" s="364"/>
      <c r="AR141" s="129" t="s">
        <v>235</v>
      </c>
      <c r="AT141" s="129" t="s">
        <v>231</v>
      </c>
      <c r="AU141" s="129" t="s">
        <v>76</v>
      </c>
      <c r="AY141" s="13" t="s">
        <v>228</v>
      </c>
      <c r="BE141" s="130">
        <f>IF(N141="základná",J141,0)</f>
        <v>0</v>
      </c>
      <c r="BF141" s="130">
        <f>IF(N141="znížená",J141,0)</f>
        <v>988.05</v>
      </c>
      <c r="BG141" s="130">
        <f>IF(N141="zákl. prenesená",J141,0)</f>
        <v>0</v>
      </c>
      <c r="BH141" s="130">
        <f>IF(N141="zníž. prenesená",J141,0)</f>
        <v>0</v>
      </c>
      <c r="BI141" s="130">
        <f>IF(N141="nulová",J141,0)</f>
        <v>0</v>
      </c>
      <c r="BJ141" s="13" t="s">
        <v>76</v>
      </c>
      <c r="BK141" s="130">
        <f>ROUND(I141*H141,2)</f>
        <v>988.05</v>
      </c>
      <c r="BL141" s="13" t="s">
        <v>235</v>
      </c>
      <c r="BM141" s="129" t="s">
        <v>76</v>
      </c>
    </row>
    <row r="142" spans="2:65" s="11" customFormat="1" ht="22.95" customHeight="1" x14ac:dyDescent="0.25">
      <c r="B142" s="106"/>
      <c r="D142" s="107" t="s">
        <v>57</v>
      </c>
      <c r="E142" s="116" t="s">
        <v>1215</v>
      </c>
      <c r="F142" s="116" t="s">
        <v>912</v>
      </c>
      <c r="J142" s="117">
        <f>BK142</f>
        <v>2081.2800000000002</v>
      </c>
      <c r="L142" s="106"/>
      <c r="M142" s="110"/>
      <c r="N142" s="111"/>
      <c r="O142" s="111"/>
      <c r="P142" s="112">
        <f>P143</f>
        <v>0</v>
      </c>
      <c r="Q142" s="111"/>
      <c r="R142" s="112">
        <f>R143</f>
        <v>0</v>
      </c>
      <c r="S142" s="111"/>
      <c r="T142" s="113">
        <f>T143</f>
        <v>0</v>
      </c>
      <c r="W142" s="195"/>
      <c r="X142" s="111"/>
      <c r="Y142" s="196" t="s">
        <v>57</v>
      </c>
      <c r="Z142" s="201" t="s">
        <v>1215</v>
      </c>
      <c r="AA142" s="201" t="s">
        <v>912</v>
      </c>
      <c r="AB142" s="111"/>
      <c r="AC142" s="111"/>
      <c r="AD142" s="111"/>
      <c r="AE142" s="202">
        <f>SUM(AE143:AE144)</f>
        <v>2692.71</v>
      </c>
      <c r="AF142" s="1131"/>
      <c r="AG142" s="409"/>
      <c r="AH142" s="364"/>
      <c r="AR142" s="107" t="s">
        <v>63</v>
      </c>
      <c r="AT142" s="114" t="s">
        <v>57</v>
      </c>
      <c r="AU142" s="114" t="s">
        <v>63</v>
      </c>
      <c r="AY142" s="107" t="s">
        <v>228</v>
      </c>
      <c r="BK142" s="115">
        <f>BK143</f>
        <v>2081.2800000000002</v>
      </c>
    </row>
    <row r="143" spans="2:65" s="1" customFormat="1" ht="16.5" customHeight="1" x14ac:dyDescent="0.2">
      <c r="B143" s="118"/>
      <c r="C143" s="205" t="s">
        <v>76</v>
      </c>
      <c r="D143" s="119" t="s">
        <v>231</v>
      </c>
      <c r="E143" s="120" t="s">
        <v>4426</v>
      </c>
      <c r="F143" s="121" t="s">
        <v>4427</v>
      </c>
      <c r="G143" s="122" t="s">
        <v>292</v>
      </c>
      <c r="H143" s="206">
        <v>256</v>
      </c>
      <c r="I143" s="124">
        <v>8.1300000000000008</v>
      </c>
      <c r="J143" s="124">
        <f>ROUND(I143*H143,2)</f>
        <v>2081.2800000000002</v>
      </c>
      <c r="K143" s="121" t="s">
        <v>1</v>
      </c>
      <c r="L143" s="24"/>
      <c r="M143" s="125" t="s">
        <v>1</v>
      </c>
      <c r="N143" s="126" t="s">
        <v>32</v>
      </c>
      <c r="O143" s="127">
        <v>0</v>
      </c>
      <c r="P143" s="127">
        <f>O143*H143</f>
        <v>0</v>
      </c>
      <c r="Q143" s="127">
        <v>0</v>
      </c>
      <c r="R143" s="127">
        <f>Q143*H143</f>
        <v>0</v>
      </c>
      <c r="S143" s="127">
        <v>0</v>
      </c>
      <c r="T143" s="128">
        <f>S143*H143</f>
        <v>0</v>
      </c>
      <c r="W143" s="199"/>
      <c r="X143" s="205" t="s">
        <v>76</v>
      </c>
      <c r="Y143" s="119" t="s">
        <v>231</v>
      </c>
      <c r="Z143" s="120" t="s">
        <v>4426</v>
      </c>
      <c r="AA143" s="121" t="s">
        <v>4427</v>
      </c>
      <c r="AB143" s="122" t="s">
        <v>292</v>
      </c>
      <c r="AC143" s="206">
        <f>256+40</f>
        <v>296</v>
      </c>
      <c r="AD143" s="124">
        <v>8.1300000000000008</v>
      </c>
      <c r="AE143" s="200">
        <f>ROUND(AD143*AC143,2)</f>
        <v>2406.48</v>
      </c>
      <c r="AF143" s="1131">
        <v>9</v>
      </c>
      <c r="AG143" s="409"/>
      <c r="AH143" s="364"/>
      <c r="AR143" s="129" t="s">
        <v>235</v>
      </c>
      <c r="AT143" s="129" t="s">
        <v>231</v>
      </c>
      <c r="AU143" s="129" t="s">
        <v>76</v>
      </c>
      <c r="AY143" s="13" t="s">
        <v>228</v>
      </c>
      <c r="BE143" s="130">
        <f>IF(N143="základná",J143,0)</f>
        <v>0</v>
      </c>
      <c r="BF143" s="130">
        <f>IF(N143="znížená",J143,0)</f>
        <v>2081.2800000000002</v>
      </c>
      <c r="BG143" s="130">
        <f>IF(N143="zákl. prenesená",J143,0)</f>
        <v>0</v>
      </c>
      <c r="BH143" s="130">
        <f>IF(N143="zníž. prenesená",J143,0)</f>
        <v>0</v>
      </c>
      <c r="BI143" s="130">
        <f>IF(N143="nulová",J143,0)</f>
        <v>0</v>
      </c>
      <c r="BJ143" s="13" t="s">
        <v>76</v>
      </c>
      <c r="BK143" s="130">
        <f>ROUND(I143*H143,2)</f>
        <v>2081.2800000000002</v>
      </c>
      <c r="BL143" s="13" t="s">
        <v>235</v>
      </c>
      <c r="BM143" s="129" t="s">
        <v>235</v>
      </c>
    </row>
    <row r="144" spans="2:65" s="638" customFormat="1" ht="28.95" customHeight="1" x14ac:dyDescent="0.2">
      <c r="B144" s="118"/>
      <c r="C144" s="1234" t="s">
        <v>5205</v>
      </c>
      <c r="D144" s="1235"/>
      <c r="E144" s="1235"/>
      <c r="F144" s="1235"/>
      <c r="G144" s="1235"/>
      <c r="H144" s="1235"/>
      <c r="I144" s="1235"/>
      <c r="J144" s="1236"/>
      <c r="K144" s="222"/>
      <c r="L144" s="24"/>
      <c r="M144" s="125"/>
      <c r="N144" s="126"/>
      <c r="O144" s="127"/>
      <c r="P144" s="127"/>
      <c r="Q144" s="127"/>
      <c r="R144" s="127"/>
      <c r="S144" s="127"/>
      <c r="T144" s="128"/>
      <c r="W144" s="199"/>
      <c r="X144" s="207" t="s">
        <v>5837</v>
      </c>
      <c r="Y144" s="207" t="s">
        <v>231</v>
      </c>
      <c r="Z144" s="208" t="s">
        <v>913</v>
      </c>
      <c r="AA144" s="209" t="s">
        <v>6262</v>
      </c>
      <c r="AB144" s="210" t="s">
        <v>292</v>
      </c>
      <c r="AC144" s="211">
        <f>10+7+12</f>
        <v>29</v>
      </c>
      <c r="AD144" s="212">
        <v>9.8699999999999992</v>
      </c>
      <c r="AE144" s="214">
        <f>AC144*AD144</f>
        <v>286.22999999999996</v>
      </c>
      <c r="AF144" s="1131" t="s">
        <v>6649</v>
      </c>
      <c r="AG144" s="409"/>
      <c r="AH144" s="364"/>
      <c r="AR144" s="129"/>
      <c r="AT144" s="129"/>
      <c r="AU144" s="129"/>
      <c r="AY144" s="13"/>
      <c r="BE144" s="130"/>
      <c r="BF144" s="130"/>
      <c r="BG144" s="130"/>
      <c r="BH144" s="130"/>
      <c r="BI144" s="130"/>
      <c r="BJ144" s="13"/>
      <c r="BK144" s="130"/>
      <c r="BL144" s="13"/>
      <c r="BM144" s="129"/>
    </row>
    <row r="145" spans="2:65" s="11" customFormat="1" ht="22.95" customHeight="1" x14ac:dyDescent="0.25">
      <c r="B145" s="106"/>
      <c r="D145" s="107" t="s">
        <v>57</v>
      </c>
      <c r="E145" s="116" t="s">
        <v>1227</v>
      </c>
      <c r="F145" s="116" t="s">
        <v>411</v>
      </c>
      <c r="J145" s="117">
        <f>BK145</f>
        <v>1033.98</v>
      </c>
      <c r="L145" s="106"/>
      <c r="M145" s="110"/>
      <c r="N145" s="111"/>
      <c r="O145" s="111"/>
      <c r="P145" s="112">
        <f>SUM(P146:P149)</f>
        <v>35.22</v>
      </c>
      <c r="Q145" s="111"/>
      <c r="R145" s="112">
        <f>SUM(R146:R149)</f>
        <v>0</v>
      </c>
      <c r="S145" s="111"/>
      <c r="T145" s="113">
        <f>SUM(T146:T149)</f>
        <v>5.73</v>
      </c>
      <c r="W145" s="195"/>
      <c r="X145" s="111"/>
      <c r="Y145" s="196" t="s">
        <v>57</v>
      </c>
      <c r="Z145" s="201" t="s">
        <v>1227</v>
      </c>
      <c r="AA145" s="201" t="s">
        <v>411</v>
      </c>
      <c r="AB145" s="111"/>
      <c r="AC145" s="111"/>
      <c r="AD145" s="111"/>
      <c r="AE145" s="202">
        <f>SUM(AE146:AE149)</f>
        <v>2697.8285599999999</v>
      </c>
      <c r="AF145" s="1131"/>
      <c r="AG145" s="409"/>
      <c r="AH145" s="364"/>
      <c r="AR145" s="107" t="s">
        <v>63</v>
      </c>
      <c r="AT145" s="114" t="s">
        <v>57</v>
      </c>
      <c r="AU145" s="114" t="s">
        <v>63</v>
      </c>
      <c r="AY145" s="107" t="s">
        <v>228</v>
      </c>
      <c r="BK145" s="115">
        <f>SUM(BK146:BK149)</f>
        <v>1033.98</v>
      </c>
    </row>
    <row r="146" spans="2:65" s="1" customFormat="1" ht="16.5" customHeight="1" x14ac:dyDescent="0.2">
      <c r="B146" s="118"/>
      <c r="C146" s="205" t="s">
        <v>229</v>
      </c>
      <c r="D146" s="119" t="s">
        <v>231</v>
      </c>
      <c r="E146" s="120" t="s">
        <v>4278</v>
      </c>
      <c r="F146" s="121" t="s">
        <v>4428</v>
      </c>
      <c r="G146" s="122" t="s">
        <v>234</v>
      </c>
      <c r="H146" s="206">
        <v>7.4</v>
      </c>
      <c r="I146" s="124">
        <v>75.47</v>
      </c>
      <c r="J146" s="124">
        <f>ROUND(I146*H146,2)</f>
        <v>558.48</v>
      </c>
      <c r="K146" s="121" t="s">
        <v>1</v>
      </c>
      <c r="L146" s="24"/>
      <c r="M146" s="125" t="s">
        <v>1</v>
      </c>
      <c r="N146" s="126" t="s">
        <v>32</v>
      </c>
      <c r="O146" s="127">
        <v>0</v>
      </c>
      <c r="P146" s="127">
        <f>O146*H146</f>
        <v>0</v>
      </c>
      <c r="Q146" s="127">
        <v>0</v>
      </c>
      <c r="R146" s="127">
        <f>Q146*H146</f>
        <v>0</v>
      </c>
      <c r="S146" s="127">
        <v>0</v>
      </c>
      <c r="T146" s="128">
        <f>S146*H146</f>
        <v>0</v>
      </c>
      <c r="W146" s="199"/>
      <c r="X146" s="205" t="s">
        <v>229</v>
      </c>
      <c r="Y146" s="119" t="s">
        <v>231</v>
      </c>
      <c r="Z146" s="120" t="s">
        <v>4278</v>
      </c>
      <c r="AA146" s="121" t="s">
        <v>4428</v>
      </c>
      <c r="AB146" s="122" t="s">
        <v>234</v>
      </c>
      <c r="AC146" s="206">
        <f>7.4+7.4+1.545</f>
        <v>16.344999999999999</v>
      </c>
      <c r="AD146" s="124">
        <v>75.47</v>
      </c>
      <c r="AE146" s="200">
        <f>ROUND(AD146*AC146,2)</f>
        <v>1233.56</v>
      </c>
      <c r="AF146" s="1131" t="s">
        <v>6648</v>
      </c>
      <c r="AG146" s="409"/>
      <c r="AH146" s="364"/>
      <c r="AR146" s="129" t="s">
        <v>235</v>
      </c>
      <c r="AT146" s="129" t="s">
        <v>231</v>
      </c>
      <c r="AU146" s="129" t="s">
        <v>76</v>
      </c>
      <c r="AY146" s="13" t="s">
        <v>228</v>
      </c>
      <c r="BE146" s="130">
        <f>IF(N146="základná",J146,0)</f>
        <v>0</v>
      </c>
      <c r="BF146" s="130">
        <f>IF(N146="znížená",J146,0)</f>
        <v>558.48</v>
      </c>
      <c r="BG146" s="130">
        <f>IF(N146="zákl. prenesená",J146,0)</f>
        <v>0</v>
      </c>
      <c r="BH146" s="130">
        <f>IF(N146="zníž. prenesená",J146,0)</f>
        <v>0</v>
      </c>
      <c r="BI146" s="130">
        <f>IF(N146="nulová",J146,0)</f>
        <v>0</v>
      </c>
      <c r="BJ146" s="13" t="s">
        <v>76</v>
      </c>
      <c r="BK146" s="130">
        <f>ROUND(I146*H146,2)</f>
        <v>558.48</v>
      </c>
      <c r="BL146" s="13" t="s">
        <v>235</v>
      </c>
      <c r="BM146" s="129" t="s">
        <v>240</v>
      </c>
    </row>
    <row r="147" spans="2:65" s="638" customFormat="1" ht="19.95" customHeight="1" x14ac:dyDescent="0.2">
      <c r="B147" s="118"/>
      <c r="C147" s="1234" t="s">
        <v>5205</v>
      </c>
      <c r="D147" s="1235"/>
      <c r="E147" s="1235"/>
      <c r="F147" s="1235"/>
      <c r="G147" s="1235"/>
      <c r="H147" s="1235"/>
      <c r="I147" s="1235"/>
      <c r="J147" s="1236"/>
      <c r="K147" s="121"/>
      <c r="L147" s="24"/>
      <c r="M147" s="125"/>
      <c r="N147" s="126"/>
      <c r="O147" s="127"/>
      <c r="P147" s="127"/>
      <c r="Q147" s="127"/>
      <c r="R147" s="127"/>
      <c r="S147" s="127"/>
      <c r="T147" s="128"/>
      <c r="W147" s="199"/>
      <c r="X147" s="207" t="s">
        <v>6028</v>
      </c>
      <c r="Y147" s="207"/>
      <c r="Z147" s="208" t="s">
        <v>915</v>
      </c>
      <c r="AA147" s="209" t="s">
        <v>6263</v>
      </c>
      <c r="AB147" s="210" t="s">
        <v>234</v>
      </c>
      <c r="AC147" s="211">
        <f>2+0.36+0.064</f>
        <v>2.4239999999999999</v>
      </c>
      <c r="AD147" s="212">
        <v>109.69</v>
      </c>
      <c r="AE147" s="214">
        <f>AC147*AD147</f>
        <v>265.88855999999998</v>
      </c>
      <c r="AF147" s="1131" t="s">
        <v>6582</v>
      </c>
      <c r="AG147" s="409"/>
      <c r="AH147" s="364"/>
      <c r="AR147" s="129"/>
      <c r="AT147" s="129"/>
      <c r="AU147" s="129"/>
      <c r="AY147" s="13"/>
      <c r="BE147" s="130"/>
      <c r="BF147" s="130"/>
      <c r="BG147" s="130"/>
      <c r="BH147" s="130"/>
      <c r="BI147" s="130"/>
      <c r="BJ147" s="13"/>
      <c r="BK147" s="130"/>
      <c r="BL147" s="13"/>
      <c r="BM147" s="129"/>
    </row>
    <row r="148" spans="2:65" s="1" customFormat="1" ht="16.5" customHeight="1" x14ac:dyDescent="0.2">
      <c r="B148" s="118"/>
      <c r="C148" s="205" t="s">
        <v>235</v>
      </c>
      <c r="D148" s="119" t="s">
        <v>231</v>
      </c>
      <c r="E148" s="120" t="s">
        <v>917</v>
      </c>
      <c r="F148" s="121" t="s">
        <v>918</v>
      </c>
      <c r="G148" s="122" t="s">
        <v>292</v>
      </c>
      <c r="H148" s="206">
        <v>150</v>
      </c>
      <c r="I148" s="124">
        <v>0.89</v>
      </c>
      <c r="J148" s="124">
        <f>ROUND(I148*H148,2)</f>
        <v>133.5</v>
      </c>
      <c r="K148" s="121" t="s">
        <v>1</v>
      </c>
      <c r="L148" s="24"/>
      <c r="M148" s="125" t="s">
        <v>1</v>
      </c>
      <c r="N148" s="126" t="s">
        <v>32</v>
      </c>
      <c r="O148" s="127">
        <v>6.6000000000000003E-2</v>
      </c>
      <c r="P148" s="127">
        <f>O148*H148</f>
        <v>9.9</v>
      </c>
      <c r="Q148" s="127">
        <v>0</v>
      </c>
      <c r="R148" s="127">
        <f>Q148*H148</f>
        <v>0</v>
      </c>
      <c r="S148" s="127">
        <v>1.2999999999999999E-2</v>
      </c>
      <c r="T148" s="128">
        <f>S148*H148</f>
        <v>1.95</v>
      </c>
      <c r="W148" s="199"/>
      <c r="X148" s="205" t="s">
        <v>235</v>
      </c>
      <c r="Y148" s="119" t="s">
        <v>231</v>
      </c>
      <c r="Z148" s="120" t="s">
        <v>917</v>
      </c>
      <c r="AA148" s="121" t="s">
        <v>918</v>
      </c>
      <c r="AB148" s="122" t="s">
        <v>292</v>
      </c>
      <c r="AC148" s="206">
        <f>150+64+24+10.5</f>
        <v>248.5</v>
      </c>
      <c r="AD148" s="124">
        <v>0.89</v>
      </c>
      <c r="AE148" s="200">
        <f>ROUND(AD148*AC148,2)</f>
        <v>221.17</v>
      </c>
      <c r="AF148" s="1131" t="s">
        <v>6582</v>
      </c>
      <c r="AG148" s="409"/>
      <c r="AH148" s="364"/>
      <c r="AR148" s="129" t="s">
        <v>235</v>
      </c>
      <c r="AT148" s="129" t="s">
        <v>231</v>
      </c>
      <c r="AU148" s="129" t="s">
        <v>76</v>
      </c>
      <c r="AY148" s="13" t="s">
        <v>228</v>
      </c>
      <c r="BE148" s="130">
        <f>IF(N148="základná",J148,0)</f>
        <v>0</v>
      </c>
      <c r="BF148" s="130">
        <f>IF(N148="znížená",J148,0)</f>
        <v>133.5</v>
      </c>
      <c r="BG148" s="130">
        <f>IF(N148="zákl. prenesená",J148,0)</f>
        <v>0</v>
      </c>
      <c r="BH148" s="130">
        <f>IF(N148="zníž. prenesená",J148,0)</f>
        <v>0</v>
      </c>
      <c r="BI148" s="130">
        <f>IF(N148="nulová",J148,0)</f>
        <v>0</v>
      </c>
      <c r="BJ148" s="13" t="s">
        <v>76</v>
      </c>
      <c r="BK148" s="130">
        <f>ROUND(I148*H148,2)</f>
        <v>133.5</v>
      </c>
      <c r="BL148" s="13" t="s">
        <v>235</v>
      </c>
      <c r="BM148" s="129" t="s">
        <v>244</v>
      </c>
    </row>
    <row r="149" spans="2:65" s="1" customFormat="1" ht="16.5" customHeight="1" x14ac:dyDescent="0.2">
      <c r="B149" s="118"/>
      <c r="C149" s="205" t="s">
        <v>245</v>
      </c>
      <c r="D149" s="119" t="s">
        <v>231</v>
      </c>
      <c r="E149" s="120" t="s">
        <v>919</v>
      </c>
      <c r="F149" s="121" t="s">
        <v>4429</v>
      </c>
      <c r="G149" s="122" t="s">
        <v>292</v>
      </c>
      <c r="H149" s="206">
        <v>60</v>
      </c>
      <c r="I149" s="124">
        <v>5.7</v>
      </c>
      <c r="J149" s="124">
        <f>ROUND(I149*H149,2)</f>
        <v>342</v>
      </c>
      <c r="K149" s="121" t="s">
        <v>1</v>
      </c>
      <c r="L149" s="24"/>
      <c r="M149" s="125" t="s">
        <v>1</v>
      </c>
      <c r="N149" s="126" t="s">
        <v>32</v>
      </c>
      <c r="O149" s="127">
        <v>0.42199999999999999</v>
      </c>
      <c r="P149" s="127">
        <f>O149*H149</f>
        <v>25.32</v>
      </c>
      <c r="Q149" s="127">
        <v>0</v>
      </c>
      <c r="R149" s="127">
        <f>Q149*H149</f>
        <v>0</v>
      </c>
      <c r="S149" s="127">
        <v>6.3E-2</v>
      </c>
      <c r="T149" s="128">
        <f>S149*H149</f>
        <v>3.7800000000000002</v>
      </c>
      <c r="W149" s="199"/>
      <c r="X149" s="205" t="s">
        <v>245</v>
      </c>
      <c r="Y149" s="119" t="s">
        <v>231</v>
      </c>
      <c r="Z149" s="120" t="s">
        <v>919</v>
      </c>
      <c r="AA149" s="121" t="s">
        <v>4429</v>
      </c>
      <c r="AB149" s="122" t="s">
        <v>292</v>
      </c>
      <c r="AC149" s="206">
        <f>60+59+36.5+15.94</f>
        <v>171.44</v>
      </c>
      <c r="AD149" s="124">
        <v>5.7</v>
      </c>
      <c r="AE149" s="200">
        <f>ROUND(AD149*AC149,2)</f>
        <v>977.21</v>
      </c>
      <c r="AF149" s="1131" t="s">
        <v>6582</v>
      </c>
      <c r="AG149" s="409"/>
      <c r="AH149" s="364"/>
      <c r="AR149" s="129" t="s">
        <v>235</v>
      </c>
      <c r="AT149" s="129" t="s">
        <v>231</v>
      </c>
      <c r="AU149" s="129" t="s">
        <v>76</v>
      </c>
      <c r="AY149" s="13" t="s">
        <v>228</v>
      </c>
      <c r="BE149" s="130">
        <f>IF(N149="základná",J149,0)</f>
        <v>0</v>
      </c>
      <c r="BF149" s="130">
        <f>IF(N149="znížená",J149,0)</f>
        <v>342</v>
      </c>
      <c r="BG149" s="130">
        <f>IF(N149="zákl. prenesená",J149,0)</f>
        <v>0</v>
      </c>
      <c r="BH149" s="130">
        <f>IF(N149="zníž. prenesená",J149,0)</f>
        <v>0</v>
      </c>
      <c r="BI149" s="130">
        <f>IF(N149="nulová",J149,0)</f>
        <v>0</v>
      </c>
      <c r="BJ149" s="13" t="s">
        <v>76</v>
      </c>
      <c r="BK149" s="130">
        <f>ROUND(I149*H149,2)</f>
        <v>342</v>
      </c>
      <c r="BL149" s="13" t="s">
        <v>235</v>
      </c>
      <c r="BM149" s="129" t="s">
        <v>248</v>
      </c>
    </row>
    <row r="150" spans="2:65" s="11" customFormat="1" ht="22.95" customHeight="1" x14ac:dyDescent="0.25">
      <c r="B150" s="106"/>
      <c r="D150" s="107" t="s">
        <v>57</v>
      </c>
      <c r="E150" s="116" t="s">
        <v>1240</v>
      </c>
      <c r="F150" s="116" t="s">
        <v>437</v>
      </c>
      <c r="J150" s="117">
        <f>BK150</f>
        <v>1499.64</v>
      </c>
      <c r="L150" s="106"/>
      <c r="M150" s="110"/>
      <c r="N150" s="111"/>
      <c r="O150" s="111"/>
      <c r="P150" s="112">
        <f>SUM(P151:P159)</f>
        <v>62.280005999999993</v>
      </c>
      <c r="Q150" s="111"/>
      <c r="R150" s="112">
        <f>SUM(R151:R159)</f>
        <v>0</v>
      </c>
      <c r="S150" s="111"/>
      <c r="T150" s="113">
        <f>SUM(T151:T159)</f>
        <v>1.17</v>
      </c>
      <c r="W150" s="195"/>
      <c r="X150" s="111"/>
      <c r="Y150" s="196" t="s">
        <v>57</v>
      </c>
      <c r="Z150" s="201" t="s">
        <v>1240</v>
      </c>
      <c r="AA150" s="201" t="s">
        <v>437</v>
      </c>
      <c r="AB150" s="111"/>
      <c r="AC150" s="111"/>
      <c r="AD150" s="111"/>
      <c r="AE150" s="202">
        <f>SUM(AE151:AE160)</f>
        <v>2879.99</v>
      </c>
      <c r="AF150" s="1131"/>
      <c r="AG150" s="409"/>
      <c r="AH150" s="364"/>
      <c r="AR150" s="107" t="s">
        <v>63</v>
      </c>
      <c r="AT150" s="114" t="s">
        <v>57</v>
      </c>
      <c r="AU150" s="114" t="s">
        <v>63</v>
      </c>
      <c r="AY150" s="107" t="s">
        <v>228</v>
      </c>
      <c r="BK150" s="115">
        <f>SUM(BK151:BK159)</f>
        <v>1499.64</v>
      </c>
    </row>
    <row r="151" spans="2:65" s="1" customFormat="1" ht="29.25" customHeight="1" x14ac:dyDescent="0.2">
      <c r="B151" s="118"/>
      <c r="C151" s="1070" t="s">
        <v>240</v>
      </c>
      <c r="D151" s="119" t="s">
        <v>231</v>
      </c>
      <c r="E151" s="120" t="s">
        <v>921</v>
      </c>
      <c r="F151" s="121" t="s">
        <v>4430</v>
      </c>
      <c r="G151" s="122" t="s">
        <v>243</v>
      </c>
      <c r="H151" s="1071">
        <v>22</v>
      </c>
      <c r="I151" s="124">
        <v>11.61</v>
      </c>
      <c r="J151" s="124">
        <f t="shared" ref="J151:J159" si="0">ROUND(I151*H151,2)</f>
        <v>255.42</v>
      </c>
      <c r="K151" s="121" t="s">
        <v>1</v>
      </c>
      <c r="L151" s="24"/>
      <c r="M151" s="125" t="s">
        <v>1</v>
      </c>
      <c r="N151" s="126" t="s">
        <v>32</v>
      </c>
      <c r="O151" s="127">
        <v>0</v>
      </c>
      <c r="P151" s="127">
        <f t="shared" ref="P151:P159" si="1">O151*H151</f>
        <v>0</v>
      </c>
      <c r="Q151" s="127">
        <v>0</v>
      </c>
      <c r="R151" s="127">
        <f t="shared" ref="R151:R159" si="2">Q151*H151</f>
        <v>0</v>
      </c>
      <c r="S151" s="127">
        <v>0</v>
      </c>
      <c r="T151" s="128">
        <f t="shared" ref="T151:T159" si="3">S151*H151</f>
        <v>0</v>
      </c>
      <c r="W151" s="199"/>
      <c r="X151" s="1070" t="s">
        <v>240</v>
      </c>
      <c r="Y151" s="119" t="s">
        <v>231</v>
      </c>
      <c r="Z151" s="120" t="s">
        <v>921</v>
      </c>
      <c r="AA151" s="121" t="s">
        <v>4430</v>
      </c>
      <c r="AB151" s="122" t="s">
        <v>243</v>
      </c>
      <c r="AC151" s="1071">
        <f>22+8</f>
        <v>30</v>
      </c>
      <c r="AD151" s="124">
        <v>11.61</v>
      </c>
      <c r="AE151" s="200">
        <f t="shared" ref="AE151:AE160" si="4">ROUND(AD151*AC151,2)</f>
        <v>348.3</v>
      </c>
      <c r="AF151" s="1131" t="s">
        <v>5482</v>
      </c>
      <c r="AG151" s="409"/>
      <c r="AH151" s="364"/>
      <c r="AR151" s="129" t="s">
        <v>235</v>
      </c>
      <c r="AT151" s="129" t="s">
        <v>231</v>
      </c>
      <c r="AU151" s="129" t="s">
        <v>76</v>
      </c>
      <c r="AY151" s="13" t="s">
        <v>228</v>
      </c>
      <c r="BE151" s="130">
        <f t="shared" ref="BE151:BE159" si="5">IF(N151="základná",J151,0)</f>
        <v>0</v>
      </c>
      <c r="BF151" s="130">
        <f t="shared" ref="BF151:BF159" si="6">IF(N151="znížená",J151,0)</f>
        <v>255.42</v>
      </c>
      <c r="BG151" s="130">
        <f t="shared" ref="BG151:BG159" si="7">IF(N151="zákl. prenesená",J151,0)</f>
        <v>0</v>
      </c>
      <c r="BH151" s="130">
        <f t="shared" ref="BH151:BH159" si="8">IF(N151="zníž. prenesená",J151,0)</f>
        <v>0</v>
      </c>
      <c r="BI151" s="130">
        <f t="shared" ref="BI151:BI159" si="9">IF(N151="nulová",J151,0)</f>
        <v>0</v>
      </c>
      <c r="BJ151" s="13" t="s">
        <v>76</v>
      </c>
      <c r="BK151" s="130">
        <f t="shared" ref="BK151:BK159" si="10">ROUND(I151*H151,2)</f>
        <v>255.42</v>
      </c>
      <c r="BL151" s="13" t="s">
        <v>235</v>
      </c>
      <c r="BM151" s="129" t="s">
        <v>251</v>
      </c>
    </row>
    <row r="152" spans="2:65" s="1" customFormat="1" ht="24" customHeight="1" x14ac:dyDescent="0.2">
      <c r="B152" s="118"/>
      <c r="C152" s="1070" t="s">
        <v>252</v>
      </c>
      <c r="D152" s="119" t="s">
        <v>231</v>
      </c>
      <c r="E152" s="120" t="s">
        <v>923</v>
      </c>
      <c r="F152" s="121" t="s">
        <v>924</v>
      </c>
      <c r="G152" s="122" t="s">
        <v>292</v>
      </c>
      <c r="H152" s="1071">
        <v>90</v>
      </c>
      <c r="I152" s="124">
        <v>2.3199999999999998</v>
      </c>
      <c r="J152" s="124">
        <f t="shared" si="0"/>
        <v>208.8</v>
      </c>
      <c r="K152" s="121" t="s">
        <v>1</v>
      </c>
      <c r="L152" s="24"/>
      <c r="M152" s="125" t="s">
        <v>1</v>
      </c>
      <c r="N152" s="126" t="s">
        <v>32</v>
      </c>
      <c r="O152" s="127">
        <v>0.23576</v>
      </c>
      <c r="P152" s="127">
        <f t="shared" si="1"/>
        <v>21.218399999999999</v>
      </c>
      <c r="Q152" s="127">
        <v>0</v>
      </c>
      <c r="R152" s="127">
        <f t="shared" si="2"/>
        <v>0</v>
      </c>
      <c r="S152" s="127">
        <v>1.2999999999999999E-2</v>
      </c>
      <c r="T152" s="128">
        <f t="shared" si="3"/>
        <v>1.17</v>
      </c>
      <c r="W152" s="199"/>
      <c r="X152" s="915" t="s">
        <v>252</v>
      </c>
      <c r="Y152" s="119" t="s">
        <v>231</v>
      </c>
      <c r="Z152" s="120" t="s">
        <v>923</v>
      </c>
      <c r="AA152" s="121" t="s">
        <v>924</v>
      </c>
      <c r="AB152" s="122" t="s">
        <v>292</v>
      </c>
      <c r="AC152" s="916">
        <f>90+4.5</f>
        <v>94.5</v>
      </c>
      <c r="AD152" s="124">
        <v>2.3199999999999998</v>
      </c>
      <c r="AE152" s="200">
        <f t="shared" si="4"/>
        <v>219.24</v>
      </c>
      <c r="AF152" s="1131" t="s">
        <v>5477</v>
      </c>
      <c r="AG152" s="409"/>
      <c r="AH152" s="364"/>
      <c r="AR152" s="129" t="s">
        <v>235</v>
      </c>
      <c r="AT152" s="129" t="s">
        <v>231</v>
      </c>
      <c r="AU152" s="129" t="s">
        <v>76</v>
      </c>
      <c r="AY152" s="13" t="s">
        <v>228</v>
      </c>
      <c r="BE152" s="130">
        <f t="shared" si="5"/>
        <v>0</v>
      </c>
      <c r="BF152" s="130">
        <f t="shared" si="6"/>
        <v>208.8</v>
      </c>
      <c r="BG152" s="130">
        <f t="shared" si="7"/>
        <v>0</v>
      </c>
      <c r="BH152" s="130">
        <f t="shared" si="8"/>
        <v>0</v>
      </c>
      <c r="BI152" s="130">
        <f t="shared" si="9"/>
        <v>0</v>
      </c>
      <c r="BJ152" s="13" t="s">
        <v>76</v>
      </c>
      <c r="BK152" s="130">
        <f t="shared" si="10"/>
        <v>208.8</v>
      </c>
      <c r="BL152" s="13" t="s">
        <v>235</v>
      </c>
      <c r="BM152" s="129" t="s">
        <v>255</v>
      </c>
    </row>
    <row r="153" spans="2:65" s="1" customFormat="1" ht="16.5" customHeight="1" x14ac:dyDescent="0.2">
      <c r="B153" s="118"/>
      <c r="C153" s="205" t="s">
        <v>244</v>
      </c>
      <c r="D153" s="119" t="s">
        <v>231</v>
      </c>
      <c r="E153" s="120" t="s">
        <v>4299</v>
      </c>
      <c r="F153" s="121" t="s">
        <v>4300</v>
      </c>
      <c r="G153" s="122" t="s">
        <v>271</v>
      </c>
      <c r="H153" s="206">
        <v>23.356999999999999</v>
      </c>
      <c r="I153" s="124">
        <v>2.9</v>
      </c>
      <c r="J153" s="124">
        <f t="shared" si="0"/>
        <v>67.739999999999995</v>
      </c>
      <c r="K153" s="121" t="s">
        <v>1</v>
      </c>
      <c r="L153" s="24"/>
      <c r="M153" s="125" t="s">
        <v>1</v>
      </c>
      <c r="N153" s="126" t="s">
        <v>32</v>
      </c>
      <c r="O153" s="127">
        <v>0</v>
      </c>
      <c r="P153" s="127">
        <f t="shared" si="1"/>
        <v>0</v>
      </c>
      <c r="Q153" s="127">
        <v>0</v>
      </c>
      <c r="R153" s="127">
        <f t="shared" si="2"/>
        <v>0</v>
      </c>
      <c r="S153" s="127">
        <v>0</v>
      </c>
      <c r="T153" s="128">
        <f t="shared" si="3"/>
        <v>0</v>
      </c>
      <c r="W153" s="199"/>
      <c r="X153" s="205" t="s">
        <v>244</v>
      </c>
      <c r="Y153" s="119" t="s">
        <v>231</v>
      </c>
      <c r="Z153" s="120" t="s">
        <v>4299</v>
      </c>
      <c r="AA153" s="121" t="s">
        <v>4300</v>
      </c>
      <c r="AB153" s="122" t="s">
        <v>271</v>
      </c>
      <c r="AC153" s="206">
        <f>23.357+14.999</f>
        <v>38.356000000000002</v>
      </c>
      <c r="AD153" s="124">
        <v>2.9</v>
      </c>
      <c r="AE153" s="200">
        <f t="shared" si="4"/>
        <v>111.23</v>
      </c>
      <c r="AF153" s="1131">
        <v>9</v>
      </c>
      <c r="AG153" s="409"/>
      <c r="AH153" s="364"/>
      <c r="AR153" s="129" t="s">
        <v>235</v>
      </c>
      <c r="AT153" s="129" t="s">
        <v>231</v>
      </c>
      <c r="AU153" s="129" t="s">
        <v>76</v>
      </c>
      <c r="AY153" s="13" t="s">
        <v>228</v>
      </c>
      <c r="BE153" s="130">
        <f t="shared" si="5"/>
        <v>0</v>
      </c>
      <c r="BF153" s="130">
        <f t="shared" si="6"/>
        <v>67.739999999999995</v>
      </c>
      <c r="BG153" s="130">
        <f t="shared" si="7"/>
        <v>0</v>
      </c>
      <c r="BH153" s="130">
        <f t="shared" si="8"/>
        <v>0</v>
      </c>
      <c r="BI153" s="130">
        <f t="shared" si="9"/>
        <v>0</v>
      </c>
      <c r="BJ153" s="13" t="s">
        <v>76</v>
      </c>
      <c r="BK153" s="130">
        <f t="shared" si="10"/>
        <v>67.739999999999995</v>
      </c>
      <c r="BL153" s="13" t="s">
        <v>235</v>
      </c>
      <c r="BM153" s="129" t="s">
        <v>258</v>
      </c>
    </row>
    <row r="154" spans="2:65" s="1" customFormat="1" ht="24" customHeight="1" x14ac:dyDescent="0.2">
      <c r="B154" s="118"/>
      <c r="C154" s="205" t="s">
        <v>259</v>
      </c>
      <c r="D154" s="119" t="s">
        <v>231</v>
      </c>
      <c r="E154" s="120" t="s">
        <v>4431</v>
      </c>
      <c r="F154" s="121" t="s">
        <v>4432</v>
      </c>
      <c r="G154" s="122" t="s">
        <v>271</v>
      </c>
      <c r="H154" s="206">
        <v>23.356999999999999</v>
      </c>
      <c r="I154" s="124">
        <v>0.57999999999999996</v>
      </c>
      <c r="J154" s="124">
        <f t="shared" si="0"/>
        <v>13.55</v>
      </c>
      <c r="K154" s="121" t="s">
        <v>1</v>
      </c>
      <c r="L154" s="24"/>
      <c r="M154" s="125" t="s">
        <v>1</v>
      </c>
      <c r="N154" s="126" t="s">
        <v>32</v>
      </c>
      <c r="O154" s="127">
        <v>0</v>
      </c>
      <c r="P154" s="127">
        <f t="shared" si="1"/>
        <v>0</v>
      </c>
      <c r="Q154" s="127">
        <v>0</v>
      </c>
      <c r="R154" s="127">
        <f t="shared" si="2"/>
        <v>0</v>
      </c>
      <c r="S154" s="127">
        <v>0</v>
      </c>
      <c r="T154" s="128">
        <f t="shared" si="3"/>
        <v>0</v>
      </c>
      <c r="W154" s="199"/>
      <c r="X154" s="205" t="s">
        <v>259</v>
      </c>
      <c r="Y154" s="119" t="s">
        <v>231</v>
      </c>
      <c r="Z154" s="120" t="s">
        <v>4431</v>
      </c>
      <c r="AA154" s="121" t="s">
        <v>4432</v>
      </c>
      <c r="AB154" s="122" t="s">
        <v>271</v>
      </c>
      <c r="AC154" s="206">
        <f>23.357+14.999</f>
        <v>38.356000000000002</v>
      </c>
      <c r="AD154" s="124">
        <v>0.57999999999999996</v>
      </c>
      <c r="AE154" s="200">
        <f t="shared" si="4"/>
        <v>22.25</v>
      </c>
      <c r="AF154" s="1131">
        <v>9</v>
      </c>
      <c r="AG154" s="409"/>
      <c r="AH154" s="364"/>
      <c r="AR154" s="129" t="s">
        <v>235</v>
      </c>
      <c r="AT154" s="129" t="s">
        <v>231</v>
      </c>
      <c r="AU154" s="129" t="s">
        <v>76</v>
      </c>
      <c r="AY154" s="13" t="s">
        <v>228</v>
      </c>
      <c r="BE154" s="130">
        <f t="shared" si="5"/>
        <v>0</v>
      </c>
      <c r="BF154" s="130">
        <f t="shared" si="6"/>
        <v>13.55</v>
      </c>
      <c r="BG154" s="130">
        <f t="shared" si="7"/>
        <v>0</v>
      </c>
      <c r="BH154" s="130">
        <f t="shared" si="8"/>
        <v>0</v>
      </c>
      <c r="BI154" s="130">
        <f t="shared" si="9"/>
        <v>0</v>
      </c>
      <c r="BJ154" s="13" t="s">
        <v>76</v>
      </c>
      <c r="BK154" s="130">
        <f t="shared" si="10"/>
        <v>13.55</v>
      </c>
      <c r="BL154" s="13" t="s">
        <v>235</v>
      </c>
      <c r="BM154" s="129" t="s">
        <v>262</v>
      </c>
    </row>
    <row r="155" spans="2:65" s="1" customFormat="1" ht="16.5" customHeight="1" x14ac:dyDescent="0.2">
      <c r="B155" s="118"/>
      <c r="C155" s="205" t="s">
        <v>248</v>
      </c>
      <c r="D155" s="119" t="s">
        <v>231</v>
      </c>
      <c r="E155" s="120" t="s">
        <v>533</v>
      </c>
      <c r="F155" s="121" t="s">
        <v>4433</v>
      </c>
      <c r="G155" s="122" t="s">
        <v>271</v>
      </c>
      <c r="H155" s="206">
        <v>23.356999999999999</v>
      </c>
      <c r="I155" s="124">
        <v>2.3199999999999998</v>
      </c>
      <c r="J155" s="124">
        <f t="shared" si="0"/>
        <v>54.19</v>
      </c>
      <c r="K155" s="121" t="s">
        <v>1</v>
      </c>
      <c r="L155" s="24"/>
      <c r="M155" s="125" t="s">
        <v>1</v>
      </c>
      <c r="N155" s="126" t="s">
        <v>32</v>
      </c>
      <c r="O155" s="127">
        <v>0.59799999999999998</v>
      </c>
      <c r="P155" s="127">
        <f t="shared" si="1"/>
        <v>13.967485999999999</v>
      </c>
      <c r="Q155" s="127">
        <v>0</v>
      </c>
      <c r="R155" s="127">
        <f t="shared" si="2"/>
        <v>0</v>
      </c>
      <c r="S155" s="127">
        <v>0</v>
      </c>
      <c r="T155" s="128">
        <f t="shared" si="3"/>
        <v>0</v>
      </c>
      <c r="W155" s="199"/>
      <c r="X155" s="205" t="s">
        <v>248</v>
      </c>
      <c r="Y155" s="119" t="s">
        <v>231</v>
      </c>
      <c r="Z155" s="120" t="s">
        <v>533</v>
      </c>
      <c r="AA155" s="121" t="s">
        <v>4433</v>
      </c>
      <c r="AB155" s="122" t="s">
        <v>271</v>
      </c>
      <c r="AC155" s="206">
        <f>23.357+14.999+8.949</f>
        <v>47.305</v>
      </c>
      <c r="AD155" s="124">
        <v>2.3199999999999998</v>
      </c>
      <c r="AE155" s="200">
        <f t="shared" si="4"/>
        <v>109.75</v>
      </c>
      <c r="AF155" s="1131" t="s">
        <v>6817</v>
      </c>
      <c r="AG155" s="409"/>
      <c r="AH155" s="364"/>
      <c r="AR155" s="129" t="s">
        <v>235</v>
      </c>
      <c r="AT155" s="129" t="s">
        <v>231</v>
      </c>
      <c r="AU155" s="129" t="s">
        <v>76</v>
      </c>
      <c r="AY155" s="13" t="s">
        <v>228</v>
      </c>
      <c r="BE155" s="130">
        <f t="shared" si="5"/>
        <v>0</v>
      </c>
      <c r="BF155" s="130">
        <f t="shared" si="6"/>
        <v>54.19</v>
      </c>
      <c r="BG155" s="130">
        <f t="shared" si="7"/>
        <v>0</v>
      </c>
      <c r="BH155" s="130">
        <f t="shared" si="8"/>
        <v>0</v>
      </c>
      <c r="BI155" s="130">
        <f t="shared" si="9"/>
        <v>0</v>
      </c>
      <c r="BJ155" s="13" t="s">
        <v>76</v>
      </c>
      <c r="BK155" s="130">
        <f t="shared" si="10"/>
        <v>54.19</v>
      </c>
      <c r="BL155" s="13" t="s">
        <v>235</v>
      </c>
      <c r="BM155" s="129" t="s">
        <v>7</v>
      </c>
    </row>
    <row r="156" spans="2:65" s="1" customFormat="1" ht="24" customHeight="1" x14ac:dyDescent="0.2">
      <c r="B156" s="118"/>
      <c r="C156" s="205" t="s">
        <v>265</v>
      </c>
      <c r="D156" s="119" t="s">
        <v>231</v>
      </c>
      <c r="E156" s="120" t="s">
        <v>537</v>
      </c>
      <c r="F156" s="121" t="s">
        <v>4434</v>
      </c>
      <c r="G156" s="122" t="s">
        <v>271</v>
      </c>
      <c r="H156" s="206">
        <v>233.57</v>
      </c>
      <c r="I156" s="124">
        <v>0.23</v>
      </c>
      <c r="J156" s="124">
        <f t="shared" si="0"/>
        <v>53.72</v>
      </c>
      <c r="K156" s="121" t="s">
        <v>1</v>
      </c>
      <c r="L156" s="24"/>
      <c r="M156" s="125" t="s">
        <v>1</v>
      </c>
      <c r="N156" s="126" t="s">
        <v>32</v>
      </c>
      <c r="O156" s="127">
        <v>7.0000000000000001E-3</v>
      </c>
      <c r="P156" s="127">
        <f t="shared" si="1"/>
        <v>1.6349899999999999</v>
      </c>
      <c r="Q156" s="127">
        <v>0</v>
      </c>
      <c r="R156" s="127">
        <f t="shared" si="2"/>
        <v>0</v>
      </c>
      <c r="S156" s="127">
        <v>0</v>
      </c>
      <c r="T156" s="128">
        <f t="shared" si="3"/>
        <v>0</v>
      </c>
      <c r="W156" s="199"/>
      <c r="X156" s="205" t="s">
        <v>265</v>
      </c>
      <c r="Y156" s="119" t="s">
        <v>231</v>
      </c>
      <c r="Z156" s="120" t="s">
        <v>537</v>
      </c>
      <c r="AA156" s="121" t="s">
        <v>4434</v>
      </c>
      <c r="AB156" s="122" t="s">
        <v>271</v>
      </c>
      <c r="AC156" s="206">
        <f>233.57+149.99+89.49</f>
        <v>473.05</v>
      </c>
      <c r="AD156" s="124">
        <v>0.23</v>
      </c>
      <c r="AE156" s="200">
        <f t="shared" si="4"/>
        <v>108.8</v>
      </c>
      <c r="AF156" s="1131" t="s">
        <v>6817</v>
      </c>
      <c r="AG156" s="409"/>
      <c r="AH156" s="364"/>
      <c r="AR156" s="129" t="s">
        <v>235</v>
      </c>
      <c r="AT156" s="129" t="s">
        <v>231</v>
      </c>
      <c r="AU156" s="129" t="s">
        <v>76</v>
      </c>
      <c r="AY156" s="13" t="s">
        <v>228</v>
      </c>
      <c r="BE156" s="130">
        <f t="shared" si="5"/>
        <v>0</v>
      </c>
      <c r="BF156" s="130">
        <f t="shared" si="6"/>
        <v>53.72</v>
      </c>
      <c r="BG156" s="130">
        <f t="shared" si="7"/>
        <v>0</v>
      </c>
      <c r="BH156" s="130">
        <f t="shared" si="8"/>
        <v>0</v>
      </c>
      <c r="BI156" s="130">
        <f t="shared" si="9"/>
        <v>0</v>
      </c>
      <c r="BJ156" s="13" t="s">
        <v>76</v>
      </c>
      <c r="BK156" s="130">
        <f t="shared" si="10"/>
        <v>53.72</v>
      </c>
      <c r="BL156" s="13" t="s">
        <v>235</v>
      </c>
      <c r="BM156" s="129" t="s">
        <v>268</v>
      </c>
    </row>
    <row r="157" spans="2:65" s="1" customFormat="1" ht="16.5" customHeight="1" x14ac:dyDescent="0.2">
      <c r="B157" s="118"/>
      <c r="C157" s="205" t="s">
        <v>251</v>
      </c>
      <c r="D157" s="119" t="s">
        <v>231</v>
      </c>
      <c r="E157" s="120" t="s">
        <v>540</v>
      </c>
      <c r="F157" s="121" t="s">
        <v>541</v>
      </c>
      <c r="G157" s="122" t="s">
        <v>271</v>
      </c>
      <c r="H157" s="206">
        <v>23.356999999999999</v>
      </c>
      <c r="I157" s="124">
        <v>4.0599999999999996</v>
      </c>
      <c r="J157" s="124">
        <f t="shared" si="0"/>
        <v>94.83</v>
      </c>
      <c r="K157" s="121" t="s">
        <v>1</v>
      </c>
      <c r="L157" s="24"/>
      <c r="M157" s="125" t="s">
        <v>1</v>
      </c>
      <c r="N157" s="126" t="s">
        <v>32</v>
      </c>
      <c r="O157" s="127">
        <v>0.89</v>
      </c>
      <c r="P157" s="127">
        <f t="shared" si="1"/>
        <v>20.78773</v>
      </c>
      <c r="Q157" s="127">
        <v>0</v>
      </c>
      <c r="R157" s="127">
        <f t="shared" si="2"/>
        <v>0</v>
      </c>
      <c r="S157" s="127">
        <v>0</v>
      </c>
      <c r="T157" s="128">
        <f t="shared" si="3"/>
        <v>0</v>
      </c>
      <c r="W157" s="199"/>
      <c r="X157" s="205" t="s">
        <v>251</v>
      </c>
      <c r="Y157" s="119" t="s">
        <v>231</v>
      </c>
      <c r="Z157" s="120" t="s">
        <v>540</v>
      </c>
      <c r="AA157" s="121" t="s">
        <v>541</v>
      </c>
      <c r="AB157" s="122" t="s">
        <v>271</v>
      </c>
      <c r="AC157" s="206">
        <f>23.357+14.999+8.949</f>
        <v>47.305</v>
      </c>
      <c r="AD157" s="124">
        <v>4.0599999999999996</v>
      </c>
      <c r="AE157" s="200">
        <f t="shared" si="4"/>
        <v>192.06</v>
      </c>
      <c r="AF157" s="1131" t="s">
        <v>6817</v>
      </c>
      <c r="AG157" s="409"/>
      <c r="AH157" s="364"/>
      <c r="AR157" s="129" t="s">
        <v>235</v>
      </c>
      <c r="AT157" s="129" t="s">
        <v>231</v>
      </c>
      <c r="AU157" s="129" t="s">
        <v>76</v>
      </c>
      <c r="AY157" s="13" t="s">
        <v>228</v>
      </c>
      <c r="BE157" s="130">
        <f t="shared" si="5"/>
        <v>0</v>
      </c>
      <c r="BF157" s="130">
        <f t="shared" si="6"/>
        <v>94.83</v>
      </c>
      <c r="BG157" s="130">
        <f t="shared" si="7"/>
        <v>0</v>
      </c>
      <c r="BH157" s="130">
        <f t="shared" si="8"/>
        <v>0</v>
      </c>
      <c r="BI157" s="130">
        <f t="shared" si="9"/>
        <v>0</v>
      </c>
      <c r="BJ157" s="13" t="s">
        <v>76</v>
      </c>
      <c r="BK157" s="130">
        <f t="shared" si="10"/>
        <v>94.83</v>
      </c>
      <c r="BL157" s="13" t="s">
        <v>235</v>
      </c>
      <c r="BM157" s="129" t="s">
        <v>272</v>
      </c>
    </row>
    <row r="158" spans="2:65" s="1" customFormat="1" ht="24" customHeight="1" x14ac:dyDescent="0.2">
      <c r="B158" s="118"/>
      <c r="C158" s="205" t="s">
        <v>273</v>
      </c>
      <c r="D158" s="119" t="s">
        <v>231</v>
      </c>
      <c r="E158" s="120" t="s">
        <v>544</v>
      </c>
      <c r="F158" s="121" t="s">
        <v>545</v>
      </c>
      <c r="G158" s="122" t="s">
        <v>271</v>
      </c>
      <c r="H158" s="206">
        <v>46.713999999999999</v>
      </c>
      <c r="I158" s="124">
        <v>0.41</v>
      </c>
      <c r="J158" s="124">
        <f t="shared" si="0"/>
        <v>19.149999999999999</v>
      </c>
      <c r="K158" s="121" t="s">
        <v>1</v>
      </c>
      <c r="L158" s="24"/>
      <c r="M158" s="125" t="s">
        <v>1</v>
      </c>
      <c r="N158" s="126" t="s">
        <v>32</v>
      </c>
      <c r="O158" s="127">
        <v>0.1</v>
      </c>
      <c r="P158" s="127">
        <f t="shared" si="1"/>
        <v>4.6714000000000002</v>
      </c>
      <c r="Q158" s="127">
        <v>0</v>
      </c>
      <c r="R158" s="127">
        <f t="shared" si="2"/>
        <v>0</v>
      </c>
      <c r="S158" s="127">
        <v>0</v>
      </c>
      <c r="T158" s="128">
        <f t="shared" si="3"/>
        <v>0</v>
      </c>
      <c r="W158" s="199"/>
      <c r="X158" s="205" t="s">
        <v>273</v>
      </c>
      <c r="Y158" s="119" t="s">
        <v>231</v>
      </c>
      <c r="Z158" s="120" t="s">
        <v>544</v>
      </c>
      <c r="AA158" s="121" t="s">
        <v>545</v>
      </c>
      <c r="AB158" s="122" t="s">
        <v>271</v>
      </c>
      <c r="AC158" s="206">
        <f>46.714+29.998+17.898</f>
        <v>94.61</v>
      </c>
      <c r="AD158" s="124">
        <v>0.41</v>
      </c>
      <c r="AE158" s="200">
        <f t="shared" si="4"/>
        <v>38.79</v>
      </c>
      <c r="AF158" s="1131" t="s">
        <v>6817</v>
      </c>
      <c r="AG158" s="409"/>
      <c r="AH158" s="364"/>
      <c r="AR158" s="129" t="s">
        <v>235</v>
      </c>
      <c r="AT158" s="129" t="s">
        <v>231</v>
      </c>
      <c r="AU158" s="129" t="s">
        <v>76</v>
      </c>
      <c r="AY158" s="13" t="s">
        <v>228</v>
      </c>
      <c r="BE158" s="130">
        <f t="shared" si="5"/>
        <v>0</v>
      </c>
      <c r="BF158" s="130">
        <f t="shared" si="6"/>
        <v>19.149999999999999</v>
      </c>
      <c r="BG158" s="130">
        <f t="shared" si="7"/>
        <v>0</v>
      </c>
      <c r="BH158" s="130">
        <f t="shared" si="8"/>
        <v>0</v>
      </c>
      <c r="BI158" s="130">
        <f t="shared" si="9"/>
        <v>0</v>
      </c>
      <c r="BJ158" s="13" t="s">
        <v>76</v>
      </c>
      <c r="BK158" s="130">
        <f t="shared" si="10"/>
        <v>19.149999999999999</v>
      </c>
      <c r="BL158" s="13" t="s">
        <v>235</v>
      </c>
      <c r="BM158" s="129" t="s">
        <v>276</v>
      </c>
    </row>
    <row r="159" spans="2:65" s="1" customFormat="1" ht="24" customHeight="1" x14ac:dyDescent="0.2">
      <c r="B159" s="118"/>
      <c r="C159" s="205" t="s">
        <v>255</v>
      </c>
      <c r="D159" s="119" t="s">
        <v>231</v>
      </c>
      <c r="E159" s="120" t="s">
        <v>547</v>
      </c>
      <c r="F159" s="121" t="s">
        <v>928</v>
      </c>
      <c r="G159" s="122" t="s">
        <v>271</v>
      </c>
      <c r="H159" s="206">
        <v>23.356999999999999</v>
      </c>
      <c r="I159" s="124">
        <v>31.35</v>
      </c>
      <c r="J159" s="124">
        <f t="shared" si="0"/>
        <v>732.24</v>
      </c>
      <c r="K159" s="121" t="s">
        <v>1</v>
      </c>
      <c r="L159" s="24"/>
      <c r="M159" s="125" t="s">
        <v>1</v>
      </c>
      <c r="N159" s="126" t="s">
        <v>32</v>
      </c>
      <c r="O159" s="127">
        <v>0</v>
      </c>
      <c r="P159" s="127">
        <f t="shared" si="1"/>
        <v>0</v>
      </c>
      <c r="Q159" s="127">
        <v>0</v>
      </c>
      <c r="R159" s="127">
        <f t="shared" si="2"/>
        <v>0</v>
      </c>
      <c r="S159" s="127">
        <v>0</v>
      </c>
      <c r="T159" s="128">
        <f t="shared" si="3"/>
        <v>0</v>
      </c>
      <c r="W159" s="199"/>
      <c r="X159" s="205" t="s">
        <v>255</v>
      </c>
      <c r="Y159" s="119" t="s">
        <v>231</v>
      </c>
      <c r="Z159" s="120" t="s">
        <v>547</v>
      </c>
      <c r="AA159" s="121" t="s">
        <v>928</v>
      </c>
      <c r="AB159" s="122" t="s">
        <v>271</v>
      </c>
      <c r="AC159" s="206">
        <f>23.357+14.999+8.949</f>
        <v>47.305</v>
      </c>
      <c r="AD159" s="124">
        <v>31.35</v>
      </c>
      <c r="AE159" s="200">
        <f t="shared" si="4"/>
        <v>1483.01</v>
      </c>
      <c r="AF159" s="1131" t="s">
        <v>6817</v>
      </c>
      <c r="AG159" s="409"/>
      <c r="AH159" s="364"/>
      <c r="AR159" s="129" t="s">
        <v>235</v>
      </c>
      <c r="AT159" s="129" t="s">
        <v>231</v>
      </c>
      <c r="AU159" s="129" t="s">
        <v>76</v>
      </c>
      <c r="AY159" s="13" t="s">
        <v>228</v>
      </c>
      <c r="BE159" s="130">
        <f t="shared" si="5"/>
        <v>0</v>
      </c>
      <c r="BF159" s="130">
        <f t="shared" si="6"/>
        <v>732.24</v>
      </c>
      <c r="BG159" s="130">
        <f t="shared" si="7"/>
        <v>0</v>
      </c>
      <c r="BH159" s="130">
        <f t="shared" si="8"/>
        <v>0</v>
      </c>
      <c r="BI159" s="130">
        <f t="shared" si="9"/>
        <v>0</v>
      </c>
      <c r="BJ159" s="13" t="s">
        <v>76</v>
      </c>
      <c r="BK159" s="130">
        <f t="shared" si="10"/>
        <v>732.24</v>
      </c>
      <c r="BL159" s="13" t="s">
        <v>235</v>
      </c>
      <c r="BM159" s="129" t="s">
        <v>280</v>
      </c>
    </row>
    <row r="160" spans="2:65" s="403" customFormat="1" ht="24" customHeight="1" x14ac:dyDescent="0.2">
      <c r="B160" s="118"/>
      <c r="C160" s="1234" t="s">
        <v>5205</v>
      </c>
      <c r="D160" s="1235"/>
      <c r="E160" s="1235"/>
      <c r="F160" s="1235"/>
      <c r="G160" s="1235"/>
      <c r="H160" s="1235"/>
      <c r="I160" s="1235"/>
      <c r="J160" s="1236"/>
      <c r="K160" s="222"/>
      <c r="L160" s="24"/>
      <c r="M160" s="125"/>
      <c r="N160" s="126"/>
      <c r="O160" s="127"/>
      <c r="P160" s="127"/>
      <c r="Q160" s="127"/>
      <c r="R160" s="127"/>
      <c r="S160" s="127"/>
      <c r="T160" s="128"/>
      <c r="W160" s="199"/>
      <c r="X160" s="207" t="s">
        <v>5461</v>
      </c>
      <c r="Y160" s="207" t="s">
        <v>231</v>
      </c>
      <c r="Z160" s="208" t="s">
        <v>929</v>
      </c>
      <c r="AA160" s="209" t="s">
        <v>930</v>
      </c>
      <c r="AB160" s="210" t="s">
        <v>234</v>
      </c>
      <c r="AC160" s="211">
        <v>17.7</v>
      </c>
      <c r="AD160" s="212">
        <v>13.93</v>
      </c>
      <c r="AE160" s="214">
        <f t="shared" si="4"/>
        <v>246.56</v>
      </c>
      <c r="AF160" s="1131">
        <v>9</v>
      </c>
      <c r="AG160" s="409"/>
      <c r="AH160" s="364"/>
      <c r="AR160" s="129"/>
      <c r="AT160" s="129"/>
      <c r="AU160" s="129"/>
      <c r="AY160" s="13"/>
      <c r="BE160" s="130"/>
      <c r="BF160" s="130"/>
      <c r="BG160" s="130"/>
      <c r="BH160" s="130"/>
      <c r="BI160" s="130"/>
      <c r="BJ160" s="13"/>
      <c r="BK160" s="130"/>
      <c r="BL160" s="13"/>
      <c r="BM160" s="129"/>
    </row>
    <row r="161" spans="2:65" s="11" customFormat="1" ht="22.95" customHeight="1" x14ac:dyDescent="0.25">
      <c r="B161" s="106"/>
      <c r="D161" s="107" t="s">
        <v>57</v>
      </c>
      <c r="E161" s="116" t="s">
        <v>1247</v>
      </c>
      <c r="F161" s="116" t="s">
        <v>931</v>
      </c>
      <c r="J161" s="117">
        <f>BK161</f>
        <v>137.5</v>
      </c>
      <c r="L161" s="106"/>
      <c r="M161" s="110"/>
      <c r="N161" s="111"/>
      <c r="O161" s="111"/>
      <c r="P161" s="112">
        <f>P162</f>
        <v>15.187874000000001</v>
      </c>
      <c r="Q161" s="111"/>
      <c r="R161" s="112">
        <f>R162</f>
        <v>0</v>
      </c>
      <c r="S161" s="111"/>
      <c r="T161" s="113">
        <f>T162</f>
        <v>0</v>
      </c>
      <c r="W161" s="195"/>
      <c r="X161" s="111"/>
      <c r="Y161" s="196" t="s">
        <v>57</v>
      </c>
      <c r="Z161" s="201" t="s">
        <v>1247</v>
      </c>
      <c r="AA161" s="201" t="s">
        <v>931</v>
      </c>
      <c r="AB161" s="111"/>
      <c r="AC161" s="111"/>
      <c r="AD161" s="111"/>
      <c r="AE161" s="202">
        <f>AE162</f>
        <v>609.92999999999995</v>
      </c>
      <c r="AF161" s="1131"/>
      <c r="AG161" s="409"/>
      <c r="AH161" s="364"/>
      <c r="AR161" s="107" t="s">
        <v>63</v>
      </c>
      <c r="AT161" s="114" t="s">
        <v>57</v>
      </c>
      <c r="AU161" s="114" t="s">
        <v>63</v>
      </c>
      <c r="AY161" s="107" t="s">
        <v>228</v>
      </c>
      <c r="BK161" s="115">
        <f>BK162</f>
        <v>137.5</v>
      </c>
    </row>
    <row r="162" spans="2:65" s="1" customFormat="1" ht="16.5" customHeight="1" x14ac:dyDescent="0.2">
      <c r="B162" s="118"/>
      <c r="C162" s="205" t="s">
        <v>281</v>
      </c>
      <c r="D162" s="119" t="s">
        <v>231</v>
      </c>
      <c r="E162" s="120" t="s">
        <v>932</v>
      </c>
      <c r="F162" s="121" t="s">
        <v>3457</v>
      </c>
      <c r="G162" s="122" t="s">
        <v>271</v>
      </c>
      <c r="H162" s="206">
        <v>16.913</v>
      </c>
      <c r="I162" s="124">
        <v>8.1300000000000008</v>
      </c>
      <c r="J162" s="124">
        <f>ROUND(I162*H162,2)</f>
        <v>137.5</v>
      </c>
      <c r="K162" s="121" t="s">
        <v>1</v>
      </c>
      <c r="L162" s="24"/>
      <c r="M162" s="125" t="s">
        <v>1</v>
      </c>
      <c r="N162" s="126" t="s">
        <v>32</v>
      </c>
      <c r="O162" s="127">
        <v>0.89800000000000002</v>
      </c>
      <c r="P162" s="127">
        <f>O162*H162</f>
        <v>15.187874000000001</v>
      </c>
      <c r="Q162" s="127">
        <v>0</v>
      </c>
      <c r="R162" s="127">
        <f>Q162*H162</f>
        <v>0</v>
      </c>
      <c r="S162" s="127">
        <v>0</v>
      </c>
      <c r="T162" s="128">
        <f>S162*H162</f>
        <v>0</v>
      </c>
      <c r="W162" s="199"/>
      <c r="X162" s="205" t="s">
        <v>281</v>
      </c>
      <c r="Y162" s="119" t="s">
        <v>231</v>
      </c>
      <c r="Z162" s="120" t="s">
        <v>932</v>
      </c>
      <c r="AA162" s="121" t="s">
        <v>3457</v>
      </c>
      <c r="AB162" s="122" t="s">
        <v>271</v>
      </c>
      <c r="AC162" s="206">
        <f>16.913+58.109</f>
        <v>75.022000000000006</v>
      </c>
      <c r="AD162" s="124">
        <v>8.1300000000000008</v>
      </c>
      <c r="AE162" s="200">
        <f>ROUND(AD162*AC162,2)</f>
        <v>609.92999999999995</v>
      </c>
      <c r="AF162" s="1131">
        <v>9</v>
      </c>
      <c r="AG162" s="409"/>
      <c r="AH162" s="364"/>
      <c r="AR162" s="129" t="s">
        <v>235</v>
      </c>
      <c r="AT162" s="129" t="s">
        <v>231</v>
      </c>
      <c r="AU162" s="129" t="s">
        <v>76</v>
      </c>
      <c r="AY162" s="13" t="s">
        <v>228</v>
      </c>
      <c r="BE162" s="130">
        <f>IF(N162="základná",J162,0)</f>
        <v>0</v>
      </c>
      <c r="BF162" s="130">
        <f>IF(N162="znížená",J162,0)</f>
        <v>137.5</v>
      </c>
      <c r="BG162" s="130">
        <f>IF(N162="zákl. prenesená",J162,0)</f>
        <v>0</v>
      </c>
      <c r="BH162" s="130">
        <f>IF(N162="zníž. prenesená",J162,0)</f>
        <v>0</v>
      </c>
      <c r="BI162" s="130">
        <f>IF(N162="nulová",J162,0)</f>
        <v>0</v>
      </c>
      <c r="BJ162" s="13" t="s">
        <v>76</v>
      </c>
      <c r="BK162" s="130">
        <f>ROUND(I162*H162,2)</f>
        <v>137.5</v>
      </c>
      <c r="BL162" s="13" t="s">
        <v>235</v>
      </c>
      <c r="BM162" s="129" t="s">
        <v>285</v>
      </c>
    </row>
    <row r="163" spans="2:65" s="11" customFormat="1" ht="25.95" customHeight="1" x14ac:dyDescent="0.25">
      <c r="B163" s="106"/>
      <c r="D163" s="107" t="s">
        <v>57</v>
      </c>
      <c r="E163" s="108" t="s">
        <v>1252</v>
      </c>
      <c r="F163" s="108" t="s">
        <v>557</v>
      </c>
      <c r="J163" s="109">
        <f>BK163</f>
        <v>15908.73</v>
      </c>
      <c r="L163" s="106"/>
      <c r="M163" s="110"/>
      <c r="N163" s="111"/>
      <c r="O163" s="111"/>
      <c r="P163" s="112">
        <f>P164+P170+P173+P195+P220</f>
        <v>18.735911999999999</v>
      </c>
      <c r="Q163" s="111"/>
      <c r="R163" s="112">
        <f>R164+R170+R173+R195+R220</f>
        <v>4.8152687999999999E-2</v>
      </c>
      <c r="S163" s="111"/>
      <c r="T163" s="113">
        <f>T164+T170+T173+T195+T220</f>
        <v>0</v>
      </c>
      <c r="W163" s="195"/>
      <c r="X163" s="111"/>
      <c r="Y163" s="196" t="s">
        <v>57</v>
      </c>
      <c r="Z163" s="197" t="s">
        <v>1252</v>
      </c>
      <c r="AA163" s="197" t="s">
        <v>557</v>
      </c>
      <c r="AB163" s="111"/>
      <c r="AC163" s="111"/>
      <c r="AD163" s="111"/>
      <c r="AE163" s="198">
        <f>AE164+AE170+AE173+AE195+AE220</f>
        <v>31430.514999999996</v>
      </c>
      <c r="AF163" s="1131"/>
      <c r="AG163" s="409"/>
      <c r="AH163" s="364"/>
      <c r="AR163" s="107" t="s">
        <v>63</v>
      </c>
      <c r="AT163" s="114" t="s">
        <v>57</v>
      </c>
      <c r="AU163" s="114" t="s">
        <v>58</v>
      </c>
      <c r="AY163" s="107" t="s">
        <v>228</v>
      </c>
      <c r="BK163" s="115">
        <f>BK164+BK170+BK173+BK195+BK220</f>
        <v>15908.73</v>
      </c>
    </row>
    <row r="164" spans="2:65" s="11" customFormat="1" ht="22.95" customHeight="1" x14ac:dyDescent="0.25">
      <c r="B164" s="106"/>
      <c r="D164" s="107" t="s">
        <v>57</v>
      </c>
      <c r="E164" s="116" t="s">
        <v>1269</v>
      </c>
      <c r="F164" s="116" t="s">
        <v>559</v>
      </c>
      <c r="J164" s="117">
        <f>BK164</f>
        <v>1465.7300000000002</v>
      </c>
      <c r="L164" s="106"/>
      <c r="M164" s="110"/>
      <c r="N164" s="111"/>
      <c r="O164" s="111"/>
      <c r="P164" s="112">
        <f>SUM(P165:P169)</f>
        <v>18.735911999999999</v>
      </c>
      <c r="Q164" s="111"/>
      <c r="R164" s="112">
        <f>SUM(R165:R169)</f>
        <v>4.8152687999999999E-2</v>
      </c>
      <c r="S164" s="111"/>
      <c r="T164" s="113">
        <f>SUM(T165:T169)</f>
        <v>0</v>
      </c>
      <c r="W164" s="195"/>
      <c r="X164" s="111"/>
      <c r="Y164" s="196" t="s">
        <v>57</v>
      </c>
      <c r="Z164" s="201" t="s">
        <v>1269</v>
      </c>
      <c r="AA164" s="201" t="s">
        <v>559</v>
      </c>
      <c r="AB164" s="111"/>
      <c r="AC164" s="111"/>
      <c r="AD164" s="111"/>
      <c r="AE164" s="202">
        <f>SUM(AE165:AE169)</f>
        <v>1465.7300000000002</v>
      </c>
      <c r="AF164" s="1131"/>
      <c r="AG164" s="409"/>
      <c r="AH164" s="364"/>
      <c r="AR164" s="107" t="s">
        <v>63</v>
      </c>
      <c r="AT164" s="114" t="s">
        <v>57</v>
      </c>
      <c r="AU164" s="114" t="s">
        <v>63</v>
      </c>
      <c r="AY164" s="107" t="s">
        <v>228</v>
      </c>
      <c r="BK164" s="115">
        <f>SUM(BK165:BK169)</f>
        <v>1465.7300000000002</v>
      </c>
    </row>
    <row r="165" spans="2:65" s="1" customFormat="1" ht="24" customHeight="1" x14ac:dyDescent="0.2">
      <c r="B165" s="118"/>
      <c r="C165" s="119" t="s">
        <v>258</v>
      </c>
      <c r="D165" s="119" t="s">
        <v>231</v>
      </c>
      <c r="E165" s="120" t="s">
        <v>4435</v>
      </c>
      <c r="F165" s="121" t="s">
        <v>4436</v>
      </c>
      <c r="G165" s="122" t="s">
        <v>284</v>
      </c>
      <c r="H165" s="123">
        <v>88.8</v>
      </c>
      <c r="I165" s="124">
        <v>3.25</v>
      </c>
      <c r="J165" s="124">
        <f>ROUND(I165*H165,2)</f>
        <v>288.60000000000002</v>
      </c>
      <c r="K165" s="121" t="s">
        <v>1</v>
      </c>
      <c r="L165" s="24"/>
      <c r="M165" s="125" t="s">
        <v>1</v>
      </c>
      <c r="N165" s="126" t="s">
        <v>32</v>
      </c>
      <c r="O165" s="127">
        <v>0</v>
      </c>
      <c r="P165" s="127">
        <f>O165*H165</f>
        <v>0</v>
      </c>
      <c r="Q165" s="127">
        <v>0</v>
      </c>
      <c r="R165" s="127">
        <f>Q165*H165</f>
        <v>0</v>
      </c>
      <c r="S165" s="127">
        <v>0</v>
      </c>
      <c r="T165" s="128">
        <f>S165*H165</f>
        <v>0</v>
      </c>
      <c r="W165" s="199"/>
      <c r="X165" s="119" t="s">
        <v>258</v>
      </c>
      <c r="Y165" s="119" t="s">
        <v>231</v>
      </c>
      <c r="Z165" s="120" t="s">
        <v>4435</v>
      </c>
      <c r="AA165" s="121" t="s">
        <v>4436</v>
      </c>
      <c r="AB165" s="122" t="s">
        <v>284</v>
      </c>
      <c r="AC165" s="123">
        <v>88.8</v>
      </c>
      <c r="AD165" s="124">
        <v>3.25</v>
      </c>
      <c r="AE165" s="200">
        <f>ROUND(AD165*AC165,2)</f>
        <v>288.60000000000002</v>
      </c>
      <c r="AF165" s="1131"/>
      <c r="AG165" s="409"/>
      <c r="AH165" s="364"/>
      <c r="AR165" s="129" t="s">
        <v>235</v>
      </c>
      <c r="AT165" s="129" t="s">
        <v>231</v>
      </c>
      <c r="AU165" s="129" t="s">
        <v>76</v>
      </c>
      <c r="AY165" s="13" t="s">
        <v>228</v>
      </c>
      <c r="BE165" s="130">
        <f>IF(N165="základná",J165,0)</f>
        <v>0</v>
      </c>
      <c r="BF165" s="130">
        <f>IF(N165="znížená",J165,0)</f>
        <v>288.60000000000002</v>
      </c>
      <c r="BG165" s="130">
        <f>IF(N165="zákl. prenesená",J165,0)</f>
        <v>0</v>
      </c>
      <c r="BH165" s="130">
        <f>IF(N165="zníž. prenesená",J165,0)</f>
        <v>0</v>
      </c>
      <c r="BI165" s="130">
        <f>IF(N165="nulová",J165,0)</f>
        <v>0</v>
      </c>
      <c r="BJ165" s="13" t="s">
        <v>76</v>
      </c>
      <c r="BK165" s="130">
        <f>ROUND(I165*H165,2)</f>
        <v>288.60000000000002</v>
      </c>
      <c r="BL165" s="13" t="s">
        <v>235</v>
      </c>
      <c r="BM165" s="129" t="s">
        <v>288</v>
      </c>
    </row>
    <row r="166" spans="2:65" s="1" customFormat="1" ht="16.5" customHeight="1" x14ac:dyDescent="0.2">
      <c r="B166" s="118"/>
      <c r="C166" s="119" t="s">
        <v>289</v>
      </c>
      <c r="D166" s="119" t="s">
        <v>231</v>
      </c>
      <c r="E166" s="120" t="s">
        <v>4437</v>
      </c>
      <c r="F166" s="121" t="s">
        <v>4438</v>
      </c>
      <c r="G166" s="122" t="s">
        <v>1035</v>
      </c>
      <c r="H166" s="123">
        <v>63</v>
      </c>
      <c r="I166" s="124">
        <v>2.9</v>
      </c>
      <c r="J166" s="124">
        <f>ROUND(I166*H166,2)</f>
        <v>182.7</v>
      </c>
      <c r="K166" s="121" t="s">
        <v>1</v>
      </c>
      <c r="L166" s="24"/>
      <c r="M166" s="125" t="s">
        <v>1</v>
      </c>
      <c r="N166" s="126" t="s">
        <v>32</v>
      </c>
      <c r="O166" s="127">
        <v>0</v>
      </c>
      <c r="P166" s="127">
        <f>O166*H166</f>
        <v>0</v>
      </c>
      <c r="Q166" s="127">
        <v>0</v>
      </c>
      <c r="R166" s="127">
        <f>Q166*H166</f>
        <v>0</v>
      </c>
      <c r="S166" s="127">
        <v>0</v>
      </c>
      <c r="T166" s="128">
        <f>S166*H166</f>
        <v>0</v>
      </c>
      <c r="W166" s="199"/>
      <c r="X166" s="119" t="s">
        <v>289</v>
      </c>
      <c r="Y166" s="119" t="s">
        <v>231</v>
      </c>
      <c r="Z166" s="120" t="s">
        <v>4437</v>
      </c>
      <c r="AA166" s="121" t="s">
        <v>4438</v>
      </c>
      <c r="AB166" s="122" t="s">
        <v>1035</v>
      </c>
      <c r="AC166" s="123">
        <v>63</v>
      </c>
      <c r="AD166" s="124">
        <v>2.9</v>
      </c>
      <c r="AE166" s="200">
        <f>ROUND(AD166*AC166,2)</f>
        <v>182.7</v>
      </c>
      <c r="AF166" s="1131"/>
      <c r="AG166" s="409"/>
      <c r="AH166" s="364"/>
      <c r="AR166" s="129" t="s">
        <v>235</v>
      </c>
      <c r="AT166" s="129" t="s">
        <v>231</v>
      </c>
      <c r="AU166" s="129" t="s">
        <v>76</v>
      </c>
      <c r="AY166" s="13" t="s">
        <v>228</v>
      </c>
      <c r="BE166" s="130">
        <f>IF(N166="základná",J166,0)</f>
        <v>0</v>
      </c>
      <c r="BF166" s="130">
        <f>IF(N166="znížená",J166,0)</f>
        <v>182.7</v>
      </c>
      <c r="BG166" s="130">
        <f>IF(N166="zákl. prenesená",J166,0)</f>
        <v>0</v>
      </c>
      <c r="BH166" s="130">
        <f>IF(N166="zníž. prenesená",J166,0)</f>
        <v>0</v>
      </c>
      <c r="BI166" s="130">
        <f>IF(N166="nulová",J166,0)</f>
        <v>0</v>
      </c>
      <c r="BJ166" s="13" t="s">
        <v>76</v>
      </c>
      <c r="BK166" s="130">
        <f>ROUND(I166*H166,2)</f>
        <v>182.7</v>
      </c>
      <c r="BL166" s="13" t="s">
        <v>235</v>
      </c>
      <c r="BM166" s="129" t="s">
        <v>293</v>
      </c>
    </row>
    <row r="167" spans="2:65" s="1" customFormat="1" ht="24" customHeight="1" x14ac:dyDescent="0.2">
      <c r="B167" s="118"/>
      <c r="C167" s="119" t="s">
        <v>262</v>
      </c>
      <c r="D167" s="119" t="s">
        <v>231</v>
      </c>
      <c r="E167" s="120" t="s">
        <v>934</v>
      </c>
      <c r="F167" s="121" t="s">
        <v>935</v>
      </c>
      <c r="G167" s="122" t="s">
        <v>284</v>
      </c>
      <c r="H167" s="123">
        <v>88.8</v>
      </c>
      <c r="I167" s="124">
        <v>4.2300000000000004</v>
      </c>
      <c r="J167" s="124">
        <f>ROUND(I167*H167,2)</f>
        <v>375.62</v>
      </c>
      <c r="K167" s="121" t="s">
        <v>1</v>
      </c>
      <c r="L167" s="24"/>
      <c r="M167" s="125" t="s">
        <v>1</v>
      </c>
      <c r="N167" s="126" t="s">
        <v>32</v>
      </c>
      <c r="O167" s="127">
        <v>0.21099000000000001</v>
      </c>
      <c r="P167" s="127">
        <f>O167*H167</f>
        <v>18.735911999999999</v>
      </c>
      <c r="Q167" s="127">
        <v>5.4226000000000003E-4</v>
      </c>
      <c r="R167" s="127">
        <f>Q167*H167</f>
        <v>4.8152687999999999E-2</v>
      </c>
      <c r="S167" s="127">
        <v>0</v>
      </c>
      <c r="T167" s="128">
        <f>S167*H167</f>
        <v>0</v>
      </c>
      <c r="W167" s="199"/>
      <c r="X167" s="119" t="s">
        <v>262</v>
      </c>
      <c r="Y167" s="119" t="s">
        <v>231</v>
      </c>
      <c r="Z167" s="120" t="s">
        <v>934</v>
      </c>
      <c r="AA167" s="121" t="s">
        <v>935</v>
      </c>
      <c r="AB167" s="122" t="s">
        <v>284</v>
      </c>
      <c r="AC167" s="123">
        <v>88.8</v>
      </c>
      <c r="AD167" s="124">
        <v>4.2300000000000004</v>
      </c>
      <c r="AE167" s="200">
        <f>ROUND(AD167*AC167,2)</f>
        <v>375.62</v>
      </c>
      <c r="AF167" s="1131"/>
      <c r="AG167" s="409"/>
      <c r="AH167" s="364"/>
      <c r="AR167" s="129" t="s">
        <v>235</v>
      </c>
      <c r="AT167" s="129" t="s">
        <v>231</v>
      </c>
      <c r="AU167" s="129" t="s">
        <v>76</v>
      </c>
      <c r="AY167" s="13" t="s">
        <v>228</v>
      </c>
      <c r="BE167" s="130">
        <f>IF(N167="základná",J167,0)</f>
        <v>0</v>
      </c>
      <c r="BF167" s="130">
        <f>IF(N167="znížená",J167,0)</f>
        <v>375.62</v>
      </c>
      <c r="BG167" s="130">
        <f>IF(N167="zákl. prenesená",J167,0)</f>
        <v>0</v>
      </c>
      <c r="BH167" s="130">
        <f>IF(N167="zníž. prenesená",J167,0)</f>
        <v>0</v>
      </c>
      <c r="BI167" s="130">
        <f>IF(N167="nulová",J167,0)</f>
        <v>0</v>
      </c>
      <c r="BJ167" s="13" t="s">
        <v>76</v>
      </c>
      <c r="BK167" s="130">
        <f>ROUND(I167*H167,2)</f>
        <v>375.62</v>
      </c>
      <c r="BL167" s="13" t="s">
        <v>235</v>
      </c>
      <c r="BM167" s="129" t="s">
        <v>296</v>
      </c>
    </row>
    <row r="168" spans="2:65" s="1" customFormat="1" ht="16.5" customHeight="1" x14ac:dyDescent="0.2">
      <c r="B168" s="118"/>
      <c r="C168" s="119" t="s">
        <v>297</v>
      </c>
      <c r="D168" s="119" t="s">
        <v>231</v>
      </c>
      <c r="E168" s="120" t="s">
        <v>936</v>
      </c>
      <c r="F168" s="121" t="s">
        <v>937</v>
      </c>
      <c r="G168" s="122" t="s">
        <v>284</v>
      </c>
      <c r="H168" s="123">
        <v>102.12</v>
      </c>
      <c r="I168" s="124">
        <v>5.81</v>
      </c>
      <c r="J168" s="124">
        <f>ROUND(I168*H168,2)</f>
        <v>593.32000000000005</v>
      </c>
      <c r="K168" s="121" t="s">
        <v>1</v>
      </c>
      <c r="L168" s="24"/>
      <c r="M168" s="125" t="s">
        <v>1</v>
      </c>
      <c r="N168" s="126" t="s">
        <v>32</v>
      </c>
      <c r="O168" s="127">
        <v>0</v>
      </c>
      <c r="P168" s="127">
        <f>O168*H168</f>
        <v>0</v>
      </c>
      <c r="Q168" s="127">
        <v>0</v>
      </c>
      <c r="R168" s="127">
        <f>Q168*H168</f>
        <v>0</v>
      </c>
      <c r="S168" s="127">
        <v>0</v>
      </c>
      <c r="T168" s="128">
        <f>S168*H168</f>
        <v>0</v>
      </c>
      <c r="W168" s="199"/>
      <c r="X168" s="119" t="s">
        <v>297</v>
      </c>
      <c r="Y168" s="119" t="s">
        <v>231</v>
      </c>
      <c r="Z168" s="120" t="s">
        <v>936</v>
      </c>
      <c r="AA168" s="121" t="s">
        <v>937</v>
      </c>
      <c r="AB168" s="122" t="s">
        <v>284</v>
      </c>
      <c r="AC168" s="123">
        <v>102.12</v>
      </c>
      <c r="AD168" s="124">
        <v>5.81</v>
      </c>
      <c r="AE168" s="200">
        <f>ROUND(AD168*AC168,2)</f>
        <v>593.32000000000005</v>
      </c>
      <c r="AF168" s="1131"/>
      <c r="AG168" s="409"/>
      <c r="AH168" s="364"/>
      <c r="AR168" s="129" t="s">
        <v>235</v>
      </c>
      <c r="AT168" s="129" t="s">
        <v>231</v>
      </c>
      <c r="AU168" s="129" t="s">
        <v>76</v>
      </c>
      <c r="AY168" s="13" t="s">
        <v>228</v>
      </c>
      <c r="BE168" s="130">
        <f>IF(N168="základná",J168,0)</f>
        <v>0</v>
      </c>
      <c r="BF168" s="130">
        <f>IF(N168="znížená",J168,0)</f>
        <v>593.32000000000005</v>
      </c>
      <c r="BG168" s="130">
        <f>IF(N168="zákl. prenesená",J168,0)</f>
        <v>0</v>
      </c>
      <c r="BH168" s="130">
        <f>IF(N168="zníž. prenesená",J168,0)</f>
        <v>0</v>
      </c>
      <c r="BI168" s="130">
        <f>IF(N168="nulová",J168,0)</f>
        <v>0</v>
      </c>
      <c r="BJ168" s="13" t="s">
        <v>76</v>
      </c>
      <c r="BK168" s="130">
        <f>ROUND(I168*H168,2)</f>
        <v>593.32000000000005</v>
      </c>
      <c r="BL168" s="13" t="s">
        <v>235</v>
      </c>
      <c r="BM168" s="129" t="s">
        <v>300</v>
      </c>
    </row>
    <row r="169" spans="2:65" s="1" customFormat="1" ht="27" customHeight="1" x14ac:dyDescent="0.2">
      <c r="B169" s="118"/>
      <c r="C169" s="119" t="s">
        <v>7</v>
      </c>
      <c r="D169" s="119" t="s">
        <v>231</v>
      </c>
      <c r="E169" s="120" t="s">
        <v>568</v>
      </c>
      <c r="F169" s="121" t="s">
        <v>938</v>
      </c>
      <c r="G169" s="122" t="s">
        <v>570</v>
      </c>
      <c r="H169" s="123">
        <v>8.6129999999999995</v>
      </c>
      <c r="I169" s="124">
        <v>2.96</v>
      </c>
      <c r="J169" s="124">
        <f>ROUND(I169*H169,2)</f>
        <v>25.49</v>
      </c>
      <c r="K169" s="121" t="s">
        <v>1</v>
      </c>
      <c r="L169" s="24"/>
      <c r="M169" s="125" t="s">
        <v>1</v>
      </c>
      <c r="N169" s="126" t="s">
        <v>32</v>
      </c>
      <c r="O169" s="127">
        <v>0</v>
      </c>
      <c r="P169" s="127">
        <f>O169*H169</f>
        <v>0</v>
      </c>
      <c r="Q169" s="127">
        <v>0</v>
      </c>
      <c r="R169" s="127">
        <f>Q169*H169</f>
        <v>0</v>
      </c>
      <c r="S169" s="127">
        <v>0</v>
      </c>
      <c r="T169" s="128">
        <f>S169*H169</f>
        <v>0</v>
      </c>
      <c r="W169" s="199"/>
      <c r="X169" s="119" t="s">
        <v>7</v>
      </c>
      <c r="Y169" s="119" t="s">
        <v>231</v>
      </c>
      <c r="Z169" s="120" t="s">
        <v>568</v>
      </c>
      <c r="AA169" s="121" t="s">
        <v>938</v>
      </c>
      <c r="AB169" s="122" t="s">
        <v>570</v>
      </c>
      <c r="AC169" s="123">
        <v>8.6129999999999995</v>
      </c>
      <c r="AD169" s="124">
        <v>2.96</v>
      </c>
      <c r="AE169" s="200">
        <f>ROUND(AD169*AC169,2)</f>
        <v>25.49</v>
      </c>
      <c r="AF169" s="1131"/>
      <c r="AG169" s="409"/>
      <c r="AH169" s="364"/>
      <c r="AR169" s="129" t="s">
        <v>235</v>
      </c>
      <c r="AT169" s="129" t="s">
        <v>231</v>
      </c>
      <c r="AU169" s="129" t="s">
        <v>76</v>
      </c>
      <c r="AY169" s="13" t="s">
        <v>228</v>
      </c>
      <c r="BE169" s="130">
        <f>IF(N169="základná",J169,0)</f>
        <v>0</v>
      </c>
      <c r="BF169" s="130">
        <f>IF(N169="znížená",J169,0)</f>
        <v>25.49</v>
      </c>
      <c r="BG169" s="130">
        <f>IF(N169="zákl. prenesená",J169,0)</f>
        <v>0</v>
      </c>
      <c r="BH169" s="130">
        <f>IF(N169="zníž. prenesená",J169,0)</f>
        <v>0</v>
      </c>
      <c r="BI169" s="130">
        <f>IF(N169="nulová",J169,0)</f>
        <v>0</v>
      </c>
      <c r="BJ169" s="13" t="s">
        <v>76</v>
      </c>
      <c r="BK169" s="130">
        <f>ROUND(I169*H169,2)</f>
        <v>25.49</v>
      </c>
      <c r="BL169" s="13" t="s">
        <v>235</v>
      </c>
      <c r="BM169" s="129" t="s">
        <v>303</v>
      </c>
    </row>
    <row r="170" spans="2:65" s="11" customFormat="1" ht="22.95" customHeight="1" x14ac:dyDescent="0.25">
      <c r="B170" s="106"/>
      <c r="D170" s="107" t="s">
        <v>57</v>
      </c>
      <c r="E170" s="116" t="s">
        <v>1943</v>
      </c>
      <c r="F170" s="116" t="s">
        <v>940</v>
      </c>
      <c r="J170" s="117">
        <f>BK170</f>
        <v>1579.52</v>
      </c>
      <c r="L170" s="106"/>
      <c r="M170" s="110"/>
      <c r="N170" s="111"/>
      <c r="O170" s="111"/>
      <c r="P170" s="112">
        <f>SUM(P171:P172)</f>
        <v>0</v>
      </c>
      <c r="Q170" s="111"/>
      <c r="R170" s="112">
        <f>SUM(R171:R172)</f>
        <v>0</v>
      </c>
      <c r="S170" s="111"/>
      <c r="T170" s="113">
        <f>SUM(T171:T172)</f>
        <v>0</v>
      </c>
      <c r="W170" s="195"/>
      <c r="X170" s="111"/>
      <c r="Y170" s="196" t="s">
        <v>57</v>
      </c>
      <c r="Z170" s="201" t="s">
        <v>1943</v>
      </c>
      <c r="AA170" s="201" t="s">
        <v>940</v>
      </c>
      <c r="AB170" s="111"/>
      <c r="AC170" s="111"/>
      <c r="AD170" s="111"/>
      <c r="AE170" s="202">
        <f>SUM(AE171:AE172)</f>
        <v>4654.4900000000007</v>
      </c>
      <c r="AF170" s="1131"/>
      <c r="AG170" s="409"/>
      <c r="AH170" s="364"/>
      <c r="AR170" s="107" t="s">
        <v>63</v>
      </c>
      <c r="AT170" s="114" t="s">
        <v>57</v>
      </c>
      <c r="AU170" s="114" t="s">
        <v>63</v>
      </c>
      <c r="AY170" s="107" t="s">
        <v>228</v>
      </c>
      <c r="BK170" s="115">
        <f>SUM(BK171:BK172)</f>
        <v>1579.52</v>
      </c>
    </row>
    <row r="171" spans="2:65" s="1" customFormat="1" ht="16.5" customHeight="1" x14ac:dyDescent="0.2">
      <c r="B171" s="118"/>
      <c r="C171" s="205" t="s">
        <v>305</v>
      </c>
      <c r="D171" s="119" t="s">
        <v>231</v>
      </c>
      <c r="E171" s="120" t="s">
        <v>941</v>
      </c>
      <c r="F171" s="121" t="s">
        <v>942</v>
      </c>
      <c r="G171" s="122" t="s">
        <v>284</v>
      </c>
      <c r="H171" s="206">
        <v>65.418999999999997</v>
      </c>
      <c r="I171" s="124">
        <v>23.22</v>
      </c>
      <c r="J171" s="124">
        <f>ROUND(I171*H171,2)</f>
        <v>1519.03</v>
      </c>
      <c r="K171" s="121" t="s">
        <v>1</v>
      </c>
      <c r="L171" s="24"/>
      <c r="M171" s="125" t="s">
        <v>1</v>
      </c>
      <c r="N171" s="126" t="s">
        <v>32</v>
      </c>
      <c r="O171" s="127">
        <v>0</v>
      </c>
      <c r="P171" s="127">
        <f>O171*H171</f>
        <v>0</v>
      </c>
      <c r="Q171" s="127">
        <v>0</v>
      </c>
      <c r="R171" s="127">
        <f>Q171*H171</f>
        <v>0</v>
      </c>
      <c r="S171" s="127">
        <v>0</v>
      </c>
      <c r="T171" s="128">
        <f>S171*H171</f>
        <v>0</v>
      </c>
      <c r="W171" s="199"/>
      <c r="X171" s="205" t="s">
        <v>305</v>
      </c>
      <c r="Y171" s="119" t="s">
        <v>231</v>
      </c>
      <c r="Z171" s="120" t="s">
        <v>941</v>
      </c>
      <c r="AA171" s="121" t="s">
        <v>942</v>
      </c>
      <c r="AB171" s="122" t="s">
        <v>284</v>
      </c>
      <c r="AC171" s="206">
        <f>65.419+5.781+35.544+60.785+14.287</f>
        <v>181.816</v>
      </c>
      <c r="AD171" s="124">
        <v>23.22</v>
      </c>
      <c r="AE171" s="200">
        <f>ROUND(AD171*AC171,2)</f>
        <v>4221.7700000000004</v>
      </c>
      <c r="AF171" s="1131" t="s">
        <v>6640</v>
      </c>
      <c r="AG171" s="409"/>
      <c r="AH171" s="364"/>
      <c r="AR171" s="129" t="s">
        <v>235</v>
      </c>
      <c r="AT171" s="129" t="s">
        <v>231</v>
      </c>
      <c r="AU171" s="129" t="s">
        <v>76</v>
      </c>
      <c r="AY171" s="13" t="s">
        <v>228</v>
      </c>
      <c r="BE171" s="130">
        <f>IF(N171="základná",J171,0)</f>
        <v>0</v>
      </c>
      <c r="BF171" s="130">
        <f>IF(N171="znížená",J171,0)</f>
        <v>1519.03</v>
      </c>
      <c r="BG171" s="130">
        <f>IF(N171="zákl. prenesená",J171,0)</f>
        <v>0</v>
      </c>
      <c r="BH171" s="130">
        <f>IF(N171="zníž. prenesená",J171,0)</f>
        <v>0</v>
      </c>
      <c r="BI171" s="130">
        <f>IF(N171="nulová",J171,0)</f>
        <v>0</v>
      </c>
      <c r="BJ171" s="13" t="s">
        <v>76</v>
      </c>
      <c r="BK171" s="130">
        <f>ROUND(I171*H171,2)</f>
        <v>1519.03</v>
      </c>
      <c r="BL171" s="13" t="s">
        <v>235</v>
      </c>
      <c r="BM171" s="129" t="s">
        <v>308</v>
      </c>
    </row>
    <row r="172" spans="2:65" s="1" customFormat="1" ht="24.75" customHeight="1" x14ac:dyDescent="0.2">
      <c r="B172" s="118"/>
      <c r="C172" s="205" t="s">
        <v>268</v>
      </c>
      <c r="D172" s="119" t="s">
        <v>231</v>
      </c>
      <c r="E172" s="120" t="s">
        <v>943</v>
      </c>
      <c r="F172" s="121" t="s">
        <v>944</v>
      </c>
      <c r="G172" s="122" t="s">
        <v>570</v>
      </c>
      <c r="H172" s="206">
        <v>3.8530000000000002</v>
      </c>
      <c r="I172" s="124">
        <v>15.7</v>
      </c>
      <c r="J172" s="124">
        <f>ROUND(I172*H172,2)</f>
        <v>60.49</v>
      </c>
      <c r="K172" s="121" t="s">
        <v>1</v>
      </c>
      <c r="L172" s="24"/>
      <c r="M172" s="125" t="s">
        <v>1</v>
      </c>
      <c r="N172" s="126" t="s">
        <v>32</v>
      </c>
      <c r="O172" s="127">
        <v>0</v>
      </c>
      <c r="P172" s="127">
        <f>O172*H172</f>
        <v>0</v>
      </c>
      <c r="Q172" s="127">
        <v>0</v>
      </c>
      <c r="R172" s="127">
        <f>Q172*H172</f>
        <v>0</v>
      </c>
      <c r="S172" s="127">
        <v>0</v>
      </c>
      <c r="T172" s="128">
        <f>S172*H172</f>
        <v>0</v>
      </c>
      <c r="W172" s="199"/>
      <c r="X172" s="205" t="s">
        <v>268</v>
      </c>
      <c r="Y172" s="119" t="s">
        <v>231</v>
      </c>
      <c r="Z172" s="120" t="s">
        <v>943</v>
      </c>
      <c r="AA172" s="121" t="s">
        <v>944</v>
      </c>
      <c r="AB172" s="122" t="s">
        <v>570</v>
      </c>
      <c r="AC172" s="206">
        <f>3.853+1.342+8.253+14.114</f>
        <v>27.562000000000001</v>
      </c>
      <c r="AD172" s="124">
        <v>15.7</v>
      </c>
      <c r="AE172" s="200">
        <f>ROUND(AD172*AC172,2)</f>
        <v>432.72</v>
      </c>
      <c r="AF172" s="1131" t="s">
        <v>6294</v>
      </c>
      <c r="AG172" s="409"/>
      <c r="AH172" s="364"/>
      <c r="AR172" s="129" t="s">
        <v>235</v>
      </c>
      <c r="AT172" s="129" t="s">
        <v>231</v>
      </c>
      <c r="AU172" s="129" t="s">
        <v>76</v>
      </c>
      <c r="AY172" s="13" t="s">
        <v>228</v>
      </c>
      <c r="BE172" s="130">
        <f>IF(N172="základná",J172,0)</f>
        <v>0</v>
      </c>
      <c r="BF172" s="130">
        <f>IF(N172="znížená",J172,0)</f>
        <v>60.49</v>
      </c>
      <c r="BG172" s="130">
        <f>IF(N172="zákl. prenesená",J172,0)</f>
        <v>0</v>
      </c>
      <c r="BH172" s="130">
        <f>IF(N172="zníž. prenesená",J172,0)</f>
        <v>0</v>
      </c>
      <c r="BI172" s="130">
        <f>IF(N172="nulová",J172,0)</f>
        <v>0</v>
      </c>
      <c r="BJ172" s="13" t="s">
        <v>76</v>
      </c>
      <c r="BK172" s="130">
        <f>ROUND(I172*H172,2)</f>
        <v>60.49</v>
      </c>
      <c r="BL172" s="13" t="s">
        <v>235</v>
      </c>
      <c r="BM172" s="129" t="s">
        <v>312</v>
      </c>
    </row>
    <row r="173" spans="2:65" s="11" customFormat="1" ht="22.95" customHeight="1" x14ac:dyDescent="0.25">
      <c r="B173" s="106"/>
      <c r="D173" s="107" t="s">
        <v>57</v>
      </c>
      <c r="E173" s="116" t="s">
        <v>2036</v>
      </c>
      <c r="F173" s="116" t="s">
        <v>946</v>
      </c>
      <c r="J173" s="117">
        <f>BK173</f>
        <v>1836.2500000000002</v>
      </c>
      <c r="L173" s="106"/>
      <c r="M173" s="110"/>
      <c r="N173" s="111"/>
      <c r="O173" s="111"/>
      <c r="P173" s="112">
        <f>SUM(P175:P194)</f>
        <v>0</v>
      </c>
      <c r="Q173" s="111"/>
      <c r="R173" s="112">
        <f>SUM(R175:R194)</f>
        <v>0</v>
      </c>
      <c r="S173" s="111"/>
      <c r="T173" s="113">
        <f>SUM(T175:T194)</f>
        <v>0</v>
      </c>
      <c r="W173" s="195"/>
      <c r="X173" s="111"/>
      <c r="Y173" s="196" t="s">
        <v>57</v>
      </c>
      <c r="Z173" s="201" t="s">
        <v>2036</v>
      </c>
      <c r="AA173" s="201" t="s">
        <v>946</v>
      </c>
      <c r="AB173" s="111"/>
      <c r="AC173" s="111"/>
      <c r="AD173" s="111"/>
      <c r="AE173" s="202">
        <f>SUM(AE174:AE194)</f>
        <v>6985.1699999999992</v>
      </c>
      <c r="AF173" s="1131"/>
      <c r="AG173" s="409"/>
      <c r="AH173" s="364"/>
      <c r="AR173" s="107" t="s">
        <v>63</v>
      </c>
      <c r="AT173" s="114" t="s">
        <v>57</v>
      </c>
      <c r="AU173" s="114" t="s">
        <v>63</v>
      </c>
      <c r="AY173" s="107" t="s">
        <v>228</v>
      </c>
      <c r="BK173" s="115">
        <f>SUM(BK175:BK194)</f>
        <v>1836.2500000000002</v>
      </c>
    </row>
    <row r="174" spans="2:65" s="11" customFormat="1" ht="22.95" customHeight="1" x14ac:dyDescent="0.2">
      <c r="B174" s="106"/>
      <c r="C174" s="1234" t="s">
        <v>5205</v>
      </c>
      <c r="D174" s="1235"/>
      <c r="E174" s="1235"/>
      <c r="F174" s="1235"/>
      <c r="G174" s="1235"/>
      <c r="H174" s="1235"/>
      <c r="I174" s="1235"/>
      <c r="J174" s="1236"/>
      <c r="L174" s="106"/>
      <c r="M174" s="110"/>
      <c r="N174" s="111"/>
      <c r="O174" s="111"/>
      <c r="P174" s="112"/>
      <c r="Q174" s="111"/>
      <c r="R174" s="112"/>
      <c r="S174" s="111"/>
      <c r="T174" s="113"/>
      <c r="W174" s="195"/>
      <c r="X174" s="207" t="s">
        <v>5483</v>
      </c>
      <c r="Y174" s="207" t="s">
        <v>231</v>
      </c>
      <c r="Z174" s="208" t="s">
        <v>947</v>
      </c>
      <c r="AA174" s="209" t="s">
        <v>948</v>
      </c>
      <c r="AB174" s="210" t="s">
        <v>292</v>
      </c>
      <c r="AC174" s="211">
        <v>16</v>
      </c>
      <c r="AD174" s="212">
        <v>8.9600000000000009</v>
      </c>
      <c r="AE174" s="214">
        <f t="shared" ref="AE174" si="11">ROUND(AD174*AC174,2)</f>
        <v>143.36000000000001</v>
      </c>
      <c r="AF174" s="1131">
        <v>9</v>
      </c>
      <c r="AG174" s="409"/>
      <c r="AH174" s="364"/>
      <c r="AR174" s="107"/>
      <c r="AT174" s="114"/>
      <c r="AU174" s="114"/>
      <c r="AY174" s="107"/>
      <c r="BK174" s="115"/>
    </row>
    <row r="175" spans="2:65" s="1" customFormat="1" ht="16.5" customHeight="1" x14ac:dyDescent="0.2">
      <c r="B175" s="118"/>
      <c r="C175" s="119" t="s">
        <v>313</v>
      </c>
      <c r="D175" s="119" t="s">
        <v>231</v>
      </c>
      <c r="E175" s="120" t="s">
        <v>949</v>
      </c>
      <c r="F175" s="121" t="s">
        <v>950</v>
      </c>
      <c r="G175" s="122" t="s">
        <v>292</v>
      </c>
      <c r="H175" s="123">
        <v>8</v>
      </c>
      <c r="I175" s="124">
        <v>8.2200000000000006</v>
      </c>
      <c r="J175" s="124">
        <f t="shared" ref="J175:J194" si="12">ROUND(I175*H175,2)</f>
        <v>65.760000000000005</v>
      </c>
      <c r="K175" s="121" t="s">
        <v>1</v>
      </c>
      <c r="L175" s="24"/>
      <c r="M175" s="125" t="s">
        <v>1</v>
      </c>
      <c r="N175" s="126" t="s">
        <v>32</v>
      </c>
      <c r="O175" s="127">
        <v>0</v>
      </c>
      <c r="P175" s="127">
        <f t="shared" ref="P175:P194" si="13">O175*H175</f>
        <v>0</v>
      </c>
      <c r="Q175" s="127">
        <v>0</v>
      </c>
      <c r="R175" s="127">
        <f t="shared" ref="R175:R194" si="14">Q175*H175</f>
        <v>0</v>
      </c>
      <c r="S175" s="127">
        <v>0</v>
      </c>
      <c r="T175" s="128">
        <f t="shared" ref="T175:T194" si="15">S175*H175</f>
        <v>0</v>
      </c>
      <c r="W175" s="199"/>
      <c r="X175" s="119" t="s">
        <v>313</v>
      </c>
      <c r="Y175" s="119" t="s">
        <v>231</v>
      </c>
      <c r="Z175" s="120" t="s">
        <v>949</v>
      </c>
      <c r="AA175" s="121" t="s">
        <v>950</v>
      </c>
      <c r="AB175" s="122" t="s">
        <v>292</v>
      </c>
      <c r="AC175" s="123">
        <v>8</v>
      </c>
      <c r="AD175" s="124">
        <v>8.2200000000000006</v>
      </c>
      <c r="AE175" s="200">
        <f t="shared" ref="AE175:AE194" si="16">ROUND(AD175*AC175,2)</f>
        <v>65.760000000000005</v>
      </c>
      <c r="AF175" s="1131"/>
      <c r="AG175" s="409"/>
      <c r="AH175" s="364"/>
      <c r="AR175" s="129" t="s">
        <v>235</v>
      </c>
      <c r="AT175" s="129" t="s">
        <v>231</v>
      </c>
      <c r="AU175" s="129" t="s">
        <v>76</v>
      </c>
      <c r="AY175" s="13" t="s">
        <v>228</v>
      </c>
      <c r="BE175" s="130">
        <f t="shared" ref="BE175:BE194" si="17">IF(N175="základná",J175,0)</f>
        <v>0</v>
      </c>
      <c r="BF175" s="130">
        <f t="shared" ref="BF175:BF194" si="18">IF(N175="znížená",J175,0)</f>
        <v>65.760000000000005</v>
      </c>
      <c r="BG175" s="130">
        <f t="shared" ref="BG175:BG194" si="19">IF(N175="zákl. prenesená",J175,0)</f>
        <v>0</v>
      </c>
      <c r="BH175" s="130">
        <f t="shared" ref="BH175:BH194" si="20">IF(N175="zníž. prenesená",J175,0)</f>
        <v>0</v>
      </c>
      <c r="BI175" s="130">
        <f t="shared" ref="BI175:BI194" si="21">IF(N175="nulová",J175,0)</f>
        <v>0</v>
      </c>
      <c r="BJ175" s="13" t="s">
        <v>76</v>
      </c>
      <c r="BK175" s="130">
        <f t="shared" ref="BK175:BK194" si="22">ROUND(I175*H175,2)</f>
        <v>65.760000000000005</v>
      </c>
      <c r="BL175" s="13" t="s">
        <v>235</v>
      </c>
      <c r="BM175" s="129" t="s">
        <v>316</v>
      </c>
    </row>
    <row r="176" spans="2:65" s="1" customFormat="1" ht="16.5" customHeight="1" x14ac:dyDescent="0.2">
      <c r="B176" s="118"/>
      <c r="C176" s="1070" t="s">
        <v>272</v>
      </c>
      <c r="D176" s="119" t="s">
        <v>231</v>
      </c>
      <c r="E176" s="120" t="s">
        <v>951</v>
      </c>
      <c r="F176" s="121" t="s">
        <v>952</v>
      </c>
      <c r="G176" s="122" t="s">
        <v>292</v>
      </c>
      <c r="H176" s="1071">
        <v>40</v>
      </c>
      <c r="I176" s="124">
        <v>14.65</v>
      </c>
      <c r="J176" s="124">
        <f t="shared" si="12"/>
        <v>586</v>
      </c>
      <c r="K176" s="121" t="s">
        <v>1</v>
      </c>
      <c r="L176" s="24"/>
      <c r="M176" s="125" t="s">
        <v>1</v>
      </c>
      <c r="N176" s="126" t="s">
        <v>32</v>
      </c>
      <c r="O176" s="127">
        <v>0</v>
      </c>
      <c r="P176" s="127">
        <f t="shared" si="13"/>
        <v>0</v>
      </c>
      <c r="Q176" s="127">
        <v>0</v>
      </c>
      <c r="R176" s="127">
        <f t="shared" si="14"/>
        <v>0</v>
      </c>
      <c r="S176" s="127">
        <v>0</v>
      </c>
      <c r="T176" s="128">
        <f t="shared" si="15"/>
        <v>0</v>
      </c>
      <c r="W176" s="199"/>
      <c r="X176" s="1070" t="s">
        <v>272</v>
      </c>
      <c r="Y176" s="119" t="s">
        <v>231</v>
      </c>
      <c r="Z176" s="120" t="s">
        <v>951</v>
      </c>
      <c r="AA176" s="121" t="s">
        <v>952</v>
      </c>
      <c r="AB176" s="122" t="s">
        <v>292</v>
      </c>
      <c r="AC176" s="1071">
        <f>40+10</f>
        <v>50</v>
      </c>
      <c r="AD176" s="124">
        <v>14.65</v>
      </c>
      <c r="AE176" s="200">
        <f t="shared" si="16"/>
        <v>732.5</v>
      </c>
      <c r="AF176" s="1131" t="s">
        <v>5482</v>
      </c>
      <c r="AG176" s="409"/>
      <c r="AH176" s="364"/>
      <c r="AR176" s="129" t="s">
        <v>235</v>
      </c>
      <c r="AT176" s="129" t="s">
        <v>231</v>
      </c>
      <c r="AU176" s="129" t="s">
        <v>76</v>
      </c>
      <c r="AY176" s="13" t="s">
        <v>228</v>
      </c>
      <c r="BE176" s="130">
        <f t="shared" si="17"/>
        <v>0</v>
      </c>
      <c r="BF176" s="130">
        <f t="shared" si="18"/>
        <v>586</v>
      </c>
      <c r="BG176" s="130">
        <f t="shared" si="19"/>
        <v>0</v>
      </c>
      <c r="BH176" s="130">
        <f t="shared" si="20"/>
        <v>0</v>
      </c>
      <c r="BI176" s="130">
        <f t="shared" si="21"/>
        <v>0</v>
      </c>
      <c r="BJ176" s="13" t="s">
        <v>76</v>
      </c>
      <c r="BK176" s="130">
        <f t="shared" si="22"/>
        <v>586</v>
      </c>
      <c r="BL176" s="13" t="s">
        <v>235</v>
      </c>
      <c r="BM176" s="129" t="s">
        <v>319</v>
      </c>
    </row>
    <row r="177" spans="2:65" s="1" customFormat="1" ht="16.5" customHeight="1" x14ac:dyDescent="0.2">
      <c r="B177" s="118"/>
      <c r="C177" s="205" t="s">
        <v>320</v>
      </c>
      <c r="D177" s="119" t="s">
        <v>231</v>
      </c>
      <c r="E177" s="120" t="s">
        <v>953</v>
      </c>
      <c r="F177" s="121" t="s">
        <v>954</v>
      </c>
      <c r="G177" s="122" t="s">
        <v>292</v>
      </c>
      <c r="H177" s="206">
        <v>49</v>
      </c>
      <c r="I177" s="124">
        <v>15.67</v>
      </c>
      <c r="J177" s="124">
        <f t="shared" si="12"/>
        <v>767.83</v>
      </c>
      <c r="K177" s="121" t="s">
        <v>1</v>
      </c>
      <c r="L177" s="24"/>
      <c r="M177" s="125" t="s">
        <v>1</v>
      </c>
      <c r="N177" s="126" t="s">
        <v>32</v>
      </c>
      <c r="O177" s="127">
        <v>0</v>
      </c>
      <c r="P177" s="127">
        <f t="shared" si="13"/>
        <v>0</v>
      </c>
      <c r="Q177" s="127">
        <v>0</v>
      </c>
      <c r="R177" s="127">
        <f t="shared" si="14"/>
        <v>0</v>
      </c>
      <c r="S177" s="127">
        <v>0</v>
      </c>
      <c r="T177" s="128">
        <f t="shared" si="15"/>
        <v>0</v>
      </c>
      <c r="W177" s="199"/>
      <c r="X177" s="205" t="s">
        <v>320</v>
      </c>
      <c r="Y177" s="119" t="s">
        <v>231</v>
      </c>
      <c r="Z177" s="120" t="s">
        <v>953</v>
      </c>
      <c r="AA177" s="121" t="s">
        <v>954</v>
      </c>
      <c r="AB177" s="122" t="s">
        <v>292</v>
      </c>
      <c r="AC177" s="206">
        <f>49+40+12+3+8</f>
        <v>112</v>
      </c>
      <c r="AD177" s="124">
        <v>15.67</v>
      </c>
      <c r="AE177" s="200">
        <f t="shared" si="16"/>
        <v>1755.04</v>
      </c>
      <c r="AF177" s="1131" t="s">
        <v>6640</v>
      </c>
      <c r="AG177" s="409"/>
      <c r="AH177" s="364"/>
      <c r="AR177" s="129" t="s">
        <v>235</v>
      </c>
      <c r="AT177" s="129" t="s">
        <v>231</v>
      </c>
      <c r="AU177" s="129" t="s">
        <v>76</v>
      </c>
      <c r="AY177" s="13" t="s">
        <v>228</v>
      </c>
      <c r="BE177" s="130">
        <f t="shared" si="17"/>
        <v>0</v>
      </c>
      <c r="BF177" s="130">
        <f t="shared" si="18"/>
        <v>767.83</v>
      </c>
      <c r="BG177" s="130">
        <f t="shared" si="19"/>
        <v>0</v>
      </c>
      <c r="BH177" s="130">
        <f t="shared" si="20"/>
        <v>0</v>
      </c>
      <c r="BI177" s="130">
        <f t="shared" si="21"/>
        <v>0</v>
      </c>
      <c r="BJ177" s="13" t="s">
        <v>76</v>
      </c>
      <c r="BK177" s="130">
        <f t="shared" si="22"/>
        <v>767.83</v>
      </c>
      <c r="BL177" s="13" t="s">
        <v>235</v>
      </c>
      <c r="BM177" s="129" t="s">
        <v>323</v>
      </c>
    </row>
    <row r="178" spans="2:65" s="1" customFormat="1" ht="16.5" customHeight="1" x14ac:dyDescent="0.2">
      <c r="B178" s="118"/>
      <c r="C178" s="205" t="s">
        <v>276</v>
      </c>
      <c r="D178" s="119" t="s">
        <v>231</v>
      </c>
      <c r="E178" s="120" t="s">
        <v>955</v>
      </c>
      <c r="F178" s="121" t="s">
        <v>956</v>
      </c>
      <c r="G178" s="122" t="s">
        <v>292</v>
      </c>
      <c r="H178" s="206">
        <v>15</v>
      </c>
      <c r="I178" s="124">
        <v>16.559999999999999</v>
      </c>
      <c r="J178" s="124">
        <f t="shared" si="12"/>
        <v>248.4</v>
      </c>
      <c r="K178" s="121" t="s">
        <v>1</v>
      </c>
      <c r="L178" s="24"/>
      <c r="M178" s="125" t="s">
        <v>1</v>
      </c>
      <c r="N178" s="126" t="s">
        <v>32</v>
      </c>
      <c r="O178" s="127">
        <v>0</v>
      </c>
      <c r="P178" s="127">
        <f t="shared" si="13"/>
        <v>0</v>
      </c>
      <c r="Q178" s="127">
        <v>0</v>
      </c>
      <c r="R178" s="127">
        <f t="shared" si="14"/>
        <v>0</v>
      </c>
      <c r="S178" s="127">
        <v>0</v>
      </c>
      <c r="T178" s="128">
        <f t="shared" si="15"/>
        <v>0</v>
      </c>
      <c r="W178" s="199"/>
      <c r="X178" s="205" t="s">
        <v>276</v>
      </c>
      <c r="Y178" s="119" t="s">
        <v>231</v>
      </c>
      <c r="Z178" s="120" t="s">
        <v>955</v>
      </c>
      <c r="AA178" s="121" t="s">
        <v>956</v>
      </c>
      <c r="AB178" s="122" t="s">
        <v>292</v>
      </c>
      <c r="AC178" s="206">
        <f>15+42+44+15+7</f>
        <v>123</v>
      </c>
      <c r="AD178" s="124">
        <v>16.559999999999999</v>
      </c>
      <c r="AE178" s="200">
        <f t="shared" si="16"/>
        <v>2036.88</v>
      </c>
      <c r="AF178" s="1131" t="s">
        <v>6640</v>
      </c>
      <c r="AG178" s="409"/>
      <c r="AH178" s="364"/>
      <c r="AR178" s="129" t="s">
        <v>235</v>
      </c>
      <c r="AT178" s="129" t="s">
        <v>231</v>
      </c>
      <c r="AU178" s="129" t="s">
        <v>76</v>
      </c>
      <c r="AY178" s="13" t="s">
        <v>228</v>
      </c>
      <c r="BE178" s="130">
        <f t="shared" si="17"/>
        <v>0</v>
      </c>
      <c r="BF178" s="130">
        <f t="shared" si="18"/>
        <v>248.4</v>
      </c>
      <c r="BG178" s="130">
        <f t="shared" si="19"/>
        <v>0</v>
      </c>
      <c r="BH178" s="130">
        <f t="shared" si="20"/>
        <v>0</v>
      </c>
      <c r="BI178" s="130">
        <f t="shared" si="21"/>
        <v>0</v>
      </c>
      <c r="BJ178" s="13" t="s">
        <v>76</v>
      </c>
      <c r="BK178" s="130">
        <f t="shared" si="22"/>
        <v>248.4</v>
      </c>
      <c r="BL178" s="13" t="s">
        <v>235</v>
      </c>
      <c r="BM178" s="129" t="s">
        <v>326</v>
      </c>
    </row>
    <row r="179" spans="2:65" s="641" customFormat="1" ht="24" customHeight="1" x14ac:dyDescent="0.2">
      <c r="B179" s="118"/>
      <c r="C179" s="1234" t="s">
        <v>5205</v>
      </c>
      <c r="D179" s="1235"/>
      <c r="E179" s="1235"/>
      <c r="F179" s="1235"/>
      <c r="G179" s="1235"/>
      <c r="H179" s="1235"/>
      <c r="I179" s="1235"/>
      <c r="J179" s="1236"/>
      <c r="K179" s="121"/>
      <c r="L179" s="24"/>
      <c r="M179" s="125"/>
      <c r="N179" s="126"/>
      <c r="O179" s="127"/>
      <c r="P179" s="127"/>
      <c r="Q179" s="127"/>
      <c r="R179" s="127"/>
      <c r="S179" s="127"/>
      <c r="T179" s="128"/>
      <c r="W179" s="199"/>
      <c r="X179" s="207" t="s">
        <v>6300</v>
      </c>
      <c r="Y179" s="207"/>
      <c r="Z179" s="208" t="s">
        <v>959</v>
      </c>
      <c r="AA179" s="209" t="s">
        <v>6299</v>
      </c>
      <c r="AB179" s="210" t="s">
        <v>292</v>
      </c>
      <c r="AC179" s="211">
        <v>6</v>
      </c>
      <c r="AD179" s="212">
        <v>23.24</v>
      </c>
      <c r="AE179" s="214">
        <f>AC179*AD179</f>
        <v>139.44</v>
      </c>
      <c r="AF179" s="1131" t="s">
        <v>6286</v>
      </c>
      <c r="AG179" s="409"/>
      <c r="AH179" s="364"/>
      <c r="AR179" s="129"/>
      <c r="AT179" s="129"/>
      <c r="AU179" s="129"/>
      <c r="AY179" s="13"/>
      <c r="BE179" s="130"/>
      <c r="BF179" s="130"/>
      <c r="BG179" s="130"/>
      <c r="BH179" s="130"/>
      <c r="BI179" s="130"/>
      <c r="BJ179" s="13"/>
      <c r="BK179" s="130"/>
      <c r="BL179" s="13"/>
      <c r="BM179" s="129"/>
    </row>
    <row r="180" spans="2:65" s="403" customFormat="1" ht="30" customHeight="1" x14ac:dyDescent="0.2">
      <c r="B180" s="118"/>
      <c r="C180" s="1234" t="s">
        <v>5205</v>
      </c>
      <c r="D180" s="1235"/>
      <c r="E180" s="1235"/>
      <c r="F180" s="1235"/>
      <c r="G180" s="1235"/>
      <c r="H180" s="1235"/>
      <c r="I180" s="1235"/>
      <c r="J180" s="1236"/>
      <c r="K180" s="121"/>
      <c r="L180" s="24"/>
      <c r="M180" s="125"/>
      <c r="N180" s="126"/>
      <c r="O180" s="127"/>
      <c r="P180" s="127"/>
      <c r="Q180" s="127"/>
      <c r="R180" s="127"/>
      <c r="S180" s="127"/>
      <c r="T180" s="128"/>
      <c r="W180" s="199"/>
      <c r="X180" s="207" t="s">
        <v>5218</v>
      </c>
      <c r="Y180" s="207" t="s">
        <v>231</v>
      </c>
      <c r="Z180" s="208" t="s">
        <v>6019</v>
      </c>
      <c r="AA180" s="209" t="s">
        <v>6020</v>
      </c>
      <c r="AB180" s="210" t="s">
        <v>243</v>
      </c>
      <c r="AC180" s="211">
        <v>2</v>
      </c>
      <c r="AD180" s="212">
        <v>35</v>
      </c>
      <c r="AE180" s="214">
        <f t="shared" ref="AE180:AE183" si="23">AC180*AD180</f>
        <v>70</v>
      </c>
      <c r="AF180" s="1131">
        <v>9</v>
      </c>
      <c r="AG180" s="409"/>
      <c r="AH180" s="364"/>
      <c r="AR180" s="129"/>
      <c r="AT180" s="129"/>
      <c r="AU180" s="129"/>
      <c r="AY180" s="13"/>
      <c r="BE180" s="130"/>
      <c r="BF180" s="130"/>
      <c r="BG180" s="130"/>
      <c r="BH180" s="130"/>
      <c r="BI180" s="130"/>
      <c r="BJ180" s="13"/>
      <c r="BK180" s="130"/>
      <c r="BL180" s="13"/>
      <c r="BM180" s="129"/>
    </row>
    <row r="181" spans="2:65" s="403" customFormat="1" ht="16.5" customHeight="1" x14ac:dyDescent="0.2">
      <c r="B181" s="118"/>
      <c r="C181" s="1234" t="s">
        <v>5205</v>
      </c>
      <c r="D181" s="1235"/>
      <c r="E181" s="1235"/>
      <c r="F181" s="1235"/>
      <c r="G181" s="1235"/>
      <c r="H181" s="1235"/>
      <c r="I181" s="1235"/>
      <c r="J181" s="1236"/>
      <c r="K181" s="121"/>
      <c r="L181" s="24"/>
      <c r="M181" s="125"/>
      <c r="N181" s="126"/>
      <c r="O181" s="127"/>
      <c r="P181" s="127"/>
      <c r="Q181" s="127"/>
      <c r="R181" s="127"/>
      <c r="S181" s="127"/>
      <c r="T181" s="128"/>
      <c r="W181" s="199"/>
      <c r="X181" s="207" t="s">
        <v>6029</v>
      </c>
      <c r="Y181" s="207" t="s">
        <v>231</v>
      </c>
      <c r="Z181" s="208" t="s">
        <v>6021</v>
      </c>
      <c r="AA181" s="209" t="s">
        <v>6022</v>
      </c>
      <c r="AB181" s="210" t="s">
        <v>243</v>
      </c>
      <c r="AC181" s="211">
        <v>1</v>
      </c>
      <c r="AD181" s="212">
        <v>35</v>
      </c>
      <c r="AE181" s="214">
        <f t="shared" si="23"/>
        <v>35</v>
      </c>
      <c r="AF181" s="1131">
        <v>9</v>
      </c>
      <c r="AG181" s="409"/>
      <c r="AH181" s="364"/>
      <c r="AR181" s="129"/>
      <c r="AT181" s="129"/>
      <c r="AU181" s="129"/>
      <c r="AY181" s="13"/>
      <c r="BE181" s="130"/>
      <c r="BF181" s="130"/>
      <c r="BG181" s="130"/>
      <c r="BH181" s="130"/>
      <c r="BI181" s="130"/>
      <c r="BJ181" s="13"/>
      <c r="BK181" s="130"/>
      <c r="BL181" s="13"/>
      <c r="BM181" s="129"/>
    </row>
    <row r="182" spans="2:65" s="403" customFormat="1" ht="16.5" customHeight="1" x14ac:dyDescent="0.2">
      <c r="B182" s="118"/>
      <c r="C182" s="1234" t="s">
        <v>5205</v>
      </c>
      <c r="D182" s="1235"/>
      <c r="E182" s="1235"/>
      <c r="F182" s="1235"/>
      <c r="G182" s="1235"/>
      <c r="H182" s="1235"/>
      <c r="I182" s="1235"/>
      <c r="J182" s="1236"/>
      <c r="K182" s="121"/>
      <c r="L182" s="24"/>
      <c r="M182" s="125"/>
      <c r="N182" s="126"/>
      <c r="O182" s="127"/>
      <c r="P182" s="127"/>
      <c r="Q182" s="127"/>
      <c r="R182" s="127"/>
      <c r="S182" s="127"/>
      <c r="T182" s="128"/>
      <c r="W182" s="199"/>
      <c r="X182" s="207" t="s">
        <v>6030</v>
      </c>
      <c r="Y182" s="207" t="s">
        <v>231</v>
      </c>
      <c r="Z182" s="208" t="s">
        <v>967</v>
      </c>
      <c r="AA182" s="209" t="s">
        <v>968</v>
      </c>
      <c r="AB182" s="210" t="s">
        <v>243</v>
      </c>
      <c r="AC182" s="211">
        <v>9</v>
      </c>
      <c r="AD182" s="212">
        <v>41.45</v>
      </c>
      <c r="AE182" s="214">
        <f t="shared" si="23"/>
        <v>373.05</v>
      </c>
      <c r="AF182" s="1131">
        <v>9</v>
      </c>
      <c r="AG182" s="409"/>
      <c r="AH182" s="364"/>
      <c r="AR182" s="129"/>
      <c r="AT182" s="129"/>
      <c r="AU182" s="129"/>
      <c r="AY182" s="13"/>
      <c r="BE182" s="130"/>
      <c r="BF182" s="130"/>
      <c r="BG182" s="130"/>
      <c r="BH182" s="130"/>
      <c r="BI182" s="130"/>
      <c r="BJ182" s="13"/>
      <c r="BK182" s="130"/>
      <c r="BL182" s="13"/>
      <c r="BM182" s="129"/>
    </row>
    <row r="183" spans="2:65" s="403" customFormat="1" ht="16.5" customHeight="1" x14ac:dyDescent="0.2">
      <c r="B183" s="118"/>
      <c r="C183" s="1234" t="s">
        <v>5205</v>
      </c>
      <c r="D183" s="1235"/>
      <c r="E183" s="1235"/>
      <c r="F183" s="1235"/>
      <c r="G183" s="1235"/>
      <c r="H183" s="1235"/>
      <c r="I183" s="1235"/>
      <c r="J183" s="1236"/>
      <c r="K183" s="121"/>
      <c r="L183" s="24"/>
      <c r="M183" s="125"/>
      <c r="N183" s="126"/>
      <c r="O183" s="127"/>
      <c r="P183" s="127"/>
      <c r="Q183" s="127"/>
      <c r="R183" s="127"/>
      <c r="S183" s="127"/>
      <c r="T183" s="128"/>
      <c r="W183" s="199"/>
      <c r="X183" s="207" t="s">
        <v>6031</v>
      </c>
      <c r="Y183" s="207" t="s">
        <v>231</v>
      </c>
      <c r="Z183" s="208" t="s">
        <v>6009</v>
      </c>
      <c r="AA183" s="209" t="s">
        <v>6010</v>
      </c>
      <c r="AB183" s="210" t="s">
        <v>292</v>
      </c>
      <c r="AC183" s="211">
        <v>8</v>
      </c>
      <c r="AD183" s="212">
        <v>35</v>
      </c>
      <c r="AE183" s="214">
        <f t="shared" si="23"/>
        <v>280</v>
      </c>
      <c r="AF183" s="1131">
        <v>9</v>
      </c>
      <c r="AG183" s="409"/>
      <c r="AH183" s="364"/>
      <c r="AR183" s="129"/>
      <c r="AT183" s="129"/>
      <c r="AU183" s="129"/>
      <c r="AY183" s="13"/>
      <c r="BE183" s="130"/>
      <c r="BF183" s="130"/>
      <c r="BG183" s="130"/>
      <c r="BH183" s="130"/>
      <c r="BI183" s="130"/>
      <c r="BJ183" s="13"/>
      <c r="BK183" s="130"/>
      <c r="BL183" s="13"/>
      <c r="BM183" s="129"/>
    </row>
    <row r="184" spans="2:65" s="638" customFormat="1" ht="25.95" customHeight="1" x14ac:dyDescent="0.2">
      <c r="B184" s="118"/>
      <c r="C184" s="1234" t="s">
        <v>5205</v>
      </c>
      <c r="D184" s="1235"/>
      <c r="E184" s="1235"/>
      <c r="F184" s="1235"/>
      <c r="G184" s="1235"/>
      <c r="H184" s="1235"/>
      <c r="I184" s="1235"/>
      <c r="J184" s="1236"/>
      <c r="K184" s="121"/>
      <c r="L184" s="24"/>
      <c r="M184" s="125"/>
      <c r="N184" s="126"/>
      <c r="O184" s="127"/>
      <c r="P184" s="127"/>
      <c r="Q184" s="127"/>
      <c r="R184" s="127"/>
      <c r="S184" s="127"/>
      <c r="T184" s="128"/>
      <c r="W184" s="199"/>
      <c r="X184" s="642" t="s">
        <v>6278</v>
      </c>
      <c r="Y184" s="642" t="s">
        <v>231</v>
      </c>
      <c r="Z184" s="642" t="s">
        <v>6266</v>
      </c>
      <c r="AA184" s="643" t="s">
        <v>6267</v>
      </c>
      <c r="AB184" s="644" t="s">
        <v>1194</v>
      </c>
      <c r="AC184" s="645">
        <v>6</v>
      </c>
      <c r="AD184" s="646">
        <v>2.2200000000000002</v>
      </c>
      <c r="AE184" s="646">
        <f>AC184*AD184</f>
        <v>13.32</v>
      </c>
      <c r="AF184" s="1131" t="s">
        <v>6260</v>
      </c>
      <c r="AG184" s="409"/>
      <c r="AH184" s="364"/>
      <c r="AR184" s="129"/>
      <c r="AT184" s="129"/>
      <c r="AU184" s="129"/>
      <c r="AY184" s="13"/>
      <c r="BE184" s="130"/>
      <c r="BF184" s="130"/>
      <c r="BG184" s="130"/>
      <c r="BH184" s="130"/>
      <c r="BI184" s="130"/>
      <c r="BJ184" s="13"/>
      <c r="BK184" s="130"/>
      <c r="BL184" s="13"/>
      <c r="BM184" s="129"/>
    </row>
    <row r="185" spans="2:65" s="638" customFormat="1" ht="25.95" customHeight="1" x14ac:dyDescent="0.2">
      <c r="B185" s="118"/>
      <c r="C185" s="1234" t="s">
        <v>5205</v>
      </c>
      <c r="D185" s="1235"/>
      <c r="E185" s="1235"/>
      <c r="F185" s="1235"/>
      <c r="G185" s="1235"/>
      <c r="H185" s="1235"/>
      <c r="I185" s="1235"/>
      <c r="J185" s="1236"/>
      <c r="K185" s="121"/>
      <c r="L185" s="24"/>
      <c r="M185" s="125"/>
      <c r="N185" s="126"/>
      <c r="O185" s="127"/>
      <c r="P185" s="127"/>
      <c r="Q185" s="127"/>
      <c r="R185" s="127"/>
      <c r="S185" s="127"/>
      <c r="T185" s="128"/>
      <c r="W185" s="199"/>
      <c r="X185" s="642" t="s">
        <v>6279</v>
      </c>
      <c r="Y185" s="642" t="s">
        <v>231</v>
      </c>
      <c r="Z185" s="642" t="s">
        <v>6268</v>
      </c>
      <c r="AA185" s="643" t="s">
        <v>6269</v>
      </c>
      <c r="AB185" s="644" t="s">
        <v>1194</v>
      </c>
      <c r="AC185" s="645">
        <v>4</v>
      </c>
      <c r="AD185" s="646">
        <v>4.18</v>
      </c>
      <c r="AE185" s="646">
        <f t="shared" ref="AE185:AE189" si="24">AC185*AD185</f>
        <v>16.72</v>
      </c>
      <c r="AF185" s="1131" t="s">
        <v>6260</v>
      </c>
      <c r="AG185" s="409"/>
      <c r="AH185" s="364"/>
      <c r="AR185" s="129"/>
      <c r="AT185" s="129"/>
      <c r="AU185" s="129"/>
      <c r="AY185" s="13"/>
      <c r="BE185" s="130"/>
      <c r="BF185" s="130"/>
      <c r="BG185" s="130"/>
      <c r="BH185" s="130"/>
      <c r="BI185" s="130"/>
      <c r="BJ185" s="13"/>
      <c r="BK185" s="130"/>
      <c r="BL185" s="13"/>
      <c r="BM185" s="129"/>
    </row>
    <row r="186" spans="2:65" s="638" customFormat="1" ht="25.95" customHeight="1" x14ac:dyDescent="0.2">
      <c r="B186" s="118"/>
      <c r="C186" s="1234" t="s">
        <v>5205</v>
      </c>
      <c r="D186" s="1235"/>
      <c r="E186" s="1235"/>
      <c r="F186" s="1235"/>
      <c r="G186" s="1235"/>
      <c r="H186" s="1235"/>
      <c r="I186" s="1235"/>
      <c r="J186" s="1236"/>
      <c r="K186" s="121"/>
      <c r="L186" s="24"/>
      <c r="M186" s="125"/>
      <c r="N186" s="126"/>
      <c r="O186" s="127"/>
      <c r="P186" s="127"/>
      <c r="Q186" s="127"/>
      <c r="R186" s="127"/>
      <c r="S186" s="127"/>
      <c r="T186" s="128"/>
      <c r="W186" s="199"/>
      <c r="X186" s="642" t="s">
        <v>6280</v>
      </c>
      <c r="Y186" s="642" t="s">
        <v>231</v>
      </c>
      <c r="Z186" s="642" t="s">
        <v>6270</v>
      </c>
      <c r="AA186" s="643" t="s">
        <v>6271</v>
      </c>
      <c r="AB186" s="644" t="s">
        <v>1194</v>
      </c>
      <c r="AC186" s="645">
        <v>2</v>
      </c>
      <c r="AD186" s="646">
        <v>15.33</v>
      </c>
      <c r="AE186" s="646">
        <f t="shared" si="24"/>
        <v>30.66</v>
      </c>
      <c r="AF186" s="1131" t="s">
        <v>6260</v>
      </c>
      <c r="AG186" s="409"/>
      <c r="AH186" s="364"/>
      <c r="AR186" s="129"/>
      <c r="AT186" s="129"/>
      <c r="AU186" s="129"/>
      <c r="AY186" s="13"/>
      <c r="BE186" s="130"/>
      <c r="BF186" s="130"/>
      <c r="BG186" s="130"/>
      <c r="BH186" s="130"/>
      <c r="BI186" s="130"/>
      <c r="BJ186" s="13"/>
      <c r="BK186" s="130"/>
      <c r="BL186" s="13"/>
      <c r="BM186" s="129"/>
    </row>
    <row r="187" spans="2:65" s="638" customFormat="1" ht="25.95" customHeight="1" x14ac:dyDescent="0.2">
      <c r="B187" s="118"/>
      <c r="C187" s="1234" t="s">
        <v>5205</v>
      </c>
      <c r="D187" s="1235"/>
      <c r="E187" s="1235"/>
      <c r="F187" s="1235"/>
      <c r="G187" s="1235"/>
      <c r="H187" s="1235"/>
      <c r="I187" s="1235"/>
      <c r="J187" s="1236"/>
      <c r="K187" s="121"/>
      <c r="L187" s="24"/>
      <c r="M187" s="125"/>
      <c r="N187" s="126"/>
      <c r="O187" s="127"/>
      <c r="P187" s="127"/>
      <c r="Q187" s="127"/>
      <c r="R187" s="127"/>
      <c r="S187" s="127"/>
      <c r="T187" s="128"/>
      <c r="W187" s="199"/>
      <c r="X187" s="642" t="s">
        <v>6281</v>
      </c>
      <c r="Y187" s="642" t="s">
        <v>231</v>
      </c>
      <c r="Z187" s="642" t="s">
        <v>6272</v>
      </c>
      <c r="AA187" s="643" t="s">
        <v>6273</v>
      </c>
      <c r="AB187" s="644" t="s">
        <v>1194</v>
      </c>
      <c r="AC187" s="645">
        <f>20+9</f>
        <v>29</v>
      </c>
      <c r="AD187" s="646">
        <v>10.08</v>
      </c>
      <c r="AE187" s="646">
        <f t="shared" si="24"/>
        <v>292.32</v>
      </c>
      <c r="AF187" s="1131" t="s">
        <v>6288</v>
      </c>
      <c r="AG187" s="409"/>
      <c r="AH187" s="364"/>
      <c r="AR187" s="129"/>
      <c r="AT187" s="129"/>
      <c r="AU187" s="129"/>
      <c r="AY187" s="13"/>
      <c r="BE187" s="130"/>
      <c r="BF187" s="130"/>
      <c r="BG187" s="130"/>
      <c r="BH187" s="130"/>
      <c r="BI187" s="130"/>
      <c r="BJ187" s="13"/>
      <c r="BK187" s="130"/>
      <c r="BL187" s="13"/>
      <c r="BM187" s="129"/>
    </row>
    <row r="188" spans="2:65" s="638" customFormat="1" ht="25.95" customHeight="1" x14ac:dyDescent="0.2">
      <c r="B188" s="118"/>
      <c r="C188" s="1234" t="s">
        <v>5205</v>
      </c>
      <c r="D188" s="1235"/>
      <c r="E188" s="1235"/>
      <c r="F188" s="1235"/>
      <c r="G188" s="1235"/>
      <c r="H188" s="1235"/>
      <c r="I188" s="1235"/>
      <c r="J188" s="1236"/>
      <c r="K188" s="121"/>
      <c r="L188" s="24"/>
      <c r="M188" s="125"/>
      <c r="N188" s="126"/>
      <c r="O188" s="127"/>
      <c r="P188" s="127"/>
      <c r="Q188" s="127"/>
      <c r="R188" s="127"/>
      <c r="S188" s="127"/>
      <c r="T188" s="128"/>
      <c r="W188" s="199"/>
      <c r="X188" s="642" t="s">
        <v>6282</v>
      </c>
      <c r="Y188" s="642" t="s">
        <v>231</v>
      </c>
      <c r="Z188" s="642" t="s">
        <v>6274</v>
      </c>
      <c r="AA188" s="643" t="s">
        <v>6275</v>
      </c>
      <c r="AB188" s="644" t="s">
        <v>1194</v>
      </c>
      <c r="AC188" s="645">
        <f>21+7</f>
        <v>28</v>
      </c>
      <c r="AD188" s="646">
        <v>8.69</v>
      </c>
      <c r="AE188" s="646">
        <f t="shared" si="24"/>
        <v>243.32</v>
      </c>
      <c r="AF188" s="1131" t="s">
        <v>6288</v>
      </c>
      <c r="AG188" s="409"/>
      <c r="AH188" s="364"/>
      <c r="AR188" s="129"/>
      <c r="AT188" s="129"/>
      <c r="AU188" s="129"/>
      <c r="AY188" s="13"/>
      <c r="BE188" s="130"/>
      <c r="BF188" s="130"/>
      <c r="BG188" s="130"/>
      <c r="BH188" s="130"/>
      <c r="BI188" s="130"/>
      <c r="BJ188" s="13"/>
      <c r="BK188" s="130"/>
      <c r="BL188" s="13"/>
      <c r="BM188" s="129"/>
    </row>
    <row r="189" spans="2:65" s="638" customFormat="1" ht="25.95" customHeight="1" x14ac:dyDescent="0.2">
      <c r="B189" s="118"/>
      <c r="C189" s="1234" t="s">
        <v>5205</v>
      </c>
      <c r="D189" s="1235"/>
      <c r="E189" s="1235"/>
      <c r="F189" s="1235"/>
      <c r="G189" s="1235"/>
      <c r="H189" s="1235"/>
      <c r="I189" s="1235"/>
      <c r="J189" s="1236"/>
      <c r="K189" s="121"/>
      <c r="L189" s="24"/>
      <c r="M189" s="125"/>
      <c r="N189" s="126"/>
      <c r="O189" s="127"/>
      <c r="P189" s="127"/>
      <c r="Q189" s="127"/>
      <c r="R189" s="127"/>
      <c r="S189" s="127"/>
      <c r="T189" s="128"/>
      <c r="W189" s="199"/>
      <c r="X189" s="642" t="s">
        <v>6283</v>
      </c>
      <c r="Y189" s="642" t="s">
        <v>231</v>
      </c>
      <c r="Z189" s="642" t="s">
        <v>6276</v>
      </c>
      <c r="AA189" s="643" t="s">
        <v>6277</v>
      </c>
      <c r="AB189" s="644" t="s">
        <v>1194</v>
      </c>
      <c r="AC189" s="645">
        <f>4+3</f>
        <v>7</v>
      </c>
      <c r="AD189" s="646">
        <v>7.54</v>
      </c>
      <c r="AE189" s="646">
        <f t="shared" si="24"/>
        <v>52.78</v>
      </c>
      <c r="AF189" s="1131" t="s">
        <v>6288</v>
      </c>
      <c r="AG189" s="409"/>
      <c r="AH189" s="364"/>
      <c r="AR189" s="129"/>
      <c r="AT189" s="129"/>
      <c r="AU189" s="129"/>
      <c r="AY189" s="13"/>
      <c r="BE189" s="130"/>
      <c r="BF189" s="130"/>
      <c r="BG189" s="130"/>
      <c r="BH189" s="130"/>
      <c r="BI189" s="130"/>
      <c r="BJ189" s="13"/>
      <c r="BK189" s="130"/>
      <c r="BL189" s="13"/>
      <c r="BM189" s="129"/>
    </row>
    <row r="190" spans="2:65" s="638" customFormat="1" ht="21" customHeight="1" x14ac:dyDescent="0.2">
      <c r="B190" s="118"/>
      <c r="C190" s="1234" t="s">
        <v>5205</v>
      </c>
      <c r="D190" s="1235"/>
      <c r="E190" s="1235"/>
      <c r="F190" s="1235"/>
      <c r="G190" s="1235"/>
      <c r="H190" s="1235"/>
      <c r="I190" s="1235"/>
      <c r="J190" s="1236"/>
      <c r="K190" s="121"/>
      <c r="L190" s="24"/>
      <c r="M190" s="125"/>
      <c r="N190" s="126"/>
      <c r="O190" s="127"/>
      <c r="P190" s="127"/>
      <c r="Q190" s="127"/>
      <c r="R190" s="127"/>
      <c r="S190" s="127"/>
      <c r="T190" s="128"/>
      <c r="W190" s="199"/>
      <c r="X190" s="207" t="s">
        <v>6285</v>
      </c>
      <c r="Y190" s="207" t="s">
        <v>231</v>
      </c>
      <c r="Z190" s="208" t="s">
        <v>963</v>
      </c>
      <c r="AA190" s="209" t="s">
        <v>6284</v>
      </c>
      <c r="AB190" s="210" t="s">
        <v>243</v>
      </c>
      <c r="AC190" s="211">
        <f>5+3</f>
        <v>8</v>
      </c>
      <c r="AD190" s="212">
        <v>7.57</v>
      </c>
      <c r="AE190" s="211">
        <f>AC190*AD190</f>
        <v>60.56</v>
      </c>
      <c r="AF190" s="1131" t="s">
        <v>6288</v>
      </c>
      <c r="AG190" s="409"/>
      <c r="AH190" s="364"/>
      <c r="AR190" s="129"/>
      <c r="AT190" s="129"/>
      <c r="AU190" s="129"/>
      <c r="AY190" s="13"/>
      <c r="BE190" s="130"/>
      <c r="BF190" s="130"/>
      <c r="BG190" s="130"/>
      <c r="BH190" s="130"/>
      <c r="BI190" s="130"/>
      <c r="BJ190" s="13"/>
      <c r="BK190" s="130"/>
      <c r="BL190" s="13"/>
      <c r="BM190" s="129"/>
    </row>
    <row r="191" spans="2:65" s="641" customFormat="1" ht="21" customHeight="1" x14ac:dyDescent="0.2">
      <c r="B191" s="118"/>
      <c r="C191" s="1234" t="s">
        <v>5205</v>
      </c>
      <c r="D191" s="1235"/>
      <c r="E191" s="1235"/>
      <c r="F191" s="1235"/>
      <c r="G191" s="1235"/>
      <c r="H191" s="1235"/>
      <c r="I191" s="1235"/>
      <c r="J191" s="1236"/>
      <c r="K191" s="121"/>
      <c r="L191" s="24"/>
      <c r="M191" s="125"/>
      <c r="N191" s="126"/>
      <c r="O191" s="127"/>
      <c r="P191" s="127"/>
      <c r="Q191" s="127"/>
      <c r="R191" s="127"/>
      <c r="S191" s="127"/>
      <c r="T191" s="128"/>
      <c r="W191" s="199"/>
      <c r="X191" s="207" t="s">
        <v>6301</v>
      </c>
      <c r="Y191" s="207" t="s">
        <v>231</v>
      </c>
      <c r="Z191" s="208" t="s">
        <v>6302</v>
      </c>
      <c r="AA191" s="209" t="s">
        <v>6303</v>
      </c>
      <c r="AB191" s="210" t="s">
        <v>243</v>
      </c>
      <c r="AC191" s="211">
        <v>1</v>
      </c>
      <c r="AD191" s="212">
        <v>15</v>
      </c>
      <c r="AE191" s="211">
        <f t="shared" ref="AE191:AE192" si="25">AC191*AD191</f>
        <v>15</v>
      </c>
      <c r="AF191" s="1131" t="s">
        <v>6286</v>
      </c>
      <c r="AG191" s="409"/>
      <c r="AH191" s="364"/>
      <c r="AR191" s="129"/>
      <c r="AT191" s="129"/>
      <c r="AU191" s="129"/>
      <c r="AY191" s="13"/>
      <c r="BE191" s="130"/>
      <c r="BF191" s="130"/>
      <c r="BG191" s="130"/>
      <c r="BH191" s="130"/>
      <c r="BI191" s="130"/>
      <c r="BJ191" s="13"/>
      <c r="BK191" s="130"/>
      <c r="BL191" s="13"/>
      <c r="BM191" s="129"/>
    </row>
    <row r="192" spans="2:65" s="641" customFormat="1" ht="21" customHeight="1" x14ac:dyDescent="0.2">
      <c r="B192" s="118"/>
      <c r="C192" s="1234" t="s">
        <v>5205</v>
      </c>
      <c r="D192" s="1235"/>
      <c r="E192" s="1235"/>
      <c r="F192" s="1235"/>
      <c r="G192" s="1235"/>
      <c r="H192" s="1235"/>
      <c r="I192" s="1235"/>
      <c r="J192" s="1236"/>
      <c r="K192" s="121"/>
      <c r="L192" s="24"/>
      <c r="M192" s="125"/>
      <c r="N192" s="126"/>
      <c r="O192" s="127"/>
      <c r="P192" s="127"/>
      <c r="Q192" s="127"/>
      <c r="R192" s="127"/>
      <c r="S192" s="127"/>
      <c r="T192" s="128"/>
      <c r="W192" s="199"/>
      <c r="X192" s="207" t="s">
        <v>6304</v>
      </c>
      <c r="Y192" s="207" t="s">
        <v>231</v>
      </c>
      <c r="Z192" s="208" t="s">
        <v>6305</v>
      </c>
      <c r="AA192" s="209" t="s">
        <v>6306</v>
      </c>
      <c r="AB192" s="210" t="s">
        <v>243</v>
      </c>
      <c r="AC192" s="211">
        <v>1</v>
      </c>
      <c r="AD192" s="212">
        <v>6.9</v>
      </c>
      <c r="AE192" s="211">
        <f t="shared" si="25"/>
        <v>6.9</v>
      </c>
      <c r="AF192" s="1131" t="s">
        <v>6286</v>
      </c>
      <c r="AG192" s="409"/>
      <c r="AH192" s="364"/>
      <c r="AR192" s="129"/>
      <c r="AT192" s="129"/>
      <c r="AU192" s="129"/>
      <c r="AY192" s="13"/>
      <c r="BE192" s="130"/>
      <c r="BF192" s="130"/>
      <c r="BG192" s="130"/>
      <c r="BH192" s="130"/>
      <c r="BI192" s="130"/>
      <c r="BJ192" s="13"/>
      <c r="BK192" s="130"/>
      <c r="BL192" s="13"/>
      <c r="BM192" s="129"/>
    </row>
    <row r="193" spans="2:65" s="1" customFormat="1" ht="16.5" customHeight="1" x14ac:dyDescent="0.2">
      <c r="B193" s="118"/>
      <c r="C193" s="205" t="s">
        <v>327</v>
      </c>
      <c r="D193" s="119" t="s">
        <v>231</v>
      </c>
      <c r="E193" s="120" t="s">
        <v>969</v>
      </c>
      <c r="F193" s="121" t="s">
        <v>970</v>
      </c>
      <c r="G193" s="122" t="s">
        <v>292</v>
      </c>
      <c r="H193" s="206">
        <v>112</v>
      </c>
      <c r="I193" s="124">
        <v>0.8</v>
      </c>
      <c r="J193" s="124">
        <f t="shared" si="12"/>
        <v>89.6</v>
      </c>
      <c r="K193" s="121" t="s">
        <v>1</v>
      </c>
      <c r="L193" s="24"/>
      <c r="M193" s="125" t="s">
        <v>1</v>
      </c>
      <c r="N193" s="126" t="s">
        <v>32</v>
      </c>
      <c r="O193" s="127">
        <v>0</v>
      </c>
      <c r="P193" s="127">
        <f t="shared" si="13"/>
        <v>0</v>
      </c>
      <c r="Q193" s="127">
        <v>0</v>
      </c>
      <c r="R193" s="127">
        <f t="shared" si="14"/>
        <v>0</v>
      </c>
      <c r="S193" s="127">
        <v>0</v>
      </c>
      <c r="T193" s="128">
        <f t="shared" si="15"/>
        <v>0</v>
      </c>
      <c r="W193" s="199"/>
      <c r="X193" s="205" t="s">
        <v>327</v>
      </c>
      <c r="Y193" s="119" t="s">
        <v>231</v>
      </c>
      <c r="Z193" s="120" t="s">
        <v>969</v>
      </c>
      <c r="AA193" s="121" t="s">
        <v>970</v>
      </c>
      <c r="AB193" s="122" t="s">
        <v>292</v>
      </c>
      <c r="AC193" s="206">
        <f>112+98+56+24+25</f>
        <v>315</v>
      </c>
      <c r="AD193" s="124">
        <v>0.8</v>
      </c>
      <c r="AE193" s="200">
        <f t="shared" si="16"/>
        <v>252</v>
      </c>
      <c r="AF193" s="1131" t="s">
        <v>6640</v>
      </c>
      <c r="AG193" s="409"/>
      <c r="AH193" s="364"/>
      <c r="AR193" s="129" t="s">
        <v>235</v>
      </c>
      <c r="AT193" s="129" t="s">
        <v>231</v>
      </c>
      <c r="AU193" s="129" t="s">
        <v>76</v>
      </c>
      <c r="AY193" s="13" t="s">
        <v>228</v>
      </c>
      <c r="BE193" s="130">
        <f t="shared" si="17"/>
        <v>0</v>
      </c>
      <c r="BF193" s="130">
        <f t="shared" si="18"/>
        <v>89.6</v>
      </c>
      <c r="BG193" s="130">
        <f t="shared" si="19"/>
        <v>0</v>
      </c>
      <c r="BH193" s="130">
        <f t="shared" si="20"/>
        <v>0</v>
      </c>
      <c r="BI193" s="130">
        <f t="shared" si="21"/>
        <v>0</v>
      </c>
      <c r="BJ193" s="13" t="s">
        <v>76</v>
      </c>
      <c r="BK193" s="130">
        <f t="shared" si="22"/>
        <v>89.6</v>
      </c>
      <c r="BL193" s="13" t="s">
        <v>235</v>
      </c>
      <c r="BM193" s="129" t="s">
        <v>330</v>
      </c>
    </row>
    <row r="194" spans="2:65" s="1" customFormat="1" ht="28.5" customHeight="1" x14ac:dyDescent="0.2">
      <c r="B194" s="118"/>
      <c r="C194" s="205" t="s">
        <v>280</v>
      </c>
      <c r="D194" s="119" t="s">
        <v>231</v>
      </c>
      <c r="E194" s="120" t="s">
        <v>973</v>
      </c>
      <c r="F194" s="121" t="s">
        <v>974</v>
      </c>
      <c r="G194" s="122" t="s">
        <v>570</v>
      </c>
      <c r="H194" s="206">
        <v>13.087999999999999</v>
      </c>
      <c r="I194" s="124">
        <v>6.01</v>
      </c>
      <c r="J194" s="124">
        <f t="shared" si="12"/>
        <v>78.66</v>
      </c>
      <c r="K194" s="121" t="s">
        <v>1</v>
      </c>
      <c r="L194" s="24"/>
      <c r="M194" s="125" t="s">
        <v>1</v>
      </c>
      <c r="N194" s="126" t="s">
        <v>32</v>
      </c>
      <c r="O194" s="127">
        <v>0</v>
      </c>
      <c r="P194" s="127">
        <f t="shared" si="13"/>
        <v>0</v>
      </c>
      <c r="Q194" s="127">
        <v>0</v>
      </c>
      <c r="R194" s="127">
        <f t="shared" si="14"/>
        <v>0</v>
      </c>
      <c r="S194" s="127">
        <v>0</v>
      </c>
      <c r="T194" s="128">
        <f t="shared" si="15"/>
        <v>0</v>
      </c>
      <c r="W194" s="199"/>
      <c r="X194" s="205" t="s">
        <v>280</v>
      </c>
      <c r="Y194" s="119" t="s">
        <v>231</v>
      </c>
      <c r="Z194" s="120" t="s">
        <v>973</v>
      </c>
      <c r="AA194" s="121" t="s">
        <v>974</v>
      </c>
      <c r="AB194" s="122" t="s">
        <v>570</v>
      </c>
      <c r="AC194" s="206">
        <f>13.088+23.021+14.743+6.728+4.078</f>
        <v>61.658000000000008</v>
      </c>
      <c r="AD194" s="124">
        <v>6.01</v>
      </c>
      <c r="AE194" s="200">
        <f t="shared" si="16"/>
        <v>370.56</v>
      </c>
      <c r="AF194" s="1131" t="s">
        <v>6640</v>
      </c>
      <c r="AG194" s="409"/>
      <c r="AH194" s="364"/>
      <c r="AR194" s="129" t="s">
        <v>235</v>
      </c>
      <c r="AT194" s="129" t="s">
        <v>231</v>
      </c>
      <c r="AU194" s="129" t="s">
        <v>76</v>
      </c>
      <c r="AY194" s="13" t="s">
        <v>228</v>
      </c>
      <c r="BE194" s="130">
        <f t="shared" si="17"/>
        <v>0</v>
      </c>
      <c r="BF194" s="130">
        <f t="shared" si="18"/>
        <v>78.66</v>
      </c>
      <c r="BG194" s="130">
        <f t="shared" si="19"/>
        <v>0</v>
      </c>
      <c r="BH194" s="130">
        <f t="shared" si="20"/>
        <v>0</v>
      </c>
      <c r="BI194" s="130">
        <f t="shared" si="21"/>
        <v>0</v>
      </c>
      <c r="BJ194" s="13" t="s">
        <v>76</v>
      </c>
      <c r="BK194" s="130">
        <f t="shared" si="22"/>
        <v>78.66</v>
      </c>
      <c r="BL194" s="13" t="s">
        <v>235</v>
      </c>
      <c r="BM194" s="129" t="s">
        <v>333</v>
      </c>
    </row>
    <row r="195" spans="2:65" s="11" customFormat="1" ht="22.95" customHeight="1" x14ac:dyDescent="0.25">
      <c r="B195" s="106"/>
      <c r="D195" s="107" t="s">
        <v>57</v>
      </c>
      <c r="E195" s="116" t="s">
        <v>2043</v>
      </c>
      <c r="F195" s="116" t="s">
        <v>573</v>
      </c>
      <c r="J195" s="117">
        <f>BK195</f>
        <v>7105.66</v>
      </c>
      <c r="L195" s="106"/>
      <c r="M195" s="110"/>
      <c r="N195" s="111"/>
      <c r="O195" s="111"/>
      <c r="P195" s="112">
        <f>SUM(P198:P219)</f>
        <v>0</v>
      </c>
      <c r="Q195" s="111"/>
      <c r="R195" s="112">
        <f>SUM(R198:R219)</f>
        <v>0</v>
      </c>
      <c r="S195" s="111"/>
      <c r="T195" s="113">
        <f>SUM(T198:T219)</f>
        <v>0</v>
      </c>
      <c r="W195" s="195"/>
      <c r="X195" s="111"/>
      <c r="Y195" s="196" t="s">
        <v>57</v>
      </c>
      <c r="Z195" s="201" t="s">
        <v>2043</v>
      </c>
      <c r="AA195" s="201" t="s">
        <v>573</v>
      </c>
      <c r="AB195" s="111"/>
      <c r="AC195" s="111"/>
      <c r="AD195" s="111"/>
      <c r="AE195" s="202">
        <f>SUM(AE196:AE219)</f>
        <v>11754.014999999996</v>
      </c>
      <c r="AF195" s="1131"/>
      <c r="AG195" s="409"/>
      <c r="AH195" s="364"/>
      <c r="AR195" s="107" t="s">
        <v>63</v>
      </c>
      <c r="AT195" s="114" t="s">
        <v>57</v>
      </c>
      <c r="AU195" s="114" t="s">
        <v>63</v>
      </c>
      <c r="AY195" s="107" t="s">
        <v>228</v>
      </c>
      <c r="BK195" s="115">
        <f>SUM(BK198:BK219)</f>
        <v>7105.66</v>
      </c>
    </row>
    <row r="196" spans="2:65" s="11" customFormat="1" ht="28.2" customHeight="1" x14ac:dyDescent="0.2">
      <c r="B196" s="106"/>
      <c r="C196" s="1234" t="s">
        <v>5205</v>
      </c>
      <c r="D196" s="1235"/>
      <c r="E196" s="1235"/>
      <c r="F196" s="1235"/>
      <c r="G196" s="1235"/>
      <c r="H196" s="1235"/>
      <c r="I196" s="1235"/>
      <c r="J196" s="1236"/>
      <c r="L196" s="106"/>
      <c r="M196" s="110"/>
      <c r="N196" s="111"/>
      <c r="O196" s="111"/>
      <c r="P196" s="112"/>
      <c r="Q196" s="111"/>
      <c r="R196" s="112"/>
      <c r="S196" s="111"/>
      <c r="T196" s="113"/>
      <c r="W196" s="195"/>
      <c r="X196" s="207" t="s">
        <v>6311</v>
      </c>
      <c r="Y196" s="207" t="s">
        <v>231</v>
      </c>
      <c r="Z196" s="208" t="s">
        <v>6307</v>
      </c>
      <c r="AA196" s="209" t="s">
        <v>6308</v>
      </c>
      <c r="AB196" s="210" t="s">
        <v>292</v>
      </c>
      <c r="AC196" s="211">
        <v>4</v>
      </c>
      <c r="AD196" s="212">
        <v>22.55</v>
      </c>
      <c r="AE196" s="211">
        <f t="shared" ref="AE196:AE219" si="26">ROUND(AD196*AC196,2)</f>
        <v>90.2</v>
      </c>
      <c r="AF196" s="1131"/>
      <c r="AG196" s="409"/>
      <c r="AH196" s="364"/>
      <c r="AR196" s="107"/>
      <c r="AT196" s="114"/>
      <c r="AU196" s="114"/>
      <c r="AY196" s="107"/>
      <c r="BK196" s="115"/>
    </row>
    <row r="197" spans="2:65" s="11" customFormat="1" ht="32.549999999999997" customHeight="1" x14ac:dyDescent="0.2">
      <c r="B197" s="106"/>
      <c r="C197" s="1234" t="s">
        <v>5205</v>
      </c>
      <c r="D197" s="1235"/>
      <c r="E197" s="1235"/>
      <c r="F197" s="1235"/>
      <c r="G197" s="1235"/>
      <c r="H197" s="1235"/>
      <c r="I197" s="1235"/>
      <c r="J197" s="1236"/>
      <c r="L197" s="106"/>
      <c r="M197" s="110"/>
      <c r="N197" s="111"/>
      <c r="O197" s="111"/>
      <c r="P197" s="112"/>
      <c r="Q197" s="111"/>
      <c r="R197" s="112"/>
      <c r="S197" s="111"/>
      <c r="T197" s="113"/>
      <c r="W197" s="195"/>
      <c r="X197" s="207" t="s">
        <v>6312</v>
      </c>
      <c r="Y197" s="207" t="s">
        <v>231</v>
      </c>
      <c r="Z197" s="208" t="s">
        <v>6309</v>
      </c>
      <c r="AA197" s="209" t="s">
        <v>6310</v>
      </c>
      <c r="AB197" s="210" t="s">
        <v>292</v>
      </c>
      <c r="AC197" s="211">
        <v>10.5</v>
      </c>
      <c r="AD197" s="212">
        <v>31.65</v>
      </c>
      <c r="AE197" s="211">
        <f t="shared" si="26"/>
        <v>332.33</v>
      </c>
      <c r="AF197" s="1131"/>
      <c r="AG197" s="409"/>
      <c r="AH197" s="364"/>
      <c r="AR197" s="107"/>
      <c r="AT197" s="114"/>
      <c r="AU197" s="114"/>
      <c r="AY197" s="107"/>
      <c r="BK197" s="115"/>
    </row>
    <row r="198" spans="2:65" s="1" customFormat="1" ht="16.5" customHeight="1" x14ac:dyDescent="0.2">
      <c r="B198" s="118"/>
      <c r="C198" s="1070" t="s">
        <v>334</v>
      </c>
      <c r="D198" s="119" t="s">
        <v>231</v>
      </c>
      <c r="E198" s="120" t="s">
        <v>975</v>
      </c>
      <c r="F198" s="121" t="s">
        <v>976</v>
      </c>
      <c r="G198" s="122" t="s">
        <v>292</v>
      </c>
      <c r="H198" s="1071">
        <v>141</v>
      </c>
      <c r="I198" s="124">
        <v>7.93</v>
      </c>
      <c r="J198" s="124">
        <f t="shared" ref="J198:J219" si="27">ROUND(I198*H198,2)</f>
        <v>1118.1300000000001</v>
      </c>
      <c r="K198" s="121" t="s">
        <v>1</v>
      </c>
      <c r="L198" s="24"/>
      <c r="M198" s="125" t="s">
        <v>1</v>
      </c>
      <c r="N198" s="126" t="s">
        <v>32</v>
      </c>
      <c r="O198" s="127">
        <v>0</v>
      </c>
      <c r="P198" s="127">
        <f t="shared" ref="P198:P219" si="28">O198*H198</f>
        <v>0</v>
      </c>
      <c r="Q198" s="127">
        <v>0</v>
      </c>
      <c r="R198" s="127">
        <f t="shared" ref="R198:R219" si="29">Q198*H198</f>
        <v>0</v>
      </c>
      <c r="S198" s="127">
        <v>0</v>
      </c>
      <c r="T198" s="128">
        <f t="shared" ref="T198:T219" si="30">S198*H198</f>
        <v>0</v>
      </c>
      <c r="W198" s="199"/>
      <c r="X198" s="1070" t="s">
        <v>334</v>
      </c>
      <c r="Y198" s="119" t="s">
        <v>231</v>
      </c>
      <c r="Z198" s="120" t="s">
        <v>975</v>
      </c>
      <c r="AA198" s="121" t="s">
        <v>976</v>
      </c>
      <c r="AB198" s="122" t="s">
        <v>292</v>
      </c>
      <c r="AC198" s="1071">
        <f>141+15</f>
        <v>156</v>
      </c>
      <c r="AD198" s="124">
        <v>7.93</v>
      </c>
      <c r="AE198" s="200">
        <f t="shared" si="26"/>
        <v>1237.08</v>
      </c>
      <c r="AF198" s="1131" t="s">
        <v>5482</v>
      </c>
      <c r="AG198" s="409"/>
      <c r="AH198" s="364"/>
      <c r="AR198" s="129" t="s">
        <v>235</v>
      </c>
      <c r="AT198" s="129" t="s">
        <v>231</v>
      </c>
      <c r="AU198" s="129" t="s">
        <v>76</v>
      </c>
      <c r="AY198" s="13" t="s">
        <v>228</v>
      </c>
      <c r="BE198" s="130">
        <f t="shared" ref="BE198:BE219" si="31">IF(N198="základná",J198,0)</f>
        <v>0</v>
      </c>
      <c r="BF198" s="130">
        <f t="shared" ref="BF198:BF219" si="32">IF(N198="znížená",J198,0)</f>
        <v>1118.1300000000001</v>
      </c>
      <c r="BG198" s="130">
        <f t="shared" ref="BG198:BG219" si="33">IF(N198="zákl. prenesená",J198,0)</f>
        <v>0</v>
      </c>
      <c r="BH198" s="130">
        <f t="shared" ref="BH198:BH219" si="34">IF(N198="zníž. prenesená",J198,0)</f>
        <v>0</v>
      </c>
      <c r="BI198" s="130">
        <f t="shared" ref="BI198:BI219" si="35">IF(N198="nulová",J198,0)</f>
        <v>0</v>
      </c>
      <c r="BJ198" s="13" t="s">
        <v>76</v>
      </c>
      <c r="BK198" s="130">
        <f t="shared" ref="BK198:BK219" si="36">ROUND(I198*H198,2)</f>
        <v>1118.1300000000001</v>
      </c>
      <c r="BL198" s="13" t="s">
        <v>235</v>
      </c>
      <c r="BM198" s="129" t="s">
        <v>337</v>
      </c>
    </row>
    <row r="199" spans="2:65" s="1" customFormat="1" ht="16.5" customHeight="1" x14ac:dyDescent="0.2">
      <c r="B199" s="118"/>
      <c r="C199" s="1070" t="s">
        <v>285</v>
      </c>
      <c r="D199" s="119" t="s">
        <v>231</v>
      </c>
      <c r="E199" s="120" t="s">
        <v>977</v>
      </c>
      <c r="F199" s="121" t="s">
        <v>978</v>
      </c>
      <c r="G199" s="122" t="s">
        <v>292</v>
      </c>
      <c r="H199" s="1071">
        <v>242</v>
      </c>
      <c r="I199" s="124">
        <v>9.7200000000000006</v>
      </c>
      <c r="J199" s="124">
        <f t="shared" si="27"/>
        <v>2352.2399999999998</v>
      </c>
      <c r="K199" s="121" t="s">
        <v>1</v>
      </c>
      <c r="L199" s="24"/>
      <c r="M199" s="125" t="s">
        <v>1</v>
      </c>
      <c r="N199" s="126" t="s">
        <v>32</v>
      </c>
      <c r="O199" s="127">
        <v>0</v>
      </c>
      <c r="P199" s="127">
        <f t="shared" si="28"/>
        <v>0</v>
      </c>
      <c r="Q199" s="127">
        <v>0</v>
      </c>
      <c r="R199" s="127">
        <f t="shared" si="29"/>
        <v>0</v>
      </c>
      <c r="S199" s="127">
        <v>0</v>
      </c>
      <c r="T199" s="128">
        <f t="shared" si="30"/>
        <v>0</v>
      </c>
      <c r="W199" s="199"/>
      <c r="X199" s="205" t="s">
        <v>285</v>
      </c>
      <c r="Y199" s="119" t="s">
        <v>231</v>
      </c>
      <c r="Z199" s="120" t="s">
        <v>977</v>
      </c>
      <c r="AA199" s="121" t="s">
        <v>978</v>
      </c>
      <c r="AB199" s="122" t="s">
        <v>292</v>
      </c>
      <c r="AC199" s="206">
        <f>242+45+28+15</f>
        <v>330</v>
      </c>
      <c r="AD199" s="124">
        <v>9.7200000000000006</v>
      </c>
      <c r="AE199" s="200">
        <f t="shared" si="26"/>
        <v>3207.6</v>
      </c>
      <c r="AF199" s="1131" t="s">
        <v>6641</v>
      </c>
      <c r="AG199" s="409"/>
      <c r="AH199" s="364"/>
      <c r="AR199" s="129" t="s">
        <v>235</v>
      </c>
      <c r="AT199" s="129" t="s">
        <v>231</v>
      </c>
      <c r="AU199" s="129" t="s">
        <v>76</v>
      </c>
      <c r="AY199" s="13" t="s">
        <v>228</v>
      </c>
      <c r="BE199" s="130">
        <f t="shared" si="31"/>
        <v>0</v>
      </c>
      <c r="BF199" s="130">
        <f t="shared" si="32"/>
        <v>2352.2399999999998</v>
      </c>
      <c r="BG199" s="130">
        <f t="shared" si="33"/>
        <v>0</v>
      </c>
      <c r="BH199" s="130">
        <f t="shared" si="34"/>
        <v>0</v>
      </c>
      <c r="BI199" s="130">
        <f t="shared" si="35"/>
        <v>0</v>
      </c>
      <c r="BJ199" s="13" t="s">
        <v>76</v>
      </c>
      <c r="BK199" s="130">
        <f t="shared" si="36"/>
        <v>2352.2399999999998</v>
      </c>
      <c r="BL199" s="13" t="s">
        <v>235</v>
      </c>
      <c r="BM199" s="129" t="s">
        <v>340</v>
      </c>
    </row>
    <row r="200" spans="2:65" s="1" customFormat="1" ht="16.5" customHeight="1" x14ac:dyDescent="0.2">
      <c r="B200" s="118"/>
      <c r="C200" s="1070" t="s">
        <v>341</v>
      </c>
      <c r="D200" s="119" t="s">
        <v>231</v>
      </c>
      <c r="E200" s="120" t="s">
        <v>979</v>
      </c>
      <c r="F200" s="121" t="s">
        <v>980</v>
      </c>
      <c r="G200" s="122" t="s">
        <v>292</v>
      </c>
      <c r="H200" s="1071">
        <v>54</v>
      </c>
      <c r="I200" s="124">
        <v>12.25</v>
      </c>
      <c r="J200" s="124">
        <f t="shared" si="27"/>
        <v>661.5</v>
      </c>
      <c r="K200" s="121" t="s">
        <v>1</v>
      </c>
      <c r="L200" s="24"/>
      <c r="M200" s="125" t="s">
        <v>1</v>
      </c>
      <c r="N200" s="126" t="s">
        <v>32</v>
      </c>
      <c r="O200" s="127">
        <v>0</v>
      </c>
      <c r="P200" s="127">
        <f t="shared" si="28"/>
        <v>0</v>
      </c>
      <c r="Q200" s="127">
        <v>0</v>
      </c>
      <c r="R200" s="127">
        <f t="shared" si="29"/>
        <v>0</v>
      </c>
      <c r="S200" s="127">
        <v>0</v>
      </c>
      <c r="T200" s="128">
        <f t="shared" si="30"/>
        <v>0</v>
      </c>
      <c r="W200" s="199"/>
      <c r="X200" s="205" t="s">
        <v>341</v>
      </c>
      <c r="Y200" s="119" t="s">
        <v>231</v>
      </c>
      <c r="Z200" s="120" t="s">
        <v>979</v>
      </c>
      <c r="AA200" s="121" t="s">
        <v>980</v>
      </c>
      <c r="AB200" s="122" t="s">
        <v>292</v>
      </c>
      <c r="AC200" s="206">
        <f>54+25+36+11+8+20</f>
        <v>154</v>
      </c>
      <c r="AD200" s="124">
        <v>12.25</v>
      </c>
      <c r="AE200" s="200">
        <f t="shared" si="26"/>
        <v>1886.5</v>
      </c>
      <c r="AF200" s="1131" t="s">
        <v>6642</v>
      </c>
      <c r="AG200" s="409"/>
      <c r="AH200" s="364"/>
      <c r="AR200" s="129" t="s">
        <v>235</v>
      </c>
      <c r="AT200" s="129" t="s">
        <v>231</v>
      </c>
      <c r="AU200" s="129" t="s">
        <v>76</v>
      </c>
      <c r="AY200" s="13" t="s">
        <v>228</v>
      </c>
      <c r="BE200" s="130">
        <f t="shared" si="31"/>
        <v>0</v>
      </c>
      <c r="BF200" s="130">
        <f t="shared" si="32"/>
        <v>661.5</v>
      </c>
      <c r="BG200" s="130">
        <f t="shared" si="33"/>
        <v>0</v>
      </c>
      <c r="BH200" s="130">
        <f t="shared" si="34"/>
        <v>0</v>
      </c>
      <c r="BI200" s="130">
        <f t="shared" si="35"/>
        <v>0</v>
      </c>
      <c r="BJ200" s="13" t="s">
        <v>76</v>
      </c>
      <c r="BK200" s="130">
        <f t="shared" si="36"/>
        <v>661.5</v>
      </c>
      <c r="BL200" s="13" t="s">
        <v>235</v>
      </c>
      <c r="BM200" s="129" t="s">
        <v>344</v>
      </c>
    </row>
    <row r="201" spans="2:65" s="1" customFormat="1" ht="16.5" customHeight="1" x14ac:dyDescent="0.2">
      <c r="B201" s="118"/>
      <c r="C201" s="1070" t="s">
        <v>288</v>
      </c>
      <c r="D201" s="119" t="s">
        <v>231</v>
      </c>
      <c r="E201" s="120" t="s">
        <v>981</v>
      </c>
      <c r="F201" s="121" t="s">
        <v>982</v>
      </c>
      <c r="G201" s="122" t="s">
        <v>292</v>
      </c>
      <c r="H201" s="1071">
        <v>14</v>
      </c>
      <c r="I201" s="124">
        <v>15.55</v>
      </c>
      <c r="J201" s="124">
        <f t="shared" si="27"/>
        <v>217.7</v>
      </c>
      <c r="K201" s="121" t="s">
        <v>1</v>
      </c>
      <c r="L201" s="24"/>
      <c r="M201" s="125" t="s">
        <v>1</v>
      </c>
      <c r="N201" s="126" t="s">
        <v>32</v>
      </c>
      <c r="O201" s="127">
        <v>0</v>
      </c>
      <c r="P201" s="127">
        <f t="shared" si="28"/>
        <v>0</v>
      </c>
      <c r="Q201" s="127">
        <v>0</v>
      </c>
      <c r="R201" s="127">
        <f t="shared" si="29"/>
        <v>0</v>
      </c>
      <c r="S201" s="127">
        <v>0</v>
      </c>
      <c r="T201" s="128">
        <f t="shared" si="30"/>
        <v>0</v>
      </c>
      <c r="W201" s="199"/>
      <c r="X201" s="205" t="s">
        <v>288</v>
      </c>
      <c r="Y201" s="119" t="s">
        <v>231</v>
      </c>
      <c r="Z201" s="120" t="s">
        <v>981</v>
      </c>
      <c r="AA201" s="121" t="s">
        <v>982</v>
      </c>
      <c r="AB201" s="122" t="s">
        <v>292</v>
      </c>
      <c r="AC201" s="206">
        <f>14+17+15</f>
        <v>46</v>
      </c>
      <c r="AD201" s="124">
        <v>15.55</v>
      </c>
      <c r="AE201" s="200">
        <f t="shared" si="26"/>
        <v>715.3</v>
      </c>
      <c r="AF201" s="1131" t="s">
        <v>6623</v>
      </c>
      <c r="AG201" s="409"/>
      <c r="AH201" s="364"/>
      <c r="AR201" s="129" t="s">
        <v>235</v>
      </c>
      <c r="AT201" s="129" t="s">
        <v>231</v>
      </c>
      <c r="AU201" s="129" t="s">
        <v>76</v>
      </c>
      <c r="AY201" s="13" t="s">
        <v>228</v>
      </c>
      <c r="BE201" s="130">
        <f t="shared" si="31"/>
        <v>0</v>
      </c>
      <c r="BF201" s="130">
        <f t="shared" si="32"/>
        <v>217.7</v>
      </c>
      <c r="BG201" s="130">
        <f t="shared" si="33"/>
        <v>0</v>
      </c>
      <c r="BH201" s="130">
        <f t="shared" si="34"/>
        <v>0</v>
      </c>
      <c r="BI201" s="130">
        <f t="shared" si="35"/>
        <v>0</v>
      </c>
      <c r="BJ201" s="13" t="s">
        <v>76</v>
      </c>
      <c r="BK201" s="130">
        <f t="shared" si="36"/>
        <v>217.7</v>
      </c>
      <c r="BL201" s="13" t="s">
        <v>235</v>
      </c>
      <c r="BM201" s="129" t="s">
        <v>347</v>
      </c>
    </row>
    <row r="202" spans="2:65" s="1" customFormat="1" ht="16.5" customHeight="1" x14ac:dyDescent="0.2">
      <c r="B202" s="118"/>
      <c r="C202" s="1070" t="s">
        <v>348</v>
      </c>
      <c r="D202" s="119" t="s">
        <v>231</v>
      </c>
      <c r="E202" s="120" t="s">
        <v>991</v>
      </c>
      <c r="F202" s="121" t="s">
        <v>992</v>
      </c>
      <c r="G202" s="122" t="s">
        <v>243</v>
      </c>
      <c r="H202" s="1071">
        <v>42</v>
      </c>
      <c r="I202" s="124">
        <v>8.84</v>
      </c>
      <c r="J202" s="124">
        <f t="shared" si="27"/>
        <v>371.28</v>
      </c>
      <c r="K202" s="121" t="s">
        <v>1</v>
      </c>
      <c r="L202" s="24"/>
      <c r="M202" s="125" t="s">
        <v>1</v>
      </c>
      <c r="N202" s="126" t="s">
        <v>32</v>
      </c>
      <c r="O202" s="127">
        <v>0</v>
      </c>
      <c r="P202" s="127">
        <f t="shared" si="28"/>
        <v>0</v>
      </c>
      <c r="Q202" s="127">
        <v>0</v>
      </c>
      <c r="R202" s="127">
        <f t="shared" si="29"/>
        <v>0</v>
      </c>
      <c r="S202" s="127">
        <v>0</v>
      </c>
      <c r="T202" s="128">
        <f t="shared" si="30"/>
        <v>0</v>
      </c>
      <c r="W202" s="199"/>
      <c r="X202" s="1070" t="s">
        <v>348</v>
      </c>
      <c r="Y202" s="119" t="s">
        <v>231</v>
      </c>
      <c r="Z202" s="120" t="s">
        <v>991</v>
      </c>
      <c r="AA202" s="121" t="s">
        <v>992</v>
      </c>
      <c r="AB202" s="122" t="s">
        <v>243</v>
      </c>
      <c r="AC202" s="1071">
        <f>42+6</f>
        <v>48</v>
      </c>
      <c r="AD202" s="124">
        <v>8.84</v>
      </c>
      <c r="AE202" s="200">
        <f t="shared" si="26"/>
        <v>424.32</v>
      </c>
      <c r="AF202" s="1131" t="s">
        <v>5482</v>
      </c>
      <c r="AG202" s="409"/>
      <c r="AH202" s="364"/>
      <c r="AR202" s="129" t="s">
        <v>235</v>
      </c>
      <c r="AT202" s="129" t="s">
        <v>231</v>
      </c>
      <c r="AU202" s="129" t="s">
        <v>76</v>
      </c>
      <c r="AY202" s="13" t="s">
        <v>228</v>
      </c>
      <c r="BE202" s="130">
        <f t="shared" si="31"/>
        <v>0</v>
      </c>
      <c r="BF202" s="130">
        <f t="shared" si="32"/>
        <v>371.28</v>
      </c>
      <c r="BG202" s="130">
        <f t="shared" si="33"/>
        <v>0</v>
      </c>
      <c r="BH202" s="130">
        <f t="shared" si="34"/>
        <v>0</v>
      </c>
      <c r="BI202" s="130">
        <f t="shared" si="35"/>
        <v>0</v>
      </c>
      <c r="BJ202" s="13" t="s">
        <v>76</v>
      </c>
      <c r="BK202" s="130">
        <f t="shared" si="36"/>
        <v>371.28</v>
      </c>
      <c r="BL202" s="13" t="s">
        <v>235</v>
      </c>
      <c r="BM202" s="129" t="s">
        <v>351</v>
      </c>
    </row>
    <row r="203" spans="2:65" s="1" customFormat="1" ht="16.5" customHeight="1" x14ac:dyDescent="0.2">
      <c r="B203" s="118"/>
      <c r="C203" s="1070" t="s">
        <v>293</v>
      </c>
      <c r="D203" s="119" t="s">
        <v>231</v>
      </c>
      <c r="E203" s="120" t="s">
        <v>993</v>
      </c>
      <c r="F203" s="121" t="s">
        <v>4439</v>
      </c>
      <c r="G203" s="122" t="s">
        <v>243</v>
      </c>
      <c r="H203" s="1071">
        <v>42</v>
      </c>
      <c r="I203" s="124">
        <v>10.68</v>
      </c>
      <c r="J203" s="124">
        <f t="shared" si="27"/>
        <v>448.56</v>
      </c>
      <c r="K203" s="121" t="s">
        <v>1</v>
      </c>
      <c r="L203" s="24"/>
      <c r="M203" s="125" t="s">
        <v>1</v>
      </c>
      <c r="N203" s="126" t="s">
        <v>32</v>
      </c>
      <c r="O203" s="127">
        <v>0</v>
      </c>
      <c r="P203" s="127">
        <f t="shared" si="28"/>
        <v>0</v>
      </c>
      <c r="Q203" s="127">
        <v>0</v>
      </c>
      <c r="R203" s="127">
        <f t="shared" si="29"/>
        <v>0</v>
      </c>
      <c r="S203" s="127">
        <v>0</v>
      </c>
      <c r="T203" s="128">
        <f t="shared" si="30"/>
        <v>0</v>
      </c>
      <c r="W203" s="199"/>
      <c r="X203" s="1070" t="s">
        <v>293</v>
      </c>
      <c r="Y203" s="119" t="s">
        <v>231</v>
      </c>
      <c r="Z203" s="120" t="s">
        <v>993</v>
      </c>
      <c r="AA203" s="121" t="s">
        <v>4439</v>
      </c>
      <c r="AB203" s="122" t="s">
        <v>243</v>
      </c>
      <c r="AC203" s="1071">
        <f>42+6</f>
        <v>48</v>
      </c>
      <c r="AD203" s="124">
        <v>10.68</v>
      </c>
      <c r="AE203" s="200">
        <f t="shared" si="26"/>
        <v>512.64</v>
      </c>
      <c r="AF203" s="1131" t="s">
        <v>5482</v>
      </c>
      <c r="AG203" s="409"/>
      <c r="AH203" s="364"/>
      <c r="AR203" s="129" t="s">
        <v>235</v>
      </c>
      <c r="AT203" s="129" t="s">
        <v>231</v>
      </c>
      <c r="AU203" s="129" t="s">
        <v>76</v>
      </c>
      <c r="AY203" s="13" t="s">
        <v>228</v>
      </c>
      <c r="BE203" s="130">
        <f t="shared" si="31"/>
        <v>0</v>
      </c>
      <c r="BF203" s="130">
        <f t="shared" si="32"/>
        <v>448.56</v>
      </c>
      <c r="BG203" s="130">
        <f t="shared" si="33"/>
        <v>0</v>
      </c>
      <c r="BH203" s="130">
        <f t="shared" si="34"/>
        <v>0</v>
      </c>
      <c r="BI203" s="130">
        <f t="shared" si="35"/>
        <v>0</v>
      </c>
      <c r="BJ203" s="13" t="s">
        <v>76</v>
      </c>
      <c r="BK203" s="130">
        <f t="shared" si="36"/>
        <v>448.56</v>
      </c>
      <c r="BL203" s="13" t="s">
        <v>235</v>
      </c>
      <c r="BM203" s="129" t="s">
        <v>354</v>
      </c>
    </row>
    <row r="204" spans="2:65" s="903" customFormat="1" ht="44.25" customHeight="1" x14ac:dyDescent="0.2">
      <c r="B204" s="906"/>
      <c r="C204" s="1234" t="s">
        <v>5205</v>
      </c>
      <c r="D204" s="1235"/>
      <c r="E204" s="1235"/>
      <c r="F204" s="1235"/>
      <c r="G204" s="1235"/>
      <c r="H204" s="1235"/>
      <c r="I204" s="1235"/>
      <c r="J204" s="1236"/>
      <c r="K204" s="907"/>
      <c r="L204" s="905"/>
      <c r="M204" s="908"/>
      <c r="N204" s="909"/>
      <c r="O204" s="910"/>
      <c r="P204" s="910"/>
      <c r="Q204" s="910"/>
      <c r="R204" s="910"/>
      <c r="S204" s="910"/>
      <c r="T204" s="911"/>
      <c r="W204" s="914"/>
      <c r="X204" s="928" t="s">
        <v>5386</v>
      </c>
      <c r="Y204" s="928" t="s">
        <v>231</v>
      </c>
      <c r="Z204" s="929" t="s">
        <v>6596</v>
      </c>
      <c r="AA204" s="930" t="s">
        <v>6597</v>
      </c>
      <c r="AB204" s="931" t="s">
        <v>1194</v>
      </c>
      <c r="AC204" s="932">
        <v>4</v>
      </c>
      <c r="AD204" s="933">
        <v>9.2899999999999991</v>
      </c>
      <c r="AE204" s="927">
        <f t="shared" si="26"/>
        <v>37.159999999999997</v>
      </c>
      <c r="AF204" s="1131" t="s">
        <v>5477</v>
      </c>
      <c r="AG204" s="409"/>
      <c r="AH204" s="925"/>
      <c r="AR204" s="912"/>
      <c r="AT204" s="912"/>
      <c r="AU204" s="912"/>
      <c r="AY204" s="904"/>
      <c r="BE204" s="913"/>
      <c r="BF204" s="913"/>
      <c r="BG204" s="913"/>
      <c r="BH204" s="913"/>
      <c r="BI204" s="913"/>
      <c r="BJ204" s="904"/>
      <c r="BK204" s="913"/>
      <c r="BL204" s="904"/>
      <c r="BM204" s="912"/>
    </row>
    <row r="205" spans="2:65" s="1" customFormat="1" ht="16.5" customHeight="1" x14ac:dyDescent="0.2">
      <c r="B205" s="118"/>
      <c r="C205" s="205" t="s">
        <v>355</v>
      </c>
      <c r="D205" s="119" t="s">
        <v>231</v>
      </c>
      <c r="E205" s="120" t="s">
        <v>997</v>
      </c>
      <c r="F205" s="121" t="s">
        <v>998</v>
      </c>
      <c r="G205" s="122" t="s">
        <v>243</v>
      </c>
      <c r="H205" s="206">
        <v>1</v>
      </c>
      <c r="I205" s="124">
        <v>6.1</v>
      </c>
      <c r="J205" s="124">
        <f t="shared" si="27"/>
        <v>6.1</v>
      </c>
      <c r="K205" s="121" t="s">
        <v>1</v>
      </c>
      <c r="L205" s="24"/>
      <c r="M205" s="125" t="s">
        <v>1</v>
      </c>
      <c r="N205" s="126" t="s">
        <v>32</v>
      </c>
      <c r="O205" s="127">
        <v>0</v>
      </c>
      <c r="P205" s="127">
        <f t="shared" si="28"/>
        <v>0</v>
      </c>
      <c r="Q205" s="127">
        <v>0</v>
      </c>
      <c r="R205" s="127">
        <f t="shared" si="29"/>
        <v>0</v>
      </c>
      <c r="S205" s="127">
        <v>0</v>
      </c>
      <c r="T205" s="128">
        <f t="shared" si="30"/>
        <v>0</v>
      </c>
      <c r="W205" s="199"/>
      <c r="X205" s="205" t="s">
        <v>355</v>
      </c>
      <c r="Y205" s="119" t="s">
        <v>231</v>
      </c>
      <c r="Z205" s="120" t="s">
        <v>997</v>
      </c>
      <c r="AA205" s="121" t="s">
        <v>998</v>
      </c>
      <c r="AB205" s="122" t="s">
        <v>243</v>
      </c>
      <c r="AC205" s="206">
        <f>1+3</f>
        <v>4</v>
      </c>
      <c r="AD205" s="124">
        <v>6.1</v>
      </c>
      <c r="AE205" s="200">
        <f t="shared" si="26"/>
        <v>24.4</v>
      </c>
      <c r="AF205" s="1131" t="s">
        <v>6286</v>
      </c>
      <c r="AG205" s="409"/>
      <c r="AH205" s="364"/>
      <c r="AR205" s="129" t="s">
        <v>235</v>
      </c>
      <c r="AT205" s="129" t="s">
        <v>231</v>
      </c>
      <c r="AU205" s="129" t="s">
        <v>76</v>
      </c>
      <c r="AY205" s="13" t="s">
        <v>228</v>
      </c>
      <c r="BE205" s="130">
        <f t="shared" si="31"/>
        <v>0</v>
      </c>
      <c r="BF205" s="130">
        <f t="shared" si="32"/>
        <v>6.1</v>
      </c>
      <c r="BG205" s="130">
        <f t="shared" si="33"/>
        <v>0</v>
      </c>
      <c r="BH205" s="130">
        <f t="shared" si="34"/>
        <v>0</v>
      </c>
      <c r="BI205" s="130">
        <f t="shared" si="35"/>
        <v>0</v>
      </c>
      <c r="BJ205" s="13" t="s">
        <v>76</v>
      </c>
      <c r="BK205" s="130">
        <f t="shared" si="36"/>
        <v>6.1</v>
      </c>
      <c r="BL205" s="13" t="s">
        <v>235</v>
      </c>
      <c r="BM205" s="129" t="s">
        <v>358</v>
      </c>
    </row>
    <row r="206" spans="2:65" s="1" customFormat="1" ht="16.5" customHeight="1" x14ac:dyDescent="0.2">
      <c r="B206" s="118"/>
      <c r="C206" s="205" t="s">
        <v>296</v>
      </c>
      <c r="D206" s="119" t="s">
        <v>231</v>
      </c>
      <c r="E206" s="120" t="s">
        <v>999</v>
      </c>
      <c r="F206" s="121" t="s">
        <v>1000</v>
      </c>
      <c r="G206" s="122" t="s">
        <v>243</v>
      </c>
      <c r="H206" s="206">
        <v>2</v>
      </c>
      <c r="I206" s="124">
        <v>7.94</v>
      </c>
      <c r="J206" s="124">
        <f t="shared" si="27"/>
        <v>15.88</v>
      </c>
      <c r="K206" s="121" t="s">
        <v>1</v>
      </c>
      <c r="L206" s="24"/>
      <c r="M206" s="125" t="s">
        <v>1</v>
      </c>
      <c r="N206" s="126" t="s">
        <v>32</v>
      </c>
      <c r="O206" s="127">
        <v>0</v>
      </c>
      <c r="P206" s="127">
        <f t="shared" si="28"/>
        <v>0</v>
      </c>
      <c r="Q206" s="127">
        <v>0</v>
      </c>
      <c r="R206" s="127">
        <f t="shared" si="29"/>
        <v>0</v>
      </c>
      <c r="S206" s="127">
        <v>0</v>
      </c>
      <c r="T206" s="128">
        <f t="shared" si="30"/>
        <v>0</v>
      </c>
      <c r="W206" s="199"/>
      <c r="X206" s="205" t="s">
        <v>296</v>
      </c>
      <c r="Y206" s="119" t="s">
        <v>231</v>
      </c>
      <c r="Z206" s="120" t="s">
        <v>999</v>
      </c>
      <c r="AA206" s="121" t="s">
        <v>1000</v>
      </c>
      <c r="AB206" s="122" t="s">
        <v>243</v>
      </c>
      <c r="AC206" s="206">
        <f>2+5+2</f>
        <v>9</v>
      </c>
      <c r="AD206" s="124">
        <v>7.94</v>
      </c>
      <c r="AE206" s="200">
        <f t="shared" si="26"/>
        <v>71.459999999999994</v>
      </c>
      <c r="AF206" s="1131" t="s">
        <v>6623</v>
      </c>
      <c r="AG206" s="409"/>
      <c r="AH206" s="364"/>
      <c r="AR206" s="129" t="s">
        <v>235</v>
      </c>
      <c r="AT206" s="129" t="s">
        <v>231</v>
      </c>
      <c r="AU206" s="129" t="s">
        <v>76</v>
      </c>
      <c r="AY206" s="13" t="s">
        <v>228</v>
      </c>
      <c r="BE206" s="130">
        <f t="shared" si="31"/>
        <v>0</v>
      </c>
      <c r="BF206" s="130">
        <f t="shared" si="32"/>
        <v>15.88</v>
      </c>
      <c r="BG206" s="130">
        <f t="shared" si="33"/>
        <v>0</v>
      </c>
      <c r="BH206" s="130">
        <f t="shared" si="34"/>
        <v>0</v>
      </c>
      <c r="BI206" s="130">
        <f t="shared" si="35"/>
        <v>0</v>
      </c>
      <c r="BJ206" s="13" t="s">
        <v>76</v>
      </c>
      <c r="BK206" s="130">
        <f t="shared" si="36"/>
        <v>15.88</v>
      </c>
      <c r="BL206" s="13" t="s">
        <v>235</v>
      </c>
      <c r="BM206" s="129" t="s">
        <v>361</v>
      </c>
    </row>
    <row r="207" spans="2:65" s="403" customFormat="1" ht="16.5" customHeight="1" x14ac:dyDescent="0.2">
      <c r="B207" s="118"/>
      <c r="C207" s="1234" t="s">
        <v>5205</v>
      </c>
      <c r="D207" s="1235"/>
      <c r="E207" s="1235"/>
      <c r="F207" s="1235"/>
      <c r="G207" s="1235"/>
      <c r="H207" s="1235"/>
      <c r="I207" s="1235"/>
      <c r="J207" s="1236"/>
      <c r="K207" s="121"/>
      <c r="L207" s="24"/>
      <c r="M207" s="125"/>
      <c r="N207" s="126"/>
      <c r="O207" s="127"/>
      <c r="P207" s="127"/>
      <c r="Q207" s="127"/>
      <c r="R207" s="127"/>
      <c r="S207" s="127"/>
      <c r="T207" s="128"/>
      <c r="W207" s="199"/>
      <c r="X207" s="207" t="s">
        <v>6032</v>
      </c>
      <c r="Y207" s="207" t="s">
        <v>231</v>
      </c>
      <c r="Z207" s="208" t="s">
        <v>6023</v>
      </c>
      <c r="AA207" s="209" t="s">
        <v>1002</v>
      </c>
      <c r="AB207" s="210" t="s">
        <v>243</v>
      </c>
      <c r="AC207" s="211">
        <f>3+1+2</f>
        <v>6</v>
      </c>
      <c r="AD207" s="212">
        <v>13.2</v>
      </c>
      <c r="AE207" s="214">
        <f t="shared" si="26"/>
        <v>79.2</v>
      </c>
      <c r="AF207" s="1131" t="s">
        <v>6643</v>
      </c>
      <c r="AG207" s="409"/>
      <c r="AH207" s="364"/>
      <c r="AR207" s="129"/>
      <c r="AT207" s="129"/>
      <c r="AU207" s="129"/>
      <c r="AY207" s="13"/>
      <c r="BE207" s="130"/>
      <c r="BF207" s="130"/>
      <c r="BG207" s="130"/>
      <c r="BH207" s="130"/>
      <c r="BI207" s="130"/>
      <c r="BJ207" s="13"/>
      <c r="BK207" s="130"/>
      <c r="BL207" s="13"/>
      <c r="BM207" s="129"/>
    </row>
    <row r="208" spans="2:65" s="1" customFormat="1" ht="16.5" customHeight="1" x14ac:dyDescent="0.2">
      <c r="B208" s="118"/>
      <c r="C208" s="1070" t="s">
        <v>362</v>
      </c>
      <c r="D208" s="119" t="s">
        <v>231</v>
      </c>
      <c r="E208" s="120" t="s">
        <v>1003</v>
      </c>
      <c r="F208" s="121" t="s">
        <v>1004</v>
      </c>
      <c r="G208" s="122" t="s">
        <v>243</v>
      </c>
      <c r="H208" s="1071">
        <v>3</v>
      </c>
      <c r="I208" s="124">
        <v>19.239999999999998</v>
      </c>
      <c r="J208" s="124">
        <f t="shared" si="27"/>
        <v>57.72</v>
      </c>
      <c r="K208" s="121" t="s">
        <v>1</v>
      </c>
      <c r="L208" s="24"/>
      <c r="M208" s="125" t="s">
        <v>1</v>
      </c>
      <c r="N208" s="126" t="s">
        <v>32</v>
      </c>
      <c r="O208" s="127">
        <v>0</v>
      </c>
      <c r="P208" s="127">
        <f t="shared" si="28"/>
        <v>0</v>
      </c>
      <c r="Q208" s="127">
        <v>0</v>
      </c>
      <c r="R208" s="127">
        <f t="shared" si="29"/>
        <v>0</v>
      </c>
      <c r="S208" s="127">
        <v>0</v>
      </c>
      <c r="T208" s="128">
        <f t="shared" si="30"/>
        <v>0</v>
      </c>
      <c r="W208" s="199"/>
      <c r="X208" s="1070" t="s">
        <v>362</v>
      </c>
      <c r="Y208" s="119" t="s">
        <v>231</v>
      </c>
      <c r="Z208" s="120" t="s">
        <v>1003</v>
      </c>
      <c r="AA208" s="121" t="s">
        <v>1004</v>
      </c>
      <c r="AB208" s="122" t="s">
        <v>243</v>
      </c>
      <c r="AC208" s="1071">
        <f>3+1</f>
        <v>4</v>
      </c>
      <c r="AD208" s="124">
        <v>19.239999999999998</v>
      </c>
      <c r="AE208" s="200">
        <f t="shared" si="26"/>
        <v>76.959999999999994</v>
      </c>
      <c r="AF208" s="1131" t="s">
        <v>5482</v>
      </c>
      <c r="AG208" s="409"/>
      <c r="AH208" s="364"/>
      <c r="AR208" s="129" t="s">
        <v>235</v>
      </c>
      <c r="AT208" s="129" t="s">
        <v>231</v>
      </c>
      <c r="AU208" s="129" t="s">
        <v>76</v>
      </c>
      <c r="AY208" s="13" t="s">
        <v>228</v>
      </c>
      <c r="BE208" s="130">
        <f t="shared" si="31"/>
        <v>0</v>
      </c>
      <c r="BF208" s="130">
        <f t="shared" si="32"/>
        <v>57.72</v>
      </c>
      <c r="BG208" s="130">
        <f t="shared" si="33"/>
        <v>0</v>
      </c>
      <c r="BH208" s="130">
        <f t="shared" si="34"/>
        <v>0</v>
      </c>
      <c r="BI208" s="130">
        <f t="shared" si="35"/>
        <v>0</v>
      </c>
      <c r="BJ208" s="13" t="s">
        <v>76</v>
      </c>
      <c r="BK208" s="130">
        <f t="shared" si="36"/>
        <v>57.72</v>
      </c>
      <c r="BL208" s="13" t="s">
        <v>235</v>
      </c>
      <c r="BM208" s="129" t="s">
        <v>365</v>
      </c>
    </row>
    <row r="209" spans="2:65" s="641" customFormat="1" ht="16.5" customHeight="1" x14ac:dyDescent="0.2">
      <c r="B209" s="118"/>
      <c r="C209" s="1234" t="s">
        <v>5205</v>
      </c>
      <c r="D209" s="1235"/>
      <c r="E209" s="1235"/>
      <c r="F209" s="1235"/>
      <c r="G209" s="1235"/>
      <c r="H209" s="1235"/>
      <c r="I209" s="1235"/>
      <c r="J209" s="1236"/>
      <c r="K209" s="121"/>
      <c r="L209" s="24"/>
      <c r="M209" s="125"/>
      <c r="N209" s="126"/>
      <c r="O209" s="127"/>
      <c r="P209" s="127"/>
      <c r="Q209" s="127"/>
      <c r="R209" s="127"/>
      <c r="S209" s="127"/>
      <c r="T209" s="128"/>
      <c r="W209" s="199"/>
      <c r="X209" s="207" t="s">
        <v>5643</v>
      </c>
      <c r="Y209" s="207"/>
      <c r="Z209" s="208" t="s">
        <v>1011</v>
      </c>
      <c r="AA209" s="209" t="s">
        <v>6313</v>
      </c>
      <c r="AB209" s="210" t="s">
        <v>243</v>
      </c>
      <c r="AC209" s="211">
        <v>2</v>
      </c>
      <c r="AD209" s="212">
        <v>192.73</v>
      </c>
      <c r="AE209" s="214">
        <f>AC209*AD209</f>
        <v>385.46</v>
      </c>
      <c r="AF209" s="1131" t="s">
        <v>6286</v>
      </c>
      <c r="AG209" s="409"/>
      <c r="AH209" s="364"/>
      <c r="AR209" s="129"/>
      <c r="AT209" s="129"/>
      <c r="AU209" s="129"/>
      <c r="AY209" s="13"/>
      <c r="BE209" s="130"/>
      <c r="BF209" s="130"/>
      <c r="BG209" s="130"/>
      <c r="BH209" s="130"/>
      <c r="BI209" s="130"/>
      <c r="BJ209" s="13"/>
      <c r="BK209" s="130"/>
      <c r="BL209" s="13"/>
      <c r="BM209" s="129"/>
    </row>
    <row r="210" spans="2:65" s="1" customFormat="1" ht="16.5" customHeight="1" x14ac:dyDescent="0.2">
      <c r="B210" s="118"/>
      <c r="C210" s="205" t="s">
        <v>300</v>
      </c>
      <c r="D210" s="119" t="s">
        <v>231</v>
      </c>
      <c r="E210" s="120" t="s">
        <v>1013</v>
      </c>
      <c r="F210" s="121" t="s">
        <v>1014</v>
      </c>
      <c r="G210" s="122" t="s">
        <v>243</v>
      </c>
      <c r="H210" s="206">
        <v>43</v>
      </c>
      <c r="I210" s="124">
        <v>2.2999999999999998</v>
      </c>
      <c r="J210" s="124">
        <f t="shared" si="27"/>
        <v>98.9</v>
      </c>
      <c r="K210" s="121" t="s">
        <v>1</v>
      </c>
      <c r="L210" s="24"/>
      <c r="M210" s="125" t="s">
        <v>1</v>
      </c>
      <c r="N210" s="126" t="s">
        <v>32</v>
      </c>
      <c r="O210" s="127">
        <v>0</v>
      </c>
      <c r="P210" s="127">
        <f t="shared" si="28"/>
        <v>0</v>
      </c>
      <c r="Q210" s="127">
        <v>0</v>
      </c>
      <c r="R210" s="127">
        <f t="shared" si="29"/>
        <v>0</v>
      </c>
      <c r="S210" s="127">
        <v>0</v>
      </c>
      <c r="T210" s="128">
        <f t="shared" si="30"/>
        <v>0</v>
      </c>
      <c r="W210" s="199"/>
      <c r="X210" s="205" t="s">
        <v>300</v>
      </c>
      <c r="Y210" s="119" t="s">
        <v>231</v>
      </c>
      <c r="Z210" s="120" t="s">
        <v>1013</v>
      </c>
      <c r="AA210" s="121" t="s">
        <v>1014</v>
      </c>
      <c r="AB210" s="122" t="s">
        <v>243</v>
      </c>
      <c r="AC210" s="206">
        <f>43+3</f>
        <v>46</v>
      </c>
      <c r="AD210" s="124">
        <v>2.2999999999999998</v>
      </c>
      <c r="AE210" s="200">
        <f t="shared" si="26"/>
        <v>105.8</v>
      </c>
      <c r="AF210" s="1131" t="s">
        <v>6286</v>
      </c>
      <c r="AG210" s="409"/>
      <c r="AH210" s="364"/>
      <c r="AR210" s="129" t="s">
        <v>235</v>
      </c>
      <c r="AT210" s="129" t="s">
        <v>231</v>
      </c>
      <c r="AU210" s="129" t="s">
        <v>76</v>
      </c>
      <c r="AY210" s="13" t="s">
        <v>228</v>
      </c>
      <c r="BE210" s="130">
        <f t="shared" si="31"/>
        <v>0</v>
      </c>
      <c r="BF210" s="130">
        <f t="shared" si="32"/>
        <v>98.9</v>
      </c>
      <c r="BG210" s="130">
        <f t="shared" si="33"/>
        <v>0</v>
      </c>
      <c r="BH210" s="130">
        <f t="shared" si="34"/>
        <v>0</v>
      </c>
      <c r="BI210" s="130">
        <f t="shared" si="35"/>
        <v>0</v>
      </c>
      <c r="BJ210" s="13" t="s">
        <v>76</v>
      </c>
      <c r="BK210" s="130">
        <f t="shared" si="36"/>
        <v>98.9</v>
      </c>
      <c r="BL210" s="13" t="s">
        <v>235</v>
      </c>
      <c r="BM210" s="129" t="s">
        <v>368</v>
      </c>
    </row>
    <row r="211" spans="2:65" s="1" customFormat="1" ht="16.5" customHeight="1" x14ac:dyDescent="0.2">
      <c r="B211" s="118"/>
      <c r="C211" s="205" t="s">
        <v>369</v>
      </c>
      <c r="D211" s="119" t="s">
        <v>231</v>
      </c>
      <c r="E211" s="120" t="s">
        <v>1015</v>
      </c>
      <c r="F211" s="121" t="s">
        <v>1016</v>
      </c>
      <c r="G211" s="122" t="s">
        <v>243</v>
      </c>
      <c r="H211" s="206">
        <v>2</v>
      </c>
      <c r="I211" s="124">
        <v>3.83</v>
      </c>
      <c r="J211" s="124">
        <f t="shared" si="27"/>
        <v>7.66</v>
      </c>
      <c r="K211" s="121" t="s">
        <v>1</v>
      </c>
      <c r="L211" s="24"/>
      <c r="M211" s="125" t="s">
        <v>1</v>
      </c>
      <c r="N211" s="126" t="s">
        <v>32</v>
      </c>
      <c r="O211" s="127">
        <v>0</v>
      </c>
      <c r="P211" s="127">
        <f t="shared" si="28"/>
        <v>0</v>
      </c>
      <c r="Q211" s="127">
        <v>0</v>
      </c>
      <c r="R211" s="127">
        <f t="shared" si="29"/>
        <v>0</v>
      </c>
      <c r="S211" s="127">
        <v>0</v>
      </c>
      <c r="T211" s="128">
        <f t="shared" si="30"/>
        <v>0</v>
      </c>
      <c r="W211" s="199"/>
      <c r="X211" s="205" t="s">
        <v>369</v>
      </c>
      <c r="Y211" s="119" t="s">
        <v>231</v>
      </c>
      <c r="Z211" s="120" t="s">
        <v>1015</v>
      </c>
      <c r="AA211" s="121" t="s">
        <v>1016</v>
      </c>
      <c r="AB211" s="122" t="s">
        <v>243</v>
      </c>
      <c r="AC211" s="206">
        <f>2+5+2</f>
        <v>9</v>
      </c>
      <c r="AD211" s="124">
        <v>3.83</v>
      </c>
      <c r="AE211" s="200">
        <f t="shared" si="26"/>
        <v>34.47</v>
      </c>
      <c r="AF211" s="1131" t="s">
        <v>6623</v>
      </c>
      <c r="AG211" s="409"/>
      <c r="AH211" s="364"/>
      <c r="AR211" s="129" t="s">
        <v>235</v>
      </c>
      <c r="AT211" s="129" t="s">
        <v>231</v>
      </c>
      <c r="AU211" s="129" t="s">
        <v>76</v>
      </c>
      <c r="AY211" s="13" t="s">
        <v>228</v>
      </c>
      <c r="BE211" s="130">
        <f t="shared" si="31"/>
        <v>0</v>
      </c>
      <c r="BF211" s="130">
        <f t="shared" si="32"/>
        <v>7.66</v>
      </c>
      <c r="BG211" s="130">
        <f t="shared" si="33"/>
        <v>0</v>
      </c>
      <c r="BH211" s="130">
        <f t="shared" si="34"/>
        <v>0</v>
      </c>
      <c r="BI211" s="130">
        <f t="shared" si="35"/>
        <v>0</v>
      </c>
      <c r="BJ211" s="13" t="s">
        <v>76</v>
      </c>
      <c r="BK211" s="130">
        <f t="shared" si="36"/>
        <v>7.66</v>
      </c>
      <c r="BL211" s="13" t="s">
        <v>235</v>
      </c>
      <c r="BM211" s="129" t="s">
        <v>372</v>
      </c>
    </row>
    <row r="212" spans="2:65" s="403" customFormat="1" ht="16.5" customHeight="1" x14ac:dyDescent="0.2">
      <c r="B212" s="118"/>
      <c r="C212" s="1234" t="s">
        <v>5205</v>
      </c>
      <c r="D212" s="1235"/>
      <c r="E212" s="1235"/>
      <c r="F212" s="1235"/>
      <c r="G212" s="1235"/>
      <c r="H212" s="1235"/>
      <c r="I212" s="1235"/>
      <c r="J212" s="1236"/>
      <c r="K212" s="121"/>
      <c r="L212" s="24"/>
      <c r="M212" s="125"/>
      <c r="N212" s="126"/>
      <c r="O212" s="127"/>
      <c r="P212" s="127"/>
      <c r="Q212" s="127"/>
      <c r="R212" s="127"/>
      <c r="S212" s="127"/>
      <c r="T212" s="128"/>
      <c r="W212" s="199"/>
      <c r="X212" s="207" t="s">
        <v>6033</v>
      </c>
      <c r="Y212" s="207" t="s">
        <v>231</v>
      </c>
      <c r="Z212" s="208" t="s">
        <v>1017</v>
      </c>
      <c r="AA212" s="209" t="s">
        <v>1018</v>
      </c>
      <c r="AB212" s="210" t="s">
        <v>243</v>
      </c>
      <c r="AC212" s="211">
        <f>3+1+2</f>
        <v>6</v>
      </c>
      <c r="AD212" s="212">
        <v>4.24</v>
      </c>
      <c r="AE212" s="214">
        <f t="shared" si="26"/>
        <v>25.44</v>
      </c>
      <c r="AF212" s="1131" t="s">
        <v>6643</v>
      </c>
      <c r="AG212" s="409"/>
      <c r="AH212" s="364"/>
      <c r="AR212" s="129"/>
      <c r="AT212" s="129"/>
      <c r="AU212" s="129"/>
      <c r="AY212" s="13"/>
      <c r="BE212" s="130"/>
      <c r="BF212" s="130"/>
      <c r="BG212" s="130"/>
      <c r="BH212" s="130"/>
      <c r="BI212" s="130"/>
      <c r="BJ212" s="13"/>
      <c r="BK212" s="130"/>
      <c r="BL212" s="13"/>
      <c r="BM212" s="129"/>
    </row>
    <row r="213" spans="2:65" s="1" customFormat="1" ht="16.5" customHeight="1" x14ac:dyDescent="0.2">
      <c r="B213" s="118"/>
      <c r="C213" s="1070" t="s">
        <v>303</v>
      </c>
      <c r="D213" s="119" t="s">
        <v>231</v>
      </c>
      <c r="E213" s="120" t="s">
        <v>1019</v>
      </c>
      <c r="F213" s="121" t="s">
        <v>1020</v>
      </c>
      <c r="G213" s="122" t="s">
        <v>243</v>
      </c>
      <c r="H213" s="1071">
        <v>3</v>
      </c>
      <c r="I213" s="124">
        <v>4.99</v>
      </c>
      <c r="J213" s="124">
        <f t="shared" si="27"/>
        <v>14.97</v>
      </c>
      <c r="K213" s="121" t="s">
        <v>1</v>
      </c>
      <c r="L213" s="24"/>
      <c r="M213" s="125" t="s">
        <v>1</v>
      </c>
      <c r="N213" s="126" t="s">
        <v>32</v>
      </c>
      <c r="O213" s="127">
        <v>0</v>
      </c>
      <c r="P213" s="127">
        <f t="shared" si="28"/>
        <v>0</v>
      </c>
      <c r="Q213" s="127">
        <v>0</v>
      </c>
      <c r="R213" s="127">
        <f t="shared" si="29"/>
        <v>0</v>
      </c>
      <c r="S213" s="127">
        <v>0</v>
      </c>
      <c r="T213" s="128">
        <f t="shared" si="30"/>
        <v>0</v>
      </c>
      <c r="W213" s="199"/>
      <c r="X213" s="1070" t="s">
        <v>303</v>
      </c>
      <c r="Y213" s="119" t="s">
        <v>231</v>
      </c>
      <c r="Z213" s="120" t="s">
        <v>1019</v>
      </c>
      <c r="AA213" s="121" t="s">
        <v>1020</v>
      </c>
      <c r="AB213" s="122" t="s">
        <v>243</v>
      </c>
      <c r="AC213" s="1071">
        <f>3+1</f>
        <v>4</v>
      </c>
      <c r="AD213" s="124">
        <v>4.99</v>
      </c>
      <c r="AE213" s="200">
        <f t="shared" si="26"/>
        <v>19.96</v>
      </c>
      <c r="AF213" s="1131" t="s">
        <v>5482</v>
      </c>
      <c r="AG213" s="409"/>
      <c r="AH213" s="364"/>
      <c r="AR213" s="129" t="s">
        <v>235</v>
      </c>
      <c r="AT213" s="129" t="s">
        <v>231</v>
      </c>
      <c r="AU213" s="129" t="s">
        <v>76</v>
      </c>
      <c r="AY213" s="13" t="s">
        <v>228</v>
      </c>
      <c r="BE213" s="130">
        <f t="shared" si="31"/>
        <v>0</v>
      </c>
      <c r="BF213" s="130">
        <f t="shared" si="32"/>
        <v>14.97</v>
      </c>
      <c r="BG213" s="130">
        <f t="shared" si="33"/>
        <v>0</v>
      </c>
      <c r="BH213" s="130">
        <f t="shared" si="34"/>
        <v>0</v>
      </c>
      <c r="BI213" s="130">
        <f t="shared" si="35"/>
        <v>0</v>
      </c>
      <c r="BJ213" s="13" t="s">
        <v>76</v>
      </c>
      <c r="BK213" s="130">
        <f t="shared" si="36"/>
        <v>14.97</v>
      </c>
      <c r="BL213" s="13" t="s">
        <v>235</v>
      </c>
      <c r="BM213" s="129" t="s">
        <v>375</v>
      </c>
    </row>
    <row r="214" spans="2:65" s="641" customFormat="1" ht="16.5" customHeight="1" x14ac:dyDescent="0.2">
      <c r="B214" s="118"/>
      <c r="C214" s="1234" t="s">
        <v>5205</v>
      </c>
      <c r="D214" s="1235"/>
      <c r="E214" s="1235"/>
      <c r="F214" s="1235"/>
      <c r="G214" s="1235"/>
      <c r="H214" s="1235"/>
      <c r="I214" s="1235"/>
      <c r="J214" s="1236"/>
      <c r="K214" s="121"/>
      <c r="L214" s="24"/>
      <c r="M214" s="125"/>
      <c r="N214" s="126"/>
      <c r="O214" s="127"/>
      <c r="P214" s="127"/>
      <c r="Q214" s="127"/>
      <c r="R214" s="127"/>
      <c r="S214" s="127"/>
      <c r="T214" s="128"/>
      <c r="W214" s="199"/>
      <c r="X214" s="207" t="s">
        <v>6152</v>
      </c>
      <c r="Y214" s="207" t="s">
        <v>231</v>
      </c>
      <c r="Z214" s="208" t="s">
        <v>1027</v>
      </c>
      <c r="AA214" s="209" t="s">
        <v>6314</v>
      </c>
      <c r="AB214" s="210" t="s">
        <v>243</v>
      </c>
      <c r="AC214" s="211">
        <v>2</v>
      </c>
      <c r="AD214" s="212">
        <v>13.5</v>
      </c>
      <c r="AE214" s="214">
        <f>AC214*AD214</f>
        <v>27</v>
      </c>
      <c r="AF214" s="1131" t="s">
        <v>6286</v>
      </c>
      <c r="AG214" s="409"/>
      <c r="AH214" s="364"/>
      <c r="AR214" s="129"/>
      <c r="AT214" s="129"/>
      <c r="AU214" s="129"/>
      <c r="AY214" s="13"/>
      <c r="BE214" s="130"/>
      <c r="BF214" s="130"/>
      <c r="BG214" s="130"/>
      <c r="BH214" s="130"/>
      <c r="BI214" s="130"/>
      <c r="BJ214" s="13"/>
      <c r="BK214" s="130"/>
      <c r="BL214" s="13"/>
      <c r="BM214" s="129"/>
    </row>
    <row r="215" spans="2:65" s="1" customFormat="1" ht="16.5" customHeight="1" x14ac:dyDescent="0.2">
      <c r="B215" s="118"/>
      <c r="C215" s="205" t="s">
        <v>376</v>
      </c>
      <c r="D215" s="119" t="s">
        <v>231</v>
      </c>
      <c r="E215" s="120" t="s">
        <v>1029</v>
      </c>
      <c r="F215" s="121" t="s">
        <v>1030</v>
      </c>
      <c r="G215" s="122" t="s">
        <v>292</v>
      </c>
      <c r="H215" s="206">
        <v>451</v>
      </c>
      <c r="I215" s="124">
        <v>1.52</v>
      </c>
      <c r="J215" s="124">
        <f t="shared" si="27"/>
        <v>685.52</v>
      </c>
      <c r="K215" s="121" t="s">
        <v>1</v>
      </c>
      <c r="L215" s="24"/>
      <c r="M215" s="125" t="s">
        <v>1</v>
      </c>
      <c r="N215" s="126" t="s">
        <v>32</v>
      </c>
      <c r="O215" s="127">
        <v>0</v>
      </c>
      <c r="P215" s="127">
        <f t="shared" si="28"/>
        <v>0</v>
      </c>
      <c r="Q215" s="127">
        <v>0</v>
      </c>
      <c r="R215" s="127">
        <f t="shared" si="29"/>
        <v>0</v>
      </c>
      <c r="S215" s="127">
        <v>0</v>
      </c>
      <c r="T215" s="128">
        <f t="shared" si="30"/>
        <v>0</v>
      </c>
      <c r="W215" s="199"/>
      <c r="X215" s="205" t="s">
        <v>376</v>
      </c>
      <c r="Y215" s="119" t="s">
        <v>231</v>
      </c>
      <c r="Z215" s="120" t="s">
        <v>1029</v>
      </c>
      <c r="AA215" s="121" t="s">
        <v>1030</v>
      </c>
      <c r="AB215" s="122" t="s">
        <v>292</v>
      </c>
      <c r="AC215" s="206">
        <f>451+70+64+32+65</f>
        <v>682</v>
      </c>
      <c r="AD215" s="124">
        <v>1.52</v>
      </c>
      <c r="AE215" s="200">
        <f t="shared" si="26"/>
        <v>1036.6400000000001</v>
      </c>
      <c r="AF215" s="1131" t="s">
        <v>6640</v>
      </c>
      <c r="AG215" s="409"/>
      <c r="AH215" s="364"/>
      <c r="AR215" s="129" t="s">
        <v>235</v>
      </c>
      <c r="AT215" s="129" t="s">
        <v>231</v>
      </c>
      <c r="AU215" s="129" t="s">
        <v>76</v>
      </c>
      <c r="AY215" s="13" t="s">
        <v>228</v>
      </c>
      <c r="BE215" s="130">
        <f t="shared" si="31"/>
        <v>0</v>
      </c>
      <c r="BF215" s="130">
        <f t="shared" si="32"/>
        <v>685.52</v>
      </c>
      <c r="BG215" s="130">
        <f t="shared" si="33"/>
        <v>0</v>
      </c>
      <c r="BH215" s="130">
        <f t="shared" si="34"/>
        <v>0</v>
      </c>
      <c r="BI215" s="130">
        <f t="shared" si="35"/>
        <v>0</v>
      </c>
      <c r="BJ215" s="13" t="s">
        <v>76</v>
      </c>
      <c r="BK215" s="130">
        <f t="shared" si="36"/>
        <v>685.52</v>
      </c>
      <c r="BL215" s="13" t="s">
        <v>235</v>
      </c>
      <c r="BM215" s="129" t="s">
        <v>379</v>
      </c>
    </row>
    <row r="216" spans="2:65" s="641" customFormat="1" ht="22.2" customHeight="1" x14ac:dyDescent="0.2">
      <c r="B216" s="118"/>
      <c r="C216" s="1234" t="s">
        <v>5205</v>
      </c>
      <c r="D216" s="1235"/>
      <c r="E216" s="1235"/>
      <c r="F216" s="1235"/>
      <c r="G216" s="1235"/>
      <c r="H216" s="1235"/>
      <c r="I216" s="1235"/>
      <c r="J216" s="1236"/>
      <c r="K216" s="121"/>
      <c r="L216" s="24"/>
      <c r="M216" s="125"/>
      <c r="N216" s="126"/>
      <c r="O216" s="127"/>
      <c r="P216" s="127"/>
      <c r="Q216" s="127"/>
      <c r="R216" s="127"/>
      <c r="S216" s="127"/>
      <c r="T216" s="128"/>
      <c r="W216" s="199"/>
      <c r="X216" s="207" t="s">
        <v>5392</v>
      </c>
      <c r="Y216" s="207" t="s">
        <v>231</v>
      </c>
      <c r="Z216" s="208" t="s">
        <v>1031</v>
      </c>
      <c r="AA216" s="209" t="s">
        <v>6315</v>
      </c>
      <c r="AB216" s="210" t="s">
        <v>292</v>
      </c>
      <c r="AC216" s="211">
        <v>10.5</v>
      </c>
      <c r="AD216" s="212">
        <v>3.17</v>
      </c>
      <c r="AE216" s="214">
        <f>AC216*AD216</f>
        <v>33.284999999999997</v>
      </c>
      <c r="AF216" s="1131" t="s">
        <v>6286</v>
      </c>
      <c r="AG216" s="409"/>
      <c r="AH216" s="364"/>
      <c r="AR216" s="129"/>
      <c r="AT216" s="129"/>
      <c r="AU216" s="129"/>
      <c r="AY216" s="13"/>
      <c r="BE216" s="130"/>
      <c r="BF216" s="130"/>
      <c r="BG216" s="130"/>
      <c r="BH216" s="130"/>
      <c r="BI216" s="130"/>
      <c r="BJ216" s="13"/>
      <c r="BK216" s="130"/>
      <c r="BL216" s="13"/>
      <c r="BM216" s="129"/>
    </row>
    <row r="217" spans="2:65" s="1" customFormat="1" ht="16.5" customHeight="1" x14ac:dyDescent="0.2">
      <c r="B217" s="118"/>
      <c r="C217" s="205" t="s">
        <v>308</v>
      </c>
      <c r="D217" s="119" t="s">
        <v>231</v>
      </c>
      <c r="E217" s="120" t="s">
        <v>1033</v>
      </c>
      <c r="F217" s="121" t="s">
        <v>1034</v>
      </c>
      <c r="G217" s="122" t="s">
        <v>1035</v>
      </c>
      <c r="H217" s="206">
        <v>100</v>
      </c>
      <c r="I217" s="124">
        <v>6.79</v>
      </c>
      <c r="J217" s="124">
        <f t="shared" si="27"/>
        <v>679</v>
      </c>
      <c r="K217" s="121" t="s">
        <v>1</v>
      </c>
      <c r="L217" s="24"/>
      <c r="M217" s="125" t="s">
        <v>1</v>
      </c>
      <c r="N217" s="126" t="s">
        <v>32</v>
      </c>
      <c r="O217" s="127">
        <v>0</v>
      </c>
      <c r="P217" s="127">
        <f t="shared" si="28"/>
        <v>0</v>
      </c>
      <c r="Q217" s="127">
        <v>0</v>
      </c>
      <c r="R217" s="127">
        <f t="shared" si="29"/>
        <v>0</v>
      </c>
      <c r="S217" s="127">
        <v>0</v>
      </c>
      <c r="T217" s="128">
        <f t="shared" si="30"/>
        <v>0</v>
      </c>
      <c r="W217" s="199"/>
      <c r="X217" s="205" t="s">
        <v>308</v>
      </c>
      <c r="Y217" s="119" t="s">
        <v>231</v>
      </c>
      <c r="Z217" s="120" t="s">
        <v>1033</v>
      </c>
      <c r="AA217" s="121" t="s">
        <v>1034</v>
      </c>
      <c r="AB217" s="122" t="s">
        <v>1035</v>
      </c>
      <c r="AC217" s="206">
        <f>100+5</f>
        <v>105</v>
      </c>
      <c r="AD217" s="124">
        <v>6.79</v>
      </c>
      <c r="AE217" s="200">
        <f t="shared" si="26"/>
        <v>712.95</v>
      </c>
      <c r="AF217" s="1131" t="s">
        <v>6286</v>
      </c>
      <c r="AG217" s="409"/>
      <c r="AH217" s="364"/>
      <c r="AR217" s="129" t="s">
        <v>235</v>
      </c>
      <c r="AT217" s="129" t="s">
        <v>231</v>
      </c>
      <c r="AU217" s="129" t="s">
        <v>76</v>
      </c>
      <c r="AY217" s="13" t="s">
        <v>228</v>
      </c>
      <c r="BE217" s="130">
        <f t="shared" si="31"/>
        <v>0</v>
      </c>
      <c r="BF217" s="130">
        <f t="shared" si="32"/>
        <v>679</v>
      </c>
      <c r="BG217" s="130">
        <f t="shared" si="33"/>
        <v>0</v>
      </c>
      <c r="BH217" s="130">
        <f t="shared" si="34"/>
        <v>0</v>
      </c>
      <c r="BI217" s="130">
        <f t="shared" si="35"/>
        <v>0</v>
      </c>
      <c r="BJ217" s="13" t="s">
        <v>76</v>
      </c>
      <c r="BK217" s="130">
        <f t="shared" si="36"/>
        <v>679</v>
      </c>
      <c r="BL217" s="13" t="s">
        <v>235</v>
      </c>
      <c r="BM217" s="129" t="s">
        <v>382</v>
      </c>
    </row>
    <row r="218" spans="2:65" s="1092" customFormat="1" ht="16.5" customHeight="1" x14ac:dyDescent="0.2">
      <c r="B218" s="1028"/>
      <c r="C218" s="1234" t="s">
        <v>5205</v>
      </c>
      <c r="D218" s="1235"/>
      <c r="E218" s="1235"/>
      <c r="F218" s="1235"/>
      <c r="G218" s="1235"/>
      <c r="H218" s="1235"/>
      <c r="I218" s="1235"/>
      <c r="J218" s="1236"/>
      <c r="K218" s="1031"/>
      <c r="L218" s="1027"/>
      <c r="M218" s="1035"/>
      <c r="N218" s="1036"/>
      <c r="O218" s="1037"/>
      <c r="P218" s="1037"/>
      <c r="Q218" s="1037"/>
      <c r="R218" s="1037"/>
      <c r="S218" s="1037"/>
      <c r="T218" s="1038"/>
      <c r="W218" s="1041"/>
      <c r="X218" s="1072" t="s">
        <v>6724</v>
      </c>
      <c r="Y218" s="1072" t="s">
        <v>231</v>
      </c>
      <c r="Z218" s="1073" t="s">
        <v>6741</v>
      </c>
      <c r="AA218" s="1074" t="s">
        <v>6742</v>
      </c>
      <c r="AB218" s="1075" t="s">
        <v>1172</v>
      </c>
      <c r="AC218" s="1076">
        <v>1</v>
      </c>
      <c r="AD218" s="1077">
        <v>100</v>
      </c>
      <c r="AE218" s="1078">
        <f t="shared" si="26"/>
        <v>100</v>
      </c>
      <c r="AF218" s="1131">
        <v>28</v>
      </c>
      <c r="AG218" s="409"/>
      <c r="AH218" s="925"/>
      <c r="AR218" s="1039"/>
      <c r="AT218" s="1039"/>
      <c r="AU218" s="1039"/>
      <c r="AY218" s="1026"/>
      <c r="BE218" s="1040"/>
      <c r="BF218" s="1040"/>
      <c r="BG218" s="1040"/>
      <c r="BH218" s="1040"/>
      <c r="BI218" s="1040"/>
      <c r="BJ218" s="1026"/>
      <c r="BK218" s="1040"/>
      <c r="BL218" s="1026"/>
      <c r="BM218" s="1039"/>
    </row>
    <row r="219" spans="2:65" s="1" customFormat="1" ht="16.5" customHeight="1" x14ac:dyDescent="0.2">
      <c r="B219" s="118"/>
      <c r="C219" s="205" t="s">
        <v>383</v>
      </c>
      <c r="D219" s="119" t="s">
        <v>231</v>
      </c>
      <c r="E219" s="120" t="s">
        <v>578</v>
      </c>
      <c r="F219" s="121" t="s">
        <v>1036</v>
      </c>
      <c r="G219" s="122" t="s">
        <v>570</v>
      </c>
      <c r="H219" s="206">
        <v>75.153000000000006</v>
      </c>
      <c r="I219" s="124">
        <v>4.93</v>
      </c>
      <c r="J219" s="124">
        <f t="shared" si="27"/>
        <v>370.5</v>
      </c>
      <c r="K219" s="121" t="s">
        <v>1</v>
      </c>
      <c r="L219" s="24"/>
      <c r="M219" s="125" t="s">
        <v>1</v>
      </c>
      <c r="N219" s="126" t="s">
        <v>32</v>
      </c>
      <c r="O219" s="127">
        <v>0</v>
      </c>
      <c r="P219" s="127">
        <f t="shared" si="28"/>
        <v>0</v>
      </c>
      <c r="Q219" s="127">
        <v>0</v>
      </c>
      <c r="R219" s="127">
        <f t="shared" si="29"/>
        <v>0</v>
      </c>
      <c r="S219" s="127">
        <v>0</v>
      </c>
      <c r="T219" s="128">
        <f t="shared" si="30"/>
        <v>0</v>
      </c>
      <c r="W219" s="199"/>
      <c r="X219" s="205" t="s">
        <v>383</v>
      </c>
      <c r="Y219" s="119" t="s">
        <v>231</v>
      </c>
      <c r="Z219" s="120" t="s">
        <v>578</v>
      </c>
      <c r="AA219" s="121" t="s">
        <v>1036</v>
      </c>
      <c r="AB219" s="122" t="s">
        <v>570</v>
      </c>
      <c r="AC219" s="206">
        <f>75.153+9.024+8.104+14.515+10.416</f>
        <v>117.212</v>
      </c>
      <c r="AD219" s="124">
        <v>4.93</v>
      </c>
      <c r="AE219" s="200">
        <f t="shared" si="26"/>
        <v>577.86</v>
      </c>
      <c r="AF219" s="1131" t="s">
        <v>6640</v>
      </c>
      <c r="AG219" s="409"/>
      <c r="AH219" s="364"/>
      <c r="AR219" s="129" t="s">
        <v>235</v>
      </c>
      <c r="AT219" s="129" t="s">
        <v>231</v>
      </c>
      <c r="AU219" s="129" t="s">
        <v>76</v>
      </c>
      <c r="AY219" s="13" t="s">
        <v>228</v>
      </c>
      <c r="BE219" s="130">
        <f t="shared" si="31"/>
        <v>0</v>
      </c>
      <c r="BF219" s="130">
        <f t="shared" si="32"/>
        <v>370.5</v>
      </c>
      <c r="BG219" s="130">
        <f t="shared" si="33"/>
        <v>0</v>
      </c>
      <c r="BH219" s="130">
        <f t="shared" si="34"/>
        <v>0</v>
      </c>
      <c r="BI219" s="130">
        <f t="shared" si="35"/>
        <v>0</v>
      </c>
      <c r="BJ219" s="13" t="s">
        <v>76</v>
      </c>
      <c r="BK219" s="130">
        <f t="shared" si="36"/>
        <v>370.5</v>
      </c>
      <c r="BL219" s="13" t="s">
        <v>235</v>
      </c>
      <c r="BM219" s="129" t="s">
        <v>386</v>
      </c>
    </row>
    <row r="220" spans="2:65" s="11" customFormat="1" ht="22.95" customHeight="1" x14ac:dyDescent="0.25">
      <c r="B220" s="106"/>
      <c r="D220" s="107" t="s">
        <v>57</v>
      </c>
      <c r="E220" s="116" t="s">
        <v>2065</v>
      </c>
      <c r="F220" s="116" t="s">
        <v>582</v>
      </c>
      <c r="J220" s="117">
        <f>BK220</f>
        <v>3921.57</v>
      </c>
      <c r="L220" s="106"/>
      <c r="M220" s="110"/>
      <c r="N220" s="111"/>
      <c r="O220" s="111"/>
      <c r="P220" s="112">
        <f>SUM(P221:P242)</f>
        <v>0</v>
      </c>
      <c r="Q220" s="111"/>
      <c r="R220" s="112">
        <f>SUM(R221:R242)</f>
        <v>0</v>
      </c>
      <c r="S220" s="111"/>
      <c r="T220" s="113">
        <f>SUM(T221:T242)</f>
        <v>0</v>
      </c>
      <c r="W220" s="195"/>
      <c r="X220" s="111"/>
      <c r="Y220" s="196" t="s">
        <v>57</v>
      </c>
      <c r="Z220" s="201" t="s">
        <v>2065</v>
      </c>
      <c r="AA220" s="201" t="s">
        <v>582</v>
      </c>
      <c r="AB220" s="111"/>
      <c r="AC220" s="111"/>
      <c r="AD220" s="111"/>
      <c r="AE220" s="202">
        <f>SUM(AE221:AE242)</f>
        <v>6571.11</v>
      </c>
      <c r="AF220" s="1131"/>
      <c r="AG220" s="409"/>
      <c r="AH220" s="364"/>
      <c r="AR220" s="107" t="s">
        <v>63</v>
      </c>
      <c r="AT220" s="114" t="s">
        <v>57</v>
      </c>
      <c r="AU220" s="114" t="s">
        <v>63</v>
      </c>
      <c r="AY220" s="107" t="s">
        <v>228</v>
      </c>
      <c r="BK220" s="115">
        <f>SUM(BK221:BK242)</f>
        <v>3921.57</v>
      </c>
    </row>
    <row r="221" spans="2:65" s="1" customFormat="1" ht="16.5" customHeight="1" x14ac:dyDescent="0.2">
      <c r="B221" s="118"/>
      <c r="C221" s="119" t="s">
        <v>312</v>
      </c>
      <c r="D221" s="119" t="s">
        <v>231</v>
      </c>
      <c r="E221" s="120" t="s">
        <v>1037</v>
      </c>
      <c r="F221" s="121" t="s">
        <v>1038</v>
      </c>
      <c r="G221" s="122" t="s">
        <v>243</v>
      </c>
      <c r="H221" s="123">
        <v>2</v>
      </c>
      <c r="I221" s="124">
        <v>72.760000000000005</v>
      </c>
      <c r="J221" s="124">
        <f t="shared" ref="J221:J242" si="37">ROUND(I221*H221,2)</f>
        <v>145.52000000000001</v>
      </c>
      <c r="K221" s="121" t="s">
        <v>1</v>
      </c>
      <c r="L221" s="24"/>
      <c r="M221" s="125" t="s">
        <v>1</v>
      </c>
      <c r="N221" s="126" t="s">
        <v>32</v>
      </c>
      <c r="O221" s="127">
        <v>0</v>
      </c>
      <c r="P221" s="127">
        <f t="shared" ref="P221:P242" si="38">O221*H221</f>
        <v>0</v>
      </c>
      <c r="Q221" s="127">
        <v>0</v>
      </c>
      <c r="R221" s="127">
        <f t="shared" ref="R221:R242" si="39">Q221*H221</f>
        <v>0</v>
      </c>
      <c r="S221" s="127">
        <v>0</v>
      </c>
      <c r="T221" s="128">
        <f t="shared" ref="T221:T242" si="40">S221*H221</f>
        <v>0</v>
      </c>
      <c r="W221" s="199"/>
      <c r="X221" s="119" t="s">
        <v>312</v>
      </c>
      <c r="Y221" s="119" t="s">
        <v>231</v>
      </c>
      <c r="Z221" s="120" t="s">
        <v>1037</v>
      </c>
      <c r="AA221" s="121" t="s">
        <v>1038</v>
      </c>
      <c r="AB221" s="122" t="s">
        <v>243</v>
      </c>
      <c r="AC221" s="123">
        <v>2</v>
      </c>
      <c r="AD221" s="124">
        <v>72.760000000000005</v>
      </c>
      <c r="AE221" s="200">
        <f t="shared" ref="AE221:AE242" si="41">ROUND(AD221*AC221,2)</f>
        <v>145.52000000000001</v>
      </c>
      <c r="AF221" s="1131"/>
      <c r="AG221" s="409"/>
      <c r="AH221" s="364"/>
      <c r="AR221" s="129" t="s">
        <v>235</v>
      </c>
      <c r="AT221" s="129" t="s">
        <v>231</v>
      </c>
      <c r="AU221" s="129" t="s">
        <v>76</v>
      </c>
      <c r="AY221" s="13" t="s">
        <v>228</v>
      </c>
      <c r="BE221" s="130">
        <f t="shared" ref="BE221:BE242" si="42">IF(N221="základná",J221,0)</f>
        <v>0</v>
      </c>
      <c r="BF221" s="130">
        <f t="shared" ref="BF221:BF242" si="43">IF(N221="znížená",J221,0)</f>
        <v>145.52000000000001</v>
      </c>
      <c r="BG221" s="130">
        <f t="shared" ref="BG221:BG242" si="44">IF(N221="zákl. prenesená",J221,0)</f>
        <v>0</v>
      </c>
      <c r="BH221" s="130">
        <f t="shared" ref="BH221:BH242" si="45">IF(N221="zníž. prenesená",J221,0)</f>
        <v>0</v>
      </c>
      <c r="BI221" s="130">
        <f t="shared" ref="BI221:BI242" si="46">IF(N221="nulová",J221,0)</f>
        <v>0</v>
      </c>
      <c r="BJ221" s="13" t="s">
        <v>76</v>
      </c>
      <c r="BK221" s="130">
        <f t="shared" ref="BK221:BK242" si="47">ROUND(I221*H221,2)</f>
        <v>145.52000000000001</v>
      </c>
      <c r="BL221" s="13" t="s">
        <v>235</v>
      </c>
      <c r="BM221" s="129" t="s">
        <v>389</v>
      </c>
    </row>
    <row r="222" spans="2:65" s="1" customFormat="1" ht="16.5" customHeight="1" x14ac:dyDescent="0.2">
      <c r="B222" s="118"/>
      <c r="C222" s="119" t="s">
        <v>390</v>
      </c>
      <c r="D222" s="119" t="s">
        <v>231</v>
      </c>
      <c r="E222" s="120" t="s">
        <v>1039</v>
      </c>
      <c r="F222" s="121" t="s">
        <v>1040</v>
      </c>
      <c r="G222" s="122" t="s">
        <v>243</v>
      </c>
      <c r="H222" s="123">
        <v>2</v>
      </c>
      <c r="I222" s="124">
        <v>17</v>
      </c>
      <c r="J222" s="124">
        <f t="shared" si="37"/>
        <v>34</v>
      </c>
      <c r="K222" s="121" t="s">
        <v>1</v>
      </c>
      <c r="L222" s="24"/>
      <c r="M222" s="125" t="s">
        <v>1</v>
      </c>
      <c r="N222" s="126" t="s">
        <v>32</v>
      </c>
      <c r="O222" s="127">
        <v>0</v>
      </c>
      <c r="P222" s="127">
        <f t="shared" si="38"/>
        <v>0</v>
      </c>
      <c r="Q222" s="127">
        <v>0</v>
      </c>
      <c r="R222" s="127">
        <f t="shared" si="39"/>
        <v>0</v>
      </c>
      <c r="S222" s="127">
        <v>0</v>
      </c>
      <c r="T222" s="128">
        <f t="shared" si="40"/>
        <v>0</v>
      </c>
      <c r="W222" s="199"/>
      <c r="X222" s="119" t="s">
        <v>390</v>
      </c>
      <c r="Y222" s="119" t="s">
        <v>231</v>
      </c>
      <c r="Z222" s="120" t="s">
        <v>1039</v>
      </c>
      <c r="AA222" s="121" t="s">
        <v>1040</v>
      </c>
      <c r="AB222" s="122" t="s">
        <v>243</v>
      </c>
      <c r="AC222" s="123">
        <v>2</v>
      </c>
      <c r="AD222" s="124">
        <v>17</v>
      </c>
      <c r="AE222" s="200">
        <f t="shared" si="41"/>
        <v>34</v>
      </c>
      <c r="AF222" s="1131"/>
      <c r="AG222" s="409"/>
      <c r="AH222" s="364"/>
      <c r="AR222" s="129" t="s">
        <v>235</v>
      </c>
      <c r="AT222" s="129" t="s">
        <v>231</v>
      </c>
      <c r="AU222" s="129" t="s">
        <v>76</v>
      </c>
      <c r="AY222" s="13" t="s">
        <v>228</v>
      </c>
      <c r="BE222" s="130">
        <f t="shared" si="42"/>
        <v>0</v>
      </c>
      <c r="BF222" s="130">
        <f t="shared" si="43"/>
        <v>34</v>
      </c>
      <c r="BG222" s="130">
        <f t="shared" si="44"/>
        <v>0</v>
      </c>
      <c r="BH222" s="130">
        <f t="shared" si="45"/>
        <v>0</v>
      </c>
      <c r="BI222" s="130">
        <f t="shared" si="46"/>
        <v>0</v>
      </c>
      <c r="BJ222" s="13" t="s">
        <v>76</v>
      </c>
      <c r="BK222" s="130">
        <f t="shared" si="47"/>
        <v>34</v>
      </c>
      <c r="BL222" s="13" t="s">
        <v>235</v>
      </c>
      <c r="BM222" s="129" t="s">
        <v>393</v>
      </c>
    </row>
    <row r="223" spans="2:65" s="1" customFormat="1" ht="16.5" customHeight="1" x14ac:dyDescent="0.2">
      <c r="B223" s="118"/>
      <c r="C223" s="119" t="s">
        <v>316</v>
      </c>
      <c r="D223" s="119" t="s">
        <v>231</v>
      </c>
      <c r="E223" s="120" t="s">
        <v>1041</v>
      </c>
      <c r="F223" s="121" t="s">
        <v>1042</v>
      </c>
      <c r="G223" s="122" t="s">
        <v>243</v>
      </c>
      <c r="H223" s="123">
        <v>2</v>
      </c>
      <c r="I223" s="124">
        <v>248.45</v>
      </c>
      <c r="J223" s="124">
        <f t="shared" si="37"/>
        <v>496.9</v>
      </c>
      <c r="K223" s="121" t="s">
        <v>1</v>
      </c>
      <c r="L223" s="24"/>
      <c r="M223" s="125" t="s">
        <v>1</v>
      </c>
      <c r="N223" s="126" t="s">
        <v>32</v>
      </c>
      <c r="O223" s="127">
        <v>0</v>
      </c>
      <c r="P223" s="127">
        <f t="shared" si="38"/>
        <v>0</v>
      </c>
      <c r="Q223" s="127">
        <v>0</v>
      </c>
      <c r="R223" s="127">
        <f t="shared" si="39"/>
        <v>0</v>
      </c>
      <c r="S223" s="127">
        <v>0</v>
      </c>
      <c r="T223" s="128">
        <f t="shared" si="40"/>
        <v>0</v>
      </c>
      <c r="W223" s="199"/>
      <c r="X223" s="119" t="s">
        <v>316</v>
      </c>
      <c r="Y223" s="119" t="s">
        <v>231</v>
      </c>
      <c r="Z223" s="120" t="s">
        <v>1041</v>
      </c>
      <c r="AA223" s="121" t="s">
        <v>1042</v>
      </c>
      <c r="AB223" s="122" t="s">
        <v>243</v>
      </c>
      <c r="AC223" s="123">
        <v>2</v>
      </c>
      <c r="AD223" s="124">
        <v>248.45</v>
      </c>
      <c r="AE223" s="200">
        <f t="shared" si="41"/>
        <v>496.9</v>
      </c>
      <c r="AF223" s="1131"/>
      <c r="AG223" s="409"/>
      <c r="AH223" s="364"/>
      <c r="AR223" s="129" t="s">
        <v>235</v>
      </c>
      <c r="AT223" s="129" t="s">
        <v>231</v>
      </c>
      <c r="AU223" s="129" t="s">
        <v>76</v>
      </c>
      <c r="AY223" s="13" t="s">
        <v>228</v>
      </c>
      <c r="BE223" s="130">
        <f t="shared" si="42"/>
        <v>0</v>
      </c>
      <c r="BF223" s="130">
        <f t="shared" si="43"/>
        <v>496.9</v>
      </c>
      <c r="BG223" s="130">
        <f t="shared" si="44"/>
        <v>0</v>
      </c>
      <c r="BH223" s="130">
        <f t="shared" si="45"/>
        <v>0</v>
      </c>
      <c r="BI223" s="130">
        <f t="shared" si="46"/>
        <v>0</v>
      </c>
      <c r="BJ223" s="13" t="s">
        <v>76</v>
      </c>
      <c r="BK223" s="130">
        <f t="shared" si="47"/>
        <v>496.9</v>
      </c>
      <c r="BL223" s="13" t="s">
        <v>235</v>
      </c>
      <c r="BM223" s="129" t="s">
        <v>396</v>
      </c>
    </row>
    <row r="224" spans="2:65" s="1" customFormat="1" ht="16.5" customHeight="1" x14ac:dyDescent="0.2">
      <c r="B224" s="118"/>
      <c r="C224" s="119" t="s">
        <v>397</v>
      </c>
      <c r="D224" s="119" t="s">
        <v>231</v>
      </c>
      <c r="E224" s="120" t="s">
        <v>1043</v>
      </c>
      <c r="F224" s="121" t="s">
        <v>1044</v>
      </c>
      <c r="G224" s="122" t="s">
        <v>243</v>
      </c>
      <c r="H224" s="123">
        <v>2</v>
      </c>
      <c r="I224" s="124">
        <v>49.34</v>
      </c>
      <c r="J224" s="124">
        <f t="shared" si="37"/>
        <v>98.68</v>
      </c>
      <c r="K224" s="121" t="s">
        <v>1</v>
      </c>
      <c r="L224" s="24"/>
      <c r="M224" s="125" t="s">
        <v>1</v>
      </c>
      <c r="N224" s="126" t="s">
        <v>32</v>
      </c>
      <c r="O224" s="127">
        <v>0</v>
      </c>
      <c r="P224" s="127">
        <f t="shared" si="38"/>
        <v>0</v>
      </c>
      <c r="Q224" s="127">
        <v>0</v>
      </c>
      <c r="R224" s="127">
        <f t="shared" si="39"/>
        <v>0</v>
      </c>
      <c r="S224" s="127">
        <v>0</v>
      </c>
      <c r="T224" s="128">
        <f t="shared" si="40"/>
        <v>0</v>
      </c>
      <c r="W224" s="199"/>
      <c r="X224" s="119" t="s">
        <v>397</v>
      </c>
      <c r="Y224" s="119" t="s">
        <v>231</v>
      </c>
      <c r="Z224" s="120" t="s">
        <v>1043</v>
      </c>
      <c r="AA224" s="121" t="s">
        <v>1044</v>
      </c>
      <c r="AB224" s="122" t="s">
        <v>243</v>
      </c>
      <c r="AC224" s="123">
        <v>2</v>
      </c>
      <c r="AD224" s="124">
        <v>49.34</v>
      </c>
      <c r="AE224" s="200">
        <f t="shared" si="41"/>
        <v>98.68</v>
      </c>
      <c r="AF224" s="1131"/>
      <c r="AG224" s="409"/>
      <c r="AH224" s="364"/>
      <c r="AR224" s="129" t="s">
        <v>235</v>
      </c>
      <c r="AT224" s="129" t="s">
        <v>231</v>
      </c>
      <c r="AU224" s="129" t="s">
        <v>76</v>
      </c>
      <c r="AY224" s="13" t="s">
        <v>228</v>
      </c>
      <c r="BE224" s="130">
        <f t="shared" si="42"/>
        <v>0</v>
      </c>
      <c r="BF224" s="130">
        <f t="shared" si="43"/>
        <v>98.68</v>
      </c>
      <c r="BG224" s="130">
        <f t="shared" si="44"/>
        <v>0</v>
      </c>
      <c r="BH224" s="130">
        <f t="shared" si="45"/>
        <v>0</v>
      </c>
      <c r="BI224" s="130">
        <f t="shared" si="46"/>
        <v>0</v>
      </c>
      <c r="BJ224" s="13" t="s">
        <v>76</v>
      </c>
      <c r="BK224" s="130">
        <f t="shared" si="47"/>
        <v>98.68</v>
      </c>
      <c r="BL224" s="13" t="s">
        <v>235</v>
      </c>
      <c r="BM224" s="129" t="s">
        <v>400</v>
      </c>
    </row>
    <row r="225" spans="2:65" s="1" customFormat="1" ht="16.5" customHeight="1" x14ac:dyDescent="0.2">
      <c r="B225" s="118"/>
      <c r="C225" s="119" t="s">
        <v>319</v>
      </c>
      <c r="D225" s="119" t="s">
        <v>231</v>
      </c>
      <c r="E225" s="120" t="s">
        <v>1047</v>
      </c>
      <c r="F225" s="121" t="s">
        <v>1048</v>
      </c>
      <c r="G225" s="122" t="s">
        <v>243</v>
      </c>
      <c r="H225" s="123">
        <v>2</v>
      </c>
      <c r="I225" s="124">
        <v>75.58</v>
      </c>
      <c r="J225" s="124">
        <f t="shared" si="37"/>
        <v>151.16</v>
      </c>
      <c r="K225" s="121" t="s">
        <v>1</v>
      </c>
      <c r="L225" s="24"/>
      <c r="M225" s="125" t="s">
        <v>1</v>
      </c>
      <c r="N225" s="126" t="s">
        <v>32</v>
      </c>
      <c r="O225" s="127">
        <v>0</v>
      </c>
      <c r="P225" s="127">
        <f t="shared" si="38"/>
        <v>0</v>
      </c>
      <c r="Q225" s="127">
        <v>0</v>
      </c>
      <c r="R225" s="127">
        <f t="shared" si="39"/>
        <v>0</v>
      </c>
      <c r="S225" s="127">
        <v>0</v>
      </c>
      <c r="T225" s="128">
        <f t="shared" si="40"/>
        <v>0</v>
      </c>
      <c r="W225" s="199"/>
      <c r="X225" s="119" t="s">
        <v>319</v>
      </c>
      <c r="Y225" s="119" t="s">
        <v>231</v>
      </c>
      <c r="Z225" s="120" t="s">
        <v>1047</v>
      </c>
      <c r="AA225" s="121" t="s">
        <v>1048</v>
      </c>
      <c r="AB225" s="122" t="s">
        <v>243</v>
      </c>
      <c r="AC225" s="123">
        <v>2</v>
      </c>
      <c r="AD225" s="124">
        <v>75.58</v>
      </c>
      <c r="AE225" s="200">
        <f t="shared" si="41"/>
        <v>151.16</v>
      </c>
      <c r="AF225" s="1131"/>
      <c r="AG225" s="409"/>
      <c r="AH225" s="364"/>
      <c r="AR225" s="129" t="s">
        <v>235</v>
      </c>
      <c r="AT225" s="129" t="s">
        <v>231</v>
      </c>
      <c r="AU225" s="129" t="s">
        <v>76</v>
      </c>
      <c r="AY225" s="13" t="s">
        <v>228</v>
      </c>
      <c r="BE225" s="130">
        <f t="shared" si="42"/>
        <v>0</v>
      </c>
      <c r="BF225" s="130">
        <f t="shared" si="43"/>
        <v>151.16</v>
      </c>
      <c r="BG225" s="130">
        <f t="shared" si="44"/>
        <v>0</v>
      </c>
      <c r="BH225" s="130">
        <f t="shared" si="45"/>
        <v>0</v>
      </c>
      <c r="BI225" s="130">
        <f t="shared" si="46"/>
        <v>0</v>
      </c>
      <c r="BJ225" s="13" t="s">
        <v>76</v>
      </c>
      <c r="BK225" s="130">
        <f t="shared" si="47"/>
        <v>151.16</v>
      </c>
      <c r="BL225" s="13" t="s">
        <v>235</v>
      </c>
      <c r="BM225" s="129" t="s">
        <v>404</v>
      </c>
    </row>
    <row r="226" spans="2:65" s="1025" customFormat="1" ht="16.5" customHeight="1" x14ac:dyDescent="0.2">
      <c r="B226" s="1028"/>
      <c r="C226" s="1234" t="s">
        <v>5205</v>
      </c>
      <c r="D226" s="1235"/>
      <c r="E226" s="1235"/>
      <c r="F226" s="1235"/>
      <c r="G226" s="1235"/>
      <c r="H226" s="1235"/>
      <c r="I226" s="1235"/>
      <c r="J226" s="1236"/>
      <c r="K226" s="1031"/>
      <c r="L226" s="1027"/>
      <c r="M226" s="1035"/>
      <c r="N226" s="1036"/>
      <c r="O226" s="1037"/>
      <c r="P226" s="1037"/>
      <c r="Q226" s="1037"/>
      <c r="R226" s="1037"/>
      <c r="S226" s="1037"/>
      <c r="T226" s="1038"/>
      <c r="W226" s="1041"/>
      <c r="X226" s="1072" t="s">
        <v>6644</v>
      </c>
      <c r="Y226" s="1072" t="s">
        <v>231</v>
      </c>
      <c r="Z226" s="1073" t="s">
        <v>3483</v>
      </c>
      <c r="AA226" s="1074" t="s">
        <v>6645</v>
      </c>
      <c r="AB226" s="1075" t="s">
        <v>243</v>
      </c>
      <c r="AC226" s="1076">
        <v>2</v>
      </c>
      <c r="AD226" s="1077">
        <v>176.53</v>
      </c>
      <c r="AE226" s="1078">
        <f>AC226*AD226</f>
        <v>353.06</v>
      </c>
      <c r="AF226" s="1131" t="s">
        <v>5482</v>
      </c>
      <c r="AG226" s="409"/>
      <c r="AH226" s="925"/>
      <c r="AR226" s="1039"/>
      <c r="AT226" s="1039"/>
      <c r="AU226" s="1039"/>
      <c r="AY226" s="1026"/>
      <c r="BE226" s="1040"/>
      <c r="BF226" s="1040"/>
      <c r="BG226" s="1040"/>
      <c r="BH226" s="1040"/>
      <c r="BI226" s="1040"/>
      <c r="BJ226" s="1026"/>
      <c r="BK226" s="1040"/>
      <c r="BL226" s="1026"/>
      <c r="BM226" s="1039"/>
    </row>
    <row r="227" spans="2:65" s="1025" customFormat="1" ht="16.5" customHeight="1" x14ac:dyDescent="0.2">
      <c r="B227" s="1028"/>
      <c r="C227" s="1234" t="s">
        <v>5205</v>
      </c>
      <c r="D227" s="1235"/>
      <c r="E227" s="1235"/>
      <c r="F227" s="1235"/>
      <c r="G227" s="1235"/>
      <c r="H227" s="1235"/>
      <c r="I227" s="1235"/>
      <c r="J227" s="1236"/>
      <c r="K227" s="1031"/>
      <c r="L227" s="1027"/>
      <c r="M227" s="1035"/>
      <c r="N227" s="1036"/>
      <c r="O227" s="1037"/>
      <c r="P227" s="1037"/>
      <c r="Q227" s="1037"/>
      <c r="R227" s="1037"/>
      <c r="S227" s="1037"/>
      <c r="T227" s="1038"/>
      <c r="W227" s="1041"/>
      <c r="X227" s="1072" t="s">
        <v>6646</v>
      </c>
      <c r="Y227" s="1072" t="s">
        <v>231</v>
      </c>
      <c r="Z227" s="1073" t="s">
        <v>3485</v>
      </c>
      <c r="AA227" s="1074" t="s">
        <v>6647</v>
      </c>
      <c r="AB227" s="1075" t="s">
        <v>243</v>
      </c>
      <c r="AC227" s="1076">
        <v>2</v>
      </c>
      <c r="AD227" s="1077">
        <v>14.51</v>
      </c>
      <c r="AE227" s="1078">
        <f>AC227*AD227</f>
        <v>29.02</v>
      </c>
      <c r="AF227" s="1131" t="s">
        <v>5482</v>
      </c>
      <c r="AG227" s="409"/>
      <c r="AH227" s="925"/>
      <c r="AR227" s="1039"/>
      <c r="AT227" s="1039"/>
      <c r="AU227" s="1039"/>
      <c r="AY227" s="1026"/>
      <c r="BE227" s="1040"/>
      <c r="BF227" s="1040"/>
      <c r="BG227" s="1040"/>
      <c r="BH227" s="1040"/>
      <c r="BI227" s="1040"/>
      <c r="BJ227" s="1026"/>
      <c r="BK227" s="1040"/>
      <c r="BL227" s="1026"/>
      <c r="BM227" s="1039"/>
    </row>
    <row r="228" spans="2:65" s="1" customFormat="1" ht="16.5" customHeight="1" x14ac:dyDescent="0.2">
      <c r="B228" s="118"/>
      <c r="C228" s="205" t="s">
        <v>407</v>
      </c>
      <c r="D228" s="119" t="s">
        <v>231</v>
      </c>
      <c r="E228" s="120" t="s">
        <v>1059</v>
      </c>
      <c r="F228" s="121" t="s">
        <v>1060</v>
      </c>
      <c r="G228" s="122" t="s">
        <v>243</v>
      </c>
      <c r="H228" s="206">
        <v>4</v>
      </c>
      <c r="I228" s="124">
        <v>63.36</v>
      </c>
      <c r="J228" s="124">
        <f t="shared" si="37"/>
        <v>253.44</v>
      </c>
      <c r="K228" s="121" t="s">
        <v>1</v>
      </c>
      <c r="L228" s="24"/>
      <c r="M228" s="125" t="s">
        <v>1</v>
      </c>
      <c r="N228" s="126" t="s">
        <v>32</v>
      </c>
      <c r="O228" s="127">
        <v>0</v>
      </c>
      <c r="P228" s="127">
        <f t="shared" si="38"/>
        <v>0</v>
      </c>
      <c r="Q228" s="127">
        <v>0</v>
      </c>
      <c r="R228" s="127">
        <f t="shared" si="39"/>
        <v>0</v>
      </c>
      <c r="S228" s="127">
        <v>0</v>
      </c>
      <c r="T228" s="128">
        <f t="shared" si="40"/>
        <v>0</v>
      </c>
      <c r="W228" s="199"/>
      <c r="X228" s="205" t="s">
        <v>407</v>
      </c>
      <c r="Y228" s="119" t="s">
        <v>231</v>
      </c>
      <c r="Z228" s="120" t="s">
        <v>1059</v>
      </c>
      <c r="AA228" s="121" t="s">
        <v>1060</v>
      </c>
      <c r="AB228" s="122" t="s">
        <v>243</v>
      </c>
      <c r="AC228" s="206">
        <f>4-1+2</f>
        <v>5</v>
      </c>
      <c r="AD228" s="124">
        <v>63.36</v>
      </c>
      <c r="AE228" s="200">
        <f t="shared" si="41"/>
        <v>316.8</v>
      </c>
      <c r="AF228" s="1131" t="s">
        <v>6648</v>
      </c>
      <c r="AG228" s="409"/>
      <c r="AH228" s="364"/>
      <c r="AR228" s="129" t="s">
        <v>235</v>
      </c>
      <c r="AT228" s="129" t="s">
        <v>231</v>
      </c>
      <c r="AU228" s="129" t="s">
        <v>76</v>
      </c>
      <c r="AY228" s="13" t="s">
        <v>228</v>
      </c>
      <c r="BE228" s="130">
        <f t="shared" si="42"/>
        <v>0</v>
      </c>
      <c r="BF228" s="130">
        <f t="shared" si="43"/>
        <v>253.44</v>
      </c>
      <c r="BG228" s="130">
        <f t="shared" si="44"/>
        <v>0</v>
      </c>
      <c r="BH228" s="130">
        <f t="shared" si="45"/>
        <v>0</v>
      </c>
      <c r="BI228" s="130">
        <f t="shared" si="46"/>
        <v>0</v>
      </c>
      <c r="BJ228" s="13" t="s">
        <v>76</v>
      </c>
      <c r="BK228" s="130">
        <f t="shared" si="47"/>
        <v>253.44</v>
      </c>
      <c r="BL228" s="13" t="s">
        <v>235</v>
      </c>
      <c r="BM228" s="129" t="s">
        <v>410</v>
      </c>
    </row>
    <row r="229" spans="2:65" s="1" customFormat="1" ht="16.5" customHeight="1" x14ac:dyDescent="0.2">
      <c r="B229" s="118"/>
      <c r="C229" s="205" t="s">
        <v>323</v>
      </c>
      <c r="D229" s="119" t="s">
        <v>231</v>
      </c>
      <c r="E229" s="120" t="s">
        <v>4440</v>
      </c>
      <c r="F229" s="121" t="s">
        <v>4441</v>
      </c>
      <c r="G229" s="122" t="s">
        <v>243</v>
      </c>
      <c r="H229" s="206">
        <v>4</v>
      </c>
      <c r="I229" s="124">
        <v>33.840000000000003</v>
      </c>
      <c r="J229" s="124">
        <f t="shared" si="37"/>
        <v>135.36000000000001</v>
      </c>
      <c r="K229" s="121" t="s">
        <v>1</v>
      </c>
      <c r="L229" s="24"/>
      <c r="M229" s="125" t="s">
        <v>1</v>
      </c>
      <c r="N229" s="126" t="s">
        <v>32</v>
      </c>
      <c r="O229" s="127">
        <v>0</v>
      </c>
      <c r="P229" s="127">
        <f t="shared" si="38"/>
        <v>0</v>
      </c>
      <c r="Q229" s="127">
        <v>0</v>
      </c>
      <c r="R229" s="127">
        <f t="shared" si="39"/>
        <v>0</v>
      </c>
      <c r="S229" s="127">
        <v>0</v>
      </c>
      <c r="T229" s="128">
        <f t="shared" si="40"/>
        <v>0</v>
      </c>
      <c r="W229" s="199"/>
      <c r="X229" s="205" t="s">
        <v>323</v>
      </c>
      <c r="Y229" s="119" t="s">
        <v>231</v>
      </c>
      <c r="Z229" s="120" t="s">
        <v>4440</v>
      </c>
      <c r="AA229" s="121" t="s">
        <v>4441</v>
      </c>
      <c r="AB229" s="122" t="s">
        <v>243</v>
      </c>
      <c r="AC229" s="206">
        <f>4-1+2</f>
        <v>5</v>
      </c>
      <c r="AD229" s="124">
        <v>33.840000000000003</v>
      </c>
      <c r="AE229" s="200">
        <f t="shared" si="41"/>
        <v>169.2</v>
      </c>
      <c r="AF229" s="1131" t="s">
        <v>6648</v>
      </c>
      <c r="AG229" s="409"/>
      <c r="AH229" s="364"/>
      <c r="AR229" s="129" t="s">
        <v>235</v>
      </c>
      <c r="AT229" s="129" t="s">
        <v>231</v>
      </c>
      <c r="AU229" s="129" t="s">
        <v>76</v>
      </c>
      <c r="AY229" s="13" t="s">
        <v>228</v>
      </c>
      <c r="BE229" s="130">
        <f t="shared" si="42"/>
        <v>0</v>
      </c>
      <c r="BF229" s="130">
        <f t="shared" si="43"/>
        <v>135.36000000000001</v>
      </c>
      <c r="BG229" s="130">
        <f t="shared" si="44"/>
        <v>0</v>
      </c>
      <c r="BH229" s="130">
        <f t="shared" si="45"/>
        <v>0</v>
      </c>
      <c r="BI229" s="130">
        <f t="shared" si="46"/>
        <v>0</v>
      </c>
      <c r="BJ229" s="13" t="s">
        <v>76</v>
      </c>
      <c r="BK229" s="130">
        <f t="shared" si="47"/>
        <v>135.36000000000001</v>
      </c>
      <c r="BL229" s="13" t="s">
        <v>235</v>
      </c>
      <c r="BM229" s="129" t="s">
        <v>414</v>
      </c>
    </row>
    <row r="230" spans="2:65" s="1" customFormat="1" ht="16.5" customHeight="1" x14ac:dyDescent="0.2">
      <c r="B230" s="118"/>
      <c r="C230" s="205" t="s">
        <v>415</v>
      </c>
      <c r="D230" s="119" t="s">
        <v>231</v>
      </c>
      <c r="E230" s="120" t="s">
        <v>1063</v>
      </c>
      <c r="F230" s="121" t="s">
        <v>1064</v>
      </c>
      <c r="G230" s="122" t="s">
        <v>243</v>
      </c>
      <c r="H230" s="206">
        <v>1</v>
      </c>
      <c r="I230" s="124">
        <v>394.74</v>
      </c>
      <c r="J230" s="124">
        <f t="shared" si="37"/>
        <v>394.74</v>
      </c>
      <c r="K230" s="121" t="s">
        <v>1</v>
      </c>
      <c r="L230" s="24"/>
      <c r="M230" s="125" t="s">
        <v>1</v>
      </c>
      <c r="N230" s="126" t="s">
        <v>32</v>
      </c>
      <c r="O230" s="127">
        <v>0</v>
      </c>
      <c r="P230" s="127">
        <f t="shared" si="38"/>
        <v>0</v>
      </c>
      <c r="Q230" s="127">
        <v>0</v>
      </c>
      <c r="R230" s="127">
        <f t="shared" si="39"/>
        <v>0</v>
      </c>
      <c r="S230" s="127">
        <v>0</v>
      </c>
      <c r="T230" s="128">
        <f t="shared" si="40"/>
        <v>0</v>
      </c>
      <c r="W230" s="199"/>
      <c r="X230" s="205" t="s">
        <v>415</v>
      </c>
      <c r="Y230" s="119" t="s">
        <v>231</v>
      </c>
      <c r="Z230" s="120" t="s">
        <v>1063</v>
      </c>
      <c r="AA230" s="121" t="s">
        <v>1064</v>
      </c>
      <c r="AB230" s="122" t="s">
        <v>243</v>
      </c>
      <c r="AC230" s="206">
        <v>2</v>
      </c>
      <c r="AD230" s="124">
        <v>394.74</v>
      </c>
      <c r="AE230" s="200">
        <f t="shared" si="41"/>
        <v>789.48</v>
      </c>
      <c r="AF230" s="1131" t="s">
        <v>6648</v>
      </c>
      <c r="AG230" s="409"/>
      <c r="AH230" s="364"/>
      <c r="AR230" s="129" t="s">
        <v>235</v>
      </c>
      <c r="AT230" s="129" t="s">
        <v>231</v>
      </c>
      <c r="AU230" s="129" t="s">
        <v>76</v>
      </c>
      <c r="AY230" s="13" t="s">
        <v>228</v>
      </c>
      <c r="BE230" s="130">
        <f t="shared" si="42"/>
        <v>0</v>
      </c>
      <c r="BF230" s="130">
        <f t="shared" si="43"/>
        <v>394.74</v>
      </c>
      <c r="BG230" s="130">
        <f t="shared" si="44"/>
        <v>0</v>
      </c>
      <c r="BH230" s="130">
        <f t="shared" si="45"/>
        <v>0</v>
      </c>
      <c r="BI230" s="130">
        <f t="shared" si="46"/>
        <v>0</v>
      </c>
      <c r="BJ230" s="13" t="s">
        <v>76</v>
      </c>
      <c r="BK230" s="130">
        <f t="shared" si="47"/>
        <v>394.74</v>
      </c>
      <c r="BL230" s="13" t="s">
        <v>235</v>
      </c>
      <c r="BM230" s="129" t="s">
        <v>418</v>
      </c>
    </row>
    <row r="231" spans="2:65" s="1" customFormat="1" ht="16.5" customHeight="1" x14ac:dyDescent="0.2">
      <c r="B231" s="118"/>
      <c r="C231" s="205" t="s">
        <v>326</v>
      </c>
      <c r="D231" s="119" t="s">
        <v>231</v>
      </c>
      <c r="E231" s="120" t="s">
        <v>1065</v>
      </c>
      <c r="F231" s="121" t="s">
        <v>1066</v>
      </c>
      <c r="G231" s="122" t="s">
        <v>243</v>
      </c>
      <c r="H231" s="206">
        <v>1</v>
      </c>
      <c r="I231" s="124">
        <v>336.69</v>
      </c>
      <c r="J231" s="124">
        <f t="shared" si="37"/>
        <v>336.69</v>
      </c>
      <c r="K231" s="121" t="s">
        <v>1</v>
      </c>
      <c r="L231" s="24"/>
      <c r="M231" s="125" t="s">
        <v>1</v>
      </c>
      <c r="N231" s="126" t="s">
        <v>32</v>
      </c>
      <c r="O231" s="127">
        <v>0</v>
      </c>
      <c r="P231" s="127">
        <f t="shared" si="38"/>
        <v>0</v>
      </c>
      <c r="Q231" s="127">
        <v>0</v>
      </c>
      <c r="R231" s="127">
        <f t="shared" si="39"/>
        <v>0</v>
      </c>
      <c r="S231" s="127">
        <v>0</v>
      </c>
      <c r="T231" s="128">
        <f t="shared" si="40"/>
        <v>0</v>
      </c>
      <c r="W231" s="199"/>
      <c r="X231" s="205" t="s">
        <v>326</v>
      </c>
      <c r="Y231" s="119" t="s">
        <v>231</v>
      </c>
      <c r="Z231" s="120" t="s">
        <v>1065</v>
      </c>
      <c r="AA231" s="121" t="s">
        <v>1066</v>
      </c>
      <c r="AB231" s="122" t="s">
        <v>243</v>
      </c>
      <c r="AC231" s="206">
        <v>0</v>
      </c>
      <c r="AD231" s="124">
        <v>336.69</v>
      </c>
      <c r="AE231" s="200">
        <f t="shared" si="41"/>
        <v>0</v>
      </c>
      <c r="AF231" s="1131">
        <v>9</v>
      </c>
      <c r="AG231" s="409"/>
      <c r="AH231" s="364"/>
      <c r="AR231" s="129" t="s">
        <v>235</v>
      </c>
      <c r="AT231" s="129" t="s">
        <v>231</v>
      </c>
      <c r="AU231" s="129" t="s">
        <v>76</v>
      </c>
      <c r="AY231" s="13" t="s">
        <v>228</v>
      </c>
      <c r="BE231" s="130">
        <f t="shared" si="42"/>
        <v>0</v>
      </c>
      <c r="BF231" s="130">
        <f t="shared" si="43"/>
        <v>336.69</v>
      </c>
      <c r="BG231" s="130">
        <f t="shared" si="44"/>
        <v>0</v>
      </c>
      <c r="BH231" s="130">
        <f t="shared" si="45"/>
        <v>0</v>
      </c>
      <c r="BI231" s="130">
        <f t="shared" si="46"/>
        <v>0</v>
      </c>
      <c r="BJ231" s="13" t="s">
        <v>76</v>
      </c>
      <c r="BK231" s="130">
        <f t="shared" si="47"/>
        <v>336.69</v>
      </c>
      <c r="BL231" s="13" t="s">
        <v>235</v>
      </c>
      <c r="BM231" s="129" t="s">
        <v>421</v>
      </c>
    </row>
    <row r="232" spans="2:65" s="1" customFormat="1" ht="16.5" customHeight="1" x14ac:dyDescent="0.2">
      <c r="B232" s="118"/>
      <c r="C232" s="205" t="s">
        <v>422</v>
      </c>
      <c r="D232" s="119" t="s">
        <v>231</v>
      </c>
      <c r="E232" s="120" t="s">
        <v>1067</v>
      </c>
      <c r="F232" s="121" t="s">
        <v>1068</v>
      </c>
      <c r="G232" s="122" t="s">
        <v>243</v>
      </c>
      <c r="H232" s="206">
        <v>1</v>
      </c>
      <c r="I232" s="124">
        <v>75.58</v>
      </c>
      <c r="J232" s="124">
        <f t="shared" si="37"/>
        <v>75.58</v>
      </c>
      <c r="K232" s="121" t="s">
        <v>1</v>
      </c>
      <c r="L232" s="24"/>
      <c r="M232" s="125" t="s">
        <v>1</v>
      </c>
      <c r="N232" s="126" t="s">
        <v>32</v>
      </c>
      <c r="O232" s="127">
        <v>0</v>
      </c>
      <c r="P232" s="127">
        <f t="shared" si="38"/>
        <v>0</v>
      </c>
      <c r="Q232" s="127">
        <v>0</v>
      </c>
      <c r="R232" s="127">
        <f t="shared" si="39"/>
        <v>0</v>
      </c>
      <c r="S232" s="127">
        <v>0</v>
      </c>
      <c r="T232" s="128">
        <f t="shared" si="40"/>
        <v>0</v>
      </c>
      <c r="W232" s="199"/>
      <c r="X232" s="205" t="s">
        <v>422</v>
      </c>
      <c r="Y232" s="119" t="s">
        <v>231</v>
      </c>
      <c r="Z232" s="120" t="s">
        <v>1067</v>
      </c>
      <c r="AA232" s="121" t="s">
        <v>1068</v>
      </c>
      <c r="AB232" s="122" t="s">
        <v>243</v>
      </c>
      <c r="AC232" s="206">
        <v>2</v>
      </c>
      <c r="AD232" s="124">
        <v>75.58</v>
      </c>
      <c r="AE232" s="200">
        <f t="shared" si="41"/>
        <v>151.16</v>
      </c>
      <c r="AF232" s="1131" t="s">
        <v>6648</v>
      </c>
      <c r="AG232" s="409"/>
      <c r="AH232" s="364"/>
      <c r="AR232" s="129" t="s">
        <v>235</v>
      </c>
      <c r="AT232" s="129" t="s">
        <v>231</v>
      </c>
      <c r="AU232" s="129" t="s">
        <v>76</v>
      </c>
      <c r="AY232" s="13" t="s">
        <v>228</v>
      </c>
      <c r="BE232" s="130">
        <f t="shared" si="42"/>
        <v>0</v>
      </c>
      <c r="BF232" s="130">
        <f t="shared" si="43"/>
        <v>75.58</v>
      </c>
      <c r="BG232" s="130">
        <f t="shared" si="44"/>
        <v>0</v>
      </c>
      <c r="BH232" s="130">
        <f t="shared" si="45"/>
        <v>0</v>
      </c>
      <c r="BI232" s="130">
        <f t="shared" si="46"/>
        <v>0</v>
      </c>
      <c r="BJ232" s="13" t="s">
        <v>76</v>
      </c>
      <c r="BK232" s="130">
        <f t="shared" si="47"/>
        <v>75.58</v>
      </c>
      <c r="BL232" s="13" t="s">
        <v>235</v>
      </c>
      <c r="BM232" s="129" t="s">
        <v>425</v>
      </c>
    </row>
    <row r="233" spans="2:65" s="1" customFormat="1" ht="16.5" customHeight="1" x14ac:dyDescent="0.2">
      <c r="B233" s="118"/>
      <c r="C233" s="1070" t="s">
        <v>330</v>
      </c>
      <c r="D233" s="119" t="s">
        <v>231</v>
      </c>
      <c r="E233" s="120" t="s">
        <v>1069</v>
      </c>
      <c r="F233" s="121" t="s">
        <v>4442</v>
      </c>
      <c r="G233" s="122" t="s">
        <v>243</v>
      </c>
      <c r="H233" s="1071">
        <v>2</v>
      </c>
      <c r="I233" s="124">
        <v>348.3</v>
      </c>
      <c r="J233" s="124">
        <f t="shared" si="37"/>
        <v>696.6</v>
      </c>
      <c r="K233" s="121" t="s">
        <v>1</v>
      </c>
      <c r="L233" s="24"/>
      <c r="M233" s="125" t="s">
        <v>1</v>
      </c>
      <c r="N233" s="126" t="s">
        <v>32</v>
      </c>
      <c r="O233" s="127">
        <v>0</v>
      </c>
      <c r="P233" s="127">
        <f t="shared" si="38"/>
        <v>0</v>
      </c>
      <c r="Q233" s="127">
        <v>0</v>
      </c>
      <c r="R233" s="127">
        <f t="shared" si="39"/>
        <v>0</v>
      </c>
      <c r="S233" s="127">
        <v>0</v>
      </c>
      <c r="T233" s="128">
        <f t="shared" si="40"/>
        <v>0</v>
      </c>
      <c r="W233" s="199"/>
      <c r="X233" s="1070" t="s">
        <v>330</v>
      </c>
      <c r="Y233" s="119" t="s">
        <v>231</v>
      </c>
      <c r="Z233" s="120" t="s">
        <v>1069</v>
      </c>
      <c r="AA233" s="121" t="s">
        <v>4442</v>
      </c>
      <c r="AB233" s="122" t="s">
        <v>243</v>
      </c>
      <c r="AC233" s="1071">
        <f>2+2</f>
        <v>4</v>
      </c>
      <c r="AD233" s="124">
        <v>348.3</v>
      </c>
      <c r="AE233" s="200">
        <f t="shared" si="41"/>
        <v>1393.2</v>
      </c>
      <c r="AF233" s="1131" t="s">
        <v>5482</v>
      </c>
      <c r="AG233" s="409"/>
      <c r="AH233" s="364"/>
      <c r="AR233" s="129" t="s">
        <v>235</v>
      </c>
      <c r="AT233" s="129" t="s">
        <v>231</v>
      </c>
      <c r="AU233" s="129" t="s">
        <v>76</v>
      </c>
      <c r="AY233" s="13" t="s">
        <v>228</v>
      </c>
      <c r="BE233" s="130">
        <f t="shared" si="42"/>
        <v>0</v>
      </c>
      <c r="BF233" s="130">
        <f t="shared" si="43"/>
        <v>696.6</v>
      </c>
      <c r="BG233" s="130">
        <f t="shared" si="44"/>
        <v>0</v>
      </c>
      <c r="BH233" s="130">
        <f t="shared" si="45"/>
        <v>0</v>
      </c>
      <c r="BI233" s="130">
        <f t="shared" si="46"/>
        <v>0</v>
      </c>
      <c r="BJ233" s="13" t="s">
        <v>76</v>
      </c>
      <c r="BK233" s="130">
        <f t="shared" si="47"/>
        <v>696.6</v>
      </c>
      <c r="BL233" s="13" t="s">
        <v>235</v>
      </c>
      <c r="BM233" s="129" t="s">
        <v>428</v>
      </c>
    </row>
    <row r="234" spans="2:65" s="403" customFormat="1" ht="28.5" customHeight="1" x14ac:dyDescent="0.2">
      <c r="B234" s="118"/>
      <c r="C234" s="1234" t="s">
        <v>5205</v>
      </c>
      <c r="D234" s="1235"/>
      <c r="E234" s="1235"/>
      <c r="F234" s="1235"/>
      <c r="G234" s="1235"/>
      <c r="H234" s="1235"/>
      <c r="I234" s="1235"/>
      <c r="J234" s="1236"/>
      <c r="K234" s="121"/>
      <c r="L234" s="24"/>
      <c r="M234" s="125"/>
      <c r="N234" s="126"/>
      <c r="O234" s="127"/>
      <c r="P234" s="127"/>
      <c r="Q234" s="127"/>
      <c r="R234" s="127"/>
      <c r="S234" s="127"/>
      <c r="T234" s="128"/>
      <c r="W234" s="199"/>
      <c r="X234" s="207" t="s">
        <v>5251</v>
      </c>
      <c r="Y234" s="207" t="s">
        <v>231</v>
      </c>
      <c r="Z234" s="208" t="s">
        <v>6005</v>
      </c>
      <c r="AA234" s="209" t="s">
        <v>6006</v>
      </c>
      <c r="AB234" s="210" t="s">
        <v>243</v>
      </c>
      <c r="AC234" s="211">
        <v>8</v>
      </c>
      <c r="AD234" s="212">
        <v>112.8</v>
      </c>
      <c r="AE234" s="214">
        <f t="shared" si="41"/>
        <v>902.4</v>
      </c>
      <c r="AF234" s="1131">
        <v>9</v>
      </c>
      <c r="AG234" s="409"/>
      <c r="AH234" s="364"/>
      <c r="AR234" s="129"/>
      <c r="AT234" s="129"/>
      <c r="AU234" s="129"/>
      <c r="AY234" s="13"/>
      <c r="BE234" s="130"/>
      <c r="BF234" s="130"/>
      <c r="BG234" s="130"/>
      <c r="BH234" s="130"/>
      <c r="BI234" s="130"/>
      <c r="BJ234" s="13"/>
      <c r="BK234" s="130"/>
      <c r="BL234" s="13"/>
      <c r="BM234" s="129"/>
    </row>
    <row r="235" spans="2:65" s="1" customFormat="1" ht="16.5" customHeight="1" x14ac:dyDescent="0.2">
      <c r="B235" s="118"/>
      <c r="C235" s="1070" t="s">
        <v>429</v>
      </c>
      <c r="D235" s="119" t="s">
        <v>231</v>
      </c>
      <c r="E235" s="120" t="s">
        <v>1071</v>
      </c>
      <c r="F235" s="121" t="s">
        <v>1072</v>
      </c>
      <c r="G235" s="122" t="s">
        <v>243</v>
      </c>
      <c r="H235" s="1071">
        <v>4</v>
      </c>
      <c r="I235" s="124">
        <v>41.8</v>
      </c>
      <c r="J235" s="124">
        <f t="shared" si="37"/>
        <v>167.2</v>
      </c>
      <c r="K235" s="121" t="s">
        <v>1</v>
      </c>
      <c r="L235" s="24"/>
      <c r="M235" s="125" t="s">
        <v>1</v>
      </c>
      <c r="N235" s="126" t="s">
        <v>32</v>
      </c>
      <c r="O235" s="127">
        <v>0</v>
      </c>
      <c r="P235" s="127">
        <f t="shared" si="38"/>
        <v>0</v>
      </c>
      <c r="Q235" s="127">
        <v>0</v>
      </c>
      <c r="R235" s="127">
        <f t="shared" si="39"/>
        <v>0</v>
      </c>
      <c r="S235" s="127">
        <v>0</v>
      </c>
      <c r="T235" s="128">
        <f t="shared" si="40"/>
        <v>0</v>
      </c>
      <c r="W235" s="199"/>
      <c r="X235" s="205" t="s">
        <v>429</v>
      </c>
      <c r="Y235" s="119" t="s">
        <v>231</v>
      </c>
      <c r="Z235" s="120" t="s">
        <v>1071</v>
      </c>
      <c r="AA235" s="121" t="s">
        <v>1072</v>
      </c>
      <c r="AB235" s="122" t="s">
        <v>243</v>
      </c>
      <c r="AC235" s="206">
        <f>4-1+2</f>
        <v>5</v>
      </c>
      <c r="AD235" s="124">
        <v>41.8</v>
      </c>
      <c r="AE235" s="200">
        <f t="shared" si="41"/>
        <v>209</v>
      </c>
      <c r="AF235" s="1131" t="s">
        <v>6648</v>
      </c>
      <c r="AG235" s="409"/>
      <c r="AH235" s="364"/>
      <c r="AR235" s="129" t="s">
        <v>235</v>
      </c>
      <c r="AT235" s="129" t="s">
        <v>231</v>
      </c>
      <c r="AU235" s="129" t="s">
        <v>76</v>
      </c>
      <c r="AY235" s="13" t="s">
        <v>228</v>
      </c>
      <c r="BE235" s="130">
        <f t="shared" si="42"/>
        <v>0</v>
      </c>
      <c r="BF235" s="130">
        <f t="shared" si="43"/>
        <v>167.2</v>
      </c>
      <c r="BG235" s="130">
        <f t="shared" si="44"/>
        <v>0</v>
      </c>
      <c r="BH235" s="130">
        <f t="shared" si="45"/>
        <v>0</v>
      </c>
      <c r="BI235" s="130">
        <f t="shared" si="46"/>
        <v>0</v>
      </c>
      <c r="BJ235" s="13" t="s">
        <v>76</v>
      </c>
      <c r="BK235" s="130">
        <f t="shared" si="47"/>
        <v>167.2</v>
      </c>
      <c r="BL235" s="13" t="s">
        <v>235</v>
      </c>
      <c r="BM235" s="129" t="s">
        <v>432</v>
      </c>
    </row>
    <row r="236" spans="2:65" s="1" customFormat="1" ht="24" customHeight="1" x14ac:dyDescent="0.2">
      <c r="B236" s="118"/>
      <c r="C236" s="1070" t="s">
        <v>333</v>
      </c>
      <c r="D236" s="119" t="s">
        <v>231</v>
      </c>
      <c r="E236" s="120" t="s">
        <v>1073</v>
      </c>
      <c r="F236" s="121" t="s">
        <v>4443</v>
      </c>
      <c r="G236" s="122" t="s">
        <v>243</v>
      </c>
      <c r="H236" s="1071">
        <v>1</v>
      </c>
      <c r="I236" s="124">
        <v>52.48</v>
      </c>
      <c r="J236" s="124">
        <f t="shared" si="37"/>
        <v>52.48</v>
      </c>
      <c r="K236" s="121" t="s">
        <v>1</v>
      </c>
      <c r="L236" s="24"/>
      <c r="M236" s="125" t="s">
        <v>1</v>
      </c>
      <c r="N236" s="126" t="s">
        <v>32</v>
      </c>
      <c r="O236" s="127">
        <v>0</v>
      </c>
      <c r="P236" s="127">
        <f t="shared" si="38"/>
        <v>0</v>
      </c>
      <c r="Q236" s="127">
        <v>0</v>
      </c>
      <c r="R236" s="127">
        <f t="shared" si="39"/>
        <v>0</v>
      </c>
      <c r="S236" s="127">
        <v>0</v>
      </c>
      <c r="T236" s="128">
        <f t="shared" si="40"/>
        <v>0</v>
      </c>
      <c r="W236" s="199"/>
      <c r="X236" s="1070" t="s">
        <v>333</v>
      </c>
      <c r="Y236" s="119" t="s">
        <v>231</v>
      </c>
      <c r="Z236" s="120" t="s">
        <v>1073</v>
      </c>
      <c r="AA236" s="121" t="s">
        <v>4443</v>
      </c>
      <c r="AB236" s="122" t="s">
        <v>243</v>
      </c>
      <c r="AC236" s="1071">
        <f>1+1</f>
        <v>2</v>
      </c>
      <c r="AD236" s="124">
        <v>52.48</v>
      </c>
      <c r="AE236" s="200">
        <f t="shared" si="41"/>
        <v>104.96</v>
      </c>
      <c r="AF236" s="1131" t="s">
        <v>5482</v>
      </c>
      <c r="AG236" s="409"/>
      <c r="AH236" s="364"/>
      <c r="AR236" s="129" t="s">
        <v>235</v>
      </c>
      <c r="AT236" s="129" t="s">
        <v>231</v>
      </c>
      <c r="AU236" s="129" t="s">
        <v>76</v>
      </c>
      <c r="AY236" s="13" t="s">
        <v>228</v>
      </c>
      <c r="BE236" s="130">
        <f t="shared" si="42"/>
        <v>0</v>
      </c>
      <c r="BF236" s="130">
        <f t="shared" si="43"/>
        <v>52.48</v>
      </c>
      <c r="BG236" s="130">
        <f t="shared" si="44"/>
        <v>0</v>
      </c>
      <c r="BH236" s="130">
        <f t="shared" si="45"/>
        <v>0</v>
      </c>
      <c r="BI236" s="130">
        <f t="shared" si="46"/>
        <v>0</v>
      </c>
      <c r="BJ236" s="13" t="s">
        <v>76</v>
      </c>
      <c r="BK236" s="130">
        <f t="shared" si="47"/>
        <v>52.48</v>
      </c>
      <c r="BL236" s="13" t="s">
        <v>235</v>
      </c>
      <c r="BM236" s="129" t="s">
        <v>435</v>
      </c>
    </row>
    <row r="237" spans="2:65" s="1" customFormat="1" ht="16.5" customHeight="1" x14ac:dyDescent="0.2">
      <c r="B237" s="118"/>
      <c r="C237" s="1070" t="s">
        <v>438</v>
      </c>
      <c r="D237" s="119" t="s">
        <v>231</v>
      </c>
      <c r="E237" s="120" t="s">
        <v>1075</v>
      </c>
      <c r="F237" s="121" t="s">
        <v>1076</v>
      </c>
      <c r="G237" s="122" t="s">
        <v>243</v>
      </c>
      <c r="H237" s="1071">
        <v>2</v>
      </c>
      <c r="I237" s="124">
        <v>22.26</v>
      </c>
      <c r="J237" s="124">
        <f t="shared" si="37"/>
        <v>44.52</v>
      </c>
      <c r="K237" s="121" t="s">
        <v>1</v>
      </c>
      <c r="L237" s="24"/>
      <c r="M237" s="125" t="s">
        <v>1</v>
      </c>
      <c r="N237" s="126" t="s">
        <v>32</v>
      </c>
      <c r="O237" s="127">
        <v>0</v>
      </c>
      <c r="P237" s="127">
        <f t="shared" si="38"/>
        <v>0</v>
      </c>
      <c r="Q237" s="127">
        <v>0</v>
      </c>
      <c r="R237" s="127">
        <f t="shared" si="39"/>
        <v>0</v>
      </c>
      <c r="S237" s="127">
        <v>0</v>
      </c>
      <c r="T237" s="128">
        <f t="shared" si="40"/>
        <v>0</v>
      </c>
      <c r="W237" s="199"/>
      <c r="X237" s="1070" t="s">
        <v>438</v>
      </c>
      <c r="Y237" s="119" t="s">
        <v>231</v>
      </c>
      <c r="Z237" s="120" t="s">
        <v>1075</v>
      </c>
      <c r="AA237" s="121" t="s">
        <v>1076</v>
      </c>
      <c r="AB237" s="122" t="s">
        <v>243</v>
      </c>
      <c r="AC237" s="1071">
        <f>2+2</f>
        <v>4</v>
      </c>
      <c r="AD237" s="124">
        <v>22.26</v>
      </c>
      <c r="AE237" s="200">
        <f t="shared" si="41"/>
        <v>89.04</v>
      </c>
      <c r="AF237" s="1131" t="s">
        <v>5482</v>
      </c>
      <c r="AG237" s="409"/>
      <c r="AH237" s="364"/>
      <c r="AR237" s="129" t="s">
        <v>235</v>
      </c>
      <c r="AT237" s="129" t="s">
        <v>231</v>
      </c>
      <c r="AU237" s="129" t="s">
        <v>76</v>
      </c>
      <c r="AY237" s="13" t="s">
        <v>228</v>
      </c>
      <c r="BE237" s="130">
        <f t="shared" si="42"/>
        <v>0</v>
      </c>
      <c r="BF237" s="130">
        <f t="shared" si="43"/>
        <v>44.52</v>
      </c>
      <c r="BG237" s="130">
        <f t="shared" si="44"/>
        <v>0</v>
      </c>
      <c r="BH237" s="130">
        <f t="shared" si="45"/>
        <v>0</v>
      </c>
      <c r="BI237" s="130">
        <f t="shared" si="46"/>
        <v>0</v>
      </c>
      <c r="BJ237" s="13" t="s">
        <v>76</v>
      </c>
      <c r="BK237" s="130">
        <f t="shared" si="47"/>
        <v>44.52</v>
      </c>
      <c r="BL237" s="13" t="s">
        <v>235</v>
      </c>
      <c r="BM237" s="129" t="s">
        <v>441</v>
      </c>
    </row>
    <row r="238" spans="2:65" s="1" customFormat="1" ht="16.5" customHeight="1" x14ac:dyDescent="0.2">
      <c r="B238" s="118"/>
      <c r="C238" s="1070" t="s">
        <v>337</v>
      </c>
      <c r="D238" s="119" t="s">
        <v>231</v>
      </c>
      <c r="E238" s="120" t="s">
        <v>1081</v>
      </c>
      <c r="F238" s="121" t="s">
        <v>1082</v>
      </c>
      <c r="G238" s="122" t="s">
        <v>243</v>
      </c>
      <c r="H238" s="1071">
        <v>2</v>
      </c>
      <c r="I238" s="124">
        <v>46.16</v>
      </c>
      <c r="J238" s="124">
        <f t="shared" si="37"/>
        <v>92.32</v>
      </c>
      <c r="K238" s="121" t="s">
        <v>1</v>
      </c>
      <c r="L238" s="24"/>
      <c r="M238" s="125" t="s">
        <v>1</v>
      </c>
      <c r="N238" s="126" t="s">
        <v>32</v>
      </c>
      <c r="O238" s="127">
        <v>0</v>
      </c>
      <c r="P238" s="127">
        <f t="shared" si="38"/>
        <v>0</v>
      </c>
      <c r="Q238" s="127">
        <v>0</v>
      </c>
      <c r="R238" s="127">
        <f t="shared" si="39"/>
        <v>0</v>
      </c>
      <c r="S238" s="127">
        <v>0</v>
      </c>
      <c r="T238" s="128">
        <f t="shared" si="40"/>
        <v>0</v>
      </c>
      <c r="W238" s="199"/>
      <c r="X238" s="1070" t="s">
        <v>337</v>
      </c>
      <c r="Y238" s="119" t="s">
        <v>231</v>
      </c>
      <c r="Z238" s="120" t="s">
        <v>1081</v>
      </c>
      <c r="AA238" s="121" t="s">
        <v>1082</v>
      </c>
      <c r="AB238" s="122" t="s">
        <v>243</v>
      </c>
      <c r="AC238" s="1071">
        <f>2+2</f>
        <v>4</v>
      </c>
      <c r="AD238" s="124">
        <v>46.16</v>
      </c>
      <c r="AE238" s="200">
        <f t="shared" si="41"/>
        <v>184.64</v>
      </c>
      <c r="AF238" s="1131" t="s">
        <v>5482</v>
      </c>
      <c r="AG238" s="409"/>
      <c r="AH238" s="364"/>
      <c r="AR238" s="129" t="s">
        <v>235</v>
      </c>
      <c r="AT238" s="129" t="s">
        <v>231</v>
      </c>
      <c r="AU238" s="129" t="s">
        <v>76</v>
      </c>
      <c r="AY238" s="13" t="s">
        <v>228</v>
      </c>
      <c r="BE238" s="130">
        <f t="shared" si="42"/>
        <v>0</v>
      </c>
      <c r="BF238" s="130">
        <f t="shared" si="43"/>
        <v>92.32</v>
      </c>
      <c r="BG238" s="130">
        <f t="shared" si="44"/>
        <v>0</v>
      </c>
      <c r="BH238" s="130">
        <f t="shared" si="45"/>
        <v>0</v>
      </c>
      <c r="BI238" s="130">
        <f t="shared" si="46"/>
        <v>0</v>
      </c>
      <c r="BJ238" s="13" t="s">
        <v>76</v>
      </c>
      <c r="BK238" s="130">
        <f t="shared" si="47"/>
        <v>92.32</v>
      </c>
      <c r="BL238" s="13" t="s">
        <v>235</v>
      </c>
      <c r="BM238" s="129" t="s">
        <v>444</v>
      </c>
    </row>
    <row r="239" spans="2:65" s="1" customFormat="1" ht="16.5" customHeight="1" x14ac:dyDescent="0.2">
      <c r="B239" s="118"/>
      <c r="C239" s="1070" t="s">
        <v>445</v>
      </c>
      <c r="D239" s="119" t="s">
        <v>231</v>
      </c>
      <c r="E239" s="120" t="s">
        <v>1083</v>
      </c>
      <c r="F239" s="121" t="s">
        <v>1084</v>
      </c>
      <c r="G239" s="122" t="s">
        <v>243</v>
      </c>
      <c r="H239" s="1071">
        <v>2</v>
      </c>
      <c r="I239" s="124">
        <v>30.19</v>
      </c>
      <c r="J239" s="124">
        <f t="shared" si="37"/>
        <v>60.38</v>
      </c>
      <c r="K239" s="121" t="s">
        <v>1</v>
      </c>
      <c r="L239" s="24"/>
      <c r="M239" s="125" t="s">
        <v>1</v>
      </c>
      <c r="N239" s="126" t="s">
        <v>32</v>
      </c>
      <c r="O239" s="127">
        <v>0</v>
      </c>
      <c r="P239" s="127">
        <f t="shared" si="38"/>
        <v>0</v>
      </c>
      <c r="Q239" s="127">
        <v>0</v>
      </c>
      <c r="R239" s="127">
        <f t="shared" si="39"/>
        <v>0</v>
      </c>
      <c r="S239" s="127">
        <v>0</v>
      </c>
      <c r="T239" s="128">
        <f t="shared" si="40"/>
        <v>0</v>
      </c>
      <c r="W239" s="199"/>
      <c r="X239" s="1070" t="s">
        <v>445</v>
      </c>
      <c r="Y239" s="119" t="s">
        <v>231</v>
      </c>
      <c r="Z239" s="120" t="s">
        <v>1083</v>
      </c>
      <c r="AA239" s="121" t="s">
        <v>1084</v>
      </c>
      <c r="AB239" s="122" t="s">
        <v>243</v>
      </c>
      <c r="AC239" s="1071">
        <f>2+2</f>
        <v>4</v>
      </c>
      <c r="AD239" s="124">
        <v>30.19</v>
      </c>
      <c r="AE239" s="200">
        <f t="shared" si="41"/>
        <v>120.76</v>
      </c>
      <c r="AF239" s="1131" t="s">
        <v>5482</v>
      </c>
      <c r="AG239" s="409"/>
      <c r="AH239" s="364"/>
      <c r="AR239" s="129" t="s">
        <v>235</v>
      </c>
      <c r="AT239" s="129" t="s">
        <v>231</v>
      </c>
      <c r="AU239" s="129" t="s">
        <v>76</v>
      </c>
      <c r="AY239" s="13" t="s">
        <v>228</v>
      </c>
      <c r="BE239" s="130">
        <f t="shared" si="42"/>
        <v>0</v>
      </c>
      <c r="BF239" s="130">
        <f t="shared" si="43"/>
        <v>60.38</v>
      </c>
      <c r="BG239" s="130">
        <f t="shared" si="44"/>
        <v>0</v>
      </c>
      <c r="BH239" s="130">
        <f t="shared" si="45"/>
        <v>0</v>
      </c>
      <c r="BI239" s="130">
        <f t="shared" si="46"/>
        <v>0</v>
      </c>
      <c r="BJ239" s="13" t="s">
        <v>76</v>
      </c>
      <c r="BK239" s="130">
        <f t="shared" si="47"/>
        <v>60.38</v>
      </c>
      <c r="BL239" s="13" t="s">
        <v>235</v>
      </c>
      <c r="BM239" s="129" t="s">
        <v>448</v>
      </c>
    </row>
    <row r="240" spans="2:65" s="1" customFormat="1" ht="16.5" customHeight="1" x14ac:dyDescent="0.2">
      <c r="B240" s="118"/>
      <c r="C240" s="119" t="s">
        <v>340</v>
      </c>
      <c r="D240" s="119" t="s">
        <v>231</v>
      </c>
      <c r="E240" s="120" t="s">
        <v>4444</v>
      </c>
      <c r="F240" s="121" t="s">
        <v>4445</v>
      </c>
      <c r="G240" s="122" t="s">
        <v>243</v>
      </c>
      <c r="H240" s="123">
        <v>7</v>
      </c>
      <c r="I240" s="124">
        <v>34.25</v>
      </c>
      <c r="J240" s="124">
        <f t="shared" si="37"/>
        <v>239.75</v>
      </c>
      <c r="K240" s="121" t="s">
        <v>1</v>
      </c>
      <c r="L240" s="24"/>
      <c r="M240" s="125" t="s">
        <v>1</v>
      </c>
      <c r="N240" s="126" t="s">
        <v>32</v>
      </c>
      <c r="O240" s="127">
        <v>0</v>
      </c>
      <c r="P240" s="127">
        <f t="shared" si="38"/>
        <v>0</v>
      </c>
      <c r="Q240" s="127">
        <v>0</v>
      </c>
      <c r="R240" s="127">
        <f t="shared" si="39"/>
        <v>0</v>
      </c>
      <c r="S240" s="127">
        <v>0</v>
      </c>
      <c r="T240" s="128">
        <f t="shared" si="40"/>
        <v>0</v>
      </c>
      <c r="W240" s="199"/>
      <c r="X240" s="119" t="s">
        <v>340</v>
      </c>
      <c r="Y240" s="119" t="s">
        <v>231</v>
      </c>
      <c r="Z240" s="120" t="s">
        <v>4444</v>
      </c>
      <c r="AA240" s="121" t="s">
        <v>4445</v>
      </c>
      <c r="AB240" s="122" t="s">
        <v>243</v>
      </c>
      <c r="AC240" s="123">
        <v>7</v>
      </c>
      <c r="AD240" s="124">
        <v>34.25</v>
      </c>
      <c r="AE240" s="200">
        <f t="shared" si="41"/>
        <v>239.75</v>
      </c>
      <c r="AF240" s="1131"/>
      <c r="AG240" s="409"/>
      <c r="AH240" s="364"/>
      <c r="AR240" s="129" t="s">
        <v>235</v>
      </c>
      <c r="AT240" s="129" t="s">
        <v>231</v>
      </c>
      <c r="AU240" s="129" t="s">
        <v>76</v>
      </c>
      <c r="AY240" s="13" t="s">
        <v>228</v>
      </c>
      <c r="BE240" s="130">
        <f t="shared" si="42"/>
        <v>0</v>
      </c>
      <c r="BF240" s="130">
        <f t="shared" si="43"/>
        <v>239.75</v>
      </c>
      <c r="BG240" s="130">
        <f t="shared" si="44"/>
        <v>0</v>
      </c>
      <c r="BH240" s="130">
        <f t="shared" si="45"/>
        <v>0</v>
      </c>
      <c r="BI240" s="130">
        <f t="shared" si="46"/>
        <v>0</v>
      </c>
      <c r="BJ240" s="13" t="s">
        <v>76</v>
      </c>
      <c r="BK240" s="130">
        <f t="shared" si="47"/>
        <v>239.75</v>
      </c>
      <c r="BL240" s="13" t="s">
        <v>235</v>
      </c>
      <c r="BM240" s="129" t="s">
        <v>451</v>
      </c>
    </row>
    <row r="241" spans="2:65" s="1" customFormat="1" ht="16.5" customHeight="1" x14ac:dyDescent="0.2">
      <c r="B241" s="118"/>
      <c r="C241" s="205" t="s">
        <v>452</v>
      </c>
      <c r="D241" s="119" t="s">
        <v>231</v>
      </c>
      <c r="E241" s="120" t="s">
        <v>4446</v>
      </c>
      <c r="F241" s="121" t="s">
        <v>4447</v>
      </c>
      <c r="G241" s="122" t="s">
        <v>243</v>
      </c>
      <c r="H241" s="206">
        <v>16</v>
      </c>
      <c r="I241" s="124">
        <v>17.190000000000001</v>
      </c>
      <c r="J241" s="124">
        <f t="shared" si="37"/>
        <v>275.04000000000002</v>
      </c>
      <c r="K241" s="121" t="s">
        <v>1</v>
      </c>
      <c r="L241" s="24"/>
      <c r="M241" s="125" t="s">
        <v>1</v>
      </c>
      <c r="N241" s="126" t="s">
        <v>32</v>
      </c>
      <c r="O241" s="127">
        <v>0</v>
      </c>
      <c r="P241" s="127">
        <f t="shared" si="38"/>
        <v>0</v>
      </c>
      <c r="Q241" s="127">
        <v>0</v>
      </c>
      <c r="R241" s="127">
        <f t="shared" si="39"/>
        <v>0</v>
      </c>
      <c r="S241" s="127">
        <v>0</v>
      </c>
      <c r="T241" s="128">
        <f t="shared" si="40"/>
        <v>0</v>
      </c>
      <c r="W241" s="199"/>
      <c r="X241" s="205" t="s">
        <v>452</v>
      </c>
      <c r="Y241" s="119" t="s">
        <v>231</v>
      </c>
      <c r="Z241" s="120" t="s">
        <v>4446</v>
      </c>
      <c r="AA241" s="121" t="s">
        <v>4447</v>
      </c>
      <c r="AB241" s="122" t="s">
        <v>243</v>
      </c>
      <c r="AC241" s="206">
        <f>16+5</f>
        <v>21</v>
      </c>
      <c r="AD241" s="124">
        <v>17.190000000000001</v>
      </c>
      <c r="AE241" s="200">
        <f t="shared" si="41"/>
        <v>360.99</v>
      </c>
      <c r="AF241" s="1131">
        <v>9</v>
      </c>
      <c r="AG241" s="409"/>
      <c r="AH241" s="364"/>
      <c r="AR241" s="129" t="s">
        <v>235</v>
      </c>
      <c r="AT241" s="129" t="s">
        <v>231</v>
      </c>
      <c r="AU241" s="129" t="s">
        <v>76</v>
      </c>
      <c r="AY241" s="13" t="s">
        <v>228</v>
      </c>
      <c r="BE241" s="130">
        <f t="shared" si="42"/>
        <v>0</v>
      </c>
      <c r="BF241" s="130">
        <f t="shared" si="43"/>
        <v>275.04000000000002</v>
      </c>
      <c r="BG241" s="130">
        <f t="shared" si="44"/>
        <v>0</v>
      </c>
      <c r="BH241" s="130">
        <f t="shared" si="45"/>
        <v>0</v>
      </c>
      <c r="BI241" s="130">
        <f t="shared" si="46"/>
        <v>0</v>
      </c>
      <c r="BJ241" s="13" t="s">
        <v>76</v>
      </c>
      <c r="BK241" s="130">
        <f t="shared" si="47"/>
        <v>275.04000000000002</v>
      </c>
      <c r="BL241" s="13" t="s">
        <v>235</v>
      </c>
      <c r="BM241" s="129" t="s">
        <v>455</v>
      </c>
    </row>
    <row r="242" spans="2:65" s="1" customFormat="1" ht="28.5" customHeight="1" x14ac:dyDescent="0.2">
      <c r="B242" s="118"/>
      <c r="C242" s="205" t="s">
        <v>344</v>
      </c>
      <c r="D242" s="119" t="s">
        <v>231</v>
      </c>
      <c r="E242" s="120" t="s">
        <v>1085</v>
      </c>
      <c r="F242" s="121" t="s">
        <v>1086</v>
      </c>
      <c r="G242" s="122" t="s">
        <v>570</v>
      </c>
      <c r="H242" s="206">
        <v>45.414000000000001</v>
      </c>
      <c r="I242" s="124">
        <v>3.77</v>
      </c>
      <c r="J242" s="124">
        <f t="shared" si="37"/>
        <v>171.21</v>
      </c>
      <c r="K242" s="121" t="s">
        <v>1</v>
      </c>
      <c r="L242" s="24"/>
      <c r="M242" s="140" t="s">
        <v>1</v>
      </c>
      <c r="N242" s="141" t="s">
        <v>32</v>
      </c>
      <c r="O242" s="142">
        <v>0</v>
      </c>
      <c r="P242" s="142">
        <f t="shared" si="38"/>
        <v>0</v>
      </c>
      <c r="Q242" s="142">
        <v>0</v>
      </c>
      <c r="R242" s="142">
        <f t="shared" si="39"/>
        <v>0</v>
      </c>
      <c r="S242" s="142">
        <v>0</v>
      </c>
      <c r="T242" s="143">
        <f t="shared" si="40"/>
        <v>0</v>
      </c>
      <c r="W242" s="199"/>
      <c r="X242" s="205" t="s">
        <v>344</v>
      </c>
      <c r="Y242" s="119" t="s">
        <v>231</v>
      </c>
      <c r="Z242" s="120" t="s">
        <v>1085</v>
      </c>
      <c r="AA242" s="121" t="s">
        <v>1086</v>
      </c>
      <c r="AB242" s="122" t="s">
        <v>570</v>
      </c>
      <c r="AC242" s="206">
        <f>45.414+0.423+15.539</f>
        <v>61.376000000000005</v>
      </c>
      <c r="AD242" s="124">
        <v>3.77</v>
      </c>
      <c r="AE242" s="200">
        <f t="shared" si="41"/>
        <v>231.39</v>
      </c>
      <c r="AF242" s="1131" t="s">
        <v>6648</v>
      </c>
      <c r="AG242" s="409"/>
      <c r="AH242" s="364"/>
      <c r="AR242" s="129" t="s">
        <v>235</v>
      </c>
      <c r="AT242" s="129" t="s">
        <v>231</v>
      </c>
      <c r="AU242" s="129" t="s">
        <v>76</v>
      </c>
      <c r="AY242" s="13" t="s">
        <v>228</v>
      </c>
      <c r="BE242" s="130">
        <f t="shared" si="42"/>
        <v>0</v>
      </c>
      <c r="BF242" s="130">
        <f t="shared" si="43"/>
        <v>171.21</v>
      </c>
      <c r="BG242" s="130">
        <f t="shared" si="44"/>
        <v>0</v>
      </c>
      <c r="BH242" s="130">
        <f t="shared" si="45"/>
        <v>0</v>
      </c>
      <c r="BI242" s="130">
        <f t="shared" si="46"/>
        <v>0</v>
      </c>
      <c r="BJ242" s="13" t="s">
        <v>76</v>
      </c>
      <c r="BK242" s="130">
        <f t="shared" si="47"/>
        <v>171.21</v>
      </c>
      <c r="BL242" s="13" t="s">
        <v>235</v>
      </c>
      <c r="BM242" s="129" t="s">
        <v>458</v>
      </c>
    </row>
    <row r="243" spans="2:65" s="1" customFormat="1" ht="7.05" customHeight="1" x14ac:dyDescent="0.2">
      <c r="B243" s="33"/>
      <c r="C243" s="34"/>
      <c r="D243" s="34"/>
      <c r="E243" s="34"/>
      <c r="F243" s="34"/>
      <c r="G243" s="34"/>
      <c r="H243" s="34"/>
      <c r="I243" s="34"/>
      <c r="J243" s="34"/>
      <c r="K243" s="34"/>
      <c r="L243" s="24"/>
      <c r="W243" s="175"/>
      <c r="X243" s="176"/>
      <c r="Y243" s="176"/>
      <c r="Z243" s="176"/>
      <c r="AA243" s="176"/>
      <c r="AB243" s="176"/>
      <c r="AC243" s="176"/>
      <c r="AD243" s="176"/>
      <c r="AE243" s="177"/>
      <c r="AF243" s="407"/>
      <c r="AG243" s="409"/>
      <c r="AH243" s="364"/>
    </row>
    <row r="244" spans="2:65" x14ac:dyDescent="0.2">
      <c r="AG244" s="374"/>
      <c r="AH244" s="364"/>
    </row>
  </sheetData>
  <autoFilter ref="C129:K242" xr:uid="{00000000-0009-0000-0000-00001E000000}"/>
  <mergeCells count="65">
    <mergeCell ref="Y4:AE4"/>
    <mergeCell ref="AA6:AE7"/>
    <mergeCell ref="X82:AE82"/>
    <mergeCell ref="Z84:AE84"/>
    <mergeCell ref="B82:J82"/>
    <mergeCell ref="E84:J84"/>
    <mergeCell ref="Z9:AC9"/>
    <mergeCell ref="Z18:AC18"/>
    <mergeCell ref="E85:H85"/>
    <mergeCell ref="L2:V2"/>
    <mergeCell ref="E9:H9"/>
    <mergeCell ref="E18:H18"/>
    <mergeCell ref="E27:H27"/>
    <mergeCell ref="D4:J4"/>
    <mergeCell ref="F6:J7"/>
    <mergeCell ref="C133:J133"/>
    <mergeCell ref="C134:J134"/>
    <mergeCell ref="D98:K98"/>
    <mergeCell ref="D99:K99"/>
    <mergeCell ref="Z27:AC27"/>
    <mergeCell ref="Z87:AC87"/>
    <mergeCell ref="Z120:AC120"/>
    <mergeCell ref="E87:H87"/>
    <mergeCell ref="E120:H120"/>
    <mergeCell ref="E122:H122"/>
    <mergeCell ref="X117:AE117"/>
    <mergeCell ref="Z119:AE119"/>
    <mergeCell ref="C117:J117"/>
    <mergeCell ref="E119:J119"/>
    <mergeCell ref="Z122:AC122"/>
    <mergeCell ref="Z85:AC85"/>
    <mergeCell ref="C234:J234"/>
    <mergeCell ref="C174:J174"/>
    <mergeCell ref="C180:J180"/>
    <mergeCell ref="C181:J181"/>
    <mergeCell ref="C182:J182"/>
    <mergeCell ref="C183:J183"/>
    <mergeCell ref="C184:J184"/>
    <mergeCell ref="C185:J185"/>
    <mergeCell ref="C186:J186"/>
    <mergeCell ref="C187:J187"/>
    <mergeCell ref="C188:J188"/>
    <mergeCell ref="C189:J189"/>
    <mergeCell ref="C190:J190"/>
    <mergeCell ref="C179:J179"/>
    <mergeCell ref="C214:J214"/>
    <mergeCell ref="C216:J216"/>
    <mergeCell ref="C135:J135"/>
    <mergeCell ref="C136:J136"/>
    <mergeCell ref="C138:J138"/>
    <mergeCell ref="C139:J139"/>
    <mergeCell ref="C160:J160"/>
    <mergeCell ref="C144:J144"/>
    <mergeCell ref="C147:J147"/>
    <mergeCell ref="C218:J218"/>
    <mergeCell ref="C226:J226"/>
    <mergeCell ref="C227:J227"/>
    <mergeCell ref="C212:J212"/>
    <mergeCell ref="C191:J191"/>
    <mergeCell ref="C192:J192"/>
    <mergeCell ref="C196:J196"/>
    <mergeCell ref="C197:J197"/>
    <mergeCell ref="C209:J209"/>
    <mergeCell ref="C207:J207"/>
    <mergeCell ref="C204:J204"/>
  </mergeCells>
  <phoneticPr fontId="0" type="noConversion"/>
  <pageMargins left="0.39374999999999999" right="0.39374999999999999" top="0.39374999999999999" bottom="0.39374999999999999" header="0" footer="0"/>
  <pageSetup paperSize="9" scale="89" fitToHeight="100" orientation="portrait" blackAndWhite="1" r:id="rId1"/>
  <headerFooter>
    <oddFooter>&amp;CStrana &amp;P z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7" tint="0.39997558519241921"/>
    <pageSetUpPr fitToPage="1"/>
  </sheetPr>
  <dimension ref="A1:BM169"/>
  <sheetViews>
    <sheetView showGridLines="0" topLeftCell="F82" zoomScale="80" zoomScaleNormal="80" workbookViewId="0">
      <selection activeCell="AG104" sqref="AG104"/>
    </sheetView>
  </sheetViews>
  <sheetFormatPr defaultColWidth="8.7109375" defaultRowHeight="10.199999999999999" x14ac:dyDescent="0.2"/>
  <cols>
    <col min="1" max="1" width="8.28515625" customWidth="1"/>
    <col min="2" max="2" width="1.7109375" customWidth="1"/>
    <col min="3" max="4" width="4.28515625" customWidth="1"/>
    <col min="5" max="5" width="17.28515625" customWidth="1"/>
    <col min="6" max="6" width="50.7109375" customWidth="1"/>
    <col min="7" max="7" width="7" customWidth="1"/>
    <col min="8" max="8" width="11.42578125" customWidth="1"/>
    <col min="9" max="10" width="20.28515625" customWidth="1"/>
    <col min="11" max="11" width="20.28515625" hidden="1" customWidth="1"/>
    <col min="12" max="12" width="9.28515625" customWidth="1"/>
    <col min="13" max="13" width="10.7109375" hidden="1" customWidth="1"/>
    <col min="14" max="14" width="9.28515625" hidden="1"/>
    <col min="15" max="20" width="14.28515625" hidden="1" customWidth="1"/>
    <col min="21" max="21" width="16.28515625" hidden="1" customWidth="1"/>
    <col min="22" max="22" width="12.28515625" customWidth="1"/>
    <col min="23" max="23" width="1.7109375" style="1085" customWidth="1"/>
    <col min="24" max="25" width="4.28515625" style="1085" customWidth="1"/>
    <col min="26" max="26" width="17.28515625" style="1085" customWidth="1"/>
    <col min="27" max="27" width="50.7109375" style="1085" customWidth="1"/>
    <col min="28" max="28" width="7" style="1085" customWidth="1"/>
    <col min="29" max="29" width="11.42578125" style="1085" customWidth="1"/>
    <col min="30" max="31" width="20.28515625" style="1085" customWidth="1"/>
    <col min="44" max="65" width="9.28515625" hidden="1"/>
  </cols>
  <sheetData>
    <row r="1" spans="1:46" x14ac:dyDescent="0.2">
      <c r="A1" s="73"/>
    </row>
    <row r="2" spans="1:46" ht="37.049999999999997" customHeight="1" x14ac:dyDescent="0.2">
      <c r="L2" s="1227" t="s">
        <v>5</v>
      </c>
      <c r="M2" s="1225"/>
      <c r="N2" s="1225"/>
      <c r="O2" s="1225"/>
      <c r="P2" s="1225"/>
      <c r="Q2" s="1225"/>
      <c r="R2" s="1225"/>
      <c r="S2" s="1225"/>
      <c r="T2" s="1225"/>
      <c r="U2" s="1225"/>
      <c r="V2" s="1225"/>
      <c r="AT2" s="13" t="s">
        <v>152</v>
      </c>
    </row>
    <row r="3" spans="1:46" ht="7.05" customHeight="1" x14ac:dyDescent="0.2">
      <c r="B3" s="14"/>
      <c r="C3" s="15"/>
      <c r="D3" s="15"/>
      <c r="E3" s="15"/>
      <c r="F3" s="15"/>
      <c r="G3" s="15"/>
      <c r="H3" s="15"/>
      <c r="I3" s="15"/>
      <c r="J3" s="15"/>
      <c r="K3" s="15"/>
      <c r="L3" s="16"/>
      <c r="W3" s="14"/>
      <c r="X3" s="15"/>
      <c r="Y3" s="15"/>
      <c r="Z3" s="15"/>
      <c r="AA3" s="15"/>
      <c r="AB3" s="15"/>
      <c r="AC3" s="15"/>
      <c r="AD3" s="15"/>
      <c r="AE3" s="690"/>
      <c r="AT3" s="13" t="s">
        <v>58</v>
      </c>
    </row>
    <row r="4" spans="1:46" ht="25.05" customHeight="1" x14ac:dyDescent="0.2">
      <c r="B4" s="16"/>
      <c r="C4" s="1165" t="s">
        <v>185</v>
      </c>
      <c r="D4" s="1165"/>
      <c r="E4" s="1165"/>
      <c r="F4" s="1165"/>
      <c r="G4" s="1165"/>
      <c r="H4" s="1165"/>
      <c r="I4" s="1165"/>
      <c r="J4" s="1165"/>
      <c r="L4" s="16"/>
      <c r="M4" s="74" t="s">
        <v>9</v>
      </c>
      <c r="W4" s="16"/>
      <c r="X4" s="1237" t="s">
        <v>185</v>
      </c>
      <c r="Y4" s="1237"/>
      <c r="Z4" s="1237"/>
      <c r="AA4" s="1237"/>
      <c r="AB4" s="1237"/>
      <c r="AC4" s="1237"/>
      <c r="AD4" s="1237"/>
      <c r="AE4" s="1238"/>
      <c r="AT4" s="13" t="s">
        <v>3</v>
      </c>
    </row>
    <row r="5" spans="1:46" ht="7.05" customHeight="1" x14ac:dyDescent="0.2">
      <c r="B5" s="16"/>
      <c r="L5" s="16"/>
      <c r="W5" s="16"/>
      <c r="X5" s="156"/>
      <c r="Y5" s="156"/>
      <c r="Z5" s="156"/>
      <c r="AA5" s="156"/>
      <c r="AB5" s="156"/>
      <c r="AC5" s="156"/>
      <c r="AD5" s="156"/>
      <c r="AE5" s="157"/>
    </row>
    <row r="6" spans="1:46" ht="12" customHeight="1" x14ac:dyDescent="0.2">
      <c r="B6" s="16"/>
      <c r="D6" s="528" t="s">
        <v>12</v>
      </c>
      <c r="F6" s="1254" t="s">
        <v>6176</v>
      </c>
      <c r="G6" s="1254"/>
      <c r="H6" s="1254"/>
      <c r="I6" s="1254"/>
      <c r="J6" s="1254"/>
      <c r="L6" s="16"/>
      <c r="W6" s="16"/>
      <c r="X6" s="156"/>
      <c r="Y6" s="1093" t="s">
        <v>12</v>
      </c>
      <c r="Z6" s="156"/>
      <c r="AA6" s="1239" t="s">
        <v>6176</v>
      </c>
      <c r="AB6" s="1239"/>
      <c r="AC6" s="1239"/>
      <c r="AD6" s="1239"/>
      <c r="AE6" s="1240"/>
    </row>
    <row r="7" spans="1:46" ht="26.55" customHeight="1" x14ac:dyDescent="0.2">
      <c r="B7" s="16"/>
      <c r="D7" s="527"/>
      <c r="E7" s="531"/>
      <c r="F7" s="1254"/>
      <c r="G7" s="1254"/>
      <c r="H7" s="1254"/>
      <c r="I7" s="1254"/>
      <c r="J7" s="1254"/>
      <c r="L7" s="16"/>
      <c r="W7" s="16"/>
      <c r="X7" s="156"/>
      <c r="Y7" s="539"/>
      <c r="Z7" s="245"/>
      <c r="AA7" s="1239"/>
      <c r="AB7" s="1239"/>
      <c r="AC7" s="1239"/>
      <c r="AD7" s="1239"/>
      <c r="AE7" s="1240"/>
    </row>
    <row r="8" spans="1:46" s="1" customFormat="1" ht="12" customHeight="1" x14ac:dyDescent="0.2">
      <c r="B8" s="24"/>
      <c r="D8" s="528" t="s">
        <v>186</v>
      </c>
      <c r="F8" s="532" t="s">
        <v>4448</v>
      </c>
      <c r="L8" s="24"/>
      <c r="W8" s="1027"/>
      <c r="X8" s="1090"/>
      <c r="Y8" s="1093" t="s">
        <v>186</v>
      </c>
      <c r="Z8" s="1090"/>
      <c r="AA8" s="555" t="s">
        <v>4448</v>
      </c>
      <c r="AB8" s="1090"/>
      <c r="AC8" s="1090"/>
      <c r="AD8" s="1090"/>
      <c r="AE8" s="159"/>
    </row>
    <row r="9" spans="1:46" s="1" customFormat="1" ht="37.049999999999997" customHeight="1" x14ac:dyDescent="0.2">
      <c r="B9" s="24"/>
      <c r="D9" s="521"/>
      <c r="E9" s="1251"/>
      <c r="F9" s="1252"/>
      <c r="G9" s="1252"/>
      <c r="H9" s="1252"/>
      <c r="L9" s="24"/>
      <c r="W9" s="1027"/>
      <c r="X9" s="1090"/>
      <c r="Y9" s="1090"/>
      <c r="Z9" s="1245"/>
      <c r="AA9" s="1246"/>
      <c r="AB9" s="1246"/>
      <c r="AC9" s="1246"/>
      <c r="AD9" s="1090"/>
      <c r="AE9" s="159"/>
    </row>
    <row r="10" spans="1:46" s="1" customFormat="1" x14ac:dyDescent="0.2">
      <c r="B10" s="24"/>
      <c r="D10" s="521"/>
      <c r="L10" s="24"/>
      <c r="W10" s="1027"/>
      <c r="X10" s="1090"/>
      <c r="Y10" s="1090"/>
      <c r="Z10" s="1090"/>
      <c r="AA10" s="1090"/>
      <c r="AB10" s="1090"/>
      <c r="AC10" s="1090"/>
      <c r="AD10" s="1090"/>
      <c r="AE10" s="159"/>
    </row>
    <row r="11" spans="1:46" s="1" customFormat="1" ht="12" customHeight="1" x14ac:dyDescent="0.2">
      <c r="B11" s="24"/>
      <c r="D11" s="528" t="s">
        <v>13</v>
      </c>
      <c r="F11" s="19" t="s">
        <v>1</v>
      </c>
      <c r="I11" s="528" t="s">
        <v>14</v>
      </c>
      <c r="J11" s="19" t="s">
        <v>1</v>
      </c>
      <c r="L11" s="24"/>
      <c r="W11" s="1027"/>
      <c r="X11" s="1090"/>
      <c r="Y11" s="1093" t="s">
        <v>13</v>
      </c>
      <c r="Z11" s="1090"/>
      <c r="AA11" s="1086" t="s">
        <v>1</v>
      </c>
      <c r="AB11" s="1090"/>
      <c r="AC11" s="1090"/>
      <c r="AD11" s="1093" t="s">
        <v>14</v>
      </c>
      <c r="AE11" s="161" t="s">
        <v>1</v>
      </c>
    </row>
    <row r="12" spans="1:46" s="1" customFormat="1" ht="12" customHeight="1" x14ac:dyDescent="0.2">
      <c r="B12" s="24"/>
      <c r="D12" s="528" t="s">
        <v>15</v>
      </c>
      <c r="F12" s="520" t="s">
        <v>6173</v>
      </c>
      <c r="I12" s="528" t="s">
        <v>17</v>
      </c>
      <c r="J12" s="39"/>
      <c r="L12" s="24"/>
      <c r="W12" s="1027"/>
      <c r="X12" s="1090"/>
      <c r="Y12" s="1093" t="s">
        <v>15</v>
      </c>
      <c r="Z12" s="1090"/>
      <c r="AA12" s="1086" t="s">
        <v>6173</v>
      </c>
      <c r="AB12" s="1090"/>
      <c r="AC12" s="1090"/>
      <c r="AD12" s="1093" t="s">
        <v>17</v>
      </c>
      <c r="AE12" s="162"/>
    </row>
    <row r="13" spans="1:46" s="1" customFormat="1" ht="10.95" customHeight="1" x14ac:dyDescent="0.2">
      <c r="B13" s="24"/>
      <c r="D13" s="521"/>
      <c r="F13" s="521"/>
      <c r="I13" s="521"/>
      <c r="L13" s="24"/>
      <c r="W13" s="1027"/>
      <c r="X13" s="1090"/>
      <c r="Y13" s="1090"/>
      <c r="Z13" s="1090"/>
      <c r="AA13" s="1090"/>
      <c r="AB13" s="1090"/>
      <c r="AC13" s="1090"/>
      <c r="AD13" s="1090"/>
      <c r="AE13" s="159"/>
    </row>
    <row r="14" spans="1:46" s="1" customFormat="1" ht="12" customHeight="1" x14ac:dyDescent="0.2">
      <c r="B14" s="24"/>
      <c r="D14" s="528" t="s">
        <v>18</v>
      </c>
      <c r="F14" s="529" t="s">
        <v>6175</v>
      </c>
      <c r="I14" s="528" t="s">
        <v>19</v>
      </c>
      <c r="J14" s="19" t="str">
        <f>IF('Rekapitulácia stavby'!AN10="","",'Rekapitulácia stavby'!AN10)</f>
        <v/>
      </c>
      <c r="L14" s="24"/>
      <c r="W14" s="1027"/>
      <c r="X14" s="1090"/>
      <c r="Y14" s="1093" t="s">
        <v>18</v>
      </c>
      <c r="Z14" s="1090"/>
      <c r="AA14" s="576" t="s">
        <v>6175</v>
      </c>
      <c r="AB14" s="1090"/>
      <c r="AC14" s="1090"/>
      <c r="AD14" s="1093" t="s">
        <v>19</v>
      </c>
      <c r="AE14" s="161" t="str">
        <f>IF('Rekapitulácia stavby'!BI10="","",'Rekapitulácia stavby'!BI10)</f>
        <v/>
      </c>
    </row>
    <row r="15" spans="1:46" s="1" customFormat="1" ht="18" customHeight="1" x14ac:dyDescent="0.2">
      <c r="B15" s="24"/>
      <c r="D15" s="521"/>
      <c r="E15" s="19" t="str">
        <f>IF('Rekapitulácia stavby'!E11="","",'Rekapitulácia stavby'!E11)</f>
        <v/>
      </c>
      <c r="F15" s="521"/>
      <c r="I15" s="528" t="s">
        <v>20</v>
      </c>
      <c r="J15" s="19" t="str">
        <f>IF('Rekapitulácia stavby'!AN11="","",'Rekapitulácia stavby'!AN11)</f>
        <v/>
      </c>
      <c r="L15" s="24"/>
      <c r="W15" s="1027"/>
      <c r="X15" s="1090"/>
      <c r="Y15" s="1090"/>
      <c r="Z15" s="1086" t="str">
        <f>IF('Rekapitulácia stavby'!Z11="","",'Rekapitulácia stavby'!Z11)</f>
        <v/>
      </c>
      <c r="AA15" s="1090"/>
      <c r="AB15" s="1090"/>
      <c r="AC15" s="1090"/>
      <c r="AD15" s="1093" t="s">
        <v>20</v>
      </c>
      <c r="AE15" s="161" t="str">
        <f>IF('Rekapitulácia stavby'!BI11="","",'Rekapitulácia stavby'!BI11)</f>
        <v/>
      </c>
    </row>
    <row r="16" spans="1:46" s="1" customFormat="1" ht="7.05" customHeight="1" x14ac:dyDescent="0.2">
      <c r="B16" s="24"/>
      <c r="D16" s="521"/>
      <c r="F16" s="521"/>
      <c r="I16" s="521"/>
      <c r="L16" s="24"/>
      <c r="W16" s="1027"/>
      <c r="X16" s="1090"/>
      <c r="Y16" s="1090"/>
      <c r="Z16" s="1090"/>
      <c r="AA16" s="1090"/>
      <c r="AB16" s="1090"/>
      <c r="AC16" s="1090"/>
      <c r="AD16" s="1090"/>
      <c r="AE16" s="159"/>
    </row>
    <row r="17" spans="2:31" s="1" customFormat="1" ht="12" customHeight="1" x14ac:dyDescent="0.2">
      <c r="B17" s="24"/>
      <c r="D17" s="528" t="s">
        <v>21</v>
      </c>
      <c r="F17" s="529" t="s">
        <v>5202</v>
      </c>
      <c r="I17" s="528" t="s">
        <v>19</v>
      </c>
      <c r="J17" s="19"/>
      <c r="L17" s="24"/>
      <c r="W17" s="1027"/>
      <c r="X17" s="1090"/>
      <c r="Y17" s="1093" t="s">
        <v>21</v>
      </c>
      <c r="Z17" s="1090"/>
      <c r="AA17" s="576" t="s">
        <v>5202</v>
      </c>
      <c r="AB17" s="1090"/>
      <c r="AC17" s="1090"/>
      <c r="AD17" s="1093" t="s">
        <v>19</v>
      </c>
      <c r="AE17" s="161"/>
    </row>
    <row r="18" spans="2:31" s="1" customFormat="1" ht="18" customHeight="1" x14ac:dyDescent="0.2">
      <c r="B18" s="24"/>
      <c r="D18" s="521"/>
      <c r="E18" s="1161"/>
      <c r="F18" s="1161"/>
      <c r="G18" s="1161"/>
      <c r="H18" s="1161"/>
      <c r="I18" s="528" t="s">
        <v>20</v>
      </c>
      <c r="J18" s="19" t="str">
        <f>'Rekapitulácia stavby'!AN14</f>
        <v/>
      </c>
      <c r="L18" s="24"/>
      <c r="W18" s="1027"/>
      <c r="X18" s="1090"/>
      <c r="Y18" s="1090"/>
      <c r="Z18" s="1247"/>
      <c r="AA18" s="1247"/>
      <c r="AB18" s="1247"/>
      <c r="AC18" s="1247"/>
      <c r="AD18" s="1093" t="s">
        <v>20</v>
      </c>
      <c r="AE18" s="161"/>
    </row>
    <row r="19" spans="2:31" s="1" customFormat="1" ht="7.05" customHeight="1" x14ac:dyDescent="0.2">
      <c r="B19" s="24"/>
      <c r="D19" s="521"/>
      <c r="I19" s="521"/>
      <c r="L19" s="24"/>
      <c r="W19" s="1027"/>
      <c r="X19" s="1090"/>
      <c r="Y19" s="1090"/>
      <c r="Z19" s="1090"/>
      <c r="AA19" s="1090"/>
      <c r="AB19" s="1090"/>
      <c r="AC19" s="1090"/>
      <c r="AD19" s="1090"/>
      <c r="AE19" s="159"/>
    </row>
    <row r="20" spans="2:31" s="1" customFormat="1" ht="12" customHeight="1" x14ac:dyDescent="0.2">
      <c r="B20" s="24"/>
      <c r="D20" s="528" t="s">
        <v>22</v>
      </c>
      <c r="I20" s="528" t="s">
        <v>19</v>
      </c>
      <c r="J20" s="19" t="str">
        <f>IF('Rekapitulácia stavby'!AN16="","",'Rekapitulácia stavby'!AN16)</f>
        <v/>
      </c>
      <c r="L20" s="24"/>
      <c r="W20" s="1027"/>
      <c r="X20" s="1090"/>
      <c r="Y20" s="1093" t="s">
        <v>22</v>
      </c>
      <c r="Z20" s="1090"/>
      <c r="AA20" s="1090"/>
      <c r="AB20" s="1090"/>
      <c r="AC20" s="1090"/>
      <c r="AD20" s="1093" t="s">
        <v>19</v>
      </c>
      <c r="AE20" s="161" t="str">
        <f>IF('Rekapitulácia stavby'!BI16="","",'Rekapitulácia stavby'!BI16)</f>
        <v/>
      </c>
    </row>
    <row r="21" spans="2:31" s="1" customFormat="1" ht="18" customHeight="1" x14ac:dyDescent="0.2">
      <c r="B21" s="24"/>
      <c r="D21" s="521"/>
      <c r="E21" s="19" t="str">
        <f>IF('Rekapitulácia stavby'!E17="","",'Rekapitulácia stavby'!E17)</f>
        <v xml:space="preserve"> </v>
      </c>
      <c r="I21" s="528" t="s">
        <v>20</v>
      </c>
      <c r="J21" s="19" t="str">
        <f>IF('Rekapitulácia stavby'!AN17="","",'Rekapitulácia stavby'!AN17)</f>
        <v/>
      </c>
      <c r="L21" s="24"/>
      <c r="W21" s="1027"/>
      <c r="X21" s="1090"/>
      <c r="Y21" s="1090"/>
      <c r="Z21" s="1086" t="str">
        <f>IF('Rekapitulácia stavby'!Z17="","",'Rekapitulácia stavby'!Z17)</f>
        <v/>
      </c>
      <c r="AA21" s="1090"/>
      <c r="AB21" s="1090"/>
      <c r="AC21" s="1090"/>
      <c r="AD21" s="1093" t="s">
        <v>20</v>
      </c>
      <c r="AE21" s="161" t="str">
        <f>IF('Rekapitulácia stavby'!BI17="","",'Rekapitulácia stavby'!BI17)</f>
        <v/>
      </c>
    </row>
    <row r="22" spans="2:31" s="1" customFormat="1" ht="7.05" customHeight="1" x14ac:dyDescent="0.2">
      <c r="B22" s="24"/>
      <c r="D22" s="521"/>
      <c r="I22" s="521"/>
      <c r="L22" s="24"/>
      <c r="W22" s="1027"/>
      <c r="X22" s="1090"/>
      <c r="Y22" s="1090"/>
      <c r="Z22" s="1090"/>
      <c r="AA22" s="1090"/>
      <c r="AB22" s="1090"/>
      <c r="AC22" s="1090"/>
      <c r="AD22" s="1090"/>
      <c r="AE22" s="159"/>
    </row>
    <row r="23" spans="2:31" s="1" customFormat="1" ht="12" customHeight="1" x14ac:dyDescent="0.2">
      <c r="B23" s="24"/>
      <c r="D23" s="528" t="s">
        <v>24</v>
      </c>
      <c r="I23" s="528" t="s">
        <v>19</v>
      </c>
      <c r="J23" s="19" t="str">
        <f>IF('Rekapitulácia stavby'!AN19="","",'Rekapitulácia stavby'!AN19)</f>
        <v/>
      </c>
      <c r="L23" s="24"/>
      <c r="W23" s="1027"/>
      <c r="X23" s="1090"/>
      <c r="Y23" s="1093" t="s">
        <v>24</v>
      </c>
      <c r="Z23" s="1090"/>
      <c r="AA23" s="1090"/>
      <c r="AB23" s="1090"/>
      <c r="AC23" s="1090"/>
      <c r="AD23" s="1093" t="s">
        <v>19</v>
      </c>
      <c r="AE23" s="161" t="str">
        <f>IF('Rekapitulácia stavby'!BI19="","",'Rekapitulácia stavby'!BI19)</f>
        <v/>
      </c>
    </row>
    <row r="24" spans="2:31" s="1" customFormat="1" ht="18" customHeight="1" x14ac:dyDescent="0.2">
      <c r="B24" s="24"/>
      <c r="D24" s="521"/>
      <c r="E24" s="19" t="str">
        <f>IF('Rekapitulácia stavby'!E20="","",'Rekapitulácia stavby'!E20)</f>
        <v xml:space="preserve"> </v>
      </c>
      <c r="I24" s="528" t="s">
        <v>20</v>
      </c>
      <c r="J24" s="19" t="str">
        <f>IF('Rekapitulácia stavby'!AN20="","",'Rekapitulácia stavby'!AN20)</f>
        <v/>
      </c>
      <c r="L24" s="24"/>
      <c r="W24" s="1027"/>
      <c r="X24" s="1090"/>
      <c r="Y24" s="1090"/>
      <c r="Z24" s="1086" t="str">
        <f>IF('Rekapitulácia stavby'!Z20="","",'Rekapitulácia stavby'!Z20)</f>
        <v/>
      </c>
      <c r="AA24" s="1090"/>
      <c r="AB24" s="1090"/>
      <c r="AC24" s="1090"/>
      <c r="AD24" s="1093" t="s">
        <v>20</v>
      </c>
      <c r="AE24" s="161" t="str">
        <f>IF('Rekapitulácia stavby'!BI20="","",'Rekapitulácia stavby'!BI20)</f>
        <v/>
      </c>
    </row>
    <row r="25" spans="2:31" s="1" customFormat="1" ht="7.05" customHeight="1" x14ac:dyDescent="0.2">
      <c r="B25" s="24"/>
      <c r="D25" s="521"/>
      <c r="L25" s="24"/>
      <c r="W25" s="1027"/>
      <c r="X25" s="1090"/>
      <c r="Y25" s="1090"/>
      <c r="Z25" s="1090"/>
      <c r="AA25" s="1090"/>
      <c r="AB25" s="1090"/>
      <c r="AC25" s="1090"/>
      <c r="AD25" s="1090"/>
      <c r="AE25" s="159"/>
    </row>
    <row r="26" spans="2:31" s="1" customFormat="1" ht="12" customHeight="1" x14ac:dyDescent="0.2">
      <c r="B26" s="24"/>
      <c r="D26" s="528" t="s">
        <v>25</v>
      </c>
      <c r="L26" s="24"/>
      <c r="W26" s="1027"/>
      <c r="X26" s="1090"/>
      <c r="Y26" s="1093" t="s">
        <v>25</v>
      </c>
      <c r="Z26" s="1090"/>
      <c r="AA26" s="1090"/>
      <c r="AB26" s="1090"/>
      <c r="AC26" s="1090"/>
      <c r="AD26" s="1090"/>
      <c r="AE26" s="159"/>
    </row>
    <row r="27" spans="2:31" s="7" customFormat="1" ht="16.5" customHeight="1" x14ac:dyDescent="0.2">
      <c r="B27" s="75"/>
      <c r="E27" s="1228" t="s">
        <v>1</v>
      </c>
      <c r="F27" s="1228"/>
      <c r="G27" s="1228"/>
      <c r="H27" s="1228"/>
      <c r="L27" s="75"/>
      <c r="W27" s="75"/>
      <c r="X27" s="164"/>
      <c r="Y27" s="164"/>
      <c r="Z27" s="1248" t="s">
        <v>1</v>
      </c>
      <c r="AA27" s="1248"/>
      <c r="AB27" s="1248"/>
      <c r="AC27" s="1248"/>
      <c r="AD27" s="164"/>
      <c r="AE27" s="165"/>
    </row>
    <row r="28" spans="2:31" s="1" customFormat="1" ht="7.05" customHeight="1" x14ac:dyDescent="0.2">
      <c r="B28" s="24"/>
      <c r="L28" s="24"/>
      <c r="W28" s="1027"/>
      <c r="X28" s="1090"/>
      <c r="Y28" s="1090"/>
      <c r="Z28" s="1090"/>
      <c r="AA28" s="1090"/>
      <c r="AB28" s="1090"/>
      <c r="AC28" s="1090"/>
      <c r="AD28" s="1090"/>
      <c r="AE28" s="159"/>
    </row>
    <row r="29" spans="2:31" s="1" customFormat="1" ht="7.05" customHeight="1" x14ac:dyDescent="0.2">
      <c r="B29" s="24"/>
      <c r="D29" s="40"/>
      <c r="E29" s="40"/>
      <c r="F29" s="40"/>
      <c r="G29" s="40"/>
      <c r="H29" s="40"/>
      <c r="I29" s="40"/>
      <c r="J29" s="40"/>
      <c r="K29" s="40"/>
      <c r="L29" s="24"/>
      <c r="W29" s="1027"/>
      <c r="X29" s="1090"/>
      <c r="Y29" s="40"/>
      <c r="Z29" s="40"/>
      <c r="AA29" s="40"/>
      <c r="AB29" s="40"/>
      <c r="AC29" s="40"/>
      <c r="AD29" s="40"/>
      <c r="AE29" s="166"/>
    </row>
    <row r="30" spans="2:31" s="1" customFormat="1" ht="25.2" customHeight="1" x14ac:dyDescent="0.2">
      <c r="B30" s="24"/>
      <c r="D30" s="76" t="s">
        <v>26</v>
      </c>
      <c r="J30" s="53">
        <f>ROUND(J125, 2)</f>
        <v>24395.96</v>
      </c>
      <c r="L30" s="24"/>
      <c r="W30" s="1027"/>
      <c r="X30" s="1090"/>
      <c r="Y30" s="167" t="s">
        <v>26</v>
      </c>
      <c r="Z30" s="1090"/>
      <c r="AA30" s="1090"/>
      <c r="AB30" s="1090"/>
      <c r="AC30" s="1090"/>
      <c r="AD30" s="1090"/>
      <c r="AE30" s="168">
        <f>ROUND(AE125, 2)</f>
        <v>25353.06</v>
      </c>
    </row>
    <row r="31" spans="2:31" s="1" customFormat="1" ht="7.05" customHeight="1" x14ac:dyDescent="0.2">
      <c r="B31" s="24"/>
      <c r="D31" s="40"/>
      <c r="E31" s="40"/>
      <c r="F31" s="40"/>
      <c r="G31" s="40"/>
      <c r="H31" s="40"/>
      <c r="I31" s="40"/>
      <c r="J31" s="40"/>
      <c r="K31" s="40"/>
      <c r="L31" s="24"/>
      <c r="W31" s="1027"/>
      <c r="X31" s="1090"/>
      <c r="Y31" s="40"/>
      <c r="Z31" s="40"/>
      <c r="AA31" s="40"/>
      <c r="AB31" s="40"/>
      <c r="AC31" s="40"/>
      <c r="AD31" s="40"/>
      <c r="AE31" s="166"/>
    </row>
    <row r="32" spans="2:31" s="1" customFormat="1" ht="14.55" customHeight="1" x14ac:dyDescent="0.2">
      <c r="B32" s="24"/>
      <c r="D32" s="521"/>
      <c r="E32" s="521"/>
      <c r="F32" s="534" t="s">
        <v>28</v>
      </c>
      <c r="G32" s="521"/>
      <c r="H32" s="521"/>
      <c r="I32" s="534" t="s">
        <v>27</v>
      </c>
      <c r="J32" s="534" t="s">
        <v>29</v>
      </c>
      <c r="L32" s="24"/>
      <c r="W32" s="1027"/>
      <c r="X32" s="1090"/>
      <c r="Y32" s="1090"/>
      <c r="Z32" s="1090"/>
      <c r="AA32" s="542" t="s">
        <v>28</v>
      </c>
      <c r="AB32" s="1090"/>
      <c r="AC32" s="1090"/>
      <c r="AD32" s="542" t="s">
        <v>27</v>
      </c>
      <c r="AE32" s="543" t="s">
        <v>29</v>
      </c>
    </row>
    <row r="33" spans="2:31" s="1" customFormat="1" ht="14.55" customHeight="1" x14ac:dyDescent="0.2">
      <c r="B33" s="24"/>
      <c r="D33" s="13" t="s">
        <v>30</v>
      </c>
      <c r="E33" s="528" t="s">
        <v>31</v>
      </c>
      <c r="F33" s="398">
        <f>ROUND((SUM(BE125:BE167)),  2)</f>
        <v>0</v>
      </c>
      <c r="G33" s="521"/>
      <c r="H33" s="521"/>
      <c r="I33" s="535">
        <v>0.2</v>
      </c>
      <c r="J33" s="398">
        <f>ROUND(((SUM(BE125:BE167))*I33),  2)</f>
        <v>0</v>
      </c>
      <c r="L33" s="24"/>
      <c r="W33" s="1027"/>
      <c r="X33" s="1090"/>
      <c r="Y33" s="544" t="s">
        <v>30</v>
      </c>
      <c r="Z33" s="1093" t="s">
        <v>31</v>
      </c>
      <c r="AA33" s="545">
        <f>ROUND((SUM(BZ125:BZ167)),  2)</f>
        <v>0</v>
      </c>
      <c r="AB33" s="1090"/>
      <c r="AC33" s="1090"/>
      <c r="AD33" s="546">
        <v>0.2</v>
      </c>
      <c r="AE33" s="547">
        <f>ROUND(((SUM(BZ125:BZ167))*AD33),  2)</f>
        <v>0</v>
      </c>
    </row>
    <row r="34" spans="2:31" s="1" customFormat="1" ht="14.55" customHeight="1" x14ac:dyDescent="0.2">
      <c r="B34" s="24"/>
      <c r="D34" s="521"/>
      <c r="E34" s="528" t="s">
        <v>32</v>
      </c>
      <c r="F34" s="398">
        <f>ROUND((SUM(BF125:BF167)),  2)</f>
        <v>24395.96</v>
      </c>
      <c r="G34" s="521"/>
      <c r="H34" s="521"/>
      <c r="I34" s="535">
        <v>0.2</v>
      </c>
      <c r="J34" s="398">
        <f>ROUND(((SUM(BF125:BF167))*I34),  2)</f>
        <v>4879.1899999999996</v>
      </c>
      <c r="L34" s="24"/>
      <c r="W34" s="1027"/>
      <c r="X34" s="1090"/>
      <c r="Y34" s="1090"/>
      <c r="Z34" s="1093" t="s">
        <v>32</v>
      </c>
      <c r="AA34" s="545">
        <f>AE30</f>
        <v>25353.06</v>
      </c>
      <c r="AB34" s="1090"/>
      <c r="AC34" s="1090"/>
      <c r="AD34" s="546">
        <v>0.2</v>
      </c>
      <c r="AE34" s="547">
        <f>AA34*0.2</f>
        <v>5070.612000000001</v>
      </c>
    </row>
    <row r="35" spans="2:31" s="1" customFormat="1" ht="14.55" hidden="1" customHeight="1" x14ac:dyDescent="0.2">
      <c r="B35" s="24"/>
      <c r="E35" s="21" t="s">
        <v>33</v>
      </c>
      <c r="F35" s="78">
        <f>ROUND((SUM(BG125:BG167)),  2)</f>
        <v>0</v>
      </c>
      <c r="I35" s="79">
        <v>0.2</v>
      </c>
      <c r="J35" s="78">
        <f>0</f>
        <v>0</v>
      </c>
      <c r="L35" s="24"/>
      <c r="W35" s="1027"/>
      <c r="X35" s="1090"/>
      <c r="Y35" s="1090"/>
      <c r="Z35" s="1091" t="s">
        <v>33</v>
      </c>
      <c r="AA35" s="170">
        <f>ROUND((SUM(CB125:CB167)),  2)</f>
        <v>0</v>
      </c>
      <c r="AB35" s="1090"/>
      <c r="AC35" s="1090"/>
      <c r="AD35" s="171">
        <v>0.2</v>
      </c>
      <c r="AE35" s="172">
        <f>0</f>
        <v>0</v>
      </c>
    </row>
    <row r="36" spans="2:31" s="1" customFormat="1" ht="14.55" hidden="1" customHeight="1" x14ac:dyDescent="0.2">
      <c r="B36" s="24"/>
      <c r="E36" s="21" t="s">
        <v>34</v>
      </c>
      <c r="F36" s="78">
        <f>ROUND((SUM(BH125:BH167)),  2)</f>
        <v>0</v>
      </c>
      <c r="I36" s="79">
        <v>0.2</v>
      </c>
      <c r="J36" s="78">
        <f>0</f>
        <v>0</v>
      </c>
      <c r="L36" s="24"/>
      <c r="W36" s="1027"/>
      <c r="X36" s="1090"/>
      <c r="Y36" s="1090"/>
      <c r="Z36" s="1091" t="s">
        <v>34</v>
      </c>
      <c r="AA36" s="170">
        <f>ROUND((SUM(CC125:CC167)),  2)</f>
        <v>0</v>
      </c>
      <c r="AB36" s="1090"/>
      <c r="AC36" s="1090"/>
      <c r="AD36" s="171">
        <v>0.2</v>
      </c>
      <c r="AE36" s="172">
        <f>0</f>
        <v>0</v>
      </c>
    </row>
    <row r="37" spans="2:31" s="1" customFormat="1" ht="14.55" hidden="1" customHeight="1" x14ac:dyDescent="0.2">
      <c r="B37" s="24"/>
      <c r="E37" s="21" t="s">
        <v>35</v>
      </c>
      <c r="F37" s="78">
        <f>ROUND((SUM(BI125:BI167)),  2)</f>
        <v>0</v>
      </c>
      <c r="I37" s="79">
        <v>0</v>
      </c>
      <c r="J37" s="78">
        <f>0</f>
        <v>0</v>
      </c>
      <c r="L37" s="24"/>
      <c r="W37" s="1027"/>
      <c r="X37" s="1090"/>
      <c r="Y37" s="1090"/>
      <c r="Z37" s="1091" t="s">
        <v>35</v>
      </c>
      <c r="AA37" s="170">
        <f>ROUND((SUM(CD125:CD167)),  2)</f>
        <v>0</v>
      </c>
      <c r="AB37" s="1090"/>
      <c r="AC37" s="1090"/>
      <c r="AD37" s="171">
        <v>0</v>
      </c>
      <c r="AE37" s="172">
        <f>0</f>
        <v>0</v>
      </c>
    </row>
    <row r="38" spans="2:31" s="1" customFormat="1" ht="7.05" customHeight="1" x14ac:dyDescent="0.2">
      <c r="B38" s="24"/>
      <c r="L38" s="24"/>
      <c r="W38" s="1027"/>
      <c r="X38" s="1090"/>
      <c r="Y38" s="1090"/>
      <c r="Z38" s="1090"/>
      <c r="AA38" s="1090"/>
      <c r="AB38" s="1090"/>
      <c r="AC38" s="1090"/>
      <c r="AD38" s="1090"/>
      <c r="AE38" s="159"/>
    </row>
    <row r="39" spans="2:31" s="1" customFormat="1" ht="25.2" customHeight="1" x14ac:dyDescent="0.2">
      <c r="B39" s="24"/>
      <c r="C39" s="80"/>
      <c r="D39" s="81" t="s">
        <v>36</v>
      </c>
      <c r="E39" s="44"/>
      <c r="F39" s="44"/>
      <c r="G39" s="82" t="s">
        <v>37</v>
      </c>
      <c r="H39" s="83" t="s">
        <v>38</v>
      </c>
      <c r="I39" s="44"/>
      <c r="J39" s="84">
        <f>SUM(J30:J37)</f>
        <v>29275.149999999998</v>
      </c>
      <c r="K39" s="85"/>
      <c r="L39" s="24"/>
      <c r="W39" s="1027"/>
      <c r="X39" s="173"/>
      <c r="Y39" s="81" t="s">
        <v>36</v>
      </c>
      <c r="Z39" s="44"/>
      <c r="AA39" s="44"/>
      <c r="AB39" s="82" t="s">
        <v>37</v>
      </c>
      <c r="AC39" s="83" t="s">
        <v>38</v>
      </c>
      <c r="AD39" s="44"/>
      <c r="AE39" s="174">
        <f>SUM(AE30:AE37)</f>
        <v>30423.672000000002</v>
      </c>
    </row>
    <row r="40" spans="2:31" s="1" customFormat="1" ht="14.55" customHeight="1" x14ac:dyDescent="0.2">
      <c r="B40" s="24"/>
      <c r="L40" s="24"/>
      <c r="W40" s="1027"/>
      <c r="X40" s="1090"/>
      <c r="Y40" s="1090"/>
      <c r="Z40" s="1090"/>
      <c r="AA40" s="1090"/>
      <c r="AB40" s="1090"/>
      <c r="AC40" s="1090"/>
      <c r="AD40" s="1090"/>
      <c r="AE40" s="159"/>
    </row>
    <row r="41" spans="2:31" ht="14.55" customHeight="1" x14ac:dyDescent="0.2">
      <c r="B41" s="16"/>
      <c r="L41" s="16"/>
      <c r="W41" s="16"/>
      <c r="X41" s="156"/>
      <c r="Y41" s="156"/>
      <c r="Z41" s="156"/>
      <c r="AA41" s="156"/>
      <c r="AB41" s="156"/>
      <c r="AC41" s="156"/>
      <c r="AD41" s="156"/>
      <c r="AE41" s="157"/>
    </row>
    <row r="42" spans="2:31" ht="14.55" customHeight="1" x14ac:dyDescent="0.2">
      <c r="B42" s="16"/>
      <c r="L42" s="16"/>
      <c r="W42" s="16"/>
      <c r="X42" s="156"/>
      <c r="Y42" s="156"/>
      <c r="Z42" s="156"/>
      <c r="AA42" s="156"/>
      <c r="AB42" s="156"/>
      <c r="AC42" s="156"/>
      <c r="AD42" s="156"/>
      <c r="AE42" s="157"/>
    </row>
    <row r="43" spans="2:31" ht="14.55" customHeight="1" x14ac:dyDescent="0.2">
      <c r="B43" s="16"/>
      <c r="L43" s="16"/>
      <c r="W43" s="16"/>
      <c r="X43" s="156"/>
      <c r="Y43" s="156"/>
      <c r="Z43" s="156"/>
      <c r="AA43" s="156"/>
      <c r="AB43" s="156"/>
      <c r="AC43" s="156"/>
      <c r="AD43" s="156"/>
      <c r="AE43" s="157"/>
    </row>
    <row r="44" spans="2:31" ht="14.55" customHeight="1" x14ac:dyDescent="0.2">
      <c r="B44" s="16"/>
      <c r="L44" s="16"/>
      <c r="W44" s="16"/>
      <c r="X44" s="156"/>
      <c r="Y44" s="156"/>
      <c r="Z44" s="156"/>
      <c r="AA44" s="156"/>
      <c r="AB44" s="156"/>
      <c r="AC44" s="156"/>
      <c r="AD44" s="156"/>
      <c r="AE44" s="157"/>
    </row>
    <row r="45" spans="2:31" ht="14.55" customHeight="1" x14ac:dyDescent="0.2">
      <c r="B45" s="16"/>
      <c r="L45" s="16"/>
      <c r="W45" s="16"/>
      <c r="X45" s="156"/>
      <c r="Y45" s="156"/>
      <c r="Z45" s="156"/>
      <c r="AA45" s="156"/>
      <c r="AB45" s="156"/>
      <c r="AC45" s="156"/>
      <c r="AD45" s="156"/>
      <c r="AE45" s="157"/>
    </row>
    <row r="46" spans="2:31" ht="14.55" customHeight="1" x14ac:dyDescent="0.2">
      <c r="B46" s="16"/>
      <c r="L46" s="16"/>
      <c r="W46" s="16"/>
      <c r="X46" s="156"/>
      <c r="Y46" s="156"/>
      <c r="Z46" s="156"/>
      <c r="AA46" s="156"/>
      <c r="AB46" s="156"/>
      <c r="AC46" s="156"/>
      <c r="AD46" s="156"/>
      <c r="AE46" s="157"/>
    </row>
    <row r="47" spans="2:31" ht="14.55" customHeight="1" x14ac:dyDescent="0.2">
      <c r="B47" s="16"/>
      <c r="L47" s="16"/>
      <c r="W47" s="16"/>
      <c r="X47" s="156"/>
      <c r="Y47" s="156"/>
      <c r="Z47" s="156"/>
      <c r="AA47" s="156"/>
      <c r="AB47" s="156"/>
      <c r="AC47" s="156"/>
      <c r="AD47" s="156"/>
      <c r="AE47" s="157"/>
    </row>
    <row r="48" spans="2:31" ht="14.55" customHeight="1" x14ac:dyDescent="0.2">
      <c r="B48" s="16"/>
      <c r="L48" s="16"/>
      <c r="W48" s="16"/>
      <c r="X48" s="156"/>
      <c r="Y48" s="156"/>
      <c r="Z48" s="156"/>
      <c r="AA48" s="156"/>
      <c r="AB48" s="156"/>
      <c r="AC48" s="156"/>
      <c r="AD48" s="156"/>
      <c r="AE48" s="157"/>
    </row>
    <row r="49" spans="2:31" ht="14.55" customHeight="1" x14ac:dyDescent="0.2">
      <c r="B49" s="16"/>
      <c r="D49" s="156"/>
      <c r="E49" s="156"/>
      <c r="F49" s="156"/>
      <c r="G49" s="156"/>
      <c r="H49" s="156"/>
      <c r="I49" s="156"/>
      <c r="J49" s="156"/>
      <c r="L49" s="16"/>
      <c r="W49" s="16"/>
      <c r="X49" s="156"/>
      <c r="Y49" s="156"/>
      <c r="Z49" s="156"/>
      <c r="AA49" s="156"/>
      <c r="AB49" s="156"/>
      <c r="AC49" s="156"/>
      <c r="AD49" s="156"/>
      <c r="AE49" s="157"/>
    </row>
    <row r="50" spans="2:31" s="1" customFormat="1" ht="14.55" customHeight="1" x14ac:dyDescent="0.2">
      <c r="B50" s="24"/>
      <c r="D50" s="530"/>
      <c r="E50" s="523"/>
      <c r="F50" s="523"/>
      <c r="G50" s="530"/>
      <c r="H50" s="523"/>
      <c r="I50" s="523"/>
      <c r="J50" s="523"/>
      <c r="K50" s="32"/>
      <c r="L50" s="24"/>
      <c r="W50" s="1027"/>
      <c r="X50" s="1090"/>
      <c r="Y50" s="530"/>
      <c r="Z50" s="1090"/>
      <c r="AA50" s="1090"/>
      <c r="AB50" s="530"/>
      <c r="AC50" s="1090"/>
      <c r="AD50" s="1090"/>
      <c r="AE50" s="159"/>
    </row>
    <row r="51" spans="2:31" x14ac:dyDescent="0.2">
      <c r="B51" s="16"/>
      <c r="D51" s="156"/>
      <c r="E51" s="156"/>
      <c r="F51" s="156"/>
      <c r="G51" s="156"/>
      <c r="H51" s="156"/>
      <c r="I51" s="156"/>
      <c r="J51" s="156"/>
      <c r="L51" s="16"/>
      <c r="W51" s="16"/>
      <c r="X51" s="156"/>
      <c r="Y51" s="156"/>
      <c r="Z51" s="156"/>
      <c r="AA51" s="156"/>
      <c r="AB51" s="156"/>
      <c r="AC51" s="156"/>
      <c r="AD51" s="156"/>
      <c r="AE51" s="157"/>
    </row>
    <row r="52" spans="2:31" x14ac:dyDescent="0.2">
      <c r="B52" s="16"/>
      <c r="D52" s="156"/>
      <c r="E52" s="156"/>
      <c r="F52" s="156"/>
      <c r="G52" s="156"/>
      <c r="H52" s="156"/>
      <c r="I52" s="156"/>
      <c r="J52" s="156"/>
      <c r="L52" s="16"/>
      <c r="W52" s="16"/>
      <c r="X52" s="156"/>
      <c r="Y52" s="156"/>
      <c r="Z52" s="156"/>
      <c r="AA52" s="156"/>
      <c r="AB52" s="156"/>
      <c r="AC52" s="156"/>
      <c r="AD52" s="156"/>
      <c r="AE52" s="157"/>
    </row>
    <row r="53" spans="2:31" x14ac:dyDescent="0.2">
      <c r="B53" s="16"/>
      <c r="D53" s="156"/>
      <c r="E53" s="156"/>
      <c r="F53" s="156"/>
      <c r="G53" s="156"/>
      <c r="H53" s="156"/>
      <c r="I53" s="156"/>
      <c r="J53" s="156"/>
      <c r="L53" s="16"/>
      <c r="W53" s="16"/>
      <c r="X53" s="156"/>
      <c r="Y53" s="156"/>
      <c r="Z53" s="156"/>
      <c r="AA53" s="156"/>
      <c r="AB53" s="156"/>
      <c r="AC53" s="156"/>
      <c r="AD53" s="156"/>
      <c r="AE53" s="157"/>
    </row>
    <row r="54" spans="2:31" x14ac:dyDescent="0.2">
      <c r="B54" s="16"/>
      <c r="D54" s="156"/>
      <c r="E54" s="156"/>
      <c r="F54" s="156"/>
      <c r="G54" s="156"/>
      <c r="H54" s="156"/>
      <c r="I54" s="156"/>
      <c r="J54" s="156"/>
      <c r="L54" s="16"/>
      <c r="W54" s="16"/>
      <c r="X54" s="156"/>
      <c r="Y54" s="156"/>
      <c r="Z54" s="156"/>
      <c r="AA54" s="156"/>
      <c r="AB54" s="156"/>
      <c r="AC54" s="156"/>
      <c r="AD54" s="156"/>
      <c r="AE54" s="157"/>
    </row>
    <row r="55" spans="2:31" x14ac:dyDescent="0.2">
      <c r="B55" s="16"/>
      <c r="D55" s="156"/>
      <c r="E55" s="156"/>
      <c r="F55" s="156"/>
      <c r="G55" s="156"/>
      <c r="H55" s="156"/>
      <c r="I55" s="156"/>
      <c r="J55" s="156"/>
      <c r="L55" s="16"/>
      <c r="W55" s="16"/>
      <c r="X55" s="156"/>
      <c r="Y55" s="156"/>
      <c r="Z55" s="156"/>
      <c r="AA55" s="156"/>
      <c r="AB55" s="156"/>
      <c r="AC55" s="156"/>
      <c r="AD55" s="156"/>
      <c r="AE55" s="157"/>
    </row>
    <row r="56" spans="2:31" x14ac:dyDescent="0.2">
      <c r="B56" s="16"/>
      <c r="D56" s="156"/>
      <c r="E56" s="156"/>
      <c r="F56" s="156"/>
      <c r="G56" s="156"/>
      <c r="H56" s="156"/>
      <c r="I56" s="156"/>
      <c r="J56" s="156"/>
      <c r="L56" s="16"/>
      <c r="W56" s="16"/>
      <c r="X56" s="156"/>
      <c r="Y56" s="156"/>
      <c r="Z56" s="156"/>
      <c r="AA56" s="156"/>
      <c r="AB56" s="156"/>
      <c r="AC56" s="156"/>
      <c r="AD56" s="156"/>
      <c r="AE56" s="157"/>
    </row>
    <row r="57" spans="2:31" x14ac:dyDescent="0.2">
      <c r="B57" s="16"/>
      <c r="D57" s="156"/>
      <c r="E57" s="156"/>
      <c r="F57" s="156"/>
      <c r="G57" s="156"/>
      <c r="H57" s="156"/>
      <c r="I57" s="156"/>
      <c r="J57" s="156"/>
      <c r="L57" s="16"/>
      <c r="W57" s="16"/>
      <c r="X57" s="156"/>
      <c r="Y57" s="156"/>
      <c r="Z57" s="156"/>
      <c r="AA57" s="156"/>
      <c r="AB57" s="156"/>
      <c r="AC57" s="156"/>
      <c r="AD57" s="156"/>
      <c r="AE57" s="157"/>
    </row>
    <row r="58" spans="2:31" x14ac:dyDescent="0.2">
      <c r="B58" s="16"/>
      <c r="D58" s="156"/>
      <c r="E58" s="156"/>
      <c r="F58" s="156"/>
      <c r="G58" s="156"/>
      <c r="H58" s="156"/>
      <c r="I58" s="156"/>
      <c r="J58" s="156"/>
      <c r="L58" s="16"/>
      <c r="W58" s="16"/>
      <c r="X58" s="156"/>
      <c r="Y58" s="156"/>
      <c r="Z58" s="156"/>
      <c r="AA58" s="156"/>
      <c r="AB58" s="156"/>
      <c r="AC58" s="156"/>
      <c r="AD58" s="156"/>
      <c r="AE58" s="157"/>
    </row>
    <row r="59" spans="2:31" x14ac:dyDescent="0.2">
      <c r="B59" s="16"/>
      <c r="D59" s="156"/>
      <c r="E59" s="156"/>
      <c r="F59" s="156"/>
      <c r="G59" s="156"/>
      <c r="H59" s="156"/>
      <c r="I59" s="156"/>
      <c r="J59" s="156"/>
      <c r="L59" s="16"/>
      <c r="W59" s="16"/>
      <c r="X59" s="156"/>
      <c r="Y59" s="156"/>
      <c r="Z59" s="156"/>
      <c r="AA59" s="156"/>
      <c r="AB59" s="156"/>
      <c r="AC59" s="156"/>
      <c r="AD59" s="156"/>
      <c r="AE59" s="157"/>
    </row>
    <row r="60" spans="2:31" x14ac:dyDescent="0.2">
      <c r="B60" s="16"/>
      <c r="D60" s="156"/>
      <c r="E60" s="156"/>
      <c r="F60" s="156"/>
      <c r="G60" s="156"/>
      <c r="H60" s="156"/>
      <c r="I60" s="156"/>
      <c r="J60" s="156"/>
      <c r="L60" s="16"/>
      <c r="W60" s="16"/>
      <c r="X60" s="156"/>
      <c r="Y60" s="156"/>
      <c r="Z60" s="156"/>
      <c r="AA60" s="156"/>
      <c r="AB60" s="156"/>
      <c r="AC60" s="156"/>
      <c r="AD60" s="156"/>
      <c r="AE60" s="157"/>
    </row>
    <row r="61" spans="2:31" s="1" customFormat="1" ht="13.2" x14ac:dyDescent="0.2">
      <c r="B61" s="24"/>
      <c r="D61" s="522"/>
      <c r="E61" s="523"/>
      <c r="F61" s="536"/>
      <c r="G61" s="522"/>
      <c r="H61" s="523"/>
      <c r="I61" s="523"/>
      <c r="J61" s="169"/>
      <c r="K61" s="26"/>
      <c r="L61" s="24"/>
      <c r="W61" s="1027"/>
      <c r="X61" s="1090"/>
      <c r="Y61" s="1091"/>
      <c r="Z61" s="1090"/>
      <c r="AA61" s="536"/>
      <c r="AB61" s="1091"/>
      <c r="AC61" s="1090"/>
      <c r="AD61" s="1090"/>
      <c r="AE61" s="577"/>
    </row>
    <row r="62" spans="2:31" x14ac:dyDescent="0.2">
      <c r="B62" s="16"/>
      <c r="D62" s="156"/>
      <c r="E62" s="156"/>
      <c r="F62" s="156"/>
      <c r="G62" s="156"/>
      <c r="H62" s="156"/>
      <c r="I62" s="156"/>
      <c r="J62" s="156"/>
      <c r="L62" s="16"/>
      <c r="W62" s="16"/>
      <c r="X62" s="156"/>
      <c r="Y62" s="156"/>
      <c r="Z62" s="156"/>
      <c r="AA62" s="156"/>
      <c r="AB62" s="156"/>
      <c r="AC62" s="156"/>
      <c r="AD62" s="156"/>
      <c r="AE62" s="157"/>
    </row>
    <row r="63" spans="2:31" x14ac:dyDescent="0.2">
      <c r="B63" s="16"/>
      <c r="D63" s="156"/>
      <c r="E63" s="156"/>
      <c r="F63" s="156"/>
      <c r="G63" s="156"/>
      <c r="H63" s="156"/>
      <c r="I63" s="156"/>
      <c r="J63" s="156"/>
      <c r="L63" s="16"/>
      <c r="W63" s="16"/>
      <c r="X63" s="156"/>
      <c r="Y63" s="156"/>
      <c r="Z63" s="156"/>
      <c r="AA63" s="156"/>
      <c r="AB63" s="156"/>
      <c r="AC63" s="156"/>
      <c r="AD63" s="156"/>
      <c r="AE63" s="157"/>
    </row>
    <row r="64" spans="2:31" x14ac:dyDescent="0.2">
      <c r="B64" s="16"/>
      <c r="D64" s="156"/>
      <c r="E64" s="156"/>
      <c r="F64" s="156"/>
      <c r="G64" s="156"/>
      <c r="H64" s="156"/>
      <c r="I64" s="156"/>
      <c r="J64" s="156"/>
      <c r="L64" s="16"/>
      <c r="W64" s="16"/>
      <c r="X64" s="156"/>
      <c r="Y64" s="156"/>
      <c r="Z64" s="156"/>
      <c r="AA64" s="156"/>
      <c r="AB64" s="156"/>
      <c r="AC64" s="156"/>
      <c r="AD64" s="156"/>
      <c r="AE64" s="157"/>
    </row>
    <row r="65" spans="2:31" s="1" customFormat="1" ht="13.2" x14ac:dyDescent="0.2">
      <c r="B65" s="24"/>
      <c r="D65" s="530"/>
      <c r="E65" s="523"/>
      <c r="F65" s="523"/>
      <c r="G65" s="530"/>
      <c r="H65" s="523"/>
      <c r="I65" s="523"/>
      <c r="J65" s="523"/>
      <c r="K65" s="32"/>
      <c r="L65" s="24"/>
      <c r="W65" s="1027"/>
      <c r="X65" s="1090"/>
      <c r="Y65" s="530"/>
      <c r="Z65" s="1090"/>
      <c r="AA65" s="1090"/>
      <c r="AB65" s="530"/>
      <c r="AC65" s="1090"/>
      <c r="AD65" s="1090"/>
      <c r="AE65" s="159"/>
    </row>
    <row r="66" spans="2:31" x14ac:dyDescent="0.2">
      <c r="B66" s="16"/>
      <c r="D66" s="156"/>
      <c r="E66" s="156"/>
      <c r="F66" s="156"/>
      <c r="G66" s="156"/>
      <c r="H66" s="156"/>
      <c r="I66" s="156"/>
      <c r="J66" s="156"/>
      <c r="L66" s="16"/>
      <c r="W66" s="16"/>
      <c r="X66" s="156"/>
      <c r="Y66" s="156"/>
      <c r="Z66" s="156"/>
      <c r="AA66" s="156"/>
      <c r="AB66" s="156"/>
      <c r="AC66" s="156"/>
      <c r="AD66" s="156"/>
      <c r="AE66" s="157"/>
    </row>
    <row r="67" spans="2:31" x14ac:dyDescent="0.2">
      <c r="B67" s="16"/>
      <c r="D67" s="156"/>
      <c r="E67" s="156"/>
      <c r="F67" s="156"/>
      <c r="G67" s="156"/>
      <c r="H67" s="156"/>
      <c r="I67" s="156"/>
      <c r="J67" s="156"/>
      <c r="L67" s="16"/>
      <c r="W67" s="16"/>
      <c r="X67" s="156"/>
      <c r="Y67" s="156"/>
      <c r="Z67" s="156"/>
      <c r="AA67" s="156"/>
      <c r="AB67" s="156"/>
      <c r="AC67" s="156"/>
      <c r="AD67" s="156"/>
      <c r="AE67" s="157"/>
    </row>
    <row r="68" spans="2:31" x14ac:dyDescent="0.2">
      <c r="B68" s="16"/>
      <c r="D68" s="156"/>
      <c r="E68" s="156"/>
      <c r="F68" s="156"/>
      <c r="G68" s="156"/>
      <c r="H68" s="156"/>
      <c r="I68" s="156"/>
      <c r="J68" s="156"/>
      <c r="L68" s="16"/>
      <c r="W68" s="16"/>
      <c r="X68" s="156"/>
      <c r="Y68" s="156"/>
      <c r="Z68" s="156"/>
      <c r="AA68" s="156"/>
      <c r="AB68" s="156"/>
      <c r="AC68" s="156"/>
      <c r="AD68" s="156"/>
      <c r="AE68" s="157"/>
    </row>
    <row r="69" spans="2:31" x14ac:dyDescent="0.2">
      <c r="B69" s="16"/>
      <c r="D69" s="156"/>
      <c r="E69" s="156"/>
      <c r="F69" s="156"/>
      <c r="G69" s="156"/>
      <c r="H69" s="156"/>
      <c r="I69" s="156"/>
      <c r="J69" s="156"/>
      <c r="L69" s="16"/>
      <c r="W69" s="16"/>
      <c r="X69" s="156"/>
      <c r="Y69" s="156"/>
      <c r="Z69" s="156"/>
      <c r="AA69" s="156"/>
      <c r="AB69" s="156"/>
      <c r="AC69" s="156"/>
      <c r="AD69" s="156"/>
      <c r="AE69" s="157"/>
    </row>
    <row r="70" spans="2:31" x14ac:dyDescent="0.2">
      <c r="B70" s="16"/>
      <c r="D70" s="156"/>
      <c r="E70" s="156"/>
      <c r="F70" s="156"/>
      <c r="G70" s="156"/>
      <c r="H70" s="156"/>
      <c r="I70" s="156"/>
      <c r="J70" s="156"/>
      <c r="L70" s="16"/>
      <c r="W70" s="16"/>
      <c r="X70" s="156"/>
      <c r="Y70" s="156"/>
      <c r="Z70" s="156"/>
      <c r="AA70" s="156"/>
      <c r="AB70" s="156"/>
      <c r="AC70" s="156"/>
      <c r="AD70" s="156"/>
      <c r="AE70" s="157"/>
    </row>
    <row r="71" spans="2:31" x14ac:dyDescent="0.2">
      <c r="B71" s="16"/>
      <c r="D71" s="156"/>
      <c r="E71" s="156"/>
      <c r="F71" s="156"/>
      <c r="G71" s="156"/>
      <c r="H71" s="156"/>
      <c r="I71" s="156"/>
      <c r="J71" s="156"/>
      <c r="L71" s="16"/>
      <c r="W71" s="16"/>
      <c r="X71" s="156"/>
      <c r="Y71" s="156"/>
      <c r="Z71" s="156"/>
      <c r="AA71" s="156"/>
      <c r="AB71" s="156"/>
      <c r="AC71" s="156"/>
      <c r="AD71" s="156"/>
      <c r="AE71" s="157"/>
    </row>
    <row r="72" spans="2:31" x14ac:dyDescent="0.2">
      <c r="B72" s="16"/>
      <c r="D72" s="156"/>
      <c r="E72" s="156"/>
      <c r="F72" s="156"/>
      <c r="G72" s="156"/>
      <c r="H72" s="156"/>
      <c r="I72" s="156"/>
      <c r="J72" s="156"/>
      <c r="L72" s="16"/>
      <c r="W72" s="16"/>
      <c r="X72" s="156"/>
      <c r="Y72" s="156"/>
      <c r="Z72" s="156"/>
      <c r="AA72" s="156"/>
      <c r="AB72" s="156"/>
      <c r="AC72" s="156"/>
      <c r="AD72" s="156"/>
      <c r="AE72" s="157"/>
    </row>
    <row r="73" spans="2:31" x14ac:dyDescent="0.2">
      <c r="B73" s="16"/>
      <c r="D73" s="156"/>
      <c r="E73" s="156"/>
      <c r="F73" s="156"/>
      <c r="G73" s="156"/>
      <c r="H73" s="156"/>
      <c r="I73" s="156"/>
      <c r="J73" s="156"/>
      <c r="L73" s="16"/>
      <c r="W73" s="16"/>
      <c r="X73" s="156"/>
      <c r="Y73" s="156"/>
      <c r="Z73" s="156"/>
      <c r="AA73" s="156"/>
      <c r="AB73" s="156"/>
      <c r="AC73" s="156"/>
      <c r="AD73" s="156"/>
      <c r="AE73" s="157"/>
    </row>
    <row r="74" spans="2:31" x14ac:dyDescent="0.2">
      <c r="B74" s="16"/>
      <c r="D74" s="156"/>
      <c r="E74" s="156"/>
      <c r="F74" s="156"/>
      <c r="G74" s="156"/>
      <c r="H74" s="156"/>
      <c r="I74" s="156"/>
      <c r="J74" s="156"/>
      <c r="L74" s="16"/>
      <c r="W74" s="16"/>
      <c r="X74" s="156"/>
      <c r="Y74" s="156"/>
      <c r="Z74" s="156"/>
      <c r="AA74" s="156"/>
      <c r="AB74" s="156"/>
      <c r="AC74" s="156"/>
      <c r="AD74" s="156"/>
      <c r="AE74" s="157"/>
    </row>
    <row r="75" spans="2:31" x14ac:dyDescent="0.2">
      <c r="B75" s="16"/>
      <c r="D75" s="156"/>
      <c r="E75" s="156"/>
      <c r="F75" s="156"/>
      <c r="G75" s="156"/>
      <c r="H75" s="156"/>
      <c r="I75" s="156"/>
      <c r="J75" s="156"/>
      <c r="L75" s="16"/>
      <c r="W75" s="16"/>
      <c r="X75" s="156"/>
      <c r="Y75" s="156"/>
      <c r="Z75" s="156"/>
      <c r="AA75" s="156"/>
      <c r="AB75" s="156"/>
      <c r="AC75" s="156"/>
      <c r="AD75" s="156"/>
      <c r="AE75" s="157"/>
    </row>
    <row r="76" spans="2:31" s="1" customFormat="1" ht="13.2" x14ac:dyDescent="0.2">
      <c r="B76" s="24"/>
      <c r="D76" s="522"/>
      <c r="E76" s="523"/>
      <c r="F76" s="536"/>
      <c r="G76" s="522"/>
      <c r="H76" s="523"/>
      <c r="I76" s="523"/>
      <c r="J76" s="169"/>
      <c r="K76" s="26"/>
      <c r="L76" s="24"/>
      <c r="W76" s="1027"/>
      <c r="X76" s="1090"/>
      <c r="Y76" s="1091"/>
      <c r="Z76" s="1090"/>
      <c r="AA76" s="536"/>
      <c r="AB76" s="1091"/>
      <c r="AC76" s="1090"/>
      <c r="AD76" s="1090"/>
      <c r="AE76" s="577"/>
    </row>
    <row r="77" spans="2:31" s="1" customFormat="1" ht="14.55" customHeight="1" x14ac:dyDescent="0.2">
      <c r="B77" s="33"/>
      <c r="C77" s="34"/>
      <c r="D77" s="34"/>
      <c r="E77" s="34"/>
      <c r="F77" s="34"/>
      <c r="G77" s="34"/>
      <c r="H77" s="34"/>
      <c r="I77" s="34"/>
      <c r="J77" s="34"/>
      <c r="K77" s="34"/>
      <c r="L77" s="24"/>
      <c r="W77" s="33"/>
      <c r="X77" s="34"/>
      <c r="Y77" s="34"/>
      <c r="Z77" s="34"/>
      <c r="AA77" s="34"/>
      <c r="AB77" s="34"/>
      <c r="AC77" s="34"/>
      <c r="AD77" s="34"/>
      <c r="AE77" s="250"/>
    </row>
    <row r="81" spans="2:47" s="1" customFormat="1" ht="7.05" customHeight="1" x14ac:dyDescent="0.2">
      <c r="B81" s="35"/>
      <c r="C81" s="36"/>
      <c r="D81" s="36"/>
      <c r="E81" s="36"/>
      <c r="F81" s="36"/>
      <c r="G81" s="36"/>
      <c r="H81" s="36"/>
      <c r="I81" s="36"/>
      <c r="J81" s="36"/>
      <c r="K81" s="36"/>
      <c r="L81" s="24"/>
      <c r="W81" s="35"/>
      <c r="X81" s="36"/>
      <c r="Y81" s="36"/>
      <c r="Z81" s="36"/>
      <c r="AA81" s="36"/>
      <c r="AB81" s="36"/>
      <c r="AC81" s="36"/>
      <c r="AD81" s="36"/>
      <c r="AE81" s="647"/>
    </row>
    <row r="82" spans="2:47" s="1" customFormat="1" ht="25.05" customHeight="1" x14ac:dyDescent="0.2">
      <c r="B82" s="24"/>
      <c r="C82" s="1165" t="s">
        <v>188</v>
      </c>
      <c r="D82" s="1165"/>
      <c r="E82" s="1165"/>
      <c r="F82" s="1165"/>
      <c r="G82" s="1165"/>
      <c r="H82" s="1165"/>
      <c r="I82" s="1165"/>
      <c r="J82" s="1165"/>
      <c r="L82" s="24"/>
      <c r="W82" s="1027"/>
      <c r="X82" s="1237" t="s">
        <v>188</v>
      </c>
      <c r="Y82" s="1237"/>
      <c r="Z82" s="1237"/>
      <c r="AA82" s="1237"/>
      <c r="AB82" s="1237"/>
      <c r="AC82" s="1237"/>
      <c r="AD82" s="1237"/>
      <c r="AE82" s="1238"/>
    </row>
    <row r="83" spans="2:47" s="1" customFormat="1" ht="7.05" customHeight="1" x14ac:dyDescent="0.2">
      <c r="B83" s="24"/>
      <c r="L83" s="24"/>
      <c r="W83" s="1027"/>
      <c r="X83" s="1090"/>
      <c r="Y83" s="1090"/>
      <c r="Z83" s="1090"/>
      <c r="AA83" s="1090"/>
      <c r="AB83" s="1090"/>
      <c r="AC83" s="1090"/>
      <c r="AD83" s="1090"/>
      <c r="AE83" s="159"/>
    </row>
    <row r="84" spans="2:47" s="1" customFormat="1" ht="12" customHeight="1" x14ac:dyDescent="0.2">
      <c r="B84" s="24"/>
      <c r="C84" s="528" t="s">
        <v>12</v>
      </c>
      <c r="E84" s="1242" t="s">
        <v>6177</v>
      </c>
      <c r="F84" s="1242"/>
      <c r="G84" s="1242"/>
      <c r="H84" s="1242"/>
      <c r="I84" s="1242"/>
      <c r="J84" s="1242"/>
      <c r="L84" s="24"/>
      <c r="W84" s="1027"/>
      <c r="X84" s="1093" t="s">
        <v>12</v>
      </c>
      <c r="Y84" s="1090"/>
      <c r="Z84" s="1163" t="s">
        <v>6177</v>
      </c>
      <c r="AA84" s="1163"/>
      <c r="AB84" s="1163"/>
      <c r="AC84" s="1163"/>
      <c r="AD84" s="1163"/>
      <c r="AE84" s="1241"/>
    </row>
    <row r="85" spans="2:47" s="1" customFormat="1" ht="23.55" customHeight="1" x14ac:dyDescent="0.2">
      <c r="B85" s="24"/>
      <c r="C85" s="521"/>
      <c r="E85" s="1243"/>
      <c r="F85" s="1244"/>
      <c r="G85" s="1244"/>
      <c r="H85" s="1244"/>
      <c r="L85" s="24"/>
      <c r="W85" s="1027"/>
      <c r="X85" s="1090"/>
      <c r="Y85" s="1090"/>
      <c r="Z85" s="1249"/>
      <c r="AA85" s="1250"/>
      <c r="AB85" s="1250"/>
      <c r="AC85" s="1250"/>
      <c r="AD85" s="1090"/>
      <c r="AE85" s="159"/>
    </row>
    <row r="86" spans="2:47" s="1" customFormat="1" ht="12" customHeight="1" x14ac:dyDescent="0.2">
      <c r="B86" s="24"/>
      <c r="C86" s="528" t="s">
        <v>186</v>
      </c>
      <c r="F86" s="532" t="s">
        <v>4448</v>
      </c>
      <c r="L86" s="24"/>
      <c r="W86" s="1027"/>
      <c r="X86" s="1093" t="s">
        <v>186</v>
      </c>
      <c r="Y86" s="1090"/>
      <c r="Z86" s="1090"/>
      <c r="AA86" s="555" t="s">
        <v>4448</v>
      </c>
      <c r="AB86" s="1090"/>
      <c r="AC86" s="1090"/>
      <c r="AD86" s="1090"/>
      <c r="AE86" s="159"/>
    </row>
    <row r="87" spans="2:47" s="1" customFormat="1" ht="16.5" customHeight="1" x14ac:dyDescent="0.2">
      <c r="B87" s="24"/>
      <c r="C87" s="521"/>
      <c r="E87" s="1251"/>
      <c r="F87" s="1252"/>
      <c r="G87" s="1252"/>
      <c r="H87" s="1252"/>
      <c r="L87" s="24"/>
      <c r="W87" s="1027"/>
      <c r="X87" s="1090"/>
      <c r="Y87" s="1090"/>
      <c r="Z87" s="1245"/>
      <c r="AA87" s="1246"/>
      <c r="AB87" s="1246"/>
      <c r="AC87" s="1246"/>
      <c r="AD87" s="1090"/>
      <c r="AE87" s="159"/>
    </row>
    <row r="88" spans="2:47" s="1" customFormat="1" ht="7.05" customHeight="1" x14ac:dyDescent="0.2">
      <c r="B88" s="24"/>
      <c r="C88" s="521"/>
      <c r="L88" s="24"/>
      <c r="W88" s="1027"/>
      <c r="X88" s="1090"/>
      <c r="Y88" s="1090"/>
      <c r="Z88" s="1090"/>
      <c r="AA88" s="1090"/>
      <c r="AB88" s="1090"/>
      <c r="AC88" s="1090"/>
      <c r="AD88" s="1090"/>
      <c r="AE88" s="159"/>
    </row>
    <row r="89" spans="2:47" s="1" customFormat="1" ht="12" customHeight="1" x14ac:dyDescent="0.2">
      <c r="B89" s="24"/>
      <c r="C89" s="528" t="s">
        <v>15</v>
      </c>
      <c r="F89" s="19" t="str">
        <f>F12</f>
        <v>Kuzmányho nábrežie 28, 960 01 Zvolen</v>
      </c>
      <c r="I89" s="528" t="s">
        <v>17</v>
      </c>
      <c r="J89" s="39" t="str">
        <f>IF(J12="","",J12)</f>
        <v/>
      </c>
      <c r="L89" s="24"/>
      <c r="W89" s="1027"/>
      <c r="X89" s="1093" t="s">
        <v>15</v>
      </c>
      <c r="Y89" s="1090"/>
      <c r="Z89" s="1090"/>
      <c r="AA89" s="1086" t="str">
        <f>AA12</f>
        <v>Kuzmányho nábrežie 28, 960 01 Zvolen</v>
      </c>
      <c r="AB89" s="1090"/>
      <c r="AC89" s="1090"/>
      <c r="AD89" s="1093" t="s">
        <v>17</v>
      </c>
      <c r="AE89" s="162" t="str">
        <f>IF(AE12="","",AE12)</f>
        <v/>
      </c>
    </row>
    <row r="90" spans="2:47" s="1" customFormat="1" ht="7.05" customHeight="1" x14ac:dyDescent="0.2">
      <c r="B90" s="24"/>
      <c r="C90" s="521"/>
      <c r="I90" s="521"/>
      <c r="L90" s="24"/>
      <c r="W90" s="1027"/>
      <c r="X90" s="1090"/>
      <c r="Y90" s="1090"/>
      <c r="Z90" s="1090"/>
      <c r="AA90" s="1090"/>
      <c r="AB90" s="1090"/>
      <c r="AC90" s="1090"/>
      <c r="AD90" s="1090"/>
      <c r="AE90" s="159"/>
    </row>
    <row r="91" spans="2:47" s="1" customFormat="1" ht="15.3" customHeight="1" x14ac:dyDescent="0.2">
      <c r="B91" s="24"/>
      <c r="C91" s="528" t="s">
        <v>18</v>
      </c>
      <c r="F91" s="529" t="s">
        <v>6175</v>
      </c>
      <c r="I91" s="528" t="s">
        <v>22</v>
      </c>
      <c r="J91" s="22" t="str">
        <f>E21</f>
        <v xml:space="preserve"> </v>
      </c>
      <c r="L91" s="24"/>
      <c r="W91" s="1027"/>
      <c r="X91" s="1093" t="s">
        <v>18</v>
      </c>
      <c r="Y91" s="1090"/>
      <c r="Z91" s="1090"/>
      <c r="AA91" s="576" t="s">
        <v>6175</v>
      </c>
      <c r="AB91" s="1090"/>
      <c r="AC91" s="1090"/>
      <c r="AD91" s="1093" t="s">
        <v>22</v>
      </c>
      <c r="AE91" s="181" t="str">
        <f>Z21</f>
        <v/>
      </c>
    </row>
    <row r="92" spans="2:47" s="1" customFormat="1" ht="15.3" customHeight="1" x14ac:dyDescent="0.2">
      <c r="B92" s="24"/>
      <c r="C92" s="528" t="s">
        <v>21</v>
      </c>
      <c r="F92" s="529" t="s">
        <v>5202</v>
      </c>
      <c r="I92" s="528" t="s">
        <v>24</v>
      </c>
      <c r="J92" s="22" t="str">
        <f>E24</f>
        <v xml:space="preserve"> </v>
      </c>
      <c r="L92" s="24"/>
      <c r="W92" s="1027"/>
      <c r="X92" s="1093" t="s">
        <v>21</v>
      </c>
      <c r="Y92" s="1090"/>
      <c r="Z92" s="1090"/>
      <c r="AA92" s="576" t="s">
        <v>5202</v>
      </c>
      <c r="AB92" s="1090"/>
      <c r="AC92" s="1090"/>
      <c r="AD92" s="1093" t="s">
        <v>24</v>
      </c>
      <c r="AE92" s="181" t="str">
        <f>Z24</f>
        <v/>
      </c>
    </row>
    <row r="93" spans="2:47" s="1" customFormat="1" ht="10.199999999999999" customHeight="1" x14ac:dyDescent="0.2">
      <c r="B93" s="24"/>
      <c r="L93" s="24"/>
      <c r="W93" s="1027"/>
      <c r="X93" s="1090"/>
      <c r="Y93" s="1090"/>
      <c r="Z93" s="1090"/>
      <c r="AA93" s="1090"/>
      <c r="AB93" s="1090"/>
      <c r="AC93" s="1090"/>
      <c r="AD93" s="1090"/>
      <c r="AE93" s="159"/>
    </row>
    <row r="94" spans="2:47" s="1" customFormat="1" ht="29.25" customHeight="1" x14ac:dyDescent="0.2">
      <c r="B94" s="24"/>
      <c r="C94" s="86" t="s">
        <v>189</v>
      </c>
      <c r="D94" s="80"/>
      <c r="E94" s="80"/>
      <c r="F94" s="80"/>
      <c r="G94" s="80"/>
      <c r="H94" s="80"/>
      <c r="I94" s="80"/>
      <c r="J94" s="87" t="s">
        <v>190</v>
      </c>
      <c r="K94" s="80"/>
      <c r="L94" s="24"/>
      <c r="W94" s="1027"/>
      <c r="X94" s="182" t="s">
        <v>189</v>
      </c>
      <c r="Y94" s="173"/>
      <c r="Z94" s="173"/>
      <c r="AA94" s="173"/>
      <c r="AB94" s="173"/>
      <c r="AC94" s="173"/>
      <c r="AD94" s="173"/>
      <c r="AE94" s="183" t="s">
        <v>190</v>
      </c>
    </row>
    <row r="95" spans="2:47" s="1" customFormat="1" ht="10.199999999999999" customHeight="1" x14ac:dyDescent="0.2">
      <c r="B95" s="24"/>
      <c r="L95" s="24"/>
      <c r="W95" s="1027"/>
      <c r="X95" s="1090"/>
      <c r="Y95" s="1090"/>
      <c r="Z95" s="1090"/>
      <c r="AA95" s="1090"/>
      <c r="AB95" s="1090"/>
      <c r="AC95" s="1090"/>
      <c r="AD95" s="1090"/>
      <c r="AE95" s="159"/>
    </row>
    <row r="96" spans="2:47" s="1" customFormat="1" ht="22.95" customHeight="1" x14ac:dyDescent="0.2">
      <c r="B96" s="24"/>
      <c r="C96" s="88" t="s">
        <v>191</v>
      </c>
      <c r="J96" s="53">
        <f>J125</f>
        <v>24395.960000000003</v>
      </c>
      <c r="L96" s="24"/>
      <c r="W96" s="1027"/>
      <c r="X96" s="184" t="s">
        <v>191</v>
      </c>
      <c r="Y96" s="1090"/>
      <c r="Z96" s="1090"/>
      <c r="AA96" s="1090"/>
      <c r="AB96" s="1090"/>
      <c r="AC96" s="1090"/>
      <c r="AD96" s="1090"/>
      <c r="AE96" s="168">
        <f>AE125</f>
        <v>25353.060000000005</v>
      </c>
      <c r="AU96" s="13" t="s">
        <v>192</v>
      </c>
    </row>
    <row r="97" spans="2:31" s="8" customFormat="1" ht="25.05" customHeight="1" x14ac:dyDescent="0.2">
      <c r="B97" s="89"/>
      <c r="D97" s="90" t="s">
        <v>3499</v>
      </c>
      <c r="E97" s="91"/>
      <c r="F97" s="91"/>
      <c r="G97" s="91"/>
      <c r="H97" s="91"/>
      <c r="I97" s="91"/>
      <c r="J97" s="92">
        <f>J126</f>
        <v>355.22999999999996</v>
      </c>
      <c r="L97" s="89"/>
      <c r="W97" s="89"/>
      <c r="X97" s="186"/>
      <c r="Y97" s="90" t="s">
        <v>3499</v>
      </c>
      <c r="Z97" s="91"/>
      <c r="AA97" s="91"/>
      <c r="AB97" s="91"/>
      <c r="AC97" s="91"/>
      <c r="AD97" s="91"/>
      <c r="AE97" s="187">
        <f>AE126</f>
        <v>355.22999999999996</v>
      </c>
    </row>
    <row r="98" spans="2:31" s="9" customFormat="1" ht="19.95" customHeight="1" x14ac:dyDescent="0.2">
      <c r="B98" s="93"/>
      <c r="D98" s="94" t="s">
        <v>3500</v>
      </c>
      <c r="E98" s="95"/>
      <c r="F98" s="95"/>
      <c r="G98" s="95"/>
      <c r="H98" s="95"/>
      <c r="I98" s="95"/>
      <c r="J98" s="96">
        <f>J127</f>
        <v>355.22999999999996</v>
      </c>
      <c r="L98" s="93"/>
      <c r="W98" s="93"/>
      <c r="X98" s="189"/>
      <c r="Y98" s="94" t="s">
        <v>3500</v>
      </c>
      <c r="Z98" s="95"/>
      <c r="AA98" s="95"/>
      <c r="AB98" s="95"/>
      <c r="AC98" s="95"/>
      <c r="AD98" s="95"/>
      <c r="AE98" s="190">
        <f>AE127</f>
        <v>355.22999999999996</v>
      </c>
    </row>
    <row r="99" spans="2:31" s="8" customFormat="1" ht="25.05" customHeight="1" x14ac:dyDescent="0.2">
      <c r="B99" s="89"/>
      <c r="D99" s="90" t="s">
        <v>3501</v>
      </c>
      <c r="E99" s="91"/>
      <c r="F99" s="91"/>
      <c r="G99" s="91"/>
      <c r="H99" s="91"/>
      <c r="I99" s="91"/>
      <c r="J99" s="92">
        <f>J131</f>
        <v>2105.3500000000004</v>
      </c>
      <c r="L99" s="89"/>
      <c r="W99" s="89"/>
      <c r="X99" s="186"/>
      <c r="Y99" s="90" t="s">
        <v>3501</v>
      </c>
      <c r="Z99" s="91"/>
      <c r="AA99" s="91"/>
      <c r="AB99" s="91"/>
      <c r="AC99" s="91"/>
      <c r="AD99" s="91"/>
      <c r="AE99" s="187">
        <f>AE131</f>
        <v>2576.2500000000005</v>
      </c>
    </row>
    <row r="100" spans="2:31" s="9" customFormat="1" ht="19.95" customHeight="1" x14ac:dyDescent="0.2">
      <c r="B100" s="93"/>
      <c r="D100" s="94" t="s">
        <v>3502</v>
      </c>
      <c r="E100" s="95"/>
      <c r="F100" s="95"/>
      <c r="G100" s="95"/>
      <c r="H100" s="95"/>
      <c r="I100" s="95"/>
      <c r="J100" s="96">
        <f>J132</f>
        <v>1661.0100000000002</v>
      </c>
      <c r="L100" s="93"/>
      <c r="W100" s="93"/>
      <c r="X100" s="189"/>
      <c r="Y100" s="94" t="s">
        <v>3502</v>
      </c>
      <c r="Z100" s="95"/>
      <c r="AA100" s="95"/>
      <c r="AB100" s="95"/>
      <c r="AC100" s="95"/>
      <c r="AD100" s="95"/>
      <c r="AE100" s="190">
        <f>AE132</f>
        <v>2111.0100000000002</v>
      </c>
    </row>
    <row r="101" spans="2:31" s="9" customFormat="1" ht="19.95" customHeight="1" x14ac:dyDescent="0.2">
      <c r="B101" s="93"/>
      <c r="D101" s="94" t="s">
        <v>4449</v>
      </c>
      <c r="E101" s="95"/>
      <c r="F101" s="95"/>
      <c r="G101" s="95"/>
      <c r="H101" s="95"/>
      <c r="I101" s="95"/>
      <c r="J101" s="96">
        <f>J140</f>
        <v>250.8</v>
      </c>
      <c r="L101" s="93"/>
      <c r="W101" s="93"/>
      <c r="X101" s="189"/>
      <c r="Y101" s="94" t="s">
        <v>4449</v>
      </c>
      <c r="Z101" s="95"/>
      <c r="AA101" s="95"/>
      <c r="AB101" s="95"/>
      <c r="AC101" s="95"/>
      <c r="AD101" s="95"/>
      <c r="AE101" s="190">
        <f>AE140</f>
        <v>250.8</v>
      </c>
    </row>
    <row r="102" spans="2:31" s="9" customFormat="1" ht="19.95" customHeight="1" x14ac:dyDescent="0.2">
      <c r="B102" s="93"/>
      <c r="D102" s="94" t="s">
        <v>4450</v>
      </c>
      <c r="E102" s="95"/>
      <c r="F102" s="95"/>
      <c r="G102" s="95"/>
      <c r="H102" s="95"/>
      <c r="I102" s="95"/>
      <c r="J102" s="96">
        <f>J142</f>
        <v>193.54000000000002</v>
      </c>
      <c r="L102" s="93"/>
      <c r="W102" s="93"/>
      <c r="X102" s="189"/>
      <c r="Y102" s="94" t="s">
        <v>4450</v>
      </c>
      <c r="Z102" s="95"/>
      <c r="AA102" s="95"/>
      <c r="AB102" s="95"/>
      <c r="AC102" s="95"/>
      <c r="AD102" s="95"/>
      <c r="AE102" s="190">
        <f>AE142</f>
        <v>214.44</v>
      </c>
    </row>
    <row r="103" spans="2:31" s="8" customFormat="1" ht="25.05" customHeight="1" x14ac:dyDescent="0.2">
      <c r="B103" s="89"/>
      <c r="D103" s="90" t="s">
        <v>4451</v>
      </c>
      <c r="E103" s="91"/>
      <c r="F103" s="91"/>
      <c r="G103" s="91"/>
      <c r="H103" s="91"/>
      <c r="I103" s="91"/>
      <c r="J103" s="92">
        <f>J145</f>
        <v>3521.6999999999994</v>
      </c>
      <c r="L103" s="89"/>
      <c r="W103" s="89"/>
      <c r="X103" s="186"/>
      <c r="Y103" s="90" t="s">
        <v>4451</v>
      </c>
      <c r="Z103" s="91"/>
      <c r="AA103" s="91"/>
      <c r="AB103" s="91"/>
      <c r="AC103" s="91"/>
      <c r="AD103" s="91"/>
      <c r="AE103" s="187">
        <f>AE145</f>
        <v>3868.4999999999991</v>
      </c>
    </row>
    <row r="104" spans="2:31" s="9" customFormat="1" ht="19.95" customHeight="1" x14ac:dyDescent="0.2">
      <c r="B104" s="93"/>
      <c r="D104" s="94" t="s">
        <v>4452</v>
      </c>
      <c r="E104" s="95"/>
      <c r="F104" s="95"/>
      <c r="G104" s="95"/>
      <c r="H104" s="95"/>
      <c r="I104" s="95"/>
      <c r="J104" s="96">
        <f>J148</f>
        <v>3057.4499999999994</v>
      </c>
      <c r="L104" s="93"/>
      <c r="W104" s="93"/>
      <c r="X104" s="189"/>
      <c r="Y104" s="94" t="s">
        <v>4452</v>
      </c>
      <c r="Z104" s="95"/>
      <c r="AA104" s="95"/>
      <c r="AB104" s="95"/>
      <c r="AC104" s="95"/>
      <c r="AD104" s="95"/>
      <c r="AE104" s="190">
        <f>AE148</f>
        <v>3404.2499999999991</v>
      </c>
    </row>
    <row r="105" spans="2:31" s="8" customFormat="1" ht="25.05" customHeight="1" x14ac:dyDescent="0.2">
      <c r="B105" s="89"/>
      <c r="D105" s="90" t="s">
        <v>4453</v>
      </c>
      <c r="E105" s="91"/>
      <c r="F105" s="91"/>
      <c r="G105" s="91"/>
      <c r="H105" s="91"/>
      <c r="I105" s="91"/>
      <c r="J105" s="92">
        <f>J157</f>
        <v>18413.680000000004</v>
      </c>
      <c r="L105" s="89"/>
      <c r="W105" s="89"/>
      <c r="X105" s="186"/>
      <c r="Y105" s="90" t="s">
        <v>4453</v>
      </c>
      <c r="Z105" s="91"/>
      <c r="AA105" s="91"/>
      <c r="AB105" s="91"/>
      <c r="AC105" s="91"/>
      <c r="AD105" s="91"/>
      <c r="AE105" s="187">
        <f>AE157</f>
        <v>18553.080000000005</v>
      </c>
    </row>
    <row r="106" spans="2:31" s="1" customFormat="1" ht="21.75" customHeight="1" x14ac:dyDescent="0.2">
      <c r="B106" s="24"/>
      <c r="L106" s="24"/>
      <c r="W106" s="1027"/>
      <c r="X106" s="1090"/>
      <c r="Y106" s="1090"/>
      <c r="Z106" s="1090"/>
      <c r="AA106" s="1090"/>
      <c r="AB106" s="1090"/>
      <c r="AC106" s="1090"/>
      <c r="AD106" s="1090"/>
      <c r="AE106" s="159"/>
    </row>
    <row r="107" spans="2:31" s="1" customFormat="1" ht="7.05" customHeight="1" x14ac:dyDescent="0.2">
      <c r="B107" s="33"/>
      <c r="C107" s="34"/>
      <c r="D107" s="34"/>
      <c r="E107" s="34"/>
      <c r="F107" s="34"/>
      <c r="G107" s="34"/>
      <c r="H107" s="34"/>
      <c r="I107" s="34"/>
      <c r="J107" s="34"/>
      <c r="K107" s="34"/>
      <c r="L107" s="24"/>
      <c r="W107" s="33"/>
      <c r="X107" s="34"/>
      <c r="Y107" s="34"/>
      <c r="Z107" s="34"/>
      <c r="AA107" s="34"/>
      <c r="AB107" s="34"/>
      <c r="AC107" s="34"/>
      <c r="AD107" s="34"/>
      <c r="AE107" s="250"/>
    </row>
    <row r="111" spans="2:31" s="1" customFormat="1" ht="7.05" customHeight="1" x14ac:dyDescent="0.2">
      <c r="B111" s="35"/>
      <c r="C111" s="36"/>
      <c r="D111" s="36"/>
      <c r="E111" s="36"/>
      <c r="F111" s="36"/>
      <c r="G111" s="36"/>
      <c r="H111" s="36"/>
      <c r="I111" s="36"/>
      <c r="J111" s="36"/>
      <c r="K111" s="36"/>
      <c r="L111" s="24"/>
      <c r="W111" s="35"/>
      <c r="X111" s="36"/>
      <c r="Y111" s="36"/>
      <c r="Z111" s="36"/>
      <c r="AA111" s="36"/>
      <c r="AB111" s="36"/>
      <c r="AC111" s="36"/>
      <c r="AD111" s="36"/>
      <c r="AE111" s="647"/>
    </row>
    <row r="112" spans="2:31" s="1" customFormat="1" ht="25.05" customHeight="1" x14ac:dyDescent="0.2">
      <c r="B112" s="24"/>
      <c r="C112" s="1165" t="s">
        <v>214</v>
      </c>
      <c r="D112" s="1165"/>
      <c r="E112" s="1165"/>
      <c r="F112" s="1165"/>
      <c r="G112" s="1165"/>
      <c r="H112" s="1165"/>
      <c r="I112" s="1165"/>
      <c r="J112" s="1165"/>
      <c r="L112" s="24"/>
      <c r="W112" s="1027"/>
      <c r="X112" s="1237" t="s">
        <v>214</v>
      </c>
      <c r="Y112" s="1237"/>
      <c r="Z112" s="1237"/>
      <c r="AA112" s="1237"/>
      <c r="AB112" s="1237"/>
      <c r="AC112" s="1237"/>
      <c r="AD112" s="1237"/>
      <c r="AE112" s="1238"/>
    </row>
    <row r="113" spans="2:65" s="1" customFormat="1" ht="7.05" customHeight="1" x14ac:dyDescent="0.2">
      <c r="B113" s="24"/>
      <c r="L113" s="24"/>
      <c r="W113" s="1027"/>
      <c r="X113" s="1090"/>
      <c r="Y113" s="1090"/>
      <c r="Z113" s="1090"/>
      <c r="AA113" s="1090"/>
      <c r="AB113" s="1090"/>
      <c r="AC113" s="1090"/>
      <c r="AD113" s="1090"/>
      <c r="AE113" s="159"/>
    </row>
    <row r="114" spans="2:65" s="1" customFormat="1" ht="12" customHeight="1" x14ac:dyDescent="0.2">
      <c r="B114" s="24"/>
      <c r="C114" s="528" t="s">
        <v>12</v>
      </c>
      <c r="E114" s="1242" t="s">
        <v>6177</v>
      </c>
      <c r="F114" s="1242"/>
      <c r="G114" s="1242"/>
      <c r="H114" s="1242"/>
      <c r="I114" s="1242"/>
      <c r="J114" s="1242"/>
      <c r="L114" s="24"/>
      <c r="W114" s="1027"/>
      <c r="X114" s="1093" t="s">
        <v>12</v>
      </c>
      <c r="Y114" s="1090"/>
      <c r="Z114" s="1163" t="s">
        <v>6177</v>
      </c>
      <c r="AA114" s="1163"/>
      <c r="AB114" s="1163"/>
      <c r="AC114" s="1163"/>
      <c r="AD114" s="1163"/>
      <c r="AE114" s="1241"/>
    </row>
    <row r="115" spans="2:65" s="1" customFormat="1" ht="26.55" customHeight="1" x14ac:dyDescent="0.2">
      <c r="B115" s="24"/>
      <c r="C115" s="521"/>
      <c r="E115" s="1243"/>
      <c r="F115" s="1244"/>
      <c r="G115" s="1244"/>
      <c r="H115" s="1244"/>
      <c r="L115" s="24"/>
      <c r="W115" s="1027"/>
      <c r="X115" s="1090"/>
      <c r="Y115" s="1090"/>
      <c r="Z115" s="1249"/>
      <c r="AA115" s="1250"/>
      <c r="AB115" s="1250"/>
      <c r="AC115" s="1250"/>
      <c r="AD115" s="1090"/>
      <c r="AE115" s="159"/>
    </row>
    <row r="116" spans="2:65" s="1" customFormat="1" ht="12" customHeight="1" x14ac:dyDescent="0.2">
      <c r="B116" s="24"/>
      <c r="C116" s="528" t="s">
        <v>186</v>
      </c>
      <c r="F116" s="532" t="s">
        <v>4448</v>
      </c>
      <c r="L116" s="24"/>
      <c r="W116" s="1027"/>
      <c r="X116" s="1093" t="s">
        <v>186</v>
      </c>
      <c r="Y116" s="1090"/>
      <c r="Z116" s="1090"/>
      <c r="AA116" s="555" t="s">
        <v>4448</v>
      </c>
      <c r="AB116" s="1090"/>
      <c r="AC116" s="1090"/>
      <c r="AD116" s="1090"/>
      <c r="AE116" s="159"/>
    </row>
    <row r="117" spans="2:65" s="1" customFormat="1" ht="16.5" customHeight="1" x14ac:dyDescent="0.2">
      <c r="B117" s="24"/>
      <c r="C117" s="521"/>
      <c r="E117" s="1251"/>
      <c r="F117" s="1252"/>
      <c r="G117" s="1252"/>
      <c r="H117" s="1252"/>
      <c r="L117" s="24"/>
      <c r="W117" s="1027"/>
      <c r="X117" s="1090"/>
      <c r="Y117" s="1090"/>
      <c r="Z117" s="1245"/>
      <c r="AA117" s="1246"/>
      <c r="AB117" s="1246"/>
      <c r="AC117" s="1246"/>
      <c r="AD117" s="1090"/>
      <c r="AE117" s="159"/>
    </row>
    <row r="118" spans="2:65" s="1" customFormat="1" ht="7.05" customHeight="1" x14ac:dyDescent="0.2">
      <c r="B118" s="24"/>
      <c r="C118" s="521"/>
      <c r="L118" s="24"/>
      <c r="W118" s="1027"/>
      <c r="X118" s="1090"/>
      <c r="Y118" s="1090"/>
      <c r="Z118" s="1090"/>
      <c r="AA118" s="1090"/>
      <c r="AB118" s="1090"/>
      <c r="AC118" s="1090"/>
      <c r="AD118" s="1090"/>
      <c r="AE118" s="159"/>
    </row>
    <row r="119" spans="2:65" s="1" customFormat="1" ht="12" customHeight="1" x14ac:dyDescent="0.2">
      <c r="B119" s="24"/>
      <c r="C119" s="528" t="s">
        <v>15</v>
      </c>
      <c r="F119" s="19" t="str">
        <f>F12</f>
        <v>Kuzmányho nábrežie 28, 960 01 Zvolen</v>
      </c>
      <c r="I119" s="528" t="s">
        <v>17</v>
      </c>
      <c r="J119" s="39" t="str">
        <f>IF(J12="","",J12)</f>
        <v/>
      </c>
      <c r="L119" s="24"/>
      <c r="W119" s="1027"/>
      <c r="X119" s="1093" t="s">
        <v>15</v>
      </c>
      <c r="Y119" s="1090"/>
      <c r="Z119" s="1090"/>
      <c r="AA119" s="1086" t="str">
        <f>AA12</f>
        <v>Kuzmányho nábrežie 28, 960 01 Zvolen</v>
      </c>
      <c r="AB119" s="1090"/>
      <c r="AC119" s="1090"/>
      <c r="AD119" s="1093" t="s">
        <v>17</v>
      </c>
      <c r="AE119" s="162" t="str">
        <f>IF(AE12="","",AE12)</f>
        <v/>
      </c>
    </row>
    <row r="120" spans="2:65" s="1" customFormat="1" ht="7.05" customHeight="1" x14ac:dyDescent="0.2">
      <c r="B120" s="24"/>
      <c r="C120" s="521"/>
      <c r="I120" s="521"/>
      <c r="L120" s="24"/>
      <c r="W120" s="1027"/>
      <c r="X120" s="1090"/>
      <c r="Y120" s="1090"/>
      <c r="Z120" s="1090"/>
      <c r="AA120" s="1090"/>
      <c r="AB120" s="1090"/>
      <c r="AC120" s="1090"/>
      <c r="AD120" s="1090"/>
      <c r="AE120" s="159"/>
    </row>
    <row r="121" spans="2:65" s="1" customFormat="1" ht="15.3" customHeight="1" x14ac:dyDescent="0.2">
      <c r="B121" s="24"/>
      <c r="C121" s="528" t="s">
        <v>18</v>
      </c>
      <c r="F121" s="529" t="s">
        <v>6175</v>
      </c>
      <c r="I121" s="528" t="s">
        <v>22</v>
      </c>
      <c r="J121" s="22" t="str">
        <f>E21</f>
        <v xml:space="preserve"> </v>
      </c>
      <c r="L121" s="24"/>
      <c r="W121" s="1027"/>
      <c r="X121" s="1093" t="s">
        <v>18</v>
      </c>
      <c r="Y121" s="1090"/>
      <c r="Z121" s="1090"/>
      <c r="AA121" s="576" t="s">
        <v>6175</v>
      </c>
      <c r="AB121" s="1090"/>
      <c r="AC121" s="1090"/>
      <c r="AD121" s="1093" t="s">
        <v>22</v>
      </c>
      <c r="AE121" s="181" t="str">
        <f>Z21</f>
        <v/>
      </c>
    </row>
    <row r="122" spans="2:65" s="1" customFormat="1" ht="15.3" customHeight="1" x14ac:dyDescent="0.2">
      <c r="B122" s="24"/>
      <c r="C122" s="528" t="s">
        <v>21</v>
      </c>
      <c r="F122" s="529" t="s">
        <v>5202</v>
      </c>
      <c r="I122" s="528" t="s">
        <v>24</v>
      </c>
      <c r="J122" s="22" t="str">
        <f>E24</f>
        <v xml:space="preserve"> </v>
      </c>
      <c r="L122" s="24"/>
      <c r="W122" s="1027"/>
      <c r="X122" s="1093" t="s">
        <v>21</v>
      </c>
      <c r="Y122" s="1090"/>
      <c r="Z122" s="1090"/>
      <c r="AA122" s="576" t="s">
        <v>5202</v>
      </c>
      <c r="AB122" s="1090"/>
      <c r="AC122" s="1090"/>
      <c r="AD122" s="1093" t="s">
        <v>24</v>
      </c>
      <c r="AE122" s="181" t="str">
        <f>Z24</f>
        <v/>
      </c>
    </row>
    <row r="123" spans="2:65" s="1" customFormat="1" ht="10.199999999999999" customHeight="1" x14ac:dyDescent="0.2">
      <c r="B123" s="24"/>
      <c r="L123" s="24"/>
      <c r="W123" s="1027"/>
      <c r="X123" s="1090"/>
      <c r="Y123" s="1090"/>
      <c r="Z123" s="1090"/>
      <c r="AA123" s="1090"/>
      <c r="AB123" s="1090"/>
      <c r="AC123" s="1090"/>
      <c r="AD123" s="1090"/>
      <c r="AE123" s="159"/>
    </row>
    <row r="124" spans="2:65" s="10" customFormat="1" ht="29.25" customHeight="1" x14ac:dyDescent="0.2">
      <c r="B124" s="97"/>
      <c r="C124" s="98" t="s">
        <v>215</v>
      </c>
      <c r="D124" s="99" t="s">
        <v>43</v>
      </c>
      <c r="E124" s="99" t="s">
        <v>41</v>
      </c>
      <c r="F124" s="99" t="s">
        <v>42</v>
      </c>
      <c r="G124" s="99" t="s">
        <v>216</v>
      </c>
      <c r="H124" s="99" t="s">
        <v>217</v>
      </c>
      <c r="I124" s="99" t="s">
        <v>218</v>
      </c>
      <c r="J124" s="100" t="s">
        <v>190</v>
      </c>
      <c r="K124" s="101" t="s">
        <v>219</v>
      </c>
      <c r="L124" s="97"/>
      <c r="M124" s="46" t="s">
        <v>1</v>
      </c>
      <c r="N124" s="47" t="s">
        <v>30</v>
      </c>
      <c r="O124" s="47" t="s">
        <v>220</v>
      </c>
      <c r="P124" s="47" t="s">
        <v>221</v>
      </c>
      <c r="Q124" s="47" t="s">
        <v>222</v>
      </c>
      <c r="R124" s="47" t="s">
        <v>223</v>
      </c>
      <c r="S124" s="47" t="s">
        <v>224</v>
      </c>
      <c r="T124" s="48" t="s">
        <v>225</v>
      </c>
      <c r="W124" s="97"/>
      <c r="X124" s="98" t="s">
        <v>215</v>
      </c>
      <c r="Y124" s="99" t="s">
        <v>43</v>
      </c>
      <c r="Z124" s="99" t="s">
        <v>41</v>
      </c>
      <c r="AA124" s="99" t="s">
        <v>42</v>
      </c>
      <c r="AB124" s="99" t="s">
        <v>216</v>
      </c>
      <c r="AC124" s="99" t="s">
        <v>217</v>
      </c>
      <c r="AD124" s="99" t="s">
        <v>218</v>
      </c>
      <c r="AE124" s="192" t="s">
        <v>190</v>
      </c>
      <c r="AF124" s="228" t="s">
        <v>5220</v>
      </c>
    </row>
    <row r="125" spans="2:65" s="1" customFormat="1" ht="22.95" customHeight="1" x14ac:dyDescent="0.3">
      <c r="B125" s="24"/>
      <c r="C125" s="51" t="s">
        <v>191</v>
      </c>
      <c r="J125" s="102">
        <f>J126+J131+J145+J157</f>
        <v>24395.960000000003</v>
      </c>
      <c r="L125" s="24"/>
      <c r="M125" s="49"/>
      <c r="N125" s="40"/>
      <c r="O125" s="40"/>
      <c r="P125" s="103" t="e">
        <f>P126+P131+P145+P157+#REF!</f>
        <v>#REF!</v>
      </c>
      <c r="Q125" s="40"/>
      <c r="R125" s="103" t="e">
        <f>R126+R131+R145+R157+#REF!</f>
        <v>#REF!</v>
      </c>
      <c r="S125" s="40"/>
      <c r="T125" s="104" t="e">
        <f>T126+T131+T145+T157+#REF!</f>
        <v>#REF!</v>
      </c>
      <c r="W125" s="1027"/>
      <c r="X125" s="193" t="s">
        <v>191</v>
      </c>
      <c r="Y125" s="1090"/>
      <c r="Z125" s="1090"/>
      <c r="AA125" s="1090"/>
      <c r="AB125" s="1090"/>
      <c r="AC125" s="1090"/>
      <c r="AD125" s="1090"/>
      <c r="AE125" s="194">
        <f>AE126+AE131+AE145+AE157</f>
        <v>25353.060000000005</v>
      </c>
      <c r="AF125" s="1079"/>
      <c r="AT125" s="13" t="s">
        <v>57</v>
      </c>
      <c r="AU125" s="13" t="s">
        <v>192</v>
      </c>
      <c r="BK125" s="105" t="e">
        <f>BK126+BK131+BK145+BK157+#REF!</f>
        <v>#REF!</v>
      </c>
    </row>
    <row r="126" spans="2:65" s="11" customFormat="1" ht="25.95" customHeight="1" x14ac:dyDescent="0.25">
      <c r="B126" s="106"/>
      <c r="D126" s="107" t="s">
        <v>57</v>
      </c>
      <c r="E126" s="108" t="s">
        <v>1201</v>
      </c>
      <c r="F126" s="108" t="s">
        <v>227</v>
      </c>
      <c r="J126" s="109">
        <f>BK126</f>
        <v>355.22999999999996</v>
      </c>
      <c r="L126" s="106"/>
      <c r="M126" s="110"/>
      <c r="N126" s="111"/>
      <c r="O126" s="111"/>
      <c r="P126" s="112">
        <f>P127</f>
        <v>0</v>
      </c>
      <c r="Q126" s="111"/>
      <c r="R126" s="112">
        <f>R127</f>
        <v>0</v>
      </c>
      <c r="S126" s="111"/>
      <c r="T126" s="113">
        <f>T127</f>
        <v>0</v>
      </c>
      <c r="W126" s="1052"/>
      <c r="X126" s="1055"/>
      <c r="Y126" s="196" t="s">
        <v>57</v>
      </c>
      <c r="Z126" s="197" t="s">
        <v>1201</v>
      </c>
      <c r="AA126" s="197" t="s">
        <v>227</v>
      </c>
      <c r="AB126" s="1055"/>
      <c r="AC126" s="1055"/>
      <c r="AD126" s="1055"/>
      <c r="AE126" s="198">
        <f>AE127</f>
        <v>355.22999999999996</v>
      </c>
      <c r="AF126" s="924"/>
      <c r="AR126" s="107" t="s">
        <v>63</v>
      </c>
      <c r="AT126" s="114" t="s">
        <v>57</v>
      </c>
      <c r="AU126" s="114" t="s">
        <v>58</v>
      </c>
      <c r="AY126" s="107" t="s">
        <v>228</v>
      </c>
      <c r="BK126" s="115">
        <f>BK127</f>
        <v>355.22999999999996</v>
      </c>
    </row>
    <row r="127" spans="2:65" s="11" customFormat="1" ht="22.95" customHeight="1" x14ac:dyDescent="0.25">
      <c r="B127" s="106"/>
      <c r="D127" s="107" t="s">
        <v>57</v>
      </c>
      <c r="E127" s="116" t="s">
        <v>1211</v>
      </c>
      <c r="F127" s="116" t="s">
        <v>1097</v>
      </c>
      <c r="J127" s="117">
        <f>BK127</f>
        <v>355.22999999999996</v>
      </c>
      <c r="L127" s="106"/>
      <c r="M127" s="110"/>
      <c r="N127" s="111"/>
      <c r="O127" s="111"/>
      <c r="P127" s="112">
        <f>SUM(P128:P130)</f>
        <v>0</v>
      </c>
      <c r="Q127" s="111"/>
      <c r="R127" s="112">
        <f>SUM(R128:R130)</f>
        <v>0</v>
      </c>
      <c r="S127" s="111"/>
      <c r="T127" s="113">
        <f>SUM(T128:T130)</f>
        <v>0</v>
      </c>
      <c r="W127" s="1052"/>
      <c r="X127" s="1055"/>
      <c r="Y127" s="196" t="s">
        <v>57</v>
      </c>
      <c r="Z127" s="201" t="s">
        <v>1211</v>
      </c>
      <c r="AA127" s="201" t="s">
        <v>1097</v>
      </c>
      <c r="AB127" s="1055"/>
      <c r="AC127" s="1055"/>
      <c r="AD127" s="1055"/>
      <c r="AE127" s="202">
        <f>SUM(AE128:AE130)</f>
        <v>355.22999999999996</v>
      </c>
      <c r="AF127" s="924"/>
      <c r="AR127" s="107" t="s">
        <v>63</v>
      </c>
      <c r="AT127" s="114" t="s">
        <v>57</v>
      </c>
      <c r="AU127" s="114" t="s">
        <v>63</v>
      </c>
      <c r="AY127" s="107" t="s">
        <v>228</v>
      </c>
      <c r="BK127" s="115">
        <f>SUM(BK128:BK130)</f>
        <v>355.22999999999996</v>
      </c>
    </row>
    <row r="128" spans="2:65" s="1" customFormat="1" ht="16.5" customHeight="1" x14ac:dyDescent="0.2">
      <c r="B128" s="118"/>
      <c r="C128" s="119" t="s">
        <v>63</v>
      </c>
      <c r="D128" s="119" t="s">
        <v>231</v>
      </c>
      <c r="E128" s="120" t="s">
        <v>1098</v>
      </c>
      <c r="F128" s="121" t="s">
        <v>1099</v>
      </c>
      <c r="G128" s="122" t="s">
        <v>1035</v>
      </c>
      <c r="H128" s="123">
        <v>60</v>
      </c>
      <c r="I128" s="124">
        <v>4.18</v>
      </c>
      <c r="J128" s="124">
        <f>ROUND(I128*H128,2)</f>
        <v>250.8</v>
      </c>
      <c r="K128" s="121" t="s">
        <v>1</v>
      </c>
      <c r="L128" s="24"/>
      <c r="M128" s="125" t="s">
        <v>1</v>
      </c>
      <c r="N128" s="126" t="s">
        <v>32</v>
      </c>
      <c r="O128" s="127">
        <v>0</v>
      </c>
      <c r="P128" s="127">
        <f>O128*H128</f>
        <v>0</v>
      </c>
      <c r="Q128" s="127">
        <v>0</v>
      </c>
      <c r="R128" s="127">
        <f>Q128*H128</f>
        <v>0</v>
      </c>
      <c r="S128" s="127">
        <v>0</v>
      </c>
      <c r="T128" s="128">
        <f>S128*H128</f>
        <v>0</v>
      </c>
      <c r="W128" s="1028"/>
      <c r="X128" s="1029" t="s">
        <v>63</v>
      </c>
      <c r="Y128" s="1029" t="s">
        <v>231</v>
      </c>
      <c r="Z128" s="1030" t="s">
        <v>1098</v>
      </c>
      <c r="AA128" s="1031" t="s">
        <v>1099</v>
      </c>
      <c r="AB128" s="1032" t="s">
        <v>1035</v>
      </c>
      <c r="AC128" s="1033">
        <v>60</v>
      </c>
      <c r="AD128" s="1034">
        <v>4.18</v>
      </c>
      <c r="AE128" s="946">
        <f>ROUND(AD128*AC128,2)</f>
        <v>250.8</v>
      </c>
      <c r="AF128" s="924"/>
      <c r="AR128" s="129" t="s">
        <v>235</v>
      </c>
      <c r="AT128" s="129" t="s">
        <v>231</v>
      </c>
      <c r="AU128" s="129" t="s">
        <v>76</v>
      </c>
      <c r="AY128" s="13" t="s">
        <v>228</v>
      </c>
      <c r="BE128" s="130">
        <f>IF(N128="základná",J128,0)</f>
        <v>0</v>
      </c>
      <c r="BF128" s="130">
        <f>IF(N128="znížená",J128,0)</f>
        <v>250.8</v>
      </c>
      <c r="BG128" s="130">
        <f>IF(N128="zákl. prenesená",J128,0)</f>
        <v>0</v>
      </c>
      <c r="BH128" s="130">
        <f>IF(N128="zníž. prenesená",J128,0)</f>
        <v>0</v>
      </c>
      <c r="BI128" s="130">
        <f>IF(N128="nulová",J128,0)</f>
        <v>0</v>
      </c>
      <c r="BJ128" s="13" t="s">
        <v>76</v>
      </c>
      <c r="BK128" s="130">
        <f>ROUND(I128*H128,2)</f>
        <v>250.8</v>
      </c>
      <c r="BL128" s="13" t="s">
        <v>235</v>
      </c>
      <c r="BM128" s="129" t="s">
        <v>76</v>
      </c>
    </row>
    <row r="129" spans="2:65" s="1" customFormat="1" ht="16.5" customHeight="1" x14ac:dyDescent="0.2">
      <c r="B129" s="118"/>
      <c r="C129" s="119" t="s">
        <v>76</v>
      </c>
      <c r="D129" s="119" t="s">
        <v>231</v>
      </c>
      <c r="E129" s="120" t="s">
        <v>1100</v>
      </c>
      <c r="F129" s="121" t="s">
        <v>1101</v>
      </c>
      <c r="G129" s="122" t="s">
        <v>292</v>
      </c>
      <c r="H129" s="123">
        <v>40</v>
      </c>
      <c r="I129" s="124">
        <v>1.74</v>
      </c>
      <c r="J129" s="124">
        <f>ROUND(I129*H129,2)</f>
        <v>69.599999999999994</v>
      </c>
      <c r="K129" s="121" t="s">
        <v>1</v>
      </c>
      <c r="L129" s="24"/>
      <c r="M129" s="125" t="s">
        <v>1</v>
      </c>
      <c r="N129" s="126" t="s">
        <v>32</v>
      </c>
      <c r="O129" s="127">
        <v>0</v>
      </c>
      <c r="P129" s="127">
        <f>O129*H129</f>
        <v>0</v>
      </c>
      <c r="Q129" s="127">
        <v>0</v>
      </c>
      <c r="R129" s="127">
        <f>Q129*H129</f>
        <v>0</v>
      </c>
      <c r="S129" s="127">
        <v>0</v>
      </c>
      <c r="T129" s="128">
        <f>S129*H129</f>
        <v>0</v>
      </c>
      <c r="W129" s="1028"/>
      <c r="X129" s="1029" t="s">
        <v>76</v>
      </c>
      <c r="Y129" s="1029" t="s">
        <v>231</v>
      </c>
      <c r="Z129" s="1030" t="s">
        <v>1100</v>
      </c>
      <c r="AA129" s="1031" t="s">
        <v>1101</v>
      </c>
      <c r="AB129" s="1032" t="s">
        <v>292</v>
      </c>
      <c r="AC129" s="1033">
        <v>40</v>
      </c>
      <c r="AD129" s="1034">
        <v>1.74</v>
      </c>
      <c r="AE129" s="946">
        <f>ROUND(AD129*AC129,2)</f>
        <v>69.599999999999994</v>
      </c>
      <c r="AF129" s="924"/>
      <c r="AR129" s="129" t="s">
        <v>235</v>
      </c>
      <c r="AT129" s="129" t="s">
        <v>231</v>
      </c>
      <c r="AU129" s="129" t="s">
        <v>76</v>
      </c>
      <c r="AY129" s="13" t="s">
        <v>228</v>
      </c>
      <c r="BE129" s="130">
        <f>IF(N129="základná",J129,0)</f>
        <v>0</v>
      </c>
      <c r="BF129" s="130">
        <f>IF(N129="znížená",J129,0)</f>
        <v>69.599999999999994</v>
      </c>
      <c r="BG129" s="130">
        <f>IF(N129="zákl. prenesená",J129,0)</f>
        <v>0</v>
      </c>
      <c r="BH129" s="130">
        <f>IF(N129="zníž. prenesená",J129,0)</f>
        <v>0</v>
      </c>
      <c r="BI129" s="130">
        <f>IF(N129="nulová",J129,0)</f>
        <v>0</v>
      </c>
      <c r="BJ129" s="13" t="s">
        <v>76</v>
      </c>
      <c r="BK129" s="130">
        <f>ROUND(I129*H129,2)</f>
        <v>69.599999999999994</v>
      </c>
      <c r="BL129" s="13" t="s">
        <v>235</v>
      </c>
      <c r="BM129" s="129" t="s">
        <v>235</v>
      </c>
    </row>
    <row r="130" spans="2:65" s="1" customFormat="1" ht="16.5" customHeight="1" x14ac:dyDescent="0.2">
      <c r="B130" s="118"/>
      <c r="C130" s="119" t="s">
        <v>229</v>
      </c>
      <c r="D130" s="119" t="s">
        <v>231</v>
      </c>
      <c r="E130" s="120" t="s">
        <v>1102</v>
      </c>
      <c r="F130" s="121" t="s">
        <v>1103</v>
      </c>
      <c r="G130" s="122" t="s">
        <v>234</v>
      </c>
      <c r="H130" s="123">
        <v>0.6</v>
      </c>
      <c r="I130" s="124">
        <v>58.05</v>
      </c>
      <c r="J130" s="124">
        <f>ROUND(I130*H130,2)</f>
        <v>34.83</v>
      </c>
      <c r="K130" s="121" t="s">
        <v>1</v>
      </c>
      <c r="L130" s="24"/>
      <c r="M130" s="125" t="s">
        <v>1</v>
      </c>
      <c r="N130" s="126" t="s">
        <v>32</v>
      </c>
      <c r="O130" s="127">
        <v>0</v>
      </c>
      <c r="P130" s="127">
        <f>O130*H130</f>
        <v>0</v>
      </c>
      <c r="Q130" s="127">
        <v>0</v>
      </c>
      <c r="R130" s="127">
        <f>Q130*H130</f>
        <v>0</v>
      </c>
      <c r="S130" s="127">
        <v>0</v>
      </c>
      <c r="T130" s="128">
        <f>S130*H130</f>
        <v>0</v>
      </c>
      <c r="W130" s="1028"/>
      <c r="X130" s="1029" t="s">
        <v>229</v>
      </c>
      <c r="Y130" s="1029" t="s">
        <v>231</v>
      </c>
      <c r="Z130" s="1030" t="s">
        <v>1102</v>
      </c>
      <c r="AA130" s="1031" t="s">
        <v>1103</v>
      </c>
      <c r="AB130" s="1032" t="s">
        <v>234</v>
      </c>
      <c r="AC130" s="1033">
        <v>0.6</v>
      </c>
      <c r="AD130" s="1034">
        <v>58.05</v>
      </c>
      <c r="AE130" s="946">
        <f>ROUND(AD130*AC130,2)</f>
        <v>34.83</v>
      </c>
      <c r="AF130" s="924"/>
      <c r="AR130" s="129" t="s">
        <v>235</v>
      </c>
      <c r="AT130" s="129" t="s">
        <v>231</v>
      </c>
      <c r="AU130" s="129" t="s">
        <v>76</v>
      </c>
      <c r="AY130" s="13" t="s">
        <v>228</v>
      </c>
      <c r="BE130" s="130">
        <f>IF(N130="základná",J130,0)</f>
        <v>0</v>
      </c>
      <c r="BF130" s="130">
        <f>IF(N130="znížená",J130,0)</f>
        <v>34.83</v>
      </c>
      <c r="BG130" s="130">
        <f>IF(N130="zákl. prenesená",J130,0)</f>
        <v>0</v>
      </c>
      <c r="BH130" s="130">
        <f>IF(N130="zníž. prenesená",J130,0)</f>
        <v>0</v>
      </c>
      <c r="BI130" s="130">
        <f>IF(N130="nulová",J130,0)</f>
        <v>0</v>
      </c>
      <c r="BJ130" s="13" t="s">
        <v>76</v>
      </c>
      <c r="BK130" s="130">
        <f>ROUND(I130*H130,2)</f>
        <v>34.83</v>
      </c>
      <c r="BL130" s="13" t="s">
        <v>235</v>
      </c>
      <c r="BM130" s="129" t="s">
        <v>240</v>
      </c>
    </row>
    <row r="131" spans="2:65" s="11" customFormat="1" ht="25.95" customHeight="1" x14ac:dyDescent="0.25">
      <c r="B131" s="106"/>
      <c r="D131" s="107" t="s">
        <v>57</v>
      </c>
      <c r="E131" s="108" t="s">
        <v>1215</v>
      </c>
      <c r="F131" s="108" t="s">
        <v>557</v>
      </c>
      <c r="J131" s="109">
        <f>BK131</f>
        <v>2105.3500000000004</v>
      </c>
      <c r="L131" s="106"/>
      <c r="M131" s="110"/>
      <c r="N131" s="111"/>
      <c r="O131" s="111"/>
      <c r="P131" s="112">
        <f>P132+P140+P142</f>
        <v>0</v>
      </c>
      <c r="Q131" s="111"/>
      <c r="R131" s="112">
        <f>R132+R140+R142</f>
        <v>0</v>
      </c>
      <c r="S131" s="111"/>
      <c r="T131" s="113">
        <f>T132+T140+T142</f>
        <v>0</v>
      </c>
      <c r="W131" s="1052"/>
      <c r="X131" s="1055"/>
      <c r="Y131" s="196" t="s">
        <v>57</v>
      </c>
      <c r="Z131" s="197" t="s">
        <v>1215</v>
      </c>
      <c r="AA131" s="197" t="s">
        <v>557</v>
      </c>
      <c r="AB131" s="1055"/>
      <c r="AC131" s="1055"/>
      <c r="AD131" s="1055"/>
      <c r="AE131" s="198">
        <f>AE132+AE140+AE142</f>
        <v>2576.2500000000005</v>
      </c>
      <c r="AF131" s="924"/>
      <c r="AR131" s="107" t="s">
        <v>76</v>
      </c>
      <c r="AT131" s="114" t="s">
        <v>57</v>
      </c>
      <c r="AU131" s="114" t="s">
        <v>58</v>
      </c>
      <c r="AY131" s="107" t="s">
        <v>228</v>
      </c>
      <c r="BK131" s="115">
        <f>BK132+BK140+BK142</f>
        <v>2105.3500000000004</v>
      </c>
    </row>
    <row r="132" spans="2:65" s="11" customFormat="1" ht="22.95" customHeight="1" x14ac:dyDescent="0.25">
      <c r="B132" s="106"/>
      <c r="D132" s="107" t="s">
        <v>57</v>
      </c>
      <c r="E132" s="116" t="s">
        <v>1227</v>
      </c>
      <c r="F132" s="116" t="s">
        <v>1105</v>
      </c>
      <c r="J132" s="117">
        <f>BK132</f>
        <v>1661.0100000000002</v>
      </c>
      <c r="L132" s="106"/>
      <c r="M132" s="110"/>
      <c r="N132" s="111"/>
      <c r="O132" s="111"/>
      <c r="P132" s="112">
        <f>SUM(P133:P139)</f>
        <v>0</v>
      </c>
      <c r="Q132" s="111"/>
      <c r="R132" s="112">
        <f>SUM(R133:R139)</f>
        <v>0</v>
      </c>
      <c r="S132" s="111"/>
      <c r="T132" s="113">
        <f>SUM(T133:T139)</f>
        <v>0</v>
      </c>
      <c r="W132" s="1052"/>
      <c r="X132" s="1055"/>
      <c r="Y132" s="196" t="s">
        <v>57</v>
      </c>
      <c r="Z132" s="201" t="s">
        <v>1227</v>
      </c>
      <c r="AA132" s="201" t="s">
        <v>1105</v>
      </c>
      <c r="AB132" s="1055"/>
      <c r="AC132" s="1055"/>
      <c r="AD132" s="1055"/>
      <c r="AE132" s="202">
        <f>SUM(AE133:AE139)</f>
        <v>2111.0100000000002</v>
      </c>
      <c r="AF132" s="924"/>
      <c r="AR132" s="107" t="s">
        <v>76</v>
      </c>
      <c r="AT132" s="114" t="s">
        <v>57</v>
      </c>
      <c r="AU132" s="114" t="s">
        <v>63</v>
      </c>
      <c r="AY132" s="107" t="s">
        <v>228</v>
      </c>
      <c r="BK132" s="115">
        <f>SUM(BK133:BK139)</f>
        <v>1661.0100000000002</v>
      </c>
    </row>
    <row r="133" spans="2:65" s="1" customFormat="1" ht="16.5" customHeight="1" x14ac:dyDescent="0.2">
      <c r="B133" s="118"/>
      <c r="C133" s="119" t="s">
        <v>235</v>
      </c>
      <c r="D133" s="119" t="s">
        <v>231</v>
      </c>
      <c r="E133" s="120" t="s">
        <v>1106</v>
      </c>
      <c r="F133" s="121" t="s">
        <v>1107</v>
      </c>
      <c r="G133" s="122" t="s">
        <v>292</v>
      </c>
      <c r="H133" s="123">
        <v>150</v>
      </c>
      <c r="I133" s="124">
        <v>0.81</v>
      </c>
      <c r="J133" s="124">
        <f>ROUND(I133*H133,2)</f>
        <v>121.5</v>
      </c>
      <c r="K133" s="121" t="s">
        <v>1</v>
      </c>
      <c r="L133" s="24"/>
      <c r="M133" s="125" t="s">
        <v>1</v>
      </c>
      <c r="N133" s="126" t="s">
        <v>32</v>
      </c>
      <c r="O133" s="127">
        <v>0</v>
      </c>
      <c r="P133" s="127">
        <f>O133*H133</f>
        <v>0</v>
      </c>
      <c r="Q133" s="127">
        <v>0</v>
      </c>
      <c r="R133" s="127">
        <f>Q133*H133</f>
        <v>0</v>
      </c>
      <c r="S133" s="127">
        <v>0</v>
      </c>
      <c r="T133" s="128">
        <f>S133*H133</f>
        <v>0</v>
      </c>
      <c r="W133" s="1028"/>
      <c r="X133" s="1029" t="s">
        <v>235</v>
      </c>
      <c r="Y133" s="1029" t="s">
        <v>231</v>
      </c>
      <c r="Z133" s="1030" t="s">
        <v>1106</v>
      </c>
      <c r="AA133" s="1031" t="s">
        <v>1107</v>
      </c>
      <c r="AB133" s="1032" t="s">
        <v>292</v>
      </c>
      <c r="AC133" s="1033">
        <v>150</v>
      </c>
      <c r="AD133" s="1034">
        <v>0.81</v>
      </c>
      <c r="AE133" s="946">
        <f>ROUND(AD133*AC133,2)</f>
        <v>121.5</v>
      </c>
      <c r="AF133" s="924"/>
      <c r="AR133" s="129" t="s">
        <v>258</v>
      </c>
      <c r="AT133" s="129" t="s">
        <v>231</v>
      </c>
      <c r="AU133" s="129" t="s">
        <v>76</v>
      </c>
      <c r="AY133" s="13" t="s">
        <v>228</v>
      </c>
      <c r="BE133" s="130">
        <f>IF(N133="základná",J133,0)</f>
        <v>0</v>
      </c>
      <c r="BF133" s="130">
        <f>IF(N133="znížená",J133,0)</f>
        <v>121.5</v>
      </c>
      <c r="BG133" s="130">
        <f>IF(N133="zákl. prenesená",J133,0)</f>
        <v>0</v>
      </c>
      <c r="BH133" s="130">
        <f>IF(N133="zníž. prenesená",J133,0)</f>
        <v>0</v>
      </c>
      <c r="BI133" s="130">
        <f>IF(N133="nulová",J133,0)</f>
        <v>0</v>
      </c>
      <c r="BJ133" s="13" t="s">
        <v>76</v>
      </c>
      <c r="BK133" s="130">
        <f>ROUND(I133*H133,2)</f>
        <v>121.5</v>
      </c>
      <c r="BL133" s="13" t="s">
        <v>258</v>
      </c>
      <c r="BM133" s="129" t="s">
        <v>244</v>
      </c>
    </row>
    <row r="134" spans="2:65" s="1" customFormat="1" ht="16.5" customHeight="1" x14ac:dyDescent="0.2">
      <c r="B134" s="118"/>
      <c r="C134" s="119" t="s">
        <v>245</v>
      </c>
      <c r="D134" s="119" t="s">
        <v>231</v>
      </c>
      <c r="E134" s="120" t="s">
        <v>1108</v>
      </c>
      <c r="F134" s="121" t="s">
        <v>1109</v>
      </c>
      <c r="G134" s="122" t="s">
        <v>243</v>
      </c>
      <c r="H134" s="123">
        <v>6</v>
      </c>
      <c r="I134" s="124">
        <v>4.0599999999999996</v>
      </c>
      <c r="J134" s="124">
        <f>ROUND(I134*H134,2)</f>
        <v>24.36</v>
      </c>
      <c r="K134" s="121" t="s">
        <v>1</v>
      </c>
      <c r="L134" s="24"/>
      <c r="M134" s="125" t="s">
        <v>1</v>
      </c>
      <c r="N134" s="126" t="s">
        <v>32</v>
      </c>
      <c r="O134" s="127">
        <v>0</v>
      </c>
      <c r="P134" s="127">
        <f>O134*H134</f>
        <v>0</v>
      </c>
      <c r="Q134" s="127">
        <v>0</v>
      </c>
      <c r="R134" s="127">
        <f>Q134*H134</f>
        <v>0</v>
      </c>
      <c r="S134" s="127">
        <v>0</v>
      </c>
      <c r="T134" s="128">
        <f>S134*H134</f>
        <v>0</v>
      </c>
      <c r="W134" s="1028"/>
      <c r="X134" s="1029" t="s">
        <v>245</v>
      </c>
      <c r="Y134" s="1029" t="s">
        <v>231</v>
      </c>
      <c r="Z134" s="1030" t="s">
        <v>1108</v>
      </c>
      <c r="AA134" s="1031" t="s">
        <v>1109</v>
      </c>
      <c r="AB134" s="1032" t="s">
        <v>243</v>
      </c>
      <c r="AC134" s="1033">
        <v>6</v>
      </c>
      <c r="AD134" s="1034">
        <v>4.0599999999999996</v>
      </c>
      <c r="AE134" s="946">
        <f>ROUND(AD134*AC134,2)</f>
        <v>24.36</v>
      </c>
      <c r="AF134" s="924"/>
      <c r="AR134" s="129" t="s">
        <v>258</v>
      </c>
      <c r="AT134" s="129" t="s">
        <v>231</v>
      </c>
      <c r="AU134" s="129" t="s">
        <v>76</v>
      </c>
      <c r="AY134" s="13" t="s">
        <v>228</v>
      </c>
      <c r="BE134" s="130">
        <f>IF(N134="základná",J134,0)</f>
        <v>0</v>
      </c>
      <c r="BF134" s="130">
        <f>IF(N134="znížená",J134,0)</f>
        <v>24.36</v>
      </c>
      <c r="BG134" s="130">
        <f>IF(N134="zákl. prenesená",J134,0)</f>
        <v>0</v>
      </c>
      <c r="BH134" s="130">
        <f>IF(N134="zníž. prenesená",J134,0)</f>
        <v>0</v>
      </c>
      <c r="BI134" s="130">
        <f>IF(N134="nulová",J134,0)</f>
        <v>0</v>
      </c>
      <c r="BJ134" s="13" t="s">
        <v>76</v>
      </c>
      <c r="BK134" s="130">
        <f>ROUND(I134*H134,2)</f>
        <v>24.36</v>
      </c>
      <c r="BL134" s="13" t="s">
        <v>258</v>
      </c>
      <c r="BM134" s="129" t="s">
        <v>248</v>
      </c>
    </row>
    <row r="135" spans="2:65" s="1" customFormat="1" ht="24" customHeight="1" x14ac:dyDescent="0.2">
      <c r="B135" s="118"/>
      <c r="C135" s="119" t="s">
        <v>240</v>
      </c>
      <c r="D135" s="119" t="s">
        <v>231</v>
      </c>
      <c r="E135" s="120" t="s">
        <v>1110</v>
      </c>
      <c r="F135" s="121" t="s">
        <v>1111</v>
      </c>
      <c r="G135" s="122" t="s">
        <v>1112</v>
      </c>
      <c r="H135" s="123">
        <v>24</v>
      </c>
      <c r="I135" s="124">
        <v>33.67</v>
      </c>
      <c r="J135" s="124">
        <f>ROUND(I135*H135,2)</f>
        <v>808.08</v>
      </c>
      <c r="K135" s="121" t="s">
        <v>1</v>
      </c>
      <c r="L135" s="24"/>
      <c r="M135" s="125" t="s">
        <v>1</v>
      </c>
      <c r="N135" s="126" t="s">
        <v>32</v>
      </c>
      <c r="O135" s="127">
        <v>0</v>
      </c>
      <c r="P135" s="127">
        <f>O135*H135</f>
        <v>0</v>
      </c>
      <c r="Q135" s="127">
        <v>0</v>
      </c>
      <c r="R135" s="127">
        <f>Q135*H135</f>
        <v>0</v>
      </c>
      <c r="S135" s="127">
        <v>0</v>
      </c>
      <c r="T135" s="128">
        <f>S135*H135</f>
        <v>0</v>
      </c>
      <c r="W135" s="1028"/>
      <c r="X135" s="1029" t="s">
        <v>240</v>
      </c>
      <c r="Y135" s="1029" t="s">
        <v>231</v>
      </c>
      <c r="Z135" s="1030" t="s">
        <v>1110</v>
      </c>
      <c r="AA135" s="1031" t="s">
        <v>1111</v>
      </c>
      <c r="AB135" s="1032" t="s">
        <v>1112</v>
      </c>
      <c r="AC135" s="1033">
        <v>24</v>
      </c>
      <c r="AD135" s="1034">
        <v>33.67</v>
      </c>
      <c r="AE135" s="946">
        <f>ROUND(AD135*AC135,2)</f>
        <v>808.08</v>
      </c>
      <c r="AF135" s="924"/>
      <c r="AR135" s="129" t="s">
        <v>258</v>
      </c>
      <c r="AT135" s="129" t="s">
        <v>231</v>
      </c>
      <c r="AU135" s="129" t="s">
        <v>76</v>
      </c>
      <c r="AY135" s="13" t="s">
        <v>228</v>
      </c>
      <c r="BE135" s="130">
        <f>IF(N135="základná",J135,0)</f>
        <v>0</v>
      </c>
      <c r="BF135" s="130">
        <f>IF(N135="znížená",J135,0)</f>
        <v>808.08</v>
      </c>
      <c r="BG135" s="130">
        <f>IF(N135="zákl. prenesená",J135,0)</f>
        <v>0</v>
      </c>
      <c r="BH135" s="130">
        <f>IF(N135="zníž. prenesená",J135,0)</f>
        <v>0</v>
      </c>
      <c r="BI135" s="130">
        <f>IF(N135="nulová",J135,0)</f>
        <v>0</v>
      </c>
      <c r="BJ135" s="13" t="s">
        <v>76</v>
      </c>
      <c r="BK135" s="130">
        <f>ROUND(I135*H135,2)</f>
        <v>808.08</v>
      </c>
      <c r="BL135" s="13" t="s">
        <v>258</v>
      </c>
      <c r="BM135" s="129" t="s">
        <v>251</v>
      </c>
    </row>
    <row r="136" spans="2:65" s="1" customFormat="1" ht="24" customHeight="1" x14ac:dyDescent="0.2">
      <c r="B136" s="118"/>
      <c r="C136" s="119" t="s">
        <v>252</v>
      </c>
      <c r="D136" s="119" t="s">
        <v>231</v>
      </c>
      <c r="E136" s="120" t="s">
        <v>1113</v>
      </c>
      <c r="F136" s="121" t="s">
        <v>1114</v>
      </c>
      <c r="G136" s="122" t="s">
        <v>1112</v>
      </c>
      <c r="H136" s="123">
        <v>4</v>
      </c>
      <c r="I136" s="124">
        <v>33.67</v>
      </c>
      <c r="J136" s="124">
        <f>ROUND(I136*H136,2)</f>
        <v>134.68</v>
      </c>
      <c r="K136" s="121" t="s">
        <v>1</v>
      </c>
      <c r="L136" s="24"/>
      <c r="M136" s="125" t="s">
        <v>1</v>
      </c>
      <c r="N136" s="126" t="s">
        <v>32</v>
      </c>
      <c r="O136" s="127">
        <v>0</v>
      </c>
      <c r="P136" s="127">
        <f>O136*H136</f>
        <v>0</v>
      </c>
      <c r="Q136" s="127">
        <v>0</v>
      </c>
      <c r="R136" s="127">
        <f>Q136*H136</f>
        <v>0</v>
      </c>
      <c r="S136" s="127">
        <v>0</v>
      </c>
      <c r="T136" s="128">
        <f>S136*H136</f>
        <v>0</v>
      </c>
      <c r="W136" s="1028"/>
      <c r="X136" s="1029" t="s">
        <v>252</v>
      </c>
      <c r="Y136" s="1029" t="s">
        <v>231</v>
      </c>
      <c r="Z136" s="1030" t="s">
        <v>1113</v>
      </c>
      <c r="AA136" s="1031" t="s">
        <v>1114</v>
      </c>
      <c r="AB136" s="1032" t="s">
        <v>1112</v>
      </c>
      <c r="AC136" s="1033">
        <v>4</v>
      </c>
      <c r="AD136" s="1034">
        <v>33.67</v>
      </c>
      <c r="AE136" s="946">
        <f>ROUND(AD136*AC136,2)</f>
        <v>134.68</v>
      </c>
      <c r="AF136" s="924"/>
      <c r="AR136" s="129" t="s">
        <v>258</v>
      </c>
      <c r="AT136" s="129" t="s">
        <v>231</v>
      </c>
      <c r="AU136" s="129" t="s">
        <v>76</v>
      </c>
      <c r="AY136" s="13" t="s">
        <v>228</v>
      </c>
      <c r="BE136" s="130">
        <f>IF(N136="základná",J136,0)</f>
        <v>0</v>
      </c>
      <c r="BF136" s="130">
        <f>IF(N136="znížená",J136,0)</f>
        <v>134.68</v>
      </c>
      <c r="BG136" s="130">
        <f>IF(N136="zákl. prenesená",J136,0)</f>
        <v>0</v>
      </c>
      <c r="BH136" s="130">
        <f>IF(N136="zníž. prenesená",J136,0)</f>
        <v>0</v>
      </c>
      <c r="BI136" s="130">
        <f>IF(N136="nulová",J136,0)</f>
        <v>0</v>
      </c>
      <c r="BJ136" s="13" t="s">
        <v>76</v>
      </c>
      <c r="BK136" s="130">
        <f>ROUND(I136*H136,2)</f>
        <v>134.68</v>
      </c>
      <c r="BL136" s="13" t="s">
        <v>258</v>
      </c>
      <c r="BM136" s="129" t="s">
        <v>255</v>
      </c>
    </row>
    <row r="137" spans="2:65" s="1092" customFormat="1" ht="24" customHeight="1" x14ac:dyDescent="0.2">
      <c r="B137" s="1028"/>
      <c r="C137" s="1234" t="s">
        <v>5205</v>
      </c>
      <c r="D137" s="1235"/>
      <c r="E137" s="1235"/>
      <c r="F137" s="1235"/>
      <c r="G137" s="1235"/>
      <c r="H137" s="1235"/>
      <c r="I137" s="1235"/>
      <c r="J137" s="1236"/>
      <c r="K137" s="1031"/>
      <c r="L137" s="1027"/>
      <c r="M137" s="1035"/>
      <c r="N137" s="1036"/>
      <c r="O137" s="1037"/>
      <c r="P137" s="1037"/>
      <c r="Q137" s="1037"/>
      <c r="R137" s="1037"/>
      <c r="S137" s="1037"/>
      <c r="T137" s="1038"/>
      <c r="W137" s="1028"/>
      <c r="X137" s="1072" t="s">
        <v>6559</v>
      </c>
      <c r="Y137" s="1072" t="s">
        <v>231</v>
      </c>
      <c r="Z137" s="216" t="s">
        <v>6737</v>
      </c>
      <c r="AA137" s="217" t="s">
        <v>6738</v>
      </c>
      <c r="AB137" s="218" t="s">
        <v>1172</v>
      </c>
      <c r="AC137" s="219">
        <v>1</v>
      </c>
      <c r="AD137" s="220">
        <v>50</v>
      </c>
      <c r="AE137" s="1078">
        <f t="shared" ref="AE137:AE138" si="0">ROUND(AD137*AC137,2)</f>
        <v>50</v>
      </c>
      <c r="AF137" s="924">
        <v>28</v>
      </c>
      <c r="AR137" s="1039"/>
      <c r="AT137" s="1039"/>
      <c r="AU137" s="1039"/>
      <c r="AY137" s="1026"/>
      <c r="BE137" s="1040"/>
      <c r="BF137" s="1040"/>
      <c r="BG137" s="1040"/>
      <c r="BH137" s="1040"/>
      <c r="BI137" s="1040"/>
      <c r="BJ137" s="1026"/>
      <c r="BK137" s="1040"/>
      <c r="BL137" s="1026"/>
      <c r="BM137" s="1039"/>
    </row>
    <row r="138" spans="2:65" s="1092" customFormat="1" ht="26.55" customHeight="1" x14ac:dyDescent="0.2">
      <c r="B138" s="1028"/>
      <c r="C138" s="1234" t="s">
        <v>5205</v>
      </c>
      <c r="D138" s="1235"/>
      <c r="E138" s="1235"/>
      <c r="F138" s="1235"/>
      <c r="G138" s="1235"/>
      <c r="H138" s="1235"/>
      <c r="I138" s="1235"/>
      <c r="J138" s="1236"/>
      <c r="K138" s="1031"/>
      <c r="L138" s="1027"/>
      <c r="M138" s="1035"/>
      <c r="N138" s="1036"/>
      <c r="O138" s="1037"/>
      <c r="P138" s="1037"/>
      <c r="Q138" s="1037"/>
      <c r="R138" s="1037"/>
      <c r="S138" s="1037"/>
      <c r="T138" s="1038"/>
      <c r="W138" s="1028"/>
      <c r="X138" s="1072" t="s">
        <v>6560</v>
      </c>
      <c r="Y138" s="1072" t="s">
        <v>231</v>
      </c>
      <c r="Z138" s="216" t="s">
        <v>6739</v>
      </c>
      <c r="AA138" s="217" t="s">
        <v>6740</v>
      </c>
      <c r="AB138" s="218" t="s">
        <v>1172</v>
      </c>
      <c r="AC138" s="219">
        <v>2</v>
      </c>
      <c r="AD138" s="220">
        <v>200</v>
      </c>
      <c r="AE138" s="1078">
        <f t="shared" si="0"/>
        <v>400</v>
      </c>
      <c r="AF138" s="924">
        <v>28</v>
      </c>
      <c r="AR138" s="1039"/>
      <c r="AT138" s="1039"/>
      <c r="AU138" s="1039"/>
      <c r="AY138" s="1026"/>
      <c r="BE138" s="1040"/>
      <c r="BF138" s="1040"/>
      <c r="BG138" s="1040"/>
      <c r="BH138" s="1040"/>
      <c r="BI138" s="1040"/>
      <c r="BJ138" s="1026"/>
      <c r="BK138" s="1040"/>
      <c r="BL138" s="1026"/>
      <c r="BM138" s="1039"/>
    </row>
    <row r="139" spans="2:65" s="1" customFormat="1" ht="16.5" customHeight="1" x14ac:dyDescent="0.2">
      <c r="B139" s="118"/>
      <c r="C139" s="119" t="s">
        <v>244</v>
      </c>
      <c r="D139" s="119" t="s">
        <v>231</v>
      </c>
      <c r="E139" s="120" t="s">
        <v>1115</v>
      </c>
      <c r="F139" s="121" t="s">
        <v>1116</v>
      </c>
      <c r="G139" s="122" t="s">
        <v>1112</v>
      </c>
      <c r="H139" s="123">
        <v>17</v>
      </c>
      <c r="I139" s="124">
        <v>33.67</v>
      </c>
      <c r="J139" s="124">
        <f>ROUND(I139*H139,2)</f>
        <v>572.39</v>
      </c>
      <c r="K139" s="121" t="s">
        <v>1</v>
      </c>
      <c r="L139" s="24"/>
      <c r="M139" s="125" t="s">
        <v>1</v>
      </c>
      <c r="N139" s="126" t="s">
        <v>32</v>
      </c>
      <c r="O139" s="127">
        <v>0</v>
      </c>
      <c r="P139" s="127">
        <f>O139*H139</f>
        <v>0</v>
      </c>
      <c r="Q139" s="127">
        <v>0</v>
      </c>
      <c r="R139" s="127">
        <f>Q139*H139</f>
        <v>0</v>
      </c>
      <c r="S139" s="127">
        <v>0</v>
      </c>
      <c r="T139" s="128">
        <f>S139*H139</f>
        <v>0</v>
      </c>
      <c r="W139" s="1028"/>
      <c r="X139" s="1029" t="s">
        <v>244</v>
      </c>
      <c r="Y139" s="1029" t="s">
        <v>231</v>
      </c>
      <c r="Z139" s="1030" t="s">
        <v>1115</v>
      </c>
      <c r="AA139" s="1031" t="s">
        <v>1116</v>
      </c>
      <c r="AB139" s="1032" t="s">
        <v>1112</v>
      </c>
      <c r="AC139" s="1033">
        <v>17</v>
      </c>
      <c r="AD139" s="1034">
        <v>33.67</v>
      </c>
      <c r="AE139" s="946">
        <f>ROUND(AD139*AC139,2)</f>
        <v>572.39</v>
      </c>
      <c r="AF139" s="924"/>
      <c r="AR139" s="129" t="s">
        <v>258</v>
      </c>
      <c r="AT139" s="129" t="s">
        <v>231</v>
      </c>
      <c r="AU139" s="129" t="s">
        <v>76</v>
      </c>
      <c r="AY139" s="13" t="s">
        <v>228</v>
      </c>
      <c r="BE139" s="130">
        <f>IF(N139="základná",J139,0)</f>
        <v>0</v>
      </c>
      <c r="BF139" s="130">
        <f>IF(N139="znížená",J139,0)</f>
        <v>572.39</v>
      </c>
      <c r="BG139" s="130">
        <f>IF(N139="zákl. prenesená",J139,0)</f>
        <v>0</v>
      </c>
      <c r="BH139" s="130">
        <f>IF(N139="zníž. prenesená",J139,0)</f>
        <v>0</v>
      </c>
      <c r="BI139" s="130">
        <f>IF(N139="nulová",J139,0)</f>
        <v>0</v>
      </c>
      <c r="BJ139" s="13" t="s">
        <v>76</v>
      </c>
      <c r="BK139" s="130">
        <f>ROUND(I139*H139,2)</f>
        <v>572.39</v>
      </c>
      <c r="BL139" s="13" t="s">
        <v>258</v>
      </c>
      <c r="BM139" s="129" t="s">
        <v>258</v>
      </c>
    </row>
    <row r="140" spans="2:65" s="11" customFormat="1" ht="22.95" customHeight="1" x14ac:dyDescent="0.25">
      <c r="B140" s="106"/>
      <c r="D140" s="107" t="s">
        <v>57</v>
      </c>
      <c r="E140" s="116" t="s">
        <v>1240</v>
      </c>
      <c r="F140" s="116" t="s">
        <v>718</v>
      </c>
      <c r="J140" s="117">
        <f>BK140</f>
        <v>250.8</v>
      </c>
      <c r="L140" s="106"/>
      <c r="M140" s="110"/>
      <c r="N140" s="111"/>
      <c r="O140" s="111"/>
      <c r="P140" s="112">
        <f>P141</f>
        <v>0</v>
      </c>
      <c r="Q140" s="111"/>
      <c r="R140" s="112">
        <f>R141</f>
        <v>0</v>
      </c>
      <c r="S140" s="111"/>
      <c r="T140" s="113">
        <f>T141</f>
        <v>0</v>
      </c>
      <c r="W140" s="1052"/>
      <c r="X140" s="1055"/>
      <c r="Y140" s="196" t="s">
        <v>57</v>
      </c>
      <c r="Z140" s="201" t="s">
        <v>1240</v>
      </c>
      <c r="AA140" s="201" t="s">
        <v>718</v>
      </c>
      <c r="AB140" s="1055"/>
      <c r="AC140" s="1055"/>
      <c r="AD140" s="1055"/>
      <c r="AE140" s="202">
        <f>AE141</f>
        <v>250.8</v>
      </c>
      <c r="AF140" s="924"/>
      <c r="AR140" s="107" t="s">
        <v>76</v>
      </c>
      <c r="AT140" s="114" t="s">
        <v>57</v>
      </c>
      <c r="AU140" s="114" t="s">
        <v>63</v>
      </c>
      <c r="AY140" s="107" t="s">
        <v>228</v>
      </c>
      <c r="BK140" s="115">
        <f>BK141</f>
        <v>250.8</v>
      </c>
    </row>
    <row r="141" spans="2:65" s="1" customFormat="1" ht="16.5" customHeight="1" x14ac:dyDescent="0.2">
      <c r="B141" s="118"/>
      <c r="C141" s="119" t="s">
        <v>259</v>
      </c>
      <c r="D141" s="119" t="s">
        <v>231</v>
      </c>
      <c r="E141" s="120" t="s">
        <v>1117</v>
      </c>
      <c r="F141" s="121" t="s">
        <v>1118</v>
      </c>
      <c r="G141" s="122" t="s">
        <v>1035</v>
      </c>
      <c r="H141" s="123">
        <v>60</v>
      </c>
      <c r="I141" s="124">
        <v>4.18</v>
      </c>
      <c r="J141" s="124">
        <f>ROUND(I141*H141,2)</f>
        <v>250.8</v>
      </c>
      <c r="K141" s="121" t="s">
        <v>1</v>
      </c>
      <c r="L141" s="24"/>
      <c r="M141" s="125" t="s">
        <v>1</v>
      </c>
      <c r="N141" s="126" t="s">
        <v>32</v>
      </c>
      <c r="O141" s="127">
        <v>0</v>
      </c>
      <c r="P141" s="127">
        <f>O141*H141</f>
        <v>0</v>
      </c>
      <c r="Q141" s="127">
        <v>0</v>
      </c>
      <c r="R141" s="127">
        <f>Q141*H141</f>
        <v>0</v>
      </c>
      <c r="S141" s="127">
        <v>0</v>
      </c>
      <c r="T141" s="128">
        <f>S141*H141</f>
        <v>0</v>
      </c>
      <c r="W141" s="1028"/>
      <c r="X141" s="1029" t="s">
        <v>259</v>
      </c>
      <c r="Y141" s="1029" t="s">
        <v>231</v>
      </c>
      <c r="Z141" s="1030" t="s">
        <v>1117</v>
      </c>
      <c r="AA141" s="1031" t="s">
        <v>1118</v>
      </c>
      <c r="AB141" s="1032" t="s">
        <v>1035</v>
      </c>
      <c r="AC141" s="1033">
        <v>60</v>
      </c>
      <c r="AD141" s="1034">
        <v>4.18</v>
      </c>
      <c r="AE141" s="946">
        <f>ROUND(AD141*AC141,2)</f>
        <v>250.8</v>
      </c>
      <c r="AF141" s="924"/>
      <c r="AR141" s="129" t="s">
        <v>258</v>
      </c>
      <c r="AT141" s="129" t="s">
        <v>231</v>
      </c>
      <c r="AU141" s="129" t="s">
        <v>76</v>
      </c>
      <c r="AY141" s="13" t="s">
        <v>228</v>
      </c>
      <c r="BE141" s="130">
        <f>IF(N141="základná",J141,0)</f>
        <v>0</v>
      </c>
      <c r="BF141" s="130">
        <f>IF(N141="znížená",J141,0)</f>
        <v>250.8</v>
      </c>
      <c r="BG141" s="130">
        <f>IF(N141="zákl. prenesená",J141,0)</f>
        <v>0</v>
      </c>
      <c r="BH141" s="130">
        <f>IF(N141="zníž. prenesená",J141,0)</f>
        <v>0</v>
      </c>
      <c r="BI141" s="130">
        <f>IF(N141="nulová",J141,0)</f>
        <v>0</v>
      </c>
      <c r="BJ141" s="13" t="s">
        <v>76</v>
      </c>
      <c r="BK141" s="130">
        <f>ROUND(I141*H141,2)</f>
        <v>250.8</v>
      </c>
      <c r="BL141" s="13" t="s">
        <v>258</v>
      </c>
      <c r="BM141" s="129" t="s">
        <v>262</v>
      </c>
    </row>
    <row r="142" spans="2:65" s="11" customFormat="1" ht="22.95" customHeight="1" x14ac:dyDescent="0.25">
      <c r="B142" s="106"/>
      <c r="D142" s="107" t="s">
        <v>57</v>
      </c>
      <c r="E142" s="116" t="s">
        <v>1247</v>
      </c>
      <c r="F142" s="116" t="s">
        <v>883</v>
      </c>
      <c r="J142" s="117">
        <f>BK142</f>
        <v>193.54000000000002</v>
      </c>
      <c r="L142" s="106"/>
      <c r="M142" s="110"/>
      <c r="N142" s="111"/>
      <c r="O142" s="111"/>
      <c r="P142" s="112">
        <f>SUM(P143:P144)</f>
        <v>0</v>
      </c>
      <c r="Q142" s="111"/>
      <c r="R142" s="112">
        <f>SUM(R143:R144)</f>
        <v>0</v>
      </c>
      <c r="S142" s="111"/>
      <c r="T142" s="113">
        <f>SUM(T143:T144)</f>
        <v>0</v>
      </c>
      <c r="W142" s="1052"/>
      <c r="X142" s="1055"/>
      <c r="Y142" s="196" t="s">
        <v>57</v>
      </c>
      <c r="Z142" s="201" t="s">
        <v>1247</v>
      </c>
      <c r="AA142" s="201" t="s">
        <v>883</v>
      </c>
      <c r="AB142" s="1055"/>
      <c r="AC142" s="1055"/>
      <c r="AD142" s="1055"/>
      <c r="AE142" s="202">
        <f>SUM(AE143:AE144)</f>
        <v>214.44</v>
      </c>
      <c r="AF142" s="924"/>
      <c r="AR142" s="107" t="s">
        <v>76</v>
      </c>
      <c r="AT142" s="114" t="s">
        <v>57</v>
      </c>
      <c r="AU142" s="114" t="s">
        <v>63</v>
      </c>
      <c r="AY142" s="107" t="s">
        <v>228</v>
      </c>
      <c r="BK142" s="115">
        <f>SUM(BK143:BK144)</f>
        <v>193.54000000000002</v>
      </c>
    </row>
    <row r="143" spans="2:65" s="1" customFormat="1" ht="16.5" customHeight="1" x14ac:dyDescent="0.2">
      <c r="B143" s="118"/>
      <c r="C143" s="1070" t="s">
        <v>248</v>
      </c>
      <c r="D143" s="119" t="s">
        <v>231</v>
      </c>
      <c r="E143" s="120" t="s">
        <v>1119</v>
      </c>
      <c r="F143" s="121" t="s">
        <v>1120</v>
      </c>
      <c r="G143" s="122" t="s">
        <v>284</v>
      </c>
      <c r="H143" s="1071">
        <v>9.26</v>
      </c>
      <c r="I143" s="124">
        <v>9.2899999999999991</v>
      </c>
      <c r="J143" s="124">
        <f>ROUND(I143*H143,2)</f>
        <v>86.03</v>
      </c>
      <c r="K143" s="121" t="s">
        <v>1</v>
      </c>
      <c r="L143" s="24"/>
      <c r="M143" s="125" t="s">
        <v>1</v>
      </c>
      <c r="N143" s="126" t="s">
        <v>32</v>
      </c>
      <c r="O143" s="127">
        <v>0</v>
      </c>
      <c r="P143" s="127">
        <f>O143*H143</f>
        <v>0</v>
      </c>
      <c r="Q143" s="127">
        <v>0</v>
      </c>
      <c r="R143" s="127">
        <f>Q143*H143</f>
        <v>0</v>
      </c>
      <c r="S143" s="127">
        <v>0</v>
      </c>
      <c r="T143" s="128">
        <f>S143*H143</f>
        <v>0</v>
      </c>
      <c r="W143" s="1028"/>
      <c r="X143" s="1070" t="s">
        <v>248</v>
      </c>
      <c r="Y143" s="1029" t="s">
        <v>231</v>
      </c>
      <c r="Z143" s="1030" t="s">
        <v>1119</v>
      </c>
      <c r="AA143" s="1031" t="s">
        <v>1120</v>
      </c>
      <c r="AB143" s="1032" t="s">
        <v>284</v>
      </c>
      <c r="AC143" s="1071">
        <f>9.26+1</f>
        <v>10.26</v>
      </c>
      <c r="AD143" s="1034">
        <v>9.2899999999999991</v>
      </c>
      <c r="AE143" s="946">
        <f>ROUND(AD143*AC143,2)</f>
        <v>95.32</v>
      </c>
      <c r="AF143" s="924">
        <v>28</v>
      </c>
      <c r="AR143" s="129" t="s">
        <v>258</v>
      </c>
      <c r="AT143" s="129" t="s">
        <v>231</v>
      </c>
      <c r="AU143" s="129" t="s">
        <v>76</v>
      </c>
      <c r="AY143" s="13" t="s">
        <v>228</v>
      </c>
      <c r="BE143" s="130">
        <f>IF(N143="základná",J143,0)</f>
        <v>0</v>
      </c>
      <c r="BF143" s="130">
        <f>IF(N143="znížená",J143,0)</f>
        <v>86.03</v>
      </c>
      <c r="BG143" s="130">
        <f>IF(N143="zákl. prenesená",J143,0)</f>
        <v>0</v>
      </c>
      <c r="BH143" s="130">
        <f>IF(N143="zníž. prenesená",J143,0)</f>
        <v>0</v>
      </c>
      <c r="BI143" s="130">
        <f>IF(N143="nulová",J143,0)</f>
        <v>0</v>
      </c>
      <c r="BJ143" s="13" t="s">
        <v>76</v>
      </c>
      <c r="BK143" s="130">
        <f>ROUND(I143*H143,2)</f>
        <v>86.03</v>
      </c>
      <c r="BL143" s="13" t="s">
        <v>258</v>
      </c>
      <c r="BM143" s="129" t="s">
        <v>7</v>
      </c>
    </row>
    <row r="144" spans="2:65" s="1" customFormat="1" ht="16.5" customHeight="1" x14ac:dyDescent="0.2">
      <c r="B144" s="118"/>
      <c r="C144" s="1070" t="s">
        <v>265</v>
      </c>
      <c r="D144" s="119" t="s">
        <v>231</v>
      </c>
      <c r="E144" s="120" t="s">
        <v>1121</v>
      </c>
      <c r="F144" s="121" t="s">
        <v>1122</v>
      </c>
      <c r="G144" s="122" t="s">
        <v>284</v>
      </c>
      <c r="H144" s="1071">
        <v>9.26</v>
      </c>
      <c r="I144" s="124">
        <v>11.61</v>
      </c>
      <c r="J144" s="124">
        <f>ROUND(I144*H144,2)</f>
        <v>107.51</v>
      </c>
      <c r="K144" s="121" t="s">
        <v>1</v>
      </c>
      <c r="L144" s="24"/>
      <c r="M144" s="125" t="s">
        <v>1</v>
      </c>
      <c r="N144" s="126" t="s">
        <v>32</v>
      </c>
      <c r="O144" s="127">
        <v>0</v>
      </c>
      <c r="P144" s="127">
        <f>O144*H144</f>
        <v>0</v>
      </c>
      <c r="Q144" s="127">
        <v>0</v>
      </c>
      <c r="R144" s="127">
        <f>Q144*H144</f>
        <v>0</v>
      </c>
      <c r="S144" s="127">
        <v>0</v>
      </c>
      <c r="T144" s="128">
        <f>S144*H144</f>
        <v>0</v>
      </c>
      <c r="W144" s="1028"/>
      <c r="X144" s="1070" t="s">
        <v>265</v>
      </c>
      <c r="Y144" s="1029" t="s">
        <v>231</v>
      </c>
      <c r="Z144" s="1030" t="s">
        <v>1121</v>
      </c>
      <c r="AA144" s="1031" t="s">
        <v>1122</v>
      </c>
      <c r="AB144" s="1032" t="s">
        <v>284</v>
      </c>
      <c r="AC144" s="1071">
        <f>9.26+1</f>
        <v>10.26</v>
      </c>
      <c r="AD144" s="1034">
        <v>11.61</v>
      </c>
      <c r="AE144" s="946">
        <f>ROUND(AD144*AC144,2)</f>
        <v>119.12</v>
      </c>
      <c r="AF144" s="924">
        <v>28</v>
      </c>
      <c r="AR144" s="129" t="s">
        <v>258</v>
      </c>
      <c r="AT144" s="129" t="s">
        <v>231</v>
      </c>
      <c r="AU144" s="129" t="s">
        <v>76</v>
      </c>
      <c r="AY144" s="13" t="s">
        <v>228</v>
      </c>
      <c r="BE144" s="130">
        <f>IF(N144="základná",J144,0)</f>
        <v>0</v>
      </c>
      <c r="BF144" s="130">
        <f>IF(N144="znížená",J144,0)</f>
        <v>107.51</v>
      </c>
      <c r="BG144" s="130">
        <f>IF(N144="zákl. prenesená",J144,0)</f>
        <v>0</v>
      </c>
      <c r="BH144" s="130">
        <f>IF(N144="zníž. prenesená",J144,0)</f>
        <v>0</v>
      </c>
      <c r="BI144" s="130">
        <f>IF(N144="nulová",J144,0)</f>
        <v>0</v>
      </c>
      <c r="BJ144" s="13" t="s">
        <v>76</v>
      </c>
      <c r="BK144" s="130">
        <f>ROUND(I144*H144,2)</f>
        <v>107.51</v>
      </c>
      <c r="BL144" s="13" t="s">
        <v>258</v>
      </c>
      <c r="BM144" s="129" t="s">
        <v>268</v>
      </c>
    </row>
    <row r="145" spans="2:65" s="11" customFormat="1" ht="25.95" customHeight="1" x14ac:dyDescent="0.25">
      <c r="B145" s="106"/>
      <c r="D145" s="107" t="s">
        <v>57</v>
      </c>
      <c r="E145" s="108" t="s">
        <v>1252</v>
      </c>
      <c r="F145" s="108" t="s">
        <v>1123</v>
      </c>
      <c r="J145" s="109">
        <f>BK145</f>
        <v>3521.6999999999994</v>
      </c>
      <c r="L145" s="106"/>
      <c r="M145" s="110"/>
      <c r="N145" s="111"/>
      <c r="O145" s="111"/>
      <c r="P145" s="112">
        <f>P146+P147+P148</f>
        <v>0</v>
      </c>
      <c r="Q145" s="111"/>
      <c r="R145" s="112">
        <f>R146+R147+R148</f>
        <v>0</v>
      </c>
      <c r="S145" s="111"/>
      <c r="T145" s="113">
        <f>T146+T147+T148</f>
        <v>0</v>
      </c>
      <c r="W145" s="1052"/>
      <c r="X145" s="1055"/>
      <c r="Y145" s="196" t="s">
        <v>57</v>
      </c>
      <c r="Z145" s="197" t="s">
        <v>1252</v>
      </c>
      <c r="AA145" s="197" t="s">
        <v>1123</v>
      </c>
      <c r="AB145" s="1055"/>
      <c r="AC145" s="1055"/>
      <c r="AD145" s="1055"/>
      <c r="AE145" s="198">
        <f>AE146+AE147+AE148</f>
        <v>3868.4999999999991</v>
      </c>
      <c r="AF145" s="924"/>
      <c r="AR145" s="107" t="s">
        <v>229</v>
      </c>
      <c r="AT145" s="114" t="s">
        <v>57</v>
      </c>
      <c r="AU145" s="114" t="s">
        <v>58</v>
      </c>
      <c r="AY145" s="107" t="s">
        <v>228</v>
      </c>
      <c r="BK145" s="115">
        <f>BK146+BK147+BK148</f>
        <v>3521.6999999999994</v>
      </c>
    </row>
    <row r="146" spans="2:65" s="1" customFormat="1" ht="16.5" customHeight="1" x14ac:dyDescent="0.2">
      <c r="B146" s="118"/>
      <c r="C146" s="119" t="s">
        <v>251</v>
      </c>
      <c r="D146" s="119" t="s">
        <v>231</v>
      </c>
      <c r="E146" s="120" t="s">
        <v>1124</v>
      </c>
      <c r="F146" s="121" t="s">
        <v>1125</v>
      </c>
      <c r="G146" s="122" t="s">
        <v>1126</v>
      </c>
      <c r="H146" s="123">
        <v>251</v>
      </c>
      <c r="I146" s="124">
        <v>1.04</v>
      </c>
      <c r="J146" s="124">
        <f>ROUND(I146*H146,2)</f>
        <v>261.04000000000002</v>
      </c>
      <c r="K146" s="121" t="s">
        <v>1</v>
      </c>
      <c r="L146" s="24"/>
      <c r="M146" s="125" t="s">
        <v>1</v>
      </c>
      <c r="N146" s="126" t="s">
        <v>32</v>
      </c>
      <c r="O146" s="127">
        <v>0</v>
      </c>
      <c r="P146" s="127">
        <f>O146*H146</f>
        <v>0</v>
      </c>
      <c r="Q146" s="127">
        <v>0</v>
      </c>
      <c r="R146" s="127">
        <f>Q146*H146</f>
        <v>0</v>
      </c>
      <c r="S146" s="127">
        <v>0</v>
      </c>
      <c r="T146" s="128">
        <f>S146*H146</f>
        <v>0</v>
      </c>
      <c r="W146" s="1028"/>
      <c r="X146" s="1029" t="s">
        <v>251</v>
      </c>
      <c r="Y146" s="1029" t="s">
        <v>231</v>
      </c>
      <c r="Z146" s="1030" t="s">
        <v>1124</v>
      </c>
      <c r="AA146" s="1031" t="s">
        <v>1125</v>
      </c>
      <c r="AB146" s="1032" t="s">
        <v>1126</v>
      </c>
      <c r="AC146" s="1033">
        <v>251</v>
      </c>
      <c r="AD146" s="1034">
        <v>1.04</v>
      </c>
      <c r="AE146" s="946">
        <f>ROUND(AD146*AC146,2)</f>
        <v>261.04000000000002</v>
      </c>
      <c r="AF146" s="924"/>
      <c r="AR146" s="129" t="s">
        <v>347</v>
      </c>
      <c r="AT146" s="129" t="s">
        <v>231</v>
      </c>
      <c r="AU146" s="129" t="s">
        <v>63</v>
      </c>
      <c r="AY146" s="13" t="s">
        <v>228</v>
      </c>
      <c r="BE146" s="130">
        <f>IF(N146="základná",J146,0)</f>
        <v>0</v>
      </c>
      <c r="BF146" s="130">
        <f>IF(N146="znížená",J146,0)</f>
        <v>261.04000000000002</v>
      </c>
      <c r="BG146" s="130">
        <f>IF(N146="zákl. prenesená",J146,0)</f>
        <v>0</v>
      </c>
      <c r="BH146" s="130">
        <f>IF(N146="zníž. prenesená",J146,0)</f>
        <v>0</v>
      </c>
      <c r="BI146" s="130">
        <f>IF(N146="nulová",J146,0)</f>
        <v>0</v>
      </c>
      <c r="BJ146" s="13" t="s">
        <v>76</v>
      </c>
      <c r="BK146" s="130">
        <f>ROUND(I146*H146,2)</f>
        <v>261.04000000000002</v>
      </c>
      <c r="BL146" s="13" t="s">
        <v>347</v>
      </c>
      <c r="BM146" s="129" t="s">
        <v>272</v>
      </c>
    </row>
    <row r="147" spans="2:65" s="1" customFormat="1" ht="16.5" customHeight="1" x14ac:dyDescent="0.2">
      <c r="B147" s="118"/>
      <c r="C147" s="119" t="s">
        <v>273</v>
      </c>
      <c r="D147" s="119" t="s">
        <v>231</v>
      </c>
      <c r="E147" s="120" t="s">
        <v>1127</v>
      </c>
      <c r="F147" s="121" t="s">
        <v>1128</v>
      </c>
      <c r="G147" s="122" t="s">
        <v>1112</v>
      </c>
      <c r="H147" s="123">
        <v>7</v>
      </c>
      <c r="I147" s="124">
        <v>29.03</v>
      </c>
      <c r="J147" s="124">
        <f>ROUND(I147*H147,2)</f>
        <v>203.21</v>
      </c>
      <c r="K147" s="121" t="s">
        <v>1</v>
      </c>
      <c r="L147" s="24"/>
      <c r="M147" s="125" t="s">
        <v>1</v>
      </c>
      <c r="N147" s="126" t="s">
        <v>32</v>
      </c>
      <c r="O147" s="127">
        <v>0</v>
      </c>
      <c r="P147" s="127">
        <f>O147*H147</f>
        <v>0</v>
      </c>
      <c r="Q147" s="127">
        <v>0</v>
      </c>
      <c r="R147" s="127">
        <f>Q147*H147</f>
        <v>0</v>
      </c>
      <c r="S147" s="127">
        <v>0</v>
      </c>
      <c r="T147" s="128">
        <f>S147*H147</f>
        <v>0</v>
      </c>
      <c r="W147" s="1028"/>
      <c r="X147" s="1029" t="s">
        <v>273</v>
      </c>
      <c r="Y147" s="1029" t="s">
        <v>231</v>
      </c>
      <c r="Z147" s="1030" t="s">
        <v>1127</v>
      </c>
      <c r="AA147" s="1031" t="s">
        <v>1128</v>
      </c>
      <c r="AB147" s="1032" t="s">
        <v>1112</v>
      </c>
      <c r="AC147" s="1033">
        <v>7</v>
      </c>
      <c r="AD147" s="1034">
        <v>29.03</v>
      </c>
      <c r="AE147" s="946">
        <f>ROUND(AD147*AC147,2)</f>
        <v>203.21</v>
      </c>
      <c r="AF147" s="924"/>
      <c r="AR147" s="129" t="s">
        <v>347</v>
      </c>
      <c r="AT147" s="129" t="s">
        <v>231</v>
      </c>
      <c r="AU147" s="129" t="s">
        <v>63</v>
      </c>
      <c r="AY147" s="13" t="s">
        <v>228</v>
      </c>
      <c r="BE147" s="130">
        <f>IF(N147="základná",J147,0)</f>
        <v>0</v>
      </c>
      <c r="BF147" s="130">
        <f>IF(N147="znížená",J147,0)</f>
        <v>203.21</v>
      </c>
      <c r="BG147" s="130">
        <f>IF(N147="zákl. prenesená",J147,0)</f>
        <v>0</v>
      </c>
      <c r="BH147" s="130">
        <f>IF(N147="zníž. prenesená",J147,0)</f>
        <v>0</v>
      </c>
      <c r="BI147" s="130">
        <f>IF(N147="nulová",J147,0)</f>
        <v>0</v>
      </c>
      <c r="BJ147" s="13" t="s">
        <v>76</v>
      </c>
      <c r="BK147" s="130">
        <f>ROUND(I147*H147,2)</f>
        <v>203.21</v>
      </c>
      <c r="BL147" s="13" t="s">
        <v>347</v>
      </c>
      <c r="BM147" s="129" t="s">
        <v>276</v>
      </c>
    </row>
    <row r="148" spans="2:65" s="11" customFormat="1" ht="22.95" customHeight="1" x14ac:dyDescent="0.25">
      <c r="B148" s="106"/>
      <c r="D148" s="107" t="s">
        <v>57</v>
      </c>
      <c r="E148" s="116" t="s">
        <v>1269</v>
      </c>
      <c r="F148" s="116" t="s">
        <v>1130</v>
      </c>
      <c r="J148" s="117">
        <f>BK148</f>
        <v>3057.4499999999994</v>
      </c>
      <c r="L148" s="106"/>
      <c r="M148" s="110"/>
      <c r="N148" s="111"/>
      <c r="O148" s="111"/>
      <c r="P148" s="112">
        <f>SUM(P149:P156)</f>
        <v>0</v>
      </c>
      <c r="Q148" s="111"/>
      <c r="R148" s="112">
        <f>SUM(R149:R156)</f>
        <v>0</v>
      </c>
      <c r="S148" s="111"/>
      <c r="T148" s="113">
        <f>SUM(T149:T156)</f>
        <v>0</v>
      </c>
      <c r="W148" s="1052"/>
      <c r="X148" s="1055"/>
      <c r="Y148" s="196" t="s">
        <v>57</v>
      </c>
      <c r="Z148" s="201" t="s">
        <v>1269</v>
      </c>
      <c r="AA148" s="201" t="s">
        <v>1130</v>
      </c>
      <c r="AB148" s="1055"/>
      <c r="AC148" s="1055"/>
      <c r="AD148" s="1055"/>
      <c r="AE148" s="202">
        <f>SUM(AE149:AE156)</f>
        <v>3404.2499999999991</v>
      </c>
      <c r="AF148" s="924"/>
      <c r="AR148" s="107" t="s">
        <v>229</v>
      </c>
      <c r="AT148" s="114" t="s">
        <v>57</v>
      </c>
      <c r="AU148" s="114" t="s">
        <v>63</v>
      </c>
      <c r="AY148" s="107" t="s">
        <v>228</v>
      </c>
      <c r="BK148" s="115">
        <f>SUM(BK149:BK156)</f>
        <v>3057.4499999999994</v>
      </c>
    </row>
    <row r="149" spans="2:65" s="1" customFormat="1" ht="24" customHeight="1" x14ac:dyDescent="0.2">
      <c r="B149" s="118"/>
      <c r="C149" s="1070" t="s">
        <v>255</v>
      </c>
      <c r="D149" s="119" t="s">
        <v>231</v>
      </c>
      <c r="E149" s="120" t="s">
        <v>1131</v>
      </c>
      <c r="F149" s="121" t="s">
        <v>1132</v>
      </c>
      <c r="G149" s="122" t="s">
        <v>292</v>
      </c>
      <c r="H149" s="1071">
        <v>150</v>
      </c>
      <c r="I149" s="124">
        <v>0.38</v>
      </c>
      <c r="J149" s="124">
        <f t="shared" ref="J149:J156" si="1">ROUND(I149*H149,2)</f>
        <v>57</v>
      </c>
      <c r="K149" s="121" t="s">
        <v>1</v>
      </c>
      <c r="L149" s="24"/>
      <c r="M149" s="125" t="s">
        <v>1</v>
      </c>
      <c r="N149" s="126" t="s">
        <v>32</v>
      </c>
      <c r="O149" s="127">
        <v>0</v>
      </c>
      <c r="P149" s="127">
        <f t="shared" ref="P149:P156" si="2">O149*H149</f>
        <v>0</v>
      </c>
      <c r="Q149" s="127">
        <v>0</v>
      </c>
      <c r="R149" s="127">
        <f t="shared" ref="R149:R156" si="3">Q149*H149</f>
        <v>0</v>
      </c>
      <c r="S149" s="127">
        <v>0</v>
      </c>
      <c r="T149" s="128">
        <f t="shared" ref="T149:T156" si="4">S149*H149</f>
        <v>0</v>
      </c>
      <c r="W149" s="1028"/>
      <c r="X149" s="1070" t="s">
        <v>255</v>
      </c>
      <c r="Y149" s="1029" t="s">
        <v>231</v>
      </c>
      <c r="Z149" s="1030" t="s">
        <v>1131</v>
      </c>
      <c r="AA149" s="1031" t="s">
        <v>1132</v>
      </c>
      <c r="AB149" s="1032" t="s">
        <v>292</v>
      </c>
      <c r="AC149" s="1071">
        <f>150+20</f>
        <v>170</v>
      </c>
      <c r="AD149" s="1034">
        <v>0.38</v>
      </c>
      <c r="AE149" s="946">
        <f t="shared" ref="AE149:AE156" si="5">ROUND(AD149*AC149,2)</f>
        <v>64.599999999999994</v>
      </c>
      <c r="AF149" s="924">
        <v>28</v>
      </c>
      <c r="AR149" s="129" t="s">
        <v>347</v>
      </c>
      <c r="AT149" s="129" t="s">
        <v>231</v>
      </c>
      <c r="AU149" s="129" t="s">
        <v>76</v>
      </c>
      <c r="AY149" s="13" t="s">
        <v>228</v>
      </c>
      <c r="BE149" s="130">
        <f t="shared" ref="BE149:BE156" si="6">IF(N149="základná",J149,0)</f>
        <v>0</v>
      </c>
      <c r="BF149" s="130">
        <f t="shared" ref="BF149:BF156" si="7">IF(N149="znížená",J149,0)</f>
        <v>57</v>
      </c>
      <c r="BG149" s="130">
        <f t="shared" ref="BG149:BG156" si="8">IF(N149="zákl. prenesená",J149,0)</f>
        <v>0</v>
      </c>
      <c r="BH149" s="130">
        <f t="shared" ref="BH149:BH156" si="9">IF(N149="zníž. prenesená",J149,0)</f>
        <v>0</v>
      </c>
      <c r="BI149" s="130">
        <f t="shared" ref="BI149:BI156" si="10">IF(N149="nulová",J149,0)</f>
        <v>0</v>
      </c>
      <c r="BJ149" s="13" t="s">
        <v>76</v>
      </c>
      <c r="BK149" s="130">
        <f t="shared" ref="BK149:BK156" si="11">ROUND(I149*H149,2)</f>
        <v>57</v>
      </c>
      <c r="BL149" s="13" t="s">
        <v>347</v>
      </c>
      <c r="BM149" s="129" t="s">
        <v>280</v>
      </c>
    </row>
    <row r="150" spans="2:65" s="1" customFormat="1" ht="16.5" customHeight="1" x14ac:dyDescent="0.2">
      <c r="B150" s="118"/>
      <c r="C150" s="1070" t="s">
        <v>281</v>
      </c>
      <c r="D150" s="119" t="s">
        <v>231</v>
      </c>
      <c r="E150" s="120" t="s">
        <v>1133</v>
      </c>
      <c r="F150" s="121" t="s">
        <v>1134</v>
      </c>
      <c r="G150" s="122" t="s">
        <v>292</v>
      </c>
      <c r="H150" s="1071">
        <v>124</v>
      </c>
      <c r="I150" s="124">
        <v>16.96</v>
      </c>
      <c r="J150" s="124">
        <f t="shared" si="1"/>
        <v>2103.04</v>
      </c>
      <c r="K150" s="121" t="s">
        <v>1</v>
      </c>
      <c r="L150" s="24"/>
      <c r="M150" s="125" t="s">
        <v>1</v>
      </c>
      <c r="N150" s="126" t="s">
        <v>32</v>
      </c>
      <c r="O150" s="127">
        <v>0</v>
      </c>
      <c r="P150" s="127">
        <f t="shared" si="2"/>
        <v>0</v>
      </c>
      <c r="Q150" s="127">
        <v>0</v>
      </c>
      <c r="R150" s="127">
        <f t="shared" si="3"/>
        <v>0</v>
      </c>
      <c r="S150" s="127">
        <v>0</v>
      </c>
      <c r="T150" s="128">
        <f t="shared" si="4"/>
        <v>0</v>
      </c>
      <c r="W150" s="1028"/>
      <c r="X150" s="1070" t="s">
        <v>281</v>
      </c>
      <c r="Y150" s="1029" t="s">
        <v>231</v>
      </c>
      <c r="Z150" s="1030" t="s">
        <v>1133</v>
      </c>
      <c r="AA150" s="1031" t="s">
        <v>1134</v>
      </c>
      <c r="AB150" s="1032" t="s">
        <v>292</v>
      </c>
      <c r="AC150" s="1071">
        <f>124+20</f>
        <v>144</v>
      </c>
      <c r="AD150" s="1034">
        <v>16.96</v>
      </c>
      <c r="AE150" s="946">
        <f t="shared" si="5"/>
        <v>2442.2399999999998</v>
      </c>
      <c r="AF150" s="924">
        <v>28</v>
      </c>
      <c r="AR150" s="129" t="s">
        <v>347</v>
      </c>
      <c r="AT150" s="129" t="s">
        <v>231</v>
      </c>
      <c r="AU150" s="129" t="s">
        <v>76</v>
      </c>
      <c r="AY150" s="13" t="s">
        <v>228</v>
      </c>
      <c r="BE150" s="130">
        <f t="shared" si="6"/>
        <v>0</v>
      </c>
      <c r="BF150" s="130">
        <f t="shared" si="7"/>
        <v>2103.04</v>
      </c>
      <c r="BG150" s="130">
        <f t="shared" si="8"/>
        <v>0</v>
      </c>
      <c r="BH150" s="130">
        <f t="shared" si="9"/>
        <v>0</v>
      </c>
      <c r="BI150" s="130">
        <f t="shared" si="10"/>
        <v>0</v>
      </c>
      <c r="BJ150" s="13" t="s">
        <v>76</v>
      </c>
      <c r="BK150" s="130">
        <f t="shared" si="11"/>
        <v>2103.04</v>
      </c>
      <c r="BL150" s="13" t="s">
        <v>347</v>
      </c>
      <c r="BM150" s="129" t="s">
        <v>285</v>
      </c>
    </row>
    <row r="151" spans="2:65" s="1" customFormat="1" ht="16.5" customHeight="1" x14ac:dyDescent="0.2">
      <c r="B151" s="118"/>
      <c r="C151" s="119" t="s">
        <v>258</v>
      </c>
      <c r="D151" s="119" t="s">
        <v>231</v>
      </c>
      <c r="E151" s="120" t="s">
        <v>1135</v>
      </c>
      <c r="F151" s="121" t="s">
        <v>1136</v>
      </c>
      <c r="G151" s="122" t="s">
        <v>292</v>
      </c>
      <c r="H151" s="123">
        <v>26</v>
      </c>
      <c r="I151" s="124">
        <v>20.29</v>
      </c>
      <c r="J151" s="124">
        <f t="shared" si="1"/>
        <v>527.54</v>
      </c>
      <c r="K151" s="121" t="s">
        <v>1</v>
      </c>
      <c r="L151" s="24"/>
      <c r="M151" s="125" t="s">
        <v>1</v>
      </c>
      <c r="N151" s="126" t="s">
        <v>32</v>
      </c>
      <c r="O151" s="127">
        <v>0</v>
      </c>
      <c r="P151" s="127">
        <f t="shared" si="2"/>
        <v>0</v>
      </c>
      <c r="Q151" s="127">
        <v>0</v>
      </c>
      <c r="R151" s="127">
        <f t="shared" si="3"/>
        <v>0</v>
      </c>
      <c r="S151" s="127">
        <v>0</v>
      </c>
      <c r="T151" s="128">
        <f t="shared" si="4"/>
        <v>0</v>
      </c>
      <c r="W151" s="1028"/>
      <c r="X151" s="1029" t="s">
        <v>258</v>
      </c>
      <c r="Y151" s="1029" t="s">
        <v>231</v>
      </c>
      <c r="Z151" s="1030" t="s">
        <v>1135</v>
      </c>
      <c r="AA151" s="1031" t="s">
        <v>1136</v>
      </c>
      <c r="AB151" s="1032" t="s">
        <v>292</v>
      </c>
      <c r="AC151" s="1033">
        <v>26</v>
      </c>
      <c r="AD151" s="1034">
        <v>20.29</v>
      </c>
      <c r="AE151" s="946">
        <f t="shared" si="5"/>
        <v>527.54</v>
      </c>
      <c r="AF151" s="924"/>
      <c r="AR151" s="129" t="s">
        <v>347</v>
      </c>
      <c r="AT151" s="129" t="s">
        <v>231</v>
      </c>
      <c r="AU151" s="129" t="s">
        <v>76</v>
      </c>
      <c r="AY151" s="13" t="s">
        <v>228</v>
      </c>
      <c r="BE151" s="130">
        <f t="shared" si="6"/>
        <v>0</v>
      </c>
      <c r="BF151" s="130">
        <f t="shared" si="7"/>
        <v>527.54</v>
      </c>
      <c r="BG151" s="130">
        <f t="shared" si="8"/>
        <v>0</v>
      </c>
      <c r="BH151" s="130">
        <f t="shared" si="9"/>
        <v>0</v>
      </c>
      <c r="BI151" s="130">
        <f t="shared" si="10"/>
        <v>0</v>
      </c>
      <c r="BJ151" s="13" t="s">
        <v>76</v>
      </c>
      <c r="BK151" s="130">
        <f t="shared" si="11"/>
        <v>527.54</v>
      </c>
      <c r="BL151" s="13" t="s">
        <v>347</v>
      </c>
      <c r="BM151" s="129" t="s">
        <v>288</v>
      </c>
    </row>
    <row r="152" spans="2:65" s="1" customFormat="1" ht="16.5" customHeight="1" x14ac:dyDescent="0.2">
      <c r="B152" s="118"/>
      <c r="C152" s="119" t="s">
        <v>289</v>
      </c>
      <c r="D152" s="119" t="s">
        <v>231</v>
      </c>
      <c r="E152" s="120" t="s">
        <v>1137</v>
      </c>
      <c r="F152" s="121" t="s">
        <v>1138</v>
      </c>
      <c r="G152" s="122" t="s">
        <v>292</v>
      </c>
      <c r="H152" s="123">
        <v>3</v>
      </c>
      <c r="I152" s="124">
        <v>14.95</v>
      </c>
      <c r="J152" s="124">
        <f t="shared" si="1"/>
        <v>44.85</v>
      </c>
      <c r="K152" s="121" t="s">
        <v>1</v>
      </c>
      <c r="L152" s="24"/>
      <c r="M152" s="125" t="s">
        <v>1</v>
      </c>
      <c r="N152" s="126" t="s">
        <v>32</v>
      </c>
      <c r="O152" s="127">
        <v>0</v>
      </c>
      <c r="P152" s="127">
        <f t="shared" si="2"/>
        <v>0</v>
      </c>
      <c r="Q152" s="127">
        <v>0</v>
      </c>
      <c r="R152" s="127">
        <f t="shared" si="3"/>
        <v>0</v>
      </c>
      <c r="S152" s="127">
        <v>0</v>
      </c>
      <c r="T152" s="128">
        <f t="shared" si="4"/>
        <v>0</v>
      </c>
      <c r="W152" s="1028"/>
      <c r="X152" s="1029" t="s">
        <v>289</v>
      </c>
      <c r="Y152" s="1029" t="s">
        <v>231</v>
      </c>
      <c r="Z152" s="1030" t="s">
        <v>1137</v>
      </c>
      <c r="AA152" s="1031" t="s">
        <v>1138</v>
      </c>
      <c r="AB152" s="1032" t="s">
        <v>292</v>
      </c>
      <c r="AC152" s="1033">
        <v>3</v>
      </c>
      <c r="AD152" s="1034">
        <v>14.95</v>
      </c>
      <c r="AE152" s="946">
        <f t="shared" si="5"/>
        <v>44.85</v>
      </c>
      <c r="AF152" s="924"/>
      <c r="AR152" s="129" t="s">
        <v>347</v>
      </c>
      <c r="AT152" s="129" t="s">
        <v>231</v>
      </c>
      <c r="AU152" s="129" t="s">
        <v>76</v>
      </c>
      <c r="AY152" s="13" t="s">
        <v>228</v>
      </c>
      <c r="BE152" s="130">
        <f t="shared" si="6"/>
        <v>0</v>
      </c>
      <c r="BF152" s="130">
        <f t="shared" si="7"/>
        <v>44.85</v>
      </c>
      <c r="BG152" s="130">
        <f t="shared" si="8"/>
        <v>0</v>
      </c>
      <c r="BH152" s="130">
        <f t="shared" si="9"/>
        <v>0</v>
      </c>
      <c r="BI152" s="130">
        <f t="shared" si="10"/>
        <v>0</v>
      </c>
      <c r="BJ152" s="13" t="s">
        <v>76</v>
      </c>
      <c r="BK152" s="130">
        <f t="shared" si="11"/>
        <v>44.85</v>
      </c>
      <c r="BL152" s="13" t="s">
        <v>347</v>
      </c>
      <c r="BM152" s="129" t="s">
        <v>293</v>
      </c>
    </row>
    <row r="153" spans="2:65" s="1" customFormat="1" ht="16.5" customHeight="1" x14ac:dyDescent="0.2">
      <c r="B153" s="118"/>
      <c r="C153" s="119" t="s">
        <v>262</v>
      </c>
      <c r="D153" s="119" t="s">
        <v>231</v>
      </c>
      <c r="E153" s="120" t="s">
        <v>1139</v>
      </c>
      <c r="F153" s="121" t="s">
        <v>1140</v>
      </c>
      <c r="G153" s="122" t="s">
        <v>292</v>
      </c>
      <c r="H153" s="123">
        <v>40</v>
      </c>
      <c r="I153" s="124">
        <v>2.9</v>
      </c>
      <c r="J153" s="124">
        <f t="shared" si="1"/>
        <v>116</v>
      </c>
      <c r="K153" s="121" t="s">
        <v>1</v>
      </c>
      <c r="L153" s="24"/>
      <c r="M153" s="125" t="s">
        <v>1</v>
      </c>
      <c r="N153" s="126" t="s">
        <v>32</v>
      </c>
      <c r="O153" s="127">
        <v>0</v>
      </c>
      <c r="P153" s="127">
        <f t="shared" si="2"/>
        <v>0</v>
      </c>
      <c r="Q153" s="127">
        <v>0</v>
      </c>
      <c r="R153" s="127">
        <f t="shared" si="3"/>
        <v>0</v>
      </c>
      <c r="S153" s="127">
        <v>0</v>
      </c>
      <c r="T153" s="128">
        <f t="shared" si="4"/>
        <v>0</v>
      </c>
      <c r="W153" s="1028"/>
      <c r="X153" s="1029" t="s">
        <v>262</v>
      </c>
      <c r="Y153" s="1029" t="s">
        <v>231</v>
      </c>
      <c r="Z153" s="1030" t="s">
        <v>1139</v>
      </c>
      <c r="AA153" s="1031" t="s">
        <v>1140</v>
      </c>
      <c r="AB153" s="1032" t="s">
        <v>292</v>
      </c>
      <c r="AC153" s="1033">
        <v>40</v>
      </c>
      <c r="AD153" s="1034">
        <v>2.9</v>
      </c>
      <c r="AE153" s="946">
        <f t="shared" si="5"/>
        <v>116</v>
      </c>
      <c r="AF153" s="924"/>
      <c r="AR153" s="129" t="s">
        <v>347</v>
      </c>
      <c r="AT153" s="129" t="s">
        <v>231</v>
      </c>
      <c r="AU153" s="129" t="s">
        <v>76</v>
      </c>
      <c r="AY153" s="13" t="s">
        <v>228</v>
      </c>
      <c r="BE153" s="130">
        <f t="shared" si="6"/>
        <v>0</v>
      </c>
      <c r="BF153" s="130">
        <f t="shared" si="7"/>
        <v>116</v>
      </c>
      <c r="BG153" s="130">
        <f t="shared" si="8"/>
        <v>0</v>
      </c>
      <c r="BH153" s="130">
        <f t="shared" si="9"/>
        <v>0</v>
      </c>
      <c r="BI153" s="130">
        <f t="shared" si="10"/>
        <v>0</v>
      </c>
      <c r="BJ153" s="13" t="s">
        <v>76</v>
      </c>
      <c r="BK153" s="130">
        <f t="shared" si="11"/>
        <v>116</v>
      </c>
      <c r="BL153" s="13" t="s">
        <v>347</v>
      </c>
      <c r="BM153" s="129" t="s">
        <v>296</v>
      </c>
    </row>
    <row r="154" spans="2:65" s="1" customFormat="1" ht="16.5" customHeight="1" x14ac:dyDescent="0.2">
      <c r="B154" s="118"/>
      <c r="C154" s="119" t="s">
        <v>297</v>
      </c>
      <c r="D154" s="119" t="s">
        <v>231</v>
      </c>
      <c r="E154" s="120" t="s">
        <v>1141</v>
      </c>
      <c r="F154" s="121" t="s">
        <v>1142</v>
      </c>
      <c r="G154" s="122" t="s">
        <v>243</v>
      </c>
      <c r="H154" s="123">
        <v>2</v>
      </c>
      <c r="I154" s="124">
        <v>81.27</v>
      </c>
      <c r="J154" s="124">
        <f t="shared" si="1"/>
        <v>162.54</v>
      </c>
      <c r="K154" s="121" t="s">
        <v>1</v>
      </c>
      <c r="L154" s="24"/>
      <c r="M154" s="125" t="s">
        <v>1</v>
      </c>
      <c r="N154" s="126" t="s">
        <v>32</v>
      </c>
      <c r="O154" s="127">
        <v>0</v>
      </c>
      <c r="P154" s="127">
        <f t="shared" si="2"/>
        <v>0</v>
      </c>
      <c r="Q154" s="127">
        <v>0</v>
      </c>
      <c r="R154" s="127">
        <f t="shared" si="3"/>
        <v>0</v>
      </c>
      <c r="S154" s="127">
        <v>0</v>
      </c>
      <c r="T154" s="128">
        <f t="shared" si="4"/>
        <v>0</v>
      </c>
      <c r="W154" s="1028"/>
      <c r="X154" s="1029" t="s">
        <v>297</v>
      </c>
      <c r="Y154" s="1029" t="s">
        <v>231</v>
      </c>
      <c r="Z154" s="1030" t="s">
        <v>1141</v>
      </c>
      <c r="AA154" s="1031" t="s">
        <v>1142</v>
      </c>
      <c r="AB154" s="1032" t="s">
        <v>243</v>
      </c>
      <c r="AC154" s="1033">
        <v>2</v>
      </c>
      <c r="AD154" s="1034">
        <v>81.27</v>
      </c>
      <c r="AE154" s="946">
        <f t="shared" si="5"/>
        <v>162.54</v>
      </c>
      <c r="AF154" s="924"/>
      <c r="AR154" s="129" t="s">
        <v>347</v>
      </c>
      <c r="AT154" s="129" t="s">
        <v>231</v>
      </c>
      <c r="AU154" s="129" t="s">
        <v>76</v>
      </c>
      <c r="AY154" s="13" t="s">
        <v>228</v>
      </c>
      <c r="BE154" s="130">
        <f t="shared" si="6"/>
        <v>0</v>
      </c>
      <c r="BF154" s="130">
        <f t="shared" si="7"/>
        <v>162.54</v>
      </c>
      <c r="BG154" s="130">
        <f t="shared" si="8"/>
        <v>0</v>
      </c>
      <c r="BH154" s="130">
        <f t="shared" si="9"/>
        <v>0</v>
      </c>
      <c r="BI154" s="130">
        <f t="shared" si="10"/>
        <v>0</v>
      </c>
      <c r="BJ154" s="13" t="s">
        <v>76</v>
      </c>
      <c r="BK154" s="130">
        <f t="shared" si="11"/>
        <v>162.54</v>
      </c>
      <c r="BL154" s="13" t="s">
        <v>347</v>
      </c>
      <c r="BM154" s="129" t="s">
        <v>300</v>
      </c>
    </row>
    <row r="155" spans="2:65" s="1" customFormat="1" ht="16.5" customHeight="1" x14ac:dyDescent="0.2">
      <c r="B155" s="118"/>
      <c r="C155" s="119" t="s">
        <v>7</v>
      </c>
      <c r="D155" s="119" t="s">
        <v>231</v>
      </c>
      <c r="E155" s="120" t="s">
        <v>1143</v>
      </c>
      <c r="F155" s="121" t="s">
        <v>1144</v>
      </c>
      <c r="G155" s="122" t="s">
        <v>243</v>
      </c>
      <c r="H155" s="123">
        <v>4</v>
      </c>
      <c r="I155" s="124">
        <v>5.81</v>
      </c>
      <c r="J155" s="124">
        <f t="shared" si="1"/>
        <v>23.24</v>
      </c>
      <c r="K155" s="121" t="s">
        <v>1</v>
      </c>
      <c r="L155" s="24"/>
      <c r="M155" s="125" t="s">
        <v>1</v>
      </c>
      <c r="N155" s="126" t="s">
        <v>32</v>
      </c>
      <c r="O155" s="127">
        <v>0</v>
      </c>
      <c r="P155" s="127">
        <f t="shared" si="2"/>
        <v>0</v>
      </c>
      <c r="Q155" s="127">
        <v>0</v>
      </c>
      <c r="R155" s="127">
        <f t="shared" si="3"/>
        <v>0</v>
      </c>
      <c r="S155" s="127">
        <v>0</v>
      </c>
      <c r="T155" s="128">
        <f t="shared" si="4"/>
        <v>0</v>
      </c>
      <c r="W155" s="1028"/>
      <c r="X155" s="1029" t="s">
        <v>7</v>
      </c>
      <c r="Y155" s="1029" t="s">
        <v>231</v>
      </c>
      <c r="Z155" s="1030" t="s">
        <v>1143</v>
      </c>
      <c r="AA155" s="1031" t="s">
        <v>1144</v>
      </c>
      <c r="AB155" s="1032" t="s">
        <v>243</v>
      </c>
      <c r="AC155" s="1033">
        <v>4</v>
      </c>
      <c r="AD155" s="1034">
        <v>5.81</v>
      </c>
      <c r="AE155" s="946">
        <f t="shared" si="5"/>
        <v>23.24</v>
      </c>
      <c r="AF155" s="924"/>
      <c r="AR155" s="129" t="s">
        <v>347</v>
      </c>
      <c r="AT155" s="129" t="s">
        <v>231</v>
      </c>
      <c r="AU155" s="129" t="s">
        <v>76</v>
      </c>
      <c r="AY155" s="13" t="s">
        <v>228</v>
      </c>
      <c r="BE155" s="130">
        <f t="shared" si="6"/>
        <v>0</v>
      </c>
      <c r="BF155" s="130">
        <f t="shared" si="7"/>
        <v>23.24</v>
      </c>
      <c r="BG155" s="130">
        <f t="shared" si="8"/>
        <v>0</v>
      </c>
      <c r="BH155" s="130">
        <f t="shared" si="9"/>
        <v>0</v>
      </c>
      <c r="BI155" s="130">
        <f t="shared" si="10"/>
        <v>0</v>
      </c>
      <c r="BJ155" s="13" t="s">
        <v>76</v>
      </c>
      <c r="BK155" s="130">
        <f t="shared" si="11"/>
        <v>23.24</v>
      </c>
      <c r="BL155" s="13" t="s">
        <v>347</v>
      </c>
      <c r="BM155" s="129" t="s">
        <v>303</v>
      </c>
    </row>
    <row r="156" spans="2:65" s="1" customFormat="1" ht="24" customHeight="1" x14ac:dyDescent="0.2">
      <c r="B156" s="118"/>
      <c r="C156" s="119" t="s">
        <v>305</v>
      </c>
      <c r="D156" s="119" t="s">
        <v>231</v>
      </c>
      <c r="E156" s="120" t="s">
        <v>1145</v>
      </c>
      <c r="F156" s="121" t="s">
        <v>1146</v>
      </c>
      <c r="G156" s="122" t="s">
        <v>243</v>
      </c>
      <c r="H156" s="123">
        <v>4</v>
      </c>
      <c r="I156" s="124">
        <v>5.81</v>
      </c>
      <c r="J156" s="124">
        <f t="shared" si="1"/>
        <v>23.24</v>
      </c>
      <c r="K156" s="121" t="s">
        <v>1</v>
      </c>
      <c r="L156" s="24"/>
      <c r="M156" s="125" t="s">
        <v>1</v>
      </c>
      <c r="N156" s="126" t="s">
        <v>32</v>
      </c>
      <c r="O156" s="127">
        <v>0</v>
      </c>
      <c r="P156" s="127">
        <f t="shared" si="2"/>
        <v>0</v>
      </c>
      <c r="Q156" s="127">
        <v>0</v>
      </c>
      <c r="R156" s="127">
        <f t="shared" si="3"/>
        <v>0</v>
      </c>
      <c r="S156" s="127">
        <v>0</v>
      </c>
      <c r="T156" s="128">
        <f t="shared" si="4"/>
        <v>0</v>
      </c>
      <c r="W156" s="1028"/>
      <c r="X156" s="1029" t="s">
        <v>305</v>
      </c>
      <c r="Y156" s="1029" t="s">
        <v>231</v>
      </c>
      <c r="Z156" s="1030" t="s">
        <v>1145</v>
      </c>
      <c r="AA156" s="1031" t="s">
        <v>1146</v>
      </c>
      <c r="AB156" s="1032" t="s">
        <v>243</v>
      </c>
      <c r="AC156" s="1033">
        <v>4</v>
      </c>
      <c r="AD156" s="1034">
        <v>5.81</v>
      </c>
      <c r="AE156" s="946">
        <f t="shared" si="5"/>
        <v>23.24</v>
      </c>
      <c r="AF156" s="924"/>
      <c r="AR156" s="129" t="s">
        <v>347</v>
      </c>
      <c r="AT156" s="129" t="s">
        <v>231</v>
      </c>
      <c r="AU156" s="129" t="s">
        <v>76</v>
      </c>
      <c r="AY156" s="13" t="s">
        <v>228</v>
      </c>
      <c r="BE156" s="130">
        <f t="shared" si="6"/>
        <v>0</v>
      </c>
      <c r="BF156" s="130">
        <f t="shared" si="7"/>
        <v>23.24</v>
      </c>
      <c r="BG156" s="130">
        <f t="shared" si="8"/>
        <v>0</v>
      </c>
      <c r="BH156" s="130">
        <f t="shared" si="9"/>
        <v>0</v>
      </c>
      <c r="BI156" s="130">
        <f t="shared" si="10"/>
        <v>0</v>
      </c>
      <c r="BJ156" s="13" t="s">
        <v>76</v>
      </c>
      <c r="BK156" s="130">
        <f t="shared" si="11"/>
        <v>23.24</v>
      </c>
      <c r="BL156" s="13" t="s">
        <v>347</v>
      </c>
      <c r="BM156" s="129" t="s">
        <v>308</v>
      </c>
    </row>
    <row r="157" spans="2:65" s="11" customFormat="1" ht="25.95" customHeight="1" x14ac:dyDescent="0.25">
      <c r="B157" s="106"/>
      <c r="D157" s="107" t="s">
        <v>57</v>
      </c>
      <c r="E157" s="108" t="s">
        <v>1943</v>
      </c>
      <c r="F157" s="108" t="s">
        <v>1148</v>
      </c>
      <c r="J157" s="109">
        <f>BK157</f>
        <v>18413.680000000004</v>
      </c>
      <c r="L157" s="106"/>
      <c r="M157" s="110"/>
      <c r="N157" s="111"/>
      <c r="O157" s="111"/>
      <c r="P157" s="112">
        <f>SUM(P158:P167)</f>
        <v>0</v>
      </c>
      <c r="Q157" s="111"/>
      <c r="R157" s="112">
        <f>SUM(R158:R167)</f>
        <v>0</v>
      </c>
      <c r="S157" s="111"/>
      <c r="T157" s="113">
        <f>SUM(T158:T167)</f>
        <v>0</v>
      </c>
      <c r="W157" s="1052"/>
      <c r="X157" s="1055"/>
      <c r="Y157" s="196" t="s">
        <v>57</v>
      </c>
      <c r="Z157" s="197" t="s">
        <v>1943</v>
      </c>
      <c r="AA157" s="197" t="s">
        <v>1148</v>
      </c>
      <c r="AB157" s="1055"/>
      <c r="AC157" s="1055"/>
      <c r="AD157" s="1055"/>
      <c r="AE157" s="198">
        <f>SUM(AE158:AE167)</f>
        <v>18553.080000000005</v>
      </c>
      <c r="AF157" s="924"/>
      <c r="AR157" s="107" t="s">
        <v>235</v>
      </c>
      <c r="AT157" s="114" t="s">
        <v>57</v>
      </c>
      <c r="AU157" s="114" t="s">
        <v>58</v>
      </c>
      <c r="AY157" s="107" t="s">
        <v>228</v>
      </c>
      <c r="BK157" s="115">
        <f>SUM(BK158:BK167)</f>
        <v>18413.680000000004</v>
      </c>
    </row>
    <row r="158" spans="2:65" s="1" customFormat="1" ht="16.5" customHeight="1" x14ac:dyDescent="0.2">
      <c r="B158" s="118"/>
      <c r="C158" s="1070" t="s">
        <v>268</v>
      </c>
      <c r="D158" s="119" t="s">
        <v>231</v>
      </c>
      <c r="E158" s="120" t="s">
        <v>1149</v>
      </c>
      <c r="F158" s="121" t="s">
        <v>1150</v>
      </c>
      <c r="G158" s="122" t="s">
        <v>243</v>
      </c>
      <c r="H158" s="1071">
        <v>102</v>
      </c>
      <c r="I158" s="124">
        <v>6.97</v>
      </c>
      <c r="J158" s="124">
        <f t="shared" ref="J158:J167" si="12">ROUND(I158*H158,2)</f>
        <v>710.94</v>
      </c>
      <c r="K158" s="121" t="s">
        <v>1</v>
      </c>
      <c r="L158" s="24"/>
      <c r="M158" s="125" t="s">
        <v>1</v>
      </c>
      <c r="N158" s="126" t="s">
        <v>32</v>
      </c>
      <c r="O158" s="127">
        <v>0</v>
      </c>
      <c r="P158" s="127">
        <f t="shared" ref="P158:P167" si="13">O158*H158</f>
        <v>0</v>
      </c>
      <c r="Q158" s="127">
        <v>0</v>
      </c>
      <c r="R158" s="127">
        <f t="shared" ref="R158:R167" si="14">Q158*H158</f>
        <v>0</v>
      </c>
      <c r="S158" s="127">
        <v>0</v>
      </c>
      <c r="T158" s="128">
        <f t="shared" ref="T158:T167" si="15">S158*H158</f>
        <v>0</v>
      </c>
      <c r="W158" s="1028"/>
      <c r="X158" s="1070" t="s">
        <v>268</v>
      </c>
      <c r="Y158" s="1029" t="s">
        <v>231</v>
      </c>
      <c r="Z158" s="1030" t="s">
        <v>1149</v>
      </c>
      <c r="AA158" s="1031" t="s">
        <v>1150</v>
      </c>
      <c r="AB158" s="1032" t="s">
        <v>243</v>
      </c>
      <c r="AC158" s="1071">
        <f>102+20</f>
        <v>122</v>
      </c>
      <c r="AD158" s="1034">
        <v>6.97</v>
      </c>
      <c r="AE158" s="946">
        <f t="shared" ref="AE158:AE167" si="16">ROUND(AD158*AC158,2)</f>
        <v>850.34</v>
      </c>
      <c r="AF158" s="924">
        <v>28</v>
      </c>
      <c r="AR158" s="129" t="s">
        <v>1151</v>
      </c>
      <c r="AT158" s="129" t="s">
        <v>231</v>
      </c>
      <c r="AU158" s="129" t="s">
        <v>63</v>
      </c>
      <c r="AY158" s="13" t="s">
        <v>228</v>
      </c>
      <c r="BE158" s="130">
        <f t="shared" ref="BE158:BE167" si="17">IF(N158="základná",J158,0)</f>
        <v>0</v>
      </c>
      <c r="BF158" s="130">
        <f t="shared" ref="BF158:BF167" si="18">IF(N158="znížená",J158,0)</f>
        <v>710.94</v>
      </c>
      <c r="BG158" s="130">
        <f t="shared" ref="BG158:BG167" si="19">IF(N158="zákl. prenesená",J158,0)</f>
        <v>0</v>
      </c>
      <c r="BH158" s="130">
        <f t="shared" ref="BH158:BH167" si="20">IF(N158="zníž. prenesená",J158,0)</f>
        <v>0</v>
      </c>
      <c r="BI158" s="130">
        <f t="shared" ref="BI158:BI167" si="21">IF(N158="nulová",J158,0)</f>
        <v>0</v>
      </c>
      <c r="BJ158" s="13" t="s">
        <v>76</v>
      </c>
      <c r="BK158" s="130">
        <f t="shared" ref="BK158:BK167" si="22">ROUND(I158*H158,2)</f>
        <v>710.94</v>
      </c>
      <c r="BL158" s="13" t="s">
        <v>1151</v>
      </c>
      <c r="BM158" s="129" t="s">
        <v>312</v>
      </c>
    </row>
    <row r="159" spans="2:65" s="1" customFormat="1" ht="24" customHeight="1" x14ac:dyDescent="0.2">
      <c r="B159" s="118"/>
      <c r="C159" s="119" t="s">
        <v>313</v>
      </c>
      <c r="D159" s="119" t="s">
        <v>231</v>
      </c>
      <c r="E159" s="120" t="s">
        <v>1152</v>
      </c>
      <c r="F159" s="121" t="s">
        <v>1153</v>
      </c>
      <c r="G159" s="122" t="s">
        <v>243</v>
      </c>
      <c r="H159" s="123">
        <v>24</v>
      </c>
      <c r="I159" s="124">
        <v>146.29</v>
      </c>
      <c r="J159" s="124">
        <f t="shared" si="12"/>
        <v>3510.96</v>
      </c>
      <c r="K159" s="121" t="s">
        <v>1</v>
      </c>
      <c r="L159" s="24"/>
      <c r="M159" s="125" t="s">
        <v>1</v>
      </c>
      <c r="N159" s="126" t="s">
        <v>32</v>
      </c>
      <c r="O159" s="127">
        <v>0</v>
      </c>
      <c r="P159" s="127">
        <f t="shared" si="13"/>
        <v>0</v>
      </c>
      <c r="Q159" s="127">
        <v>0</v>
      </c>
      <c r="R159" s="127">
        <f t="shared" si="14"/>
        <v>0</v>
      </c>
      <c r="S159" s="127">
        <v>0</v>
      </c>
      <c r="T159" s="128">
        <f t="shared" si="15"/>
        <v>0</v>
      </c>
      <c r="W159" s="1028"/>
      <c r="X159" s="1029" t="s">
        <v>313</v>
      </c>
      <c r="Y159" s="1029" t="s">
        <v>231</v>
      </c>
      <c r="Z159" s="1030" t="s">
        <v>1152</v>
      </c>
      <c r="AA159" s="1031" t="s">
        <v>1153</v>
      </c>
      <c r="AB159" s="1032" t="s">
        <v>243</v>
      </c>
      <c r="AC159" s="1033">
        <v>24</v>
      </c>
      <c r="AD159" s="1034">
        <v>146.29</v>
      </c>
      <c r="AE159" s="946">
        <f t="shared" si="16"/>
        <v>3510.96</v>
      </c>
      <c r="AF159" s="924"/>
      <c r="AR159" s="129" t="s">
        <v>1151</v>
      </c>
      <c r="AT159" s="129" t="s">
        <v>231</v>
      </c>
      <c r="AU159" s="129" t="s">
        <v>63</v>
      </c>
      <c r="AY159" s="13" t="s">
        <v>228</v>
      </c>
      <c r="BE159" s="130">
        <f t="shared" si="17"/>
        <v>0</v>
      </c>
      <c r="BF159" s="130">
        <f t="shared" si="18"/>
        <v>3510.96</v>
      </c>
      <c r="BG159" s="130">
        <f t="shared" si="19"/>
        <v>0</v>
      </c>
      <c r="BH159" s="130">
        <f t="shared" si="20"/>
        <v>0</v>
      </c>
      <c r="BI159" s="130">
        <f t="shared" si="21"/>
        <v>0</v>
      </c>
      <c r="BJ159" s="13" t="s">
        <v>76</v>
      </c>
      <c r="BK159" s="130">
        <f t="shared" si="22"/>
        <v>3510.96</v>
      </c>
      <c r="BL159" s="13" t="s">
        <v>1151</v>
      </c>
      <c r="BM159" s="129" t="s">
        <v>316</v>
      </c>
    </row>
    <row r="160" spans="2:65" s="1" customFormat="1" ht="24" customHeight="1" x14ac:dyDescent="0.2">
      <c r="B160" s="118"/>
      <c r="C160" s="119" t="s">
        <v>272</v>
      </c>
      <c r="D160" s="119" t="s">
        <v>231</v>
      </c>
      <c r="E160" s="120" t="s">
        <v>1154</v>
      </c>
      <c r="F160" s="121" t="s">
        <v>1155</v>
      </c>
      <c r="G160" s="122" t="s">
        <v>243</v>
      </c>
      <c r="H160" s="123">
        <v>4</v>
      </c>
      <c r="I160" s="124">
        <v>1497.69</v>
      </c>
      <c r="J160" s="124">
        <f t="shared" si="12"/>
        <v>5990.76</v>
      </c>
      <c r="K160" s="121" t="s">
        <v>1</v>
      </c>
      <c r="L160" s="24"/>
      <c r="M160" s="125" t="s">
        <v>1</v>
      </c>
      <c r="N160" s="126" t="s">
        <v>32</v>
      </c>
      <c r="O160" s="127">
        <v>0</v>
      </c>
      <c r="P160" s="127">
        <f t="shared" si="13"/>
        <v>0</v>
      </c>
      <c r="Q160" s="127">
        <v>0</v>
      </c>
      <c r="R160" s="127">
        <f t="shared" si="14"/>
        <v>0</v>
      </c>
      <c r="S160" s="127">
        <v>0</v>
      </c>
      <c r="T160" s="128">
        <f t="shared" si="15"/>
        <v>0</v>
      </c>
      <c r="W160" s="1028"/>
      <c r="X160" s="1029" t="s">
        <v>272</v>
      </c>
      <c r="Y160" s="1029" t="s">
        <v>231</v>
      </c>
      <c r="Z160" s="1030" t="s">
        <v>1154</v>
      </c>
      <c r="AA160" s="1031" t="s">
        <v>1155</v>
      </c>
      <c r="AB160" s="1032" t="s">
        <v>243</v>
      </c>
      <c r="AC160" s="1033">
        <v>4</v>
      </c>
      <c r="AD160" s="1034">
        <v>1497.69</v>
      </c>
      <c r="AE160" s="946">
        <f t="shared" si="16"/>
        <v>5990.76</v>
      </c>
      <c r="AF160" s="924"/>
      <c r="AR160" s="129" t="s">
        <v>1151</v>
      </c>
      <c r="AT160" s="129" t="s">
        <v>231</v>
      </c>
      <c r="AU160" s="129" t="s">
        <v>63</v>
      </c>
      <c r="AY160" s="13" t="s">
        <v>228</v>
      </c>
      <c r="BE160" s="130">
        <f t="shared" si="17"/>
        <v>0</v>
      </c>
      <c r="BF160" s="130">
        <f t="shared" si="18"/>
        <v>5990.76</v>
      </c>
      <c r="BG160" s="130">
        <f t="shared" si="19"/>
        <v>0</v>
      </c>
      <c r="BH160" s="130">
        <f t="shared" si="20"/>
        <v>0</v>
      </c>
      <c r="BI160" s="130">
        <f t="shared" si="21"/>
        <v>0</v>
      </c>
      <c r="BJ160" s="13" t="s">
        <v>76</v>
      </c>
      <c r="BK160" s="130">
        <f t="shared" si="22"/>
        <v>5990.76</v>
      </c>
      <c r="BL160" s="13" t="s">
        <v>1151</v>
      </c>
      <c r="BM160" s="129" t="s">
        <v>319</v>
      </c>
    </row>
    <row r="161" spans="2:65" s="1" customFormat="1" ht="16.5" customHeight="1" x14ac:dyDescent="0.2">
      <c r="B161" s="118"/>
      <c r="C161" s="119" t="s">
        <v>320</v>
      </c>
      <c r="D161" s="119" t="s">
        <v>231</v>
      </c>
      <c r="E161" s="120" t="s">
        <v>1156</v>
      </c>
      <c r="F161" s="121" t="s">
        <v>1157</v>
      </c>
      <c r="G161" s="122" t="s">
        <v>243</v>
      </c>
      <c r="H161" s="123">
        <v>4</v>
      </c>
      <c r="I161" s="124">
        <v>1625.4</v>
      </c>
      <c r="J161" s="124">
        <f t="shared" si="12"/>
        <v>6501.6</v>
      </c>
      <c r="K161" s="121" t="s">
        <v>1</v>
      </c>
      <c r="L161" s="24"/>
      <c r="M161" s="125" t="s">
        <v>1</v>
      </c>
      <c r="N161" s="126" t="s">
        <v>32</v>
      </c>
      <c r="O161" s="127">
        <v>0</v>
      </c>
      <c r="P161" s="127">
        <f t="shared" si="13"/>
        <v>0</v>
      </c>
      <c r="Q161" s="127">
        <v>0</v>
      </c>
      <c r="R161" s="127">
        <f t="shared" si="14"/>
        <v>0</v>
      </c>
      <c r="S161" s="127">
        <v>0</v>
      </c>
      <c r="T161" s="128">
        <f t="shared" si="15"/>
        <v>0</v>
      </c>
      <c r="W161" s="1028"/>
      <c r="X161" s="1029" t="s">
        <v>320</v>
      </c>
      <c r="Y161" s="1029" t="s">
        <v>231</v>
      </c>
      <c r="Z161" s="1030" t="s">
        <v>1156</v>
      </c>
      <c r="AA161" s="1031" t="s">
        <v>1157</v>
      </c>
      <c r="AB161" s="1032" t="s">
        <v>243</v>
      </c>
      <c r="AC161" s="1033">
        <v>4</v>
      </c>
      <c r="AD161" s="1034">
        <v>1625.4</v>
      </c>
      <c r="AE161" s="946">
        <f t="shared" si="16"/>
        <v>6501.6</v>
      </c>
      <c r="AF161" s="924"/>
      <c r="AR161" s="129" t="s">
        <v>1151</v>
      </c>
      <c r="AT161" s="129" t="s">
        <v>231</v>
      </c>
      <c r="AU161" s="129" t="s">
        <v>63</v>
      </c>
      <c r="AY161" s="13" t="s">
        <v>228</v>
      </c>
      <c r="BE161" s="130">
        <f t="shared" si="17"/>
        <v>0</v>
      </c>
      <c r="BF161" s="130">
        <f t="shared" si="18"/>
        <v>6501.6</v>
      </c>
      <c r="BG161" s="130">
        <f t="shared" si="19"/>
        <v>0</v>
      </c>
      <c r="BH161" s="130">
        <f t="shared" si="20"/>
        <v>0</v>
      </c>
      <c r="BI161" s="130">
        <f t="shared" si="21"/>
        <v>0</v>
      </c>
      <c r="BJ161" s="13" t="s">
        <v>76</v>
      </c>
      <c r="BK161" s="130">
        <f t="shared" si="22"/>
        <v>6501.6</v>
      </c>
      <c r="BL161" s="13" t="s">
        <v>1151</v>
      </c>
      <c r="BM161" s="129" t="s">
        <v>323</v>
      </c>
    </row>
    <row r="162" spans="2:65" s="1" customFormat="1" ht="16.5" customHeight="1" x14ac:dyDescent="0.2">
      <c r="B162" s="118"/>
      <c r="C162" s="119" t="s">
        <v>276</v>
      </c>
      <c r="D162" s="119" t="s">
        <v>231</v>
      </c>
      <c r="E162" s="120" t="s">
        <v>1158</v>
      </c>
      <c r="F162" s="121" t="s">
        <v>1159</v>
      </c>
      <c r="G162" s="122" t="s">
        <v>243</v>
      </c>
      <c r="H162" s="123">
        <v>64</v>
      </c>
      <c r="I162" s="124">
        <v>2.2400000000000002</v>
      </c>
      <c r="J162" s="124">
        <f t="shared" si="12"/>
        <v>143.36000000000001</v>
      </c>
      <c r="K162" s="121" t="s">
        <v>1</v>
      </c>
      <c r="L162" s="24"/>
      <c r="M162" s="125" t="s">
        <v>1</v>
      </c>
      <c r="N162" s="126" t="s">
        <v>32</v>
      </c>
      <c r="O162" s="127">
        <v>0</v>
      </c>
      <c r="P162" s="127">
        <f t="shared" si="13"/>
        <v>0</v>
      </c>
      <c r="Q162" s="127">
        <v>0</v>
      </c>
      <c r="R162" s="127">
        <f t="shared" si="14"/>
        <v>0</v>
      </c>
      <c r="S162" s="127">
        <v>0</v>
      </c>
      <c r="T162" s="128">
        <f t="shared" si="15"/>
        <v>0</v>
      </c>
      <c r="W162" s="1028"/>
      <c r="X162" s="1029" t="s">
        <v>276</v>
      </c>
      <c r="Y162" s="1029" t="s">
        <v>231</v>
      </c>
      <c r="Z162" s="1030" t="s">
        <v>1158</v>
      </c>
      <c r="AA162" s="1031" t="s">
        <v>1159</v>
      </c>
      <c r="AB162" s="1032" t="s">
        <v>243</v>
      </c>
      <c r="AC162" s="1033">
        <v>64</v>
      </c>
      <c r="AD162" s="1034">
        <v>2.2400000000000002</v>
      </c>
      <c r="AE162" s="946">
        <f t="shared" si="16"/>
        <v>143.36000000000001</v>
      </c>
      <c r="AF162" s="924"/>
      <c r="AR162" s="129" t="s">
        <v>1151</v>
      </c>
      <c r="AT162" s="129" t="s">
        <v>231</v>
      </c>
      <c r="AU162" s="129" t="s">
        <v>63</v>
      </c>
      <c r="AY162" s="13" t="s">
        <v>228</v>
      </c>
      <c r="BE162" s="130">
        <f t="shared" si="17"/>
        <v>0</v>
      </c>
      <c r="BF162" s="130">
        <f t="shared" si="18"/>
        <v>143.36000000000001</v>
      </c>
      <c r="BG162" s="130">
        <f t="shared" si="19"/>
        <v>0</v>
      </c>
      <c r="BH162" s="130">
        <f t="shared" si="20"/>
        <v>0</v>
      </c>
      <c r="BI162" s="130">
        <f t="shared" si="21"/>
        <v>0</v>
      </c>
      <c r="BJ162" s="13" t="s">
        <v>76</v>
      </c>
      <c r="BK162" s="130">
        <f t="shared" si="22"/>
        <v>143.36000000000001</v>
      </c>
      <c r="BL162" s="13" t="s">
        <v>1151</v>
      </c>
      <c r="BM162" s="129" t="s">
        <v>326</v>
      </c>
    </row>
    <row r="163" spans="2:65" s="1" customFormat="1" ht="16.5" customHeight="1" x14ac:dyDescent="0.2">
      <c r="B163" s="118"/>
      <c r="C163" s="119" t="s">
        <v>327</v>
      </c>
      <c r="D163" s="119" t="s">
        <v>231</v>
      </c>
      <c r="E163" s="120" t="s">
        <v>1160</v>
      </c>
      <c r="F163" s="121" t="s">
        <v>1161</v>
      </c>
      <c r="G163" s="122" t="s">
        <v>243</v>
      </c>
      <c r="H163" s="123">
        <v>4</v>
      </c>
      <c r="I163" s="124">
        <v>3.2</v>
      </c>
      <c r="J163" s="124">
        <f t="shared" si="12"/>
        <v>12.8</v>
      </c>
      <c r="K163" s="121" t="s">
        <v>1</v>
      </c>
      <c r="L163" s="24"/>
      <c r="M163" s="125" t="s">
        <v>1</v>
      </c>
      <c r="N163" s="126" t="s">
        <v>32</v>
      </c>
      <c r="O163" s="127">
        <v>0</v>
      </c>
      <c r="P163" s="127">
        <f t="shared" si="13"/>
        <v>0</v>
      </c>
      <c r="Q163" s="127">
        <v>0</v>
      </c>
      <c r="R163" s="127">
        <f t="shared" si="14"/>
        <v>0</v>
      </c>
      <c r="S163" s="127">
        <v>0</v>
      </c>
      <c r="T163" s="128">
        <f t="shared" si="15"/>
        <v>0</v>
      </c>
      <c r="W163" s="1028"/>
      <c r="X163" s="1029" t="s">
        <v>327</v>
      </c>
      <c r="Y163" s="1029" t="s">
        <v>231</v>
      </c>
      <c r="Z163" s="1030" t="s">
        <v>1160</v>
      </c>
      <c r="AA163" s="1031" t="s">
        <v>1161</v>
      </c>
      <c r="AB163" s="1032" t="s">
        <v>243</v>
      </c>
      <c r="AC163" s="1033">
        <v>4</v>
      </c>
      <c r="AD163" s="1034">
        <v>3.2</v>
      </c>
      <c r="AE163" s="946">
        <f t="shared" si="16"/>
        <v>12.8</v>
      </c>
      <c r="AF163" s="924"/>
      <c r="AR163" s="129" t="s">
        <v>1151</v>
      </c>
      <c r="AT163" s="129" t="s">
        <v>231</v>
      </c>
      <c r="AU163" s="129" t="s">
        <v>63</v>
      </c>
      <c r="AY163" s="13" t="s">
        <v>228</v>
      </c>
      <c r="BE163" s="130">
        <f t="shared" si="17"/>
        <v>0</v>
      </c>
      <c r="BF163" s="130">
        <f t="shared" si="18"/>
        <v>12.8</v>
      </c>
      <c r="BG163" s="130">
        <f t="shared" si="19"/>
        <v>0</v>
      </c>
      <c r="BH163" s="130">
        <f t="shared" si="20"/>
        <v>0</v>
      </c>
      <c r="BI163" s="130">
        <f t="shared" si="21"/>
        <v>0</v>
      </c>
      <c r="BJ163" s="13" t="s">
        <v>76</v>
      </c>
      <c r="BK163" s="130">
        <f t="shared" si="22"/>
        <v>12.8</v>
      </c>
      <c r="BL163" s="13" t="s">
        <v>1151</v>
      </c>
      <c r="BM163" s="129" t="s">
        <v>330</v>
      </c>
    </row>
    <row r="164" spans="2:65" s="1" customFormat="1" ht="16.5" customHeight="1" x14ac:dyDescent="0.2">
      <c r="B164" s="118"/>
      <c r="C164" s="119" t="s">
        <v>280</v>
      </c>
      <c r="D164" s="119" t="s">
        <v>231</v>
      </c>
      <c r="E164" s="120" t="s">
        <v>1162</v>
      </c>
      <c r="F164" s="121" t="s">
        <v>1163</v>
      </c>
      <c r="G164" s="122" t="s">
        <v>243</v>
      </c>
      <c r="H164" s="123">
        <v>26</v>
      </c>
      <c r="I164" s="124">
        <v>4.5</v>
      </c>
      <c r="J164" s="124">
        <f t="shared" si="12"/>
        <v>117</v>
      </c>
      <c r="K164" s="121" t="s">
        <v>1</v>
      </c>
      <c r="L164" s="24"/>
      <c r="M164" s="125" t="s">
        <v>1</v>
      </c>
      <c r="N164" s="126" t="s">
        <v>32</v>
      </c>
      <c r="O164" s="127">
        <v>0</v>
      </c>
      <c r="P164" s="127">
        <f t="shared" si="13"/>
        <v>0</v>
      </c>
      <c r="Q164" s="127">
        <v>0</v>
      </c>
      <c r="R164" s="127">
        <f t="shared" si="14"/>
        <v>0</v>
      </c>
      <c r="S164" s="127">
        <v>0</v>
      </c>
      <c r="T164" s="128">
        <f t="shared" si="15"/>
        <v>0</v>
      </c>
      <c r="W164" s="1028"/>
      <c r="X164" s="1029" t="s">
        <v>280</v>
      </c>
      <c r="Y164" s="1029" t="s">
        <v>231</v>
      </c>
      <c r="Z164" s="1030" t="s">
        <v>1162</v>
      </c>
      <c r="AA164" s="1031" t="s">
        <v>1163</v>
      </c>
      <c r="AB164" s="1032" t="s">
        <v>243</v>
      </c>
      <c r="AC164" s="1033">
        <v>26</v>
      </c>
      <c r="AD164" s="1034">
        <v>4.5</v>
      </c>
      <c r="AE164" s="946">
        <f t="shared" si="16"/>
        <v>117</v>
      </c>
      <c r="AF164" s="924"/>
      <c r="AR164" s="129" t="s">
        <v>1151</v>
      </c>
      <c r="AT164" s="129" t="s">
        <v>231</v>
      </c>
      <c r="AU164" s="129" t="s">
        <v>63</v>
      </c>
      <c r="AY164" s="13" t="s">
        <v>228</v>
      </c>
      <c r="BE164" s="130">
        <f t="shared" si="17"/>
        <v>0</v>
      </c>
      <c r="BF164" s="130">
        <f t="shared" si="18"/>
        <v>117</v>
      </c>
      <c r="BG164" s="130">
        <f t="shared" si="19"/>
        <v>0</v>
      </c>
      <c r="BH164" s="130">
        <f t="shared" si="20"/>
        <v>0</v>
      </c>
      <c r="BI164" s="130">
        <f t="shared" si="21"/>
        <v>0</v>
      </c>
      <c r="BJ164" s="13" t="s">
        <v>76</v>
      </c>
      <c r="BK164" s="130">
        <f t="shared" si="22"/>
        <v>117</v>
      </c>
      <c r="BL164" s="13" t="s">
        <v>1151</v>
      </c>
      <c r="BM164" s="129" t="s">
        <v>333</v>
      </c>
    </row>
    <row r="165" spans="2:65" s="1" customFormat="1" ht="16.5" customHeight="1" x14ac:dyDescent="0.2">
      <c r="B165" s="118"/>
      <c r="C165" s="119" t="s">
        <v>334</v>
      </c>
      <c r="D165" s="119" t="s">
        <v>231</v>
      </c>
      <c r="E165" s="120" t="s">
        <v>1166</v>
      </c>
      <c r="F165" s="121" t="s">
        <v>1167</v>
      </c>
      <c r="G165" s="122" t="s">
        <v>243</v>
      </c>
      <c r="H165" s="123">
        <v>6</v>
      </c>
      <c r="I165" s="124">
        <v>4.5</v>
      </c>
      <c r="J165" s="124">
        <f t="shared" si="12"/>
        <v>27</v>
      </c>
      <c r="K165" s="121" t="s">
        <v>1</v>
      </c>
      <c r="L165" s="24"/>
      <c r="M165" s="125" t="s">
        <v>1</v>
      </c>
      <c r="N165" s="126" t="s">
        <v>32</v>
      </c>
      <c r="O165" s="127">
        <v>0</v>
      </c>
      <c r="P165" s="127">
        <f t="shared" si="13"/>
        <v>0</v>
      </c>
      <c r="Q165" s="127">
        <v>0</v>
      </c>
      <c r="R165" s="127">
        <f t="shared" si="14"/>
        <v>0</v>
      </c>
      <c r="S165" s="127">
        <v>0</v>
      </c>
      <c r="T165" s="128">
        <f t="shared" si="15"/>
        <v>0</v>
      </c>
      <c r="W165" s="1028"/>
      <c r="X165" s="1029" t="s">
        <v>334</v>
      </c>
      <c r="Y165" s="1029" t="s">
        <v>231</v>
      </c>
      <c r="Z165" s="1030" t="s">
        <v>1166</v>
      </c>
      <c r="AA165" s="1031" t="s">
        <v>1167</v>
      </c>
      <c r="AB165" s="1032" t="s">
        <v>243</v>
      </c>
      <c r="AC165" s="1033">
        <v>6</v>
      </c>
      <c r="AD165" s="1034">
        <v>4.5</v>
      </c>
      <c r="AE165" s="946">
        <f t="shared" si="16"/>
        <v>27</v>
      </c>
      <c r="AF165" s="924"/>
      <c r="AR165" s="129" t="s">
        <v>1151</v>
      </c>
      <c r="AT165" s="129" t="s">
        <v>231</v>
      </c>
      <c r="AU165" s="129" t="s">
        <v>63</v>
      </c>
      <c r="AY165" s="13" t="s">
        <v>228</v>
      </c>
      <c r="BE165" s="130">
        <f t="shared" si="17"/>
        <v>0</v>
      </c>
      <c r="BF165" s="130">
        <f t="shared" si="18"/>
        <v>27</v>
      </c>
      <c r="BG165" s="130">
        <f t="shared" si="19"/>
        <v>0</v>
      </c>
      <c r="BH165" s="130">
        <f t="shared" si="20"/>
        <v>0</v>
      </c>
      <c r="BI165" s="130">
        <f t="shared" si="21"/>
        <v>0</v>
      </c>
      <c r="BJ165" s="13" t="s">
        <v>76</v>
      </c>
      <c r="BK165" s="130">
        <f t="shared" si="22"/>
        <v>27</v>
      </c>
      <c r="BL165" s="13" t="s">
        <v>1151</v>
      </c>
      <c r="BM165" s="129" t="s">
        <v>337</v>
      </c>
    </row>
    <row r="166" spans="2:65" s="1" customFormat="1" ht="16.5" customHeight="1" x14ac:dyDescent="0.2">
      <c r="B166" s="118"/>
      <c r="C166" s="119" t="s">
        <v>285</v>
      </c>
      <c r="D166" s="119" t="s">
        <v>231</v>
      </c>
      <c r="E166" s="120" t="s">
        <v>1168</v>
      </c>
      <c r="F166" s="121" t="s">
        <v>1169</v>
      </c>
      <c r="G166" s="122" t="s">
        <v>243</v>
      </c>
      <c r="H166" s="123">
        <v>2</v>
      </c>
      <c r="I166" s="124">
        <v>3.03</v>
      </c>
      <c r="J166" s="124">
        <f t="shared" si="12"/>
        <v>6.06</v>
      </c>
      <c r="K166" s="121" t="s">
        <v>1</v>
      </c>
      <c r="L166" s="24"/>
      <c r="M166" s="125" t="s">
        <v>1</v>
      </c>
      <c r="N166" s="126" t="s">
        <v>32</v>
      </c>
      <c r="O166" s="127">
        <v>0</v>
      </c>
      <c r="P166" s="127">
        <f t="shared" si="13"/>
        <v>0</v>
      </c>
      <c r="Q166" s="127">
        <v>0</v>
      </c>
      <c r="R166" s="127">
        <f t="shared" si="14"/>
        <v>0</v>
      </c>
      <c r="S166" s="127">
        <v>0</v>
      </c>
      <c r="T166" s="128">
        <f t="shared" si="15"/>
        <v>0</v>
      </c>
      <c r="W166" s="1028"/>
      <c r="X166" s="1029" t="s">
        <v>285</v>
      </c>
      <c r="Y166" s="1029" t="s">
        <v>231</v>
      </c>
      <c r="Z166" s="1030" t="s">
        <v>1168</v>
      </c>
      <c r="AA166" s="1031" t="s">
        <v>1169</v>
      </c>
      <c r="AB166" s="1032" t="s">
        <v>243</v>
      </c>
      <c r="AC166" s="1033">
        <v>2</v>
      </c>
      <c r="AD166" s="1034">
        <v>3.03</v>
      </c>
      <c r="AE166" s="946">
        <f t="shared" si="16"/>
        <v>6.06</v>
      </c>
      <c r="AF166" s="924"/>
      <c r="AR166" s="129" t="s">
        <v>1151</v>
      </c>
      <c r="AT166" s="129" t="s">
        <v>231</v>
      </c>
      <c r="AU166" s="129" t="s">
        <v>63</v>
      </c>
      <c r="AY166" s="13" t="s">
        <v>228</v>
      </c>
      <c r="BE166" s="130">
        <f t="shared" si="17"/>
        <v>0</v>
      </c>
      <c r="BF166" s="130">
        <f t="shared" si="18"/>
        <v>6.06</v>
      </c>
      <c r="BG166" s="130">
        <f t="shared" si="19"/>
        <v>0</v>
      </c>
      <c r="BH166" s="130">
        <f t="shared" si="20"/>
        <v>0</v>
      </c>
      <c r="BI166" s="130">
        <f t="shared" si="21"/>
        <v>0</v>
      </c>
      <c r="BJ166" s="13" t="s">
        <v>76</v>
      </c>
      <c r="BK166" s="130">
        <f t="shared" si="22"/>
        <v>6.06</v>
      </c>
      <c r="BL166" s="13" t="s">
        <v>1151</v>
      </c>
      <c r="BM166" s="129" t="s">
        <v>340</v>
      </c>
    </row>
    <row r="167" spans="2:65" s="1" customFormat="1" ht="16.5" customHeight="1" x14ac:dyDescent="0.2">
      <c r="B167" s="118"/>
      <c r="C167" s="119" t="s">
        <v>341</v>
      </c>
      <c r="D167" s="119" t="s">
        <v>231</v>
      </c>
      <c r="E167" s="120" t="s">
        <v>1170</v>
      </c>
      <c r="F167" s="121" t="s">
        <v>3512</v>
      </c>
      <c r="G167" s="122" t="s">
        <v>4454</v>
      </c>
      <c r="H167" s="123">
        <v>1</v>
      </c>
      <c r="I167" s="124">
        <v>1393.2</v>
      </c>
      <c r="J167" s="124">
        <f t="shared" si="12"/>
        <v>1393.2</v>
      </c>
      <c r="K167" s="121" t="s">
        <v>1</v>
      </c>
      <c r="L167" s="24"/>
      <c r="M167" s="125" t="s">
        <v>1</v>
      </c>
      <c r="N167" s="126" t="s">
        <v>32</v>
      </c>
      <c r="O167" s="127">
        <v>0</v>
      </c>
      <c r="P167" s="127">
        <f t="shared" si="13"/>
        <v>0</v>
      </c>
      <c r="Q167" s="127">
        <v>0</v>
      </c>
      <c r="R167" s="127">
        <f t="shared" si="14"/>
        <v>0</v>
      </c>
      <c r="S167" s="127">
        <v>0</v>
      </c>
      <c r="T167" s="128">
        <f t="shared" si="15"/>
        <v>0</v>
      </c>
      <c r="W167" s="1028"/>
      <c r="X167" s="1029" t="s">
        <v>341</v>
      </c>
      <c r="Y167" s="1029" t="s">
        <v>231</v>
      </c>
      <c r="Z167" s="1030" t="s">
        <v>1170</v>
      </c>
      <c r="AA167" s="1031" t="s">
        <v>3512</v>
      </c>
      <c r="AB167" s="1032" t="s">
        <v>4454</v>
      </c>
      <c r="AC167" s="1033">
        <v>1</v>
      </c>
      <c r="AD167" s="1034">
        <v>1393.2</v>
      </c>
      <c r="AE167" s="946">
        <f t="shared" si="16"/>
        <v>1393.2</v>
      </c>
      <c r="AF167" s="924"/>
      <c r="AR167" s="129" t="s">
        <v>1151</v>
      </c>
      <c r="AT167" s="129" t="s">
        <v>231</v>
      </c>
      <c r="AU167" s="129" t="s">
        <v>63</v>
      </c>
      <c r="AY167" s="13" t="s">
        <v>228</v>
      </c>
      <c r="BE167" s="130">
        <f t="shared" si="17"/>
        <v>0</v>
      </c>
      <c r="BF167" s="130">
        <f t="shared" si="18"/>
        <v>1393.2</v>
      </c>
      <c r="BG167" s="130">
        <f t="shared" si="19"/>
        <v>0</v>
      </c>
      <c r="BH167" s="130">
        <f t="shared" si="20"/>
        <v>0</v>
      </c>
      <c r="BI167" s="130">
        <f t="shared" si="21"/>
        <v>0</v>
      </c>
      <c r="BJ167" s="13" t="s">
        <v>76</v>
      </c>
      <c r="BK167" s="130">
        <f t="shared" si="22"/>
        <v>1393.2</v>
      </c>
      <c r="BL167" s="13" t="s">
        <v>1151</v>
      </c>
      <c r="BM167" s="129" t="s">
        <v>344</v>
      </c>
    </row>
    <row r="168" spans="2:65" s="1" customFormat="1" ht="7.05" customHeight="1" x14ac:dyDescent="0.2">
      <c r="B168" s="33"/>
      <c r="C168" s="34"/>
      <c r="D168" s="34"/>
      <c r="E168" s="34"/>
      <c r="F168" s="34"/>
      <c r="G168" s="34"/>
      <c r="H168" s="34"/>
      <c r="I168" s="34"/>
      <c r="J168" s="34"/>
      <c r="K168" s="34"/>
      <c r="L168" s="24"/>
      <c r="W168" s="33"/>
      <c r="X168" s="34"/>
      <c r="Y168" s="34"/>
      <c r="Z168" s="34"/>
      <c r="AA168" s="34"/>
      <c r="AB168" s="34"/>
      <c r="AC168" s="34"/>
      <c r="AD168" s="34"/>
      <c r="AE168" s="250"/>
      <c r="AF168" s="924"/>
    </row>
    <row r="169" spans="2:65" ht="12" x14ac:dyDescent="0.2">
      <c r="AF169" s="924"/>
    </row>
  </sheetData>
  <autoFilter ref="C124:K167" xr:uid="{00000000-0009-0000-0000-00001F000000}"/>
  <mergeCells count="29">
    <mergeCell ref="Z114:AE114"/>
    <mergeCell ref="Z115:AC115"/>
    <mergeCell ref="Z117:AC117"/>
    <mergeCell ref="X82:AE82"/>
    <mergeCell ref="Z84:AE84"/>
    <mergeCell ref="Z85:AC85"/>
    <mergeCell ref="Z87:AC87"/>
    <mergeCell ref="X112:AE112"/>
    <mergeCell ref="X4:AE4"/>
    <mergeCell ref="AA6:AE7"/>
    <mergeCell ref="Z9:AC9"/>
    <mergeCell ref="Z18:AC18"/>
    <mergeCell ref="Z27:AC27"/>
    <mergeCell ref="L2:V2"/>
    <mergeCell ref="E9:H9"/>
    <mergeCell ref="E18:H18"/>
    <mergeCell ref="E27:H27"/>
    <mergeCell ref="E85:H85"/>
    <mergeCell ref="C4:J4"/>
    <mergeCell ref="F6:J7"/>
    <mergeCell ref="C82:J82"/>
    <mergeCell ref="E84:J84"/>
    <mergeCell ref="C137:J137"/>
    <mergeCell ref="C138:J138"/>
    <mergeCell ref="E87:H87"/>
    <mergeCell ref="E115:H115"/>
    <mergeCell ref="E117:H117"/>
    <mergeCell ref="C112:J112"/>
    <mergeCell ref="E114:J114"/>
  </mergeCells>
  <pageMargins left="0.39374999999999999" right="0.39374999999999999" top="0.39374999999999999" bottom="0.39374999999999999" header="0" footer="0"/>
  <pageSetup paperSize="9" scale="89" fitToHeight="100" orientation="portrait" blackAndWhite="1" r:id="rId1"/>
  <headerFooter>
    <oddFooter>&amp;CStrana &amp;P z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BM388"/>
  <sheetViews>
    <sheetView showGridLines="0" topLeftCell="F111" zoomScale="80" zoomScaleNormal="80" workbookViewId="0">
      <selection activeCell="AE135" sqref="AE123:AE135"/>
    </sheetView>
  </sheetViews>
  <sheetFormatPr defaultColWidth="8.7109375" defaultRowHeight="12" x14ac:dyDescent="0.2"/>
  <cols>
    <col min="1" max="1" width="8.28515625" customWidth="1"/>
    <col min="2" max="2" width="1.7109375" customWidth="1"/>
    <col min="3" max="4" width="4.28515625" customWidth="1"/>
    <col min="5" max="5" width="17.28515625" customWidth="1"/>
    <col min="6" max="6" width="50.7109375" customWidth="1"/>
    <col min="7" max="7" width="7" customWidth="1"/>
    <col min="8" max="8" width="11.42578125" customWidth="1"/>
    <col min="9" max="10" width="20.28515625" customWidth="1"/>
    <col min="11" max="11" width="20.28515625" hidden="1" customWidth="1"/>
    <col min="12" max="12" width="9.28515625" customWidth="1"/>
    <col min="13" max="13" width="10.7109375" hidden="1" customWidth="1"/>
    <col min="14" max="14" width="9.28515625" hidden="1"/>
    <col min="15" max="20" width="14.28515625" hidden="1" customWidth="1"/>
    <col min="21" max="21" width="16.28515625" hidden="1" customWidth="1"/>
    <col min="22" max="22" width="12.28515625" customWidth="1"/>
    <col min="23" max="23" width="1.7109375" style="237" customWidth="1"/>
    <col min="24" max="24" width="5.28515625" style="237" customWidth="1"/>
    <col min="25" max="25" width="5.42578125" style="237" customWidth="1"/>
    <col min="26" max="26" width="17.28515625" style="237" customWidth="1"/>
    <col min="27" max="27" width="50.7109375" style="237" customWidth="1"/>
    <col min="28" max="28" width="7" style="237" customWidth="1"/>
    <col min="29" max="29" width="11.42578125" style="237" customWidth="1"/>
    <col min="30" max="31" width="20.28515625" style="237" customWidth="1"/>
    <col min="32" max="32" width="12.28515625" style="227" customWidth="1"/>
    <col min="34" max="34" width="13.28515625" bestFit="1" customWidth="1"/>
    <col min="44" max="65" width="9.28515625" hidden="1"/>
  </cols>
  <sheetData>
    <row r="1" spans="1:46" x14ac:dyDescent="0.2">
      <c r="A1" s="73"/>
    </row>
    <row r="2" spans="1:46" ht="37.049999999999997" customHeight="1" x14ac:dyDescent="0.2">
      <c r="L2" s="1227" t="s">
        <v>5</v>
      </c>
      <c r="M2" s="1225"/>
      <c r="N2" s="1225"/>
      <c r="O2" s="1225"/>
      <c r="P2" s="1225"/>
      <c r="Q2" s="1225"/>
      <c r="R2" s="1225"/>
      <c r="S2" s="1225"/>
      <c r="T2" s="1225"/>
      <c r="U2" s="1225"/>
      <c r="V2" s="1225"/>
      <c r="AT2" s="13" t="s">
        <v>155</v>
      </c>
    </row>
    <row r="3" spans="1:46" ht="7.05" customHeight="1" x14ac:dyDescent="0.2">
      <c r="B3" s="14"/>
      <c r="C3" s="15"/>
      <c r="D3" s="15"/>
      <c r="E3" s="15"/>
      <c r="F3" s="15"/>
      <c r="G3" s="15"/>
      <c r="H3" s="15"/>
      <c r="I3" s="15"/>
      <c r="J3" s="15"/>
      <c r="K3" s="15"/>
      <c r="L3" s="16"/>
      <c r="W3" s="152"/>
      <c r="X3" s="153"/>
      <c r="Y3" s="153"/>
      <c r="Z3" s="153"/>
      <c r="AA3" s="153"/>
      <c r="AB3" s="153"/>
      <c r="AC3" s="153"/>
      <c r="AD3" s="153"/>
      <c r="AE3" s="154"/>
      <c r="AT3" s="13" t="s">
        <v>58</v>
      </c>
    </row>
    <row r="4" spans="1:46" ht="25.05" customHeight="1" x14ac:dyDescent="0.2">
      <c r="B4" s="16"/>
      <c r="D4" s="1165" t="s">
        <v>185</v>
      </c>
      <c r="E4" s="1165"/>
      <c r="F4" s="1165"/>
      <c r="G4" s="1165"/>
      <c r="H4" s="1165"/>
      <c r="I4" s="1165"/>
      <c r="J4" s="1165"/>
      <c r="L4" s="16"/>
      <c r="M4" s="74" t="s">
        <v>9</v>
      </c>
      <c r="W4" s="155"/>
      <c r="X4" s="1237" t="s">
        <v>185</v>
      </c>
      <c r="Y4" s="1237"/>
      <c r="Z4" s="1237"/>
      <c r="AA4" s="1237"/>
      <c r="AB4" s="1237"/>
      <c r="AC4" s="1237"/>
      <c r="AD4" s="1237"/>
      <c r="AE4" s="1238"/>
      <c r="AT4" s="13" t="s">
        <v>3</v>
      </c>
    </row>
    <row r="5" spans="1:46" ht="7.05" customHeight="1" x14ac:dyDescent="0.2">
      <c r="B5" s="16"/>
      <c r="L5" s="16"/>
      <c r="W5" s="155"/>
      <c r="X5" s="156"/>
      <c r="Y5" s="156"/>
      <c r="Z5" s="156"/>
      <c r="AA5" s="156"/>
      <c r="AB5" s="156"/>
      <c r="AC5" s="156"/>
      <c r="AD5" s="156"/>
      <c r="AE5" s="157"/>
    </row>
    <row r="6" spans="1:46" ht="12" customHeight="1" x14ac:dyDescent="0.2">
      <c r="B6" s="16"/>
      <c r="D6" s="548" t="s">
        <v>12</v>
      </c>
      <c r="F6" s="1254" t="s">
        <v>6176</v>
      </c>
      <c r="G6" s="1254"/>
      <c r="H6" s="1254"/>
      <c r="I6" s="1254"/>
      <c r="J6" s="1254"/>
      <c r="L6" s="16"/>
      <c r="W6" s="155"/>
      <c r="X6" s="156"/>
      <c r="Y6" s="541" t="s">
        <v>12</v>
      </c>
      <c r="Z6" s="156"/>
      <c r="AA6" s="1239" t="s">
        <v>6176</v>
      </c>
      <c r="AB6" s="1239"/>
      <c r="AC6" s="1239"/>
      <c r="AD6" s="1239"/>
      <c r="AE6" s="1240"/>
    </row>
    <row r="7" spans="1:46" ht="21.45" customHeight="1" x14ac:dyDescent="0.2">
      <c r="B7" s="16"/>
      <c r="D7" s="527"/>
      <c r="E7" s="531"/>
      <c r="F7" s="1254"/>
      <c r="G7" s="1254"/>
      <c r="H7" s="1254"/>
      <c r="I7" s="1254"/>
      <c r="J7" s="1254"/>
      <c r="L7" s="16"/>
      <c r="W7" s="155"/>
      <c r="X7" s="156"/>
      <c r="Y7" s="539"/>
      <c r="Z7" s="554"/>
      <c r="AA7" s="1239"/>
      <c r="AB7" s="1239"/>
      <c r="AC7" s="1239"/>
      <c r="AD7" s="1239"/>
      <c r="AE7" s="1240"/>
    </row>
    <row r="8" spans="1:46" s="1" customFormat="1" ht="12" customHeight="1" x14ac:dyDescent="0.2">
      <c r="B8" s="24"/>
      <c r="D8" s="549" t="s">
        <v>186</v>
      </c>
      <c r="F8" s="532" t="s">
        <v>4455</v>
      </c>
      <c r="L8" s="24"/>
      <c r="W8" s="158"/>
      <c r="X8" s="557"/>
      <c r="Y8" s="550" t="s">
        <v>186</v>
      </c>
      <c r="Z8" s="557"/>
      <c r="AA8" s="555" t="s">
        <v>4455</v>
      </c>
      <c r="AB8" s="557"/>
      <c r="AC8" s="557"/>
      <c r="AD8" s="557"/>
      <c r="AE8" s="159"/>
      <c r="AF8" s="227"/>
    </row>
    <row r="9" spans="1:46" s="1" customFormat="1" ht="37.049999999999997" customHeight="1" x14ac:dyDescent="0.2">
      <c r="B9" s="24"/>
      <c r="D9" s="521"/>
      <c r="E9" s="1251"/>
      <c r="F9" s="1252"/>
      <c r="G9" s="1252"/>
      <c r="H9" s="1252"/>
      <c r="L9" s="24"/>
      <c r="W9" s="158"/>
      <c r="X9" s="557"/>
      <c r="Y9" s="557"/>
      <c r="Z9" s="1245"/>
      <c r="AA9" s="1246"/>
      <c r="AB9" s="1246"/>
      <c r="AC9" s="1246"/>
      <c r="AD9" s="557"/>
      <c r="AE9" s="159"/>
      <c r="AF9" s="227"/>
    </row>
    <row r="10" spans="1:46" s="1" customFormat="1" x14ac:dyDescent="0.2">
      <c r="B10" s="24"/>
      <c r="D10" s="521"/>
      <c r="L10" s="24"/>
      <c r="W10" s="158"/>
      <c r="X10" s="557"/>
      <c r="Y10" s="557"/>
      <c r="Z10" s="557"/>
      <c r="AA10" s="557"/>
      <c r="AB10" s="557"/>
      <c r="AC10" s="557"/>
      <c r="AD10" s="557"/>
      <c r="AE10" s="159"/>
      <c r="AF10" s="227"/>
    </row>
    <row r="11" spans="1:46" s="1" customFormat="1" ht="12" customHeight="1" x14ac:dyDescent="0.2">
      <c r="B11" s="24"/>
      <c r="D11" s="528" t="s">
        <v>13</v>
      </c>
      <c r="F11" s="19" t="s">
        <v>1</v>
      </c>
      <c r="I11" s="528" t="s">
        <v>14</v>
      </c>
      <c r="J11" s="19" t="s">
        <v>1</v>
      </c>
      <c r="L11" s="24"/>
      <c r="W11" s="158"/>
      <c r="X11" s="557"/>
      <c r="Y11" s="538" t="s">
        <v>13</v>
      </c>
      <c r="Z11" s="557"/>
      <c r="AA11" s="558" t="s">
        <v>1</v>
      </c>
      <c r="AB11" s="557"/>
      <c r="AC11" s="557"/>
      <c r="AD11" s="538" t="s">
        <v>14</v>
      </c>
      <c r="AE11" s="161" t="s">
        <v>1</v>
      </c>
      <c r="AF11" s="227"/>
    </row>
    <row r="12" spans="1:46" s="1" customFormat="1" ht="12" customHeight="1" x14ac:dyDescent="0.2">
      <c r="B12" s="24"/>
      <c r="D12" s="528" t="s">
        <v>15</v>
      </c>
      <c r="F12" s="520" t="s">
        <v>6173</v>
      </c>
      <c r="I12" s="528" t="s">
        <v>17</v>
      </c>
      <c r="J12" s="39"/>
      <c r="L12" s="24"/>
      <c r="W12" s="158"/>
      <c r="X12" s="557"/>
      <c r="Y12" s="538" t="s">
        <v>15</v>
      </c>
      <c r="Z12" s="557"/>
      <c r="AA12" s="558" t="s">
        <v>6173</v>
      </c>
      <c r="AB12" s="557"/>
      <c r="AC12" s="557"/>
      <c r="AD12" s="538" t="s">
        <v>17</v>
      </c>
      <c r="AE12" s="162"/>
      <c r="AF12" s="227"/>
    </row>
    <row r="13" spans="1:46" s="1" customFormat="1" ht="10.95" customHeight="1" x14ac:dyDescent="0.2">
      <c r="B13" s="24"/>
      <c r="D13" s="521"/>
      <c r="F13" s="521"/>
      <c r="I13" s="521"/>
      <c r="L13" s="24"/>
      <c r="W13" s="158"/>
      <c r="X13" s="557"/>
      <c r="Y13" s="557"/>
      <c r="Z13" s="557"/>
      <c r="AA13" s="557"/>
      <c r="AB13" s="557"/>
      <c r="AC13" s="557"/>
      <c r="AD13" s="557"/>
      <c r="AE13" s="159"/>
      <c r="AF13" s="227"/>
    </row>
    <row r="14" spans="1:46" s="1" customFormat="1" ht="12" customHeight="1" x14ac:dyDescent="0.2">
      <c r="B14" s="24"/>
      <c r="D14" s="528" t="s">
        <v>18</v>
      </c>
      <c r="F14" s="529" t="s">
        <v>6175</v>
      </c>
      <c r="I14" s="528" t="s">
        <v>19</v>
      </c>
      <c r="J14" s="19" t="str">
        <f>IF('Rekapitulácia stavby'!AN10="","",'Rekapitulácia stavby'!AN10)</f>
        <v/>
      </c>
      <c r="L14" s="24"/>
      <c r="W14" s="158"/>
      <c r="X14" s="557"/>
      <c r="Y14" s="538" t="s">
        <v>18</v>
      </c>
      <c r="Z14" s="557"/>
      <c r="AA14" s="576" t="s">
        <v>6175</v>
      </c>
      <c r="AB14" s="557"/>
      <c r="AC14" s="557"/>
      <c r="AD14" s="538" t="s">
        <v>19</v>
      </c>
      <c r="AE14" s="161" t="str">
        <f>IF('Rekapitulácia stavby'!BI10="","",'Rekapitulácia stavby'!BI10)</f>
        <v/>
      </c>
      <c r="AF14" s="227"/>
    </row>
    <row r="15" spans="1:46" s="1" customFormat="1" ht="18" customHeight="1" x14ac:dyDescent="0.2">
      <c r="B15" s="24"/>
      <c r="D15" s="521"/>
      <c r="E15" s="19" t="str">
        <f>IF('Rekapitulácia stavby'!E11="","",'Rekapitulácia stavby'!E11)</f>
        <v/>
      </c>
      <c r="F15" s="521"/>
      <c r="I15" s="528" t="s">
        <v>20</v>
      </c>
      <c r="J15" s="19" t="str">
        <f>IF('Rekapitulácia stavby'!AN11="","",'Rekapitulácia stavby'!AN11)</f>
        <v/>
      </c>
      <c r="L15" s="24"/>
      <c r="W15" s="158"/>
      <c r="X15" s="557"/>
      <c r="Y15" s="557"/>
      <c r="Z15" s="558" t="str">
        <f>IF('Rekapitulácia stavby'!Z11="","",'Rekapitulácia stavby'!Z11)</f>
        <v/>
      </c>
      <c r="AA15" s="557"/>
      <c r="AB15" s="557"/>
      <c r="AC15" s="557"/>
      <c r="AD15" s="538" t="s">
        <v>20</v>
      </c>
      <c r="AE15" s="161" t="str">
        <f>IF('Rekapitulácia stavby'!BI11="","",'Rekapitulácia stavby'!BI11)</f>
        <v/>
      </c>
      <c r="AF15" s="227"/>
    </row>
    <row r="16" spans="1:46" s="1" customFormat="1" ht="7.05" customHeight="1" x14ac:dyDescent="0.2">
      <c r="B16" s="24"/>
      <c r="D16" s="521"/>
      <c r="F16" s="521"/>
      <c r="I16" s="521"/>
      <c r="L16" s="24"/>
      <c r="W16" s="158"/>
      <c r="X16" s="557"/>
      <c r="Y16" s="557"/>
      <c r="Z16" s="557"/>
      <c r="AA16" s="557"/>
      <c r="AB16" s="557"/>
      <c r="AC16" s="557"/>
      <c r="AD16" s="557"/>
      <c r="AE16" s="159"/>
      <c r="AF16" s="227"/>
    </row>
    <row r="17" spans="2:32" s="1" customFormat="1" ht="12" customHeight="1" x14ac:dyDescent="0.2">
      <c r="B17" s="24"/>
      <c r="D17" s="528" t="s">
        <v>21</v>
      </c>
      <c r="F17" s="529" t="s">
        <v>5202</v>
      </c>
      <c r="I17" s="528" t="s">
        <v>19</v>
      </c>
      <c r="J17" s="19"/>
      <c r="L17" s="24"/>
      <c r="W17" s="158"/>
      <c r="X17" s="557"/>
      <c r="Y17" s="538" t="s">
        <v>21</v>
      </c>
      <c r="Z17" s="557"/>
      <c r="AA17" s="576" t="s">
        <v>5202</v>
      </c>
      <c r="AB17" s="557"/>
      <c r="AC17" s="557"/>
      <c r="AD17" s="538" t="s">
        <v>19</v>
      </c>
      <c r="AE17" s="161"/>
      <c r="AF17" s="227"/>
    </row>
    <row r="18" spans="2:32" s="1" customFormat="1" ht="18" customHeight="1" x14ac:dyDescent="0.2">
      <c r="B18" s="24"/>
      <c r="D18" s="521"/>
      <c r="E18" s="1161"/>
      <c r="F18" s="1161"/>
      <c r="G18" s="1161"/>
      <c r="H18" s="1161"/>
      <c r="I18" s="528" t="s">
        <v>20</v>
      </c>
      <c r="J18" s="19" t="str">
        <f>'Rekapitulácia stavby'!AN14</f>
        <v/>
      </c>
      <c r="L18" s="24"/>
      <c r="W18" s="158"/>
      <c r="X18" s="557"/>
      <c r="Y18" s="557"/>
      <c r="Z18" s="1247"/>
      <c r="AA18" s="1247"/>
      <c r="AB18" s="1247"/>
      <c r="AC18" s="1247"/>
      <c r="AD18" s="538" t="s">
        <v>20</v>
      </c>
      <c r="AE18" s="161"/>
      <c r="AF18" s="227"/>
    </row>
    <row r="19" spans="2:32" s="1" customFormat="1" ht="7.05" customHeight="1" x14ac:dyDescent="0.2">
      <c r="B19" s="24"/>
      <c r="D19" s="521"/>
      <c r="I19" s="521"/>
      <c r="L19" s="24"/>
      <c r="W19" s="158"/>
      <c r="X19" s="557"/>
      <c r="Y19" s="557"/>
      <c r="Z19" s="557"/>
      <c r="AA19" s="557"/>
      <c r="AB19" s="557"/>
      <c r="AC19" s="557"/>
      <c r="AD19" s="557"/>
      <c r="AE19" s="159"/>
      <c r="AF19" s="227"/>
    </row>
    <row r="20" spans="2:32" s="1" customFormat="1" ht="12" customHeight="1" x14ac:dyDescent="0.2">
      <c r="B20" s="24"/>
      <c r="D20" s="528" t="s">
        <v>22</v>
      </c>
      <c r="I20" s="528" t="s">
        <v>19</v>
      </c>
      <c r="J20" s="19" t="str">
        <f>IF('Rekapitulácia stavby'!AN16="","",'Rekapitulácia stavby'!AN16)</f>
        <v/>
      </c>
      <c r="L20" s="24"/>
      <c r="W20" s="158"/>
      <c r="X20" s="557"/>
      <c r="Y20" s="538" t="s">
        <v>22</v>
      </c>
      <c r="Z20" s="557"/>
      <c r="AA20" s="557"/>
      <c r="AB20" s="557"/>
      <c r="AC20" s="557"/>
      <c r="AD20" s="538" t="s">
        <v>19</v>
      </c>
      <c r="AE20" s="161" t="str">
        <f>IF('Rekapitulácia stavby'!BI16="","",'Rekapitulácia stavby'!BI16)</f>
        <v/>
      </c>
      <c r="AF20" s="227"/>
    </row>
    <row r="21" spans="2:32" s="1" customFormat="1" ht="18" customHeight="1" x14ac:dyDescent="0.2">
      <c r="B21" s="24"/>
      <c r="D21" s="521"/>
      <c r="E21" s="19" t="str">
        <f>IF('Rekapitulácia stavby'!E17="","",'Rekapitulácia stavby'!E17)</f>
        <v xml:space="preserve"> </v>
      </c>
      <c r="I21" s="528" t="s">
        <v>20</v>
      </c>
      <c r="J21" s="19" t="str">
        <f>IF('Rekapitulácia stavby'!AN17="","",'Rekapitulácia stavby'!AN17)</f>
        <v/>
      </c>
      <c r="L21" s="24"/>
      <c r="W21" s="158"/>
      <c r="X21" s="557"/>
      <c r="Y21" s="557"/>
      <c r="Z21" s="558" t="str">
        <f>IF('Rekapitulácia stavby'!Z17="","",'Rekapitulácia stavby'!Z17)</f>
        <v/>
      </c>
      <c r="AA21" s="557"/>
      <c r="AB21" s="557"/>
      <c r="AC21" s="557"/>
      <c r="AD21" s="538" t="s">
        <v>20</v>
      </c>
      <c r="AE21" s="161" t="str">
        <f>IF('Rekapitulácia stavby'!BI17="","",'Rekapitulácia stavby'!BI17)</f>
        <v/>
      </c>
      <c r="AF21" s="227"/>
    </row>
    <row r="22" spans="2:32" s="1" customFormat="1" ht="7.05" customHeight="1" x14ac:dyDescent="0.2">
      <c r="B22" s="24"/>
      <c r="D22" s="521"/>
      <c r="I22" s="521"/>
      <c r="L22" s="24"/>
      <c r="W22" s="158"/>
      <c r="X22" s="557"/>
      <c r="Y22" s="557"/>
      <c r="Z22" s="557"/>
      <c r="AA22" s="557"/>
      <c r="AB22" s="557"/>
      <c r="AC22" s="557"/>
      <c r="AD22" s="557"/>
      <c r="AE22" s="159"/>
      <c r="AF22" s="227"/>
    </row>
    <row r="23" spans="2:32" s="1" customFormat="1" ht="12" customHeight="1" x14ac:dyDescent="0.2">
      <c r="B23" s="24"/>
      <c r="D23" s="528" t="s">
        <v>24</v>
      </c>
      <c r="I23" s="528" t="s">
        <v>19</v>
      </c>
      <c r="J23" s="19" t="str">
        <f>IF('Rekapitulácia stavby'!AN19="","",'Rekapitulácia stavby'!AN19)</f>
        <v/>
      </c>
      <c r="L23" s="24"/>
      <c r="W23" s="158"/>
      <c r="X23" s="557"/>
      <c r="Y23" s="538" t="s">
        <v>24</v>
      </c>
      <c r="Z23" s="557"/>
      <c r="AA23" s="557"/>
      <c r="AB23" s="557"/>
      <c r="AC23" s="557"/>
      <c r="AD23" s="538" t="s">
        <v>19</v>
      </c>
      <c r="AE23" s="161" t="str">
        <f>IF('Rekapitulácia stavby'!BI19="","",'Rekapitulácia stavby'!BI19)</f>
        <v/>
      </c>
      <c r="AF23" s="227"/>
    </row>
    <row r="24" spans="2:32" s="1" customFormat="1" ht="18" customHeight="1" x14ac:dyDescent="0.2">
      <c r="B24" s="24"/>
      <c r="D24" s="521"/>
      <c r="E24" s="19" t="str">
        <f>IF('Rekapitulácia stavby'!E20="","",'Rekapitulácia stavby'!E20)</f>
        <v xml:space="preserve"> </v>
      </c>
      <c r="I24" s="528" t="s">
        <v>20</v>
      </c>
      <c r="J24" s="19" t="str">
        <f>IF('Rekapitulácia stavby'!AN20="","",'Rekapitulácia stavby'!AN20)</f>
        <v/>
      </c>
      <c r="L24" s="24"/>
      <c r="W24" s="158"/>
      <c r="X24" s="557"/>
      <c r="Y24" s="557"/>
      <c r="Z24" s="558" t="str">
        <f>IF('Rekapitulácia stavby'!Z20="","",'Rekapitulácia stavby'!Z20)</f>
        <v/>
      </c>
      <c r="AA24" s="557"/>
      <c r="AB24" s="557"/>
      <c r="AC24" s="557"/>
      <c r="AD24" s="538" t="s">
        <v>20</v>
      </c>
      <c r="AE24" s="161" t="str">
        <f>IF('Rekapitulácia stavby'!BI20="","",'Rekapitulácia stavby'!BI20)</f>
        <v/>
      </c>
      <c r="AF24" s="227"/>
    </row>
    <row r="25" spans="2:32" s="1" customFormat="1" ht="7.05" customHeight="1" x14ac:dyDescent="0.2">
      <c r="B25" s="24"/>
      <c r="D25" s="521"/>
      <c r="L25" s="24"/>
      <c r="W25" s="158"/>
      <c r="X25" s="557"/>
      <c r="Y25" s="557"/>
      <c r="Z25" s="557"/>
      <c r="AA25" s="557"/>
      <c r="AB25" s="557"/>
      <c r="AC25" s="557"/>
      <c r="AD25" s="557"/>
      <c r="AE25" s="159"/>
      <c r="AF25" s="227"/>
    </row>
    <row r="26" spans="2:32" s="1" customFormat="1" ht="12" customHeight="1" x14ac:dyDescent="0.2">
      <c r="B26" s="24"/>
      <c r="D26" s="528" t="s">
        <v>25</v>
      </c>
      <c r="L26" s="24"/>
      <c r="W26" s="158"/>
      <c r="X26" s="557"/>
      <c r="Y26" s="538" t="s">
        <v>25</v>
      </c>
      <c r="Z26" s="557"/>
      <c r="AA26" s="557"/>
      <c r="AB26" s="557"/>
      <c r="AC26" s="557"/>
      <c r="AD26" s="557"/>
      <c r="AE26" s="159"/>
      <c r="AF26" s="227"/>
    </row>
    <row r="27" spans="2:32" s="7" customFormat="1" ht="16.5" customHeight="1" x14ac:dyDescent="0.2">
      <c r="B27" s="75"/>
      <c r="E27" s="1228" t="s">
        <v>1</v>
      </c>
      <c r="F27" s="1228"/>
      <c r="G27" s="1228"/>
      <c r="H27" s="1228"/>
      <c r="L27" s="75"/>
      <c r="W27" s="163"/>
      <c r="X27" s="164"/>
      <c r="Y27" s="164"/>
      <c r="Z27" s="1248" t="s">
        <v>1</v>
      </c>
      <c r="AA27" s="1248"/>
      <c r="AB27" s="1248"/>
      <c r="AC27" s="1248"/>
      <c r="AD27" s="164"/>
      <c r="AE27" s="165"/>
      <c r="AF27" s="247"/>
    </row>
    <row r="28" spans="2:32" s="1" customFormat="1" ht="7.05" customHeight="1" x14ac:dyDescent="0.2">
      <c r="B28" s="24"/>
      <c r="L28" s="24"/>
      <c r="W28" s="158"/>
      <c r="X28" s="557"/>
      <c r="Y28" s="557"/>
      <c r="Z28" s="557"/>
      <c r="AA28" s="557"/>
      <c r="AB28" s="557"/>
      <c r="AC28" s="557"/>
      <c r="AD28" s="557"/>
      <c r="AE28" s="159"/>
      <c r="AF28" s="227"/>
    </row>
    <row r="29" spans="2:32" s="1" customFormat="1" ht="7.05" customHeight="1" x14ac:dyDescent="0.2">
      <c r="B29" s="24"/>
      <c r="D29" s="40"/>
      <c r="E29" s="40"/>
      <c r="F29" s="40"/>
      <c r="G29" s="40"/>
      <c r="H29" s="40"/>
      <c r="I29" s="40"/>
      <c r="J29" s="40"/>
      <c r="K29" s="40"/>
      <c r="L29" s="24"/>
      <c r="W29" s="158"/>
      <c r="X29" s="557"/>
      <c r="Y29" s="40"/>
      <c r="Z29" s="40"/>
      <c r="AA29" s="40"/>
      <c r="AB29" s="40"/>
      <c r="AC29" s="40"/>
      <c r="AD29" s="40"/>
      <c r="AE29" s="166"/>
      <c r="AF29" s="227"/>
    </row>
    <row r="30" spans="2:32" s="1" customFormat="1" ht="25.2" customHeight="1" x14ac:dyDescent="0.2">
      <c r="B30" s="24"/>
      <c r="D30" s="76" t="s">
        <v>26</v>
      </c>
      <c r="J30" s="53">
        <f>ROUND(J155, 2)</f>
        <v>32199.97</v>
      </c>
      <c r="L30" s="24"/>
      <c r="W30" s="158"/>
      <c r="X30" s="557"/>
      <c r="Y30" s="167" t="s">
        <v>26</v>
      </c>
      <c r="Z30" s="557"/>
      <c r="AA30" s="557"/>
      <c r="AB30" s="557"/>
      <c r="AC30" s="557"/>
      <c r="AD30" s="557"/>
      <c r="AE30" s="168">
        <f>ROUND(AE155, 2)</f>
        <v>43311.68</v>
      </c>
      <c r="AF30" s="227"/>
    </row>
    <row r="31" spans="2:32" s="1" customFormat="1" ht="7.05" customHeight="1" x14ac:dyDescent="0.2">
      <c r="B31" s="24"/>
      <c r="D31" s="40"/>
      <c r="E31" s="40"/>
      <c r="F31" s="40"/>
      <c r="G31" s="40"/>
      <c r="H31" s="40"/>
      <c r="I31" s="40"/>
      <c r="J31" s="40"/>
      <c r="K31" s="40"/>
      <c r="L31" s="24"/>
      <c r="W31" s="158"/>
      <c r="X31" s="557"/>
      <c r="Y31" s="40"/>
      <c r="Z31" s="40"/>
      <c r="AA31" s="40"/>
      <c r="AB31" s="40"/>
      <c r="AC31" s="40"/>
      <c r="AD31" s="40"/>
      <c r="AE31" s="166"/>
      <c r="AF31" s="227"/>
    </row>
    <row r="32" spans="2:32" s="1" customFormat="1" ht="14.55" customHeight="1" x14ac:dyDescent="0.2">
      <c r="B32" s="24"/>
      <c r="D32" s="521"/>
      <c r="E32" s="521"/>
      <c r="F32" s="534" t="s">
        <v>28</v>
      </c>
      <c r="G32" s="521"/>
      <c r="H32" s="521"/>
      <c r="I32" s="534" t="s">
        <v>27</v>
      </c>
      <c r="J32" s="534" t="s">
        <v>29</v>
      </c>
      <c r="L32" s="24"/>
      <c r="W32" s="158"/>
      <c r="X32" s="557"/>
      <c r="Y32" s="557"/>
      <c r="Z32" s="557"/>
      <c r="AA32" s="542" t="s">
        <v>28</v>
      </c>
      <c r="AB32" s="557"/>
      <c r="AC32" s="557"/>
      <c r="AD32" s="542" t="s">
        <v>27</v>
      </c>
      <c r="AE32" s="543" t="s">
        <v>29</v>
      </c>
      <c r="AF32" s="227"/>
    </row>
    <row r="33" spans="2:32" s="1" customFormat="1" ht="14.55" customHeight="1" x14ac:dyDescent="0.2">
      <c r="B33" s="24"/>
      <c r="D33" s="13" t="s">
        <v>30</v>
      </c>
      <c r="E33" s="528" t="s">
        <v>31</v>
      </c>
      <c r="F33" s="398">
        <f>ROUND((SUM(BE155:BE387)),  2)</f>
        <v>0</v>
      </c>
      <c r="G33" s="521"/>
      <c r="H33" s="521"/>
      <c r="I33" s="535">
        <v>0.2</v>
      </c>
      <c r="J33" s="398">
        <f>ROUND(((SUM(BE155:BE387))*I33),  2)</f>
        <v>0</v>
      </c>
      <c r="L33" s="24"/>
      <c r="W33" s="158"/>
      <c r="X33" s="557"/>
      <c r="Y33" s="544" t="s">
        <v>30</v>
      </c>
      <c r="Z33" s="538" t="s">
        <v>31</v>
      </c>
      <c r="AA33" s="545">
        <f>ROUND((SUM(BZ155:BZ387)),  2)</f>
        <v>0</v>
      </c>
      <c r="AB33" s="557"/>
      <c r="AC33" s="557"/>
      <c r="AD33" s="546">
        <v>0.2</v>
      </c>
      <c r="AE33" s="547">
        <f>ROUND(((SUM(BZ155:BZ387))*AD33),  2)</f>
        <v>0</v>
      </c>
      <c r="AF33" s="227"/>
    </row>
    <row r="34" spans="2:32" s="1" customFormat="1" ht="14.55" customHeight="1" x14ac:dyDescent="0.2">
      <c r="B34" s="24"/>
      <c r="D34" s="521"/>
      <c r="E34" s="528" t="s">
        <v>32</v>
      </c>
      <c r="F34" s="398">
        <f>ROUND((SUM(BF155:BF387)),  2)</f>
        <v>32199.97</v>
      </c>
      <c r="G34" s="521"/>
      <c r="H34" s="521"/>
      <c r="I34" s="535">
        <v>0.2</v>
      </c>
      <c r="J34" s="398">
        <f>ROUND(((SUM(BF155:BF387))*I34),  2)</f>
        <v>6439.99</v>
      </c>
      <c r="L34" s="24"/>
      <c r="W34" s="158"/>
      <c r="X34" s="557"/>
      <c r="Y34" s="557"/>
      <c r="Z34" s="538" t="s">
        <v>32</v>
      </c>
      <c r="AA34" s="545">
        <f>AE30</f>
        <v>43311.68</v>
      </c>
      <c r="AB34" s="557"/>
      <c r="AC34" s="557"/>
      <c r="AD34" s="546">
        <v>0.2</v>
      </c>
      <c r="AE34" s="547">
        <f>AE30*0.2</f>
        <v>8662.3360000000011</v>
      </c>
      <c r="AF34" s="227"/>
    </row>
    <row r="35" spans="2:32" s="1" customFormat="1" ht="14.55" hidden="1" customHeight="1" x14ac:dyDescent="0.2">
      <c r="B35" s="24"/>
      <c r="E35" s="21" t="s">
        <v>33</v>
      </c>
      <c r="F35" s="78">
        <f>ROUND((SUM(BG155:BG387)),  2)</f>
        <v>0</v>
      </c>
      <c r="I35" s="79">
        <v>0.2</v>
      </c>
      <c r="J35" s="78">
        <f>0</f>
        <v>0</v>
      </c>
      <c r="L35" s="24"/>
      <c r="W35" s="158"/>
      <c r="X35" s="557"/>
      <c r="Y35" s="557"/>
      <c r="Z35" s="559" t="s">
        <v>33</v>
      </c>
      <c r="AA35" s="170">
        <f>ROUND((SUM(CB155:CB387)),  2)</f>
        <v>0</v>
      </c>
      <c r="AB35" s="557"/>
      <c r="AC35" s="557"/>
      <c r="AD35" s="171">
        <v>0.2</v>
      </c>
      <c r="AE35" s="172">
        <f>0</f>
        <v>0</v>
      </c>
      <c r="AF35" s="227"/>
    </row>
    <row r="36" spans="2:32" s="1" customFormat="1" ht="14.55" hidden="1" customHeight="1" x14ac:dyDescent="0.2">
      <c r="B36" s="24"/>
      <c r="E36" s="21" t="s">
        <v>34</v>
      </c>
      <c r="F36" s="78">
        <f>ROUND((SUM(BH155:BH387)),  2)</f>
        <v>0</v>
      </c>
      <c r="I36" s="79">
        <v>0.2</v>
      </c>
      <c r="J36" s="78">
        <f>0</f>
        <v>0</v>
      </c>
      <c r="L36" s="24"/>
      <c r="W36" s="158"/>
      <c r="X36" s="557"/>
      <c r="Y36" s="557"/>
      <c r="Z36" s="559" t="s">
        <v>34</v>
      </c>
      <c r="AA36" s="170">
        <f>ROUND((SUM(CC155:CC387)),  2)</f>
        <v>0</v>
      </c>
      <c r="AB36" s="557"/>
      <c r="AC36" s="557"/>
      <c r="AD36" s="171">
        <v>0.2</v>
      </c>
      <c r="AE36" s="172">
        <f>0</f>
        <v>0</v>
      </c>
      <c r="AF36" s="227"/>
    </row>
    <row r="37" spans="2:32" s="1" customFormat="1" ht="14.55" hidden="1" customHeight="1" x14ac:dyDescent="0.2">
      <c r="B37" s="24"/>
      <c r="E37" s="21" t="s">
        <v>35</v>
      </c>
      <c r="F37" s="78">
        <f>ROUND((SUM(BI155:BI387)),  2)</f>
        <v>0</v>
      </c>
      <c r="I37" s="79">
        <v>0</v>
      </c>
      <c r="J37" s="78">
        <f>0</f>
        <v>0</v>
      </c>
      <c r="L37" s="24"/>
      <c r="W37" s="158"/>
      <c r="X37" s="557"/>
      <c r="Y37" s="557"/>
      <c r="Z37" s="559" t="s">
        <v>35</v>
      </c>
      <c r="AA37" s="170">
        <f>ROUND((SUM(CD155:CD387)),  2)</f>
        <v>0</v>
      </c>
      <c r="AB37" s="557"/>
      <c r="AC37" s="557"/>
      <c r="AD37" s="171">
        <v>0</v>
      </c>
      <c r="AE37" s="172">
        <f>0</f>
        <v>0</v>
      </c>
      <c r="AF37" s="227"/>
    </row>
    <row r="38" spans="2:32" s="1" customFormat="1" ht="7.05" customHeight="1" x14ac:dyDescent="0.2">
      <c r="B38" s="24"/>
      <c r="L38" s="24"/>
      <c r="W38" s="158"/>
      <c r="X38" s="557"/>
      <c r="Y38" s="557"/>
      <c r="Z38" s="557"/>
      <c r="AA38" s="557"/>
      <c r="AB38" s="557"/>
      <c r="AC38" s="557"/>
      <c r="AD38" s="557"/>
      <c r="AE38" s="159"/>
      <c r="AF38" s="227"/>
    </row>
    <row r="39" spans="2:32" s="1" customFormat="1" ht="25.2" customHeight="1" x14ac:dyDescent="0.2">
      <c r="B39" s="24"/>
      <c r="C39" s="80"/>
      <c r="D39" s="81" t="s">
        <v>36</v>
      </c>
      <c r="E39" s="44"/>
      <c r="F39" s="44"/>
      <c r="G39" s="82" t="s">
        <v>37</v>
      </c>
      <c r="H39" s="83" t="s">
        <v>38</v>
      </c>
      <c r="I39" s="44"/>
      <c r="J39" s="84">
        <f>SUM(J30:J37)</f>
        <v>38639.96</v>
      </c>
      <c r="K39" s="85"/>
      <c r="L39" s="24"/>
      <c r="W39" s="158"/>
      <c r="X39" s="173"/>
      <c r="Y39" s="81" t="s">
        <v>36</v>
      </c>
      <c r="Z39" s="44"/>
      <c r="AA39" s="44"/>
      <c r="AB39" s="82" t="s">
        <v>37</v>
      </c>
      <c r="AC39" s="83" t="s">
        <v>38</v>
      </c>
      <c r="AD39" s="44"/>
      <c r="AE39" s="174">
        <f>SUM(AE30:AE37)</f>
        <v>51974.016000000003</v>
      </c>
      <c r="AF39" s="227"/>
    </row>
    <row r="40" spans="2:32" s="1" customFormat="1" ht="14.55" customHeight="1" x14ac:dyDescent="0.2">
      <c r="B40" s="24"/>
      <c r="L40" s="24"/>
      <c r="W40" s="158"/>
      <c r="X40" s="557"/>
      <c r="Y40" s="557"/>
      <c r="Z40" s="557"/>
      <c r="AA40" s="557"/>
      <c r="AB40" s="557"/>
      <c r="AC40" s="557"/>
      <c r="AD40" s="557"/>
      <c r="AE40" s="159"/>
      <c r="AF40" s="227"/>
    </row>
    <row r="41" spans="2:32" ht="14.55" customHeight="1" x14ac:dyDescent="0.2">
      <c r="B41" s="16"/>
      <c r="L41" s="16"/>
      <c r="W41" s="155"/>
      <c r="X41" s="156"/>
      <c r="Y41" s="156"/>
      <c r="Z41" s="156"/>
      <c r="AA41" s="156"/>
      <c r="AB41" s="156"/>
      <c r="AC41" s="156"/>
      <c r="AD41" s="156"/>
      <c r="AE41" s="157"/>
    </row>
    <row r="42" spans="2:32" ht="14.55" customHeight="1" x14ac:dyDescent="0.2">
      <c r="B42" s="16"/>
      <c r="L42" s="16"/>
      <c r="W42" s="155"/>
      <c r="X42" s="156"/>
      <c r="Y42" s="156"/>
      <c r="Z42" s="156"/>
      <c r="AA42" s="156"/>
      <c r="AB42" s="156"/>
      <c r="AC42" s="156"/>
      <c r="AD42" s="156"/>
      <c r="AE42" s="157"/>
    </row>
    <row r="43" spans="2:32" ht="14.55" customHeight="1" x14ac:dyDescent="0.2">
      <c r="B43" s="16"/>
      <c r="L43" s="16"/>
      <c r="W43" s="155"/>
      <c r="X43" s="156"/>
      <c r="Y43" s="156"/>
      <c r="Z43" s="156"/>
      <c r="AA43" s="156"/>
      <c r="AB43" s="156"/>
      <c r="AC43" s="156"/>
      <c r="AD43" s="156"/>
      <c r="AE43" s="157"/>
    </row>
    <row r="44" spans="2:32" ht="14.55" customHeight="1" x14ac:dyDescent="0.2">
      <c r="B44" s="16"/>
      <c r="L44" s="16"/>
      <c r="W44" s="155"/>
      <c r="X44" s="156"/>
      <c r="Y44" s="156"/>
      <c r="Z44" s="156"/>
      <c r="AA44" s="156"/>
      <c r="AB44" s="156"/>
      <c r="AC44" s="156"/>
      <c r="AD44" s="156"/>
      <c r="AE44" s="157"/>
    </row>
    <row r="45" spans="2:32" ht="14.55" customHeight="1" x14ac:dyDescent="0.2">
      <c r="B45" s="16"/>
      <c r="L45" s="16"/>
      <c r="W45" s="155"/>
      <c r="X45" s="156"/>
      <c r="Y45" s="156"/>
      <c r="Z45" s="156"/>
      <c r="AA45" s="156"/>
      <c r="AB45" s="156"/>
      <c r="AC45" s="156"/>
      <c r="AD45" s="156"/>
      <c r="AE45" s="157"/>
    </row>
    <row r="46" spans="2:32" ht="14.55" customHeight="1" x14ac:dyDescent="0.2">
      <c r="B46" s="16"/>
      <c r="L46" s="16"/>
      <c r="W46" s="155"/>
      <c r="X46" s="156"/>
      <c r="Y46" s="156"/>
      <c r="Z46" s="156"/>
      <c r="AA46" s="156"/>
      <c r="AB46" s="156"/>
      <c r="AC46" s="156"/>
      <c r="AD46" s="156"/>
      <c r="AE46" s="157"/>
    </row>
    <row r="47" spans="2:32" ht="14.55" customHeight="1" x14ac:dyDescent="0.2">
      <c r="B47" s="16"/>
      <c r="L47" s="16"/>
      <c r="W47" s="155"/>
      <c r="X47" s="156"/>
      <c r="Y47" s="156"/>
      <c r="Z47" s="156"/>
      <c r="AA47" s="156"/>
      <c r="AB47" s="156"/>
      <c r="AC47" s="156"/>
      <c r="AD47" s="156"/>
      <c r="AE47" s="157"/>
    </row>
    <row r="48" spans="2:32" ht="14.55" customHeight="1" x14ac:dyDescent="0.2">
      <c r="B48" s="16"/>
      <c r="L48" s="16"/>
      <c r="W48" s="155"/>
      <c r="X48" s="156"/>
      <c r="Y48" s="156"/>
      <c r="Z48" s="156"/>
      <c r="AA48" s="156"/>
      <c r="AB48" s="156"/>
      <c r="AC48" s="156"/>
      <c r="AD48" s="156"/>
      <c r="AE48" s="157"/>
    </row>
    <row r="49" spans="2:32" ht="14.55" customHeight="1" x14ac:dyDescent="0.2">
      <c r="B49" s="16"/>
      <c r="D49" s="156"/>
      <c r="E49" s="156"/>
      <c r="F49" s="156"/>
      <c r="G49" s="156"/>
      <c r="H49" s="156"/>
      <c r="I49" s="156"/>
      <c r="J49" s="156"/>
      <c r="L49" s="16"/>
      <c r="W49" s="155"/>
      <c r="X49" s="156"/>
      <c r="Y49" s="156"/>
      <c r="Z49" s="156"/>
      <c r="AA49" s="156"/>
      <c r="AB49" s="156"/>
      <c r="AC49" s="156"/>
      <c r="AD49" s="156"/>
      <c r="AE49" s="157"/>
    </row>
    <row r="50" spans="2:32" s="1" customFormat="1" ht="14.55" customHeight="1" x14ac:dyDescent="0.2">
      <c r="B50" s="24"/>
      <c r="D50" s="530"/>
      <c r="E50" s="523"/>
      <c r="F50" s="523"/>
      <c r="G50" s="530"/>
      <c r="H50" s="523"/>
      <c r="I50" s="523"/>
      <c r="J50" s="523"/>
      <c r="K50" s="32"/>
      <c r="L50" s="24"/>
      <c r="W50" s="158"/>
      <c r="X50" s="557"/>
      <c r="Y50" s="530"/>
      <c r="Z50" s="557"/>
      <c r="AA50" s="557"/>
      <c r="AB50" s="530"/>
      <c r="AC50" s="557"/>
      <c r="AD50" s="557"/>
      <c r="AE50" s="159"/>
      <c r="AF50" s="227"/>
    </row>
    <row r="51" spans="2:32" x14ac:dyDescent="0.2">
      <c r="B51" s="16"/>
      <c r="D51" s="156"/>
      <c r="E51" s="156"/>
      <c r="F51" s="156"/>
      <c r="G51" s="156"/>
      <c r="H51" s="156"/>
      <c r="I51" s="156"/>
      <c r="J51" s="156"/>
      <c r="L51" s="16"/>
      <c r="W51" s="155"/>
      <c r="X51" s="156"/>
      <c r="Y51" s="156"/>
      <c r="Z51" s="156"/>
      <c r="AA51" s="156"/>
      <c r="AB51" s="156"/>
      <c r="AC51" s="156"/>
      <c r="AD51" s="156"/>
      <c r="AE51" s="157"/>
    </row>
    <row r="52" spans="2:32" x14ac:dyDescent="0.2">
      <c r="B52" s="16"/>
      <c r="D52" s="156"/>
      <c r="E52" s="156"/>
      <c r="F52" s="156"/>
      <c r="G52" s="156"/>
      <c r="H52" s="156"/>
      <c r="I52" s="156"/>
      <c r="J52" s="156"/>
      <c r="L52" s="16"/>
      <c r="W52" s="155"/>
      <c r="X52" s="156"/>
      <c r="Y52" s="156"/>
      <c r="Z52" s="156"/>
      <c r="AA52" s="156"/>
      <c r="AB52" s="156"/>
      <c r="AC52" s="156"/>
      <c r="AD52" s="156"/>
      <c r="AE52" s="157"/>
    </row>
    <row r="53" spans="2:32" x14ac:dyDescent="0.2">
      <c r="B53" s="16"/>
      <c r="D53" s="156"/>
      <c r="E53" s="156"/>
      <c r="F53" s="156"/>
      <c r="G53" s="156"/>
      <c r="H53" s="156"/>
      <c r="I53" s="156"/>
      <c r="J53" s="156"/>
      <c r="L53" s="16"/>
      <c r="W53" s="155"/>
      <c r="X53" s="156"/>
      <c r="Y53" s="156"/>
      <c r="Z53" s="156"/>
      <c r="AA53" s="156"/>
      <c r="AB53" s="156"/>
      <c r="AC53" s="156"/>
      <c r="AD53" s="156"/>
      <c r="AE53" s="157"/>
    </row>
    <row r="54" spans="2:32" x14ac:dyDescent="0.2">
      <c r="B54" s="16"/>
      <c r="D54" s="156"/>
      <c r="E54" s="156"/>
      <c r="F54" s="156"/>
      <c r="G54" s="156"/>
      <c r="H54" s="156"/>
      <c r="I54" s="156"/>
      <c r="J54" s="156"/>
      <c r="L54" s="16"/>
      <c r="W54" s="155"/>
      <c r="X54" s="156"/>
      <c r="Y54" s="156"/>
      <c r="Z54" s="156"/>
      <c r="AA54" s="156"/>
      <c r="AB54" s="156"/>
      <c r="AC54" s="156"/>
      <c r="AD54" s="156"/>
      <c r="AE54" s="157"/>
    </row>
    <row r="55" spans="2:32" x14ac:dyDescent="0.2">
      <c r="B55" s="16"/>
      <c r="D55" s="156"/>
      <c r="E55" s="156"/>
      <c r="F55" s="156"/>
      <c r="G55" s="156"/>
      <c r="H55" s="156"/>
      <c r="I55" s="156"/>
      <c r="J55" s="156"/>
      <c r="L55" s="16"/>
      <c r="W55" s="155"/>
      <c r="X55" s="156"/>
      <c r="Y55" s="156"/>
      <c r="Z55" s="156"/>
      <c r="AA55" s="156"/>
      <c r="AB55" s="156"/>
      <c r="AC55" s="156"/>
      <c r="AD55" s="156"/>
      <c r="AE55" s="157"/>
    </row>
    <row r="56" spans="2:32" x14ac:dyDescent="0.2">
      <c r="B56" s="16"/>
      <c r="D56" s="156"/>
      <c r="E56" s="156"/>
      <c r="F56" s="156"/>
      <c r="G56" s="156"/>
      <c r="H56" s="156"/>
      <c r="I56" s="156"/>
      <c r="J56" s="156"/>
      <c r="L56" s="16"/>
      <c r="W56" s="155"/>
      <c r="X56" s="156"/>
      <c r="Y56" s="156"/>
      <c r="Z56" s="156"/>
      <c r="AA56" s="156"/>
      <c r="AB56" s="156"/>
      <c r="AC56" s="156"/>
      <c r="AD56" s="156"/>
      <c r="AE56" s="157"/>
    </row>
    <row r="57" spans="2:32" x14ac:dyDescent="0.2">
      <c r="B57" s="16"/>
      <c r="D57" s="156"/>
      <c r="E57" s="156"/>
      <c r="F57" s="156"/>
      <c r="G57" s="156"/>
      <c r="H57" s="156"/>
      <c r="I57" s="156"/>
      <c r="J57" s="156"/>
      <c r="L57" s="16"/>
      <c r="W57" s="155"/>
      <c r="X57" s="156"/>
      <c r="Y57" s="156"/>
      <c r="Z57" s="156"/>
      <c r="AA57" s="156"/>
      <c r="AB57" s="156"/>
      <c r="AC57" s="156"/>
      <c r="AD57" s="156"/>
      <c r="AE57" s="157"/>
    </row>
    <row r="58" spans="2:32" x14ac:dyDescent="0.2">
      <c r="B58" s="16"/>
      <c r="D58" s="156"/>
      <c r="E58" s="156"/>
      <c r="F58" s="156"/>
      <c r="G58" s="156"/>
      <c r="H58" s="156"/>
      <c r="I58" s="156"/>
      <c r="J58" s="156"/>
      <c r="L58" s="16"/>
      <c r="W58" s="155"/>
      <c r="X58" s="156"/>
      <c r="Y58" s="156"/>
      <c r="Z58" s="156"/>
      <c r="AA58" s="156"/>
      <c r="AB58" s="156"/>
      <c r="AC58" s="156"/>
      <c r="AD58" s="156"/>
      <c r="AE58" s="157"/>
    </row>
    <row r="59" spans="2:32" x14ac:dyDescent="0.2">
      <c r="B59" s="16"/>
      <c r="D59" s="156"/>
      <c r="E59" s="156"/>
      <c r="F59" s="156"/>
      <c r="G59" s="156"/>
      <c r="H59" s="156"/>
      <c r="I59" s="156"/>
      <c r="J59" s="156"/>
      <c r="L59" s="16"/>
      <c r="W59" s="155"/>
      <c r="X59" s="156"/>
      <c r="Y59" s="156"/>
      <c r="Z59" s="156"/>
      <c r="AA59" s="156"/>
      <c r="AB59" s="156"/>
      <c r="AC59" s="156"/>
      <c r="AD59" s="156"/>
      <c r="AE59" s="157"/>
    </row>
    <row r="60" spans="2:32" x14ac:dyDescent="0.2">
      <c r="B60" s="16"/>
      <c r="D60" s="156"/>
      <c r="E60" s="156"/>
      <c r="F60" s="156"/>
      <c r="G60" s="156"/>
      <c r="H60" s="156"/>
      <c r="I60" s="156"/>
      <c r="J60" s="156"/>
      <c r="L60" s="16"/>
      <c r="W60" s="155"/>
      <c r="X60" s="156"/>
      <c r="Y60" s="156"/>
      <c r="Z60" s="156"/>
      <c r="AA60" s="156"/>
      <c r="AB60" s="156"/>
      <c r="AC60" s="156"/>
      <c r="AD60" s="156"/>
      <c r="AE60" s="157"/>
    </row>
    <row r="61" spans="2:32" s="1" customFormat="1" ht="13.2" x14ac:dyDescent="0.2">
      <c r="B61" s="24"/>
      <c r="D61" s="522"/>
      <c r="E61" s="523"/>
      <c r="F61" s="536"/>
      <c r="G61" s="522"/>
      <c r="H61" s="523"/>
      <c r="I61" s="523"/>
      <c r="J61" s="169"/>
      <c r="K61" s="26"/>
      <c r="L61" s="24"/>
      <c r="W61" s="158"/>
      <c r="X61" s="557"/>
      <c r="Y61" s="559"/>
      <c r="Z61" s="557"/>
      <c r="AA61" s="536"/>
      <c r="AB61" s="559"/>
      <c r="AC61" s="557"/>
      <c r="AD61" s="557"/>
      <c r="AE61" s="577"/>
      <c r="AF61" s="227"/>
    </row>
    <row r="62" spans="2:32" x14ac:dyDescent="0.2">
      <c r="B62" s="16"/>
      <c r="D62" s="156"/>
      <c r="E62" s="156"/>
      <c r="F62" s="156"/>
      <c r="G62" s="156"/>
      <c r="H62" s="156"/>
      <c r="I62" s="156"/>
      <c r="J62" s="156"/>
      <c r="L62" s="16"/>
      <c r="W62" s="155"/>
      <c r="X62" s="156"/>
      <c r="Y62" s="156"/>
      <c r="Z62" s="156"/>
      <c r="AA62" s="156"/>
      <c r="AB62" s="156"/>
      <c r="AC62" s="156"/>
      <c r="AD62" s="156"/>
      <c r="AE62" s="157"/>
    </row>
    <row r="63" spans="2:32" x14ac:dyDescent="0.2">
      <c r="B63" s="16"/>
      <c r="D63" s="156"/>
      <c r="E63" s="156"/>
      <c r="F63" s="156"/>
      <c r="G63" s="156"/>
      <c r="H63" s="156"/>
      <c r="I63" s="156"/>
      <c r="J63" s="156"/>
      <c r="L63" s="16"/>
      <c r="W63" s="155"/>
      <c r="X63" s="156"/>
      <c r="Y63" s="156"/>
      <c r="Z63" s="156"/>
      <c r="AA63" s="156"/>
      <c r="AB63" s="156"/>
      <c r="AC63" s="156"/>
      <c r="AD63" s="156"/>
      <c r="AE63" s="157"/>
    </row>
    <row r="64" spans="2:32" x14ac:dyDescent="0.2">
      <c r="B64" s="16"/>
      <c r="D64" s="156"/>
      <c r="E64" s="156"/>
      <c r="F64" s="156"/>
      <c r="G64" s="156"/>
      <c r="H64" s="156"/>
      <c r="I64" s="156"/>
      <c r="J64" s="156"/>
      <c r="L64" s="16"/>
      <c r="W64" s="155"/>
      <c r="X64" s="156"/>
      <c r="Y64" s="156"/>
      <c r="Z64" s="156"/>
      <c r="AA64" s="156"/>
      <c r="AB64" s="156"/>
      <c r="AC64" s="156"/>
      <c r="AD64" s="156"/>
      <c r="AE64" s="157"/>
    </row>
    <row r="65" spans="2:32" s="1" customFormat="1" ht="13.2" x14ac:dyDescent="0.2">
      <c r="B65" s="24"/>
      <c r="D65" s="530"/>
      <c r="E65" s="523"/>
      <c r="F65" s="523"/>
      <c r="G65" s="530"/>
      <c r="H65" s="523"/>
      <c r="I65" s="523"/>
      <c r="J65" s="523"/>
      <c r="K65" s="32"/>
      <c r="L65" s="24"/>
      <c r="W65" s="158"/>
      <c r="X65" s="557"/>
      <c r="Y65" s="530"/>
      <c r="Z65" s="557"/>
      <c r="AA65" s="557"/>
      <c r="AB65" s="530"/>
      <c r="AC65" s="557"/>
      <c r="AD65" s="557"/>
      <c r="AE65" s="159"/>
      <c r="AF65" s="227"/>
    </row>
    <row r="66" spans="2:32" x14ac:dyDescent="0.2">
      <c r="B66" s="16"/>
      <c r="D66" s="156"/>
      <c r="E66" s="156"/>
      <c r="F66" s="156"/>
      <c r="G66" s="156"/>
      <c r="H66" s="156"/>
      <c r="I66" s="156"/>
      <c r="J66" s="156"/>
      <c r="L66" s="16"/>
      <c r="W66" s="155"/>
      <c r="X66" s="156"/>
      <c r="Y66" s="156"/>
      <c r="Z66" s="156"/>
      <c r="AA66" s="156"/>
      <c r="AB66" s="156"/>
      <c r="AC66" s="156"/>
      <c r="AD66" s="156"/>
      <c r="AE66" s="157"/>
    </row>
    <row r="67" spans="2:32" x14ac:dyDescent="0.2">
      <c r="B67" s="16"/>
      <c r="D67" s="156"/>
      <c r="E67" s="156"/>
      <c r="F67" s="156"/>
      <c r="G67" s="156"/>
      <c r="H67" s="156"/>
      <c r="I67" s="156"/>
      <c r="J67" s="156"/>
      <c r="L67" s="16"/>
      <c r="W67" s="155"/>
      <c r="X67" s="156"/>
      <c r="Y67" s="156"/>
      <c r="Z67" s="156"/>
      <c r="AA67" s="156"/>
      <c r="AB67" s="156"/>
      <c r="AC67" s="156"/>
      <c r="AD67" s="156"/>
      <c r="AE67" s="157"/>
    </row>
    <row r="68" spans="2:32" x14ac:dyDescent="0.2">
      <c r="B68" s="16"/>
      <c r="D68" s="156"/>
      <c r="E68" s="156"/>
      <c r="F68" s="156"/>
      <c r="G68" s="156"/>
      <c r="H68" s="156"/>
      <c r="I68" s="156"/>
      <c r="J68" s="156"/>
      <c r="L68" s="16"/>
      <c r="W68" s="155"/>
      <c r="X68" s="156"/>
      <c r="Y68" s="156"/>
      <c r="Z68" s="156"/>
      <c r="AA68" s="156"/>
      <c r="AB68" s="156"/>
      <c r="AC68" s="156"/>
      <c r="AD68" s="156"/>
      <c r="AE68" s="157"/>
    </row>
    <row r="69" spans="2:32" x14ac:dyDescent="0.2">
      <c r="B69" s="16"/>
      <c r="D69" s="156"/>
      <c r="E69" s="156"/>
      <c r="F69" s="156"/>
      <c r="G69" s="156"/>
      <c r="H69" s="156"/>
      <c r="I69" s="156"/>
      <c r="J69" s="156"/>
      <c r="L69" s="16"/>
      <c r="W69" s="155"/>
      <c r="X69" s="156"/>
      <c r="Y69" s="156"/>
      <c r="Z69" s="156"/>
      <c r="AA69" s="156"/>
      <c r="AB69" s="156"/>
      <c r="AC69" s="156"/>
      <c r="AD69" s="156"/>
      <c r="AE69" s="157"/>
    </row>
    <row r="70" spans="2:32" x14ac:dyDescent="0.2">
      <c r="B70" s="16"/>
      <c r="D70" s="156"/>
      <c r="E70" s="156"/>
      <c r="F70" s="156"/>
      <c r="G70" s="156"/>
      <c r="H70" s="156"/>
      <c r="I70" s="156"/>
      <c r="J70" s="156"/>
      <c r="L70" s="16"/>
      <c r="W70" s="155"/>
      <c r="X70" s="156"/>
      <c r="Y70" s="156"/>
      <c r="Z70" s="156"/>
      <c r="AA70" s="156"/>
      <c r="AB70" s="156"/>
      <c r="AC70" s="156"/>
      <c r="AD70" s="156"/>
      <c r="AE70" s="157"/>
    </row>
    <row r="71" spans="2:32" x14ac:dyDescent="0.2">
      <c r="B71" s="16"/>
      <c r="D71" s="156"/>
      <c r="E71" s="156"/>
      <c r="F71" s="156"/>
      <c r="G71" s="156"/>
      <c r="H71" s="156"/>
      <c r="I71" s="156"/>
      <c r="J71" s="156"/>
      <c r="L71" s="16"/>
      <c r="W71" s="155"/>
      <c r="X71" s="156"/>
      <c r="Y71" s="156"/>
      <c r="Z71" s="156"/>
      <c r="AA71" s="156"/>
      <c r="AB71" s="156"/>
      <c r="AC71" s="156"/>
      <c r="AD71" s="156"/>
      <c r="AE71" s="157"/>
    </row>
    <row r="72" spans="2:32" x14ac:dyDescent="0.2">
      <c r="B72" s="16"/>
      <c r="D72" s="156"/>
      <c r="E72" s="156"/>
      <c r="F72" s="156"/>
      <c r="G72" s="156"/>
      <c r="H72" s="156"/>
      <c r="I72" s="156"/>
      <c r="J72" s="156"/>
      <c r="L72" s="16"/>
      <c r="W72" s="155"/>
      <c r="X72" s="156"/>
      <c r="Y72" s="156"/>
      <c r="Z72" s="156"/>
      <c r="AA72" s="156"/>
      <c r="AB72" s="156"/>
      <c r="AC72" s="156"/>
      <c r="AD72" s="156"/>
      <c r="AE72" s="157"/>
    </row>
    <row r="73" spans="2:32" x14ac:dyDescent="0.2">
      <c r="B73" s="16"/>
      <c r="D73" s="156"/>
      <c r="E73" s="156"/>
      <c r="F73" s="156"/>
      <c r="G73" s="156"/>
      <c r="H73" s="156"/>
      <c r="I73" s="156"/>
      <c r="J73" s="156"/>
      <c r="L73" s="16"/>
      <c r="W73" s="155"/>
      <c r="X73" s="156"/>
      <c r="Y73" s="156"/>
      <c r="Z73" s="156"/>
      <c r="AA73" s="156"/>
      <c r="AB73" s="156"/>
      <c r="AC73" s="156"/>
      <c r="AD73" s="156"/>
      <c r="AE73" s="157"/>
    </row>
    <row r="74" spans="2:32" x14ac:dyDescent="0.2">
      <c r="B74" s="16"/>
      <c r="D74" s="156"/>
      <c r="E74" s="156"/>
      <c r="F74" s="156"/>
      <c r="G74" s="156"/>
      <c r="H74" s="156"/>
      <c r="I74" s="156"/>
      <c r="J74" s="156"/>
      <c r="L74" s="16"/>
      <c r="W74" s="155"/>
      <c r="X74" s="156"/>
      <c r="Y74" s="156"/>
      <c r="Z74" s="156"/>
      <c r="AA74" s="156"/>
      <c r="AB74" s="156"/>
      <c r="AC74" s="156"/>
      <c r="AD74" s="156"/>
      <c r="AE74" s="157"/>
    </row>
    <row r="75" spans="2:32" x14ac:dyDescent="0.2">
      <c r="B75" s="16"/>
      <c r="D75" s="156"/>
      <c r="E75" s="156"/>
      <c r="F75" s="156"/>
      <c r="G75" s="156"/>
      <c r="H75" s="156"/>
      <c r="I75" s="156"/>
      <c r="J75" s="156"/>
      <c r="L75" s="16"/>
      <c r="W75" s="155"/>
      <c r="X75" s="156"/>
      <c r="Y75" s="156"/>
      <c r="Z75" s="156"/>
      <c r="AA75" s="156"/>
      <c r="AB75" s="156"/>
      <c r="AC75" s="156"/>
      <c r="AD75" s="156"/>
      <c r="AE75" s="157"/>
    </row>
    <row r="76" spans="2:32" s="1" customFormat="1" ht="13.2" x14ac:dyDescent="0.2">
      <c r="B76" s="24"/>
      <c r="D76" s="522"/>
      <c r="E76" s="523"/>
      <c r="F76" s="536"/>
      <c r="G76" s="522"/>
      <c r="H76" s="523"/>
      <c r="I76" s="523"/>
      <c r="J76" s="169"/>
      <c r="K76" s="26"/>
      <c r="L76" s="24"/>
      <c r="W76" s="158"/>
      <c r="X76" s="557"/>
      <c r="Y76" s="559"/>
      <c r="Z76" s="557"/>
      <c r="AA76" s="536"/>
      <c r="AB76" s="559"/>
      <c r="AC76" s="557"/>
      <c r="AD76" s="557"/>
      <c r="AE76" s="577"/>
      <c r="AF76" s="227"/>
    </row>
    <row r="77" spans="2:32" s="1" customFormat="1" ht="14.55" customHeight="1" x14ac:dyDescent="0.2">
      <c r="B77" s="33"/>
      <c r="C77" s="34"/>
      <c r="D77" s="34"/>
      <c r="E77" s="34"/>
      <c r="F77" s="34"/>
      <c r="G77" s="34"/>
      <c r="H77" s="34"/>
      <c r="I77" s="34"/>
      <c r="J77" s="34"/>
      <c r="K77" s="34"/>
      <c r="L77" s="24"/>
      <c r="W77" s="175"/>
      <c r="X77" s="176"/>
      <c r="Y77" s="176"/>
      <c r="Z77" s="176"/>
      <c r="AA77" s="176"/>
      <c r="AB77" s="176"/>
      <c r="AC77" s="176"/>
      <c r="AD77" s="176"/>
      <c r="AE77" s="177"/>
      <c r="AF77" s="227"/>
    </row>
    <row r="81" spans="2:47" s="1" customFormat="1" ht="7.05" customHeight="1" x14ac:dyDescent="0.2">
      <c r="B81" s="35"/>
      <c r="C81" s="36"/>
      <c r="D81" s="36"/>
      <c r="E81" s="36"/>
      <c r="F81" s="36"/>
      <c r="G81" s="36"/>
      <c r="H81" s="36"/>
      <c r="I81" s="36"/>
      <c r="J81" s="36"/>
      <c r="K81" s="36"/>
      <c r="L81" s="24"/>
      <c r="W81" s="178"/>
      <c r="X81" s="179"/>
      <c r="Y81" s="179"/>
      <c r="Z81" s="179"/>
      <c r="AA81" s="179"/>
      <c r="AB81" s="179"/>
      <c r="AC81" s="179"/>
      <c r="AD81" s="179"/>
      <c r="AE81" s="180"/>
      <c r="AF81" s="227"/>
    </row>
    <row r="82" spans="2:47" s="1" customFormat="1" ht="25.05" customHeight="1" x14ac:dyDescent="0.2">
      <c r="B82" s="24"/>
      <c r="C82" s="1165" t="s">
        <v>188</v>
      </c>
      <c r="D82" s="1165"/>
      <c r="E82" s="1165"/>
      <c r="F82" s="1165"/>
      <c r="G82" s="1165"/>
      <c r="H82" s="1165"/>
      <c r="I82" s="1165"/>
      <c r="J82" s="1165"/>
      <c r="L82" s="24"/>
      <c r="W82" s="158"/>
      <c r="X82" s="1237" t="s">
        <v>188</v>
      </c>
      <c r="Y82" s="1237"/>
      <c r="Z82" s="1237"/>
      <c r="AA82" s="1237"/>
      <c r="AB82" s="1237"/>
      <c r="AC82" s="1237"/>
      <c r="AD82" s="1237"/>
      <c r="AE82" s="1238"/>
      <c r="AF82" s="227"/>
    </row>
    <row r="83" spans="2:47" s="1" customFormat="1" ht="7.05" customHeight="1" x14ac:dyDescent="0.2">
      <c r="B83" s="24"/>
      <c r="L83" s="24"/>
      <c r="W83" s="158"/>
      <c r="X83" s="557"/>
      <c r="Y83" s="557"/>
      <c r="Z83" s="557"/>
      <c r="AA83" s="557"/>
      <c r="AB83" s="557"/>
      <c r="AC83" s="557"/>
      <c r="AD83" s="557"/>
      <c r="AE83" s="159"/>
      <c r="AF83" s="227"/>
    </row>
    <row r="84" spans="2:47" s="1" customFormat="1" ht="12" customHeight="1" x14ac:dyDescent="0.2">
      <c r="B84" s="24"/>
      <c r="C84" s="528" t="s">
        <v>12</v>
      </c>
      <c r="E84" s="1242" t="s">
        <v>6177</v>
      </c>
      <c r="F84" s="1242"/>
      <c r="G84" s="1242"/>
      <c r="H84" s="1242"/>
      <c r="I84" s="1242"/>
      <c r="J84" s="1242"/>
      <c r="L84" s="24"/>
      <c r="W84" s="158"/>
      <c r="X84" s="538" t="s">
        <v>12</v>
      </c>
      <c r="Y84" s="557"/>
      <c r="Z84" s="1163" t="s">
        <v>6177</v>
      </c>
      <c r="AA84" s="1163"/>
      <c r="AB84" s="1163"/>
      <c r="AC84" s="1163"/>
      <c r="AD84" s="1163"/>
      <c r="AE84" s="1241"/>
      <c r="AF84" s="227"/>
    </row>
    <row r="85" spans="2:47" s="1" customFormat="1" ht="22.2" customHeight="1" x14ac:dyDescent="0.2">
      <c r="B85" s="24"/>
      <c r="C85" s="521"/>
      <c r="E85" s="1243"/>
      <c r="F85" s="1244"/>
      <c r="G85" s="1244"/>
      <c r="H85" s="1244"/>
      <c r="L85" s="24"/>
      <c r="W85" s="158"/>
      <c r="X85" s="557"/>
      <c r="Y85" s="557"/>
      <c r="Z85" s="1249"/>
      <c r="AA85" s="1250"/>
      <c r="AB85" s="1250"/>
      <c r="AC85" s="1250"/>
      <c r="AD85" s="557"/>
      <c r="AE85" s="159"/>
      <c r="AF85" s="227"/>
    </row>
    <row r="86" spans="2:47" s="1" customFormat="1" ht="12" customHeight="1" x14ac:dyDescent="0.2">
      <c r="B86" s="24"/>
      <c r="C86" s="528" t="s">
        <v>186</v>
      </c>
      <c r="F86" s="532" t="s">
        <v>4455</v>
      </c>
      <c r="L86" s="24"/>
      <c r="W86" s="158"/>
      <c r="X86" s="538" t="s">
        <v>186</v>
      </c>
      <c r="Y86" s="557"/>
      <c r="Z86" s="557"/>
      <c r="AA86" s="555" t="s">
        <v>4455</v>
      </c>
      <c r="AB86" s="557"/>
      <c r="AC86" s="557"/>
      <c r="AD86" s="557"/>
      <c r="AE86" s="159"/>
      <c r="AF86" s="227"/>
    </row>
    <row r="87" spans="2:47" s="1" customFormat="1" ht="16.5" customHeight="1" x14ac:dyDescent="0.2">
      <c r="B87" s="24"/>
      <c r="C87" s="521"/>
      <c r="E87" s="1251"/>
      <c r="F87" s="1252"/>
      <c r="G87" s="1252"/>
      <c r="H87" s="1252"/>
      <c r="L87" s="24"/>
      <c r="W87" s="158"/>
      <c r="X87" s="557"/>
      <c r="Y87" s="557"/>
      <c r="Z87" s="1245"/>
      <c r="AA87" s="1246"/>
      <c r="AB87" s="1246"/>
      <c r="AC87" s="1246"/>
      <c r="AD87" s="557"/>
      <c r="AE87" s="159"/>
      <c r="AF87" s="227"/>
    </row>
    <row r="88" spans="2:47" s="1" customFormat="1" ht="7.05" customHeight="1" x14ac:dyDescent="0.2">
      <c r="B88" s="24"/>
      <c r="C88" s="521"/>
      <c r="L88" s="24"/>
      <c r="W88" s="158"/>
      <c r="X88" s="557"/>
      <c r="Y88" s="557"/>
      <c r="Z88" s="557"/>
      <c r="AA88" s="557"/>
      <c r="AB88" s="557"/>
      <c r="AC88" s="557"/>
      <c r="AD88" s="557"/>
      <c r="AE88" s="159"/>
      <c r="AF88" s="227"/>
    </row>
    <row r="89" spans="2:47" s="1" customFormat="1" ht="12" customHeight="1" x14ac:dyDescent="0.2">
      <c r="B89" s="24"/>
      <c r="C89" s="528" t="s">
        <v>15</v>
      </c>
      <c r="F89" s="19" t="str">
        <f>F12</f>
        <v>Kuzmányho nábrežie 28, 960 01 Zvolen</v>
      </c>
      <c r="I89" s="528" t="s">
        <v>17</v>
      </c>
      <c r="J89" s="39" t="str">
        <f>IF(J12="","",J12)</f>
        <v/>
      </c>
      <c r="L89" s="24"/>
      <c r="W89" s="158"/>
      <c r="X89" s="538" t="s">
        <v>15</v>
      </c>
      <c r="Y89" s="557"/>
      <c r="Z89" s="557"/>
      <c r="AA89" s="558" t="str">
        <f>AA12</f>
        <v>Kuzmányho nábrežie 28, 960 01 Zvolen</v>
      </c>
      <c r="AB89" s="557"/>
      <c r="AC89" s="557"/>
      <c r="AD89" s="538" t="s">
        <v>17</v>
      </c>
      <c r="AE89" s="162" t="str">
        <f>IF(AE12="","",AE12)</f>
        <v/>
      </c>
      <c r="AF89" s="227"/>
    </row>
    <row r="90" spans="2:47" s="1" customFormat="1" ht="7.05" customHeight="1" x14ac:dyDescent="0.2">
      <c r="B90" s="24"/>
      <c r="C90" s="521"/>
      <c r="I90" s="521"/>
      <c r="L90" s="24"/>
      <c r="W90" s="158"/>
      <c r="X90" s="557"/>
      <c r="Y90" s="557"/>
      <c r="Z90" s="557"/>
      <c r="AA90" s="557"/>
      <c r="AB90" s="557"/>
      <c r="AC90" s="557"/>
      <c r="AD90" s="557"/>
      <c r="AE90" s="159"/>
      <c r="AF90" s="227"/>
    </row>
    <row r="91" spans="2:47" s="1" customFormat="1" ht="15.3" customHeight="1" x14ac:dyDescent="0.2">
      <c r="B91" s="24"/>
      <c r="C91" s="528" t="s">
        <v>18</v>
      </c>
      <c r="F91" s="529" t="s">
        <v>6175</v>
      </c>
      <c r="I91" s="528" t="s">
        <v>22</v>
      </c>
      <c r="J91" s="22" t="str">
        <f>E21</f>
        <v xml:space="preserve"> </v>
      </c>
      <c r="L91" s="24"/>
      <c r="W91" s="158"/>
      <c r="X91" s="538" t="s">
        <v>18</v>
      </c>
      <c r="Y91" s="557"/>
      <c r="Z91" s="557"/>
      <c r="AA91" s="576" t="s">
        <v>6175</v>
      </c>
      <c r="AB91" s="557"/>
      <c r="AC91" s="557"/>
      <c r="AD91" s="538" t="s">
        <v>22</v>
      </c>
      <c r="AE91" s="181" t="str">
        <f>Z21</f>
        <v/>
      </c>
      <c r="AF91" s="227"/>
    </row>
    <row r="92" spans="2:47" s="1" customFormat="1" ht="15.3" customHeight="1" x14ac:dyDescent="0.2">
      <c r="B92" s="24"/>
      <c r="C92" s="528" t="s">
        <v>21</v>
      </c>
      <c r="F92" s="529" t="s">
        <v>5202</v>
      </c>
      <c r="I92" s="528" t="s">
        <v>24</v>
      </c>
      <c r="J92" s="22" t="str">
        <f>E24</f>
        <v xml:space="preserve"> </v>
      </c>
      <c r="L92" s="24"/>
      <c r="W92" s="158"/>
      <c r="X92" s="538" t="s">
        <v>21</v>
      </c>
      <c r="Y92" s="557"/>
      <c r="Z92" s="557"/>
      <c r="AA92" s="576" t="s">
        <v>5202</v>
      </c>
      <c r="AB92" s="557"/>
      <c r="AC92" s="557"/>
      <c r="AD92" s="538" t="s">
        <v>24</v>
      </c>
      <c r="AE92" s="181" t="str">
        <f>Z24</f>
        <v/>
      </c>
      <c r="AF92" s="227"/>
    </row>
    <row r="93" spans="2:47" s="1" customFormat="1" ht="10.199999999999999" customHeight="1" x14ac:dyDescent="0.2">
      <c r="B93" s="24"/>
      <c r="L93" s="24"/>
      <c r="W93" s="158"/>
      <c r="X93" s="557"/>
      <c r="Y93" s="557"/>
      <c r="Z93" s="557"/>
      <c r="AA93" s="557"/>
      <c r="AB93" s="557"/>
      <c r="AC93" s="557"/>
      <c r="AD93" s="557"/>
      <c r="AE93" s="159"/>
      <c r="AF93" s="227"/>
    </row>
    <row r="94" spans="2:47" s="1" customFormat="1" ht="29.25" customHeight="1" x14ac:dyDescent="0.2">
      <c r="B94" s="24"/>
      <c r="C94" s="86" t="s">
        <v>189</v>
      </c>
      <c r="D94" s="80"/>
      <c r="E94" s="80"/>
      <c r="F94" s="80"/>
      <c r="G94" s="80"/>
      <c r="H94" s="80"/>
      <c r="I94" s="80"/>
      <c r="J94" s="87" t="s">
        <v>190</v>
      </c>
      <c r="K94" s="80"/>
      <c r="L94" s="24"/>
      <c r="W94" s="158"/>
      <c r="X94" s="182" t="s">
        <v>189</v>
      </c>
      <c r="Y94" s="173"/>
      <c r="Z94" s="173"/>
      <c r="AA94" s="173"/>
      <c r="AB94" s="173"/>
      <c r="AC94" s="173"/>
      <c r="AD94" s="173"/>
      <c r="AE94" s="183" t="s">
        <v>190</v>
      </c>
      <c r="AF94" s="227"/>
    </row>
    <row r="95" spans="2:47" s="1" customFormat="1" ht="10.199999999999999" customHeight="1" x14ac:dyDescent="0.2">
      <c r="B95" s="24"/>
      <c r="L95" s="24"/>
      <c r="W95" s="158"/>
      <c r="X95" s="557"/>
      <c r="Y95" s="557"/>
      <c r="Z95" s="557"/>
      <c r="AA95" s="557"/>
      <c r="AB95" s="557"/>
      <c r="AC95" s="557"/>
      <c r="AD95" s="557"/>
      <c r="AE95" s="159"/>
      <c r="AF95" s="227"/>
    </row>
    <row r="96" spans="2:47" s="1" customFormat="1" ht="22.95" customHeight="1" x14ac:dyDescent="0.2">
      <c r="B96" s="24"/>
      <c r="C96" s="88" t="s">
        <v>191</v>
      </c>
      <c r="J96" s="53">
        <f>J155</f>
        <v>32199.969999999994</v>
      </c>
      <c r="L96" s="24"/>
      <c r="W96" s="158"/>
      <c r="X96" s="184" t="s">
        <v>191</v>
      </c>
      <c r="Y96" s="557"/>
      <c r="Z96" s="557"/>
      <c r="AA96" s="557"/>
      <c r="AB96" s="557"/>
      <c r="AC96" s="557"/>
      <c r="AD96" s="557"/>
      <c r="AE96" s="168">
        <f>AE155</f>
        <v>43311.68</v>
      </c>
      <c r="AF96" s="336"/>
      <c r="AU96" s="13" t="s">
        <v>192</v>
      </c>
    </row>
    <row r="97" spans="2:34" s="8" customFormat="1" ht="25.05" customHeight="1" x14ac:dyDescent="0.2">
      <c r="B97" s="89"/>
      <c r="D97" s="90" t="s">
        <v>4456</v>
      </c>
      <c r="E97" s="91"/>
      <c r="F97" s="91"/>
      <c r="G97" s="91"/>
      <c r="H97" s="91"/>
      <c r="I97" s="91"/>
      <c r="J97" s="92">
        <f>J156</f>
        <v>5138.1999999999989</v>
      </c>
      <c r="L97" s="89"/>
      <c r="W97" s="185"/>
      <c r="X97" s="186"/>
      <c r="Y97" s="90" t="s">
        <v>4456</v>
      </c>
      <c r="Z97" s="91"/>
      <c r="AA97" s="91"/>
      <c r="AB97" s="91"/>
      <c r="AC97" s="91"/>
      <c r="AD97" s="91"/>
      <c r="AE97" s="187">
        <f>AE156</f>
        <v>3151.31</v>
      </c>
      <c r="AF97" s="248"/>
      <c r="AH97" s="328"/>
    </row>
    <row r="98" spans="2:34" s="8" customFormat="1" ht="25.05" customHeight="1" x14ac:dyDescent="0.2">
      <c r="B98" s="89"/>
      <c r="D98" s="90" t="s">
        <v>1176</v>
      </c>
      <c r="E98" s="91"/>
      <c r="F98" s="91"/>
      <c r="G98" s="91"/>
      <c r="H98" s="91"/>
      <c r="I98" s="91"/>
      <c r="J98" s="92">
        <f>J166</f>
        <v>12642.72</v>
      </c>
      <c r="L98" s="89"/>
      <c r="W98" s="185"/>
      <c r="X98" s="186"/>
      <c r="Y98" s="90" t="s">
        <v>1176</v>
      </c>
      <c r="Z98" s="91"/>
      <c r="AA98" s="91"/>
      <c r="AB98" s="91"/>
      <c r="AC98" s="91"/>
      <c r="AD98" s="91"/>
      <c r="AE98" s="187">
        <f>AE166</f>
        <v>22049.339999999997</v>
      </c>
      <c r="AF98" s="248"/>
    </row>
    <row r="99" spans="2:34" s="8" customFormat="1" ht="20.25" customHeight="1" x14ac:dyDescent="0.2">
      <c r="B99" s="89"/>
      <c r="D99" s="1234" t="s">
        <v>5205</v>
      </c>
      <c r="E99" s="1235"/>
      <c r="F99" s="1235"/>
      <c r="G99" s="1235"/>
      <c r="H99" s="1235"/>
      <c r="I99" s="1235"/>
      <c r="J99" s="1235"/>
      <c r="K99" s="1236"/>
      <c r="L99" s="89"/>
      <c r="W99" s="185"/>
      <c r="X99" s="186"/>
      <c r="Y99" s="94" t="s">
        <v>1177</v>
      </c>
      <c r="Z99" s="91"/>
      <c r="AA99" s="91"/>
      <c r="AB99" s="91"/>
      <c r="AC99" s="91"/>
      <c r="AD99" s="91"/>
      <c r="AE99" s="190">
        <f>AE168</f>
        <v>1110.6199999999999</v>
      </c>
      <c r="AF99" s="248"/>
    </row>
    <row r="100" spans="2:34" s="8" customFormat="1" ht="20.25" customHeight="1" x14ac:dyDescent="0.2">
      <c r="B100" s="89"/>
      <c r="D100" s="1234" t="s">
        <v>5205</v>
      </c>
      <c r="E100" s="1235"/>
      <c r="F100" s="1235"/>
      <c r="G100" s="1235"/>
      <c r="H100" s="1235"/>
      <c r="I100" s="1235"/>
      <c r="J100" s="1235"/>
      <c r="K100" s="1236"/>
      <c r="L100" s="89"/>
      <c r="W100" s="185"/>
      <c r="X100" s="186"/>
      <c r="Y100" s="94" t="s">
        <v>1178</v>
      </c>
      <c r="Z100" s="91"/>
      <c r="AA100" s="91"/>
      <c r="AB100" s="91"/>
      <c r="AC100" s="91"/>
      <c r="AD100" s="91"/>
      <c r="AE100" s="190">
        <f>AE172</f>
        <v>66.900000000000006</v>
      </c>
      <c r="AF100" s="248"/>
    </row>
    <row r="101" spans="2:34" s="8" customFormat="1" ht="20.25" customHeight="1" x14ac:dyDescent="0.2">
      <c r="B101" s="89"/>
      <c r="D101" s="1234" t="s">
        <v>5205</v>
      </c>
      <c r="E101" s="1235"/>
      <c r="F101" s="1235"/>
      <c r="G101" s="1235"/>
      <c r="H101" s="1235"/>
      <c r="I101" s="1235"/>
      <c r="J101" s="1235"/>
      <c r="K101" s="1236"/>
      <c r="L101" s="89"/>
      <c r="W101" s="185"/>
      <c r="X101" s="186"/>
      <c r="Y101" s="94" t="s">
        <v>4457</v>
      </c>
      <c r="Z101" s="91"/>
      <c r="AA101" s="91"/>
      <c r="AB101" s="91"/>
      <c r="AC101" s="91"/>
      <c r="AD101" s="91"/>
      <c r="AE101" s="190">
        <f>AE176</f>
        <v>8650.4</v>
      </c>
      <c r="AF101" s="248"/>
    </row>
    <row r="102" spans="2:34" s="8" customFormat="1" ht="20.25" customHeight="1" x14ac:dyDescent="0.2">
      <c r="B102" s="89"/>
      <c r="D102" s="1234" t="s">
        <v>5205</v>
      </c>
      <c r="E102" s="1235"/>
      <c r="F102" s="1235"/>
      <c r="G102" s="1235"/>
      <c r="H102" s="1235"/>
      <c r="I102" s="1235"/>
      <c r="J102" s="1235"/>
      <c r="K102" s="1236"/>
      <c r="L102" s="89"/>
      <c r="W102" s="185"/>
      <c r="X102" s="186"/>
      <c r="Y102" s="94" t="s">
        <v>4458</v>
      </c>
      <c r="Z102" s="91"/>
      <c r="AA102" s="91"/>
      <c r="AB102" s="91"/>
      <c r="AC102" s="91"/>
      <c r="AD102" s="91"/>
      <c r="AE102" s="190">
        <f>AE180</f>
        <v>169.21</v>
      </c>
      <c r="AF102" s="248"/>
    </row>
    <row r="103" spans="2:34" s="9" customFormat="1" ht="19.95" customHeight="1" x14ac:dyDescent="0.2">
      <c r="B103" s="93"/>
      <c r="D103" s="94" t="s">
        <v>1177</v>
      </c>
      <c r="E103" s="95"/>
      <c r="F103" s="95"/>
      <c r="G103" s="95"/>
      <c r="H103" s="95"/>
      <c r="I103" s="95"/>
      <c r="J103" s="96">
        <f>J184</f>
        <v>5525.3099999999995</v>
      </c>
      <c r="L103" s="93"/>
      <c r="W103" s="188"/>
      <c r="X103" s="189"/>
      <c r="Y103" s="94" t="s">
        <v>1177</v>
      </c>
      <c r="Z103" s="95"/>
      <c r="AA103" s="95"/>
      <c r="AB103" s="95"/>
      <c r="AC103" s="95"/>
      <c r="AD103" s="95"/>
      <c r="AE103" s="190">
        <f>AE184</f>
        <v>4119.84</v>
      </c>
      <c r="AF103" s="248"/>
    </row>
    <row r="104" spans="2:34" s="9" customFormat="1" ht="19.5" customHeight="1" x14ac:dyDescent="0.2">
      <c r="B104" s="93"/>
      <c r="D104" s="94" t="s">
        <v>1178</v>
      </c>
      <c r="E104" s="95"/>
      <c r="F104" s="95"/>
      <c r="G104" s="95"/>
      <c r="H104" s="95"/>
      <c r="I104" s="95"/>
      <c r="J104" s="96">
        <f>J190</f>
        <v>274.52</v>
      </c>
      <c r="L104" s="93"/>
      <c r="W104" s="188"/>
      <c r="X104" s="189"/>
      <c r="Y104" s="94" t="s">
        <v>1178</v>
      </c>
      <c r="Z104" s="95"/>
      <c r="AA104" s="95"/>
      <c r="AB104" s="95"/>
      <c r="AC104" s="95"/>
      <c r="AD104" s="95"/>
      <c r="AE104" s="190">
        <f>AE190</f>
        <v>306.52000000000004</v>
      </c>
      <c r="AF104" s="248"/>
    </row>
    <row r="105" spans="2:34" s="9" customFormat="1" ht="19.95" customHeight="1" x14ac:dyDescent="0.2">
      <c r="B105" s="93"/>
      <c r="D105" s="94" t="s">
        <v>4457</v>
      </c>
      <c r="E105" s="95"/>
      <c r="F105" s="95"/>
      <c r="G105" s="95"/>
      <c r="H105" s="95"/>
      <c r="I105" s="95"/>
      <c r="J105" s="96">
        <f>J196</f>
        <v>4365.5</v>
      </c>
      <c r="L105" s="93"/>
      <c r="W105" s="188"/>
      <c r="X105" s="189"/>
      <c r="Y105" s="94" t="s">
        <v>4457</v>
      </c>
      <c r="Z105" s="95"/>
      <c r="AA105" s="95"/>
      <c r="AB105" s="95"/>
      <c r="AC105" s="95"/>
      <c r="AD105" s="95"/>
      <c r="AE105" s="190">
        <f>AE196</f>
        <v>5502.72</v>
      </c>
      <c r="AF105" s="248"/>
    </row>
    <row r="106" spans="2:34" s="9" customFormat="1" ht="19.95" customHeight="1" x14ac:dyDescent="0.2">
      <c r="B106" s="93"/>
      <c r="D106" s="94" t="s">
        <v>4458</v>
      </c>
      <c r="E106" s="95"/>
      <c r="F106" s="95"/>
      <c r="G106" s="95"/>
      <c r="H106" s="95"/>
      <c r="I106" s="95"/>
      <c r="J106" s="96">
        <f>J199</f>
        <v>365.65999999999997</v>
      </c>
      <c r="L106" s="93"/>
      <c r="W106" s="188"/>
      <c r="X106" s="189"/>
      <c r="Y106" s="94" t="s">
        <v>4458</v>
      </c>
      <c r="Z106" s="95"/>
      <c r="AA106" s="95"/>
      <c r="AB106" s="95"/>
      <c r="AC106" s="95"/>
      <c r="AD106" s="95"/>
      <c r="AE106" s="190">
        <f>AE199</f>
        <v>63.14</v>
      </c>
      <c r="AF106" s="248"/>
    </row>
    <row r="107" spans="2:34" s="9" customFormat="1" ht="19.95" customHeight="1" x14ac:dyDescent="0.2">
      <c r="B107" s="93"/>
      <c r="D107" s="94" t="s">
        <v>4459</v>
      </c>
      <c r="E107" s="95"/>
      <c r="F107" s="95"/>
      <c r="G107" s="95"/>
      <c r="H107" s="95"/>
      <c r="I107" s="95"/>
      <c r="J107" s="96">
        <f>J202</f>
        <v>137.88</v>
      </c>
      <c r="L107" s="93"/>
      <c r="W107" s="188"/>
      <c r="X107" s="189"/>
      <c r="Y107" s="94" t="s">
        <v>4459</v>
      </c>
      <c r="Z107" s="95"/>
      <c r="AA107" s="95"/>
      <c r="AB107" s="95"/>
      <c r="AC107" s="95"/>
      <c r="AD107" s="95"/>
      <c r="AE107" s="190">
        <f>AE202</f>
        <v>0</v>
      </c>
      <c r="AF107" s="248"/>
    </row>
    <row r="108" spans="2:34" s="9" customFormat="1" ht="19.95" customHeight="1" x14ac:dyDescent="0.2">
      <c r="B108" s="93"/>
      <c r="D108" s="94" t="s">
        <v>4460</v>
      </c>
      <c r="E108" s="95"/>
      <c r="F108" s="95"/>
      <c r="G108" s="95"/>
      <c r="H108" s="95"/>
      <c r="I108" s="95"/>
      <c r="J108" s="96">
        <f>J204</f>
        <v>421.76</v>
      </c>
      <c r="L108" s="93"/>
      <c r="W108" s="188"/>
      <c r="X108" s="189"/>
      <c r="Y108" s="94" t="s">
        <v>4460</v>
      </c>
      <c r="Z108" s="95"/>
      <c r="AA108" s="95"/>
      <c r="AB108" s="95"/>
      <c r="AC108" s="95"/>
      <c r="AD108" s="95"/>
      <c r="AE108" s="190">
        <f>AE204</f>
        <v>422.72</v>
      </c>
      <c r="AF108" s="248"/>
    </row>
    <row r="109" spans="2:34" s="9" customFormat="1" ht="19.95" customHeight="1" x14ac:dyDescent="0.2">
      <c r="B109" s="93"/>
      <c r="D109" s="94" t="s">
        <v>4461</v>
      </c>
      <c r="E109" s="95"/>
      <c r="F109" s="95"/>
      <c r="G109" s="95"/>
      <c r="H109" s="95"/>
      <c r="I109" s="95"/>
      <c r="J109" s="96">
        <f>J209</f>
        <v>552.42000000000007</v>
      </c>
      <c r="L109" s="93"/>
      <c r="W109" s="188"/>
      <c r="X109" s="189"/>
      <c r="Y109" s="94" t="s">
        <v>4461</v>
      </c>
      <c r="Z109" s="95"/>
      <c r="AA109" s="95"/>
      <c r="AB109" s="95"/>
      <c r="AC109" s="95"/>
      <c r="AD109" s="95"/>
      <c r="AE109" s="190">
        <f>AE209</f>
        <v>594.1</v>
      </c>
      <c r="AF109" s="248"/>
    </row>
    <row r="110" spans="2:34" s="9" customFormat="1" ht="19.95" customHeight="1" x14ac:dyDescent="0.2">
      <c r="B110" s="93"/>
      <c r="D110" s="94" t="s">
        <v>4462</v>
      </c>
      <c r="E110" s="95"/>
      <c r="F110" s="95"/>
      <c r="G110" s="95"/>
      <c r="H110" s="95"/>
      <c r="I110" s="95"/>
      <c r="J110" s="96">
        <f>J216</f>
        <v>999.67</v>
      </c>
      <c r="L110" s="93"/>
      <c r="W110" s="188"/>
      <c r="X110" s="189"/>
      <c r="Y110" s="94" t="s">
        <v>4462</v>
      </c>
      <c r="Z110" s="95"/>
      <c r="AA110" s="95"/>
      <c r="AB110" s="95"/>
      <c r="AC110" s="95"/>
      <c r="AD110" s="95"/>
      <c r="AE110" s="190">
        <f>AE216</f>
        <v>1043.17</v>
      </c>
      <c r="AF110" s="248"/>
    </row>
    <row r="111" spans="2:34" s="9" customFormat="1" ht="29.25" customHeight="1" x14ac:dyDescent="0.2">
      <c r="B111" s="93"/>
      <c r="D111" s="1234" t="s">
        <v>5205</v>
      </c>
      <c r="E111" s="1235"/>
      <c r="F111" s="1235"/>
      <c r="G111" s="1235"/>
      <c r="H111" s="1235"/>
      <c r="I111" s="1235"/>
      <c r="J111" s="1235"/>
      <c r="K111" s="1236"/>
      <c r="L111" s="93"/>
      <c r="W111" s="188"/>
      <c r="X111" s="94"/>
      <c r="Y111" s="91" t="s">
        <v>5687</v>
      </c>
      <c r="Z111" s="91"/>
      <c r="AA111" s="91"/>
      <c r="AB111" s="91"/>
      <c r="AC111" s="91"/>
      <c r="AD111" s="91"/>
      <c r="AE111" s="187">
        <f>AE225</f>
        <v>2168.7999999999997</v>
      </c>
      <c r="AF111" s="248"/>
    </row>
    <row r="112" spans="2:34" s="8" customFormat="1" ht="25.05" customHeight="1" x14ac:dyDescent="0.2">
      <c r="B112" s="89"/>
      <c r="D112" s="90" t="s">
        <v>1181</v>
      </c>
      <c r="E112" s="91"/>
      <c r="F112" s="91"/>
      <c r="G112" s="91"/>
      <c r="H112" s="91"/>
      <c r="I112" s="91"/>
      <c r="J112" s="92">
        <f>J246</f>
        <v>6100.9599999999991</v>
      </c>
      <c r="L112" s="89"/>
      <c r="W112" s="185"/>
      <c r="X112" s="186"/>
      <c r="Y112" s="90" t="s">
        <v>1181</v>
      </c>
      <c r="Z112" s="91"/>
      <c r="AA112" s="91"/>
      <c r="AB112" s="91"/>
      <c r="AC112" s="91"/>
      <c r="AD112" s="91"/>
      <c r="AE112" s="187">
        <f>AE246</f>
        <v>4348.6399999999994</v>
      </c>
      <c r="AF112" s="248"/>
    </row>
    <row r="113" spans="2:32" s="8" customFormat="1" ht="18.75" customHeight="1" x14ac:dyDescent="0.2">
      <c r="B113" s="89"/>
      <c r="D113" s="1234" t="s">
        <v>5205</v>
      </c>
      <c r="E113" s="1235"/>
      <c r="F113" s="1235"/>
      <c r="G113" s="1235"/>
      <c r="H113" s="1235"/>
      <c r="I113" s="1235"/>
      <c r="J113" s="1235"/>
      <c r="K113" s="1236"/>
      <c r="L113" s="89"/>
      <c r="W113" s="185"/>
      <c r="X113" s="186"/>
      <c r="Y113" s="94" t="s">
        <v>4464</v>
      </c>
      <c r="Z113" s="91"/>
      <c r="AA113" s="91"/>
      <c r="AB113" s="91"/>
      <c r="AC113" s="91"/>
      <c r="AD113" s="91"/>
      <c r="AE113" s="187">
        <f>AE248</f>
        <v>17.86</v>
      </c>
      <c r="AF113" s="248"/>
    </row>
    <row r="114" spans="2:32" s="8" customFormat="1" ht="18.75" customHeight="1" x14ac:dyDescent="0.2">
      <c r="B114" s="89"/>
      <c r="D114" s="1234" t="s">
        <v>5205</v>
      </c>
      <c r="E114" s="1235"/>
      <c r="F114" s="1235"/>
      <c r="G114" s="1235"/>
      <c r="H114" s="1235"/>
      <c r="I114" s="1235"/>
      <c r="J114" s="1235"/>
      <c r="K114" s="1236"/>
      <c r="L114" s="89"/>
      <c r="W114" s="185"/>
      <c r="X114" s="186"/>
      <c r="Y114" s="94" t="s">
        <v>4465</v>
      </c>
      <c r="Z114" s="91"/>
      <c r="AA114" s="91"/>
      <c r="AB114" s="91"/>
      <c r="AC114" s="91"/>
      <c r="AD114" s="91"/>
      <c r="AE114" s="187">
        <f>AE251</f>
        <v>1447.54</v>
      </c>
      <c r="AF114" s="248"/>
    </row>
    <row r="115" spans="2:32" s="9" customFormat="1" ht="19.95" customHeight="1" x14ac:dyDescent="0.2">
      <c r="B115" s="93"/>
      <c r="D115" s="94" t="s">
        <v>4463</v>
      </c>
      <c r="E115" s="95"/>
      <c r="F115" s="95"/>
      <c r="G115" s="95"/>
      <c r="H115" s="95"/>
      <c r="I115" s="95"/>
      <c r="J115" s="96">
        <f>J266</f>
        <v>439.83</v>
      </c>
      <c r="L115" s="93"/>
      <c r="W115" s="188"/>
      <c r="X115" s="189"/>
      <c r="Y115" s="94" t="s">
        <v>4463</v>
      </c>
      <c r="Z115" s="95"/>
      <c r="AA115" s="95"/>
      <c r="AB115" s="95"/>
      <c r="AC115" s="95"/>
      <c r="AD115" s="95"/>
      <c r="AE115" s="190">
        <f>AE266</f>
        <v>153.19</v>
      </c>
      <c r="AF115" s="248"/>
    </row>
    <row r="116" spans="2:32" s="9" customFormat="1" ht="19.95" customHeight="1" x14ac:dyDescent="0.2">
      <c r="B116" s="93"/>
      <c r="D116" s="94" t="s">
        <v>4464</v>
      </c>
      <c r="E116" s="95"/>
      <c r="F116" s="95"/>
      <c r="G116" s="95"/>
      <c r="H116" s="95"/>
      <c r="I116" s="95"/>
      <c r="J116" s="96">
        <f>J272</f>
        <v>26.020000000000003</v>
      </c>
      <c r="L116" s="93"/>
      <c r="W116" s="188"/>
      <c r="X116" s="189"/>
      <c r="Y116" s="94" t="s">
        <v>4464</v>
      </c>
      <c r="Z116" s="95"/>
      <c r="AA116" s="95"/>
      <c r="AB116" s="95"/>
      <c r="AC116" s="95"/>
      <c r="AD116" s="95"/>
      <c r="AE116" s="190">
        <f>AE272</f>
        <v>35.78</v>
      </c>
      <c r="AF116" s="248"/>
    </row>
    <row r="117" spans="2:32" s="9" customFormat="1" ht="19.95" customHeight="1" x14ac:dyDescent="0.2">
      <c r="B117" s="93"/>
      <c r="D117" s="94" t="s">
        <v>4465</v>
      </c>
      <c r="E117" s="95"/>
      <c r="F117" s="95"/>
      <c r="G117" s="95"/>
      <c r="H117" s="95"/>
      <c r="I117" s="95"/>
      <c r="J117" s="96">
        <f>J278</f>
        <v>53.58</v>
      </c>
      <c r="L117" s="93"/>
      <c r="W117" s="188"/>
      <c r="X117" s="189"/>
      <c r="Y117" s="94" t="s">
        <v>4465</v>
      </c>
      <c r="Z117" s="95"/>
      <c r="AA117" s="95"/>
      <c r="AB117" s="95"/>
      <c r="AC117" s="95"/>
      <c r="AD117" s="95"/>
      <c r="AE117" s="190">
        <f>AE278</f>
        <v>92.539999999999992</v>
      </c>
      <c r="AF117" s="248"/>
    </row>
    <row r="118" spans="2:32" s="9" customFormat="1" ht="19.95" customHeight="1" x14ac:dyDescent="0.2">
      <c r="B118" s="93"/>
      <c r="D118" s="94" t="s">
        <v>4466</v>
      </c>
      <c r="E118" s="95"/>
      <c r="F118" s="95"/>
      <c r="G118" s="95"/>
      <c r="H118" s="95"/>
      <c r="I118" s="95"/>
      <c r="J118" s="96">
        <f>J283</f>
        <v>165.08999999999997</v>
      </c>
      <c r="L118" s="93"/>
      <c r="W118" s="188"/>
      <c r="X118" s="189"/>
      <c r="Y118" s="94" t="s">
        <v>4466</v>
      </c>
      <c r="Z118" s="95"/>
      <c r="AA118" s="95"/>
      <c r="AB118" s="95"/>
      <c r="AC118" s="95"/>
      <c r="AD118" s="95"/>
      <c r="AE118" s="190">
        <f>AE283</f>
        <v>122.6</v>
      </c>
      <c r="AF118" s="248"/>
    </row>
    <row r="119" spans="2:32" s="9" customFormat="1" ht="19.95" customHeight="1" x14ac:dyDescent="0.2">
      <c r="B119" s="93"/>
      <c r="D119" s="94" t="s">
        <v>4467</v>
      </c>
      <c r="E119" s="95"/>
      <c r="F119" s="95"/>
      <c r="G119" s="95"/>
      <c r="H119" s="95"/>
      <c r="I119" s="95"/>
      <c r="J119" s="96">
        <f>J287</f>
        <v>66.37</v>
      </c>
      <c r="L119" s="93"/>
      <c r="W119" s="188"/>
      <c r="X119" s="189"/>
      <c r="Y119" s="94" t="s">
        <v>4467</v>
      </c>
      <c r="Z119" s="95"/>
      <c r="AA119" s="95"/>
      <c r="AB119" s="95"/>
      <c r="AC119" s="95"/>
      <c r="AD119" s="95"/>
      <c r="AE119" s="190">
        <f>AE287</f>
        <v>53.84</v>
      </c>
      <c r="AF119" s="248"/>
    </row>
    <row r="120" spans="2:32" s="9" customFormat="1" ht="19.95" customHeight="1" x14ac:dyDescent="0.2">
      <c r="B120" s="93"/>
      <c r="D120" s="94" t="s">
        <v>4468</v>
      </c>
      <c r="E120" s="95"/>
      <c r="F120" s="95"/>
      <c r="G120" s="95"/>
      <c r="H120" s="95"/>
      <c r="I120" s="95"/>
      <c r="J120" s="96">
        <f>J290</f>
        <v>245.68</v>
      </c>
      <c r="L120" s="93"/>
      <c r="W120" s="188"/>
      <c r="X120" s="189"/>
      <c r="Y120" s="94" t="s">
        <v>4468</v>
      </c>
      <c r="Z120" s="95"/>
      <c r="AA120" s="95"/>
      <c r="AB120" s="95"/>
      <c r="AC120" s="95"/>
      <c r="AD120" s="95"/>
      <c r="AE120" s="190">
        <f>AE290</f>
        <v>245.68</v>
      </c>
      <c r="AF120" s="248"/>
    </row>
    <row r="121" spans="2:32" s="9" customFormat="1" ht="19.95" customHeight="1" x14ac:dyDescent="0.2">
      <c r="B121" s="93"/>
      <c r="D121" s="94" t="s">
        <v>4469</v>
      </c>
      <c r="E121" s="95"/>
      <c r="F121" s="95"/>
      <c r="G121" s="95"/>
      <c r="H121" s="95"/>
      <c r="I121" s="95"/>
      <c r="J121" s="96">
        <f>J293</f>
        <v>468.24</v>
      </c>
      <c r="L121" s="93"/>
      <c r="W121" s="188"/>
      <c r="X121" s="189"/>
      <c r="Y121" s="94" t="s">
        <v>4469</v>
      </c>
      <c r="Z121" s="95"/>
      <c r="AA121" s="95"/>
      <c r="AB121" s="95"/>
      <c r="AC121" s="95"/>
      <c r="AD121" s="95"/>
      <c r="AE121" s="190">
        <f>AE293</f>
        <v>468.24</v>
      </c>
      <c r="AF121" s="248"/>
    </row>
    <row r="122" spans="2:32" s="9" customFormat="1" ht="19.95" customHeight="1" x14ac:dyDescent="0.2">
      <c r="B122" s="93"/>
      <c r="D122" s="94" t="s">
        <v>4470</v>
      </c>
      <c r="E122" s="95"/>
      <c r="F122" s="95"/>
      <c r="G122" s="95"/>
      <c r="H122" s="95"/>
      <c r="I122" s="95"/>
      <c r="J122" s="96">
        <f>J300</f>
        <v>1579.2599999999998</v>
      </c>
      <c r="L122" s="93"/>
      <c r="W122" s="188"/>
      <c r="X122" s="189"/>
      <c r="Y122" s="94" t="s">
        <v>4470</v>
      </c>
      <c r="Z122" s="95"/>
      <c r="AA122" s="95"/>
      <c r="AB122" s="95"/>
      <c r="AC122" s="95"/>
      <c r="AD122" s="95"/>
      <c r="AE122" s="190">
        <f>AE300</f>
        <v>1711.37</v>
      </c>
      <c r="AF122" s="248"/>
    </row>
    <row r="123" spans="2:32" s="8" customFormat="1" ht="25.05" customHeight="1" x14ac:dyDescent="0.2">
      <c r="B123" s="89"/>
      <c r="D123" s="90" t="s">
        <v>3529</v>
      </c>
      <c r="E123" s="91"/>
      <c r="F123" s="91"/>
      <c r="G123" s="91"/>
      <c r="H123" s="91"/>
      <c r="I123" s="91"/>
      <c r="J123" s="92">
        <f>J310</f>
        <v>5403.579999999999</v>
      </c>
      <c r="L123" s="89"/>
      <c r="W123" s="185"/>
      <c r="X123" s="186"/>
      <c r="Y123" s="90" t="s">
        <v>3529</v>
      </c>
      <c r="Z123" s="91"/>
      <c r="AA123" s="91"/>
      <c r="AB123" s="91"/>
      <c r="AC123" s="91"/>
      <c r="AD123" s="91"/>
      <c r="AE123" s="1154">
        <f>AE310</f>
        <v>5322.9799999999987</v>
      </c>
      <c r="AF123" s="248"/>
    </row>
    <row r="124" spans="2:32" s="9" customFormat="1" ht="19.95" customHeight="1" x14ac:dyDescent="0.2">
      <c r="B124" s="93"/>
      <c r="D124" s="94" t="s">
        <v>4471</v>
      </c>
      <c r="E124" s="95"/>
      <c r="F124" s="95"/>
      <c r="G124" s="95"/>
      <c r="H124" s="95"/>
      <c r="I124" s="95"/>
      <c r="J124" s="96">
        <f>J312</f>
        <v>4075.99</v>
      </c>
      <c r="L124" s="93"/>
      <c r="W124" s="188"/>
      <c r="X124" s="189"/>
      <c r="Y124" s="94" t="s">
        <v>4471</v>
      </c>
      <c r="Z124" s="95"/>
      <c r="AA124" s="95"/>
      <c r="AB124" s="95"/>
      <c r="AC124" s="95"/>
      <c r="AD124" s="95"/>
      <c r="AE124" s="1156">
        <f>AE312</f>
        <v>2637.3399999999992</v>
      </c>
      <c r="AF124" s="248"/>
    </row>
    <row r="125" spans="2:32" s="9" customFormat="1" ht="19.95" customHeight="1" x14ac:dyDescent="0.2">
      <c r="B125" s="93"/>
      <c r="D125" s="94" t="s">
        <v>4472</v>
      </c>
      <c r="E125" s="95"/>
      <c r="F125" s="95"/>
      <c r="G125" s="95"/>
      <c r="H125" s="95"/>
      <c r="I125" s="95"/>
      <c r="J125" s="96">
        <f>J326</f>
        <v>207.48</v>
      </c>
      <c r="L125" s="93"/>
      <c r="W125" s="188"/>
      <c r="X125" s="189"/>
      <c r="Y125" s="94" t="s">
        <v>4472</v>
      </c>
      <c r="Z125" s="95"/>
      <c r="AA125" s="95"/>
      <c r="AB125" s="95"/>
      <c r="AC125" s="95"/>
      <c r="AD125" s="95"/>
      <c r="AE125" s="1156">
        <f>AE326</f>
        <v>207.70999999999998</v>
      </c>
      <c r="AF125" s="248"/>
    </row>
    <row r="126" spans="2:32" s="9" customFormat="1" ht="19.95" customHeight="1" x14ac:dyDescent="0.2">
      <c r="B126" s="93"/>
      <c r="D126" s="94" t="s">
        <v>4473</v>
      </c>
      <c r="E126" s="95"/>
      <c r="F126" s="95"/>
      <c r="G126" s="95"/>
      <c r="H126" s="95"/>
      <c r="I126" s="95"/>
      <c r="J126" s="96">
        <f>J329</f>
        <v>909.37</v>
      </c>
      <c r="L126" s="93"/>
      <c r="W126" s="188"/>
      <c r="X126" s="189"/>
      <c r="Y126" s="94" t="s">
        <v>4473</v>
      </c>
      <c r="Z126" s="95"/>
      <c r="AA126" s="95"/>
      <c r="AB126" s="95"/>
      <c r="AC126" s="95"/>
      <c r="AD126" s="95"/>
      <c r="AE126" s="1156">
        <f>AE329</f>
        <v>917.73</v>
      </c>
      <c r="AF126" s="248"/>
    </row>
    <row r="127" spans="2:32" s="9" customFormat="1" ht="19.95" customHeight="1" x14ac:dyDescent="0.2">
      <c r="B127" s="93"/>
      <c r="D127" s="94" t="s">
        <v>4474</v>
      </c>
      <c r="E127" s="95"/>
      <c r="F127" s="95"/>
      <c r="G127" s="95"/>
      <c r="H127" s="95"/>
      <c r="I127" s="95"/>
      <c r="J127" s="96">
        <f>J337</f>
        <v>210.74</v>
      </c>
      <c r="L127" s="93"/>
      <c r="W127" s="188"/>
      <c r="X127" s="189"/>
      <c r="Y127" s="94" t="s">
        <v>4474</v>
      </c>
      <c r="Z127" s="95"/>
      <c r="AA127" s="95"/>
      <c r="AB127" s="95"/>
      <c r="AC127" s="95"/>
      <c r="AD127" s="95"/>
      <c r="AE127" s="1156">
        <f>AE337</f>
        <v>205.2</v>
      </c>
      <c r="AF127" s="248"/>
    </row>
    <row r="128" spans="2:32" s="8" customFormat="1" ht="25.05" customHeight="1" x14ac:dyDescent="0.2">
      <c r="B128" s="89"/>
      <c r="D128" s="90" t="s">
        <v>1185</v>
      </c>
      <c r="E128" s="91"/>
      <c r="F128" s="91"/>
      <c r="G128" s="91"/>
      <c r="H128" s="91"/>
      <c r="I128" s="91"/>
      <c r="J128" s="92">
        <f>J340</f>
        <v>469.81999999999994</v>
      </c>
      <c r="L128" s="89"/>
      <c r="W128" s="185"/>
      <c r="X128" s="186"/>
      <c r="Y128" s="90" t="s">
        <v>1185</v>
      </c>
      <c r="Z128" s="91"/>
      <c r="AA128" s="91"/>
      <c r="AB128" s="91"/>
      <c r="AC128" s="91"/>
      <c r="AD128" s="91"/>
      <c r="AE128" s="1154">
        <f>AE340</f>
        <v>782.58999999999992</v>
      </c>
      <c r="AF128" s="248"/>
    </row>
    <row r="129" spans="2:32" s="8" customFormat="1" ht="25.05" customHeight="1" x14ac:dyDescent="0.2">
      <c r="B129" s="89"/>
      <c r="D129" s="90" t="s">
        <v>1186</v>
      </c>
      <c r="E129" s="91"/>
      <c r="F129" s="91"/>
      <c r="G129" s="91"/>
      <c r="H129" s="91"/>
      <c r="I129" s="91"/>
      <c r="J129" s="92">
        <f>J348</f>
        <v>1148.95</v>
      </c>
      <c r="L129" s="89"/>
      <c r="W129" s="185"/>
      <c r="X129" s="186"/>
      <c r="Y129" s="90" t="s">
        <v>1186</v>
      </c>
      <c r="Z129" s="91"/>
      <c r="AA129" s="91"/>
      <c r="AB129" s="91"/>
      <c r="AC129" s="91"/>
      <c r="AD129" s="91"/>
      <c r="AE129" s="1154">
        <f>AE348</f>
        <v>3009.2199999999993</v>
      </c>
      <c r="AF129" s="248"/>
    </row>
    <row r="130" spans="2:32" s="8" customFormat="1" ht="18.75" customHeight="1" x14ac:dyDescent="0.2">
      <c r="B130" s="89"/>
      <c r="D130" s="1234" t="s">
        <v>5205</v>
      </c>
      <c r="E130" s="1235"/>
      <c r="F130" s="1235"/>
      <c r="G130" s="1235"/>
      <c r="H130" s="1235"/>
      <c r="I130" s="1235"/>
      <c r="J130" s="1235"/>
      <c r="K130" s="1236"/>
      <c r="L130" s="89"/>
      <c r="W130" s="185"/>
      <c r="X130" s="186"/>
      <c r="Y130" s="94" t="s">
        <v>5689</v>
      </c>
      <c r="Z130" s="91"/>
      <c r="AA130" s="91"/>
      <c r="AB130" s="91"/>
      <c r="AC130" s="91"/>
      <c r="AD130" s="91"/>
      <c r="AE130" s="1154">
        <f>AE350</f>
        <v>1303.5999999999999</v>
      </c>
      <c r="AF130" s="248"/>
    </row>
    <row r="131" spans="2:32" s="9" customFormat="1" ht="19.95" customHeight="1" x14ac:dyDescent="0.2">
      <c r="B131" s="93"/>
      <c r="D131" s="94" t="s">
        <v>4475</v>
      </c>
      <c r="E131" s="95"/>
      <c r="F131" s="95"/>
      <c r="G131" s="95"/>
      <c r="H131" s="95"/>
      <c r="I131" s="95"/>
      <c r="J131" s="96">
        <f>J358</f>
        <v>1148.95</v>
      </c>
      <c r="L131" s="93"/>
      <c r="W131" s="188"/>
      <c r="X131" s="189"/>
      <c r="Y131" s="94" t="s">
        <v>4475</v>
      </c>
      <c r="Z131" s="95"/>
      <c r="AA131" s="95"/>
      <c r="AB131" s="95"/>
      <c r="AC131" s="95"/>
      <c r="AD131" s="95"/>
      <c r="AE131" s="1156">
        <f>AE358</f>
        <v>641.54</v>
      </c>
      <c r="AF131" s="248"/>
    </row>
    <row r="132" spans="2:32" s="9" customFormat="1" ht="19.95" customHeight="1" x14ac:dyDescent="0.2">
      <c r="B132" s="93"/>
      <c r="D132" s="1234" t="s">
        <v>5205</v>
      </c>
      <c r="E132" s="1235"/>
      <c r="F132" s="1235"/>
      <c r="G132" s="1235"/>
      <c r="H132" s="1235"/>
      <c r="I132" s="1235"/>
      <c r="J132" s="1235"/>
      <c r="K132" s="1236"/>
      <c r="L132" s="93"/>
      <c r="W132" s="188"/>
      <c r="X132" s="189"/>
      <c r="Y132" s="94" t="s">
        <v>5689</v>
      </c>
      <c r="Z132" s="95"/>
      <c r="AA132" s="95"/>
      <c r="AB132" s="95"/>
      <c r="AC132" s="95"/>
      <c r="AD132" s="95"/>
      <c r="AE132" s="1156">
        <f>AE366</f>
        <v>659.8</v>
      </c>
      <c r="AF132" s="248"/>
    </row>
    <row r="133" spans="2:32" s="9" customFormat="1" ht="19.95" customHeight="1" x14ac:dyDescent="0.2">
      <c r="B133" s="93"/>
      <c r="D133" s="1234" t="s">
        <v>5205</v>
      </c>
      <c r="E133" s="1235"/>
      <c r="F133" s="1235"/>
      <c r="G133" s="1235"/>
      <c r="H133" s="1235"/>
      <c r="I133" s="1235"/>
      <c r="J133" s="1235"/>
      <c r="K133" s="1236"/>
      <c r="L133" s="93"/>
      <c r="W133" s="188"/>
      <c r="X133" s="189"/>
      <c r="Y133" s="94" t="s">
        <v>5688</v>
      </c>
      <c r="Z133" s="95"/>
      <c r="AA133" s="95"/>
      <c r="AB133" s="95"/>
      <c r="AC133" s="95"/>
      <c r="AD133" s="95"/>
      <c r="AE133" s="1156">
        <f>AE370</f>
        <v>404.28</v>
      </c>
      <c r="AF133" s="248"/>
    </row>
    <row r="134" spans="2:32" s="8" customFormat="1" ht="25.05" customHeight="1" x14ac:dyDescent="0.2">
      <c r="B134" s="89"/>
      <c r="D134" s="90" t="s">
        <v>1188</v>
      </c>
      <c r="E134" s="91"/>
      <c r="F134" s="91"/>
      <c r="G134" s="91"/>
      <c r="H134" s="91"/>
      <c r="I134" s="91"/>
      <c r="J134" s="92">
        <f>J377</f>
        <v>1119.46</v>
      </c>
      <c r="L134" s="89"/>
      <c r="W134" s="185"/>
      <c r="X134" s="186"/>
      <c r="Y134" s="90" t="s">
        <v>1188</v>
      </c>
      <c r="Z134" s="91"/>
      <c r="AA134" s="91"/>
      <c r="AB134" s="91"/>
      <c r="AC134" s="91"/>
      <c r="AD134" s="91"/>
      <c r="AE134" s="1154">
        <f>AE377</f>
        <v>2238.8000000000002</v>
      </c>
      <c r="AF134" s="248"/>
    </row>
    <row r="135" spans="2:32" s="8" customFormat="1" ht="25.05" customHeight="1" x14ac:dyDescent="0.2">
      <c r="B135" s="89"/>
      <c r="D135" s="90" t="s">
        <v>1189</v>
      </c>
      <c r="E135" s="91"/>
      <c r="F135" s="91"/>
      <c r="G135" s="91"/>
      <c r="H135" s="91"/>
      <c r="I135" s="91"/>
      <c r="J135" s="92">
        <f>J385</f>
        <v>176.28</v>
      </c>
      <c r="L135" s="89"/>
      <c r="W135" s="185"/>
      <c r="X135" s="186"/>
      <c r="Y135" s="90" t="s">
        <v>1189</v>
      </c>
      <c r="Z135" s="91"/>
      <c r="AA135" s="91"/>
      <c r="AB135" s="91"/>
      <c r="AC135" s="91"/>
      <c r="AD135" s="91"/>
      <c r="AE135" s="1154">
        <f>AE385</f>
        <v>240</v>
      </c>
      <c r="AF135" s="248"/>
    </row>
    <row r="136" spans="2:32" s="1" customFormat="1" ht="21.75" customHeight="1" x14ac:dyDescent="0.2">
      <c r="B136" s="24"/>
      <c r="L136" s="24"/>
      <c r="W136" s="158"/>
      <c r="X136" s="557"/>
      <c r="Y136" s="557"/>
      <c r="Z136" s="557"/>
      <c r="AA136" s="557"/>
      <c r="AB136" s="557"/>
      <c r="AC136" s="557"/>
      <c r="AD136" s="557"/>
      <c r="AE136" s="159"/>
      <c r="AF136" s="227"/>
    </row>
    <row r="137" spans="2:32" s="1" customFormat="1" ht="7.05" customHeight="1" x14ac:dyDescent="0.2">
      <c r="B137" s="33"/>
      <c r="C137" s="34"/>
      <c r="D137" s="34"/>
      <c r="E137" s="34"/>
      <c r="F137" s="34"/>
      <c r="G137" s="34"/>
      <c r="H137" s="34"/>
      <c r="I137" s="34"/>
      <c r="J137" s="34"/>
      <c r="K137" s="34"/>
      <c r="L137" s="24"/>
      <c r="W137" s="249"/>
      <c r="X137" s="34"/>
      <c r="Y137" s="34"/>
      <c r="Z137" s="34"/>
      <c r="AA137" s="34"/>
      <c r="AB137" s="34"/>
      <c r="AC137" s="34"/>
      <c r="AD137" s="34"/>
      <c r="AE137" s="250"/>
      <c r="AF137" s="227"/>
    </row>
    <row r="138" spans="2:32" x14ac:dyDescent="0.2">
      <c r="W138" s="155"/>
      <c r="X138" s="156"/>
      <c r="Y138" s="156"/>
      <c r="Z138" s="156"/>
      <c r="AA138" s="156"/>
      <c r="AB138" s="156"/>
      <c r="AC138" s="156"/>
      <c r="AD138" s="156"/>
      <c r="AE138" s="157"/>
    </row>
    <row r="139" spans="2:32" x14ac:dyDescent="0.2">
      <c r="W139" s="155"/>
      <c r="X139" s="156"/>
      <c r="Y139" s="156"/>
      <c r="Z139" s="156"/>
      <c r="AA139" s="156"/>
      <c r="AB139" s="156"/>
      <c r="AC139" s="156"/>
      <c r="AD139" s="156"/>
      <c r="AE139" s="157"/>
    </row>
    <row r="140" spans="2:32" x14ac:dyDescent="0.2">
      <c r="W140" s="251"/>
      <c r="X140" s="252"/>
      <c r="Y140" s="252"/>
      <c r="Z140" s="252"/>
      <c r="AA140" s="252"/>
      <c r="AB140" s="252"/>
      <c r="AC140" s="252"/>
      <c r="AD140" s="252"/>
      <c r="AE140" s="253"/>
    </row>
    <row r="141" spans="2:32" s="1" customFormat="1" ht="7.05" customHeight="1" x14ac:dyDescent="0.2">
      <c r="B141" s="35"/>
      <c r="C141" s="36"/>
      <c r="D141" s="36"/>
      <c r="E141" s="36"/>
      <c r="F141" s="36"/>
      <c r="G141" s="36"/>
      <c r="H141" s="36"/>
      <c r="I141" s="36"/>
      <c r="J141" s="36"/>
      <c r="K141" s="36"/>
      <c r="L141" s="24"/>
      <c r="W141" s="178"/>
      <c r="X141" s="179"/>
      <c r="Y141" s="179"/>
      <c r="Z141" s="179"/>
      <c r="AA141" s="179"/>
      <c r="AB141" s="179"/>
      <c r="AC141" s="179"/>
      <c r="AD141" s="179"/>
      <c r="AE141" s="180"/>
      <c r="AF141" s="227"/>
    </row>
    <row r="142" spans="2:32" s="1" customFormat="1" ht="25.05" customHeight="1" x14ac:dyDescent="0.2">
      <c r="B142" s="24"/>
      <c r="C142" s="1165" t="s">
        <v>214</v>
      </c>
      <c r="D142" s="1165"/>
      <c r="E142" s="1165"/>
      <c r="F142" s="1165"/>
      <c r="G142" s="1165"/>
      <c r="H142" s="1165"/>
      <c r="I142" s="1165"/>
      <c r="J142" s="1165"/>
      <c r="L142" s="24"/>
      <c r="W142" s="1255" t="s">
        <v>214</v>
      </c>
      <c r="X142" s="1237"/>
      <c r="Y142" s="1237"/>
      <c r="Z142" s="1237"/>
      <c r="AA142" s="1237"/>
      <c r="AB142" s="1237"/>
      <c r="AC142" s="1237"/>
      <c r="AD142" s="1237"/>
      <c r="AE142" s="1238"/>
      <c r="AF142" s="227"/>
    </row>
    <row r="143" spans="2:32" s="1" customFormat="1" ht="7.05" customHeight="1" x14ac:dyDescent="0.2">
      <c r="B143" s="24"/>
      <c r="L143" s="24"/>
      <c r="W143" s="158"/>
      <c r="X143" s="557"/>
      <c r="Y143" s="557"/>
      <c r="Z143" s="557"/>
      <c r="AA143" s="557"/>
      <c r="AB143" s="557"/>
      <c r="AC143" s="557"/>
      <c r="AD143" s="557"/>
      <c r="AE143" s="159"/>
      <c r="AF143" s="227"/>
    </row>
    <row r="144" spans="2:32" s="1" customFormat="1" ht="12" customHeight="1" x14ac:dyDescent="0.2">
      <c r="B144" s="24"/>
      <c r="C144" s="528" t="s">
        <v>12</v>
      </c>
      <c r="E144" s="1242" t="s">
        <v>6177</v>
      </c>
      <c r="F144" s="1242"/>
      <c r="G144" s="1242"/>
      <c r="H144" s="1242"/>
      <c r="I144" s="1242"/>
      <c r="J144" s="1242"/>
      <c r="L144" s="24"/>
      <c r="W144" s="158"/>
      <c r="X144" s="538" t="s">
        <v>12</v>
      </c>
      <c r="Y144" s="557"/>
      <c r="Z144" s="1163" t="s">
        <v>6177</v>
      </c>
      <c r="AA144" s="1163"/>
      <c r="AB144" s="1163"/>
      <c r="AC144" s="1163"/>
      <c r="AD144" s="1163"/>
      <c r="AE144" s="1241"/>
      <c r="AF144" s="227"/>
    </row>
    <row r="145" spans="2:65" s="1" customFormat="1" ht="22.95" customHeight="1" x14ac:dyDescent="0.2">
      <c r="B145" s="24"/>
      <c r="C145" s="521"/>
      <c r="E145" s="1243"/>
      <c r="F145" s="1244"/>
      <c r="G145" s="1244"/>
      <c r="H145" s="1244"/>
      <c r="L145" s="24"/>
      <c r="W145" s="158"/>
      <c r="X145" s="557"/>
      <c r="Y145" s="557"/>
      <c r="Z145" s="1249"/>
      <c r="AA145" s="1250"/>
      <c r="AB145" s="1250"/>
      <c r="AC145" s="1250"/>
      <c r="AD145" s="557"/>
      <c r="AE145" s="159"/>
      <c r="AF145" s="227"/>
    </row>
    <row r="146" spans="2:65" s="1" customFormat="1" ht="12" customHeight="1" x14ac:dyDescent="0.2">
      <c r="B146" s="24"/>
      <c r="C146" s="528" t="s">
        <v>186</v>
      </c>
      <c r="F146" s="532" t="s">
        <v>4455</v>
      </c>
      <c r="L146" s="24"/>
      <c r="W146" s="158"/>
      <c r="X146" s="538" t="s">
        <v>186</v>
      </c>
      <c r="Y146" s="557"/>
      <c r="Z146" s="557"/>
      <c r="AA146" s="555" t="s">
        <v>4455</v>
      </c>
      <c r="AB146" s="557"/>
      <c r="AC146" s="557"/>
      <c r="AD146" s="557"/>
      <c r="AE146" s="159"/>
      <c r="AF146" s="227"/>
    </row>
    <row r="147" spans="2:65" s="1" customFormat="1" ht="16.5" customHeight="1" x14ac:dyDescent="0.2">
      <c r="B147" s="24"/>
      <c r="C147" s="521"/>
      <c r="E147" s="1251"/>
      <c r="F147" s="1252"/>
      <c r="G147" s="1252"/>
      <c r="H147" s="1252"/>
      <c r="L147" s="24"/>
      <c r="W147" s="158"/>
      <c r="X147" s="557"/>
      <c r="Y147" s="557"/>
      <c r="Z147" s="1245"/>
      <c r="AA147" s="1246"/>
      <c r="AB147" s="1246"/>
      <c r="AC147" s="1246"/>
      <c r="AD147" s="557"/>
      <c r="AE147" s="159"/>
      <c r="AF147" s="227"/>
    </row>
    <row r="148" spans="2:65" s="1" customFormat="1" ht="7.05" customHeight="1" x14ac:dyDescent="0.2">
      <c r="B148" s="24"/>
      <c r="C148" s="521"/>
      <c r="L148" s="24"/>
      <c r="W148" s="158"/>
      <c r="X148" s="557"/>
      <c r="Y148" s="557"/>
      <c r="Z148" s="557"/>
      <c r="AA148" s="557"/>
      <c r="AB148" s="557"/>
      <c r="AC148" s="557"/>
      <c r="AD148" s="557"/>
      <c r="AE148" s="159"/>
      <c r="AF148" s="227"/>
    </row>
    <row r="149" spans="2:65" s="1" customFormat="1" ht="12" customHeight="1" x14ac:dyDescent="0.2">
      <c r="B149" s="24"/>
      <c r="C149" s="528" t="s">
        <v>15</v>
      </c>
      <c r="F149" s="19" t="str">
        <f>F12</f>
        <v>Kuzmányho nábrežie 28, 960 01 Zvolen</v>
      </c>
      <c r="I149" s="528" t="s">
        <v>17</v>
      </c>
      <c r="J149" s="39" t="str">
        <f>IF(J12="","",J12)</f>
        <v/>
      </c>
      <c r="L149" s="24"/>
      <c r="W149" s="158"/>
      <c r="X149" s="538" t="s">
        <v>15</v>
      </c>
      <c r="Y149" s="557"/>
      <c r="Z149" s="557"/>
      <c r="AA149" s="558" t="str">
        <f>AA12</f>
        <v>Kuzmányho nábrežie 28, 960 01 Zvolen</v>
      </c>
      <c r="AB149" s="557"/>
      <c r="AC149" s="557"/>
      <c r="AD149" s="538" t="s">
        <v>17</v>
      </c>
      <c r="AE149" s="162" t="str">
        <f>IF(AE12="","",AE12)</f>
        <v/>
      </c>
      <c r="AF149" s="227"/>
    </row>
    <row r="150" spans="2:65" s="1" customFormat="1" ht="7.05" customHeight="1" x14ac:dyDescent="0.2">
      <c r="B150" s="24"/>
      <c r="C150" s="521"/>
      <c r="I150" s="521"/>
      <c r="L150" s="24"/>
      <c r="W150" s="158"/>
      <c r="X150" s="557"/>
      <c r="Y150" s="557"/>
      <c r="Z150" s="557"/>
      <c r="AA150" s="557"/>
      <c r="AB150" s="557"/>
      <c r="AC150" s="557"/>
      <c r="AD150" s="557"/>
      <c r="AE150" s="159"/>
      <c r="AF150" s="227"/>
    </row>
    <row r="151" spans="2:65" s="1" customFormat="1" ht="15.3" customHeight="1" x14ac:dyDescent="0.2">
      <c r="B151" s="24"/>
      <c r="C151" s="528" t="s">
        <v>18</v>
      </c>
      <c r="F151" s="529" t="s">
        <v>6175</v>
      </c>
      <c r="I151" s="528" t="s">
        <v>22</v>
      </c>
      <c r="J151" s="22" t="str">
        <f>E21</f>
        <v xml:space="preserve"> </v>
      </c>
      <c r="L151" s="24"/>
      <c r="W151" s="158"/>
      <c r="X151" s="538" t="s">
        <v>18</v>
      </c>
      <c r="Y151" s="557"/>
      <c r="Z151" s="557"/>
      <c r="AA151" s="576" t="s">
        <v>6175</v>
      </c>
      <c r="AB151" s="557"/>
      <c r="AC151" s="557"/>
      <c r="AD151" s="538" t="s">
        <v>22</v>
      </c>
      <c r="AE151" s="181" t="str">
        <f>Z21</f>
        <v/>
      </c>
      <c r="AF151" s="227"/>
    </row>
    <row r="152" spans="2:65" s="1" customFormat="1" ht="20.55" customHeight="1" x14ac:dyDescent="0.3">
      <c r="B152" s="24"/>
      <c r="C152" s="528" t="s">
        <v>21</v>
      </c>
      <c r="F152" s="529" t="s">
        <v>5202</v>
      </c>
      <c r="I152" s="528" t="s">
        <v>24</v>
      </c>
      <c r="J152" s="22" t="str">
        <f>E24</f>
        <v xml:space="preserve"> </v>
      </c>
      <c r="L152" s="24"/>
      <c r="W152" s="158"/>
      <c r="X152" s="538" t="s">
        <v>21</v>
      </c>
      <c r="Y152" s="557"/>
      <c r="Z152" s="557"/>
      <c r="AA152" s="576" t="s">
        <v>5202</v>
      </c>
      <c r="AB152" s="557"/>
      <c r="AC152" s="557"/>
      <c r="AD152" s="538" t="s">
        <v>24</v>
      </c>
      <c r="AE152" s="194"/>
      <c r="AF152" s="227"/>
    </row>
    <row r="153" spans="2:65" s="1" customFormat="1" ht="10.199999999999999" customHeight="1" x14ac:dyDescent="0.2">
      <c r="B153" s="24"/>
      <c r="L153" s="24"/>
      <c r="W153" s="158"/>
      <c r="X153" s="557"/>
      <c r="Y153" s="557"/>
      <c r="Z153" s="557"/>
      <c r="AA153" s="557"/>
      <c r="AB153" s="557"/>
      <c r="AC153" s="557"/>
      <c r="AD153" s="557"/>
      <c r="AE153" s="159"/>
      <c r="AF153" s="227"/>
    </row>
    <row r="154" spans="2:65" s="10" customFormat="1" ht="29.25" customHeight="1" x14ac:dyDescent="0.2">
      <c r="B154" s="97"/>
      <c r="C154" s="98" t="s">
        <v>215</v>
      </c>
      <c r="D154" s="99" t="s">
        <v>43</v>
      </c>
      <c r="E154" s="99" t="s">
        <v>41</v>
      </c>
      <c r="F154" s="99" t="s">
        <v>42</v>
      </c>
      <c r="G154" s="99" t="s">
        <v>216</v>
      </c>
      <c r="H154" s="99" t="s">
        <v>217</v>
      </c>
      <c r="I154" s="99" t="s">
        <v>218</v>
      </c>
      <c r="J154" s="100" t="s">
        <v>190</v>
      </c>
      <c r="K154" s="101" t="s">
        <v>219</v>
      </c>
      <c r="L154" s="97"/>
      <c r="M154" s="46" t="s">
        <v>1</v>
      </c>
      <c r="N154" s="47" t="s">
        <v>30</v>
      </c>
      <c r="O154" s="47" t="s">
        <v>220</v>
      </c>
      <c r="P154" s="47" t="s">
        <v>221</v>
      </c>
      <c r="Q154" s="47" t="s">
        <v>222</v>
      </c>
      <c r="R154" s="47" t="s">
        <v>223</v>
      </c>
      <c r="S154" s="47" t="s">
        <v>224</v>
      </c>
      <c r="T154" s="48" t="s">
        <v>225</v>
      </c>
      <c r="W154" s="191"/>
      <c r="X154" s="98" t="s">
        <v>215</v>
      </c>
      <c r="Y154" s="99" t="s">
        <v>43</v>
      </c>
      <c r="Z154" s="99" t="s">
        <v>41</v>
      </c>
      <c r="AA154" s="99" t="s">
        <v>42</v>
      </c>
      <c r="AB154" s="99" t="s">
        <v>216</v>
      </c>
      <c r="AC154" s="99" t="s">
        <v>217</v>
      </c>
      <c r="AD154" s="99" t="s">
        <v>218</v>
      </c>
      <c r="AE154" s="192" t="s">
        <v>190</v>
      </c>
      <c r="AF154" s="228" t="s">
        <v>5220</v>
      </c>
    </row>
    <row r="155" spans="2:65" s="1" customFormat="1" ht="22.95" customHeight="1" x14ac:dyDescent="0.3">
      <c r="B155" s="24"/>
      <c r="C155" s="51" t="s">
        <v>191</v>
      </c>
      <c r="J155" s="102">
        <f>J156+J166+J246+J310+J340+J348+J377+J385</f>
        <v>32199.969999999994</v>
      </c>
      <c r="L155" s="24"/>
      <c r="M155" s="49"/>
      <c r="N155" s="40"/>
      <c r="O155" s="40"/>
      <c r="P155" s="103" t="e">
        <f>P156+P166+P246+P310+P340+P348+P377+P385+#REF!</f>
        <v>#REF!</v>
      </c>
      <c r="Q155" s="40"/>
      <c r="R155" s="103" t="e">
        <f>R156+R166+R246+R310+R340+R348+R377+R385+#REF!</f>
        <v>#REF!</v>
      </c>
      <c r="S155" s="40"/>
      <c r="T155" s="104" t="e">
        <f>T156+T166+T246+T310+T340+T348+T377+T385+#REF!</f>
        <v>#REF!</v>
      </c>
      <c r="W155" s="158"/>
      <c r="X155" s="193" t="s">
        <v>191</v>
      </c>
      <c r="Y155" s="557"/>
      <c r="Z155" s="557"/>
      <c r="AA155" s="557"/>
      <c r="AB155" s="557"/>
      <c r="AC155" s="557"/>
      <c r="AD155" s="557"/>
      <c r="AE155" s="194">
        <f>AE156+AE166+AE246+AE310+AE340+AE348+AE377+AE385+AE225</f>
        <v>43311.68</v>
      </c>
      <c r="AF155" s="227"/>
      <c r="AT155" s="13" t="s">
        <v>57</v>
      </c>
      <c r="AU155" s="13" t="s">
        <v>192</v>
      </c>
      <c r="BK155" s="105" t="e">
        <f>BK156+BK166+BK246+BK310+BK340+BK348+BK377+BK385+#REF!</f>
        <v>#REF!</v>
      </c>
    </row>
    <row r="156" spans="2:65" s="11" customFormat="1" ht="25.95" customHeight="1" x14ac:dyDescent="0.25">
      <c r="B156" s="106"/>
      <c r="D156" s="107" t="s">
        <v>57</v>
      </c>
      <c r="E156" s="108" t="s">
        <v>1190</v>
      </c>
      <c r="F156" s="108" t="s">
        <v>4476</v>
      </c>
      <c r="J156" s="109">
        <f>BK156</f>
        <v>5138.1999999999989</v>
      </c>
      <c r="L156" s="106"/>
      <c r="M156" s="110"/>
      <c r="N156" s="111"/>
      <c r="O156" s="111"/>
      <c r="P156" s="112">
        <f>SUM(P159:P165)</f>
        <v>0</v>
      </c>
      <c r="Q156" s="111"/>
      <c r="R156" s="112">
        <f>SUM(R159:R165)</f>
        <v>0</v>
      </c>
      <c r="S156" s="111"/>
      <c r="T156" s="113">
        <f>SUM(T159:T165)</f>
        <v>0</v>
      </c>
      <c r="W156" s="195"/>
      <c r="X156" s="111"/>
      <c r="Y156" s="196" t="s">
        <v>57</v>
      </c>
      <c r="Z156" s="197" t="s">
        <v>1190</v>
      </c>
      <c r="AA156" s="197" t="s">
        <v>4476</v>
      </c>
      <c r="AB156" s="111"/>
      <c r="AC156" s="111"/>
      <c r="AD156" s="111"/>
      <c r="AE156" s="198">
        <f>SUM(AE157:AE165)</f>
        <v>3151.31</v>
      </c>
      <c r="AF156" s="248"/>
      <c r="AR156" s="107" t="s">
        <v>63</v>
      </c>
      <c r="AT156" s="114" t="s">
        <v>57</v>
      </c>
      <c r="AU156" s="114" t="s">
        <v>58</v>
      </c>
      <c r="AY156" s="107" t="s">
        <v>228</v>
      </c>
      <c r="BK156" s="115">
        <f>SUM(BK159:BK165)</f>
        <v>5138.1999999999989</v>
      </c>
    </row>
    <row r="157" spans="2:65" s="11" customFormat="1" ht="25.95" customHeight="1" x14ac:dyDescent="0.2">
      <c r="B157" s="106"/>
      <c r="C157" s="1234" t="s">
        <v>5205</v>
      </c>
      <c r="D157" s="1235"/>
      <c r="E157" s="1235"/>
      <c r="F157" s="1235"/>
      <c r="G157" s="1235"/>
      <c r="H157" s="1235"/>
      <c r="I157" s="1235"/>
      <c r="J157" s="1236"/>
      <c r="L157" s="106"/>
      <c r="M157" s="110"/>
      <c r="N157" s="111"/>
      <c r="O157" s="111"/>
      <c r="P157" s="112"/>
      <c r="Q157" s="111"/>
      <c r="R157" s="112"/>
      <c r="S157" s="111"/>
      <c r="T157" s="113"/>
      <c r="W157" s="195"/>
      <c r="X157" s="215" t="s">
        <v>5323</v>
      </c>
      <c r="Y157" s="215" t="s">
        <v>231</v>
      </c>
      <c r="Z157" s="216" t="s">
        <v>3548</v>
      </c>
      <c r="AA157" s="217" t="s">
        <v>5321</v>
      </c>
      <c r="AB157" s="218" t="s">
        <v>1194</v>
      </c>
      <c r="AC157" s="219">
        <v>1</v>
      </c>
      <c r="AD157" s="220">
        <v>2962.71</v>
      </c>
      <c r="AE157" s="221">
        <f>ROUND(AD157*AC157,2)</f>
        <v>2962.71</v>
      </c>
      <c r="AF157" s="248">
        <v>7</v>
      </c>
      <c r="AR157" s="107"/>
      <c r="AT157" s="114"/>
      <c r="AU157" s="114"/>
      <c r="AY157" s="107"/>
      <c r="BK157" s="115"/>
    </row>
    <row r="158" spans="2:65" s="11" customFormat="1" ht="96" x14ac:dyDescent="0.25">
      <c r="B158" s="106"/>
      <c r="D158" s="107"/>
      <c r="E158" s="108"/>
      <c r="F158" s="108"/>
      <c r="J158" s="109"/>
      <c r="L158" s="106"/>
      <c r="M158" s="110"/>
      <c r="N158" s="111"/>
      <c r="O158" s="111"/>
      <c r="P158" s="112"/>
      <c r="Q158" s="111"/>
      <c r="R158" s="112"/>
      <c r="S158" s="111"/>
      <c r="T158" s="113"/>
      <c r="W158" s="195"/>
      <c r="X158" s="267"/>
      <c r="Y158" s="268" t="s">
        <v>1259</v>
      </c>
      <c r="Z158" s="267"/>
      <c r="AA158" s="269" t="s">
        <v>5322</v>
      </c>
      <c r="AB158" s="267"/>
      <c r="AC158" s="267"/>
      <c r="AD158" s="267"/>
      <c r="AE158" s="270"/>
      <c r="AF158" s="248"/>
      <c r="AR158" s="107"/>
      <c r="AT158" s="114"/>
      <c r="AU158" s="114"/>
      <c r="AY158" s="107"/>
      <c r="BK158" s="115"/>
    </row>
    <row r="159" spans="2:65" s="1" customFormat="1" ht="16.5" customHeight="1" x14ac:dyDescent="0.2">
      <c r="B159" s="118"/>
      <c r="C159" s="205" t="s">
        <v>63</v>
      </c>
      <c r="D159" s="119" t="s">
        <v>231</v>
      </c>
      <c r="E159" s="120" t="s">
        <v>3545</v>
      </c>
      <c r="F159" s="121" t="s">
        <v>3546</v>
      </c>
      <c r="G159" s="122" t="s">
        <v>1194</v>
      </c>
      <c r="H159" s="206">
        <v>1</v>
      </c>
      <c r="I159" s="124">
        <v>759.87</v>
      </c>
      <c r="J159" s="124">
        <f>ROUND(I159*H159,2)</f>
        <v>759.87</v>
      </c>
      <c r="K159" s="121" t="s">
        <v>1</v>
      </c>
      <c r="L159" s="24"/>
      <c r="M159" s="125" t="s">
        <v>1</v>
      </c>
      <c r="N159" s="126" t="s">
        <v>32</v>
      </c>
      <c r="O159" s="127">
        <v>0</v>
      </c>
      <c r="P159" s="127">
        <f>O159*H159</f>
        <v>0</v>
      </c>
      <c r="Q159" s="127">
        <v>0</v>
      </c>
      <c r="R159" s="127">
        <f>Q159*H159</f>
        <v>0</v>
      </c>
      <c r="S159" s="127">
        <v>0</v>
      </c>
      <c r="T159" s="128">
        <f>S159*H159</f>
        <v>0</v>
      </c>
      <c r="W159" s="199"/>
      <c r="X159" s="205" t="s">
        <v>63</v>
      </c>
      <c r="Y159" s="119" t="s">
        <v>231</v>
      </c>
      <c r="Z159" s="120" t="s">
        <v>3545</v>
      </c>
      <c r="AA159" s="121" t="s">
        <v>3546</v>
      </c>
      <c r="AB159" s="122" t="s">
        <v>1194</v>
      </c>
      <c r="AC159" s="206">
        <v>0</v>
      </c>
      <c r="AD159" s="124">
        <v>759.87</v>
      </c>
      <c r="AE159" s="200">
        <f>ROUND(AD159*AC159,2)</f>
        <v>0</v>
      </c>
      <c r="AF159" s="227">
        <v>7</v>
      </c>
      <c r="AR159" s="129" t="s">
        <v>235</v>
      </c>
      <c r="AT159" s="129" t="s">
        <v>231</v>
      </c>
      <c r="AU159" s="129" t="s">
        <v>63</v>
      </c>
      <c r="AY159" s="13" t="s">
        <v>228</v>
      </c>
      <c r="BE159" s="130">
        <f>IF(N159="základná",J159,0)</f>
        <v>0</v>
      </c>
      <c r="BF159" s="130">
        <f>IF(N159="znížená",J159,0)</f>
        <v>759.87</v>
      </c>
      <c r="BG159" s="130">
        <f>IF(N159="zákl. prenesená",J159,0)</f>
        <v>0</v>
      </c>
      <c r="BH159" s="130">
        <f>IF(N159="zníž. prenesená",J159,0)</f>
        <v>0</v>
      </c>
      <c r="BI159" s="130">
        <f>IF(N159="nulová",J159,0)</f>
        <v>0</v>
      </c>
      <c r="BJ159" s="13" t="s">
        <v>76</v>
      </c>
      <c r="BK159" s="130">
        <f>ROUND(I159*H159,2)</f>
        <v>759.87</v>
      </c>
      <c r="BL159" s="13" t="s">
        <v>235</v>
      </c>
      <c r="BM159" s="129" t="s">
        <v>76</v>
      </c>
    </row>
    <row r="160" spans="2:65" s="1" customFormat="1" ht="57.6" x14ac:dyDescent="0.2">
      <c r="B160" s="24"/>
      <c r="D160" s="144" t="s">
        <v>1259</v>
      </c>
      <c r="F160" s="145" t="s">
        <v>4477</v>
      </c>
      <c r="L160" s="24"/>
      <c r="M160" s="146"/>
      <c r="N160" s="42"/>
      <c r="O160" s="42"/>
      <c r="P160" s="42"/>
      <c r="Q160" s="42"/>
      <c r="R160" s="42"/>
      <c r="S160" s="42"/>
      <c r="T160" s="43"/>
      <c r="W160" s="158"/>
      <c r="X160" s="557"/>
      <c r="Y160" s="203" t="s">
        <v>1259</v>
      </c>
      <c r="Z160" s="557"/>
      <c r="AA160" s="204" t="s">
        <v>4477</v>
      </c>
      <c r="AB160" s="557"/>
      <c r="AC160" s="557"/>
      <c r="AD160" s="557"/>
      <c r="AE160" s="159"/>
      <c r="AF160" s="227"/>
      <c r="AT160" s="13" t="s">
        <v>1259</v>
      </c>
      <c r="AU160" s="13" t="s">
        <v>63</v>
      </c>
    </row>
    <row r="161" spans="2:65" s="1" customFormat="1" ht="24" customHeight="1" x14ac:dyDescent="0.2">
      <c r="B161" s="118"/>
      <c r="C161" s="205" t="s">
        <v>76</v>
      </c>
      <c r="D161" s="119" t="s">
        <v>231</v>
      </c>
      <c r="E161" s="120" t="s">
        <v>3551</v>
      </c>
      <c r="F161" s="121" t="s">
        <v>3555</v>
      </c>
      <c r="G161" s="122" t="s">
        <v>1194</v>
      </c>
      <c r="H161" s="206">
        <v>1</v>
      </c>
      <c r="I161" s="124">
        <v>4162.1899999999996</v>
      </c>
      <c r="J161" s="124">
        <f>ROUND(I161*H161,2)</f>
        <v>4162.1899999999996</v>
      </c>
      <c r="K161" s="121" t="s">
        <v>1</v>
      </c>
      <c r="L161" s="24"/>
      <c r="M161" s="125" t="s">
        <v>1</v>
      </c>
      <c r="N161" s="126" t="s">
        <v>32</v>
      </c>
      <c r="O161" s="127">
        <v>0</v>
      </c>
      <c r="P161" s="127">
        <f>O161*H161</f>
        <v>0</v>
      </c>
      <c r="Q161" s="127">
        <v>0</v>
      </c>
      <c r="R161" s="127">
        <f>Q161*H161</f>
        <v>0</v>
      </c>
      <c r="S161" s="127">
        <v>0</v>
      </c>
      <c r="T161" s="128">
        <f>S161*H161</f>
        <v>0</v>
      </c>
      <c r="W161" s="199"/>
      <c r="X161" s="205" t="s">
        <v>76</v>
      </c>
      <c r="Y161" s="119" t="s">
        <v>231</v>
      </c>
      <c r="Z161" s="120" t="s">
        <v>3551</v>
      </c>
      <c r="AA161" s="121" t="s">
        <v>3555</v>
      </c>
      <c r="AB161" s="122" t="s">
        <v>1194</v>
      </c>
      <c r="AC161" s="206">
        <v>0</v>
      </c>
      <c r="AD161" s="124">
        <v>4162.1899999999996</v>
      </c>
      <c r="AE161" s="200">
        <f>ROUND(AD161*AC161,2)</f>
        <v>0</v>
      </c>
      <c r="AF161" s="227">
        <v>7</v>
      </c>
      <c r="AR161" s="129" t="s">
        <v>235</v>
      </c>
      <c r="AT161" s="129" t="s">
        <v>231</v>
      </c>
      <c r="AU161" s="129" t="s">
        <v>63</v>
      </c>
      <c r="AY161" s="13" t="s">
        <v>228</v>
      </c>
      <c r="BE161" s="130">
        <f>IF(N161="základná",J161,0)</f>
        <v>0</v>
      </c>
      <c r="BF161" s="130">
        <f>IF(N161="znížená",J161,0)</f>
        <v>4162.1899999999996</v>
      </c>
      <c r="BG161" s="130">
        <f>IF(N161="zákl. prenesená",J161,0)</f>
        <v>0</v>
      </c>
      <c r="BH161" s="130">
        <f>IF(N161="zníž. prenesená",J161,0)</f>
        <v>0</v>
      </c>
      <c r="BI161" s="130">
        <f>IF(N161="nulová",J161,0)</f>
        <v>0</v>
      </c>
      <c r="BJ161" s="13" t="s">
        <v>76</v>
      </c>
      <c r="BK161" s="130">
        <f>ROUND(I161*H161,2)</f>
        <v>4162.1899999999996</v>
      </c>
      <c r="BL161" s="13" t="s">
        <v>235</v>
      </c>
      <c r="BM161" s="129" t="s">
        <v>235</v>
      </c>
    </row>
    <row r="162" spans="2:65" s="1" customFormat="1" ht="86.4" x14ac:dyDescent="0.2">
      <c r="B162" s="24"/>
      <c r="D162" s="144" t="s">
        <v>1259</v>
      </c>
      <c r="F162" s="145" t="s">
        <v>4478</v>
      </c>
      <c r="L162" s="24"/>
      <c r="M162" s="146"/>
      <c r="N162" s="42"/>
      <c r="O162" s="42"/>
      <c r="P162" s="42"/>
      <c r="Q162" s="42"/>
      <c r="R162" s="42"/>
      <c r="S162" s="42"/>
      <c r="T162" s="43"/>
      <c r="W162" s="158"/>
      <c r="X162" s="557"/>
      <c r="Y162" s="203" t="s">
        <v>1259</v>
      </c>
      <c r="Z162" s="557"/>
      <c r="AA162" s="204" t="s">
        <v>4478</v>
      </c>
      <c r="AB162" s="557"/>
      <c r="AC162" s="557"/>
      <c r="AD162" s="557"/>
      <c r="AE162" s="159"/>
      <c r="AF162" s="227"/>
      <c r="AT162" s="13" t="s">
        <v>1259</v>
      </c>
      <c r="AU162" s="13" t="s">
        <v>63</v>
      </c>
    </row>
    <row r="163" spans="2:65" s="1" customFormat="1" ht="16.5" customHeight="1" x14ac:dyDescent="0.2">
      <c r="B163" s="118"/>
      <c r="C163" s="119" t="s">
        <v>229</v>
      </c>
      <c r="D163" s="119" t="s">
        <v>231</v>
      </c>
      <c r="E163" s="120" t="s">
        <v>1192</v>
      </c>
      <c r="F163" s="121" t="s">
        <v>1193</v>
      </c>
      <c r="G163" s="122" t="s">
        <v>1194</v>
      </c>
      <c r="H163" s="123">
        <v>20</v>
      </c>
      <c r="I163" s="124">
        <v>5.81</v>
      </c>
      <c r="J163" s="124">
        <f>ROUND(I163*H163,2)</f>
        <v>116.2</v>
      </c>
      <c r="K163" s="121" t="s">
        <v>1</v>
      </c>
      <c r="L163" s="24"/>
      <c r="M163" s="125" t="s">
        <v>1</v>
      </c>
      <c r="N163" s="126" t="s">
        <v>32</v>
      </c>
      <c r="O163" s="127">
        <v>0</v>
      </c>
      <c r="P163" s="127">
        <f>O163*H163</f>
        <v>0</v>
      </c>
      <c r="Q163" s="127">
        <v>0</v>
      </c>
      <c r="R163" s="127">
        <f>Q163*H163</f>
        <v>0</v>
      </c>
      <c r="S163" s="127">
        <v>0</v>
      </c>
      <c r="T163" s="128">
        <f>S163*H163</f>
        <v>0</v>
      </c>
      <c r="W163" s="199"/>
      <c r="X163" s="119" t="s">
        <v>229</v>
      </c>
      <c r="Y163" s="119" t="s">
        <v>231</v>
      </c>
      <c r="Z163" s="120" t="s">
        <v>1192</v>
      </c>
      <c r="AA163" s="121" t="s">
        <v>1193</v>
      </c>
      <c r="AB163" s="122" t="s">
        <v>1194</v>
      </c>
      <c r="AC163" s="123">
        <v>20</v>
      </c>
      <c r="AD163" s="124">
        <v>5.81</v>
      </c>
      <c r="AE163" s="200">
        <f>ROUND(AD163*AC163,2)</f>
        <v>116.2</v>
      </c>
      <c r="AF163" s="227"/>
      <c r="AR163" s="129" t="s">
        <v>235</v>
      </c>
      <c r="AT163" s="129" t="s">
        <v>231</v>
      </c>
      <c r="AU163" s="129" t="s">
        <v>63</v>
      </c>
      <c r="AY163" s="13" t="s">
        <v>228</v>
      </c>
      <c r="BE163" s="130">
        <f>IF(N163="základná",J163,0)</f>
        <v>0</v>
      </c>
      <c r="BF163" s="130">
        <f>IF(N163="znížená",J163,0)</f>
        <v>116.2</v>
      </c>
      <c r="BG163" s="130">
        <f>IF(N163="zákl. prenesená",J163,0)</f>
        <v>0</v>
      </c>
      <c r="BH163" s="130">
        <f>IF(N163="zníž. prenesená",J163,0)</f>
        <v>0</v>
      </c>
      <c r="BI163" s="130">
        <f>IF(N163="nulová",J163,0)</f>
        <v>0</v>
      </c>
      <c r="BJ163" s="13" t="s">
        <v>76</v>
      </c>
      <c r="BK163" s="130">
        <f>ROUND(I163*H163,2)</f>
        <v>116.2</v>
      </c>
      <c r="BL163" s="13" t="s">
        <v>235</v>
      </c>
      <c r="BM163" s="129" t="s">
        <v>240</v>
      </c>
    </row>
    <row r="164" spans="2:65" s="1" customFormat="1" ht="16.5" customHeight="1" x14ac:dyDescent="0.2">
      <c r="B164" s="118"/>
      <c r="C164" s="119" t="s">
        <v>235</v>
      </c>
      <c r="D164" s="119" t="s">
        <v>231</v>
      </c>
      <c r="E164" s="120" t="s">
        <v>1195</v>
      </c>
      <c r="F164" s="121" t="s">
        <v>1196</v>
      </c>
      <c r="G164" s="122" t="s">
        <v>1194</v>
      </c>
      <c r="H164" s="123">
        <v>20</v>
      </c>
      <c r="I164" s="124">
        <v>1.45</v>
      </c>
      <c r="J164" s="124">
        <f>ROUND(I164*H164,2)</f>
        <v>29</v>
      </c>
      <c r="K164" s="121" t="s">
        <v>1</v>
      </c>
      <c r="L164" s="24"/>
      <c r="M164" s="125" t="s">
        <v>1</v>
      </c>
      <c r="N164" s="126" t="s">
        <v>32</v>
      </c>
      <c r="O164" s="127">
        <v>0</v>
      </c>
      <c r="P164" s="127">
        <f>O164*H164</f>
        <v>0</v>
      </c>
      <c r="Q164" s="127">
        <v>0</v>
      </c>
      <c r="R164" s="127">
        <f>Q164*H164</f>
        <v>0</v>
      </c>
      <c r="S164" s="127">
        <v>0</v>
      </c>
      <c r="T164" s="128">
        <f>S164*H164</f>
        <v>0</v>
      </c>
      <c r="W164" s="199"/>
      <c r="X164" s="119" t="s">
        <v>235</v>
      </c>
      <c r="Y164" s="119" t="s">
        <v>231</v>
      </c>
      <c r="Z164" s="120" t="s">
        <v>1195</v>
      </c>
      <c r="AA164" s="121" t="s">
        <v>1196</v>
      </c>
      <c r="AB164" s="122" t="s">
        <v>1194</v>
      </c>
      <c r="AC164" s="123">
        <v>20</v>
      </c>
      <c r="AD164" s="124">
        <v>1.45</v>
      </c>
      <c r="AE164" s="200">
        <f>ROUND(AD164*AC164,2)</f>
        <v>29</v>
      </c>
      <c r="AF164" s="227"/>
      <c r="AR164" s="129" t="s">
        <v>235</v>
      </c>
      <c r="AT164" s="129" t="s">
        <v>231</v>
      </c>
      <c r="AU164" s="129" t="s">
        <v>63</v>
      </c>
      <c r="AY164" s="13" t="s">
        <v>228</v>
      </c>
      <c r="BE164" s="130">
        <f>IF(N164="základná",J164,0)</f>
        <v>0</v>
      </c>
      <c r="BF164" s="130">
        <f>IF(N164="znížená",J164,0)</f>
        <v>29</v>
      </c>
      <c r="BG164" s="130">
        <f>IF(N164="zákl. prenesená",J164,0)</f>
        <v>0</v>
      </c>
      <c r="BH164" s="130">
        <f>IF(N164="zníž. prenesená",J164,0)</f>
        <v>0</v>
      </c>
      <c r="BI164" s="130">
        <f>IF(N164="nulová",J164,0)</f>
        <v>0</v>
      </c>
      <c r="BJ164" s="13" t="s">
        <v>76</v>
      </c>
      <c r="BK164" s="130">
        <f>ROUND(I164*H164,2)</f>
        <v>29</v>
      </c>
      <c r="BL164" s="13" t="s">
        <v>235</v>
      </c>
      <c r="BM164" s="129" t="s">
        <v>244</v>
      </c>
    </row>
    <row r="165" spans="2:65" s="1" customFormat="1" ht="16.5" customHeight="1" x14ac:dyDescent="0.2">
      <c r="B165" s="118"/>
      <c r="C165" s="205" t="s">
        <v>245</v>
      </c>
      <c r="D165" s="119" t="s">
        <v>231</v>
      </c>
      <c r="E165" s="120" t="s">
        <v>1197</v>
      </c>
      <c r="F165" s="121" t="s">
        <v>1198</v>
      </c>
      <c r="G165" s="122" t="s">
        <v>570</v>
      </c>
      <c r="H165" s="123">
        <v>1.4</v>
      </c>
      <c r="I165" s="213">
        <v>50.67</v>
      </c>
      <c r="J165" s="124">
        <f>ROUND(I165*H165,2)</f>
        <v>70.94</v>
      </c>
      <c r="K165" s="121" t="s">
        <v>1</v>
      </c>
      <c r="L165" s="24"/>
      <c r="M165" s="125" t="s">
        <v>1</v>
      </c>
      <c r="N165" s="126" t="s">
        <v>32</v>
      </c>
      <c r="O165" s="127">
        <v>0</v>
      </c>
      <c r="P165" s="127">
        <f>O165*H165</f>
        <v>0</v>
      </c>
      <c r="Q165" s="127">
        <v>0</v>
      </c>
      <c r="R165" s="127">
        <f>Q165*H165</f>
        <v>0</v>
      </c>
      <c r="S165" s="127">
        <v>0</v>
      </c>
      <c r="T165" s="128">
        <f>S165*H165</f>
        <v>0</v>
      </c>
      <c r="W165" s="199"/>
      <c r="X165" s="205" t="s">
        <v>245</v>
      </c>
      <c r="Y165" s="119" t="s">
        <v>231</v>
      </c>
      <c r="Z165" s="120" t="s">
        <v>1197</v>
      </c>
      <c r="AA165" s="121" t="s">
        <v>1198</v>
      </c>
      <c r="AB165" s="122" t="s">
        <v>570</v>
      </c>
      <c r="AC165" s="123">
        <v>1.4</v>
      </c>
      <c r="AD165" s="213">
        <v>31</v>
      </c>
      <c r="AE165" s="200">
        <f>ROUND(AD165*AC165,2)</f>
        <v>43.4</v>
      </c>
      <c r="AF165" s="227">
        <v>7</v>
      </c>
      <c r="AR165" s="129" t="s">
        <v>235</v>
      </c>
      <c r="AT165" s="129" t="s">
        <v>231</v>
      </c>
      <c r="AU165" s="129" t="s">
        <v>63</v>
      </c>
      <c r="AY165" s="13" t="s">
        <v>228</v>
      </c>
      <c r="BE165" s="130">
        <f>IF(N165="základná",J165,0)</f>
        <v>0</v>
      </c>
      <c r="BF165" s="130">
        <f>IF(N165="znížená",J165,0)</f>
        <v>70.94</v>
      </c>
      <c r="BG165" s="130">
        <f>IF(N165="zákl. prenesená",J165,0)</f>
        <v>0</v>
      </c>
      <c r="BH165" s="130">
        <f>IF(N165="zníž. prenesená",J165,0)</f>
        <v>0</v>
      </c>
      <c r="BI165" s="130">
        <f>IF(N165="nulová",J165,0)</f>
        <v>0</v>
      </c>
      <c r="BJ165" s="13" t="s">
        <v>76</v>
      </c>
      <c r="BK165" s="130">
        <f>ROUND(I165*H165,2)</f>
        <v>70.94</v>
      </c>
      <c r="BL165" s="13" t="s">
        <v>235</v>
      </c>
      <c r="BM165" s="129" t="s">
        <v>248</v>
      </c>
    </row>
    <row r="166" spans="2:65" s="11" customFormat="1" ht="25.95" customHeight="1" x14ac:dyDescent="0.25">
      <c r="B166" s="106"/>
      <c r="D166" s="107" t="s">
        <v>57</v>
      </c>
      <c r="E166" s="108" t="s">
        <v>1199</v>
      </c>
      <c r="F166" s="108" t="s">
        <v>1200</v>
      </c>
      <c r="J166" s="109">
        <f>BK166</f>
        <v>12642.72</v>
      </c>
      <c r="L166" s="106"/>
      <c r="M166" s="110"/>
      <c r="N166" s="111"/>
      <c r="O166" s="111"/>
      <c r="P166" s="112">
        <f>P184+P190+P196+P199+P202+P204+P209+P216</f>
        <v>0</v>
      </c>
      <c r="Q166" s="111"/>
      <c r="R166" s="112">
        <f>R184+R190+R196+R199+R202+R204+R209+R216</f>
        <v>0</v>
      </c>
      <c r="S166" s="111"/>
      <c r="T166" s="113">
        <f>T184+T190+T196+T199+T202+T204+T209+T216</f>
        <v>0</v>
      </c>
      <c r="W166" s="195"/>
      <c r="X166" s="111"/>
      <c r="Y166" s="196" t="s">
        <v>57</v>
      </c>
      <c r="Z166" s="197" t="s">
        <v>1199</v>
      </c>
      <c r="AA166" s="197" t="s">
        <v>1200</v>
      </c>
      <c r="AB166" s="111"/>
      <c r="AC166" s="111"/>
      <c r="AD166" s="111"/>
      <c r="AE166" s="198">
        <f>AE168+AE172+AE176+AE180+AE184+AE190+AE196+AE199+AE202+AE204+AE209+AE216</f>
        <v>22049.339999999997</v>
      </c>
      <c r="AF166" s="248"/>
      <c r="AR166" s="107" t="s">
        <v>63</v>
      </c>
      <c r="AT166" s="114" t="s">
        <v>57</v>
      </c>
      <c r="AU166" s="114" t="s">
        <v>58</v>
      </c>
      <c r="AY166" s="107" t="s">
        <v>228</v>
      </c>
      <c r="BK166" s="115">
        <f>BK184+BK190+BK196+BK199+BK202+BK204+BK209+BK216</f>
        <v>12642.72</v>
      </c>
    </row>
    <row r="167" spans="2:65" s="11" customFormat="1" ht="25.95" customHeight="1" x14ac:dyDescent="0.25">
      <c r="B167" s="106"/>
      <c r="D167" s="107"/>
      <c r="E167" s="108"/>
      <c r="F167" s="108"/>
      <c r="J167" s="109"/>
      <c r="L167" s="106"/>
      <c r="M167" s="110"/>
      <c r="N167" s="111"/>
      <c r="O167" s="111"/>
      <c r="P167" s="112"/>
      <c r="Q167" s="111"/>
      <c r="R167" s="112"/>
      <c r="S167" s="111"/>
      <c r="T167" s="113"/>
      <c r="W167" s="195"/>
      <c r="X167" s="271"/>
      <c r="Y167" s="272" t="s">
        <v>57</v>
      </c>
      <c r="Z167" s="266" t="s">
        <v>5324</v>
      </c>
      <c r="AA167" s="197" t="s">
        <v>6791</v>
      </c>
      <c r="AB167" s="271"/>
      <c r="AC167" s="271"/>
      <c r="AD167" s="271"/>
      <c r="AE167" s="273"/>
      <c r="AF167" s="248"/>
      <c r="AR167" s="107"/>
      <c r="AT167" s="114"/>
      <c r="AU167" s="114"/>
      <c r="AY167" s="107"/>
      <c r="BK167" s="115"/>
    </row>
    <row r="168" spans="2:65" s="11" customFormat="1" ht="21.45" customHeight="1" x14ac:dyDescent="0.25">
      <c r="B168" s="106"/>
      <c r="D168" s="107"/>
      <c r="E168" s="108"/>
      <c r="F168" s="108"/>
      <c r="J168" s="109"/>
      <c r="L168" s="106"/>
      <c r="M168" s="110"/>
      <c r="N168" s="111"/>
      <c r="O168" s="111"/>
      <c r="P168" s="112"/>
      <c r="Q168" s="111"/>
      <c r="R168" s="112"/>
      <c r="S168" s="111"/>
      <c r="T168" s="113"/>
      <c r="W168" s="195"/>
      <c r="X168" s="271"/>
      <c r="Y168" s="272" t="s">
        <v>57</v>
      </c>
      <c r="Z168" s="274" t="s">
        <v>1201</v>
      </c>
      <c r="AA168" s="274" t="s">
        <v>1202</v>
      </c>
      <c r="AB168" s="271"/>
      <c r="AC168" s="271"/>
      <c r="AD168" s="271"/>
      <c r="AE168" s="275">
        <f>SUM(AE169:AE171)</f>
        <v>1110.6199999999999</v>
      </c>
      <c r="AF168" s="248"/>
      <c r="AR168" s="107"/>
      <c r="AT168" s="114"/>
      <c r="AU168" s="114"/>
      <c r="AY168" s="107"/>
      <c r="BK168" s="115"/>
    </row>
    <row r="169" spans="2:65" s="11" customFormat="1" ht="16.2" customHeight="1" x14ac:dyDescent="0.2">
      <c r="B169" s="106"/>
      <c r="C169" s="1234" t="s">
        <v>5205</v>
      </c>
      <c r="D169" s="1235"/>
      <c r="E169" s="1235"/>
      <c r="F169" s="1235"/>
      <c r="G169" s="1235"/>
      <c r="H169" s="1235"/>
      <c r="I169" s="1235"/>
      <c r="J169" s="1236"/>
      <c r="L169" s="106"/>
      <c r="M169" s="110"/>
      <c r="N169" s="111"/>
      <c r="O169" s="111"/>
      <c r="P169" s="112"/>
      <c r="Q169" s="111"/>
      <c r="R169" s="112"/>
      <c r="S169" s="111"/>
      <c r="T169" s="113"/>
      <c r="W169" s="195"/>
      <c r="X169" s="215" t="s">
        <v>5329</v>
      </c>
      <c r="Y169" s="215" t="s">
        <v>231</v>
      </c>
      <c r="Z169" s="216" t="s">
        <v>1207</v>
      </c>
      <c r="AA169" s="217" t="s">
        <v>1208</v>
      </c>
      <c r="AB169" s="218" t="s">
        <v>292</v>
      </c>
      <c r="AC169" s="219">
        <v>8</v>
      </c>
      <c r="AD169" s="220">
        <v>19.57</v>
      </c>
      <c r="AE169" s="221">
        <f>ROUND(AD169*AC169,2)</f>
        <v>156.56</v>
      </c>
      <c r="AF169" s="248">
        <v>7</v>
      </c>
      <c r="AR169" s="107"/>
      <c r="AT169" s="114"/>
      <c r="AU169" s="114"/>
      <c r="AY169" s="107"/>
      <c r="BK169" s="115"/>
    </row>
    <row r="170" spans="2:65" s="11" customFormat="1" ht="16.2" customHeight="1" x14ac:dyDescent="0.2">
      <c r="B170" s="106"/>
      <c r="C170" s="1234" t="s">
        <v>5205</v>
      </c>
      <c r="D170" s="1235"/>
      <c r="E170" s="1235"/>
      <c r="F170" s="1235"/>
      <c r="G170" s="1235"/>
      <c r="H170" s="1235"/>
      <c r="I170" s="1235"/>
      <c r="J170" s="1236"/>
      <c r="L170" s="106"/>
      <c r="M170" s="110"/>
      <c r="N170" s="111"/>
      <c r="O170" s="111"/>
      <c r="P170" s="112"/>
      <c r="Q170" s="111"/>
      <c r="R170" s="112"/>
      <c r="S170" s="111"/>
      <c r="T170" s="113"/>
      <c r="W170" s="195"/>
      <c r="X170" s="215" t="s">
        <v>5330</v>
      </c>
      <c r="Y170" s="215" t="s">
        <v>231</v>
      </c>
      <c r="Z170" s="216" t="s">
        <v>1209</v>
      </c>
      <c r="AA170" s="217" t="s">
        <v>1210</v>
      </c>
      <c r="AB170" s="218" t="s">
        <v>292</v>
      </c>
      <c r="AC170" s="219">
        <v>8</v>
      </c>
      <c r="AD170" s="220">
        <v>25.82</v>
      </c>
      <c r="AE170" s="221">
        <f>ROUND(AD170*AC170,2)</f>
        <v>206.56</v>
      </c>
      <c r="AF170" s="248">
        <v>7</v>
      </c>
      <c r="AR170" s="107"/>
      <c r="AT170" s="114"/>
      <c r="AU170" s="114"/>
      <c r="AY170" s="107"/>
      <c r="BK170" s="115"/>
    </row>
    <row r="171" spans="2:65" s="11" customFormat="1" ht="16.2" customHeight="1" x14ac:dyDescent="0.2">
      <c r="B171" s="106"/>
      <c r="C171" s="1234" t="s">
        <v>5205</v>
      </c>
      <c r="D171" s="1235"/>
      <c r="E171" s="1235"/>
      <c r="F171" s="1235"/>
      <c r="G171" s="1235"/>
      <c r="H171" s="1235"/>
      <c r="I171" s="1235"/>
      <c r="J171" s="1236"/>
      <c r="L171" s="106"/>
      <c r="M171" s="110"/>
      <c r="N171" s="111"/>
      <c r="O171" s="111"/>
      <c r="P171" s="112"/>
      <c r="Q171" s="111"/>
      <c r="R171" s="112"/>
      <c r="S171" s="111"/>
      <c r="T171" s="113"/>
      <c r="W171" s="195"/>
      <c r="X171" s="215" t="s">
        <v>5331</v>
      </c>
      <c r="Y171" s="215" t="s">
        <v>231</v>
      </c>
      <c r="Z171" s="216" t="s">
        <v>5325</v>
      </c>
      <c r="AA171" s="217" t="s">
        <v>3599</v>
      </c>
      <c r="AB171" s="218" t="s">
        <v>292</v>
      </c>
      <c r="AC171" s="219">
        <v>25</v>
      </c>
      <c r="AD171" s="220">
        <v>29.9</v>
      </c>
      <c r="AE171" s="221">
        <f>ROUND(AD171*AC171,2)</f>
        <v>747.5</v>
      </c>
      <c r="AF171" s="248">
        <v>7</v>
      </c>
      <c r="AR171" s="107"/>
      <c r="AT171" s="114"/>
      <c r="AU171" s="114"/>
      <c r="AY171" s="107"/>
      <c r="BK171" s="115"/>
    </row>
    <row r="172" spans="2:65" s="11" customFormat="1" ht="24" customHeight="1" x14ac:dyDescent="0.25">
      <c r="B172" s="106"/>
      <c r="D172" s="107"/>
      <c r="E172" s="108"/>
      <c r="F172" s="108"/>
      <c r="J172" s="109"/>
      <c r="L172" s="106"/>
      <c r="M172" s="110"/>
      <c r="N172" s="111"/>
      <c r="O172" s="111"/>
      <c r="P172" s="112"/>
      <c r="Q172" s="111"/>
      <c r="R172" s="112"/>
      <c r="S172" s="111"/>
      <c r="T172" s="113"/>
      <c r="W172" s="195"/>
      <c r="X172" s="271"/>
      <c r="Y172" s="272" t="s">
        <v>57</v>
      </c>
      <c r="Z172" s="274" t="s">
        <v>1211</v>
      </c>
      <c r="AA172" s="274" t="s">
        <v>1212</v>
      </c>
      <c r="AB172" s="271"/>
      <c r="AC172" s="271"/>
      <c r="AD172" s="271"/>
      <c r="AE172" s="275">
        <f>SUM(AE173:AE175)</f>
        <v>66.900000000000006</v>
      </c>
      <c r="AF172" s="248"/>
      <c r="AR172" s="107"/>
      <c r="AT172" s="114"/>
      <c r="AU172" s="114"/>
      <c r="AY172" s="107"/>
      <c r="BK172" s="115"/>
    </row>
    <row r="173" spans="2:65" s="11" customFormat="1" ht="16.2" customHeight="1" x14ac:dyDescent="0.2">
      <c r="B173" s="106"/>
      <c r="C173" s="1234" t="s">
        <v>5205</v>
      </c>
      <c r="D173" s="1235"/>
      <c r="E173" s="1235"/>
      <c r="F173" s="1235"/>
      <c r="G173" s="1235"/>
      <c r="H173" s="1235"/>
      <c r="I173" s="1235"/>
      <c r="J173" s="1236"/>
      <c r="L173" s="106"/>
      <c r="M173" s="110"/>
      <c r="N173" s="111"/>
      <c r="O173" s="111"/>
      <c r="P173" s="112"/>
      <c r="Q173" s="111"/>
      <c r="R173" s="112"/>
      <c r="S173" s="111"/>
      <c r="T173" s="113"/>
      <c r="W173" s="195"/>
      <c r="X173" s="215" t="s">
        <v>5332</v>
      </c>
      <c r="Y173" s="215" t="s">
        <v>231</v>
      </c>
      <c r="Z173" s="216" t="s">
        <v>5326</v>
      </c>
      <c r="AA173" s="217" t="s">
        <v>1208</v>
      </c>
      <c r="AB173" s="218" t="s">
        <v>1194</v>
      </c>
      <c r="AC173" s="219">
        <v>2</v>
      </c>
      <c r="AD173" s="220">
        <v>9.58</v>
      </c>
      <c r="AE173" s="221">
        <f>ROUND(AD173*AC173,2)</f>
        <v>19.16</v>
      </c>
      <c r="AF173" s="248">
        <v>7</v>
      </c>
      <c r="AR173" s="107"/>
      <c r="AT173" s="114"/>
      <c r="AU173" s="114"/>
      <c r="AY173" s="107"/>
      <c r="BK173" s="115"/>
    </row>
    <row r="174" spans="2:65" s="11" customFormat="1" ht="16.2" customHeight="1" x14ac:dyDescent="0.2">
      <c r="B174" s="106"/>
      <c r="C174" s="1234" t="s">
        <v>5205</v>
      </c>
      <c r="D174" s="1235"/>
      <c r="E174" s="1235"/>
      <c r="F174" s="1235"/>
      <c r="G174" s="1235"/>
      <c r="H174" s="1235"/>
      <c r="I174" s="1235"/>
      <c r="J174" s="1236"/>
      <c r="L174" s="106"/>
      <c r="M174" s="110"/>
      <c r="N174" s="111"/>
      <c r="O174" s="111"/>
      <c r="P174" s="112"/>
      <c r="Q174" s="111"/>
      <c r="R174" s="112"/>
      <c r="S174" s="111"/>
      <c r="T174" s="113"/>
      <c r="W174" s="195"/>
      <c r="X174" s="215" t="s">
        <v>5333</v>
      </c>
      <c r="Y174" s="215" t="s">
        <v>231</v>
      </c>
      <c r="Z174" s="216" t="s">
        <v>5327</v>
      </c>
      <c r="AA174" s="217" t="s">
        <v>1210</v>
      </c>
      <c r="AB174" s="218" t="s">
        <v>1194</v>
      </c>
      <c r="AC174" s="219">
        <v>2</v>
      </c>
      <c r="AD174" s="220">
        <v>10.67</v>
      </c>
      <c r="AE174" s="221">
        <f>ROUND(AD174*AC174,2)</f>
        <v>21.34</v>
      </c>
      <c r="AF174" s="248">
        <v>7</v>
      </c>
      <c r="AR174" s="107"/>
      <c r="AT174" s="114"/>
      <c r="AU174" s="114"/>
      <c r="AY174" s="107"/>
      <c r="BK174" s="115"/>
    </row>
    <row r="175" spans="2:65" s="11" customFormat="1" ht="16.2" customHeight="1" x14ac:dyDescent="0.2">
      <c r="B175" s="106"/>
      <c r="C175" s="1234" t="s">
        <v>5205</v>
      </c>
      <c r="D175" s="1235"/>
      <c r="E175" s="1235"/>
      <c r="F175" s="1235"/>
      <c r="G175" s="1235"/>
      <c r="H175" s="1235"/>
      <c r="I175" s="1235"/>
      <c r="J175" s="1236"/>
      <c r="L175" s="106"/>
      <c r="M175" s="110"/>
      <c r="N175" s="111"/>
      <c r="O175" s="111"/>
      <c r="P175" s="112"/>
      <c r="Q175" s="111"/>
      <c r="R175" s="112"/>
      <c r="S175" s="111"/>
      <c r="T175" s="113"/>
      <c r="W175" s="195"/>
      <c r="X175" s="215" t="s">
        <v>5334</v>
      </c>
      <c r="Y175" s="215" t="s">
        <v>231</v>
      </c>
      <c r="Z175" s="216" t="s">
        <v>5225</v>
      </c>
      <c r="AA175" s="217" t="s">
        <v>3599</v>
      </c>
      <c r="AB175" s="218" t="s">
        <v>1194</v>
      </c>
      <c r="AC175" s="219">
        <v>2</v>
      </c>
      <c r="AD175" s="220">
        <v>13.2</v>
      </c>
      <c r="AE175" s="221">
        <f>ROUND(AD175*AC175,2)</f>
        <v>26.4</v>
      </c>
      <c r="AF175" s="248">
        <v>7</v>
      </c>
      <c r="AR175" s="107"/>
      <c r="AT175" s="114"/>
      <c r="AU175" s="114"/>
      <c r="AY175" s="107"/>
      <c r="BK175" s="115"/>
    </row>
    <row r="176" spans="2:65" s="11" customFormat="1" ht="22.2" customHeight="1" x14ac:dyDescent="0.25">
      <c r="B176" s="106"/>
      <c r="D176" s="107"/>
      <c r="E176" s="108"/>
      <c r="F176" s="108"/>
      <c r="J176" s="109"/>
      <c r="L176" s="106"/>
      <c r="M176" s="110"/>
      <c r="N176" s="111"/>
      <c r="O176" s="111"/>
      <c r="P176" s="112"/>
      <c r="Q176" s="111"/>
      <c r="R176" s="112"/>
      <c r="S176" s="111"/>
      <c r="T176" s="113"/>
      <c r="W176" s="195"/>
      <c r="X176" s="271"/>
      <c r="Y176" s="272" t="s">
        <v>57</v>
      </c>
      <c r="Z176" s="274" t="s">
        <v>1215</v>
      </c>
      <c r="AA176" s="274" t="s">
        <v>3558</v>
      </c>
      <c r="AB176" s="271"/>
      <c r="AC176" s="271"/>
      <c r="AD176" s="271"/>
      <c r="AE176" s="275">
        <f>SUM(AE177:AE179)</f>
        <v>8650.4</v>
      </c>
      <c r="AF176" s="248"/>
      <c r="AR176" s="107"/>
      <c r="AT176" s="114"/>
      <c r="AU176" s="114"/>
      <c r="AY176" s="107"/>
      <c r="BK176" s="115"/>
    </row>
    <row r="177" spans="2:65" s="11" customFormat="1" ht="16.2" customHeight="1" x14ac:dyDescent="0.2">
      <c r="B177" s="106"/>
      <c r="C177" s="1234" t="s">
        <v>5205</v>
      </c>
      <c r="D177" s="1235"/>
      <c r="E177" s="1235"/>
      <c r="F177" s="1235"/>
      <c r="G177" s="1235"/>
      <c r="H177" s="1235"/>
      <c r="I177" s="1235"/>
      <c r="J177" s="1236"/>
      <c r="L177" s="106"/>
      <c r="M177" s="110"/>
      <c r="N177" s="111"/>
      <c r="O177" s="111"/>
      <c r="P177" s="112"/>
      <c r="Q177" s="111"/>
      <c r="R177" s="112"/>
      <c r="S177" s="111"/>
      <c r="T177" s="113"/>
      <c r="W177" s="195"/>
      <c r="X177" s="215" t="s">
        <v>5335</v>
      </c>
      <c r="Y177" s="215" t="s">
        <v>231</v>
      </c>
      <c r="Z177" s="216" t="s">
        <v>5226</v>
      </c>
      <c r="AA177" s="217" t="s">
        <v>5227</v>
      </c>
      <c r="AB177" s="218" t="s">
        <v>292</v>
      </c>
      <c r="AC177" s="219">
        <v>70</v>
      </c>
      <c r="AD177" s="220">
        <v>88</v>
      </c>
      <c r="AE177" s="221">
        <f>ROUND(AD177*AC177,2)</f>
        <v>6160</v>
      </c>
      <c r="AF177" s="248">
        <v>7</v>
      </c>
      <c r="AR177" s="107"/>
      <c r="AT177" s="114"/>
      <c r="AU177" s="114"/>
      <c r="AY177" s="107"/>
      <c r="BK177" s="115"/>
    </row>
    <row r="178" spans="2:65" s="11" customFormat="1" ht="16.2" customHeight="1" x14ac:dyDescent="0.2">
      <c r="B178" s="106"/>
      <c r="C178" s="1234" t="s">
        <v>5205</v>
      </c>
      <c r="D178" s="1235"/>
      <c r="E178" s="1235"/>
      <c r="F178" s="1235"/>
      <c r="G178" s="1235"/>
      <c r="H178" s="1235"/>
      <c r="I178" s="1235"/>
      <c r="J178" s="1236"/>
      <c r="L178" s="106"/>
      <c r="M178" s="110"/>
      <c r="N178" s="111"/>
      <c r="O178" s="111"/>
      <c r="P178" s="112"/>
      <c r="Q178" s="111"/>
      <c r="R178" s="112"/>
      <c r="S178" s="111"/>
      <c r="T178" s="113"/>
      <c r="W178" s="195"/>
      <c r="X178" s="215" t="s">
        <v>5336</v>
      </c>
      <c r="Y178" s="215" t="s">
        <v>231</v>
      </c>
      <c r="Z178" s="216" t="s">
        <v>3559</v>
      </c>
      <c r="AA178" s="217" t="s">
        <v>3560</v>
      </c>
      <c r="AB178" s="218" t="s">
        <v>292</v>
      </c>
      <c r="AC178" s="219">
        <v>8</v>
      </c>
      <c r="AD178" s="220">
        <v>96.35</v>
      </c>
      <c r="AE178" s="221">
        <f>ROUND(AD178*AC178,2)</f>
        <v>770.8</v>
      </c>
      <c r="AF178" s="248">
        <v>7</v>
      </c>
      <c r="AR178" s="107"/>
      <c r="AT178" s="114"/>
      <c r="AU178" s="114"/>
      <c r="AY178" s="107"/>
      <c r="BK178" s="115"/>
    </row>
    <row r="179" spans="2:65" s="11" customFormat="1" ht="16.2" customHeight="1" x14ac:dyDescent="0.2">
      <c r="B179" s="106"/>
      <c r="C179" s="1234" t="s">
        <v>5205</v>
      </c>
      <c r="D179" s="1235"/>
      <c r="E179" s="1235"/>
      <c r="F179" s="1235"/>
      <c r="G179" s="1235"/>
      <c r="H179" s="1235"/>
      <c r="I179" s="1235"/>
      <c r="J179" s="1236"/>
      <c r="L179" s="106"/>
      <c r="M179" s="110"/>
      <c r="N179" s="111"/>
      <c r="O179" s="111"/>
      <c r="P179" s="112"/>
      <c r="Q179" s="111"/>
      <c r="R179" s="112"/>
      <c r="S179" s="111"/>
      <c r="T179" s="113"/>
      <c r="W179" s="195"/>
      <c r="X179" s="215" t="s">
        <v>5337</v>
      </c>
      <c r="Y179" s="215" t="s">
        <v>231</v>
      </c>
      <c r="Z179" s="216" t="s">
        <v>3561</v>
      </c>
      <c r="AA179" s="217" t="s">
        <v>3562</v>
      </c>
      <c r="AB179" s="218" t="s">
        <v>292</v>
      </c>
      <c r="AC179" s="219">
        <v>15</v>
      </c>
      <c r="AD179" s="220">
        <v>114.64</v>
      </c>
      <c r="AE179" s="221">
        <f>ROUND(AD179*AC179,2)</f>
        <v>1719.6</v>
      </c>
      <c r="AF179" s="248">
        <v>7</v>
      </c>
      <c r="AR179" s="107"/>
      <c r="AT179" s="114"/>
      <c r="AU179" s="114"/>
      <c r="AY179" s="107"/>
      <c r="BK179" s="115"/>
    </row>
    <row r="180" spans="2:65" s="11" customFormat="1" ht="21" customHeight="1" x14ac:dyDescent="0.25">
      <c r="B180" s="106"/>
      <c r="D180" s="107"/>
      <c r="E180" s="108"/>
      <c r="F180" s="108"/>
      <c r="J180" s="109"/>
      <c r="L180" s="106"/>
      <c r="M180" s="110"/>
      <c r="N180" s="111"/>
      <c r="O180" s="111"/>
      <c r="P180" s="112"/>
      <c r="Q180" s="111"/>
      <c r="R180" s="112"/>
      <c r="S180" s="111"/>
      <c r="T180" s="113"/>
      <c r="W180" s="195"/>
      <c r="X180" s="271"/>
      <c r="Y180" s="272" t="s">
        <v>57</v>
      </c>
      <c r="Z180" s="274" t="s">
        <v>1227</v>
      </c>
      <c r="AA180" s="274" t="s">
        <v>3563</v>
      </c>
      <c r="AB180" s="271"/>
      <c r="AC180" s="271"/>
      <c r="AD180" s="271"/>
      <c r="AE180" s="275">
        <f>SUM(AE181:AE183)</f>
        <v>169.21</v>
      </c>
      <c r="AF180" s="248"/>
      <c r="AR180" s="107"/>
      <c r="AT180" s="114"/>
      <c r="AU180" s="114"/>
      <c r="AY180" s="107"/>
      <c r="BK180" s="115"/>
    </row>
    <row r="181" spans="2:65" s="11" customFormat="1" ht="16.2" customHeight="1" x14ac:dyDescent="0.2">
      <c r="B181" s="106"/>
      <c r="C181" s="1234" t="s">
        <v>5205</v>
      </c>
      <c r="D181" s="1235"/>
      <c r="E181" s="1235"/>
      <c r="F181" s="1235"/>
      <c r="G181" s="1235"/>
      <c r="H181" s="1235"/>
      <c r="I181" s="1235"/>
      <c r="J181" s="1236"/>
      <c r="L181" s="106"/>
      <c r="M181" s="110"/>
      <c r="N181" s="111"/>
      <c r="O181" s="111"/>
      <c r="P181" s="112"/>
      <c r="Q181" s="111"/>
      <c r="R181" s="112"/>
      <c r="S181" s="111"/>
      <c r="T181" s="113"/>
      <c r="W181" s="195"/>
      <c r="X181" s="215" t="s">
        <v>5338</v>
      </c>
      <c r="Y181" s="215" t="s">
        <v>231</v>
      </c>
      <c r="Z181" s="216" t="s">
        <v>5328</v>
      </c>
      <c r="AA181" s="217" t="s">
        <v>5227</v>
      </c>
      <c r="AB181" s="218" t="s">
        <v>1194</v>
      </c>
      <c r="AC181" s="219">
        <v>2</v>
      </c>
      <c r="AD181" s="220">
        <v>24</v>
      </c>
      <c r="AE181" s="221">
        <f>ROUND(AD181*AC181,2)</f>
        <v>48</v>
      </c>
      <c r="AF181" s="248">
        <v>7</v>
      </c>
      <c r="AR181" s="107"/>
      <c r="AT181" s="114"/>
      <c r="AU181" s="114"/>
      <c r="AY181" s="107"/>
      <c r="BK181" s="115"/>
    </row>
    <row r="182" spans="2:65" s="11" customFormat="1" ht="27.45" customHeight="1" x14ac:dyDescent="0.2">
      <c r="B182" s="106"/>
      <c r="C182" s="1234" t="s">
        <v>5205</v>
      </c>
      <c r="D182" s="1235"/>
      <c r="E182" s="1235"/>
      <c r="F182" s="1235"/>
      <c r="G182" s="1235"/>
      <c r="H182" s="1235"/>
      <c r="I182" s="1235"/>
      <c r="J182" s="1236"/>
      <c r="L182" s="106"/>
      <c r="M182" s="110"/>
      <c r="N182" s="111"/>
      <c r="O182" s="111"/>
      <c r="P182" s="112"/>
      <c r="Q182" s="111"/>
      <c r="R182" s="112"/>
      <c r="S182" s="111"/>
      <c r="T182" s="113"/>
      <c r="W182" s="195"/>
      <c r="X182" s="215" t="s">
        <v>5339</v>
      </c>
      <c r="Y182" s="215" t="s">
        <v>231</v>
      </c>
      <c r="Z182" s="216" t="s">
        <v>1230</v>
      </c>
      <c r="AA182" s="217" t="s">
        <v>4499</v>
      </c>
      <c r="AB182" s="218" t="s">
        <v>292</v>
      </c>
      <c r="AC182" s="219">
        <v>41</v>
      </c>
      <c r="AD182" s="220">
        <v>0.62</v>
      </c>
      <c r="AE182" s="221">
        <f>ROUND(AD182*AC182,2)</f>
        <v>25.42</v>
      </c>
      <c r="AF182" s="248">
        <v>7</v>
      </c>
      <c r="AR182" s="107"/>
      <c r="AT182" s="114"/>
      <c r="AU182" s="114"/>
      <c r="AY182" s="107"/>
      <c r="BK182" s="115"/>
    </row>
    <row r="183" spans="2:65" s="11" customFormat="1" ht="16.2" customHeight="1" x14ac:dyDescent="0.2">
      <c r="B183" s="106"/>
      <c r="C183" s="1234" t="s">
        <v>5205</v>
      </c>
      <c r="D183" s="1235"/>
      <c r="E183" s="1235"/>
      <c r="F183" s="1235"/>
      <c r="G183" s="1235"/>
      <c r="H183" s="1235"/>
      <c r="I183" s="1235"/>
      <c r="J183" s="1236"/>
      <c r="L183" s="106"/>
      <c r="M183" s="110"/>
      <c r="N183" s="111"/>
      <c r="O183" s="111"/>
      <c r="P183" s="112"/>
      <c r="Q183" s="111"/>
      <c r="R183" s="112"/>
      <c r="S183" s="111"/>
      <c r="T183" s="113"/>
      <c r="W183" s="195"/>
      <c r="X183" s="215" t="s">
        <v>5340</v>
      </c>
      <c r="Y183" s="215" t="s">
        <v>231</v>
      </c>
      <c r="Z183" s="216" t="s">
        <v>4500</v>
      </c>
      <c r="AA183" s="217" t="s">
        <v>4501</v>
      </c>
      <c r="AB183" s="218" t="s">
        <v>292</v>
      </c>
      <c r="AC183" s="219">
        <v>93</v>
      </c>
      <c r="AD183" s="220">
        <v>1.03</v>
      </c>
      <c r="AE183" s="221">
        <f>ROUND(AD183*AC183,2)</f>
        <v>95.79</v>
      </c>
      <c r="AF183" s="248">
        <v>7</v>
      </c>
      <c r="AR183" s="107"/>
      <c r="AT183" s="114"/>
      <c r="AU183" s="114"/>
      <c r="AY183" s="107"/>
      <c r="BK183" s="115"/>
    </row>
    <row r="184" spans="2:65" s="11" customFormat="1" ht="22.95" customHeight="1" x14ac:dyDescent="0.25">
      <c r="B184" s="106"/>
      <c r="D184" s="107" t="s">
        <v>57</v>
      </c>
      <c r="E184" s="116" t="s">
        <v>1201</v>
      </c>
      <c r="F184" s="116" t="s">
        <v>1202</v>
      </c>
      <c r="J184" s="117">
        <f>BK184</f>
        <v>5525.3099999999995</v>
      </c>
      <c r="L184" s="106"/>
      <c r="M184" s="110"/>
      <c r="N184" s="111"/>
      <c r="O184" s="111"/>
      <c r="P184" s="112">
        <f>SUM(P185:P188)</f>
        <v>0</v>
      </c>
      <c r="Q184" s="111"/>
      <c r="R184" s="112">
        <f>SUM(R185:R188)</f>
        <v>0</v>
      </c>
      <c r="S184" s="111"/>
      <c r="T184" s="113">
        <f>SUM(T185:T188)</f>
        <v>0</v>
      </c>
      <c r="W184" s="195"/>
      <c r="X184" s="111"/>
      <c r="Y184" s="196" t="s">
        <v>57</v>
      </c>
      <c r="Z184" s="201" t="s">
        <v>1201</v>
      </c>
      <c r="AA184" s="201" t="s">
        <v>1202</v>
      </c>
      <c r="AB184" s="111"/>
      <c r="AC184" s="111"/>
      <c r="AD184" s="111"/>
      <c r="AE184" s="202">
        <f>SUM(AE185:AE189)</f>
        <v>4119.84</v>
      </c>
      <c r="AF184" s="248"/>
      <c r="AR184" s="107" t="s">
        <v>63</v>
      </c>
      <c r="AT184" s="114" t="s">
        <v>57</v>
      </c>
      <c r="AU184" s="114" t="s">
        <v>63</v>
      </c>
      <c r="AY184" s="107" t="s">
        <v>228</v>
      </c>
      <c r="BK184" s="115">
        <f>SUM(BK185:BK188)</f>
        <v>5525.3099999999995</v>
      </c>
    </row>
    <row r="185" spans="2:65" s="1" customFormat="1" ht="16.5" customHeight="1" x14ac:dyDescent="0.2">
      <c r="B185" s="118"/>
      <c r="C185" s="205" t="s">
        <v>240</v>
      </c>
      <c r="D185" s="119" t="s">
        <v>231</v>
      </c>
      <c r="E185" s="120" t="s">
        <v>1203</v>
      </c>
      <c r="F185" s="121" t="s">
        <v>1204</v>
      </c>
      <c r="G185" s="122" t="s">
        <v>292</v>
      </c>
      <c r="H185" s="206">
        <v>250</v>
      </c>
      <c r="I185" s="124">
        <v>10.57</v>
      </c>
      <c r="J185" s="124">
        <f>ROUND(I185*H185,2)</f>
        <v>2642.5</v>
      </c>
      <c r="K185" s="121" t="s">
        <v>1</v>
      </c>
      <c r="L185" s="24"/>
      <c r="M185" s="125" t="s">
        <v>1</v>
      </c>
      <c r="N185" s="126" t="s">
        <v>32</v>
      </c>
      <c r="O185" s="127">
        <v>0</v>
      </c>
      <c r="P185" s="127">
        <f>O185*H185</f>
        <v>0</v>
      </c>
      <c r="Q185" s="127">
        <v>0</v>
      </c>
      <c r="R185" s="127">
        <f>Q185*H185</f>
        <v>0</v>
      </c>
      <c r="S185" s="127">
        <v>0</v>
      </c>
      <c r="T185" s="128">
        <f>S185*H185</f>
        <v>0</v>
      </c>
      <c r="W185" s="199"/>
      <c r="X185" s="205" t="s">
        <v>240</v>
      </c>
      <c r="Y185" s="119" t="s">
        <v>231</v>
      </c>
      <c r="Z185" s="120" t="s">
        <v>1203</v>
      </c>
      <c r="AA185" s="121" t="s">
        <v>1204</v>
      </c>
      <c r="AB185" s="122" t="s">
        <v>292</v>
      </c>
      <c r="AC185" s="206">
        <f>185+8</f>
        <v>193</v>
      </c>
      <c r="AD185" s="124">
        <v>10.57</v>
      </c>
      <c r="AE185" s="200">
        <f>ROUND(AD185*AC185,2)</f>
        <v>2040.01</v>
      </c>
      <c r="AF185" s="248" t="s">
        <v>6651</v>
      </c>
      <c r="AR185" s="129" t="s">
        <v>235</v>
      </c>
      <c r="AT185" s="129" t="s">
        <v>231</v>
      </c>
      <c r="AU185" s="129" t="s">
        <v>76</v>
      </c>
      <c r="AY185" s="13" t="s">
        <v>228</v>
      </c>
      <c r="BE185" s="130">
        <f>IF(N185="základná",J185,0)</f>
        <v>0</v>
      </c>
      <c r="BF185" s="130">
        <f>IF(N185="znížená",J185,0)</f>
        <v>2642.5</v>
      </c>
      <c r="BG185" s="130">
        <f>IF(N185="zákl. prenesená",J185,0)</f>
        <v>0</v>
      </c>
      <c r="BH185" s="130">
        <f>IF(N185="zníž. prenesená",J185,0)</f>
        <v>0</v>
      </c>
      <c r="BI185" s="130">
        <f>IF(N185="nulová",J185,0)</f>
        <v>0</v>
      </c>
      <c r="BJ185" s="13" t="s">
        <v>76</v>
      </c>
      <c r="BK185" s="130">
        <f>ROUND(I185*H185,2)</f>
        <v>2642.5</v>
      </c>
      <c r="BL185" s="13" t="s">
        <v>235</v>
      </c>
      <c r="BM185" s="129" t="s">
        <v>251</v>
      </c>
    </row>
    <row r="186" spans="2:65" s="1" customFormat="1" ht="16.5" customHeight="1" x14ac:dyDescent="0.2">
      <c r="B186" s="118"/>
      <c r="C186" s="205" t="s">
        <v>252</v>
      </c>
      <c r="D186" s="119" t="s">
        <v>231</v>
      </c>
      <c r="E186" s="120" t="s">
        <v>1205</v>
      </c>
      <c r="F186" s="121" t="s">
        <v>1206</v>
      </c>
      <c r="G186" s="122" t="s">
        <v>292</v>
      </c>
      <c r="H186" s="206">
        <v>113</v>
      </c>
      <c r="I186" s="124">
        <v>12.16</v>
      </c>
      <c r="J186" s="124">
        <f>ROUND(I186*H186,2)</f>
        <v>1374.08</v>
      </c>
      <c r="K186" s="121" t="s">
        <v>1</v>
      </c>
      <c r="L186" s="24"/>
      <c r="M186" s="125" t="s">
        <v>1</v>
      </c>
      <c r="N186" s="126" t="s">
        <v>32</v>
      </c>
      <c r="O186" s="127">
        <v>0</v>
      </c>
      <c r="P186" s="127">
        <f>O186*H186</f>
        <v>0</v>
      </c>
      <c r="Q186" s="127">
        <v>0</v>
      </c>
      <c r="R186" s="127">
        <f>Q186*H186</f>
        <v>0</v>
      </c>
      <c r="S186" s="127">
        <v>0</v>
      </c>
      <c r="T186" s="128">
        <f>S186*H186</f>
        <v>0</v>
      </c>
      <c r="W186" s="199"/>
      <c r="X186" s="205" t="s">
        <v>252</v>
      </c>
      <c r="Y186" s="119" t="s">
        <v>231</v>
      </c>
      <c r="Z186" s="120" t="s">
        <v>1205</v>
      </c>
      <c r="AA186" s="121" t="s">
        <v>1206</v>
      </c>
      <c r="AB186" s="122" t="s">
        <v>292</v>
      </c>
      <c r="AC186" s="206">
        <f>37+3.5</f>
        <v>40.5</v>
      </c>
      <c r="AD186" s="124">
        <v>12.16</v>
      </c>
      <c r="AE186" s="200">
        <f>ROUND(AD186*AC186,2)</f>
        <v>492.48</v>
      </c>
      <c r="AF186" s="924" t="s">
        <v>6651</v>
      </c>
      <c r="AR186" s="129" t="s">
        <v>235</v>
      </c>
      <c r="AT186" s="129" t="s">
        <v>231</v>
      </c>
      <c r="AU186" s="129" t="s">
        <v>76</v>
      </c>
      <c r="AY186" s="13" t="s">
        <v>228</v>
      </c>
      <c r="BE186" s="130">
        <f>IF(N186="základná",J186,0)</f>
        <v>0</v>
      </c>
      <c r="BF186" s="130">
        <f>IF(N186="znížená",J186,0)</f>
        <v>1374.08</v>
      </c>
      <c r="BG186" s="130">
        <f>IF(N186="zákl. prenesená",J186,0)</f>
        <v>0</v>
      </c>
      <c r="BH186" s="130">
        <f>IF(N186="zníž. prenesená",J186,0)</f>
        <v>0</v>
      </c>
      <c r="BI186" s="130">
        <f>IF(N186="nulová",J186,0)</f>
        <v>0</v>
      </c>
      <c r="BJ186" s="13" t="s">
        <v>76</v>
      </c>
      <c r="BK186" s="130">
        <f>ROUND(I186*H186,2)</f>
        <v>1374.08</v>
      </c>
      <c r="BL186" s="13" t="s">
        <v>235</v>
      </c>
      <c r="BM186" s="129" t="s">
        <v>255</v>
      </c>
    </row>
    <row r="187" spans="2:65" s="1" customFormat="1" ht="16.5" customHeight="1" x14ac:dyDescent="0.2">
      <c r="B187" s="118"/>
      <c r="C187" s="205" t="s">
        <v>244</v>
      </c>
      <c r="D187" s="119" t="s">
        <v>231</v>
      </c>
      <c r="E187" s="120" t="s">
        <v>1207</v>
      </c>
      <c r="F187" s="121" t="s">
        <v>1208</v>
      </c>
      <c r="G187" s="122" t="s">
        <v>292</v>
      </c>
      <c r="H187" s="206">
        <v>23</v>
      </c>
      <c r="I187" s="124">
        <v>19.57</v>
      </c>
      <c r="J187" s="124">
        <f>ROUND(I187*H187,2)</f>
        <v>450.11</v>
      </c>
      <c r="K187" s="121" t="s">
        <v>1</v>
      </c>
      <c r="L187" s="24"/>
      <c r="M187" s="125" t="s">
        <v>1</v>
      </c>
      <c r="N187" s="126" t="s">
        <v>32</v>
      </c>
      <c r="O187" s="127">
        <v>0</v>
      </c>
      <c r="P187" s="127">
        <f>O187*H187</f>
        <v>0</v>
      </c>
      <c r="Q187" s="127">
        <v>0</v>
      </c>
      <c r="R187" s="127">
        <f>Q187*H187</f>
        <v>0</v>
      </c>
      <c r="S187" s="127">
        <v>0</v>
      </c>
      <c r="T187" s="128">
        <f>S187*H187</f>
        <v>0</v>
      </c>
      <c r="W187" s="199"/>
      <c r="X187" s="205" t="s">
        <v>244</v>
      </c>
      <c r="Y187" s="119" t="s">
        <v>231</v>
      </c>
      <c r="Z187" s="120" t="s">
        <v>1207</v>
      </c>
      <c r="AA187" s="121" t="s">
        <v>1208</v>
      </c>
      <c r="AB187" s="122" t="s">
        <v>292</v>
      </c>
      <c r="AC187" s="206">
        <v>75</v>
      </c>
      <c r="AD187" s="124">
        <v>19.57</v>
      </c>
      <c r="AE187" s="200">
        <f>ROUND(AD187*AC187,2)</f>
        <v>1467.75</v>
      </c>
      <c r="AF187" s="248">
        <v>7</v>
      </c>
      <c r="AR187" s="129" t="s">
        <v>235</v>
      </c>
      <c r="AT187" s="129" t="s">
        <v>231</v>
      </c>
      <c r="AU187" s="129" t="s">
        <v>76</v>
      </c>
      <c r="AY187" s="13" t="s">
        <v>228</v>
      </c>
      <c r="BE187" s="130">
        <f>IF(N187="základná",J187,0)</f>
        <v>0</v>
      </c>
      <c r="BF187" s="130">
        <f>IF(N187="znížená",J187,0)</f>
        <v>450.11</v>
      </c>
      <c r="BG187" s="130">
        <f>IF(N187="zákl. prenesená",J187,0)</f>
        <v>0</v>
      </c>
      <c r="BH187" s="130">
        <f>IF(N187="zníž. prenesená",J187,0)</f>
        <v>0</v>
      </c>
      <c r="BI187" s="130">
        <f>IF(N187="nulová",J187,0)</f>
        <v>0</v>
      </c>
      <c r="BJ187" s="13" t="s">
        <v>76</v>
      </c>
      <c r="BK187" s="130">
        <f>ROUND(I187*H187,2)</f>
        <v>450.11</v>
      </c>
      <c r="BL187" s="13" t="s">
        <v>235</v>
      </c>
      <c r="BM187" s="129" t="s">
        <v>258</v>
      </c>
    </row>
    <row r="188" spans="2:65" s="1" customFormat="1" ht="16.5" customHeight="1" x14ac:dyDescent="0.2">
      <c r="B188" s="118"/>
      <c r="C188" s="205" t="s">
        <v>259</v>
      </c>
      <c r="D188" s="119" t="s">
        <v>231</v>
      </c>
      <c r="E188" s="120" t="s">
        <v>1209</v>
      </c>
      <c r="F188" s="121" t="s">
        <v>1210</v>
      </c>
      <c r="G188" s="122" t="s">
        <v>292</v>
      </c>
      <c r="H188" s="206">
        <v>41</v>
      </c>
      <c r="I188" s="124">
        <v>25.82</v>
      </c>
      <c r="J188" s="124">
        <f>ROUND(I188*H188,2)</f>
        <v>1058.6199999999999</v>
      </c>
      <c r="K188" s="121" t="s">
        <v>1</v>
      </c>
      <c r="L188" s="24"/>
      <c r="M188" s="125" t="s">
        <v>1</v>
      </c>
      <c r="N188" s="126" t="s">
        <v>32</v>
      </c>
      <c r="O188" s="127">
        <v>0</v>
      </c>
      <c r="P188" s="127">
        <f>O188*H188</f>
        <v>0</v>
      </c>
      <c r="Q188" s="127">
        <v>0</v>
      </c>
      <c r="R188" s="127">
        <f>Q188*H188</f>
        <v>0</v>
      </c>
      <c r="S188" s="127">
        <v>0</v>
      </c>
      <c r="T188" s="128">
        <f>S188*H188</f>
        <v>0</v>
      </c>
      <c r="W188" s="199"/>
      <c r="X188" s="205" t="s">
        <v>259</v>
      </c>
      <c r="Y188" s="119" t="s">
        <v>231</v>
      </c>
      <c r="Z188" s="120" t="s">
        <v>1209</v>
      </c>
      <c r="AA188" s="121" t="s">
        <v>1210</v>
      </c>
      <c r="AB188" s="122" t="s">
        <v>292</v>
      </c>
      <c r="AC188" s="206">
        <v>0</v>
      </c>
      <c r="AD188" s="124">
        <v>25.82</v>
      </c>
      <c r="AE188" s="200">
        <f>ROUND(AD188*AC188,2)</f>
        <v>0</v>
      </c>
      <c r="AF188" s="248">
        <v>7</v>
      </c>
      <c r="AR188" s="129" t="s">
        <v>235</v>
      </c>
      <c r="AT188" s="129" t="s">
        <v>231</v>
      </c>
      <c r="AU188" s="129" t="s">
        <v>76</v>
      </c>
      <c r="AY188" s="13" t="s">
        <v>228</v>
      </c>
      <c r="BE188" s="130">
        <f>IF(N188="základná",J188,0)</f>
        <v>0</v>
      </c>
      <c r="BF188" s="130">
        <f>IF(N188="znížená",J188,0)</f>
        <v>1058.6199999999999</v>
      </c>
      <c r="BG188" s="130">
        <f>IF(N188="zákl. prenesená",J188,0)</f>
        <v>0</v>
      </c>
      <c r="BH188" s="130">
        <f>IF(N188="zníž. prenesená",J188,0)</f>
        <v>0</v>
      </c>
      <c r="BI188" s="130">
        <f>IF(N188="nulová",J188,0)</f>
        <v>0</v>
      </c>
      <c r="BJ188" s="13" t="s">
        <v>76</v>
      </c>
      <c r="BK188" s="130">
        <f>ROUND(I188*H188,2)</f>
        <v>1058.6199999999999</v>
      </c>
      <c r="BL188" s="13" t="s">
        <v>235</v>
      </c>
      <c r="BM188" s="129" t="s">
        <v>262</v>
      </c>
    </row>
    <row r="189" spans="2:65" s="238" customFormat="1" ht="16.5" customHeight="1" x14ac:dyDescent="0.2">
      <c r="B189" s="118"/>
      <c r="C189" s="1234" t="s">
        <v>5205</v>
      </c>
      <c r="D189" s="1235"/>
      <c r="E189" s="1235"/>
      <c r="F189" s="1235"/>
      <c r="G189" s="1235"/>
      <c r="H189" s="1235"/>
      <c r="I189" s="1235"/>
      <c r="J189" s="1236"/>
      <c r="K189" s="222"/>
      <c r="L189" s="24"/>
      <c r="M189" s="125"/>
      <c r="N189" s="126"/>
      <c r="O189" s="127"/>
      <c r="P189" s="127"/>
      <c r="Q189" s="127"/>
      <c r="R189" s="127"/>
      <c r="S189" s="127"/>
      <c r="T189" s="128"/>
      <c r="W189" s="199"/>
      <c r="X189" s="215" t="s">
        <v>5341</v>
      </c>
      <c r="Y189" s="207" t="s">
        <v>231</v>
      </c>
      <c r="Z189" s="208" t="s">
        <v>5325</v>
      </c>
      <c r="AA189" s="217" t="s">
        <v>3599</v>
      </c>
      <c r="AB189" s="210" t="s">
        <v>292</v>
      </c>
      <c r="AC189" s="211">
        <v>4</v>
      </c>
      <c r="AD189" s="212">
        <v>29.9</v>
      </c>
      <c r="AE189" s="214">
        <f>ROUND(AD189*AC189,2)</f>
        <v>119.6</v>
      </c>
      <c r="AF189" s="248">
        <v>7</v>
      </c>
      <c r="AR189" s="129"/>
      <c r="AT189" s="129"/>
      <c r="AU189" s="129"/>
      <c r="AY189" s="13"/>
      <c r="BE189" s="130"/>
      <c r="BF189" s="130"/>
      <c r="BG189" s="130"/>
      <c r="BH189" s="130"/>
      <c r="BI189" s="130"/>
      <c r="BJ189" s="13"/>
      <c r="BK189" s="130"/>
      <c r="BL189" s="13"/>
      <c r="BM189" s="129"/>
    </row>
    <row r="190" spans="2:65" s="11" customFormat="1" ht="22.95" customHeight="1" x14ac:dyDescent="0.25">
      <c r="B190" s="106"/>
      <c r="D190" s="107" t="s">
        <v>57</v>
      </c>
      <c r="E190" s="116" t="s">
        <v>1211</v>
      </c>
      <c r="F190" s="116" t="s">
        <v>1212</v>
      </c>
      <c r="J190" s="117">
        <f>BK190</f>
        <v>274.52</v>
      </c>
      <c r="L190" s="106"/>
      <c r="M190" s="110"/>
      <c r="N190" s="111"/>
      <c r="O190" s="111"/>
      <c r="P190" s="112">
        <f>SUM(P191:P194)</f>
        <v>0</v>
      </c>
      <c r="Q190" s="111"/>
      <c r="R190" s="112">
        <f>SUM(R191:R194)</f>
        <v>0</v>
      </c>
      <c r="S190" s="111"/>
      <c r="T190" s="113">
        <f>SUM(T191:T194)</f>
        <v>0</v>
      </c>
      <c r="W190" s="195"/>
      <c r="X190" s="111"/>
      <c r="Y190" s="196" t="s">
        <v>57</v>
      </c>
      <c r="Z190" s="201" t="s">
        <v>1211</v>
      </c>
      <c r="AA190" s="201" t="s">
        <v>1212</v>
      </c>
      <c r="AB190" s="111"/>
      <c r="AC190" s="111"/>
      <c r="AD190" s="111"/>
      <c r="AE190" s="202">
        <f>SUM(AE191:AE195)</f>
        <v>306.52000000000004</v>
      </c>
      <c r="AF190" s="248"/>
      <c r="AR190" s="107" t="s">
        <v>63</v>
      </c>
      <c r="AT190" s="114" t="s">
        <v>57</v>
      </c>
      <c r="AU190" s="114" t="s">
        <v>63</v>
      </c>
      <c r="AY190" s="107" t="s">
        <v>228</v>
      </c>
      <c r="BK190" s="115">
        <f>SUM(BK191:BK194)</f>
        <v>274.52</v>
      </c>
    </row>
    <row r="191" spans="2:65" s="1" customFormat="1" ht="16.5" customHeight="1" x14ac:dyDescent="0.2">
      <c r="B191" s="118"/>
      <c r="C191" s="205" t="s">
        <v>248</v>
      </c>
      <c r="D191" s="119" t="s">
        <v>231</v>
      </c>
      <c r="E191" s="120" t="s">
        <v>3557</v>
      </c>
      <c r="F191" s="121" t="s">
        <v>1204</v>
      </c>
      <c r="G191" s="122" t="s">
        <v>1194</v>
      </c>
      <c r="H191" s="206">
        <v>62</v>
      </c>
      <c r="I191" s="124">
        <v>3.89</v>
      </c>
      <c r="J191" s="124">
        <f>ROUND(I191*H191,2)</f>
        <v>241.18</v>
      </c>
      <c r="K191" s="121" t="s">
        <v>1</v>
      </c>
      <c r="L191" s="24"/>
      <c r="M191" s="125" t="s">
        <v>1</v>
      </c>
      <c r="N191" s="126" t="s">
        <v>32</v>
      </c>
      <c r="O191" s="127">
        <v>0</v>
      </c>
      <c r="P191" s="127">
        <f>O191*H191</f>
        <v>0</v>
      </c>
      <c r="Q191" s="127">
        <v>0</v>
      </c>
      <c r="R191" s="127">
        <f>Q191*H191</f>
        <v>0</v>
      </c>
      <c r="S191" s="127">
        <v>0</v>
      </c>
      <c r="T191" s="128">
        <f>S191*H191</f>
        <v>0</v>
      </c>
      <c r="W191" s="199"/>
      <c r="X191" s="205" t="s">
        <v>248</v>
      </c>
      <c r="Y191" s="119" t="s">
        <v>231</v>
      </c>
      <c r="Z191" s="120" t="s">
        <v>3557</v>
      </c>
      <c r="AA191" s="121" t="s">
        <v>1204</v>
      </c>
      <c r="AB191" s="122" t="s">
        <v>1194</v>
      </c>
      <c r="AC191" s="206">
        <v>64</v>
      </c>
      <c r="AD191" s="124">
        <v>3.89</v>
      </c>
      <c r="AE191" s="200">
        <f>ROUND(AD191*AC191,2)</f>
        <v>248.96</v>
      </c>
      <c r="AF191" s="248">
        <v>7</v>
      </c>
      <c r="AR191" s="129" t="s">
        <v>235</v>
      </c>
      <c r="AT191" s="129" t="s">
        <v>231</v>
      </c>
      <c r="AU191" s="129" t="s">
        <v>76</v>
      </c>
      <c r="AY191" s="13" t="s">
        <v>228</v>
      </c>
      <c r="BE191" s="130">
        <f>IF(N191="základná",J191,0)</f>
        <v>0</v>
      </c>
      <c r="BF191" s="130">
        <f>IF(N191="znížená",J191,0)</f>
        <v>241.18</v>
      </c>
      <c r="BG191" s="130">
        <f>IF(N191="zákl. prenesená",J191,0)</f>
        <v>0</v>
      </c>
      <c r="BH191" s="130">
        <f>IF(N191="zníž. prenesená",J191,0)</f>
        <v>0</v>
      </c>
      <c r="BI191" s="130">
        <f>IF(N191="nulová",J191,0)</f>
        <v>0</v>
      </c>
      <c r="BJ191" s="13" t="s">
        <v>76</v>
      </c>
      <c r="BK191" s="130">
        <f>ROUND(I191*H191,2)</f>
        <v>241.18</v>
      </c>
      <c r="BL191" s="13" t="s">
        <v>235</v>
      </c>
      <c r="BM191" s="129" t="s">
        <v>7</v>
      </c>
    </row>
    <row r="192" spans="2:65" s="1" customFormat="1" ht="16.5" customHeight="1" x14ac:dyDescent="0.2">
      <c r="B192" s="118"/>
      <c r="C192" s="119" t="s">
        <v>265</v>
      </c>
      <c r="D192" s="119" t="s">
        <v>231</v>
      </c>
      <c r="E192" s="120" t="s">
        <v>4479</v>
      </c>
      <c r="F192" s="121" t="s">
        <v>1206</v>
      </c>
      <c r="G192" s="122" t="s">
        <v>1194</v>
      </c>
      <c r="H192" s="123">
        <v>2</v>
      </c>
      <c r="I192" s="124">
        <v>6</v>
      </c>
      <c r="J192" s="124">
        <f>ROUND(I192*H192,2)</f>
        <v>12</v>
      </c>
      <c r="K192" s="121" t="s">
        <v>1</v>
      </c>
      <c r="L192" s="24"/>
      <c r="M192" s="125" t="s">
        <v>1</v>
      </c>
      <c r="N192" s="126" t="s">
        <v>32</v>
      </c>
      <c r="O192" s="127">
        <v>0</v>
      </c>
      <c r="P192" s="127">
        <f>O192*H192</f>
        <v>0</v>
      </c>
      <c r="Q192" s="127">
        <v>0</v>
      </c>
      <c r="R192" s="127">
        <f>Q192*H192</f>
        <v>0</v>
      </c>
      <c r="S192" s="127">
        <v>0</v>
      </c>
      <c r="T192" s="128">
        <f>S192*H192</f>
        <v>0</v>
      </c>
      <c r="W192" s="199"/>
      <c r="X192" s="119" t="s">
        <v>265</v>
      </c>
      <c r="Y192" s="119" t="s">
        <v>231</v>
      </c>
      <c r="Z192" s="120" t="s">
        <v>4479</v>
      </c>
      <c r="AA192" s="121" t="s">
        <v>1206</v>
      </c>
      <c r="AB192" s="122" t="s">
        <v>1194</v>
      </c>
      <c r="AC192" s="123">
        <v>2</v>
      </c>
      <c r="AD192" s="124">
        <v>6</v>
      </c>
      <c r="AE192" s="200">
        <f>ROUND(AD192*AC192,2)</f>
        <v>12</v>
      </c>
      <c r="AF192" s="248"/>
      <c r="AR192" s="129" t="s">
        <v>235</v>
      </c>
      <c r="AT192" s="129" t="s">
        <v>231</v>
      </c>
      <c r="AU192" s="129" t="s">
        <v>76</v>
      </c>
      <c r="AY192" s="13" t="s">
        <v>228</v>
      </c>
      <c r="BE192" s="130">
        <f>IF(N192="základná",J192,0)</f>
        <v>0</v>
      </c>
      <c r="BF192" s="130">
        <f>IF(N192="znížená",J192,0)</f>
        <v>12</v>
      </c>
      <c r="BG192" s="130">
        <f>IF(N192="zákl. prenesená",J192,0)</f>
        <v>0</v>
      </c>
      <c r="BH192" s="130">
        <f>IF(N192="zníž. prenesená",J192,0)</f>
        <v>0</v>
      </c>
      <c r="BI192" s="130">
        <f>IF(N192="nulová",J192,0)</f>
        <v>0</v>
      </c>
      <c r="BJ192" s="13" t="s">
        <v>76</v>
      </c>
      <c r="BK192" s="130">
        <f>ROUND(I192*H192,2)</f>
        <v>12</v>
      </c>
      <c r="BL192" s="13" t="s">
        <v>235</v>
      </c>
      <c r="BM192" s="129" t="s">
        <v>268</v>
      </c>
    </row>
    <row r="193" spans="2:65" s="238" customFormat="1" ht="16.5" customHeight="1" x14ac:dyDescent="0.2">
      <c r="B193" s="118"/>
      <c r="C193" s="1234" t="s">
        <v>5205</v>
      </c>
      <c r="D193" s="1235"/>
      <c r="E193" s="1235"/>
      <c r="F193" s="1235"/>
      <c r="G193" s="1235"/>
      <c r="H193" s="1235"/>
      <c r="I193" s="1235"/>
      <c r="J193" s="1236"/>
      <c r="K193" s="121"/>
      <c r="L193" s="24"/>
      <c r="M193" s="125"/>
      <c r="N193" s="126"/>
      <c r="O193" s="127"/>
      <c r="P193" s="127"/>
      <c r="Q193" s="127"/>
      <c r="R193" s="127"/>
      <c r="S193" s="127"/>
      <c r="T193" s="128"/>
      <c r="W193" s="199"/>
      <c r="X193" s="215" t="s">
        <v>5342</v>
      </c>
      <c r="Y193" s="207" t="s">
        <v>231</v>
      </c>
      <c r="Z193" s="208" t="s">
        <v>1213</v>
      </c>
      <c r="AA193" s="217" t="s">
        <v>1208</v>
      </c>
      <c r="AB193" s="210" t="s">
        <v>1194</v>
      </c>
      <c r="AC193" s="211">
        <v>2</v>
      </c>
      <c r="AD193" s="212">
        <v>9.58</v>
      </c>
      <c r="AE193" s="214">
        <f>ROUND(AD193*AC193,2)</f>
        <v>19.16</v>
      </c>
      <c r="AF193" s="248">
        <v>7</v>
      </c>
      <c r="AR193" s="129"/>
      <c r="AT193" s="129"/>
      <c r="AU193" s="129"/>
      <c r="AY193" s="13"/>
      <c r="BE193" s="130"/>
      <c r="BF193" s="130"/>
      <c r="BG193" s="130"/>
      <c r="BH193" s="130"/>
      <c r="BI193" s="130"/>
      <c r="BJ193" s="13"/>
      <c r="BK193" s="130"/>
      <c r="BL193" s="13"/>
      <c r="BM193" s="129"/>
    </row>
    <row r="194" spans="2:65" s="1" customFormat="1" ht="16.5" customHeight="1" x14ac:dyDescent="0.2">
      <c r="B194" s="118"/>
      <c r="C194" s="205" t="s">
        <v>251</v>
      </c>
      <c r="D194" s="119" t="s">
        <v>231</v>
      </c>
      <c r="E194" s="120" t="s">
        <v>1214</v>
      </c>
      <c r="F194" s="121" t="s">
        <v>1210</v>
      </c>
      <c r="G194" s="122" t="s">
        <v>1194</v>
      </c>
      <c r="H194" s="206">
        <v>2</v>
      </c>
      <c r="I194" s="124">
        <v>10.67</v>
      </c>
      <c r="J194" s="124">
        <f>ROUND(I194*H194,2)</f>
        <v>21.34</v>
      </c>
      <c r="K194" s="121" t="s">
        <v>1</v>
      </c>
      <c r="L194" s="24"/>
      <c r="M194" s="125" t="s">
        <v>1</v>
      </c>
      <c r="N194" s="126" t="s">
        <v>32</v>
      </c>
      <c r="O194" s="127">
        <v>0</v>
      </c>
      <c r="P194" s="127">
        <f>O194*H194</f>
        <v>0</v>
      </c>
      <c r="Q194" s="127">
        <v>0</v>
      </c>
      <c r="R194" s="127">
        <f>Q194*H194</f>
        <v>0</v>
      </c>
      <c r="S194" s="127">
        <v>0</v>
      </c>
      <c r="T194" s="128">
        <f>S194*H194</f>
        <v>0</v>
      </c>
      <c r="W194" s="199"/>
      <c r="X194" s="205" t="s">
        <v>251</v>
      </c>
      <c r="Y194" s="119" t="s">
        <v>231</v>
      </c>
      <c r="Z194" s="120" t="s">
        <v>1214</v>
      </c>
      <c r="AA194" s="121" t="s">
        <v>1210</v>
      </c>
      <c r="AB194" s="122" t="s">
        <v>1194</v>
      </c>
      <c r="AC194" s="206">
        <v>0</v>
      </c>
      <c r="AD194" s="124">
        <v>10.67</v>
      </c>
      <c r="AE194" s="200">
        <f>ROUND(AD194*AC194,2)</f>
        <v>0</v>
      </c>
      <c r="AF194" s="248">
        <v>7</v>
      </c>
      <c r="AR194" s="129" t="s">
        <v>235</v>
      </c>
      <c r="AT194" s="129" t="s">
        <v>231</v>
      </c>
      <c r="AU194" s="129" t="s">
        <v>76</v>
      </c>
      <c r="AY194" s="13" t="s">
        <v>228</v>
      </c>
      <c r="BE194" s="130">
        <f>IF(N194="základná",J194,0)</f>
        <v>0</v>
      </c>
      <c r="BF194" s="130">
        <f>IF(N194="znížená",J194,0)</f>
        <v>21.34</v>
      </c>
      <c r="BG194" s="130">
        <f>IF(N194="zákl. prenesená",J194,0)</f>
        <v>0</v>
      </c>
      <c r="BH194" s="130">
        <f>IF(N194="zníž. prenesená",J194,0)</f>
        <v>0</v>
      </c>
      <c r="BI194" s="130">
        <f>IF(N194="nulová",J194,0)</f>
        <v>0</v>
      </c>
      <c r="BJ194" s="13" t="s">
        <v>76</v>
      </c>
      <c r="BK194" s="130">
        <f>ROUND(I194*H194,2)</f>
        <v>21.34</v>
      </c>
      <c r="BL194" s="13" t="s">
        <v>235</v>
      </c>
      <c r="BM194" s="129" t="s">
        <v>272</v>
      </c>
    </row>
    <row r="195" spans="2:65" s="238" customFormat="1" ht="16.5" customHeight="1" x14ac:dyDescent="0.2">
      <c r="B195" s="118"/>
      <c r="C195" s="1234" t="s">
        <v>5205</v>
      </c>
      <c r="D195" s="1235"/>
      <c r="E195" s="1235"/>
      <c r="F195" s="1235"/>
      <c r="G195" s="1235"/>
      <c r="H195" s="1235"/>
      <c r="I195" s="1235"/>
      <c r="J195" s="1236"/>
      <c r="K195" s="222"/>
      <c r="L195" s="24"/>
      <c r="M195" s="125"/>
      <c r="N195" s="126"/>
      <c r="O195" s="127"/>
      <c r="P195" s="127"/>
      <c r="Q195" s="127"/>
      <c r="R195" s="127"/>
      <c r="S195" s="127"/>
      <c r="T195" s="128"/>
      <c r="W195" s="199"/>
      <c r="X195" s="215" t="s">
        <v>5343</v>
      </c>
      <c r="Y195" s="207" t="s">
        <v>231</v>
      </c>
      <c r="Z195" s="208" t="s">
        <v>5225</v>
      </c>
      <c r="AA195" s="217" t="s">
        <v>3599</v>
      </c>
      <c r="AB195" s="210" t="s">
        <v>1194</v>
      </c>
      <c r="AC195" s="211">
        <v>2</v>
      </c>
      <c r="AD195" s="212">
        <v>13.2</v>
      </c>
      <c r="AE195" s="214">
        <f>ROUND(AD195*AC195,2)</f>
        <v>26.4</v>
      </c>
      <c r="AF195" s="248">
        <v>7</v>
      </c>
      <c r="AR195" s="129"/>
      <c r="AT195" s="129"/>
      <c r="AU195" s="129"/>
      <c r="AY195" s="13"/>
      <c r="BE195" s="130"/>
      <c r="BF195" s="130"/>
      <c r="BG195" s="130"/>
      <c r="BH195" s="130"/>
      <c r="BI195" s="130"/>
      <c r="BJ195" s="13"/>
      <c r="BK195" s="130"/>
      <c r="BL195" s="13"/>
      <c r="BM195" s="129"/>
    </row>
    <row r="196" spans="2:65" s="11" customFormat="1" ht="22.95" customHeight="1" x14ac:dyDescent="0.25">
      <c r="B196" s="106"/>
      <c r="D196" s="107" t="s">
        <v>57</v>
      </c>
      <c r="E196" s="116" t="s">
        <v>1215</v>
      </c>
      <c r="F196" s="116" t="s">
        <v>3558</v>
      </c>
      <c r="J196" s="117">
        <f>BK196</f>
        <v>4365.5</v>
      </c>
      <c r="L196" s="106"/>
      <c r="M196" s="110"/>
      <c r="N196" s="111"/>
      <c r="O196" s="111"/>
      <c r="P196" s="112">
        <f>P198</f>
        <v>0</v>
      </c>
      <c r="Q196" s="111"/>
      <c r="R196" s="112">
        <f>R198</f>
        <v>0</v>
      </c>
      <c r="S196" s="111"/>
      <c r="T196" s="113">
        <f>T198</f>
        <v>0</v>
      </c>
      <c r="W196" s="195"/>
      <c r="X196" s="111"/>
      <c r="Y196" s="196" t="s">
        <v>57</v>
      </c>
      <c r="Z196" s="201" t="s">
        <v>1215</v>
      </c>
      <c r="AA196" s="201" t="s">
        <v>3558</v>
      </c>
      <c r="AB196" s="111"/>
      <c r="AC196" s="111"/>
      <c r="AD196" s="111"/>
      <c r="AE196" s="202">
        <f>SUM(AE197:AE198)</f>
        <v>5502.72</v>
      </c>
      <c r="AF196" s="248"/>
      <c r="AR196" s="107" t="s">
        <v>63</v>
      </c>
      <c r="AT196" s="114" t="s">
        <v>57</v>
      </c>
      <c r="AU196" s="114" t="s">
        <v>63</v>
      </c>
      <c r="AY196" s="107" t="s">
        <v>228</v>
      </c>
      <c r="BK196" s="115">
        <f>BK198</f>
        <v>4365.5</v>
      </c>
    </row>
    <row r="197" spans="2:65" s="11" customFormat="1" ht="22.95" customHeight="1" x14ac:dyDescent="0.2">
      <c r="B197" s="106"/>
      <c r="C197" s="1234" t="s">
        <v>5205</v>
      </c>
      <c r="D197" s="1235"/>
      <c r="E197" s="1235"/>
      <c r="F197" s="1235"/>
      <c r="G197" s="1235"/>
      <c r="H197" s="1235"/>
      <c r="I197" s="1235"/>
      <c r="J197" s="1236"/>
      <c r="L197" s="106"/>
      <c r="M197" s="110"/>
      <c r="N197" s="111"/>
      <c r="O197" s="111"/>
      <c r="P197" s="112"/>
      <c r="Q197" s="111"/>
      <c r="R197" s="112"/>
      <c r="S197" s="111"/>
      <c r="T197" s="113"/>
      <c r="W197" s="195"/>
      <c r="X197" s="215" t="s">
        <v>5344</v>
      </c>
      <c r="Y197" s="215" t="s">
        <v>231</v>
      </c>
      <c r="Z197" s="216" t="s">
        <v>3561</v>
      </c>
      <c r="AA197" s="217" t="s">
        <v>3562</v>
      </c>
      <c r="AB197" s="218" t="s">
        <v>292</v>
      </c>
      <c r="AC197" s="219">
        <v>48</v>
      </c>
      <c r="AD197" s="220">
        <v>114.64</v>
      </c>
      <c r="AE197" s="221">
        <f>ROUND(AD197*AC197,2)</f>
        <v>5502.72</v>
      </c>
      <c r="AF197" s="248">
        <v>7</v>
      </c>
      <c r="AR197" s="107"/>
      <c r="AT197" s="114"/>
      <c r="AU197" s="114"/>
      <c r="AY197" s="107"/>
      <c r="BK197" s="115"/>
    </row>
    <row r="198" spans="2:65" s="1" customFormat="1" ht="16.5" customHeight="1" x14ac:dyDescent="0.2">
      <c r="B198" s="118"/>
      <c r="C198" s="205" t="s">
        <v>273</v>
      </c>
      <c r="D198" s="119" t="s">
        <v>231</v>
      </c>
      <c r="E198" s="120" t="s">
        <v>4480</v>
      </c>
      <c r="F198" s="121" t="s">
        <v>4481</v>
      </c>
      <c r="G198" s="122" t="s">
        <v>292</v>
      </c>
      <c r="H198" s="206">
        <v>50</v>
      </c>
      <c r="I198" s="124">
        <v>87.31</v>
      </c>
      <c r="J198" s="124">
        <f>ROUND(I198*H198,2)</f>
        <v>4365.5</v>
      </c>
      <c r="K198" s="121" t="s">
        <v>1</v>
      </c>
      <c r="L198" s="24"/>
      <c r="M198" s="125" t="s">
        <v>1</v>
      </c>
      <c r="N198" s="126" t="s">
        <v>32</v>
      </c>
      <c r="O198" s="127">
        <v>0</v>
      </c>
      <c r="P198" s="127">
        <f>O198*H198</f>
        <v>0</v>
      </c>
      <c r="Q198" s="127">
        <v>0</v>
      </c>
      <c r="R198" s="127">
        <f>Q198*H198</f>
        <v>0</v>
      </c>
      <c r="S198" s="127">
        <v>0</v>
      </c>
      <c r="T198" s="128">
        <f>S198*H198</f>
        <v>0</v>
      </c>
      <c r="W198" s="199"/>
      <c r="X198" s="205" t="s">
        <v>273</v>
      </c>
      <c r="Y198" s="119" t="s">
        <v>231</v>
      </c>
      <c r="Z198" s="120" t="s">
        <v>4480</v>
      </c>
      <c r="AA198" s="121" t="s">
        <v>4481</v>
      </c>
      <c r="AB198" s="122" t="s">
        <v>292</v>
      </c>
      <c r="AC198" s="206">
        <v>0</v>
      </c>
      <c r="AD198" s="124">
        <v>87.31</v>
      </c>
      <c r="AE198" s="200">
        <f>ROUND(AD198*AC198,2)</f>
        <v>0</v>
      </c>
      <c r="AF198" s="248">
        <v>7</v>
      </c>
      <c r="AR198" s="129" t="s">
        <v>235</v>
      </c>
      <c r="AT198" s="129" t="s">
        <v>231</v>
      </c>
      <c r="AU198" s="129" t="s">
        <v>76</v>
      </c>
      <c r="AY198" s="13" t="s">
        <v>228</v>
      </c>
      <c r="BE198" s="130">
        <f>IF(N198="základná",J198,0)</f>
        <v>0</v>
      </c>
      <c r="BF198" s="130">
        <f>IF(N198="znížená",J198,0)</f>
        <v>4365.5</v>
      </c>
      <c r="BG198" s="130">
        <f>IF(N198="zákl. prenesená",J198,0)</f>
        <v>0</v>
      </c>
      <c r="BH198" s="130">
        <f>IF(N198="zníž. prenesená",J198,0)</f>
        <v>0</v>
      </c>
      <c r="BI198" s="130">
        <f>IF(N198="nulová",J198,0)</f>
        <v>0</v>
      </c>
      <c r="BJ198" s="13" t="s">
        <v>76</v>
      </c>
      <c r="BK198" s="130">
        <f>ROUND(I198*H198,2)</f>
        <v>4365.5</v>
      </c>
      <c r="BL198" s="13" t="s">
        <v>235</v>
      </c>
      <c r="BM198" s="129" t="s">
        <v>276</v>
      </c>
    </row>
    <row r="199" spans="2:65" s="11" customFormat="1" ht="22.95" customHeight="1" x14ac:dyDescent="0.25">
      <c r="B199" s="106"/>
      <c r="D199" s="107" t="s">
        <v>57</v>
      </c>
      <c r="E199" s="116" t="s">
        <v>1227</v>
      </c>
      <c r="F199" s="116" t="s">
        <v>3563</v>
      </c>
      <c r="J199" s="117">
        <f>BK199</f>
        <v>365.65999999999997</v>
      </c>
      <c r="L199" s="106"/>
      <c r="M199" s="110"/>
      <c r="N199" s="111"/>
      <c r="O199" s="111"/>
      <c r="P199" s="112">
        <f>SUM(P200:P201)</f>
        <v>0</v>
      </c>
      <c r="Q199" s="111"/>
      <c r="R199" s="112">
        <f>SUM(R200:R201)</f>
        <v>0</v>
      </c>
      <c r="S199" s="111"/>
      <c r="T199" s="113">
        <f>SUM(T200:T201)</f>
        <v>0</v>
      </c>
      <c r="W199" s="195"/>
      <c r="X199" s="111"/>
      <c r="Y199" s="196" t="s">
        <v>57</v>
      </c>
      <c r="Z199" s="201" t="s">
        <v>1227</v>
      </c>
      <c r="AA199" s="201" t="s">
        <v>3563</v>
      </c>
      <c r="AB199" s="111"/>
      <c r="AC199" s="111"/>
      <c r="AD199" s="111"/>
      <c r="AE199" s="202">
        <f>SUM(AE200:AE201)</f>
        <v>63.14</v>
      </c>
      <c r="AF199" s="248"/>
      <c r="AR199" s="107" t="s">
        <v>63</v>
      </c>
      <c r="AT199" s="114" t="s">
        <v>57</v>
      </c>
      <c r="AU199" s="114" t="s">
        <v>63</v>
      </c>
      <c r="AY199" s="107" t="s">
        <v>228</v>
      </c>
      <c r="BK199" s="115">
        <f>SUM(BK200:BK201)</f>
        <v>365.65999999999997</v>
      </c>
    </row>
    <row r="200" spans="2:65" s="1" customFormat="1" ht="16.5" customHeight="1" x14ac:dyDescent="0.2">
      <c r="B200" s="118"/>
      <c r="C200" s="119" t="s">
        <v>255</v>
      </c>
      <c r="D200" s="119" t="s">
        <v>231</v>
      </c>
      <c r="E200" s="120" t="s">
        <v>3565</v>
      </c>
      <c r="F200" s="121" t="s">
        <v>3562</v>
      </c>
      <c r="G200" s="122" t="s">
        <v>1194</v>
      </c>
      <c r="H200" s="123">
        <v>2</v>
      </c>
      <c r="I200" s="124">
        <v>31.57</v>
      </c>
      <c r="J200" s="124">
        <f>ROUND(I200*H200,2)</f>
        <v>63.14</v>
      </c>
      <c r="K200" s="121" t="s">
        <v>1</v>
      </c>
      <c r="L200" s="24"/>
      <c r="M200" s="125" t="s">
        <v>1</v>
      </c>
      <c r="N200" s="126" t="s">
        <v>32</v>
      </c>
      <c r="O200" s="127">
        <v>0</v>
      </c>
      <c r="P200" s="127">
        <f>O200*H200</f>
        <v>0</v>
      </c>
      <c r="Q200" s="127">
        <v>0</v>
      </c>
      <c r="R200" s="127">
        <f>Q200*H200</f>
        <v>0</v>
      </c>
      <c r="S200" s="127">
        <v>0</v>
      </c>
      <c r="T200" s="128">
        <f>S200*H200</f>
        <v>0</v>
      </c>
      <c r="W200" s="199"/>
      <c r="X200" s="119" t="s">
        <v>255</v>
      </c>
      <c r="Y200" s="119" t="s">
        <v>231</v>
      </c>
      <c r="Z200" s="120" t="s">
        <v>3565</v>
      </c>
      <c r="AA200" s="121" t="s">
        <v>3562</v>
      </c>
      <c r="AB200" s="122" t="s">
        <v>1194</v>
      </c>
      <c r="AC200" s="123">
        <v>2</v>
      </c>
      <c r="AD200" s="124">
        <v>31.57</v>
      </c>
      <c r="AE200" s="200">
        <f>ROUND(AD200*AC200,2)</f>
        <v>63.14</v>
      </c>
      <c r="AF200" s="248"/>
      <c r="AR200" s="129" t="s">
        <v>235</v>
      </c>
      <c r="AT200" s="129" t="s">
        <v>231</v>
      </c>
      <c r="AU200" s="129" t="s">
        <v>76</v>
      </c>
      <c r="AY200" s="13" t="s">
        <v>228</v>
      </c>
      <c r="BE200" s="130">
        <f>IF(N200="základná",J200,0)</f>
        <v>0</v>
      </c>
      <c r="BF200" s="130">
        <f>IF(N200="znížená",J200,0)</f>
        <v>63.14</v>
      </c>
      <c r="BG200" s="130">
        <f>IF(N200="zákl. prenesená",J200,0)</f>
        <v>0</v>
      </c>
      <c r="BH200" s="130">
        <f>IF(N200="zníž. prenesená",J200,0)</f>
        <v>0</v>
      </c>
      <c r="BI200" s="130">
        <f>IF(N200="nulová",J200,0)</f>
        <v>0</v>
      </c>
      <c r="BJ200" s="13" t="s">
        <v>76</v>
      </c>
      <c r="BK200" s="130">
        <f>ROUND(I200*H200,2)</f>
        <v>63.14</v>
      </c>
      <c r="BL200" s="13" t="s">
        <v>235</v>
      </c>
      <c r="BM200" s="129" t="s">
        <v>280</v>
      </c>
    </row>
    <row r="201" spans="2:65" s="1" customFormat="1" ht="16.5" customHeight="1" x14ac:dyDescent="0.2">
      <c r="B201" s="118"/>
      <c r="C201" s="205" t="s">
        <v>281</v>
      </c>
      <c r="D201" s="119" t="s">
        <v>231</v>
      </c>
      <c r="E201" s="120" t="s">
        <v>4482</v>
      </c>
      <c r="F201" s="121" t="s">
        <v>4481</v>
      </c>
      <c r="G201" s="122" t="s">
        <v>1194</v>
      </c>
      <c r="H201" s="206">
        <v>6</v>
      </c>
      <c r="I201" s="124">
        <v>50.42</v>
      </c>
      <c r="J201" s="124">
        <f>ROUND(I201*H201,2)</f>
        <v>302.52</v>
      </c>
      <c r="K201" s="121" t="s">
        <v>1</v>
      </c>
      <c r="L201" s="24"/>
      <c r="M201" s="125" t="s">
        <v>1</v>
      </c>
      <c r="N201" s="126" t="s">
        <v>32</v>
      </c>
      <c r="O201" s="127">
        <v>0</v>
      </c>
      <c r="P201" s="127">
        <f>O201*H201</f>
        <v>0</v>
      </c>
      <c r="Q201" s="127">
        <v>0</v>
      </c>
      <c r="R201" s="127">
        <f>Q201*H201</f>
        <v>0</v>
      </c>
      <c r="S201" s="127">
        <v>0</v>
      </c>
      <c r="T201" s="128">
        <f>S201*H201</f>
        <v>0</v>
      </c>
      <c r="W201" s="199"/>
      <c r="X201" s="205" t="s">
        <v>281</v>
      </c>
      <c r="Y201" s="119" t="s">
        <v>231</v>
      </c>
      <c r="Z201" s="120" t="s">
        <v>4482</v>
      </c>
      <c r="AA201" s="121" t="s">
        <v>4481</v>
      </c>
      <c r="AB201" s="122" t="s">
        <v>1194</v>
      </c>
      <c r="AC201" s="206">
        <v>0</v>
      </c>
      <c r="AD201" s="124">
        <v>50.42</v>
      </c>
      <c r="AE201" s="200">
        <f>ROUND(AD201*AC201,2)</f>
        <v>0</v>
      </c>
      <c r="AF201" s="248">
        <v>7</v>
      </c>
      <c r="AR201" s="129" t="s">
        <v>235</v>
      </c>
      <c r="AT201" s="129" t="s">
        <v>231</v>
      </c>
      <c r="AU201" s="129" t="s">
        <v>76</v>
      </c>
      <c r="AY201" s="13" t="s">
        <v>228</v>
      </c>
      <c r="BE201" s="130">
        <f>IF(N201="základná",J201,0)</f>
        <v>0</v>
      </c>
      <c r="BF201" s="130">
        <f>IF(N201="znížená",J201,0)</f>
        <v>302.52</v>
      </c>
      <c r="BG201" s="130">
        <f>IF(N201="zákl. prenesená",J201,0)</f>
        <v>0</v>
      </c>
      <c r="BH201" s="130">
        <f>IF(N201="zníž. prenesená",J201,0)</f>
        <v>0</v>
      </c>
      <c r="BI201" s="130">
        <f>IF(N201="nulová",J201,0)</f>
        <v>0</v>
      </c>
      <c r="BJ201" s="13" t="s">
        <v>76</v>
      </c>
      <c r="BK201" s="130">
        <f>ROUND(I201*H201,2)</f>
        <v>302.52</v>
      </c>
      <c r="BL201" s="13" t="s">
        <v>235</v>
      </c>
      <c r="BM201" s="129" t="s">
        <v>285</v>
      </c>
    </row>
    <row r="202" spans="2:65" s="11" customFormat="1" ht="22.95" customHeight="1" x14ac:dyDescent="0.25">
      <c r="B202" s="106"/>
      <c r="D202" s="107" t="s">
        <v>57</v>
      </c>
      <c r="E202" s="116" t="s">
        <v>1240</v>
      </c>
      <c r="F202" s="116" t="s">
        <v>1216</v>
      </c>
      <c r="J202" s="117">
        <f>BK202</f>
        <v>137.88</v>
      </c>
      <c r="L202" s="106"/>
      <c r="M202" s="110"/>
      <c r="N202" s="111"/>
      <c r="O202" s="111"/>
      <c r="P202" s="112">
        <f>P203</f>
        <v>0</v>
      </c>
      <c r="Q202" s="111"/>
      <c r="R202" s="112">
        <f>R203</f>
        <v>0</v>
      </c>
      <c r="S202" s="111"/>
      <c r="T202" s="113">
        <f>T203</f>
        <v>0</v>
      </c>
      <c r="W202" s="195"/>
      <c r="X202" s="111"/>
      <c r="Y202" s="196" t="s">
        <v>57</v>
      </c>
      <c r="Z202" s="201" t="s">
        <v>1240</v>
      </c>
      <c r="AA202" s="201" t="s">
        <v>1216</v>
      </c>
      <c r="AB202" s="111"/>
      <c r="AC202" s="111"/>
      <c r="AD202" s="111"/>
      <c r="AE202" s="202">
        <f>CF202</f>
        <v>0</v>
      </c>
      <c r="AF202" s="248"/>
      <c r="AR202" s="107" t="s">
        <v>63</v>
      </c>
      <c r="AT202" s="114" t="s">
        <v>57</v>
      </c>
      <c r="AU202" s="114" t="s">
        <v>63</v>
      </c>
      <c r="AY202" s="107" t="s">
        <v>228</v>
      </c>
      <c r="BK202" s="115">
        <f>BK203</f>
        <v>137.88</v>
      </c>
    </row>
    <row r="203" spans="2:65" s="1" customFormat="1" ht="16.5" customHeight="1" x14ac:dyDescent="0.2">
      <c r="B203" s="118"/>
      <c r="C203" s="205" t="s">
        <v>258</v>
      </c>
      <c r="D203" s="119" t="s">
        <v>231</v>
      </c>
      <c r="E203" s="120" t="s">
        <v>4483</v>
      </c>
      <c r="F203" s="121" t="s">
        <v>4484</v>
      </c>
      <c r="G203" s="122" t="s">
        <v>1194</v>
      </c>
      <c r="H203" s="206">
        <v>2</v>
      </c>
      <c r="I203" s="124">
        <v>68.94</v>
      </c>
      <c r="J203" s="124">
        <f>ROUND(I203*H203,2)</f>
        <v>137.88</v>
      </c>
      <c r="K203" s="121" t="s">
        <v>1</v>
      </c>
      <c r="L203" s="24"/>
      <c r="M203" s="125" t="s">
        <v>1</v>
      </c>
      <c r="N203" s="126" t="s">
        <v>32</v>
      </c>
      <c r="O203" s="127">
        <v>0</v>
      </c>
      <c r="P203" s="127">
        <f>O203*H203</f>
        <v>0</v>
      </c>
      <c r="Q203" s="127">
        <v>0</v>
      </c>
      <c r="R203" s="127">
        <f>Q203*H203</f>
        <v>0</v>
      </c>
      <c r="S203" s="127">
        <v>0</v>
      </c>
      <c r="T203" s="128">
        <f>S203*H203</f>
        <v>0</v>
      </c>
      <c r="W203" s="199"/>
      <c r="X203" s="205" t="s">
        <v>258</v>
      </c>
      <c r="Y203" s="119" t="s">
        <v>231</v>
      </c>
      <c r="Z203" s="120" t="s">
        <v>4483</v>
      </c>
      <c r="AA203" s="121" t="s">
        <v>4484</v>
      </c>
      <c r="AB203" s="122" t="s">
        <v>1194</v>
      </c>
      <c r="AC203" s="206">
        <v>0</v>
      </c>
      <c r="AD203" s="124">
        <v>68.94</v>
      </c>
      <c r="AE203" s="200">
        <f>ROUND(AD203*AC203,2)</f>
        <v>0</v>
      </c>
      <c r="AF203" s="248">
        <v>7</v>
      </c>
      <c r="AR203" s="129" t="s">
        <v>235</v>
      </c>
      <c r="AT203" s="129" t="s">
        <v>231</v>
      </c>
      <c r="AU203" s="129" t="s">
        <v>76</v>
      </c>
      <c r="AY203" s="13" t="s">
        <v>228</v>
      </c>
      <c r="BE203" s="130">
        <f>IF(N203="základná",J203,0)</f>
        <v>0</v>
      </c>
      <c r="BF203" s="130">
        <f>IF(N203="znížená",J203,0)</f>
        <v>137.88</v>
      </c>
      <c r="BG203" s="130">
        <f>IF(N203="zákl. prenesená",J203,0)</f>
        <v>0</v>
      </c>
      <c r="BH203" s="130">
        <f>IF(N203="zníž. prenesená",J203,0)</f>
        <v>0</v>
      </c>
      <c r="BI203" s="130">
        <f>IF(N203="nulová",J203,0)</f>
        <v>0</v>
      </c>
      <c r="BJ203" s="13" t="s">
        <v>76</v>
      </c>
      <c r="BK203" s="130">
        <f>ROUND(I203*H203,2)</f>
        <v>137.88</v>
      </c>
      <c r="BL203" s="13" t="s">
        <v>235</v>
      </c>
      <c r="BM203" s="129" t="s">
        <v>288</v>
      </c>
    </row>
    <row r="204" spans="2:65" s="11" customFormat="1" ht="22.95" customHeight="1" x14ac:dyDescent="0.25">
      <c r="B204" s="106"/>
      <c r="D204" s="107" t="s">
        <v>57</v>
      </c>
      <c r="E204" s="116" t="s">
        <v>1247</v>
      </c>
      <c r="F204" s="116" t="s">
        <v>3568</v>
      </c>
      <c r="J204" s="117">
        <f>BK204</f>
        <v>421.76</v>
      </c>
      <c r="L204" s="106"/>
      <c r="M204" s="110"/>
      <c r="N204" s="111"/>
      <c r="O204" s="111"/>
      <c r="P204" s="112">
        <f>SUM(P205:P207)</f>
        <v>0</v>
      </c>
      <c r="Q204" s="111"/>
      <c r="R204" s="112">
        <f>SUM(R205:R207)</f>
        <v>0</v>
      </c>
      <c r="S204" s="111"/>
      <c r="T204" s="113">
        <f>SUM(T205:T207)</f>
        <v>0</v>
      </c>
      <c r="W204" s="195"/>
      <c r="X204" s="111"/>
      <c r="Y204" s="196" t="s">
        <v>57</v>
      </c>
      <c r="Z204" s="201" t="s">
        <v>1247</v>
      </c>
      <c r="AA204" s="201" t="s">
        <v>3568</v>
      </c>
      <c r="AB204" s="111"/>
      <c r="AC204" s="111"/>
      <c r="AD204" s="111"/>
      <c r="AE204" s="202">
        <f>SUM(AE205:AE208)</f>
        <v>422.72</v>
      </c>
      <c r="AF204" s="248"/>
      <c r="AR204" s="107" t="s">
        <v>63</v>
      </c>
      <c r="AT204" s="114" t="s">
        <v>57</v>
      </c>
      <c r="AU204" s="114" t="s">
        <v>63</v>
      </c>
      <c r="AY204" s="107" t="s">
        <v>228</v>
      </c>
      <c r="BK204" s="115">
        <f>SUM(BK205:BK207)</f>
        <v>421.76</v>
      </c>
    </row>
    <row r="205" spans="2:65" s="1" customFormat="1" ht="16.5" customHeight="1" x14ac:dyDescent="0.2">
      <c r="B205" s="118"/>
      <c r="C205" s="205" t="s">
        <v>289</v>
      </c>
      <c r="D205" s="119" t="s">
        <v>231</v>
      </c>
      <c r="E205" s="120" t="s">
        <v>4485</v>
      </c>
      <c r="F205" s="121" t="s">
        <v>4486</v>
      </c>
      <c r="G205" s="122" t="s">
        <v>1194</v>
      </c>
      <c r="H205" s="206">
        <v>8</v>
      </c>
      <c r="I205" s="124">
        <v>14.14</v>
      </c>
      <c r="J205" s="124">
        <f>ROUND(I205*H205,2)</f>
        <v>113.12</v>
      </c>
      <c r="K205" s="121" t="s">
        <v>1</v>
      </c>
      <c r="L205" s="24"/>
      <c r="M205" s="125" t="s">
        <v>1</v>
      </c>
      <c r="N205" s="126" t="s">
        <v>32</v>
      </c>
      <c r="O205" s="127">
        <v>0</v>
      </c>
      <c r="P205" s="127">
        <f>O205*H205</f>
        <v>0</v>
      </c>
      <c r="Q205" s="127">
        <v>0</v>
      </c>
      <c r="R205" s="127">
        <f>Q205*H205</f>
        <v>0</v>
      </c>
      <c r="S205" s="127">
        <v>0</v>
      </c>
      <c r="T205" s="128">
        <f>S205*H205</f>
        <v>0</v>
      </c>
      <c r="W205" s="199"/>
      <c r="X205" s="205" t="s">
        <v>289</v>
      </c>
      <c r="Y205" s="119" t="s">
        <v>231</v>
      </c>
      <c r="Z205" s="120" t="s">
        <v>4485</v>
      </c>
      <c r="AA205" s="121" t="s">
        <v>4486</v>
      </c>
      <c r="AB205" s="122" t="s">
        <v>1194</v>
      </c>
      <c r="AC205" s="206">
        <v>0</v>
      </c>
      <c r="AD205" s="124">
        <v>14.14</v>
      </c>
      <c r="AE205" s="200">
        <f>ROUND(AD205*AC205,2)</f>
        <v>0</v>
      </c>
      <c r="AF205" s="248">
        <v>7</v>
      </c>
      <c r="AR205" s="129" t="s">
        <v>235</v>
      </c>
      <c r="AT205" s="129" t="s">
        <v>231</v>
      </c>
      <c r="AU205" s="129" t="s">
        <v>76</v>
      </c>
      <c r="AY205" s="13" t="s">
        <v>228</v>
      </c>
      <c r="BE205" s="130">
        <f>IF(N205="základná",J205,0)</f>
        <v>0</v>
      </c>
      <c r="BF205" s="130">
        <f>IF(N205="znížená",J205,0)</f>
        <v>113.12</v>
      </c>
      <c r="BG205" s="130">
        <f>IF(N205="zákl. prenesená",J205,0)</f>
        <v>0</v>
      </c>
      <c r="BH205" s="130">
        <f>IF(N205="zníž. prenesená",J205,0)</f>
        <v>0</v>
      </c>
      <c r="BI205" s="130">
        <f>IF(N205="nulová",J205,0)</f>
        <v>0</v>
      </c>
      <c r="BJ205" s="13" t="s">
        <v>76</v>
      </c>
      <c r="BK205" s="130">
        <f>ROUND(I205*H205,2)</f>
        <v>113.12</v>
      </c>
      <c r="BL205" s="13" t="s">
        <v>235</v>
      </c>
      <c r="BM205" s="129" t="s">
        <v>293</v>
      </c>
    </row>
    <row r="206" spans="2:65" s="238" customFormat="1" ht="16.5" customHeight="1" x14ac:dyDescent="0.2">
      <c r="B206" s="118"/>
      <c r="C206" s="1234" t="s">
        <v>5205</v>
      </c>
      <c r="D206" s="1235"/>
      <c r="E206" s="1235"/>
      <c r="F206" s="1235"/>
      <c r="G206" s="1235"/>
      <c r="H206" s="1235"/>
      <c r="I206" s="1235"/>
      <c r="J206" s="1236"/>
      <c r="K206" s="121"/>
      <c r="L206" s="24"/>
      <c r="M206" s="125"/>
      <c r="N206" s="126"/>
      <c r="O206" s="127"/>
      <c r="P206" s="127"/>
      <c r="Q206" s="127"/>
      <c r="R206" s="127"/>
      <c r="S206" s="127"/>
      <c r="T206" s="128"/>
      <c r="W206" s="199"/>
      <c r="X206" s="215" t="s">
        <v>5348</v>
      </c>
      <c r="Y206" s="215" t="s">
        <v>231</v>
      </c>
      <c r="Z206" s="216" t="s">
        <v>5345</v>
      </c>
      <c r="AA206" s="217" t="s">
        <v>5346</v>
      </c>
      <c r="AB206" s="218" t="s">
        <v>1194</v>
      </c>
      <c r="AC206" s="219">
        <v>8</v>
      </c>
      <c r="AD206" s="220">
        <v>14.14</v>
      </c>
      <c r="AE206" s="221">
        <f>ROUND(AD206*AC206,2)</f>
        <v>113.12</v>
      </c>
      <c r="AF206" s="248">
        <v>7</v>
      </c>
      <c r="AR206" s="129"/>
      <c r="AT206" s="129"/>
      <c r="AU206" s="129"/>
      <c r="AY206" s="13"/>
      <c r="BE206" s="130"/>
      <c r="BF206" s="130"/>
      <c r="BG206" s="130"/>
      <c r="BH206" s="130"/>
      <c r="BI206" s="130"/>
      <c r="BJ206" s="13"/>
      <c r="BK206" s="130"/>
      <c r="BL206" s="13"/>
      <c r="BM206" s="129"/>
    </row>
    <row r="207" spans="2:65" s="1" customFormat="1" ht="16.5" customHeight="1" x14ac:dyDescent="0.2">
      <c r="B207" s="118"/>
      <c r="C207" s="205" t="s">
        <v>262</v>
      </c>
      <c r="D207" s="119" t="s">
        <v>231</v>
      </c>
      <c r="E207" s="120" t="s">
        <v>4487</v>
      </c>
      <c r="F207" s="121" t="s">
        <v>4488</v>
      </c>
      <c r="G207" s="122" t="s">
        <v>1194</v>
      </c>
      <c r="H207" s="206">
        <v>8</v>
      </c>
      <c r="I207" s="124">
        <v>38.58</v>
      </c>
      <c r="J207" s="124">
        <f>ROUND(I207*H207,2)</f>
        <v>308.64</v>
      </c>
      <c r="K207" s="121" t="s">
        <v>1</v>
      </c>
      <c r="L207" s="24"/>
      <c r="M207" s="125" t="s">
        <v>1</v>
      </c>
      <c r="N207" s="126" t="s">
        <v>32</v>
      </c>
      <c r="O207" s="127">
        <v>0</v>
      </c>
      <c r="P207" s="127">
        <f>O207*H207</f>
        <v>0</v>
      </c>
      <c r="Q207" s="127">
        <v>0</v>
      </c>
      <c r="R207" s="127">
        <f>Q207*H207</f>
        <v>0</v>
      </c>
      <c r="S207" s="127">
        <v>0</v>
      </c>
      <c r="T207" s="128">
        <f>S207*H207</f>
        <v>0</v>
      </c>
      <c r="W207" s="199"/>
      <c r="X207" s="205" t="s">
        <v>262</v>
      </c>
      <c r="Y207" s="119" t="s">
        <v>231</v>
      </c>
      <c r="Z207" s="120" t="s">
        <v>4487</v>
      </c>
      <c r="AA207" s="121" t="s">
        <v>4488</v>
      </c>
      <c r="AB207" s="122" t="s">
        <v>1194</v>
      </c>
      <c r="AC207" s="206">
        <v>0</v>
      </c>
      <c r="AD207" s="124">
        <v>38.58</v>
      </c>
      <c r="AE207" s="200">
        <f>ROUND(AD207*AC207,2)</f>
        <v>0</v>
      </c>
      <c r="AF207" s="248">
        <v>7</v>
      </c>
      <c r="AR207" s="129" t="s">
        <v>235</v>
      </c>
      <c r="AT207" s="129" t="s">
        <v>231</v>
      </c>
      <c r="AU207" s="129" t="s">
        <v>76</v>
      </c>
      <c r="AY207" s="13" t="s">
        <v>228</v>
      </c>
      <c r="BE207" s="130">
        <f>IF(N207="základná",J207,0)</f>
        <v>0</v>
      </c>
      <c r="BF207" s="130">
        <f>IF(N207="znížená",J207,0)</f>
        <v>308.64</v>
      </c>
      <c r="BG207" s="130">
        <f>IF(N207="zákl. prenesená",J207,0)</f>
        <v>0</v>
      </c>
      <c r="BH207" s="130">
        <f>IF(N207="zníž. prenesená",J207,0)</f>
        <v>0</v>
      </c>
      <c r="BI207" s="130">
        <f>IF(N207="nulová",J207,0)</f>
        <v>0</v>
      </c>
      <c r="BJ207" s="13" t="s">
        <v>76</v>
      </c>
      <c r="BK207" s="130">
        <f>ROUND(I207*H207,2)</f>
        <v>308.64</v>
      </c>
      <c r="BL207" s="13" t="s">
        <v>235</v>
      </c>
      <c r="BM207" s="129" t="s">
        <v>296</v>
      </c>
    </row>
    <row r="208" spans="2:65" s="238" customFormat="1" ht="16.5" customHeight="1" x14ac:dyDescent="0.2">
      <c r="B208" s="118"/>
      <c r="C208" s="1234" t="s">
        <v>5205</v>
      </c>
      <c r="D208" s="1235"/>
      <c r="E208" s="1235"/>
      <c r="F208" s="1235"/>
      <c r="G208" s="1235"/>
      <c r="H208" s="1235"/>
      <c r="I208" s="1235"/>
      <c r="J208" s="1236"/>
      <c r="K208" s="222"/>
      <c r="L208" s="24"/>
      <c r="M208" s="125"/>
      <c r="N208" s="126"/>
      <c r="O208" s="127"/>
      <c r="P208" s="127"/>
      <c r="Q208" s="127"/>
      <c r="R208" s="127"/>
      <c r="S208" s="127"/>
      <c r="T208" s="128"/>
      <c r="W208" s="199"/>
      <c r="X208" s="215" t="s">
        <v>5228</v>
      </c>
      <c r="Y208" s="215" t="s">
        <v>231</v>
      </c>
      <c r="Z208" s="216" t="s">
        <v>5347</v>
      </c>
      <c r="AA208" s="217" t="s">
        <v>3572</v>
      </c>
      <c r="AB208" s="218" t="s">
        <v>1194</v>
      </c>
      <c r="AC208" s="219">
        <v>8</v>
      </c>
      <c r="AD208" s="220">
        <v>38.700000000000003</v>
      </c>
      <c r="AE208" s="221">
        <f>ROUND(AD208*AC208,2)</f>
        <v>309.60000000000002</v>
      </c>
      <c r="AF208" s="248">
        <v>7</v>
      </c>
      <c r="AR208" s="129"/>
      <c r="AT208" s="129"/>
      <c r="AU208" s="129"/>
      <c r="AY208" s="13"/>
      <c r="BE208" s="130"/>
      <c r="BF208" s="130"/>
      <c r="BG208" s="130"/>
      <c r="BH208" s="130"/>
      <c r="BI208" s="130"/>
      <c r="BJ208" s="13"/>
      <c r="BK208" s="130"/>
      <c r="BL208" s="13"/>
      <c r="BM208" s="129"/>
    </row>
    <row r="209" spans="2:65" s="11" customFormat="1" ht="22.95" customHeight="1" x14ac:dyDescent="0.25">
      <c r="B209" s="106"/>
      <c r="D209" s="107" t="s">
        <v>57</v>
      </c>
      <c r="E209" s="116" t="s">
        <v>1252</v>
      </c>
      <c r="F209" s="116" t="s">
        <v>1228</v>
      </c>
      <c r="J209" s="117">
        <f>BK209</f>
        <v>552.42000000000007</v>
      </c>
      <c r="L209" s="106"/>
      <c r="M209" s="110"/>
      <c r="N209" s="111"/>
      <c r="O209" s="111"/>
      <c r="P209" s="112">
        <f>SUM(P210:P215)</f>
        <v>0</v>
      </c>
      <c r="Q209" s="111"/>
      <c r="R209" s="112">
        <f>SUM(R210:R215)</f>
        <v>0</v>
      </c>
      <c r="S209" s="111"/>
      <c r="T209" s="113">
        <f>SUM(T210:T215)</f>
        <v>0</v>
      </c>
      <c r="W209" s="195"/>
      <c r="X209" s="111"/>
      <c r="Y209" s="196" t="s">
        <v>57</v>
      </c>
      <c r="Z209" s="201" t="s">
        <v>1252</v>
      </c>
      <c r="AA209" s="201" t="s">
        <v>1228</v>
      </c>
      <c r="AB209" s="111"/>
      <c r="AC209" s="111"/>
      <c r="AD209" s="111"/>
      <c r="AE209" s="202">
        <f>SUM(AE210:AE215)</f>
        <v>594.1</v>
      </c>
      <c r="AF209" s="248"/>
      <c r="AR209" s="107" t="s">
        <v>63</v>
      </c>
      <c r="AT209" s="114" t="s">
        <v>57</v>
      </c>
      <c r="AU209" s="114" t="s">
        <v>63</v>
      </c>
      <c r="AY209" s="107" t="s">
        <v>228</v>
      </c>
      <c r="BK209" s="115">
        <f>SUM(BK210:BK215)</f>
        <v>552.42000000000007</v>
      </c>
    </row>
    <row r="210" spans="2:65" s="1" customFormat="1" ht="16.5" customHeight="1" x14ac:dyDescent="0.2">
      <c r="B210" s="118"/>
      <c r="C210" s="205" t="s">
        <v>297</v>
      </c>
      <c r="D210" s="119" t="s">
        <v>231</v>
      </c>
      <c r="E210" s="120" t="s">
        <v>4489</v>
      </c>
      <c r="F210" s="121" t="s">
        <v>1204</v>
      </c>
      <c r="G210" s="122" t="s">
        <v>1194</v>
      </c>
      <c r="H210" s="206">
        <v>6</v>
      </c>
      <c r="I210" s="124">
        <v>40.75</v>
      </c>
      <c r="J210" s="124">
        <f>ROUND(I210*H210,2)</f>
        <v>244.5</v>
      </c>
      <c r="K210" s="121" t="s">
        <v>1</v>
      </c>
      <c r="L210" s="24"/>
      <c r="M210" s="125" t="s">
        <v>1</v>
      </c>
      <c r="N210" s="126" t="s">
        <v>32</v>
      </c>
      <c r="O210" s="127">
        <v>0</v>
      </c>
      <c r="P210" s="127">
        <f>O210*H210</f>
        <v>0</v>
      </c>
      <c r="Q210" s="127">
        <v>0</v>
      </c>
      <c r="R210" s="127">
        <f>Q210*H210</f>
        <v>0</v>
      </c>
      <c r="S210" s="127">
        <v>0</v>
      </c>
      <c r="T210" s="128">
        <f>S210*H210</f>
        <v>0</v>
      </c>
      <c r="W210" s="199"/>
      <c r="X210" s="205" t="s">
        <v>297</v>
      </c>
      <c r="Y210" s="119" t="s">
        <v>231</v>
      </c>
      <c r="Z210" s="120" t="s">
        <v>4489</v>
      </c>
      <c r="AA210" s="121" t="s">
        <v>1204</v>
      </c>
      <c r="AB210" s="122" t="s">
        <v>1194</v>
      </c>
      <c r="AC210" s="206">
        <v>8</v>
      </c>
      <c r="AD210" s="124">
        <v>40.75</v>
      </c>
      <c r="AE210" s="200">
        <f t="shared" ref="AE210:AE215" si="0">ROUND(AD210*AC210,2)</f>
        <v>326</v>
      </c>
      <c r="AF210" s="248">
        <v>7</v>
      </c>
      <c r="AR210" s="129" t="s">
        <v>235</v>
      </c>
      <c r="AT210" s="129" t="s">
        <v>231</v>
      </c>
      <c r="AU210" s="129" t="s">
        <v>76</v>
      </c>
      <c r="AY210" s="13" t="s">
        <v>228</v>
      </c>
      <c r="BE210" s="130">
        <f>IF(N210="základná",J210,0)</f>
        <v>0</v>
      </c>
      <c r="BF210" s="130">
        <f>IF(N210="znížená",J210,0)</f>
        <v>244.5</v>
      </c>
      <c r="BG210" s="130">
        <f>IF(N210="zákl. prenesená",J210,0)</f>
        <v>0</v>
      </c>
      <c r="BH210" s="130">
        <f>IF(N210="zníž. prenesená",J210,0)</f>
        <v>0</v>
      </c>
      <c r="BI210" s="130">
        <f>IF(N210="nulová",J210,0)</f>
        <v>0</v>
      </c>
      <c r="BJ210" s="13" t="s">
        <v>76</v>
      </c>
      <c r="BK210" s="130">
        <f>ROUND(I210*H210,2)</f>
        <v>244.5</v>
      </c>
      <c r="BL210" s="13" t="s">
        <v>235</v>
      </c>
      <c r="BM210" s="129" t="s">
        <v>300</v>
      </c>
    </row>
    <row r="211" spans="2:65" s="1" customFormat="1" ht="16.5" customHeight="1" x14ac:dyDescent="0.2">
      <c r="B211" s="118"/>
      <c r="C211" s="119" t="s">
        <v>7</v>
      </c>
      <c r="D211" s="119" t="s">
        <v>231</v>
      </c>
      <c r="E211" s="120" t="s">
        <v>4490</v>
      </c>
      <c r="F211" s="121" t="s">
        <v>1206</v>
      </c>
      <c r="G211" s="122" t="s">
        <v>1194</v>
      </c>
      <c r="H211" s="123">
        <v>2</v>
      </c>
      <c r="I211" s="124">
        <v>42.05</v>
      </c>
      <c r="J211" s="124">
        <f>ROUND(I211*H211,2)</f>
        <v>84.1</v>
      </c>
      <c r="K211" s="121" t="s">
        <v>1</v>
      </c>
      <c r="L211" s="24"/>
      <c r="M211" s="125" t="s">
        <v>1</v>
      </c>
      <c r="N211" s="126" t="s">
        <v>32</v>
      </c>
      <c r="O211" s="127">
        <v>0</v>
      </c>
      <c r="P211" s="127">
        <f>O211*H211</f>
        <v>0</v>
      </c>
      <c r="Q211" s="127">
        <v>0</v>
      </c>
      <c r="R211" s="127">
        <f>Q211*H211</f>
        <v>0</v>
      </c>
      <c r="S211" s="127">
        <v>0</v>
      </c>
      <c r="T211" s="128">
        <f>S211*H211</f>
        <v>0</v>
      </c>
      <c r="W211" s="199"/>
      <c r="X211" s="119" t="s">
        <v>7</v>
      </c>
      <c r="Y211" s="119" t="s">
        <v>231</v>
      </c>
      <c r="Z211" s="120" t="s">
        <v>4490</v>
      </c>
      <c r="AA211" s="121" t="s">
        <v>1206</v>
      </c>
      <c r="AB211" s="122" t="s">
        <v>1194</v>
      </c>
      <c r="AC211" s="123">
        <v>2</v>
      </c>
      <c r="AD211" s="124">
        <v>42.05</v>
      </c>
      <c r="AE211" s="200">
        <f t="shared" si="0"/>
        <v>84.1</v>
      </c>
      <c r="AF211" s="248"/>
      <c r="AR211" s="129" t="s">
        <v>235</v>
      </c>
      <c r="AT211" s="129" t="s">
        <v>231</v>
      </c>
      <c r="AU211" s="129" t="s">
        <v>76</v>
      </c>
      <c r="AY211" s="13" t="s">
        <v>228</v>
      </c>
      <c r="BE211" s="130">
        <f>IF(N211="základná",J211,0)</f>
        <v>0</v>
      </c>
      <c r="BF211" s="130">
        <f>IF(N211="znížená",J211,0)</f>
        <v>84.1</v>
      </c>
      <c r="BG211" s="130">
        <f>IF(N211="zákl. prenesená",J211,0)</f>
        <v>0</v>
      </c>
      <c r="BH211" s="130">
        <f>IF(N211="zníž. prenesená",J211,0)</f>
        <v>0</v>
      </c>
      <c r="BI211" s="130">
        <f>IF(N211="nulová",J211,0)</f>
        <v>0</v>
      </c>
      <c r="BJ211" s="13" t="s">
        <v>76</v>
      </c>
      <c r="BK211" s="130">
        <f>ROUND(I211*H211,2)</f>
        <v>84.1</v>
      </c>
      <c r="BL211" s="13" t="s">
        <v>235</v>
      </c>
      <c r="BM211" s="129" t="s">
        <v>303</v>
      </c>
    </row>
    <row r="212" spans="2:65" s="238" customFormat="1" ht="16.5" customHeight="1" x14ac:dyDescent="0.2">
      <c r="B212" s="118"/>
      <c r="C212" s="1234" t="s">
        <v>5205</v>
      </c>
      <c r="D212" s="1235"/>
      <c r="E212" s="1235"/>
      <c r="F212" s="1235"/>
      <c r="G212" s="1235"/>
      <c r="H212" s="1235"/>
      <c r="I212" s="1235"/>
      <c r="J212" s="1236"/>
      <c r="K212" s="121"/>
      <c r="L212" s="24"/>
      <c r="M212" s="125"/>
      <c r="N212" s="126"/>
      <c r="O212" s="127"/>
      <c r="P212" s="127"/>
      <c r="Q212" s="127"/>
      <c r="R212" s="127"/>
      <c r="S212" s="127"/>
      <c r="T212" s="128"/>
      <c r="W212" s="199"/>
      <c r="X212" s="215" t="s">
        <v>5208</v>
      </c>
      <c r="Y212" s="215" t="s">
        <v>231</v>
      </c>
      <c r="Z212" s="216" t="s">
        <v>5349</v>
      </c>
      <c r="AA212" s="217" t="s">
        <v>1208</v>
      </c>
      <c r="AB212" s="218" t="s">
        <v>1194</v>
      </c>
      <c r="AC212" s="219">
        <v>2</v>
      </c>
      <c r="AD212" s="220">
        <v>43.5</v>
      </c>
      <c r="AE212" s="221">
        <f t="shared" si="0"/>
        <v>87</v>
      </c>
      <c r="AF212" s="248">
        <v>7</v>
      </c>
      <c r="AR212" s="129"/>
      <c r="AT212" s="129"/>
      <c r="AU212" s="129"/>
      <c r="AY212" s="13"/>
      <c r="BE212" s="130"/>
      <c r="BF212" s="130"/>
      <c r="BG212" s="130"/>
      <c r="BH212" s="130"/>
      <c r="BI212" s="130"/>
      <c r="BJ212" s="13"/>
      <c r="BK212" s="130"/>
      <c r="BL212" s="13"/>
      <c r="BM212" s="129"/>
    </row>
    <row r="213" spans="2:65" s="1" customFormat="1" ht="16.5" customHeight="1" x14ac:dyDescent="0.2">
      <c r="B213" s="118"/>
      <c r="C213" s="205" t="s">
        <v>305</v>
      </c>
      <c r="D213" s="119" t="s">
        <v>231</v>
      </c>
      <c r="E213" s="120" t="s">
        <v>1229</v>
      </c>
      <c r="F213" s="121" t="s">
        <v>1210</v>
      </c>
      <c r="G213" s="122" t="s">
        <v>1194</v>
      </c>
      <c r="H213" s="206">
        <v>2</v>
      </c>
      <c r="I213" s="124">
        <v>44.26</v>
      </c>
      <c r="J213" s="124">
        <f>ROUND(I213*H213,2)</f>
        <v>88.52</v>
      </c>
      <c r="K213" s="121" t="s">
        <v>1</v>
      </c>
      <c r="L213" s="24"/>
      <c r="M213" s="125" t="s">
        <v>1</v>
      </c>
      <c r="N213" s="126" t="s">
        <v>32</v>
      </c>
      <c r="O213" s="127">
        <v>0</v>
      </c>
      <c r="P213" s="127">
        <f>O213*H213</f>
        <v>0</v>
      </c>
      <c r="Q213" s="127">
        <v>0</v>
      </c>
      <c r="R213" s="127">
        <f>Q213*H213</f>
        <v>0</v>
      </c>
      <c r="S213" s="127">
        <v>0</v>
      </c>
      <c r="T213" s="128">
        <f>S213*H213</f>
        <v>0</v>
      </c>
      <c r="W213" s="199"/>
      <c r="X213" s="205" t="s">
        <v>305</v>
      </c>
      <c r="Y213" s="119" t="s">
        <v>231</v>
      </c>
      <c r="Z213" s="120" t="s">
        <v>1229</v>
      </c>
      <c r="AA213" s="121" t="s">
        <v>1210</v>
      </c>
      <c r="AB213" s="122" t="s">
        <v>1194</v>
      </c>
      <c r="AC213" s="206">
        <v>0</v>
      </c>
      <c r="AD213" s="124">
        <v>44.26</v>
      </c>
      <c r="AE213" s="200">
        <f t="shared" si="0"/>
        <v>0</v>
      </c>
      <c r="AF213" s="248">
        <v>7</v>
      </c>
      <c r="AR213" s="129" t="s">
        <v>235</v>
      </c>
      <c r="AT213" s="129" t="s">
        <v>231</v>
      </c>
      <c r="AU213" s="129" t="s">
        <v>76</v>
      </c>
      <c r="AY213" s="13" t="s">
        <v>228</v>
      </c>
      <c r="BE213" s="130">
        <f>IF(N213="základná",J213,0)</f>
        <v>0</v>
      </c>
      <c r="BF213" s="130">
        <f>IF(N213="znížená",J213,0)</f>
        <v>88.52</v>
      </c>
      <c r="BG213" s="130">
        <f>IF(N213="zákl. prenesená",J213,0)</f>
        <v>0</v>
      </c>
      <c r="BH213" s="130">
        <f>IF(N213="zníž. prenesená",J213,0)</f>
        <v>0</v>
      </c>
      <c r="BI213" s="130">
        <f>IF(N213="nulová",J213,0)</f>
        <v>0</v>
      </c>
      <c r="BJ213" s="13" t="s">
        <v>76</v>
      </c>
      <c r="BK213" s="130">
        <f>ROUND(I213*H213,2)</f>
        <v>88.52</v>
      </c>
      <c r="BL213" s="13" t="s">
        <v>235</v>
      </c>
      <c r="BM213" s="129" t="s">
        <v>308</v>
      </c>
    </row>
    <row r="214" spans="2:65" s="238" customFormat="1" ht="16.5" customHeight="1" x14ac:dyDescent="0.2">
      <c r="B214" s="118"/>
      <c r="C214" s="1234" t="s">
        <v>5205</v>
      </c>
      <c r="D214" s="1235"/>
      <c r="E214" s="1235"/>
      <c r="F214" s="1235"/>
      <c r="G214" s="1235"/>
      <c r="H214" s="1235"/>
      <c r="I214" s="1235"/>
      <c r="J214" s="1236"/>
      <c r="K214" s="121"/>
      <c r="L214" s="24"/>
      <c r="M214" s="125"/>
      <c r="N214" s="126"/>
      <c r="O214" s="127"/>
      <c r="P214" s="127"/>
      <c r="Q214" s="127"/>
      <c r="R214" s="127"/>
      <c r="S214" s="127"/>
      <c r="T214" s="128"/>
      <c r="W214" s="199"/>
      <c r="X214" s="215" t="s">
        <v>5351</v>
      </c>
      <c r="Y214" s="215" t="s">
        <v>231</v>
      </c>
      <c r="Z214" s="216" t="s">
        <v>5350</v>
      </c>
      <c r="AA214" s="217" t="s">
        <v>3599</v>
      </c>
      <c r="AB214" s="218" t="s">
        <v>1194</v>
      </c>
      <c r="AC214" s="219">
        <v>2</v>
      </c>
      <c r="AD214" s="220">
        <v>48.5</v>
      </c>
      <c r="AE214" s="221">
        <f t="shared" si="0"/>
        <v>97</v>
      </c>
      <c r="AF214" s="248">
        <v>7</v>
      </c>
      <c r="AR214" s="129"/>
      <c r="AT214" s="129"/>
      <c r="AU214" s="129"/>
      <c r="AY214" s="13"/>
      <c r="BE214" s="130"/>
      <c r="BF214" s="130"/>
      <c r="BG214" s="130"/>
      <c r="BH214" s="130"/>
      <c r="BI214" s="130"/>
      <c r="BJ214" s="13"/>
      <c r="BK214" s="130"/>
      <c r="BL214" s="13"/>
      <c r="BM214" s="129"/>
    </row>
    <row r="215" spans="2:65" s="1" customFormat="1" ht="16.5" customHeight="1" x14ac:dyDescent="0.2">
      <c r="B215" s="118"/>
      <c r="C215" s="205" t="s">
        <v>268</v>
      </c>
      <c r="D215" s="119" t="s">
        <v>231</v>
      </c>
      <c r="E215" s="120" t="s">
        <v>4491</v>
      </c>
      <c r="F215" s="121" t="s">
        <v>4481</v>
      </c>
      <c r="G215" s="122" t="s">
        <v>1194</v>
      </c>
      <c r="H215" s="206">
        <v>2</v>
      </c>
      <c r="I215" s="124">
        <v>67.650000000000006</v>
      </c>
      <c r="J215" s="124">
        <f>ROUND(I215*H215,2)</f>
        <v>135.30000000000001</v>
      </c>
      <c r="K215" s="121" t="s">
        <v>1</v>
      </c>
      <c r="L215" s="24"/>
      <c r="M215" s="125" t="s">
        <v>1</v>
      </c>
      <c r="N215" s="126" t="s">
        <v>32</v>
      </c>
      <c r="O215" s="127">
        <v>0</v>
      </c>
      <c r="P215" s="127">
        <f>O215*H215</f>
        <v>0</v>
      </c>
      <c r="Q215" s="127">
        <v>0</v>
      </c>
      <c r="R215" s="127">
        <f>Q215*H215</f>
        <v>0</v>
      </c>
      <c r="S215" s="127">
        <v>0</v>
      </c>
      <c r="T215" s="128">
        <f>S215*H215</f>
        <v>0</v>
      </c>
      <c r="W215" s="199"/>
      <c r="X215" s="205" t="s">
        <v>268</v>
      </c>
      <c r="Y215" s="119" t="s">
        <v>231</v>
      </c>
      <c r="Z215" s="120" t="s">
        <v>4491</v>
      </c>
      <c r="AA215" s="121" t="s">
        <v>4481</v>
      </c>
      <c r="AB215" s="122" t="s">
        <v>1194</v>
      </c>
      <c r="AC215" s="206">
        <v>0</v>
      </c>
      <c r="AD215" s="124">
        <v>67.650000000000006</v>
      </c>
      <c r="AE215" s="200">
        <f t="shared" si="0"/>
        <v>0</v>
      </c>
      <c r="AF215" s="248">
        <v>7</v>
      </c>
      <c r="AR215" s="129" t="s">
        <v>235</v>
      </c>
      <c r="AT215" s="129" t="s">
        <v>231</v>
      </c>
      <c r="AU215" s="129" t="s">
        <v>76</v>
      </c>
      <c r="AY215" s="13" t="s">
        <v>228</v>
      </c>
      <c r="BE215" s="130">
        <f>IF(N215="základná",J215,0)</f>
        <v>0</v>
      </c>
      <c r="BF215" s="130">
        <f>IF(N215="znížená",J215,0)</f>
        <v>135.30000000000001</v>
      </c>
      <c r="BG215" s="130">
        <f>IF(N215="zákl. prenesená",J215,0)</f>
        <v>0</v>
      </c>
      <c r="BH215" s="130">
        <f>IF(N215="zníž. prenesená",J215,0)</f>
        <v>0</v>
      </c>
      <c r="BI215" s="130">
        <f>IF(N215="nulová",J215,0)</f>
        <v>0</v>
      </c>
      <c r="BJ215" s="13" t="s">
        <v>76</v>
      </c>
      <c r="BK215" s="130">
        <f>ROUND(I215*H215,2)</f>
        <v>135.30000000000001</v>
      </c>
      <c r="BL215" s="13" t="s">
        <v>235</v>
      </c>
      <c r="BM215" s="129" t="s">
        <v>312</v>
      </c>
    </row>
    <row r="216" spans="2:65" s="11" customFormat="1" ht="22.95" customHeight="1" x14ac:dyDescent="0.25">
      <c r="B216" s="106"/>
      <c r="D216" s="107" t="s">
        <v>57</v>
      </c>
      <c r="E216" s="116" t="s">
        <v>1269</v>
      </c>
      <c r="F216" s="116" t="s">
        <v>4492</v>
      </c>
      <c r="J216" s="117">
        <f>BK216</f>
        <v>999.67</v>
      </c>
      <c r="L216" s="106"/>
      <c r="M216" s="110"/>
      <c r="N216" s="111"/>
      <c r="O216" s="111"/>
      <c r="P216" s="112">
        <f>SUM(P217:P223)</f>
        <v>0</v>
      </c>
      <c r="Q216" s="111"/>
      <c r="R216" s="112">
        <f>SUM(R217:R223)</f>
        <v>0</v>
      </c>
      <c r="S216" s="111"/>
      <c r="T216" s="113">
        <f>SUM(T217:T223)</f>
        <v>0</v>
      </c>
      <c r="W216" s="195"/>
      <c r="X216" s="111"/>
      <c r="Y216" s="196" t="s">
        <v>57</v>
      </c>
      <c r="Z216" s="201" t="s">
        <v>1269</v>
      </c>
      <c r="AA216" s="201" t="s">
        <v>4492</v>
      </c>
      <c r="AB216" s="111"/>
      <c r="AC216" s="111"/>
      <c r="AD216" s="111"/>
      <c r="AE216" s="202">
        <f>SUM(AE217:AE223)</f>
        <v>1043.17</v>
      </c>
      <c r="AF216" s="248"/>
      <c r="AR216" s="107" t="s">
        <v>63</v>
      </c>
      <c r="AT216" s="114" t="s">
        <v>57</v>
      </c>
      <c r="AU216" s="114" t="s">
        <v>63</v>
      </c>
      <c r="AY216" s="107" t="s">
        <v>228</v>
      </c>
      <c r="BK216" s="115">
        <f>SUM(BK217:BK223)</f>
        <v>999.67</v>
      </c>
    </row>
    <row r="217" spans="2:65" s="1" customFormat="1" ht="16.5" customHeight="1" x14ac:dyDescent="0.2">
      <c r="B217" s="118"/>
      <c r="C217" s="119" t="s">
        <v>313</v>
      </c>
      <c r="D217" s="119" t="s">
        <v>231</v>
      </c>
      <c r="E217" s="120" t="s">
        <v>4493</v>
      </c>
      <c r="F217" s="121" t="s">
        <v>1204</v>
      </c>
      <c r="G217" s="122" t="s">
        <v>1194</v>
      </c>
      <c r="H217" s="123">
        <v>20</v>
      </c>
      <c r="I217" s="124">
        <v>17.21</v>
      </c>
      <c r="J217" s="124">
        <f t="shared" ref="J217:J223" si="1">ROUND(I217*H217,2)</f>
        <v>344.2</v>
      </c>
      <c r="K217" s="121" t="s">
        <v>1</v>
      </c>
      <c r="L217" s="24"/>
      <c r="M217" s="125" t="s">
        <v>1</v>
      </c>
      <c r="N217" s="126" t="s">
        <v>32</v>
      </c>
      <c r="O217" s="127">
        <v>0</v>
      </c>
      <c r="P217" s="127">
        <f t="shared" ref="P217:P223" si="2">O217*H217</f>
        <v>0</v>
      </c>
      <c r="Q217" s="127">
        <v>0</v>
      </c>
      <c r="R217" s="127">
        <f t="shared" ref="R217:R223" si="3">Q217*H217</f>
        <v>0</v>
      </c>
      <c r="S217" s="127">
        <v>0</v>
      </c>
      <c r="T217" s="128">
        <f t="shared" ref="T217:T223" si="4">S217*H217</f>
        <v>0</v>
      </c>
      <c r="W217" s="199"/>
      <c r="X217" s="119" t="s">
        <v>313</v>
      </c>
      <c r="Y217" s="119" t="s">
        <v>231</v>
      </c>
      <c r="Z217" s="120" t="s">
        <v>4493</v>
      </c>
      <c r="AA217" s="121" t="s">
        <v>1204</v>
      </c>
      <c r="AB217" s="122" t="s">
        <v>1194</v>
      </c>
      <c r="AC217" s="123">
        <v>20</v>
      </c>
      <c r="AD217" s="124">
        <v>17.21</v>
      </c>
      <c r="AE217" s="200">
        <f t="shared" ref="AE217:AE223" si="5">ROUND(AD217*AC217,2)</f>
        <v>344.2</v>
      </c>
      <c r="AF217" s="248"/>
      <c r="AR217" s="129" t="s">
        <v>235</v>
      </c>
      <c r="AT217" s="129" t="s">
        <v>231</v>
      </c>
      <c r="AU217" s="129" t="s">
        <v>76</v>
      </c>
      <c r="AY217" s="13" t="s">
        <v>228</v>
      </c>
      <c r="BE217" s="130">
        <f t="shared" ref="BE217:BE223" si="6">IF(N217="základná",J217,0)</f>
        <v>0</v>
      </c>
      <c r="BF217" s="130">
        <f t="shared" ref="BF217:BF223" si="7">IF(N217="znížená",J217,0)</f>
        <v>344.2</v>
      </c>
      <c r="BG217" s="130">
        <f t="shared" ref="BG217:BG223" si="8">IF(N217="zákl. prenesená",J217,0)</f>
        <v>0</v>
      </c>
      <c r="BH217" s="130">
        <f t="shared" ref="BH217:BH223" si="9">IF(N217="zníž. prenesená",J217,0)</f>
        <v>0</v>
      </c>
      <c r="BI217" s="130">
        <f t="shared" ref="BI217:BI223" si="10">IF(N217="nulová",J217,0)</f>
        <v>0</v>
      </c>
      <c r="BJ217" s="13" t="s">
        <v>76</v>
      </c>
      <c r="BK217" s="130">
        <f t="shared" ref="BK217:BK223" si="11">ROUND(I217*H217,2)</f>
        <v>344.2</v>
      </c>
      <c r="BL217" s="13" t="s">
        <v>235</v>
      </c>
      <c r="BM217" s="129" t="s">
        <v>316</v>
      </c>
    </row>
    <row r="218" spans="2:65" s="1" customFormat="1" ht="16.5" customHeight="1" x14ac:dyDescent="0.2">
      <c r="B218" s="118"/>
      <c r="C218" s="119" t="s">
        <v>272</v>
      </c>
      <c r="D218" s="119" t="s">
        <v>231</v>
      </c>
      <c r="E218" s="120" t="s">
        <v>4494</v>
      </c>
      <c r="F218" s="121" t="s">
        <v>1206</v>
      </c>
      <c r="G218" s="122" t="s">
        <v>1194</v>
      </c>
      <c r="H218" s="123">
        <v>2</v>
      </c>
      <c r="I218" s="124">
        <v>18.18</v>
      </c>
      <c r="J218" s="124">
        <f t="shared" si="1"/>
        <v>36.36</v>
      </c>
      <c r="K218" s="121" t="s">
        <v>1</v>
      </c>
      <c r="L218" s="24"/>
      <c r="M218" s="125" t="s">
        <v>1</v>
      </c>
      <c r="N218" s="126" t="s">
        <v>32</v>
      </c>
      <c r="O218" s="127">
        <v>0</v>
      </c>
      <c r="P218" s="127">
        <f t="shared" si="2"/>
        <v>0</v>
      </c>
      <c r="Q218" s="127">
        <v>0</v>
      </c>
      <c r="R218" s="127">
        <f t="shared" si="3"/>
        <v>0</v>
      </c>
      <c r="S218" s="127">
        <v>0</v>
      </c>
      <c r="T218" s="128">
        <f t="shared" si="4"/>
        <v>0</v>
      </c>
      <c r="W218" s="199"/>
      <c r="X218" s="119" t="s">
        <v>272</v>
      </c>
      <c r="Y218" s="119" t="s">
        <v>231</v>
      </c>
      <c r="Z218" s="120" t="s">
        <v>4494</v>
      </c>
      <c r="AA218" s="121" t="s">
        <v>1206</v>
      </c>
      <c r="AB218" s="122" t="s">
        <v>1194</v>
      </c>
      <c r="AC218" s="123">
        <v>2</v>
      </c>
      <c r="AD218" s="124">
        <v>18.18</v>
      </c>
      <c r="AE218" s="200">
        <f t="shared" si="5"/>
        <v>36.36</v>
      </c>
      <c r="AF218" s="248"/>
      <c r="AR218" s="129" t="s">
        <v>235</v>
      </c>
      <c r="AT218" s="129" t="s">
        <v>231</v>
      </c>
      <c r="AU218" s="129" t="s">
        <v>76</v>
      </c>
      <c r="AY218" s="13" t="s">
        <v>228</v>
      </c>
      <c r="BE218" s="130">
        <f t="shared" si="6"/>
        <v>0</v>
      </c>
      <c r="BF218" s="130">
        <f t="shared" si="7"/>
        <v>36.36</v>
      </c>
      <c r="BG218" s="130">
        <f t="shared" si="8"/>
        <v>0</v>
      </c>
      <c r="BH218" s="130">
        <f t="shared" si="9"/>
        <v>0</v>
      </c>
      <c r="BI218" s="130">
        <f t="shared" si="10"/>
        <v>0</v>
      </c>
      <c r="BJ218" s="13" t="s">
        <v>76</v>
      </c>
      <c r="BK218" s="130">
        <f t="shared" si="11"/>
        <v>36.36</v>
      </c>
      <c r="BL218" s="13" t="s">
        <v>235</v>
      </c>
      <c r="BM218" s="129" t="s">
        <v>319</v>
      </c>
    </row>
    <row r="219" spans="2:65" s="1" customFormat="1" ht="24" customHeight="1" x14ac:dyDescent="0.2">
      <c r="B219" s="118"/>
      <c r="C219" s="119" t="s">
        <v>320</v>
      </c>
      <c r="D219" s="119" t="s">
        <v>231</v>
      </c>
      <c r="E219" s="120" t="s">
        <v>4495</v>
      </c>
      <c r="F219" s="121" t="s">
        <v>4496</v>
      </c>
      <c r="G219" s="122" t="s">
        <v>292</v>
      </c>
      <c r="H219" s="123">
        <v>10</v>
      </c>
      <c r="I219" s="124">
        <v>0.98</v>
      </c>
      <c r="J219" s="124">
        <f t="shared" si="1"/>
        <v>9.8000000000000007</v>
      </c>
      <c r="K219" s="121" t="s">
        <v>1</v>
      </c>
      <c r="L219" s="24"/>
      <c r="M219" s="125" t="s">
        <v>1</v>
      </c>
      <c r="N219" s="126" t="s">
        <v>32</v>
      </c>
      <c r="O219" s="127">
        <v>0</v>
      </c>
      <c r="P219" s="127">
        <f t="shared" si="2"/>
        <v>0</v>
      </c>
      <c r="Q219" s="127">
        <v>0</v>
      </c>
      <c r="R219" s="127">
        <f t="shared" si="3"/>
        <v>0</v>
      </c>
      <c r="S219" s="127">
        <v>0</v>
      </c>
      <c r="T219" s="128">
        <f t="shared" si="4"/>
        <v>0</v>
      </c>
      <c r="W219" s="199"/>
      <c r="X219" s="119" t="s">
        <v>320</v>
      </c>
      <c r="Y219" s="119" t="s">
        <v>231</v>
      </c>
      <c r="Z219" s="120" t="s">
        <v>4495</v>
      </c>
      <c r="AA219" s="121" t="s">
        <v>4496</v>
      </c>
      <c r="AB219" s="122" t="s">
        <v>292</v>
      </c>
      <c r="AC219" s="123">
        <v>10</v>
      </c>
      <c r="AD219" s="124">
        <v>0.98</v>
      </c>
      <c r="AE219" s="200">
        <f t="shared" si="5"/>
        <v>9.8000000000000007</v>
      </c>
      <c r="AF219" s="248"/>
      <c r="AR219" s="129" t="s">
        <v>235</v>
      </c>
      <c r="AT219" s="129" t="s">
        <v>231</v>
      </c>
      <c r="AU219" s="129" t="s">
        <v>76</v>
      </c>
      <c r="AY219" s="13" t="s">
        <v>228</v>
      </c>
      <c r="BE219" s="130">
        <f t="shared" si="6"/>
        <v>0</v>
      </c>
      <c r="BF219" s="130">
        <f t="shared" si="7"/>
        <v>9.8000000000000007</v>
      </c>
      <c r="BG219" s="130">
        <f t="shared" si="8"/>
        <v>0</v>
      </c>
      <c r="BH219" s="130">
        <f t="shared" si="9"/>
        <v>0</v>
      </c>
      <c r="BI219" s="130">
        <f t="shared" si="10"/>
        <v>0</v>
      </c>
      <c r="BJ219" s="13" t="s">
        <v>76</v>
      </c>
      <c r="BK219" s="130">
        <f t="shared" si="11"/>
        <v>9.8000000000000007</v>
      </c>
      <c r="BL219" s="13" t="s">
        <v>235</v>
      </c>
      <c r="BM219" s="129" t="s">
        <v>323</v>
      </c>
    </row>
    <row r="220" spans="2:65" s="1" customFormat="1" ht="24" customHeight="1" x14ac:dyDescent="0.2">
      <c r="B220" s="118"/>
      <c r="C220" s="1070" t="s">
        <v>276</v>
      </c>
      <c r="D220" s="119" t="s">
        <v>231</v>
      </c>
      <c r="E220" s="120" t="s">
        <v>4497</v>
      </c>
      <c r="F220" s="121" t="s">
        <v>4498</v>
      </c>
      <c r="G220" s="122" t="s">
        <v>292</v>
      </c>
      <c r="H220" s="1071">
        <v>10</v>
      </c>
      <c r="I220" s="124">
        <v>1.02</v>
      </c>
      <c r="J220" s="124">
        <f t="shared" si="1"/>
        <v>10.199999999999999</v>
      </c>
      <c r="K220" s="121" t="s">
        <v>1</v>
      </c>
      <c r="L220" s="24"/>
      <c r="M220" s="125" t="s">
        <v>1</v>
      </c>
      <c r="N220" s="126" t="s">
        <v>32</v>
      </c>
      <c r="O220" s="127">
        <v>0</v>
      </c>
      <c r="P220" s="127">
        <f t="shared" si="2"/>
        <v>0</v>
      </c>
      <c r="Q220" s="127">
        <v>0</v>
      </c>
      <c r="R220" s="127">
        <f t="shared" si="3"/>
        <v>0</v>
      </c>
      <c r="S220" s="127">
        <v>0</v>
      </c>
      <c r="T220" s="128">
        <f t="shared" si="4"/>
        <v>0</v>
      </c>
      <c r="W220" s="199"/>
      <c r="X220" s="1070" t="s">
        <v>276</v>
      </c>
      <c r="Y220" s="119" t="s">
        <v>231</v>
      </c>
      <c r="Z220" s="120" t="s">
        <v>4497</v>
      </c>
      <c r="AA220" s="121" t="s">
        <v>4498</v>
      </c>
      <c r="AB220" s="122" t="s">
        <v>292</v>
      </c>
      <c r="AC220" s="1071">
        <f>10+21</f>
        <v>31</v>
      </c>
      <c r="AD220" s="124">
        <v>1.02</v>
      </c>
      <c r="AE220" s="200">
        <f t="shared" si="5"/>
        <v>31.62</v>
      </c>
      <c r="AF220" s="248" t="s">
        <v>5482</v>
      </c>
      <c r="AR220" s="129" t="s">
        <v>235</v>
      </c>
      <c r="AT220" s="129" t="s">
        <v>231</v>
      </c>
      <c r="AU220" s="129" t="s">
        <v>76</v>
      </c>
      <c r="AY220" s="13" t="s">
        <v>228</v>
      </c>
      <c r="BE220" s="130">
        <f t="shared" si="6"/>
        <v>0</v>
      </c>
      <c r="BF220" s="130">
        <f t="shared" si="7"/>
        <v>10.199999999999999</v>
      </c>
      <c r="BG220" s="130">
        <f t="shared" si="8"/>
        <v>0</v>
      </c>
      <c r="BH220" s="130">
        <f t="shared" si="9"/>
        <v>0</v>
      </c>
      <c r="BI220" s="130">
        <f t="shared" si="10"/>
        <v>0</v>
      </c>
      <c r="BJ220" s="13" t="s">
        <v>76</v>
      </c>
      <c r="BK220" s="130">
        <f t="shared" si="11"/>
        <v>10.199999999999999</v>
      </c>
      <c r="BL220" s="13" t="s">
        <v>235</v>
      </c>
      <c r="BM220" s="129" t="s">
        <v>326</v>
      </c>
    </row>
    <row r="221" spans="2:65" s="1" customFormat="1" ht="22.8" x14ac:dyDescent="0.2">
      <c r="B221" s="118"/>
      <c r="C221" s="205" t="s">
        <v>327</v>
      </c>
      <c r="D221" s="119" t="s">
        <v>231</v>
      </c>
      <c r="E221" s="120" t="s">
        <v>1230</v>
      </c>
      <c r="F221" s="121" t="s">
        <v>4499</v>
      </c>
      <c r="G221" s="122" t="s">
        <v>292</v>
      </c>
      <c r="H221" s="206">
        <v>427</v>
      </c>
      <c r="I221" s="124">
        <v>0.62</v>
      </c>
      <c r="J221" s="124">
        <f t="shared" si="1"/>
        <v>264.74</v>
      </c>
      <c r="K221" s="121" t="s">
        <v>1</v>
      </c>
      <c r="L221" s="24"/>
      <c r="M221" s="125" t="s">
        <v>1</v>
      </c>
      <c r="N221" s="126" t="s">
        <v>32</v>
      </c>
      <c r="O221" s="127">
        <v>0</v>
      </c>
      <c r="P221" s="127">
        <f t="shared" si="2"/>
        <v>0</v>
      </c>
      <c r="Q221" s="127">
        <v>0</v>
      </c>
      <c r="R221" s="127">
        <f t="shared" si="3"/>
        <v>0</v>
      </c>
      <c r="S221" s="127">
        <v>0</v>
      </c>
      <c r="T221" s="128">
        <f t="shared" si="4"/>
        <v>0</v>
      </c>
      <c r="W221" s="199"/>
      <c r="X221" s="205" t="s">
        <v>327</v>
      </c>
      <c r="Y221" s="119" t="s">
        <v>231</v>
      </c>
      <c r="Z221" s="120" t="s">
        <v>1230</v>
      </c>
      <c r="AA221" s="121" t="s">
        <v>4499</v>
      </c>
      <c r="AB221" s="122" t="s">
        <v>292</v>
      </c>
      <c r="AC221" s="206">
        <f>301+11.5</f>
        <v>312.5</v>
      </c>
      <c r="AD221" s="124">
        <v>0.62</v>
      </c>
      <c r="AE221" s="200">
        <f t="shared" si="5"/>
        <v>193.75</v>
      </c>
      <c r="AF221" s="248" t="s">
        <v>6651</v>
      </c>
      <c r="AR221" s="129" t="s">
        <v>235</v>
      </c>
      <c r="AT221" s="129" t="s">
        <v>231</v>
      </c>
      <c r="AU221" s="129" t="s">
        <v>76</v>
      </c>
      <c r="AY221" s="13" t="s">
        <v>228</v>
      </c>
      <c r="BE221" s="130">
        <f t="shared" si="6"/>
        <v>0</v>
      </c>
      <c r="BF221" s="130">
        <f t="shared" si="7"/>
        <v>264.74</v>
      </c>
      <c r="BG221" s="130">
        <f t="shared" si="8"/>
        <v>0</v>
      </c>
      <c r="BH221" s="130">
        <f t="shared" si="9"/>
        <v>0</v>
      </c>
      <c r="BI221" s="130">
        <f t="shared" si="10"/>
        <v>0</v>
      </c>
      <c r="BJ221" s="13" t="s">
        <v>76</v>
      </c>
      <c r="BK221" s="130">
        <f t="shared" si="11"/>
        <v>264.74</v>
      </c>
      <c r="BL221" s="13" t="s">
        <v>235</v>
      </c>
      <c r="BM221" s="129" t="s">
        <v>330</v>
      </c>
    </row>
    <row r="222" spans="2:65" s="1" customFormat="1" ht="16.5" customHeight="1" x14ac:dyDescent="0.2">
      <c r="B222" s="118"/>
      <c r="C222" s="205" t="s">
        <v>280</v>
      </c>
      <c r="D222" s="119" t="s">
        <v>231</v>
      </c>
      <c r="E222" s="120" t="s">
        <v>4500</v>
      </c>
      <c r="F222" s="121" t="s">
        <v>4501</v>
      </c>
      <c r="G222" s="122" t="s">
        <v>292</v>
      </c>
      <c r="H222" s="206">
        <v>50</v>
      </c>
      <c r="I222" s="124">
        <v>1.03</v>
      </c>
      <c r="J222" s="124">
        <f t="shared" si="1"/>
        <v>51.5</v>
      </c>
      <c r="K222" s="121" t="s">
        <v>1</v>
      </c>
      <c r="L222" s="24"/>
      <c r="M222" s="125" t="s">
        <v>1</v>
      </c>
      <c r="N222" s="126" t="s">
        <v>32</v>
      </c>
      <c r="O222" s="127">
        <v>0</v>
      </c>
      <c r="P222" s="127">
        <f t="shared" si="2"/>
        <v>0</v>
      </c>
      <c r="Q222" s="127">
        <v>0</v>
      </c>
      <c r="R222" s="127">
        <f t="shared" si="3"/>
        <v>0</v>
      </c>
      <c r="S222" s="127">
        <v>0</v>
      </c>
      <c r="T222" s="128">
        <f t="shared" si="4"/>
        <v>0</v>
      </c>
      <c r="W222" s="199"/>
      <c r="X222" s="205" t="s">
        <v>280</v>
      </c>
      <c r="Y222" s="119" t="s">
        <v>231</v>
      </c>
      <c r="Z222" s="120" t="s">
        <v>4500</v>
      </c>
      <c r="AA222" s="121" t="s">
        <v>4501</v>
      </c>
      <c r="AB222" s="122" t="s">
        <v>292</v>
      </c>
      <c r="AC222" s="206">
        <v>48</v>
      </c>
      <c r="AD222" s="124">
        <v>1.03</v>
      </c>
      <c r="AE222" s="200">
        <f t="shared" si="5"/>
        <v>49.44</v>
      </c>
      <c r="AF222" s="248">
        <v>7</v>
      </c>
      <c r="AR222" s="129" t="s">
        <v>235</v>
      </c>
      <c r="AT222" s="129" t="s">
        <v>231</v>
      </c>
      <c r="AU222" s="129" t="s">
        <v>76</v>
      </c>
      <c r="AY222" s="13" t="s">
        <v>228</v>
      </c>
      <c r="BE222" s="130">
        <f t="shared" si="6"/>
        <v>0</v>
      </c>
      <c r="BF222" s="130">
        <f t="shared" si="7"/>
        <v>51.5</v>
      </c>
      <c r="BG222" s="130">
        <f t="shared" si="8"/>
        <v>0</v>
      </c>
      <c r="BH222" s="130">
        <f t="shared" si="9"/>
        <v>0</v>
      </c>
      <c r="BI222" s="130">
        <f t="shared" si="10"/>
        <v>0</v>
      </c>
      <c r="BJ222" s="13" t="s">
        <v>76</v>
      </c>
      <c r="BK222" s="130">
        <f t="shared" si="11"/>
        <v>51.5</v>
      </c>
      <c r="BL222" s="13" t="s">
        <v>235</v>
      </c>
      <c r="BM222" s="129" t="s">
        <v>333</v>
      </c>
    </row>
    <row r="223" spans="2:65" s="1" customFormat="1" ht="16.5" customHeight="1" x14ac:dyDescent="0.2">
      <c r="B223" s="118"/>
      <c r="C223" s="119" t="s">
        <v>334</v>
      </c>
      <c r="D223" s="119" t="s">
        <v>231</v>
      </c>
      <c r="E223" s="120" t="s">
        <v>1232</v>
      </c>
      <c r="F223" s="121" t="s">
        <v>1233</v>
      </c>
      <c r="G223" s="122" t="s">
        <v>570</v>
      </c>
      <c r="H223" s="123">
        <v>1.8</v>
      </c>
      <c r="I223" s="124">
        <v>157.15</v>
      </c>
      <c r="J223" s="124">
        <f t="shared" si="1"/>
        <v>282.87</v>
      </c>
      <c r="K223" s="121" t="s">
        <v>1</v>
      </c>
      <c r="L223" s="24"/>
      <c r="M223" s="125" t="s">
        <v>1</v>
      </c>
      <c r="N223" s="126" t="s">
        <v>32</v>
      </c>
      <c r="O223" s="127">
        <v>0</v>
      </c>
      <c r="P223" s="127">
        <f t="shared" si="2"/>
        <v>0</v>
      </c>
      <c r="Q223" s="127">
        <v>0</v>
      </c>
      <c r="R223" s="127">
        <f t="shared" si="3"/>
        <v>0</v>
      </c>
      <c r="S223" s="127">
        <v>0</v>
      </c>
      <c r="T223" s="128">
        <f t="shared" si="4"/>
        <v>0</v>
      </c>
      <c r="W223" s="199"/>
      <c r="X223" s="119" t="s">
        <v>334</v>
      </c>
      <c r="Y223" s="119" t="s">
        <v>231</v>
      </c>
      <c r="Z223" s="120" t="s">
        <v>1232</v>
      </c>
      <c r="AA223" s="121" t="s">
        <v>1233</v>
      </c>
      <c r="AB223" s="122" t="s">
        <v>570</v>
      </c>
      <c r="AC223" s="123">
        <v>1.8</v>
      </c>
      <c r="AD223" s="124">
        <v>210</v>
      </c>
      <c r="AE223" s="200">
        <f t="shared" si="5"/>
        <v>378</v>
      </c>
      <c r="AF223" s="248"/>
      <c r="AR223" s="129" t="s">
        <v>235</v>
      </c>
      <c r="AT223" s="129" t="s">
        <v>231</v>
      </c>
      <c r="AU223" s="129" t="s">
        <v>76</v>
      </c>
      <c r="AY223" s="13" t="s">
        <v>228</v>
      </c>
      <c r="BE223" s="130">
        <f t="shared" si="6"/>
        <v>0</v>
      </c>
      <c r="BF223" s="130">
        <f t="shared" si="7"/>
        <v>282.87</v>
      </c>
      <c r="BG223" s="130">
        <f t="shared" si="8"/>
        <v>0</v>
      </c>
      <c r="BH223" s="130">
        <f t="shared" si="9"/>
        <v>0</v>
      </c>
      <c r="BI223" s="130">
        <f t="shared" si="10"/>
        <v>0</v>
      </c>
      <c r="BJ223" s="13" t="s">
        <v>76</v>
      </c>
      <c r="BK223" s="130">
        <f t="shared" si="11"/>
        <v>282.87</v>
      </c>
      <c r="BL223" s="13" t="s">
        <v>235</v>
      </c>
      <c r="BM223" s="129" t="s">
        <v>337</v>
      </c>
    </row>
    <row r="224" spans="2:65" s="238" customFormat="1" ht="16.5" customHeight="1" x14ac:dyDescent="0.2">
      <c r="B224" s="118"/>
      <c r="C224" s="254"/>
      <c r="D224" s="254"/>
      <c r="E224" s="255"/>
      <c r="F224" s="222"/>
      <c r="G224" s="256"/>
      <c r="H224" s="257"/>
      <c r="I224" s="258"/>
      <c r="J224" s="258"/>
      <c r="K224" s="222"/>
      <c r="L224" s="24"/>
      <c r="M224" s="125"/>
      <c r="N224" s="126"/>
      <c r="O224" s="127"/>
      <c r="P224" s="127"/>
      <c r="Q224" s="127"/>
      <c r="R224" s="127"/>
      <c r="S224" s="127"/>
      <c r="T224" s="128"/>
      <c r="W224" s="199"/>
      <c r="X224" s="254"/>
      <c r="Y224" s="254"/>
      <c r="Z224" s="255"/>
      <c r="AA224" s="222"/>
      <c r="AB224" s="256"/>
      <c r="AC224" s="257"/>
      <c r="AD224" s="258"/>
      <c r="AE224" s="259"/>
      <c r="AF224" s="248"/>
      <c r="AR224" s="129"/>
      <c r="AT224" s="129"/>
      <c r="AU224" s="129"/>
      <c r="AY224" s="13"/>
      <c r="BE224" s="130"/>
      <c r="BF224" s="130"/>
      <c r="BG224" s="130"/>
      <c r="BH224" s="130"/>
      <c r="BI224" s="130"/>
      <c r="BJ224" s="13"/>
      <c r="BK224" s="130"/>
      <c r="BL224" s="13"/>
      <c r="BM224" s="129"/>
    </row>
    <row r="225" spans="2:65" s="238" customFormat="1" ht="16.5" customHeight="1" x14ac:dyDescent="0.25">
      <c r="B225" s="118"/>
      <c r="C225" s="254"/>
      <c r="D225" s="254"/>
      <c r="E225" s="255"/>
      <c r="F225" s="222"/>
      <c r="G225" s="256"/>
      <c r="H225" s="257"/>
      <c r="I225" s="258"/>
      <c r="J225" s="258"/>
      <c r="K225" s="222"/>
      <c r="L225" s="24"/>
      <c r="M225" s="125"/>
      <c r="N225" s="126"/>
      <c r="O225" s="127"/>
      <c r="P225" s="127"/>
      <c r="Q225" s="127"/>
      <c r="R225" s="127"/>
      <c r="S225" s="127"/>
      <c r="T225" s="128"/>
      <c r="W225" s="199"/>
      <c r="X225" s="271"/>
      <c r="Y225" s="272" t="s">
        <v>57</v>
      </c>
      <c r="Z225" s="266" t="s">
        <v>2414</v>
      </c>
      <c r="AA225" s="266" t="s">
        <v>5451</v>
      </c>
      <c r="AB225" s="271"/>
      <c r="AC225" s="271"/>
      <c r="AD225" s="271"/>
      <c r="AE225" s="273">
        <f>AE226+AE230+AE233</f>
        <v>2168.7999999999997</v>
      </c>
      <c r="AF225" s="248"/>
      <c r="AR225" s="129"/>
      <c r="AT225" s="129"/>
      <c r="AU225" s="129"/>
      <c r="AY225" s="13"/>
      <c r="BE225" s="130"/>
      <c r="BF225" s="130"/>
      <c r="BG225" s="130"/>
      <c r="BH225" s="130"/>
      <c r="BI225" s="130"/>
      <c r="BJ225" s="13"/>
      <c r="BK225" s="130"/>
      <c r="BL225" s="13"/>
      <c r="BM225" s="129"/>
    </row>
    <row r="226" spans="2:65" s="238" customFormat="1" ht="16.5" customHeight="1" x14ac:dyDescent="0.25">
      <c r="B226" s="118"/>
      <c r="C226" s="254"/>
      <c r="D226" s="254"/>
      <c r="E226" s="255"/>
      <c r="F226" s="222"/>
      <c r="G226" s="256"/>
      <c r="H226" s="257"/>
      <c r="I226" s="258"/>
      <c r="J226" s="258"/>
      <c r="K226" s="222"/>
      <c r="L226" s="24"/>
      <c r="M226" s="125"/>
      <c r="N226" s="126"/>
      <c r="O226" s="127"/>
      <c r="P226" s="127"/>
      <c r="Q226" s="127"/>
      <c r="R226" s="127"/>
      <c r="S226" s="127"/>
      <c r="T226" s="128"/>
      <c r="W226" s="199"/>
      <c r="X226" s="271"/>
      <c r="Y226" s="272" t="s">
        <v>57</v>
      </c>
      <c r="Z226" s="274" t="s">
        <v>2438</v>
      </c>
      <c r="AA226" s="274" t="s">
        <v>3690</v>
      </c>
      <c r="AB226" s="271"/>
      <c r="AC226" s="271"/>
      <c r="AD226" s="271"/>
      <c r="AE226" s="275">
        <f>SUM(AE227:AE229)</f>
        <v>761.04</v>
      </c>
      <c r="AF226" s="248"/>
      <c r="AR226" s="129"/>
      <c r="AT226" s="129"/>
      <c r="AU226" s="129"/>
      <c r="AY226" s="13"/>
      <c r="BE226" s="130"/>
      <c r="BF226" s="130"/>
      <c r="BG226" s="130"/>
      <c r="BH226" s="130"/>
      <c r="BI226" s="130"/>
      <c r="BJ226" s="13"/>
      <c r="BK226" s="130"/>
      <c r="BL226" s="13"/>
      <c r="BM226" s="129"/>
    </row>
    <row r="227" spans="2:65" s="238" customFormat="1" ht="16.5" customHeight="1" x14ac:dyDescent="0.2">
      <c r="B227" s="118"/>
      <c r="C227" s="1234" t="s">
        <v>5205</v>
      </c>
      <c r="D227" s="1235"/>
      <c r="E227" s="1235"/>
      <c r="F227" s="1235"/>
      <c r="G227" s="1235"/>
      <c r="H227" s="1235"/>
      <c r="I227" s="1235"/>
      <c r="J227" s="1236"/>
      <c r="K227" s="222"/>
      <c r="L227" s="24"/>
      <c r="M227" s="125"/>
      <c r="N227" s="126"/>
      <c r="O227" s="127"/>
      <c r="P227" s="127"/>
      <c r="Q227" s="127"/>
      <c r="R227" s="127"/>
      <c r="S227" s="127"/>
      <c r="T227" s="128"/>
      <c r="W227" s="199"/>
      <c r="X227" s="215" t="s">
        <v>5358</v>
      </c>
      <c r="Y227" s="215" t="s">
        <v>231</v>
      </c>
      <c r="Z227" s="216" t="s">
        <v>3691</v>
      </c>
      <c r="AA227" s="217" t="s">
        <v>3692</v>
      </c>
      <c r="AB227" s="218" t="s">
        <v>292</v>
      </c>
      <c r="AC227" s="219">
        <v>108</v>
      </c>
      <c r="AD227" s="220">
        <v>5.32</v>
      </c>
      <c r="AE227" s="221">
        <f>ROUND(AD227*AC227,2)</f>
        <v>574.55999999999995</v>
      </c>
      <c r="AF227" s="248">
        <v>7</v>
      </c>
      <c r="AR227" s="129"/>
      <c r="AT227" s="129"/>
      <c r="AU227" s="129"/>
      <c r="AY227" s="13"/>
      <c r="BE227" s="130"/>
      <c r="BF227" s="130"/>
      <c r="BG227" s="130"/>
      <c r="BH227" s="130"/>
      <c r="BI227" s="130"/>
      <c r="BJ227" s="13"/>
      <c r="BK227" s="130"/>
      <c r="BL227" s="13"/>
      <c r="BM227" s="129"/>
    </row>
    <row r="228" spans="2:65" s="238" customFormat="1" ht="16.5" customHeight="1" x14ac:dyDescent="0.2">
      <c r="B228" s="118"/>
      <c r="C228" s="1234" t="s">
        <v>5205</v>
      </c>
      <c r="D228" s="1235"/>
      <c r="E228" s="1235"/>
      <c r="F228" s="1235"/>
      <c r="G228" s="1235"/>
      <c r="H228" s="1235"/>
      <c r="I228" s="1235"/>
      <c r="J228" s="1236"/>
      <c r="K228" s="222"/>
      <c r="L228" s="24"/>
      <c r="M228" s="125"/>
      <c r="N228" s="126"/>
      <c r="O228" s="127"/>
      <c r="P228" s="127"/>
      <c r="Q228" s="127"/>
      <c r="R228" s="127"/>
      <c r="S228" s="127"/>
      <c r="T228" s="128"/>
      <c r="W228" s="199"/>
      <c r="X228" s="215" t="s">
        <v>5359</v>
      </c>
      <c r="Y228" s="215" t="s">
        <v>231</v>
      </c>
      <c r="Z228" s="216" t="s">
        <v>3693</v>
      </c>
      <c r="AA228" s="217" t="s">
        <v>3694</v>
      </c>
      <c r="AB228" s="218" t="s">
        <v>292</v>
      </c>
      <c r="AC228" s="219">
        <v>13</v>
      </c>
      <c r="AD228" s="220">
        <v>6.66</v>
      </c>
      <c r="AE228" s="221">
        <f>ROUND(AD228*AC228,2)</f>
        <v>86.58</v>
      </c>
      <c r="AF228" s="248">
        <v>7</v>
      </c>
      <c r="AR228" s="129"/>
      <c r="AT228" s="129"/>
      <c r="AU228" s="129"/>
      <c r="AY228" s="13"/>
      <c r="BE228" s="130"/>
      <c r="BF228" s="130"/>
      <c r="BG228" s="130"/>
      <c r="BH228" s="130"/>
      <c r="BI228" s="130"/>
      <c r="BJ228" s="13"/>
      <c r="BK228" s="130"/>
      <c r="BL228" s="13"/>
      <c r="BM228" s="129"/>
    </row>
    <row r="229" spans="2:65" s="238" customFormat="1" ht="16.5" customHeight="1" x14ac:dyDescent="0.2">
      <c r="B229" s="118"/>
      <c r="C229" s="1234" t="s">
        <v>5205</v>
      </c>
      <c r="D229" s="1235"/>
      <c r="E229" s="1235"/>
      <c r="F229" s="1235"/>
      <c r="G229" s="1235"/>
      <c r="H229" s="1235"/>
      <c r="I229" s="1235"/>
      <c r="J229" s="1236"/>
      <c r="K229" s="222"/>
      <c r="L229" s="24"/>
      <c r="M229" s="125"/>
      <c r="N229" s="126"/>
      <c r="O229" s="127"/>
      <c r="P229" s="127"/>
      <c r="Q229" s="127"/>
      <c r="R229" s="127"/>
      <c r="S229" s="127"/>
      <c r="T229" s="128"/>
      <c r="W229" s="199"/>
      <c r="X229" s="215" t="s">
        <v>5360</v>
      </c>
      <c r="Y229" s="215" t="s">
        <v>231</v>
      </c>
      <c r="Z229" s="216" t="s">
        <v>3695</v>
      </c>
      <c r="AA229" s="217" t="s">
        <v>3696</v>
      </c>
      <c r="AB229" s="218" t="s">
        <v>292</v>
      </c>
      <c r="AC229" s="219">
        <v>15</v>
      </c>
      <c r="AD229" s="220">
        <v>6.66</v>
      </c>
      <c r="AE229" s="221">
        <f>ROUND(AD229*AC229,2)</f>
        <v>99.9</v>
      </c>
      <c r="AF229" s="248">
        <v>7</v>
      </c>
      <c r="AR229" s="129"/>
      <c r="AT229" s="129"/>
      <c r="AU229" s="129"/>
      <c r="AY229" s="13"/>
      <c r="BE229" s="130"/>
      <c r="BF229" s="130"/>
      <c r="BG229" s="130"/>
      <c r="BH229" s="130"/>
      <c r="BI229" s="130"/>
      <c r="BJ229" s="13"/>
      <c r="BK229" s="130"/>
      <c r="BL229" s="13"/>
      <c r="BM229" s="129"/>
    </row>
    <row r="230" spans="2:65" s="238" customFormat="1" ht="16.5" customHeight="1" x14ac:dyDescent="0.25">
      <c r="B230" s="118"/>
      <c r="C230" s="254"/>
      <c r="D230" s="254"/>
      <c r="E230" s="255"/>
      <c r="F230" s="222"/>
      <c r="G230" s="256"/>
      <c r="H230" s="257"/>
      <c r="I230" s="258"/>
      <c r="J230" s="258"/>
      <c r="K230" s="222"/>
      <c r="L230" s="24"/>
      <c r="M230" s="125"/>
      <c r="N230" s="126"/>
      <c r="O230" s="127"/>
      <c r="P230" s="127"/>
      <c r="Q230" s="127"/>
      <c r="R230" s="127"/>
      <c r="S230" s="127"/>
      <c r="T230" s="128"/>
      <c r="W230" s="199"/>
      <c r="X230" s="271"/>
      <c r="Y230" s="272" t="s">
        <v>57</v>
      </c>
      <c r="Z230" s="274" t="s">
        <v>2454</v>
      </c>
      <c r="AA230" s="274" t="s">
        <v>3697</v>
      </c>
      <c r="AB230" s="271"/>
      <c r="AC230" s="271"/>
      <c r="AD230" s="271"/>
      <c r="AE230" s="275">
        <f>SUM(AE231:AE232)</f>
        <v>39.32</v>
      </c>
      <c r="AF230" s="248"/>
      <c r="AR230" s="129"/>
      <c r="AT230" s="129"/>
      <c r="AU230" s="129"/>
      <c r="AY230" s="13"/>
      <c r="BE230" s="130"/>
      <c r="BF230" s="130"/>
      <c r="BG230" s="130"/>
      <c r="BH230" s="130"/>
      <c r="BI230" s="130"/>
      <c r="BJ230" s="13"/>
      <c r="BK230" s="130"/>
      <c r="BL230" s="13"/>
      <c r="BM230" s="129"/>
    </row>
    <row r="231" spans="2:65" s="238" customFormat="1" ht="16.5" customHeight="1" x14ac:dyDescent="0.2">
      <c r="B231" s="118"/>
      <c r="C231" s="1234" t="s">
        <v>5205</v>
      </c>
      <c r="D231" s="1235"/>
      <c r="E231" s="1235"/>
      <c r="F231" s="1235"/>
      <c r="G231" s="1235"/>
      <c r="H231" s="1235"/>
      <c r="I231" s="1235"/>
      <c r="J231" s="1236"/>
      <c r="K231" s="222"/>
      <c r="L231" s="24"/>
      <c r="M231" s="125"/>
      <c r="N231" s="126"/>
      <c r="O231" s="127"/>
      <c r="P231" s="127"/>
      <c r="Q231" s="127"/>
      <c r="R231" s="127"/>
      <c r="S231" s="127"/>
      <c r="T231" s="128"/>
      <c r="W231" s="199"/>
      <c r="X231" s="215" t="s">
        <v>5361</v>
      </c>
      <c r="Y231" s="215" t="s">
        <v>231</v>
      </c>
      <c r="Z231" s="216" t="s">
        <v>3698</v>
      </c>
      <c r="AA231" s="217" t="s">
        <v>3699</v>
      </c>
      <c r="AB231" s="218" t="s">
        <v>1194</v>
      </c>
      <c r="AC231" s="219">
        <v>8</v>
      </c>
      <c r="AD231" s="220">
        <v>3.9</v>
      </c>
      <c r="AE231" s="221">
        <f>ROUND(AD231*AC231,2)</f>
        <v>31.2</v>
      </c>
      <c r="AF231" s="248">
        <v>7</v>
      </c>
      <c r="AR231" s="129"/>
      <c r="AT231" s="129"/>
      <c r="AU231" s="129"/>
      <c r="AY231" s="13"/>
      <c r="BE231" s="130"/>
      <c r="BF231" s="130"/>
      <c r="BG231" s="130"/>
      <c r="BH231" s="130"/>
      <c r="BI231" s="130"/>
      <c r="BJ231" s="13"/>
      <c r="BK231" s="130"/>
      <c r="BL231" s="13"/>
      <c r="BM231" s="129"/>
    </row>
    <row r="232" spans="2:65" s="238" customFormat="1" ht="16.5" customHeight="1" x14ac:dyDescent="0.2">
      <c r="B232" s="118"/>
      <c r="C232" s="1234" t="s">
        <v>5205</v>
      </c>
      <c r="D232" s="1235"/>
      <c r="E232" s="1235"/>
      <c r="F232" s="1235"/>
      <c r="G232" s="1235"/>
      <c r="H232" s="1235"/>
      <c r="I232" s="1235"/>
      <c r="J232" s="1236"/>
      <c r="K232" s="222"/>
      <c r="L232" s="24"/>
      <c r="M232" s="125"/>
      <c r="N232" s="126"/>
      <c r="O232" s="127"/>
      <c r="P232" s="127"/>
      <c r="Q232" s="127"/>
      <c r="R232" s="127"/>
      <c r="S232" s="127"/>
      <c r="T232" s="128"/>
      <c r="W232" s="199"/>
      <c r="X232" s="215" t="s">
        <v>5362</v>
      </c>
      <c r="Y232" s="215" t="s">
        <v>231</v>
      </c>
      <c r="Z232" s="216" t="s">
        <v>5352</v>
      </c>
      <c r="AA232" s="217" t="s">
        <v>5353</v>
      </c>
      <c r="AB232" s="218" t="s">
        <v>1194</v>
      </c>
      <c r="AC232" s="219">
        <v>2</v>
      </c>
      <c r="AD232" s="220">
        <v>4.0599999999999996</v>
      </c>
      <c r="AE232" s="221">
        <f>ROUND(AD232*AC232,2)</f>
        <v>8.1199999999999992</v>
      </c>
      <c r="AF232" s="248">
        <v>7</v>
      </c>
      <c r="AR232" s="129"/>
      <c r="AT232" s="129"/>
      <c r="AU232" s="129"/>
      <c r="AY232" s="13"/>
      <c r="BE232" s="130"/>
      <c r="BF232" s="130"/>
      <c r="BG232" s="130"/>
      <c r="BH232" s="130"/>
      <c r="BI232" s="130"/>
      <c r="BJ232" s="13"/>
      <c r="BK232" s="130"/>
      <c r="BL232" s="13"/>
      <c r="BM232" s="129"/>
    </row>
    <row r="233" spans="2:65" s="238" customFormat="1" ht="16.5" customHeight="1" x14ac:dyDescent="0.25">
      <c r="B233" s="118"/>
      <c r="C233" s="254"/>
      <c r="D233" s="254"/>
      <c r="E233" s="255"/>
      <c r="F233" s="222"/>
      <c r="G233" s="256"/>
      <c r="H233" s="257"/>
      <c r="I233" s="258"/>
      <c r="J233" s="258"/>
      <c r="K233" s="222"/>
      <c r="L233" s="24"/>
      <c r="M233" s="125"/>
      <c r="N233" s="126"/>
      <c r="O233" s="127"/>
      <c r="P233" s="127"/>
      <c r="Q233" s="127"/>
      <c r="R233" s="127"/>
      <c r="S233" s="127"/>
      <c r="T233" s="128"/>
      <c r="W233" s="199"/>
      <c r="X233" s="271"/>
      <c r="Y233" s="272" t="s">
        <v>57</v>
      </c>
      <c r="Z233" s="274" t="s">
        <v>2473</v>
      </c>
      <c r="AA233" s="274" t="s">
        <v>3705</v>
      </c>
      <c r="AB233" s="271"/>
      <c r="AC233" s="271"/>
      <c r="AD233" s="271"/>
      <c r="AE233" s="275">
        <f>SUM(AE234:AE245)</f>
        <v>1368.4399999999998</v>
      </c>
      <c r="AF233" s="248"/>
      <c r="AR233" s="129"/>
      <c r="AT233" s="129"/>
      <c r="AU233" s="129"/>
      <c r="AY233" s="13"/>
      <c r="BE233" s="130"/>
      <c r="BF233" s="130"/>
      <c r="BG233" s="130"/>
      <c r="BH233" s="130"/>
      <c r="BI233" s="130"/>
      <c r="BJ233" s="13"/>
      <c r="BK233" s="130"/>
      <c r="BL233" s="13"/>
      <c r="BM233" s="129"/>
    </row>
    <row r="234" spans="2:65" s="238" customFormat="1" ht="16.5" customHeight="1" x14ac:dyDescent="0.2">
      <c r="B234" s="118"/>
      <c r="C234" s="1234" t="s">
        <v>5205</v>
      </c>
      <c r="D234" s="1235"/>
      <c r="E234" s="1235"/>
      <c r="F234" s="1235"/>
      <c r="G234" s="1235"/>
      <c r="H234" s="1235"/>
      <c r="I234" s="1235"/>
      <c r="J234" s="1236"/>
      <c r="K234" s="222"/>
      <c r="L234" s="24"/>
      <c r="M234" s="125"/>
      <c r="N234" s="126"/>
      <c r="O234" s="127"/>
      <c r="P234" s="127"/>
      <c r="Q234" s="127"/>
      <c r="R234" s="127"/>
      <c r="S234" s="127"/>
      <c r="T234" s="128"/>
      <c r="W234" s="199"/>
      <c r="X234" s="215" t="s">
        <v>5363</v>
      </c>
      <c r="Y234" s="215" t="s">
        <v>231</v>
      </c>
      <c r="Z234" s="216" t="s">
        <v>3728</v>
      </c>
      <c r="AA234" s="217" t="s">
        <v>3729</v>
      </c>
      <c r="AB234" s="218" t="s">
        <v>292</v>
      </c>
      <c r="AC234" s="219">
        <v>136</v>
      </c>
      <c r="AD234" s="220">
        <v>0.44</v>
      </c>
      <c r="AE234" s="221">
        <f t="shared" ref="AE234:AE240" si="12">ROUND(AD234*AC234,2)</f>
        <v>59.84</v>
      </c>
      <c r="AF234" s="248">
        <v>7</v>
      </c>
      <c r="AR234" s="129"/>
      <c r="AT234" s="129"/>
      <c r="AU234" s="129"/>
      <c r="AY234" s="13"/>
      <c r="BE234" s="130"/>
      <c r="BF234" s="130"/>
      <c r="BG234" s="130"/>
      <c r="BH234" s="130"/>
      <c r="BI234" s="130"/>
      <c r="BJ234" s="13"/>
      <c r="BK234" s="130"/>
      <c r="BL234" s="13"/>
      <c r="BM234" s="129"/>
    </row>
    <row r="235" spans="2:65" s="238" customFormat="1" ht="16.5" customHeight="1" x14ac:dyDescent="0.2">
      <c r="B235" s="118"/>
      <c r="C235" s="1234" t="s">
        <v>5205</v>
      </c>
      <c r="D235" s="1235"/>
      <c r="E235" s="1235"/>
      <c r="F235" s="1235"/>
      <c r="G235" s="1235"/>
      <c r="H235" s="1235"/>
      <c r="I235" s="1235"/>
      <c r="J235" s="1236"/>
      <c r="K235" s="222"/>
      <c r="L235" s="24"/>
      <c r="M235" s="125"/>
      <c r="N235" s="126"/>
      <c r="O235" s="127"/>
      <c r="P235" s="127"/>
      <c r="Q235" s="127"/>
      <c r="R235" s="127"/>
      <c r="S235" s="127"/>
      <c r="T235" s="128"/>
      <c r="W235" s="199"/>
      <c r="X235" s="215" t="s">
        <v>5364</v>
      </c>
      <c r="Y235" s="215" t="s">
        <v>231</v>
      </c>
      <c r="Z235" s="216" t="s">
        <v>3706</v>
      </c>
      <c r="AA235" s="217" t="s">
        <v>3707</v>
      </c>
      <c r="AB235" s="218" t="s">
        <v>1194</v>
      </c>
      <c r="AC235" s="219">
        <v>16</v>
      </c>
      <c r="AD235" s="220">
        <v>6</v>
      </c>
      <c r="AE235" s="221">
        <f t="shared" si="12"/>
        <v>96</v>
      </c>
      <c r="AF235" s="248">
        <v>7</v>
      </c>
      <c r="AR235" s="129"/>
      <c r="AT235" s="129"/>
      <c r="AU235" s="129"/>
      <c r="AY235" s="13"/>
      <c r="BE235" s="130"/>
      <c r="BF235" s="130"/>
      <c r="BG235" s="130"/>
      <c r="BH235" s="130"/>
      <c r="BI235" s="130"/>
      <c r="BJ235" s="13"/>
      <c r="BK235" s="130"/>
      <c r="BL235" s="13"/>
      <c r="BM235" s="129"/>
    </row>
    <row r="236" spans="2:65" s="238" customFormat="1" ht="16.5" customHeight="1" x14ac:dyDescent="0.2">
      <c r="B236" s="118"/>
      <c r="C236" s="1234" t="s">
        <v>5205</v>
      </c>
      <c r="D236" s="1235"/>
      <c r="E236" s="1235"/>
      <c r="F236" s="1235"/>
      <c r="G236" s="1235"/>
      <c r="H236" s="1235"/>
      <c r="I236" s="1235"/>
      <c r="J236" s="1236"/>
      <c r="K236" s="222"/>
      <c r="L236" s="24"/>
      <c r="M236" s="125"/>
      <c r="N236" s="126"/>
      <c r="O236" s="127"/>
      <c r="P236" s="127"/>
      <c r="Q236" s="127"/>
      <c r="R236" s="127"/>
      <c r="S236" s="127"/>
      <c r="T236" s="128"/>
      <c r="W236" s="199"/>
      <c r="X236" s="215" t="s">
        <v>5365</v>
      </c>
      <c r="Y236" s="215" t="s">
        <v>231</v>
      </c>
      <c r="Z236" s="216" t="s">
        <v>3712</v>
      </c>
      <c r="AA236" s="217" t="s">
        <v>3713</v>
      </c>
      <c r="AB236" s="218" t="s">
        <v>1194</v>
      </c>
      <c r="AC236" s="219">
        <v>2</v>
      </c>
      <c r="AD236" s="220">
        <v>8.4499999999999993</v>
      </c>
      <c r="AE236" s="221">
        <f t="shared" si="12"/>
        <v>16.899999999999999</v>
      </c>
      <c r="AF236" s="248">
        <v>7</v>
      </c>
      <c r="AR236" s="129"/>
      <c r="AT236" s="129"/>
      <c r="AU236" s="129"/>
      <c r="AY236" s="13"/>
      <c r="BE236" s="130"/>
      <c r="BF236" s="130"/>
      <c r="BG236" s="130"/>
      <c r="BH236" s="130"/>
      <c r="BI236" s="130"/>
      <c r="BJ236" s="13"/>
      <c r="BK236" s="130"/>
      <c r="BL236" s="13"/>
      <c r="BM236" s="129"/>
    </row>
    <row r="237" spans="2:65" s="238" customFormat="1" ht="16.5" customHeight="1" x14ac:dyDescent="0.2">
      <c r="B237" s="118"/>
      <c r="C237" s="1234" t="s">
        <v>5205</v>
      </c>
      <c r="D237" s="1235"/>
      <c r="E237" s="1235"/>
      <c r="F237" s="1235"/>
      <c r="G237" s="1235"/>
      <c r="H237" s="1235"/>
      <c r="I237" s="1235"/>
      <c r="J237" s="1236"/>
      <c r="K237" s="222"/>
      <c r="L237" s="24"/>
      <c r="M237" s="125"/>
      <c r="N237" s="126"/>
      <c r="O237" s="127"/>
      <c r="P237" s="127"/>
      <c r="Q237" s="127"/>
      <c r="R237" s="127"/>
      <c r="S237" s="127"/>
      <c r="T237" s="128"/>
      <c r="W237" s="199"/>
      <c r="X237" s="215" t="s">
        <v>5366</v>
      </c>
      <c r="Y237" s="215" t="s">
        <v>231</v>
      </c>
      <c r="Z237" s="216" t="s">
        <v>5259</v>
      </c>
      <c r="AA237" s="217" t="s">
        <v>5260</v>
      </c>
      <c r="AB237" s="218" t="s">
        <v>1194</v>
      </c>
      <c r="AC237" s="219">
        <v>2</v>
      </c>
      <c r="AD237" s="220">
        <v>7.28</v>
      </c>
      <c r="AE237" s="221">
        <f t="shared" si="12"/>
        <v>14.56</v>
      </c>
      <c r="AF237" s="248">
        <v>7</v>
      </c>
      <c r="AR237" s="129"/>
      <c r="AT237" s="129"/>
      <c r="AU237" s="129"/>
      <c r="AY237" s="13"/>
      <c r="BE237" s="130"/>
      <c r="BF237" s="130"/>
      <c r="BG237" s="130"/>
      <c r="BH237" s="130"/>
      <c r="BI237" s="130"/>
      <c r="BJ237" s="13"/>
      <c r="BK237" s="130"/>
      <c r="BL237" s="13"/>
      <c r="BM237" s="129"/>
    </row>
    <row r="238" spans="2:65" s="238" customFormat="1" ht="16.5" customHeight="1" x14ac:dyDescent="0.2">
      <c r="B238" s="118"/>
      <c r="C238" s="1234" t="s">
        <v>5205</v>
      </c>
      <c r="D238" s="1235"/>
      <c r="E238" s="1235"/>
      <c r="F238" s="1235"/>
      <c r="G238" s="1235"/>
      <c r="H238" s="1235"/>
      <c r="I238" s="1235"/>
      <c r="J238" s="1236"/>
      <c r="K238" s="222"/>
      <c r="L238" s="24"/>
      <c r="M238" s="125"/>
      <c r="N238" s="126"/>
      <c r="O238" s="127"/>
      <c r="P238" s="127"/>
      <c r="Q238" s="127"/>
      <c r="R238" s="127"/>
      <c r="S238" s="127"/>
      <c r="T238" s="128"/>
      <c r="W238" s="199"/>
      <c r="X238" s="215" t="s">
        <v>5367</v>
      </c>
      <c r="Y238" s="215" t="s">
        <v>231</v>
      </c>
      <c r="Z238" s="216" t="s">
        <v>5354</v>
      </c>
      <c r="AA238" s="217" t="s">
        <v>5355</v>
      </c>
      <c r="AB238" s="218" t="s">
        <v>1194</v>
      </c>
      <c r="AC238" s="219">
        <v>2</v>
      </c>
      <c r="AD238" s="220">
        <v>8.6</v>
      </c>
      <c r="AE238" s="221">
        <f t="shared" si="12"/>
        <v>17.2</v>
      </c>
      <c r="AF238" s="248">
        <v>7</v>
      </c>
      <c r="AR238" s="129"/>
      <c r="AT238" s="129"/>
      <c r="AU238" s="129"/>
      <c r="AY238" s="13"/>
      <c r="BE238" s="130"/>
      <c r="BF238" s="130"/>
      <c r="BG238" s="130"/>
      <c r="BH238" s="130"/>
      <c r="BI238" s="130"/>
      <c r="BJ238" s="13"/>
      <c r="BK238" s="130"/>
      <c r="BL238" s="13"/>
      <c r="BM238" s="129"/>
    </row>
    <row r="239" spans="2:65" s="238" customFormat="1" ht="25.2" customHeight="1" x14ac:dyDescent="0.2">
      <c r="B239" s="118"/>
      <c r="C239" s="1234" t="s">
        <v>5205</v>
      </c>
      <c r="D239" s="1235"/>
      <c r="E239" s="1235"/>
      <c r="F239" s="1235"/>
      <c r="G239" s="1235"/>
      <c r="H239" s="1235"/>
      <c r="I239" s="1235"/>
      <c r="J239" s="1236"/>
      <c r="K239" s="222"/>
      <c r="L239" s="24"/>
      <c r="M239" s="125"/>
      <c r="N239" s="126"/>
      <c r="O239" s="127"/>
      <c r="P239" s="127"/>
      <c r="Q239" s="127"/>
      <c r="R239" s="127"/>
      <c r="S239" s="127"/>
      <c r="T239" s="128"/>
      <c r="W239" s="199"/>
      <c r="X239" s="215" t="s">
        <v>5368</v>
      </c>
      <c r="Y239" s="215" t="s">
        <v>231</v>
      </c>
      <c r="Z239" s="216" t="s">
        <v>3718</v>
      </c>
      <c r="AA239" s="217" t="s">
        <v>3719</v>
      </c>
      <c r="AB239" s="218" t="s">
        <v>1194</v>
      </c>
      <c r="AC239" s="219">
        <v>36</v>
      </c>
      <c r="AD239" s="220">
        <v>4.1399999999999997</v>
      </c>
      <c r="AE239" s="221">
        <f t="shared" si="12"/>
        <v>149.04</v>
      </c>
      <c r="AF239" s="248">
        <v>7</v>
      </c>
      <c r="AR239" s="129"/>
      <c r="AT239" s="129"/>
      <c r="AU239" s="129"/>
      <c r="AY239" s="13"/>
      <c r="BE239" s="130"/>
      <c r="BF239" s="130"/>
      <c r="BG239" s="130"/>
      <c r="BH239" s="130"/>
      <c r="BI239" s="130"/>
      <c r="BJ239" s="13"/>
      <c r="BK239" s="130"/>
      <c r="BL239" s="13"/>
      <c r="BM239" s="129"/>
    </row>
    <row r="240" spans="2:65" s="238" customFormat="1" ht="29.55" customHeight="1" x14ac:dyDescent="0.2">
      <c r="B240" s="118"/>
      <c r="C240" s="1234" t="s">
        <v>5205</v>
      </c>
      <c r="D240" s="1235"/>
      <c r="E240" s="1235"/>
      <c r="F240" s="1235"/>
      <c r="G240" s="1235"/>
      <c r="H240" s="1235"/>
      <c r="I240" s="1235"/>
      <c r="J240" s="1236"/>
      <c r="K240" s="222"/>
      <c r="L240" s="24"/>
      <c r="M240" s="125"/>
      <c r="N240" s="126"/>
      <c r="O240" s="127"/>
      <c r="P240" s="127"/>
      <c r="Q240" s="127"/>
      <c r="R240" s="127"/>
      <c r="S240" s="127"/>
      <c r="T240" s="128"/>
      <c r="W240" s="199"/>
      <c r="X240" s="215" t="s">
        <v>5369</v>
      </c>
      <c r="Y240" s="215" t="s">
        <v>231</v>
      </c>
      <c r="Z240" s="216" t="s">
        <v>3720</v>
      </c>
      <c r="AA240" s="217" t="s">
        <v>3721</v>
      </c>
      <c r="AB240" s="218" t="s">
        <v>3722</v>
      </c>
      <c r="AC240" s="219">
        <v>18</v>
      </c>
      <c r="AD240" s="220">
        <v>14.68</v>
      </c>
      <c r="AE240" s="221">
        <f t="shared" si="12"/>
        <v>264.24</v>
      </c>
      <c r="AF240" s="248">
        <v>7</v>
      </c>
      <c r="AR240" s="129"/>
      <c r="AT240" s="129"/>
      <c r="AU240" s="129"/>
      <c r="AY240" s="13"/>
      <c r="BE240" s="130"/>
      <c r="BF240" s="130"/>
      <c r="BG240" s="130"/>
      <c r="BH240" s="130"/>
      <c r="BI240" s="130"/>
      <c r="BJ240" s="13"/>
      <c r="BK240" s="130"/>
      <c r="BL240" s="13"/>
      <c r="BM240" s="129"/>
    </row>
    <row r="241" spans="2:65" s="238" customFormat="1" ht="25.2" customHeight="1" x14ac:dyDescent="0.2">
      <c r="B241" s="118"/>
      <c r="C241" s="254"/>
      <c r="D241" s="254"/>
      <c r="E241" s="255"/>
      <c r="F241" s="222"/>
      <c r="G241" s="256"/>
      <c r="H241" s="257"/>
      <c r="I241" s="258"/>
      <c r="J241" s="258"/>
      <c r="K241" s="222"/>
      <c r="L241" s="24"/>
      <c r="M241" s="125"/>
      <c r="N241" s="126"/>
      <c r="O241" s="127"/>
      <c r="P241" s="127"/>
      <c r="Q241" s="127"/>
      <c r="R241" s="127"/>
      <c r="S241" s="127"/>
      <c r="T241" s="128"/>
      <c r="W241" s="199"/>
      <c r="X241" s="276"/>
      <c r="Y241" s="277" t="s">
        <v>1259</v>
      </c>
      <c r="Z241" s="276"/>
      <c r="AA241" s="278" t="s">
        <v>3723</v>
      </c>
      <c r="AB241" s="276"/>
      <c r="AC241" s="276"/>
      <c r="AD241" s="276"/>
      <c r="AE241" s="279"/>
      <c r="AF241" s="248"/>
      <c r="AR241" s="129"/>
      <c r="AT241" s="129"/>
      <c r="AU241" s="129"/>
      <c r="AY241" s="13"/>
      <c r="BE241" s="130"/>
      <c r="BF241" s="130"/>
      <c r="BG241" s="130"/>
      <c r="BH241" s="130"/>
      <c r="BI241" s="130"/>
      <c r="BJ241" s="13"/>
      <c r="BK241" s="130"/>
      <c r="BL241" s="13"/>
      <c r="BM241" s="129"/>
    </row>
    <row r="242" spans="2:65" s="238" customFormat="1" ht="16.5" customHeight="1" x14ac:dyDescent="0.2">
      <c r="B242" s="118"/>
      <c r="C242" s="1234" t="s">
        <v>5205</v>
      </c>
      <c r="D242" s="1235"/>
      <c r="E242" s="1235"/>
      <c r="F242" s="1235"/>
      <c r="G242" s="1235"/>
      <c r="H242" s="1235"/>
      <c r="I242" s="1235"/>
      <c r="J242" s="1236"/>
      <c r="K242" s="222"/>
      <c r="L242" s="24"/>
      <c r="M242" s="125"/>
      <c r="N242" s="126"/>
      <c r="O242" s="127"/>
      <c r="P242" s="127"/>
      <c r="Q242" s="127"/>
      <c r="R242" s="127"/>
      <c r="S242" s="127"/>
      <c r="T242" s="128"/>
      <c r="W242" s="199"/>
      <c r="X242" s="215" t="s">
        <v>5370</v>
      </c>
      <c r="Y242" s="215" t="s">
        <v>231</v>
      </c>
      <c r="Z242" s="216" t="s">
        <v>3724</v>
      </c>
      <c r="AA242" s="217" t="s">
        <v>3725</v>
      </c>
      <c r="AB242" s="218" t="s">
        <v>1194</v>
      </c>
      <c r="AC242" s="219">
        <v>18</v>
      </c>
      <c r="AD242" s="220">
        <v>15.67</v>
      </c>
      <c r="AE242" s="221">
        <f>ROUND(AD242*AC242,2)</f>
        <v>282.06</v>
      </c>
      <c r="AF242" s="248">
        <v>7</v>
      </c>
      <c r="AR242" s="129"/>
      <c r="AT242" s="129"/>
      <c r="AU242" s="129"/>
      <c r="AY242" s="13"/>
      <c r="BE242" s="130"/>
      <c r="BF242" s="130"/>
      <c r="BG242" s="130"/>
      <c r="BH242" s="130"/>
      <c r="BI242" s="130"/>
      <c r="BJ242" s="13"/>
      <c r="BK242" s="130"/>
      <c r="BL242" s="13"/>
      <c r="BM242" s="129"/>
    </row>
    <row r="243" spans="2:65" s="238" customFormat="1" ht="16.5" customHeight="1" x14ac:dyDescent="0.2">
      <c r="B243" s="118"/>
      <c r="C243" s="1234" t="s">
        <v>5205</v>
      </c>
      <c r="D243" s="1235"/>
      <c r="E243" s="1235"/>
      <c r="F243" s="1235"/>
      <c r="G243" s="1235"/>
      <c r="H243" s="1235"/>
      <c r="I243" s="1235"/>
      <c r="J243" s="1236"/>
      <c r="K243" s="222"/>
      <c r="L243" s="24"/>
      <c r="M243" s="125"/>
      <c r="N243" s="126"/>
      <c r="O243" s="127"/>
      <c r="P243" s="127"/>
      <c r="Q243" s="127"/>
      <c r="R243" s="127"/>
      <c r="S243" s="127"/>
      <c r="T243" s="128"/>
      <c r="W243" s="199"/>
      <c r="X243" s="215" t="s">
        <v>5371</v>
      </c>
      <c r="Y243" s="215" t="s">
        <v>231</v>
      </c>
      <c r="Z243" s="216" t="s">
        <v>3726</v>
      </c>
      <c r="AA243" s="217" t="s">
        <v>3727</v>
      </c>
      <c r="AB243" s="218" t="s">
        <v>1194</v>
      </c>
      <c r="AC243" s="219">
        <v>70</v>
      </c>
      <c r="AD243" s="220">
        <v>0.44</v>
      </c>
      <c r="AE243" s="221">
        <f>ROUND(AD243*AC243,2)</f>
        <v>30.8</v>
      </c>
      <c r="AF243" s="248">
        <v>7</v>
      </c>
      <c r="AR243" s="129"/>
      <c r="AT243" s="129"/>
      <c r="AU243" s="129"/>
      <c r="AY243" s="13"/>
      <c r="BE243" s="130"/>
      <c r="BF243" s="130"/>
      <c r="BG243" s="130"/>
      <c r="BH243" s="130"/>
      <c r="BI243" s="130"/>
      <c r="BJ243" s="13"/>
      <c r="BK243" s="130"/>
      <c r="BL243" s="13"/>
      <c r="BM243" s="129"/>
    </row>
    <row r="244" spans="2:65" s="238" customFormat="1" ht="16.5" customHeight="1" x14ac:dyDescent="0.2">
      <c r="B244" s="118"/>
      <c r="C244" s="1234" t="s">
        <v>5205</v>
      </c>
      <c r="D244" s="1235"/>
      <c r="E244" s="1235"/>
      <c r="F244" s="1235"/>
      <c r="G244" s="1235"/>
      <c r="H244" s="1235"/>
      <c r="I244" s="1235"/>
      <c r="J244" s="1236"/>
      <c r="K244" s="222"/>
      <c r="L244" s="24"/>
      <c r="M244" s="125"/>
      <c r="N244" s="126"/>
      <c r="O244" s="127"/>
      <c r="P244" s="127"/>
      <c r="Q244" s="127"/>
      <c r="R244" s="127"/>
      <c r="S244" s="127"/>
      <c r="T244" s="128"/>
      <c r="W244" s="199"/>
      <c r="X244" s="215" t="s">
        <v>5372</v>
      </c>
      <c r="Y244" s="215" t="s">
        <v>231</v>
      </c>
      <c r="Z244" s="216" t="s">
        <v>5356</v>
      </c>
      <c r="AA244" s="217" t="s">
        <v>5357</v>
      </c>
      <c r="AB244" s="218" t="s">
        <v>1172</v>
      </c>
      <c r="AC244" s="219">
        <v>1</v>
      </c>
      <c r="AD244" s="220">
        <v>400</v>
      </c>
      <c r="AE244" s="221">
        <f>ROUND(AD244*AC244,2)</f>
        <v>400</v>
      </c>
      <c r="AF244" s="248">
        <v>7</v>
      </c>
      <c r="AR244" s="129"/>
      <c r="AT244" s="129"/>
      <c r="AU244" s="129"/>
      <c r="AY244" s="13"/>
      <c r="BE244" s="130"/>
      <c r="BF244" s="130"/>
      <c r="BG244" s="130"/>
      <c r="BH244" s="130"/>
      <c r="BI244" s="130"/>
      <c r="BJ244" s="13"/>
      <c r="BK244" s="130"/>
      <c r="BL244" s="13"/>
      <c r="BM244" s="129"/>
    </row>
    <row r="245" spans="2:65" s="238" customFormat="1" ht="16.5" customHeight="1" x14ac:dyDescent="0.2">
      <c r="B245" s="118"/>
      <c r="C245" s="1234" t="s">
        <v>5205</v>
      </c>
      <c r="D245" s="1235"/>
      <c r="E245" s="1235"/>
      <c r="F245" s="1235"/>
      <c r="G245" s="1235"/>
      <c r="H245" s="1235"/>
      <c r="I245" s="1235"/>
      <c r="J245" s="1236"/>
      <c r="K245" s="222"/>
      <c r="L245" s="24"/>
      <c r="M245" s="125"/>
      <c r="N245" s="126"/>
      <c r="O245" s="127"/>
      <c r="P245" s="127"/>
      <c r="Q245" s="127"/>
      <c r="R245" s="127"/>
      <c r="S245" s="127"/>
      <c r="T245" s="128"/>
      <c r="W245" s="199"/>
      <c r="X245" s="215" t="s">
        <v>5373</v>
      </c>
      <c r="Y245" s="215" t="s">
        <v>231</v>
      </c>
      <c r="Z245" s="216" t="s">
        <v>3730</v>
      </c>
      <c r="AA245" s="217" t="s">
        <v>3731</v>
      </c>
      <c r="AB245" s="218" t="s">
        <v>570</v>
      </c>
      <c r="AC245" s="219">
        <v>1.8</v>
      </c>
      <c r="AD245" s="220">
        <v>21</v>
      </c>
      <c r="AE245" s="221">
        <f>ROUND(AD245*AC245,2)</f>
        <v>37.799999999999997</v>
      </c>
      <c r="AF245" s="248">
        <v>7</v>
      </c>
      <c r="AR245" s="129"/>
      <c r="AT245" s="129"/>
      <c r="AU245" s="129"/>
      <c r="AY245" s="13"/>
      <c r="BE245" s="130"/>
      <c r="BF245" s="130"/>
      <c r="BG245" s="130"/>
      <c r="BH245" s="130"/>
      <c r="BI245" s="130"/>
      <c r="BJ245" s="13"/>
      <c r="BK245" s="130"/>
      <c r="BL245" s="13"/>
      <c r="BM245" s="129"/>
    </row>
    <row r="246" spans="2:65" s="11" customFormat="1" ht="25.95" customHeight="1" x14ac:dyDescent="0.25">
      <c r="B246" s="106"/>
      <c r="D246" s="107" t="s">
        <v>57</v>
      </c>
      <c r="E246" s="108" t="s">
        <v>1234</v>
      </c>
      <c r="F246" s="108" t="s">
        <v>1235</v>
      </c>
      <c r="J246" s="109">
        <f>BK246</f>
        <v>6100.9599999999991</v>
      </c>
      <c r="L246" s="106"/>
      <c r="M246" s="110"/>
      <c r="N246" s="111"/>
      <c r="O246" s="111"/>
      <c r="P246" s="112">
        <f>P255+SUM(P256:P266)+P272+P278+P283+P287+P290+P293+P300</f>
        <v>0</v>
      </c>
      <c r="Q246" s="111"/>
      <c r="R246" s="112">
        <f>R255+SUM(R256:R266)+R272+R278+R283+R287+R290+R293+R300</f>
        <v>0</v>
      </c>
      <c r="S246" s="111"/>
      <c r="T246" s="113">
        <f>T255+SUM(T256:T266)+T272+T278+T283+T287+T290+T293+T300</f>
        <v>0</v>
      </c>
      <c r="W246" s="195"/>
      <c r="X246" s="111"/>
      <c r="Y246" s="196" t="s">
        <v>57</v>
      </c>
      <c r="Z246" s="197" t="s">
        <v>1234</v>
      </c>
      <c r="AA246" s="197" t="s">
        <v>1235</v>
      </c>
      <c r="AB246" s="111"/>
      <c r="AC246" s="111"/>
      <c r="AD246" s="111"/>
      <c r="AE246" s="198">
        <f>AE248+AE251+AE266+AE272+AE278+AE283+AE287+AE290+AE293+AE300</f>
        <v>4348.6399999999994</v>
      </c>
      <c r="AF246" s="248"/>
      <c r="AR246" s="107" t="s">
        <v>63</v>
      </c>
      <c r="AT246" s="114" t="s">
        <v>57</v>
      </c>
      <c r="AU246" s="114" t="s">
        <v>58</v>
      </c>
      <c r="AY246" s="107" t="s">
        <v>228</v>
      </c>
      <c r="BK246" s="115">
        <f>BK255+SUM(BK256:BK266)+BK272+BK278+BK283+BK287+BK290+BK293+BK300</f>
        <v>6100.9599999999991</v>
      </c>
    </row>
    <row r="247" spans="2:65" s="11" customFormat="1" ht="25.95" customHeight="1" x14ac:dyDescent="0.25">
      <c r="B247" s="106"/>
      <c r="D247" s="107"/>
      <c r="E247" s="108"/>
      <c r="F247" s="108"/>
      <c r="J247" s="109"/>
      <c r="L247" s="106"/>
      <c r="M247" s="110"/>
      <c r="N247" s="111"/>
      <c r="O247" s="111"/>
      <c r="P247" s="112"/>
      <c r="Q247" s="111"/>
      <c r="R247" s="112"/>
      <c r="S247" s="111"/>
      <c r="T247" s="113"/>
      <c r="W247" s="195"/>
      <c r="X247" s="111"/>
      <c r="Y247" s="196" t="s">
        <v>57</v>
      </c>
      <c r="Z247" s="266" t="s">
        <v>5236</v>
      </c>
      <c r="AA247" s="266" t="s">
        <v>5450</v>
      </c>
      <c r="AB247" s="111"/>
      <c r="AC247" s="111"/>
      <c r="AD247" s="111"/>
      <c r="AE247" s="198"/>
      <c r="AF247" s="248"/>
      <c r="AR247" s="107"/>
      <c r="AT247" s="114"/>
      <c r="AU247" s="114"/>
      <c r="AY247" s="107"/>
      <c r="BK247" s="115"/>
    </row>
    <row r="248" spans="2:65" s="11" customFormat="1" ht="16.95" customHeight="1" x14ac:dyDescent="0.25">
      <c r="B248" s="106"/>
      <c r="D248" s="107"/>
      <c r="E248" s="108"/>
      <c r="F248" s="108"/>
      <c r="J248" s="109"/>
      <c r="L248" s="106"/>
      <c r="M248" s="110"/>
      <c r="N248" s="111"/>
      <c r="O248" s="111"/>
      <c r="P248" s="112"/>
      <c r="Q248" s="111"/>
      <c r="R248" s="112"/>
      <c r="S248" s="111"/>
      <c r="T248" s="113"/>
      <c r="W248" s="195"/>
      <c r="X248" s="280"/>
      <c r="Y248" s="196" t="s">
        <v>57</v>
      </c>
      <c r="Z248" s="201" t="s">
        <v>2036</v>
      </c>
      <c r="AA248" s="201" t="s">
        <v>1241</v>
      </c>
      <c r="AB248" s="280"/>
      <c r="AC248" s="280"/>
      <c r="AD248" s="280"/>
      <c r="AE248" s="281">
        <f>SUM(AE249:AE250)</f>
        <v>17.86</v>
      </c>
      <c r="AF248" s="248"/>
      <c r="AR248" s="107"/>
      <c r="AT248" s="114"/>
      <c r="AU248" s="114"/>
      <c r="AY248" s="107"/>
      <c r="BK248" s="115"/>
    </row>
    <row r="249" spans="2:65" s="11" customFormat="1" ht="16.95" customHeight="1" x14ac:dyDescent="0.2">
      <c r="B249" s="106"/>
      <c r="C249" s="1234" t="s">
        <v>5205</v>
      </c>
      <c r="D249" s="1235"/>
      <c r="E249" s="1235"/>
      <c r="F249" s="1235"/>
      <c r="G249" s="1235"/>
      <c r="H249" s="1235"/>
      <c r="I249" s="1235"/>
      <c r="J249" s="1236"/>
      <c r="L249" s="106"/>
      <c r="M249" s="110"/>
      <c r="N249" s="111"/>
      <c r="O249" s="111"/>
      <c r="P249" s="112"/>
      <c r="Q249" s="111"/>
      <c r="R249" s="112"/>
      <c r="S249" s="111"/>
      <c r="T249" s="113"/>
      <c r="W249" s="195"/>
      <c r="X249" s="207" t="s">
        <v>5376</v>
      </c>
      <c r="Y249" s="207" t="s">
        <v>231</v>
      </c>
      <c r="Z249" s="208" t="s">
        <v>4514</v>
      </c>
      <c r="AA249" s="209" t="s">
        <v>1208</v>
      </c>
      <c r="AB249" s="210" t="s">
        <v>1194</v>
      </c>
      <c r="AC249" s="211">
        <v>2</v>
      </c>
      <c r="AD249" s="212">
        <v>4.32</v>
      </c>
      <c r="AE249" s="214">
        <f>ROUND(AD249*AC249,2)</f>
        <v>8.64</v>
      </c>
      <c r="AF249" s="248">
        <v>7</v>
      </c>
      <c r="AR249" s="107"/>
      <c r="AT249" s="114"/>
      <c r="AU249" s="114"/>
      <c r="AY249" s="107"/>
      <c r="BK249" s="115"/>
    </row>
    <row r="250" spans="2:65" s="11" customFormat="1" ht="16.95" customHeight="1" x14ac:dyDescent="0.2">
      <c r="B250" s="106"/>
      <c r="C250" s="1234" t="s">
        <v>5205</v>
      </c>
      <c r="D250" s="1235"/>
      <c r="E250" s="1235"/>
      <c r="F250" s="1235"/>
      <c r="G250" s="1235"/>
      <c r="H250" s="1235"/>
      <c r="I250" s="1235"/>
      <c r="J250" s="1236"/>
      <c r="L250" s="106"/>
      <c r="M250" s="110"/>
      <c r="N250" s="111"/>
      <c r="O250" s="111"/>
      <c r="P250" s="112"/>
      <c r="Q250" s="111"/>
      <c r="R250" s="112"/>
      <c r="S250" s="111"/>
      <c r="T250" s="113"/>
      <c r="W250" s="195"/>
      <c r="X250" s="207" t="s">
        <v>5377</v>
      </c>
      <c r="Y250" s="207" t="s">
        <v>231</v>
      </c>
      <c r="Z250" s="208" t="s">
        <v>5374</v>
      </c>
      <c r="AA250" s="209" t="s">
        <v>3599</v>
      </c>
      <c r="AB250" s="210" t="s">
        <v>1194</v>
      </c>
      <c r="AC250" s="211">
        <v>2</v>
      </c>
      <c r="AD250" s="212">
        <v>4.6100000000000003</v>
      </c>
      <c r="AE250" s="214">
        <f>ROUND(AD250*AC250,2)</f>
        <v>9.2200000000000006</v>
      </c>
      <c r="AF250" s="248">
        <v>7</v>
      </c>
      <c r="AR250" s="107"/>
      <c r="AT250" s="114"/>
      <c r="AU250" s="114"/>
      <c r="AY250" s="107"/>
      <c r="BK250" s="115"/>
    </row>
    <row r="251" spans="2:65" s="11" customFormat="1" ht="16.95" customHeight="1" x14ac:dyDescent="0.25">
      <c r="B251" s="106"/>
      <c r="D251" s="107"/>
      <c r="E251" s="108"/>
      <c r="F251" s="108"/>
      <c r="J251" s="109"/>
      <c r="L251" s="106"/>
      <c r="M251" s="110"/>
      <c r="N251" s="111"/>
      <c r="O251" s="111"/>
      <c r="P251" s="112"/>
      <c r="Q251" s="111"/>
      <c r="R251" s="112"/>
      <c r="S251" s="111"/>
      <c r="T251" s="113"/>
      <c r="W251" s="195"/>
      <c r="X251" s="280"/>
      <c r="Y251" s="196" t="s">
        <v>57</v>
      </c>
      <c r="Z251" s="201" t="s">
        <v>2043</v>
      </c>
      <c r="AA251" s="201" t="s">
        <v>3604</v>
      </c>
      <c r="AB251" s="280"/>
      <c r="AC251" s="280"/>
      <c r="AD251" s="280"/>
      <c r="AE251" s="281">
        <f>SUM(AE252:AE264)</f>
        <v>1447.54</v>
      </c>
      <c r="AF251" s="248"/>
      <c r="AR251" s="107"/>
      <c r="AT251" s="114"/>
      <c r="AU251" s="114"/>
      <c r="AY251" s="107"/>
      <c r="BK251" s="115"/>
    </row>
    <row r="252" spans="2:65" s="11" customFormat="1" ht="16.95" customHeight="1" x14ac:dyDescent="0.2">
      <c r="B252" s="106"/>
      <c r="C252" s="1234" t="s">
        <v>5205</v>
      </c>
      <c r="D252" s="1235"/>
      <c r="E252" s="1235"/>
      <c r="F252" s="1235"/>
      <c r="G252" s="1235"/>
      <c r="H252" s="1235"/>
      <c r="I252" s="1235"/>
      <c r="J252" s="1236"/>
      <c r="L252" s="106"/>
      <c r="M252" s="110"/>
      <c r="N252" s="111"/>
      <c r="O252" s="111"/>
      <c r="P252" s="112"/>
      <c r="Q252" s="111"/>
      <c r="R252" s="112"/>
      <c r="S252" s="111"/>
      <c r="T252" s="113"/>
      <c r="W252" s="195"/>
      <c r="X252" s="207" t="s">
        <v>5378</v>
      </c>
      <c r="Y252" s="207" t="s">
        <v>231</v>
      </c>
      <c r="Z252" s="208" t="s">
        <v>5375</v>
      </c>
      <c r="AA252" s="209" t="s">
        <v>3599</v>
      </c>
      <c r="AB252" s="210" t="s">
        <v>1194</v>
      </c>
      <c r="AC252" s="211">
        <v>2</v>
      </c>
      <c r="AD252" s="212">
        <v>19.239999999999998</v>
      </c>
      <c r="AE252" s="214">
        <f t="shared" ref="AE252:AE253" si="13">ROUND(AD252*AC252,2)</f>
        <v>38.479999999999997</v>
      </c>
      <c r="AF252" s="248">
        <v>7</v>
      </c>
      <c r="AR252" s="107"/>
      <c r="AT252" s="114"/>
      <c r="AU252" s="114"/>
      <c r="AY252" s="107"/>
      <c r="BK252" s="115"/>
    </row>
    <row r="253" spans="2:65" s="11" customFormat="1" ht="16.95" customHeight="1" x14ac:dyDescent="0.2">
      <c r="B253" s="106"/>
      <c r="C253" s="1234" t="s">
        <v>5205</v>
      </c>
      <c r="D253" s="1235"/>
      <c r="E253" s="1235"/>
      <c r="F253" s="1235"/>
      <c r="G253" s="1235"/>
      <c r="H253" s="1235"/>
      <c r="I253" s="1235"/>
      <c r="J253" s="1236"/>
      <c r="L253" s="106"/>
      <c r="M253" s="110"/>
      <c r="N253" s="111"/>
      <c r="O253" s="111"/>
      <c r="P253" s="112"/>
      <c r="Q253" s="111"/>
      <c r="R253" s="112"/>
      <c r="S253" s="111"/>
      <c r="T253" s="113"/>
      <c r="W253" s="195"/>
      <c r="X253" s="207" t="s">
        <v>5379</v>
      </c>
      <c r="Y253" s="207" t="s">
        <v>231</v>
      </c>
      <c r="Z253" s="208" t="s">
        <v>1213</v>
      </c>
      <c r="AA253" s="209" t="s">
        <v>1208</v>
      </c>
      <c r="AB253" s="210" t="s">
        <v>1194</v>
      </c>
      <c r="AC253" s="211">
        <v>2</v>
      </c>
      <c r="AD253" s="212">
        <v>13.2</v>
      </c>
      <c r="AE253" s="214">
        <f t="shared" si="13"/>
        <v>26.4</v>
      </c>
      <c r="AF253" s="248">
        <v>7</v>
      </c>
      <c r="AR253" s="107"/>
      <c r="AT253" s="114"/>
      <c r="AU253" s="114"/>
      <c r="AY253" s="107"/>
      <c r="BK253" s="115"/>
    </row>
    <row r="254" spans="2:65" s="11" customFormat="1" ht="16.95" customHeight="1" x14ac:dyDescent="0.25">
      <c r="B254" s="106"/>
      <c r="D254" s="107"/>
      <c r="E254" s="108"/>
      <c r="F254" s="108"/>
      <c r="J254" s="109"/>
      <c r="L254" s="106"/>
      <c r="M254" s="110"/>
      <c r="N254" s="111"/>
      <c r="O254" s="111"/>
      <c r="P254" s="112"/>
      <c r="Q254" s="111"/>
      <c r="R254" s="112"/>
      <c r="S254" s="111"/>
      <c r="T254" s="113"/>
      <c r="W254" s="195"/>
      <c r="X254" s="111"/>
      <c r="Y254" s="196"/>
      <c r="Z254" s="197"/>
      <c r="AA254" s="197"/>
      <c r="AB254" s="111"/>
      <c r="AC254" s="111"/>
      <c r="AD254" s="111"/>
      <c r="AE254" s="198"/>
      <c r="AF254" s="248"/>
      <c r="AR254" s="107"/>
      <c r="AT254" s="114"/>
      <c r="AU254" s="114"/>
      <c r="AY254" s="107"/>
      <c r="BK254" s="115"/>
    </row>
    <row r="255" spans="2:65" s="1" customFormat="1" ht="24" customHeight="1" x14ac:dyDescent="0.2">
      <c r="B255" s="118"/>
      <c r="C255" s="205" t="s">
        <v>285</v>
      </c>
      <c r="D255" s="119" t="s">
        <v>231</v>
      </c>
      <c r="E255" s="120" t="s">
        <v>4502</v>
      </c>
      <c r="F255" s="121" t="s">
        <v>4503</v>
      </c>
      <c r="G255" s="122" t="s">
        <v>1194</v>
      </c>
      <c r="H255" s="206">
        <v>10</v>
      </c>
      <c r="I255" s="124">
        <v>86.03</v>
      </c>
      <c r="J255" s="124">
        <f>ROUND(I255*H255,2)</f>
        <v>860.3</v>
      </c>
      <c r="K255" s="121" t="s">
        <v>1</v>
      </c>
      <c r="L255" s="24"/>
      <c r="M255" s="125" t="s">
        <v>1</v>
      </c>
      <c r="N255" s="126" t="s">
        <v>32</v>
      </c>
      <c r="O255" s="127">
        <v>0</v>
      </c>
      <c r="P255" s="127">
        <f>O255*H255</f>
        <v>0</v>
      </c>
      <c r="Q255" s="127">
        <v>0</v>
      </c>
      <c r="R255" s="127">
        <f>Q255*H255</f>
        <v>0</v>
      </c>
      <c r="S255" s="127">
        <v>0</v>
      </c>
      <c r="T255" s="128">
        <f>S255*H255</f>
        <v>0</v>
      </c>
      <c r="W255" s="199"/>
      <c r="X255" s="205" t="s">
        <v>285</v>
      </c>
      <c r="Y255" s="119" t="s">
        <v>231</v>
      </c>
      <c r="Z255" s="120" t="s">
        <v>4502</v>
      </c>
      <c r="AA255" s="121" t="s">
        <v>4503</v>
      </c>
      <c r="AB255" s="122" t="s">
        <v>1194</v>
      </c>
      <c r="AC255" s="206">
        <v>2</v>
      </c>
      <c r="AD255" s="124">
        <v>86.03</v>
      </c>
      <c r="AE255" s="200">
        <f>ROUND(AD255*AC255,2)</f>
        <v>172.06</v>
      </c>
      <c r="AF255" s="248">
        <v>7</v>
      </c>
      <c r="AR255" s="129" t="s">
        <v>235</v>
      </c>
      <c r="AT255" s="129" t="s">
        <v>231</v>
      </c>
      <c r="AU255" s="129" t="s">
        <v>63</v>
      </c>
      <c r="AY255" s="13" t="s">
        <v>228</v>
      </c>
      <c r="BE255" s="130">
        <f>IF(N255="základná",J255,0)</f>
        <v>0</v>
      </c>
      <c r="BF255" s="130">
        <f>IF(N255="znížená",J255,0)</f>
        <v>860.3</v>
      </c>
      <c r="BG255" s="130">
        <f>IF(N255="zákl. prenesená",J255,0)</f>
        <v>0</v>
      </c>
      <c r="BH255" s="130">
        <f>IF(N255="zníž. prenesená",J255,0)</f>
        <v>0</v>
      </c>
      <c r="BI255" s="130">
        <f>IF(N255="nulová",J255,0)</f>
        <v>0</v>
      </c>
      <c r="BJ255" s="13" t="s">
        <v>76</v>
      </c>
      <c r="BK255" s="130">
        <f>ROUND(I255*H255,2)</f>
        <v>860.3</v>
      </c>
      <c r="BL255" s="13" t="s">
        <v>235</v>
      </c>
      <c r="BM255" s="129" t="s">
        <v>340</v>
      </c>
    </row>
    <row r="256" spans="2:65" s="1" customFormat="1" ht="16.5" customHeight="1" x14ac:dyDescent="0.2">
      <c r="B256" s="118"/>
      <c r="C256" s="205" t="s">
        <v>341</v>
      </c>
      <c r="D256" s="119" t="s">
        <v>231</v>
      </c>
      <c r="E256" s="120" t="s">
        <v>4504</v>
      </c>
      <c r="F256" s="121" t="s">
        <v>4505</v>
      </c>
      <c r="G256" s="122" t="s">
        <v>1194</v>
      </c>
      <c r="H256" s="206">
        <v>7</v>
      </c>
      <c r="I256" s="124">
        <v>142.80000000000001</v>
      </c>
      <c r="J256" s="124">
        <f>ROUND(I256*H256,2)</f>
        <v>999.6</v>
      </c>
      <c r="K256" s="121" t="s">
        <v>1</v>
      </c>
      <c r="L256" s="24"/>
      <c r="M256" s="125" t="s">
        <v>1</v>
      </c>
      <c r="N256" s="126" t="s">
        <v>32</v>
      </c>
      <c r="O256" s="127">
        <v>0</v>
      </c>
      <c r="P256" s="127">
        <f>O256*H256</f>
        <v>0</v>
      </c>
      <c r="Q256" s="127">
        <v>0</v>
      </c>
      <c r="R256" s="127">
        <f>Q256*H256</f>
        <v>0</v>
      </c>
      <c r="S256" s="127">
        <v>0</v>
      </c>
      <c r="T256" s="128">
        <f>S256*H256</f>
        <v>0</v>
      </c>
      <c r="W256" s="199"/>
      <c r="X256" s="205" t="s">
        <v>341</v>
      </c>
      <c r="Y256" s="119" t="s">
        <v>231</v>
      </c>
      <c r="Z256" s="120" t="s">
        <v>4504</v>
      </c>
      <c r="AA256" s="121" t="s">
        <v>4505</v>
      </c>
      <c r="AB256" s="122" t="s">
        <v>1194</v>
      </c>
      <c r="AC256" s="206">
        <v>2</v>
      </c>
      <c r="AD256" s="124">
        <v>142.80000000000001</v>
      </c>
      <c r="AE256" s="200">
        <f>ROUND(AD256*AC256,2)</f>
        <v>285.60000000000002</v>
      </c>
      <c r="AF256" s="248">
        <v>7</v>
      </c>
      <c r="AR256" s="129" t="s">
        <v>235</v>
      </c>
      <c r="AT256" s="129" t="s">
        <v>231</v>
      </c>
      <c r="AU256" s="129" t="s">
        <v>63</v>
      </c>
      <c r="AY256" s="13" t="s">
        <v>228</v>
      </c>
      <c r="BE256" s="130">
        <f>IF(N256="základná",J256,0)</f>
        <v>0</v>
      </c>
      <c r="BF256" s="130">
        <f>IF(N256="znížená",J256,0)</f>
        <v>999.6</v>
      </c>
      <c r="BG256" s="130">
        <f>IF(N256="zákl. prenesená",J256,0)</f>
        <v>0</v>
      </c>
      <c r="BH256" s="130">
        <f>IF(N256="zníž. prenesená",J256,0)</f>
        <v>0</v>
      </c>
      <c r="BI256" s="130">
        <f>IF(N256="nulová",J256,0)</f>
        <v>0</v>
      </c>
      <c r="BJ256" s="13" t="s">
        <v>76</v>
      </c>
      <c r="BK256" s="130">
        <f>ROUND(I256*H256,2)</f>
        <v>999.6</v>
      </c>
      <c r="BL256" s="13" t="s">
        <v>235</v>
      </c>
      <c r="BM256" s="129" t="s">
        <v>344</v>
      </c>
    </row>
    <row r="257" spans="2:65" s="243" customFormat="1" ht="22.8" x14ac:dyDescent="0.2">
      <c r="B257" s="118"/>
      <c r="C257" s="1234" t="s">
        <v>5205</v>
      </c>
      <c r="D257" s="1235"/>
      <c r="E257" s="1235"/>
      <c r="F257" s="1235"/>
      <c r="G257" s="1235"/>
      <c r="H257" s="1235"/>
      <c r="I257" s="1235"/>
      <c r="J257" s="1236"/>
      <c r="K257" s="121"/>
      <c r="L257" s="24"/>
      <c r="M257" s="125"/>
      <c r="N257" s="126"/>
      <c r="O257" s="127"/>
      <c r="P257" s="127"/>
      <c r="Q257" s="127"/>
      <c r="R257" s="127"/>
      <c r="S257" s="127"/>
      <c r="T257" s="128"/>
      <c r="W257" s="199"/>
      <c r="X257" s="207" t="s">
        <v>5383</v>
      </c>
      <c r="Y257" s="207" t="s">
        <v>231</v>
      </c>
      <c r="Z257" s="208" t="s">
        <v>3576</v>
      </c>
      <c r="AA257" s="209" t="s">
        <v>5380</v>
      </c>
      <c r="AB257" s="210" t="s">
        <v>1194</v>
      </c>
      <c r="AC257" s="211">
        <v>3</v>
      </c>
      <c r="AD257" s="212">
        <v>76.67</v>
      </c>
      <c r="AE257" s="214">
        <f t="shared" ref="AE257:AE258" si="14">ROUND(AD257*AC257,2)</f>
        <v>230.01</v>
      </c>
      <c r="AF257" s="248">
        <v>7</v>
      </c>
      <c r="AR257" s="129"/>
      <c r="AT257" s="129"/>
      <c r="AU257" s="129"/>
      <c r="AY257" s="13"/>
      <c r="BE257" s="130"/>
      <c r="BF257" s="130"/>
      <c r="BG257" s="130"/>
      <c r="BH257" s="130"/>
      <c r="BI257" s="130"/>
      <c r="BJ257" s="13"/>
      <c r="BK257" s="130"/>
      <c r="BL257" s="13"/>
      <c r="BM257" s="129"/>
    </row>
    <row r="258" spans="2:65" s="243" customFormat="1" ht="16.5" customHeight="1" x14ac:dyDescent="0.2">
      <c r="B258" s="118"/>
      <c r="C258" s="1234" t="s">
        <v>5205</v>
      </c>
      <c r="D258" s="1235"/>
      <c r="E258" s="1235"/>
      <c r="F258" s="1235"/>
      <c r="G258" s="1235"/>
      <c r="H258" s="1235"/>
      <c r="I258" s="1235"/>
      <c r="J258" s="1236"/>
      <c r="K258" s="121"/>
      <c r="L258" s="24"/>
      <c r="M258" s="125"/>
      <c r="N258" s="126"/>
      <c r="O258" s="127"/>
      <c r="P258" s="127"/>
      <c r="Q258" s="127"/>
      <c r="R258" s="127"/>
      <c r="S258" s="127"/>
      <c r="T258" s="128"/>
      <c r="W258" s="199"/>
      <c r="X258" s="207" t="s">
        <v>5384</v>
      </c>
      <c r="Y258" s="207" t="s">
        <v>231</v>
      </c>
      <c r="Z258" s="208" t="s">
        <v>5381</v>
      </c>
      <c r="AA258" s="209" t="s">
        <v>5382</v>
      </c>
      <c r="AB258" s="210" t="s">
        <v>1194</v>
      </c>
      <c r="AC258" s="211">
        <v>3</v>
      </c>
      <c r="AD258" s="212">
        <v>112.62</v>
      </c>
      <c r="AE258" s="214">
        <f t="shared" si="14"/>
        <v>337.86</v>
      </c>
      <c r="AF258" s="248">
        <v>7</v>
      </c>
      <c r="AR258" s="129"/>
      <c r="AT258" s="129"/>
      <c r="AU258" s="129"/>
      <c r="AY258" s="13"/>
      <c r="BE258" s="130"/>
      <c r="BF258" s="130"/>
      <c r="BG258" s="130"/>
      <c r="BH258" s="130"/>
      <c r="BI258" s="130"/>
      <c r="BJ258" s="13"/>
      <c r="BK258" s="130"/>
      <c r="BL258" s="13"/>
      <c r="BM258" s="129"/>
    </row>
    <row r="259" spans="2:65" s="1" customFormat="1" ht="24" customHeight="1" x14ac:dyDescent="0.2">
      <c r="B259" s="118"/>
      <c r="C259" s="205" t="s">
        <v>288</v>
      </c>
      <c r="D259" s="119" t="s">
        <v>231</v>
      </c>
      <c r="E259" s="120" t="s">
        <v>4506</v>
      </c>
      <c r="F259" s="121" t="s">
        <v>4507</v>
      </c>
      <c r="G259" s="122" t="s">
        <v>1194</v>
      </c>
      <c r="H259" s="206">
        <v>1</v>
      </c>
      <c r="I259" s="124">
        <v>635.07000000000005</v>
      </c>
      <c r="J259" s="124">
        <f>ROUND(I259*H259,2)</f>
        <v>635.07000000000005</v>
      </c>
      <c r="K259" s="121" t="s">
        <v>1</v>
      </c>
      <c r="L259" s="24"/>
      <c r="M259" s="125" t="s">
        <v>1</v>
      </c>
      <c r="N259" s="126" t="s">
        <v>32</v>
      </c>
      <c r="O259" s="127">
        <v>0</v>
      </c>
      <c r="P259" s="127">
        <f>O259*H259</f>
        <v>0</v>
      </c>
      <c r="Q259" s="127">
        <v>0</v>
      </c>
      <c r="R259" s="127">
        <f>Q259*H259</f>
        <v>0</v>
      </c>
      <c r="S259" s="127">
        <v>0</v>
      </c>
      <c r="T259" s="128">
        <f>S259*H259</f>
        <v>0</v>
      </c>
      <c r="W259" s="199"/>
      <c r="X259" s="205" t="s">
        <v>288</v>
      </c>
      <c r="Y259" s="119" t="s">
        <v>231</v>
      </c>
      <c r="Z259" s="120" t="s">
        <v>4506</v>
      </c>
      <c r="AA259" s="121" t="s">
        <v>4507</v>
      </c>
      <c r="AB259" s="122" t="s">
        <v>1194</v>
      </c>
      <c r="AC259" s="206">
        <v>0</v>
      </c>
      <c r="AD259" s="124">
        <v>635.07000000000005</v>
      </c>
      <c r="AE259" s="200">
        <f>ROUND(AD259*AC259,2)</f>
        <v>0</v>
      </c>
      <c r="AF259" s="248">
        <v>7</v>
      </c>
      <c r="AR259" s="129" t="s">
        <v>235</v>
      </c>
      <c r="AT259" s="129" t="s">
        <v>231</v>
      </c>
      <c r="AU259" s="129" t="s">
        <v>63</v>
      </c>
      <c r="AY259" s="13" t="s">
        <v>228</v>
      </c>
      <c r="BE259" s="130">
        <f>IF(N259="základná",J259,0)</f>
        <v>0</v>
      </c>
      <c r="BF259" s="130">
        <f>IF(N259="znížená",J259,0)</f>
        <v>635.07000000000005</v>
      </c>
      <c r="BG259" s="130">
        <f>IF(N259="zákl. prenesená",J259,0)</f>
        <v>0</v>
      </c>
      <c r="BH259" s="130">
        <f>IF(N259="zníž. prenesená",J259,0)</f>
        <v>0</v>
      </c>
      <c r="BI259" s="130">
        <f>IF(N259="nulová",J259,0)</f>
        <v>0</v>
      </c>
      <c r="BJ259" s="13" t="s">
        <v>76</v>
      </c>
      <c r="BK259" s="130">
        <f>ROUND(I259*H259,2)</f>
        <v>635.07000000000005</v>
      </c>
      <c r="BL259" s="13" t="s">
        <v>235</v>
      </c>
      <c r="BM259" s="129" t="s">
        <v>347</v>
      </c>
    </row>
    <row r="260" spans="2:65" s="1" customFormat="1" ht="38.4" x14ac:dyDescent="0.2">
      <c r="B260" s="24"/>
      <c r="D260" s="144" t="s">
        <v>1259</v>
      </c>
      <c r="F260" s="145" t="s">
        <v>3591</v>
      </c>
      <c r="L260" s="24"/>
      <c r="M260" s="146"/>
      <c r="N260" s="42"/>
      <c r="O260" s="42"/>
      <c r="P260" s="42"/>
      <c r="Q260" s="42"/>
      <c r="R260" s="42"/>
      <c r="S260" s="42"/>
      <c r="T260" s="43"/>
      <c r="W260" s="158"/>
      <c r="X260" s="244"/>
      <c r="Y260" s="203" t="s">
        <v>1259</v>
      </c>
      <c r="Z260" s="244"/>
      <c r="AA260" s="204" t="s">
        <v>3591</v>
      </c>
      <c r="AB260" s="244"/>
      <c r="AC260" s="244"/>
      <c r="AD260" s="244"/>
      <c r="AE260" s="159"/>
      <c r="AF260" s="248"/>
      <c r="AT260" s="13" t="s">
        <v>1259</v>
      </c>
      <c r="AU260" s="13" t="s">
        <v>63</v>
      </c>
    </row>
    <row r="261" spans="2:65" s="1" customFormat="1" ht="16.5" customHeight="1" x14ac:dyDescent="0.2">
      <c r="B261" s="118"/>
      <c r="C261" s="205" t="s">
        <v>348</v>
      </c>
      <c r="D261" s="119" t="s">
        <v>231</v>
      </c>
      <c r="E261" s="120" t="s">
        <v>4508</v>
      </c>
      <c r="F261" s="121" t="s">
        <v>4509</v>
      </c>
      <c r="G261" s="122" t="s">
        <v>1194</v>
      </c>
      <c r="H261" s="206">
        <v>1</v>
      </c>
      <c r="I261" s="124">
        <v>232.2</v>
      </c>
      <c r="J261" s="124">
        <f>ROUND(I261*H261,2)</f>
        <v>232.2</v>
      </c>
      <c r="K261" s="121" t="s">
        <v>1</v>
      </c>
      <c r="L261" s="24"/>
      <c r="M261" s="125" t="s">
        <v>1</v>
      </c>
      <c r="N261" s="126" t="s">
        <v>32</v>
      </c>
      <c r="O261" s="127">
        <v>0</v>
      </c>
      <c r="P261" s="127">
        <f>O261*H261</f>
        <v>0</v>
      </c>
      <c r="Q261" s="127">
        <v>0</v>
      </c>
      <c r="R261" s="127">
        <f>Q261*H261</f>
        <v>0</v>
      </c>
      <c r="S261" s="127">
        <v>0</v>
      </c>
      <c r="T261" s="128">
        <f>S261*H261</f>
        <v>0</v>
      </c>
      <c r="W261" s="199"/>
      <c r="X261" s="205" t="s">
        <v>348</v>
      </c>
      <c r="Y261" s="119" t="s">
        <v>231</v>
      </c>
      <c r="Z261" s="120" t="s">
        <v>4508</v>
      </c>
      <c r="AA261" s="121" t="s">
        <v>4509</v>
      </c>
      <c r="AB261" s="122" t="s">
        <v>1194</v>
      </c>
      <c r="AC261" s="206">
        <v>0</v>
      </c>
      <c r="AD261" s="124">
        <v>232.2</v>
      </c>
      <c r="AE261" s="200">
        <f>ROUND(AD261*AC261,2)</f>
        <v>0</v>
      </c>
      <c r="AF261" s="248">
        <v>7</v>
      </c>
      <c r="AR261" s="129" t="s">
        <v>235</v>
      </c>
      <c r="AT261" s="129" t="s">
        <v>231</v>
      </c>
      <c r="AU261" s="129" t="s">
        <v>63</v>
      </c>
      <c r="AY261" s="13" t="s">
        <v>228</v>
      </c>
      <c r="BE261" s="130">
        <f>IF(N261="základná",J261,0)</f>
        <v>0</v>
      </c>
      <c r="BF261" s="130">
        <f>IF(N261="znížená",J261,0)</f>
        <v>232.2</v>
      </c>
      <c r="BG261" s="130">
        <f>IF(N261="zákl. prenesená",J261,0)</f>
        <v>0</v>
      </c>
      <c r="BH261" s="130">
        <f>IF(N261="zníž. prenesená",J261,0)</f>
        <v>0</v>
      </c>
      <c r="BI261" s="130">
        <f>IF(N261="nulová",J261,0)</f>
        <v>0</v>
      </c>
      <c r="BJ261" s="13" t="s">
        <v>76</v>
      </c>
      <c r="BK261" s="130">
        <f>ROUND(I261*H261,2)</f>
        <v>232.2</v>
      </c>
      <c r="BL261" s="13" t="s">
        <v>235</v>
      </c>
      <c r="BM261" s="129" t="s">
        <v>351</v>
      </c>
    </row>
    <row r="262" spans="2:65" s="1" customFormat="1" ht="16.5" customHeight="1" x14ac:dyDescent="0.2">
      <c r="B262" s="118"/>
      <c r="C262" s="205" t="s">
        <v>293</v>
      </c>
      <c r="D262" s="119" t="s">
        <v>231</v>
      </c>
      <c r="E262" s="120" t="s">
        <v>4510</v>
      </c>
      <c r="F262" s="121" t="s">
        <v>4511</v>
      </c>
      <c r="G262" s="122" t="s">
        <v>1194</v>
      </c>
      <c r="H262" s="206">
        <v>1</v>
      </c>
      <c r="I262" s="124">
        <v>329.72</v>
      </c>
      <c r="J262" s="124">
        <f>ROUND(I262*H262,2)</f>
        <v>329.72</v>
      </c>
      <c r="K262" s="121" t="s">
        <v>1</v>
      </c>
      <c r="L262" s="24"/>
      <c r="M262" s="125" t="s">
        <v>1</v>
      </c>
      <c r="N262" s="126" t="s">
        <v>32</v>
      </c>
      <c r="O262" s="127">
        <v>0</v>
      </c>
      <c r="P262" s="127">
        <f>O262*H262</f>
        <v>0</v>
      </c>
      <c r="Q262" s="127">
        <v>0</v>
      </c>
      <c r="R262" s="127">
        <f>Q262*H262</f>
        <v>0</v>
      </c>
      <c r="S262" s="127">
        <v>0</v>
      </c>
      <c r="T262" s="128">
        <f>S262*H262</f>
        <v>0</v>
      </c>
      <c r="W262" s="199"/>
      <c r="X262" s="205" t="s">
        <v>293</v>
      </c>
      <c r="Y262" s="119" t="s">
        <v>231</v>
      </c>
      <c r="Z262" s="120" t="s">
        <v>4510</v>
      </c>
      <c r="AA262" s="121" t="s">
        <v>4511</v>
      </c>
      <c r="AB262" s="122" t="s">
        <v>1194</v>
      </c>
      <c r="AC262" s="206">
        <v>0</v>
      </c>
      <c r="AD262" s="124">
        <v>329.72</v>
      </c>
      <c r="AE262" s="200">
        <f>ROUND(AD262*AC262,2)</f>
        <v>0</v>
      </c>
      <c r="AF262" s="248">
        <v>7</v>
      </c>
      <c r="AR262" s="129" t="s">
        <v>235</v>
      </c>
      <c r="AT262" s="129" t="s">
        <v>231</v>
      </c>
      <c r="AU262" s="129" t="s">
        <v>63</v>
      </c>
      <c r="AY262" s="13" t="s">
        <v>228</v>
      </c>
      <c r="BE262" s="130">
        <f>IF(N262="základná",J262,0)</f>
        <v>0</v>
      </c>
      <c r="BF262" s="130">
        <f>IF(N262="znížená",J262,0)</f>
        <v>329.72</v>
      </c>
      <c r="BG262" s="130">
        <f>IF(N262="zákl. prenesená",J262,0)</f>
        <v>0</v>
      </c>
      <c r="BH262" s="130">
        <f>IF(N262="zníž. prenesená",J262,0)</f>
        <v>0</v>
      </c>
      <c r="BI262" s="130">
        <f>IF(N262="nulová",J262,0)</f>
        <v>0</v>
      </c>
      <c r="BJ262" s="13" t="s">
        <v>76</v>
      </c>
      <c r="BK262" s="130">
        <f>ROUND(I262*H262,2)</f>
        <v>329.72</v>
      </c>
      <c r="BL262" s="13" t="s">
        <v>235</v>
      </c>
      <c r="BM262" s="129" t="s">
        <v>354</v>
      </c>
    </row>
    <row r="263" spans="2:65" s="243" customFormat="1" ht="26.55" customHeight="1" x14ac:dyDescent="0.2">
      <c r="B263" s="118"/>
      <c r="C263" s="1234" t="s">
        <v>5205</v>
      </c>
      <c r="D263" s="1235"/>
      <c r="E263" s="1235"/>
      <c r="F263" s="1235"/>
      <c r="G263" s="1235"/>
      <c r="H263" s="1235"/>
      <c r="I263" s="1235"/>
      <c r="J263" s="1236"/>
      <c r="K263" s="222"/>
      <c r="L263" s="24"/>
      <c r="M263" s="125"/>
      <c r="N263" s="126"/>
      <c r="O263" s="127"/>
      <c r="P263" s="127"/>
      <c r="Q263" s="127"/>
      <c r="R263" s="127"/>
      <c r="S263" s="127"/>
      <c r="T263" s="128"/>
      <c r="W263" s="199"/>
      <c r="X263" s="215" t="s">
        <v>5386</v>
      </c>
      <c r="Y263" s="215" t="s">
        <v>231</v>
      </c>
      <c r="Z263" s="216" t="s">
        <v>3582</v>
      </c>
      <c r="AA263" s="217" t="s">
        <v>5385</v>
      </c>
      <c r="AB263" s="218" t="s">
        <v>1194</v>
      </c>
      <c r="AC263" s="219">
        <v>1</v>
      </c>
      <c r="AD263" s="220">
        <v>59.91</v>
      </c>
      <c r="AE263" s="221">
        <f t="shared" ref="AE263:AE264" si="15">ROUND(AD263*AC263,2)</f>
        <v>59.91</v>
      </c>
      <c r="AF263" s="248">
        <v>7</v>
      </c>
      <c r="AR263" s="129"/>
      <c r="AT263" s="129"/>
      <c r="AU263" s="129"/>
      <c r="AY263" s="13"/>
      <c r="BE263" s="130"/>
      <c r="BF263" s="130"/>
      <c r="BG263" s="130"/>
      <c r="BH263" s="130"/>
      <c r="BI263" s="130"/>
      <c r="BJ263" s="13"/>
      <c r="BK263" s="130"/>
      <c r="BL263" s="13"/>
      <c r="BM263" s="129"/>
    </row>
    <row r="264" spans="2:65" s="243" customFormat="1" ht="29.55" customHeight="1" x14ac:dyDescent="0.2">
      <c r="B264" s="118"/>
      <c r="C264" s="1234" t="s">
        <v>5205</v>
      </c>
      <c r="D264" s="1235"/>
      <c r="E264" s="1235"/>
      <c r="F264" s="1235"/>
      <c r="G264" s="1235"/>
      <c r="H264" s="1235"/>
      <c r="I264" s="1235"/>
      <c r="J264" s="1236"/>
      <c r="K264" s="222"/>
      <c r="L264" s="24"/>
      <c r="M264" s="125"/>
      <c r="N264" s="126"/>
      <c r="O264" s="127"/>
      <c r="P264" s="127"/>
      <c r="Q264" s="127"/>
      <c r="R264" s="127"/>
      <c r="S264" s="127"/>
      <c r="T264" s="128"/>
      <c r="W264" s="199"/>
      <c r="X264" s="215" t="s">
        <v>5387</v>
      </c>
      <c r="Y264" s="215" t="s">
        <v>231</v>
      </c>
      <c r="Z264" s="216" t="s">
        <v>3586</v>
      </c>
      <c r="AA264" s="217" t="s">
        <v>3587</v>
      </c>
      <c r="AB264" s="218" t="s">
        <v>1194</v>
      </c>
      <c r="AC264" s="219">
        <v>1</v>
      </c>
      <c r="AD264" s="220">
        <v>297.22000000000003</v>
      </c>
      <c r="AE264" s="221">
        <f t="shared" si="15"/>
        <v>297.22000000000003</v>
      </c>
      <c r="AF264" s="248">
        <v>7</v>
      </c>
      <c r="AR264" s="129"/>
      <c r="AT264" s="129"/>
      <c r="AU264" s="129"/>
      <c r="AY264" s="13"/>
      <c r="BE264" s="130"/>
      <c r="BF264" s="130"/>
      <c r="BG264" s="130"/>
      <c r="BH264" s="130"/>
      <c r="BI264" s="130"/>
      <c r="BJ264" s="13"/>
      <c r="BK264" s="130"/>
      <c r="BL264" s="13"/>
      <c r="BM264" s="129"/>
    </row>
    <row r="265" spans="2:65" s="243" customFormat="1" ht="36" customHeight="1" x14ac:dyDescent="0.2">
      <c r="B265" s="118"/>
      <c r="C265" s="254"/>
      <c r="D265" s="254"/>
      <c r="E265" s="255"/>
      <c r="F265" s="222"/>
      <c r="G265" s="256"/>
      <c r="H265" s="257"/>
      <c r="I265" s="258"/>
      <c r="J265" s="258"/>
      <c r="K265" s="222"/>
      <c r="L265" s="24"/>
      <c r="M265" s="125"/>
      <c r="N265" s="126"/>
      <c r="O265" s="127"/>
      <c r="P265" s="127"/>
      <c r="Q265" s="127"/>
      <c r="R265" s="127"/>
      <c r="S265" s="127"/>
      <c r="T265" s="128"/>
      <c r="W265" s="199"/>
      <c r="X265" s="267"/>
      <c r="Y265" s="268" t="s">
        <v>1259</v>
      </c>
      <c r="Z265" s="267"/>
      <c r="AA265" s="269" t="s">
        <v>3588</v>
      </c>
      <c r="AB265" s="267"/>
      <c r="AC265" s="267"/>
      <c r="AD265" s="267"/>
      <c r="AE265" s="270"/>
      <c r="AF265" s="248"/>
      <c r="AR265" s="129"/>
      <c r="AT265" s="129"/>
      <c r="AU265" s="129"/>
      <c r="AY265" s="13"/>
      <c r="BE265" s="130"/>
      <c r="BF265" s="130"/>
      <c r="BG265" s="130"/>
      <c r="BH265" s="130"/>
      <c r="BI265" s="130"/>
      <c r="BJ265" s="13"/>
      <c r="BK265" s="130"/>
      <c r="BL265" s="13"/>
      <c r="BM265" s="129"/>
    </row>
    <row r="266" spans="2:65" s="11" customFormat="1" ht="22.95" customHeight="1" x14ac:dyDescent="0.25">
      <c r="B266" s="106"/>
      <c r="D266" s="107" t="s">
        <v>57</v>
      </c>
      <c r="E266" s="116" t="s">
        <v>1943</v>
      </c>
      <c r="F266" s="116" t="s">
        <v>3596</v>
      </c>
      <c r="J266" s="117">
        <f>BK266</f>
        <v>439.83</v>
      </c>
      <c r="L266" s="106"/>
      <c r="M266" s="110"/>
      <c r="N266" s="111"/>
      <c r="O266" s="111"/>
      <c r="P266" s="112">
        <f>SUM(P268:P271)</f>
        <v>0</v>
      </c>
      <c r="Q266" s="111"/>
      <c r="R266" s="112">
        <f>SUM(R268:R271)</f>
        <v>0</v>
      </c>
      <c r="S266" s="111"/>
      <c r="T266" s="113">
        <f>SUM(T268:T271)</f>
        <v>0</v>
      </c>
      <c r="W266" s="195"/>
      <c r="X266" s="111"/>
      <c r="Y266" s="196" t="s">
        <v>57</v>
      </c>
      <c r="Z266" s="201" t="s">
        <v>1943</v>
      </c>
      <c r="AA266" s="201" t="s">
        <v>3596</v>
      </c>
      <c r="AB266" s="111"/>
      <c r="AC266" s="111"/>
      <c r="AD266" s="111"/>
      <c r="AE266" s="202">
        <f>SUM(AE267:AE271)</f>
        <v>153.19</v>
      </c>
      <c r="AF266" s="248"/>
      <c r="AR266" s="107" t="s">
        <v>63</v>
      </c>
      <c r="AT266" s="114" t="s">
        <v>57</v>
      </c>
      <c r="AU266" s="114" t="s">
        <v>63</v>
      </c>
      <c r="AY266" s="107" t="s">
        <v>228</v>
      </c>
      <c r="BK266" s="115">
        <f>SUM(BK268:BK271)</f>
        <v>439.83</v>
      </c>
    </row>
    <row r="267" spans="2:65" s="11" customFormat="1" ht="18" customHeight="1" x14ac:dyDescent="0.2">
      <c r="B267" s="106"/>
      <c r="C267" s="1234" t="s">
        <v>5205</v>
      </c>
      <c r="D267" s="1235"/>
      <c r="E267" s="1235"/>
      <c r="F267" s="1235"/>
      <c r="G267" s="1235"/>
      <c r="H267" s="1235"/>
      <c r="I267" s="1235"/>
      <c r="J267" s="1236"/>
      <c r="L267" s="106"/>
      <c r="M267" s="110"/>
      <c r="N267" s="111"/>
      <c r="O267" s="111"/>
      <c r="P267" s="112"/>
      <c r="Q267" s="111"/>
      <c r="R267" s="112"/>
      <c r="S267" s="111"/>
      <c r="T267" s="113"/>
      <c r="W267" s="195"/>
      <c r="X267" s="215" t="s">
        <v>5388</v>
      </c>
      <c r="Y267" s="215" t="s">
        <v>231</v>
      </c>
      <c r="Z267" s="216" t="s">
        <v>3600</v>
      </c>
      <c r="AA267" s="217" t="s">
        <v>3601</v>
      </c>
      <c r="AB267" s="218" t="s">
        <v>1194</v>
      </c>
      <c r="AC267" s="219">
        <v>1</v>
      </c>
      <c r="AD267" s="220">
        <v>40.28</v>
      </c>
      <c r="AE267" s="221">
        <f>ROUND(AD267*AC267,2)</f>
        <v>40.28</v>
      </c>
      <c r="AF267" s="248">
        <v>7</v>
      </c>
      <c r="AR267" s="107"/>
      <c r="AT267" s="114"/>
      <c r="AU267" s="114"/>
      <c r="AY267" s="107"/>
      <c r="BK267" s="115"/>
    </row>
    <row r="268" spans="2:65" s="1" customFormat="1" ht="16.5" customHeight="1" x14ac:dyDescent="0.2">
      <c r="B268" s="118"/>
      <c r="C268" s="205" t="s">
        <v>355</v>
      </c>
      <c r="D268" s="119" t="s">
        <v>231</v>
      </c>
      <c r="E268" s="120" t="s">
        <v>3602</v>
      </c>
      <c r="F268" s="121" t="s">
        <v>3603</v>
      </c>
      <c r="G268" s="122" t="s">
        <v>1194</v>
      </c>
      <c r="H268" s="206">
        <v>2</v>
      </c>
      <c r="I268" s="124">
        <v>52.36</v>
      </c>
      <c r="J268" s="124">
        <f>ROUND(I268*H268,2)</f>
        <v>104.72</v>
      </c>
      <c r="K268" s="121" t="s">
        <v>1</v>
      </c>
      <c r="L268" s="24"/>
      <c r="M268" s="125" t="s">
        <v>1</v>
      </c>
      <c r="N268" s="126" t="s">
        <v>32</v>
      </c>
      <c r="O268" s="127">
        <v>0</v>
      </c>
      <c r="P268" s="127">
        <f>O268*H268</f>
        <v>0</v>
      </c>
      <c r="Q268" s="127">
        <v>0</v>
      </c>
      <c r="R268" s="127">
        <f>Q268*H268</f>
        <v>0</v>
      </c>
      <c r="S268" s="127">
        <v>0</v>
      </c>
      <c r="T268" s="128">
        <f>S268*H268</f>
        <v>0</v>
      </c>
      <c r="W268" s="199"/>
      <c r="X268" s="205" t="s">
        <v>355</v>
      </c>
      <c r="Y268" s="119" t="s">
        <v>231</v>
      </c>
      <c r="Z268" s="120" t="s">
        <v>3602</v>
      </c>
      <c r="AA268" s="121" t="s">
        <v>3603</v>
      </c>
      <c r="AB268" s="122" t="s">
        <v>1194</v>
      </c>
      <c r="AC268" s="206">
        <v>1</v>
      </c>
      <c r="AD268" s="124">
        <v>52.36</v>
      </c>
      <c r="AE268" s="200">
        <f>ROUND(AD268*AC268,2)</f>
        <v>52.36</v>
      </c>
      <c r="AF268" s="248">
        <v>7</v>
      </c>
      <c r="AR268" s="129" t="s">
        <v>235</v>
      </c>
      <c r="AT268" s="129" t="s">
        <v>231</v>
      </c>
      <c r="AU268" s="129" t="s">
        <v>76</v>
      </c>
      <c r="AY268" s="13" t="s">
        <v>228</v>
      </c>
      <c r="BE268" s="130">
        <f>IF(N268="základná",J268,0)</f>
        <v>0</v>
      </c>
      <c r="BF268" s="130">
        <f>IF(N268="znížená",J268,0)</f>
        <v>104.72</v>
      </c>
      <c r="BG268" s="130">
        <f>IF(N268="zákl. prenesená",J268,0)</f>
        <v>0</v>
      </c>
      <c r="BH268" s="130">
        <f>IF(N268="zníž. prenesená",J268,0)</f>
        <v>0</v>
      </c>
      <c r="BI268" s="130">
        <f>IF(N268="nulová",J268,0)</f>
        <v>0</v>
      </c>
      <c r="BJ268" s="13" t="s">
        <v>76</v>
      </c>
      <c r="BK268" s="130">
        <f>ROUND(I268*H268,2)</f>
        <v>104.72</v>
      </c>
      <c r="BL268" s="13" t="s">
        <v>235</v>
      </c>
      <c r="BM268" s="129" t="s">
        <v>358</v>
      </c>
    </row>
    <row r="269" spans="2:65" s="1" customFormat="1" ht="16.5" customHeight="1" x14ac:dyDescent="0.2">
      <c r="B269" s="118"/>
      <c r="C269" s="205" t="s">
        <v>296</v>
      </c>
      <c r="D269" s="119" t="s">
        <v>231</v>
      </c>
      <c r="E269" s="120" t="s">
        <v>4512</v>
      </c>
      <c r="F269" s="121" t="s">
        <v>4513</v>
      </c>
      <c r="G269" s="122" t="s">
        <v>1194</v>
      </c>
      <c r="H269" s="206">
        <v>4</v>
      </c>
      <c r="I269" s="124">
        <v>68.64</v>
      </c>
      <c r="J269" s="124">
        <f>ROUND(I269*H269,2)</f>
        <v>274.56</v>
      </c>
      <c r="K269" s="121" t="s">
        <v>1</v>
      </c>
      <c r="L269" s="24"/>
      <c r="M269" s="125" t="s">
        <v>1</v>
      </c>
      <c r="N269" s="126" t="s">
        <v>32</v>
      </c>
      <c r="O269" s="127">
        <v>0</v>
      </c>
      <c r="P269" s="127">
        <f>O269*H269</f>
        <v>0</v>
      </c>
      <c r="Q269" s="127">
        <v>0</v>
      </c>
      <c r="R269" s="127">
        <f>Q269*H269</f>
        <v>0</v>
      </c>
      <c r="S269" s="127">
        <v>0</v>
      </c>
      <c r="T269" s="128">
        <f>S269*H269</f>
        <v>0</v>
      </c>
      <c r="W269" s="199"/>
      <c r="X269" s="205" t="s">
        <v>296</v>
      </c>
      <c r="Y269" s="119" t="s">
        <v>231</v>
      </c>
      <c r="Z269" s="120" t="s">
        <v>4512</v>
      </c>
      <c r="AA269" s="121" t="s">
        <v>4513</v>
      </c>
      <c r="AB269" s="122" t="s">
        <v>1194</v>
      </c>
      <c r="AC269" s="206">
        <v>0</v>
      </c>
      <c r="AD269" s="124">
        <v>68.64</v>
      </c>
      <c r="AE269" s="200">
        <f>ROUND(AD269*AC269,2)</f>
        <v>0</v>
      </c>
      <c r="AF269" s="248">
        <v>7</v>
      </c>
      <c r="AR269" s="129" t="s">
        <v>235</v>
      </c>
      <c r="AT269" s="129" t="s">
        <v>231</v>
      </c>
      <c r="AU269" s="129" t="s">
        <v>76</v>
      </c>
      <c r="AY269" s="13" t="s">
        <v>228</v>
      </c>
      <c r="BE269" s="130">
        <f>IF(N269="základná",J269,0)</f>
        <v>0</v>
      </c>
      <c r="BF269" s="130">
        <f>IF(N269="znížená",J269,0)</f>
        <v>274.56</v>
      </c>
      <c r="BG269" s="130">
        <f>IF(N269="zákl. prenesená",J269,0)</f>
        <v>0</v>
      </c>
      <c r="BH269" s="130">
        <f>IF(N269="zníž. prenesená",J269,0)</f>
        <v>0</v>
      </c>
      <c r="BI269" s="130">
        <f>IF(N269="nulová",J269,0)</f>
        <v>0</v>
      </c>
      <c r="BJ269" s="13" t="s">
        <v>76</v>
      </c>
      <c r="BK269" s="130">
        <f>ROUND(I269*H269,2)</f>
        <v>274.56</v>
      </c>
      <c r="BL269" s="13" t="s">
        <v>235</v>
      </c>
      <c r="BM269" s="129" t="s">
        <v>361</v>
      </c>
    </row>
    <row r="270" spans="2:65" s="1" customFormat="1" ht="16.5" customHeight="1" x14ac:dyDescent="0.2">
      <c r="B270" s="118"/>
      <c r="C270" s="119" t="s">
        <v>362</v>
      </c>
      <c r="D270" s="119" t="s">
        <v>231</v>
      </c>
      <c r="E270" s="120" t="s">
        <v>1236</v>
      </c>
      <c r="F270" s="121" t="s">
        <v>1237</v>
      </c>
      <c r="G270" s="122" t="s">
        <v>1194</v>
      </c>
      <c r="H270" s="123">
        <v>5</v>
      </c>
      <c r="I270" s="124">
        <v>11.12</v>
      </c>
      <c r="J270" s="124">
        <f>ROUND(I270*H270,2)</f>
        <v>55.6</v>
      </c>
      <c r="K270" s="121" t="s">
        <v>1</v>
      </c>
      <c r="L270" s="24"/>
      <c r="M270" s="125" t="s">
        <v>1</v>
      </c>
      <c r="N270" s="126" t="s">
        <v>32</v>
      </c>
      <c r="O270" s="127">
        <v>0</v>
      </c>
      <c r="P270" s="127">
        <f>O270*H270</f>
        <v>0</v>
      </c>
      <c r="Q270" s="127">
        <v>0</v>
      </c>
      <c r="R270" s="127">
        <f>Q270*H270</f>
        <v>0</v>
      </c>
      <c r="S270" s="127">
        <v>0</v>
      </c>
      <c r="T270" s="128">
        <f>S270*H270</f>
        <v>0</v>
      </c>
      <c r="W270" s="199"/>
      <c r="X270" s="119" t="s">
        <v>362</v>
      </c>
      <c r="Y270" s="119" t="s">
        <v>231</v>
      </c>
      <c r="Z270" s="120" t="s">
        <v>1236</v>
      </c>
      <c r="AA270" s="121" t="s">
        <v>1237</v>
      </c>
      <c r="AB270" s="122" t="s">
        <v>1194</v>
      </c>
      <c r="AC270" s="123">
        <v>5</v>
      </c>
      <c r="AD270" s="124">
        <v>11.12</v>
      </c>
      <c r="AE270" s="200">
        <f>ROUND(AD270*AC270,2)</f>
        <v>55.6</v>
      </c>
      <c r="AF270" s="248"/>
      <c r="AR270" s="129" t="s">
        <v>235</v>
      </c>
      <c r="AT270" s="129" t="s">
        <v>231</v>
      </c>
      <c r="AU270" s="129" t="s">
        <v>76</v>
      </c>
      <c r="AY270" s="13" t="s">
        <v>228</v>
      </c>
      <c r="BE270" s="130">
        <f>IF(N270="základná",J270,0)</f>
        <v>0</v>
      </c>
      <c r="BF270" s="130">
        <f>IF(N270="znížená",J270,0)</f>
        <v>55.6</v>
      </c>
      <c r="BG270" s="130">
        <f>IF(N270="zákl. prenesená",J270,0)</f>
        <v>0</v>
      </c>
      <c r="BH270" s="130">
        <f>IF(N270="zníž. prenesená",J270,0)</f>
        <v>0</v>
      </c>
      <c r="BI270" s="130">
        <f>IF(N270="nulová",J270,0)</f>
        <v>0</v>
      </c>
      <c r="BJ270" s="13" t="s">
        <v>76</v>
      </c>
      <c r="BK270" s="130">
        <f>ROUND(I270*H270,2)</f>
        <v>55.6</v>
      </c>
      <c r="BL270" s="13" t="s">
        <v>235</v>
      </c>
      <c r="BM270" s="129" t="s">
        <v>365</v>
      </c>
    </row>
    <row r="271" spans="2:65" s="1" customFormat="1" ht="16.5" customHeight="1" x14ac:dyDescent="0.2">
      <c r="B271" s="118"/>
      <c r="C271" s="119" t="s">
        <v>300</v>
      </c>
      <c r="D271" s="119" t="s">
        <v>231</v>
      </c>
      <c r="E271" s="120" t="s">
        <v>1238</v>
      </c>
      <c r="F271" s="121" t="s">
        <v>1239</v>
      </c>
      <c r="G271" s="122" t="s">
        <v>1194</v>
      </c>
      <c r="H271" s="123">
        <v>5</v>
      </c>
      <c r="I271" s="124">
        <v>0.99</v>
      </c>
      <c r="J271" s="124">
        <f>ROUND(I271*H271,2)</f>
        <v>4.95</v>
      </c>
      <c r="K271" s="121" t="s">
        <v>1</v>
      </c>
      <c r="L271" s="24"/>
      <c r="M271" s="125" t="s">
        <v>1</v>
      </c>
      <c r="N271" s="126" t="s">
        <v>32</v>
      </c>
      <c r="O271" s="127">
        <v>0</v>
      </c>
      <c r="P271" s="127">
        <f>O271*H271</f>
        <v>0</v>
      </c>
      <c r="Q271" s="127">
        <v>0</v>
      </c>
      <c r="R271" s="127">
        <f>Q271*H271</f>
        <v>0</v>
      </c>
      <c r="S271" s="127">
        <v>0</v>
      </c>
      <c r="T271" s="128">
        <f>S271*H271</f>
        <v>0</v>
      </c>
      <c r="W271" s="199"/>
      <c r="X271" s="119" t="s">
        <v>300</v>
      </c>
      <c r="Y271" s="119" t="s">
        <v>231</v>
      </c>
      <c r="Z271" s="120" t="s">
        <v>1238</v>
      </c>
      <c r="AA271" s="121" t="s">
        <v>1239</v>
      </c>
      <c r="AB271" s="122" t="s">
        <v>1194</v>
      </c>
      <c r="AC271" s="123">
        <v>5</v>
      </c>
      <c r="AD271" s="124">
        <v>0.99</v>
      </c>
      <c r="AE271" s="200">
        <f>ROUND(AD271*AC271,2)</f>
        <v>4.95</v>
      </c>
      <c r="AF271" s="248"/>
      <c r="AR271" s="129" t="s">
        <v>235</v>
      </c>
      <c r="AT271" s="129" t="s">
        <v>231</v>
      </c>
      <c r="AU271" s="129" t="s">
        <v>76</v>
      </c>
      <c r="AY271" s="13" t="s">
        <v>228</v>
      </c>
      <c r="BE271" s="130">
        <f>IF(N271="základná",J271,0)</f>
        <v>0</v>
      </c>
      <c r="BF271" s="130">
        <f>IF(N271="znížená",J271,0)</f>
        <v>4.95</v>
      </c>
      <c r="BG271" s="130">
        <f>IF(N271="zákl. prenesená",J271,0)</f>
        <v>0</v>
      </c>
      <c r="BH271" s="130">
        <f>IF(N271="zníž. prenesená",J271,0)</f>
        <v>0</v>
      </c>
      <c r="BI271" s="130">
        <f>IF(N271="nulová",J271,0)</f>
        <v>0</v>
      </c>
      <c r="BJ271" s="13" t="s">
        <v>76</v>
      </c>
      <c r="BK271" s="130">
        <f>ROUND(I271*H271,2)</f>
        <v>4.95</v>
      </c>
      <c r="BL271" s="13" t="s">
        <v>235</v>
      </c>
      <c r="BM271" s="129" t="s">
        <v>368</v>
      </c>
    </row>
    <row r="272" spans="2:65" s="11" customFormat="1" ht="22.95" customHeight="1" x14ac:dyDescent="0.25">
      <c r="B272" s="106"/>
      <c r="D272" s="107" t="s">
        <v>57</v>
      </c>
      <c r="E272" s="116" t="s">
        <v>2036</v>
      </c>
      <c r="F272" s="116" t="s">
        <v>1241</v>
      </c>
      <c r="J272" s="117">
        <f>BK272</f>
        <v>26.020000000000003</v>
      </c>
      <c r="L272" s="106"/>
      <c r="M272" s="110"/>
      <c r="N272" s="111"/>
      <c r="O272" s="111"/>
      <c r="P272" s="112">
        <f>SUM(P274:P276)</f>
        <v>0</v>
      </c>
      <c r="Q272" s="111"/>
      <c r="R272" s="112">
        <f>SUM(R274:R276)</f>
        <v>0</v>
      </c>
      <c r="S272" s="111"/>
      <c r="T272" s="113">
        <f>SUM(T274:T276)</f>
        <v>0</v>
      </c>
      <c r="W272" s="195"/>
      <c r="X272" s="111"/>
      <c r="Y272" s="196" t="s">
        <v>57</v>
      </c>
      <c r="Z272" s="201" t="s">
        <v>2036</v>
      </c>
      <c r="AA272" s="201" t="s">
        <v>1241</v>
      </c>
      <c r="AB272" s="111"/>
      <c r="AC272" s="111"/>
      <c r="AD272" s="111"/>
      <c r="AE272" s="202">
        <f>SUM(AE273:AE277)</f>
        <v>35.78</v>
      </c>
      <c r="AF272" s="248"/>
      <c r="AR272" s="107" t="s">
        <v>63</v>
      </c>
      <c r="AT272" s="114" t="s">
        <v>57</v>
      </c>
      <c r="AU272" s="114" t="s">
        <v>63</v>
      </c>
      <c r="AY272" s="107" t="s">
        <v>228</v>
      </c>
      <c r="BK272" s="115">
        <f>SUM(BK274:BK276)</f>
        <v>26.020000000000003</v>
      </c>
    </row>
    <row r="273" spans="2:65" s="11" customFormat="1" ht="16.2" customHeight="1" x14ac:dyDescent="0.2">
      <c r="B273" s="106"/>
      <c r="C273" s="1234" t="s">
        <v>5205</v>
      </c>
      <c r="D273" s="1235"/>
      <c r="E273" s="1235"/>
      <c r="F273" s="1235"/>
      <c r="G273" s="1235"/>
      <c r="H273" s="1235"/>
      <c r="I273" s="1235"/>
      <c r="J273" s="1236"/>
      <c r="L273" s="106"/>
      <c r="M273" s="110"/>
      <c r="N273" s="111"/>
      <c r="O273" s="111"/>
      <c r="P273" s="112"/>
      <c r="Q273" s="111"/>
      <c r="R273" s="112"/>
      <c r="S273" s="111"/>
      <c r="T273" s="113"/>
      <c r="W273" s="195"/>
      <c r="X273" s="215" t="s">
        <v>5389</v>
      </c>
      <c r="Y273" s="215" t="s">
        <v>231</v>
      </c>
      <c r="Z273" s="216" t="s">
        <v>5206</v>
      </c>
      <c r="AA273" s="217" t="s">
        <v>1204</v>
      </c>
      <c r="AB273" s="218" t="s">
        <v>1194</v>
      </c>
      <c r="AC273" s="219">
        <v>2</v>
      </c>
      <c r="AD273" s="220">
        <v>2.87</v>
      </c>
      <c r="AE273" s="221">
        <f>ROUND(AD273*AC273,2)</f>
        <v>5.74</v>
      </c>
      <c r="AF273" s="248">
        <v>7</v>
      </c>
      <c r="AR273" s="107"/>
      <c r="AT273" s="114"/>
      <c r="AU273" s="114"/>
      <c r="AY273" s="107"/>
      <c r="BK273" s="115"/>
    </row>
    <row r="274" spans="2:65" s="1" customFormat="1" ht="16.5" customHeight="1" x14ac:dyDescent="0.2">
      <c r="B274" s="118"/>
      <c r="C274" s="205" t="s">
        <v>369</v>
      </c>
      <c r="D274" s="119" t="s">
        <v>231</v>
      </c>
      <c r="E274" s="120" t="s">
        <v>1243</v>
      </c>
      <c r="F274" s="121" t="s">
        <v>1206</v>
      </c>
      <c r="G274" s="122" t="s">
        <v>1194</v>
      </c>
      <c r="H274" s="206">
        <v>2</v>
      </c>
      <c r="I274" s="124">
        <v>4.08</v>
      </c>
      <c r="J274" s="124">
        <f>ROUND(I274*H274,2)</f>
        <v>8.16</v>
      </c>
      <c r="K274" s="121" t="s">
        <v>1</v>
      </c>
      <c r="L274" s="24"/>
      <c r="M274" s="125" t="s">
        <v>1</v>
      </c>
      <c r="N274" s="126" t="s">
        <v>32</v>
      </c>
      <c r="O274" s="127">
        <v>0</v>
      </c>
      <c r="P274" s="127">
        <f>O274*H274</f>
        <v>0</v>
      </c>
      <c r="Q274" s="127">
        <v>0</v>
      </c>
      <c r="R274" s="127">
        <f>Q274*H274</f>
        <v>0</v>
      </c>
      <c r="S274" s="127">
        <v>0</v>
      </c>
      <c r="T274" s="128">
        <f>S274*H274</f>
        <v>0</v>
      </c>
      <c r="W274" s="199"/>
      <c r="X274" s="205" t="s">
        <v>369</v>
      </c>
      <c r="Y274" s="119" t="s">
        <v>231</v>
      </c>
      <c r="Z274" s="120" t="s">
        <v>1243</v>
      </c>
      <c r="AA274" s="121" t="s">
        <v>1206</v>
      </c>
      <c r="AB274" s="122" t="s">
        <v>1194</v>
      </c>
      <c r="AC274" s="206">
        <v>1</v>
      </c>
      <c r="AD274" s="124">
        <v>4.08</v>
      </c>
      <c r="AE274" s="200">
        <f>ROUND(AD274*AC274,2)</f>
        <v>4.08</v>
      </c>
      <c r="AF274" s="248">
        <v>7</v>
      </c>
      <c r="AR274" s="129" t="s">
        <v>235</v>
      </c>
      <c r="AT274" s="129" t="s">
        <v>231</v>
      </c>
      <c r="AU274" s="129" t="s">
        <v>76</v>
      </c>
      <c r="AY274" s="13" t="s">
        <v>228</v>
      </c>
      <c r="BE274" s="130">
        <f>IF(N274="základná",J274,0)</f>
        <v>0</v>
      </c>
      <c r="BF274" s="130">
        <f>IF(N274="znížená",J274,0)</f>
        <v>8.16</v>
      </c>
      <c r="BG274" s="130">
        <f>IF(N274="zákl. prenesená",J274,0)</f>
        <v>0</v>
      </c>
      <c r="BH274" s="130">
        <f>IF(N274="zníž. prenesená",J274,0)</f>
        <v>0</v>
      </c>
      <c r="BI274" s="130">
        <f>IF(N274="nulová",J274,0)</f>
        <v>0</v>
      </c>
      <c r="BJ274" s="13" t="s">
        <v>76</v>
      </c>
      <c r="BK274" s="130">
        <f>ROUND(I274*H274,2)</f>
        <v>8.16</v>
      </c>
      <c r="BL274" s="13" t="s">
        <v>235</v>
      </c>
      <c r="BM274" s="129" t="s">
        <v>372</v>
      </c>
    </row>
    <row r="275" spans="2:65" s="1" customFormat="1" ht="16.5" customHeight="1" x14ac:dyDescent="0.2">
      <c r="B275" s="118"/>
      <c r="C275" s="205" t="s">
        <v>303</v>
      </c>
      <c r="D275" s="119" t="s">
        <v>231</v>
      </c>
      <c r="E275" s="120" t="s">
        <v>4514</v>
      </c>
      <c r="F275" s="121" t="s">
        <v>1208</v>
      </c>
      <c r="G275" s="122" t="s">
        <v>1194</v>
      </c>
      <c r="H275" s="206">
        <v>2</v>
      </c>
      <c r="I275" s="124">
        <v>4.32</v>
      </c>
      <c r="J275" s="124">
        <f>ROUND(I275*H275,2)</f>
        <v>8.64</v>
      </c>
      <c r="K275" s="121" t="s">
        <v>1</v>
      </c>
      <c r="L275" s="24"/>
      <c r="M275" s="125" t="s">
        <v>1</v>
      </c>
      <c r="N275" s="126" t="s">
        <v>32</v>
      </c>
      <c r="O275" s="127">
        <v>0</v>
      </c>
      <c r="P275" s="127">
        <f>O275*H275</f>
        <v>0</v>
      </c>
      <c r="Q275" s="127">
        <v>0</v>
      </c>
      <c r="R275" s="127">
        <f>Q275*H275</f>
        <v>0</v>
      </c>
      <c r="S275" s="127">
        <v>0</v>
      </c>
      <c r="T275" s="128">
        <f>S275*H275</f>
        <v>0</v>
      </c>
      <c r="W275" s="199"/>
      <c r="X275" s="205" t="s">
        <v>303</v>
      </c>
      <c r="Y275" s="119" t="s">
        <v>231</v>
      </c>
      <c r="Z275" s="120" t="s">
        <v>4514</v>
      </c>
      <c r="AA275" s="121" t="s">
        <v>1208</v>
      </c>
      <c r="AB275" s="122" t="s">
        <v>1194</v>
      </c>
      <c r="AC275" s="206">
        <v>3</v>
      </c>
      <c r="AD275" s="124">
        <v>4.32</v>
      </c>
      <c r="AE275" s="200">
        <f>ROUND(AD275*AC275,2)</f>
        <v>12.96</v>
      </c>
      <c r="AF275" s="248">
        <v>7</v>
      </c>
      <c r="AR275" s="129" t="s">
        <v>235</v>
      </c>
      <c r="AT275" s="129" t="s">
        <v>231</v>
      </c>
      <c r="AU275" s="129" t="s">
        <v>76</v>
      </c>
      <c r="AY275" s="13" t="s">
        <v>228</v>
      </c>
      <c r="BE275" s="130">
        <f>IF(N275="základná",J275,0)</f>
        <v>0</v>
      </c>
      <c r="BF275" s="130">
        <f>IF(N275="znížená",J275,0)</f>
        <v>8.64</v>
      </c>
      <c r="BG275" s="130">
        <f>IF(N275="zákl. prenesená",J275,0)</f>
        <v>0</v>
      </c>
      <c r="BH275" s="130">
        <f>IF(N275="zníž. prenesená",J275,0)</f>
        <v>0</v>
      </c>
      <c r="BI275" s="130">
        <f>IF(N275="nulová",J275,0)</f>
        <v>0</v>
      </c>
      <c r="BJ275" s="13" t="s">
        <v>76</v>
      </c>
      <c r="BK275" s="130">
        <f>ROUND(I275*H275,2)</f>
        <v>8.64</v>
      </c>
      <c r="BL275" s="13" t="s">
        <v>235</v>
      </c>
      <c r="BM275" s="129" t="s">
        <v>375</v>
      </c>
    </row>
    <row r="276" spans="2:65" s="1" customFormat="1" ht="16.5" customHeight="1" x14ac:dyDescent="0.2">
      <c r="B276" s="118"/>
      <c r="C276" s="205" t="s">
        <v>376</v>
      </c>
      <c r="D276" s="119" t="s">
        <v>231</v>
      </c>
      <c r="E276" s="120" t="s">
        <v>1244</v>
      </c>
      <c r="F276" s="121" t="s">
        <v>1210</v>
      </c>
      <c r="G276" s="122" t="s">
        <v>1194</v>
      </c>
      <c r="H276" s="206">
        <v>2</v>
      </c>
      <c r="I276" s="124">
        <v>4.6100000000000003</v>
      </c>
      <c r="J276" s="124">
        <f>ROUND(I276*H276,2)</f>
        <v>9.2200000000000006</v>
      </c>
      <c r="K276" s="121" t="s">
        <v>1</v>
      </c>
      <c r="L276" s="24"/>
      <c r="M276" s="125" t="s">
        <v>1</v>
      </c>
      <c r="N276" s="126" t="s">
        <v>32</v>
      </c>
      <c r="O276" s="127">
        <v>0</v>
      </c>
      <c r="P276" s="127">
        <f>O276*H276</f>
        <v>0</v>
      </c>
      <c r="Q276" s="127">
        <v>0</v>
      </c>
      <c r="R276" s="127">
        <f>Q276*H276</f>
        <v>0</v>
      </c>
      <c r="S276" s="127">
        <v>0</v>
      </c>
      <c r="T276" s="128">
        <f>S276*H276</f>
        <v>0</v>
      </c>
      <c r="W276" s="199"/>
      <c r="X276" s="205" t="s">
        <v>376</v>
      </c>
      <c r="Y276" s="119" t="s">
        <v>231</v>
      </c>
      <c r="Z276" s="120" t="s">
        <v>1244</v>
      </c>
      <c r="AA276" s="121" t="s">
        <v>1210</v>
      </c>
      <c r="AB276" s="122" t="s">
        <v>1194</v>
      </c>
      <c r="AC276" s="206">
        <v>0</v>
      </c>
      <c r="AD276" s="124">
        <v>4.6100000000000003</v>
      </c>
      <c r="AE276" s="200">
        <f>ROUND(AD276*AC276,2)</f>
        <v>0</v>
      </c>
      <c r="AF276" s="248">
        <v>7</v>
      </c>
      <c r="AR276" s="129" t="s">
        <v>235</v>
      </c>
      <c r="AT276" s="129" t="s">
        <v>231</v>
      </c>
      <c r="AU276" s="129" t="s">
        <v>76</v>
      </c>
      <c r="AY276" s="13" t="s">
        <v>228</v>
      </c>
      <c r="BE276" s="130">
        <f>IF(N276="základná",J276,0)</f>
        <v>0</v>
      </c>
      <c r="BF276" s="130">
        <f>IF(N276="znížená",J276,0)</f>
        <v>9.2200000000000006</v>
      </c>
      <c r="BG276" s="130">
        <f>IF(N276="zákl. prenesená",J276,0)</f>
        <v>0</v>
      </c>
      <c r="BH276" s="130">
        <f>IF(N276="zníž. prenesená",J276,0)</f>
        <v>0</v>
      </c>
      <c r="BI276" s="130">
        <f>IF(N276="nulová",J276,0)</f>
        <v>0</v>
      </c>
      <c r="BJ276" s="13" t="s">
        <v>76</v>
      </c>
      <c r="BK276" s="130">
        <f>ROUND(I276*H276,2)</f>
        <v>9.2200000000000006</v>
      </c>
      <c r="BL276" s="13" t="s">
        <v>235</v>
      </c>
      <c r="BM276" s="129" t="s">
        <v>379</v>
      </c>
    </row>
    <row r="277" spans="2:65" s="243" customFormat="1" ht="16.5" customHeight="1" x14ac:dyDescent="0.2">
      <c r="B277" s="118"/>
      <c r="C277" s="1234" t="s">
        <v>5205</v>
      </c>
      <c r="D277" s="1235"/>
      <c r="E277" s="1235"/>
      <c r="F277" s="1235"/>
      <c r="G277" s="1235"/>
      <c r="H277" s="1235"/>
      <c r="I277" s="1235"/>
      <c r="J277" s="1236"/>
      <c r="K277" s="222"/>
      <c r="L277" s="24"/>
      <c r="M277" s="125"/>
      <c r="N277" s="126"/>
      <c r="O277" s="127"/>
      <c r="P277" s="127"/>
      <c r="Q277" s="127"/>
      <c r="R277" s="127"/>
      <c r="S277" s="127"/>
      <c r="T277" s="128"/>
      <c r="W277" s="199"/>
      <c r="X277" s="215" t="s">
        <v>5392</v>
      </c>
      <c r="Y277" s="215" t="s">
        <v>231</v>
      </c>
      <c r="Z277" s="216" t="s">
        <v>5390</v>
      </c>
      <c r="AA277" s="217" t="s">
        <v>5391</v>
      </c>
      <c r="AB277" s="218" t="s">
        <v>1194</v>
      </c>
      <c r="AC277" s="219">
        <v>2</v>
      </c>
      <c r="AD277" s="220">
        <v>6.5</v>
      </c>
      <c r="AE277" s="221">
        <f>ROUND(AD277*AC277,2)</f>
        <v>13</v>
      </c>
      <c r="AF277" s="248">
        <v>7</v>
      </c>
      <c r="AR277" s="129"/>
      <c r="AT277" s="129"/>
      <c r="AU277" s="129"/>
      <c r="AY277" s="13"/>
      <c r="BE277" s="130"/>
      <c r="BF277" s="130"/>
      <c r="BG277" s="130"/>
      <c r="BH277" s="130"/>
      <c r="BI277" s="130"/>
      <c r="BJ277" s="13"/>
      <c r="BK277" s="130"/>
      <c r="BL277" s="13"/>
      <c r="BM277" s="129"/>
    </row>
    <row r="278" spans="2:65" s="11" customFormat="1" ht="22.95" customHeight="1" x14ac:dyDescent="0.25">
      <c r="B278" s="106"/>
      <c r="D278" s="107" t="s">
        <v>57</v>
      </c>
      <c r="E278" s="116" t="s">
        <v>2043</v>
      </c>
      <c r="F278" s="116" t="s">
        <v>3604</v>
      </c>
      <c r="J278" s="117">
        <f>BK278</f>
        <v>53.58</v>
      </c>
      <c r="L278" s="106"/>
      <c r="M278" s="110"/>
      <c r="N278" s="111"/>
      <c r="O278" s="111"/>
      <c r="P278" s="112">
        <f>SUM(P279:P281)</f>
        <v>0</v>
      </c>
      <c r="Q278" s="111"/>
      <c r="R278" s="112">
        <f>SUM(R279:R281)</f>
        <v>0</v>
      </c>
      <c r="S278" s="111"/>
      <c r="T278" s="113">
        <f>SUM(T279:T281)</f>
        <v>0</v>
      </c>
      <c r="W278" s="195"/>
      <c r="X278" s="111"/>
      <c r="Y278" s="196" t="s">
        <v>57</v>
      </c>
      <c r="Z278" s="201" t="s">
        <v>2043</v>
      </c>
      <c r="AA278" s="201" t="s">
        <v>3604</v>
      </c>
      <c r="AB278" s="111"/>
      <c r="AC278" s="111"/>
      <c r="AD278" s="111"/>
      <c r="AE278" s="202">
        <f>SUM(AE279:AE282)</f>
        <v>92.539999999999992</v>
      </c>
      <c r="AF278" s="248"/>
      <c r="AR278" s="107" t="s">
        <v>63</v>
      </c>
      <c r="AT278" s="114" t="s">
        <v>57</v>
      </c>
      <c r="AU278" s="114" t="s">
        <v>63</v>
      </c>
      <c r="AY278" s="107" t="s">
        <v>228</v>
      </c>
      <c r="BK278" s="115">
        <f>SUM(BK279:BK281)</f>
        <v>53.58</v>
      </c>
    </row>
    <row r="279" spans="2:65" s="1" customFormat="1" ht="16.5" customHeight="1" x14ac:dyDescent="0.2">
      <c r="B279" s="118"/>
      <c r="C279" s="119" t="s">
        <v>308</v>
      </c>
      <c r="D279" s="119" t="s">
        <v>231</v>
      </c>
      <c r="E279" s="120" t="s">
        <v>1243</v>
      </c>
      <c r="F279" s="121" t="s">
        <v>1206</v>
      </c>
      <c r="G279" s="122" t="s">
        <v>1194</v>
      </c>
      <c r="H279" s="123">
        <v>1</v>
      </c>
      <c r="I279" s="124">
        <v>7.94</v>
      </c>
      <c r="J279" s="124">
        <f>ROUND(I279*H279,2)</f>
        <v>7.94</v>
      </c>
      <c r="K279" s="121" t="s">
        <v>1</v>
      </c>
      <c r="L279" s="24"/>
      <c r="M279" s="125" t="s">
        <v>1</v>
      </c>
      <c r="N279" s="126" t="s">
        <v>32</v>
      </c>
      <c r="O279" s="127">
        <v>0</v>
      </c>
      <c r="P279" s="127">
        <f>O279*H279</f>
        <v>0</v>
      </c>
      <c r="Q279" s="127">
        <v>0</v>
      </c>
      <c r="R279" s="127">
        <f>Q279*H279</f>
        <v>0</v>
      </c>
      <c r="S279" s="127">
        <v>0</v>
      </c>
      <c r="T279" s="128">
        <f>S279*H279</f>
        <v>0</v>
      </c>
      <c r="W279" s="199"/>
      <c r="X279" s="119" t="s">
        <v>308</v>
      </c>
      <c r="Y279" s="119" t="s">
        <v>231</v>
      </c>
      <c r="Z279" s="120" t="s">
        <v>1243</v>
      </c>
      <c r="AA279" s="121" t="s">
        <v>1206</v>
      </c>
      <c r="AB279" s="122" t="s">
        <v>1194</v>
      </c>
      <c r="AC279" s="123">
        <v>1</v>
      </c>
      <c r="AD279" s="124">
        <v>7.94</v>
      </c>
      <c r="AE279" s="200">
        <f>ROUND(AD279*AC279,2)</f>
        <v>7.94</v>
      </c>
      <c r="AF279" s="248"/>
      <c r="AR279" s="129" t="s">
        <v>235</v>
      </c>
      <c r="AT279" s="129" t="s">
        <v>231</v>
      </c>
      <c r="AU279" s="129" t="s">
        <v>76</v>
      </c>
      <c r="AY279" s="13" t="s">
        <v>228</v>
      </c>
      <c r="BE279" s="130">
        <f>IF(N279="základná",J279,0)</f>
        <v>0</v>
      </c>
      <c r="BF279" s="130">
        <f>IF(N279="znížená",J279,0)</f>
        <v>7.94</v>
      </c>
      <c r="BG279" s="130">
        <f>IF(N279="zákl. prenesená",J279,0)</f>
        <v>0</v>
      </c>
      <c r="BH279" s="130">
        <f>IF(N279="zníž. prenesená",J279,0)</f>
        <v>0</v>
      </c>
      <c r="BI279" s="130">
        <f>IF(N279="nulová",J279,0)</f>
        <v>0</v>
      </c>
      <c r="BJ279" s="13" t="s">
        <v>76</v>
      </c>
      <c r="BK279" s="130">
        <f>ROUND(I279*H279,2)</f>
        <v>7.94</v>
      </c>
      <c r="BL279" s="13" t="s">
        <v>235</v>
      </c>
      <c r="BM279" s="129" t="s">
        <v>382</v>
      </c>
    </row>
    <row r="280" spans="2:65" s="1" customFormat="1" ht="16.5" customHeight="1" x14ac:dyDescent="0.2">
      <c r="B280" s="118"/>
      <c r="C280" s="205" t="s">
        <v>383</v>
      </c>
      <c r="D280" s="119" t="s">
        <v>231</v>
      </c>
      <c r="E280" s="120" t="s">
        <v>1213</v>
      </c>
      <c r="F280" s="121" t="s">
        <v>1208</v>
      </c>
      <c r="G280" s="122" t="s">
        <v>1194</v>
      </c>
      <c r="H280" s="206">
        <v>2</v>
      </c>
      <c r="I280" s="124">
        <v>13.2</v>
      </c>
      <c r="J280" s="124">
        <f>ROUND(I280*H280,2)</f>
        <v>26.4</v>
      </c>
      <c r="K280" s="121" t="s">
        <v>1</v>
      </c>
      <c r="L280" s="24"/>
      <c r="M280" s="125" t="s">
        <v>1</v>
      </c>
      <c r="N280" s="126" t="s">
        <v>32</v>
      </c>
      <c r="O280" s="127">
        <v>0</v>
      </c>
      <c r="P280" s="127">
        <f>O280*H280</f>
        <v>0</v>
      </c>
      <c r="Q280" s="127">
        <v>0</v>
      </c>
      <c r="R280" s="127">
        <f>Q280*H280</f>
        <v>0</v>
      </c>
      <c r="S280" s="127">
        <v>0</v>
      </c>
      <c r="T280" s="128">
        <f>S280*H280</f>
        <v>0</v>
      </c>
      <c r="W280" s="199"/>
      <c r="X280" s="205" t="s">
        <v>383</v>
      </c>
      <c r="Y280" s="119" t="s">
        <v>231</v>
      </c>
      <c r="Z280" s="120" t="s">
        <v>1213</v>
      </c>
      <c r="AA280" s="121" t="s">
        <v>1208</v>
      </c>
      <c r="AB280" s="122" t="s">
        <v>1194</v>
      </c>
      <c r="AC280" s="206">
        <v>3</v>
      </c>
      <c r="AD280" s="124">
        <v>13.2</v>
      </c>
      <c r="AE280" s="200">
        <f>ROUND(AD280*AC280,2)</f>
        <v>39.6</v>
      </c>
      <c r="AF280" s="248">
        <v>7</v>
      </c>
      <c r="AR280" s="129" t="s">
        <v>235</v>
      </c>
      <c r="AT280" s="129" t="s">
        <v>231</v>
      </c>
      <c r="AU280" s="129" t="s">
        <v>76</v>
      </c>
      <c r="AY280" s="13" t="s">
        <v>228</v>
      </c>
      <c r="BE280" s="130">
        <f>IF(N280="základná",J280,0)</f>
        <v>0</v>
      </c>
      <c r="BF280" s="130">
        <f>IF(N280="znížená",J280,0)</f>
        <v>26.4</v>
      </c>
      <c r="BG280" s="130">
        <f>IF(N280="zákl. prenesená",J280,0)</f>
        <v>0</v>
      </c>
      <c r="BH280" s="130">
        <f>IF(N280="zníž. prenesená",J280,0)</f>
        <v>0</v>
      </c>
      <c r="BI280" s="130">
        <f>IF(N280="nulová",J280,0)</f>
        <v>0</v>
      </c>
      <c r="BJ280" s="13" t="s">
        <v>76</v>
      </c>
      <c r="BK280" s="130">
        <f>ROUND(I280*H280,2)</f>
        <v>26.4</v>
      </c>
      <c r="BL280" s="13" t="s">
        <v>235</v>
      </c>
      <c r="BM280" s="129" t="s">
        <v>386</v>
      </c>
    </row>
    <row r="281" spans="2:65" s="1" customFormat="1" ht="16.5" customHeight="1" x14ac:dyDescent="0.2">
      <c r="B281" s="118"/>
      <c r="C281" s="205" t="s">
        <v>312</v>
      </c>
      <c r="D281" s="119" t="s">
        <v>231</v>
      </c>
      <c r="E281" s="120" t="s">
        <v>1214</v>
      </c>
      <c r="F281" s="121" t="s">
        <v>1210</v>
      </c>
      <c r="G281" s="122" t="s">
        <v>1194</v>
      </c>
      <c r="H281" s="206">
        <v>1</v>
      </c>
      <c r="I281" s="124">
        <v>19.239999999999998</v>
      </c>
      <c r="J281" s="124">
        <f>ROUND(I281*H281,2)</f>
        <v>19.239999999999998</v>
      </c>
      <c r="K281" s="121" t="s">
        <v>1</v>
      </c>
      <c r="L281" s="24"/>
      <c r="M281" s="125" t="s">
        <v>1</v>
      </c>
      <c r="N281" s="126" t="s">
        <v>32</v>
      </c>
      <c r="O281" s="127">
        <v>0</v>
      </c>
      <c r="P281" s="127">
        <f>O281*H281</f>
        <v>0</v>
      </c>
      <c r="Q281" s="127">
        <v>0</v>
      </c>
      <c r="R281" s="127">
        <f>Q281*H281</f>
        <v>0</v>
      </c>
      <c r="S281" s="127">
        <v>0</v>
      </c>
      <c r="T281" s="128">
        <f>S281*H281</f>
        <v>0</v>
      </c>
      <c r="W281" s="199"/>
      <c r="X281" s="205" t="s">
        <v>312</v>
      </c>
      <c r="Y281" s="119" t="s">
        <v>231</v>
      </c>
      <c r="Z281" s="120" t="s">
        <v>1214</v>
      </c>
      <c r="AA281" s="121" t="s">
        <v>1210</v>
      </c>
      <c r="AB281" s="122" t="s">
        <v>1194</v>
      </c>
      <c r="AC281" s="206">
        <v>0</v>
      </c>
      <c r="AD281" s="124">
        <v>19.239999999999998</v>
      </c>
      <c r="AE281" s="200">
        <f>ROUND(AD281*AC281,2)</f>
        <v>0</v>
      </c>
      <c r="AF281" s="248">
        <v>7</v>
      </c>
      <c r="AR281" s="129" t="s">
        <v>235</v>
      </c>
      <c r="AT281" s="129" t="s">
        <v>231</v>
      </c>
      <c r="AU281" s="129" t="s">
        <v>76</v>
      </c>
      <c r="AY281" s="13" t="s">
        <v>228</v>
      </c>
      <c r="BE281" s="130">
        <f>IF(N281="základná",J281,0)</f>
        <v>0</v>
      </c>
      <c r="BF281" s="130">
        <f>IF(N281="znížená",J281,0)</f>
        <v>19.239999999999998</v>
      </c>
      <c r="BG281" s="130">
        <f>IF(N281="zákl. prenesená",J281,0)</f>
        <v>0</v>
      </c>
      <c r="BH281" s="130">
        <f>IF(N281="zníž. prenesená",J281,0)</f>
        <v>0</v>
      </c>
      <c r="BI281" s="130">
        <f>IF(N281="nulová",J281,0)</f>
        <v>0</v>
      </c>
      <c r="BJ281" s="13" t="s">
        <v>76</v>
      </c>
      <c r="BK281" s="130">
        <f>ROUND(I281*H281,2)</f>
        <v>19.239999999999998</v>
      </c>
      <c r="BL281" s="13" t="s">
        <v>235</v>
      </c>
      <c r="BM281" s="129" t="s">
        <v>389</v>
      </c>
    </row>
    <row r="282" spans="2:65" s="243" customFormat="1" ht="16.5" customHeight="1" x14ac:dyDescent="0.2">
      <c r="B282" s="118"/>
      <c r="C282" s="1234" t="s">
        <v>5205</v>
      </c>
      <c r="D282" s="1235"/>
      <c r="E282" s="1235"/>
      <c r="F282" s="1235"/>
      <c r="G282" s="1235"/>
      <c r="H282" s="1235"/>
      <c r="I282" s="1235"/>
      <c r="J282" s="1236"/>
      <c r="K282" s="222"/>
      <c r="L282" s="24"/>
      <c r="M282" s="125"/>
      <c r="N282" s="126"/>
      <c r="O282" s="127"/>
      <c r="P282" s="127"/>
      <c r="Q282" s="127"/>
      <c r="R282" s="127"/>
      <c r="S282" s="127"/>
      <c r="T282" s="128"/>
      <c r="W282" s="199"/>
      <c r="X282" s="215" t="s">
        <v>5394</v>
      </c>
      <c r="Y282" s="215" t="s">
        <v>231</v>
      </c>
      <c r="Z282" s="216" t="s">
        <v>5393</v>
      </c>
      <c r="AA282" s="217" t="s">
        <v>5391</v>
      </c>
      <c r="AB282" s="218" t="s">
        <v>1194</v>
      </c>
      <c r="AC282" s="219">
        <v>2</v>
      </c>
      <c r="AD282" s="220">
        <v>22.5</v>
      </c>
      <c r="AE282" s="221">
        <f>ROUND(AD282*AC282,2)</f>
        <v>45</v>
      </c>
      <c r="AF282" s="248">
        <v>7</v>
      </c>
      <c r="AR282" s="129"/>
      <c r="AT282" s="129"/>
      <c r="AU282" s="129"/>
      <c r="AY282" s="13"/>
      <c r="BE282" s="130"/>
      <c r="BF282" s="130"/>
      <c r="BG282" s="130"/>
      <c r="BH282" s="130"/>
      <c r="BI282" s="130"/>
      <c r="BJ282" s="13"/>
      <c r="BK282" s="130"/>
      <c r="BL282" s="13"/>
      <c r="BM282" s="129"/>
    </row>
    <row r="283" spans="2:65" s="11" customFormat="1" ht="22.95" customHeight="1" x14ac:dyDescent="0.25">
      <c r="B283" s="106"/>
      <c r="D283" s="107" t="s">
        <v>57</v>
      </c>
      <c r="E283" s="116" t="s">
        <v>2065</v>
      </c>
      <c r="F283" s="116" t="s">
        <v>4515</v>
      </c>
      <c r="J283" s="117">
        <f>BK283</f>
        <v>165.08999999999997</v>
      </c>
      <c r="L283" s="106"/>
      <c r="M283" s="110"/>
      <c r="N283" s="111"/>
      <c r="O283" s="111"/>
      <c r="P283" s="112">
        <f>SUM(P285:P286)</f>
        <v>0</v>
      </c>
      <c r="Q283" s="111"/>
      <c r="R283" s="112">
        <f>SUM(R285:R286)</f>
        <v>0</v>
      </c>
      <c r="S283" s="111"/>
      <c r="T283" s="113">
        <f>SUM(T285:T286)</f>
        <v>0</v>
      </c>
      <c r="W283" s="195"/>
      <c r="X283" s="111"/>
      <c r="Y283" s="196" t="s">
        <v>57</v>
      </c>
      <c r="Z283" s="201" t="s">
        <v>2065</v>
      </c>
      <c r="AA283" s="201" t="s">
        <v>4515</v>
      </c>
      <c r="AB283" s="111"/>
      <c r="AC283" s="111"/>
      <c r="AD283" s="111"/>
      <c r="AE283" s="202">
        <f>SUM(AE284:AE286)</f>
        <v>122.6</v>
      </c>
      <c r="AF283" s="248"/>
      <c r="AR283" s="107" t="s">
        <v>63</v>
      </c>
      <c r="AT283" s="114" t="s">
        <v>57</v>
      </c>
      <c r="AU283" s="114" t="s">
        <v>63</v>
      </c>
      <c r="AY283" s="107" t="s">
        <v>228</v>
      </c>
      <c r="BK283" s="115">
        <f>SUM(BK285:BK286)</f>
        <v>165.08999999999997</v>
      </c>
    </row>
    <row r="284" spans="2:65" s="11" customFormat="1" ht="18" customHeight="1" x14ac:dyDescent="0.2">
      <c r="B284" s="106"/>
      <c r="C284" s="1234" t="s">
        <v>5205</v>
      </c>
      <c r="D284" s="1235"/>
      <c r="E284" s="1235"/>
      <c r="F284" s="1235"/>
      <c r="G284" s="1235"/>
      <c r="H284" s="1235"/>
      <c r="I284" s="1235"/>
      <c r="J284" s="1236"/>
      <c r="L284" s="106"/>
      <c r="M284" s="110"/>
      <c r="N284" s="111"/>
      <c r="O284" s="111"/>
      <c r="P284" s="112"/>
      <c r="Q284" s="111"/>
      <c r="R284" s="112"/>
      <c r="S284" s="111"/>
      <c r="T284" s="113"/>
      <c r="W284" s="195"/>
      <c r="X284" s="215" t="s">
        <v>5395</v>
      </c>
      <c r="Y284" s="215" t="s">
        <v>231</v>
      </c>
      <c r="Z284" s="216" t="s">
        <v>5206</v>
      </c>
      <c r="AA284" s="217" t="s">
        <v>1204</v>
      </c>
      <c r="AB284" s="218" t="s">
        <v>1194</v>
      </c>
      <c r="AC284" s="219">
        <v>2</v>
      </c>
      <c r="AD284" s="220">
        <v>61.3</v>
      </c>
      <c r="AE284" s="221">
        <f>ROUND(AD284*AC284,2)</f>
        <v>122.6</v>
      </c>
      <c r="AF284" s="248">
        <v>7</v>
      </c>
      <c r="AR284" s="107"/>
      <c r="AT284" s="114"/>
      <c r="AU284" s="114"/>
      <c r="AY284" s="107"/>
      <c r="BK284" s="115"/>
    </row>
    <row r="285" spans="2:65" s="1" customFormat="1" ht="16.5" customHeight="1" x14ac:dyDescent="0.2">
      <c r="B285" s="118"/>
      <c r="C285" s="205" t="s">
        <v>390</v>
      </c>
      <c r="D285" s="119" t="s">
        <v>231</v>
      </c>
      <c r="E285" s="120" t="s">
        <v>1243</v>
      </c>
      <c r="F285" s="121" t="s">
        <v>1206</v>
      </c>
      <c r="G285" s="122" t="s">
        <v>1194</v>
      </c>
      <c r="H285" s="206">
        <v>1</v>
      </c>
      <c r="I285" s="124">
        <v>67.569999999999993</v>
      </c>
      <c r="J285" s="124">
        <f>ROUND(I285*H285,2)</f>
        <v>67.569999999999993</v>
      </c>
      <c r="K285" s="121" t="s">
        <v>1</v>
      </c>
      <c r="L285" s="24"/>
      <c r="M285" s="125" t="s">
        <v>1</v>
      </c>
      <c r="N285" s="126" t="s">
        <v>32</v>
      </c>
      <c r="O285" s="127">
        <v>0</v>
      </c>
      <c r="P285" s="127">
        <f>O285*H285</f>
        <v>0</v>
      </c>
      <c r="Q285" s="127">
        <v>0</v>
      </c>
      <c r="R285" s="127">
        <f>Q285*H285</f>
        <v>0</v>
      </c>
      <c r="S285" s="127">
        <v>0</v>
      </c>
      <c r="T285" s="128">
        <f>S285*H285</f>
        <v>0</v>
      </c>
      <c r="W285" s="199"/>
      <c r="X285" s="205" t="s">
        <v>390</v>
      </c>
      <c r="Y285" s="119" t="s">
        <v>231</v>
      </c>
      <c r="Z285" s="120" t="s">
        <v>1243</v>
      </c>
      <c r="AA285" s="121" t="s">
        <v>1206</v>
      </c>
      <c r="AB285" s="122" t="s">
        <v>1194</v>
      </c>
      <c r="AC285" s="206">
        <v>0</v>
      </c>
      <c r="AD285" s="124">
        <v>67.569999999999993</v>
      </c>
      <c r="AE285" s="200">
        <f>ROUND(AD285*AC285,2)</f>
        <v>0</v>
      </c>
      <c r="AF285" s="248">
        <v>7</v>
      </c>
      <c r="AR285" s="129" t="s">
        <v>235</v>
      </c>
      <c r="AT285" s="129" t="s">
        <v>231</v>
      </c>
      <c r="AU285" s="129" t="s">
        <v>76</v>
      </c>
      <c r="AY285" s="13" t="s">
        <v>228</v>
      </c>
      <c r="BE285" s="130">
        <f>IF(N285="základná",J285,0)</f>
        <v>0</v>
      </c>
      <c r="BF285" s="130">
        <f>IF(N285="znížená",J285,0)</f>
        <v>67.569999999999993</v>
      </c>
      <c r="BG285" s="130">
        <f>IF(N285="zákl. prenesená",J285,0)</f>
        <v>0</v>
      </c>
      <c r="BH285" s="130">
        <f>IF(N285="zníž. prenesená",J285,0)</f>
        <v>0</v>
      </c>
      <c r="BI285" s="130">
        <f>IF(N285="nulová",J285,0)</f>
        <v>0</v>
      </c>
      <c r="BJ285" s="13" t="s">
        <v>76</v>
      </c>
      <c r="BK285" s="130">
        <f>ROUND(I285*H285,2)</f>
        <v>67.569999999999993</v>
      </c>
      <c r="BL285" s="13" t="s">
        <v>235</v>
      </c>
      <c r="BM285" s="129" t="s">
        <v>393</v>
      </c>
    </row>
    <row r="286" spans="2:65" s="1" customFormat="1" ht="16.5" customHeight="1" x14ac:dyDescent="0.2">
      <c r="B286" s="118"/>
      <c r="C286" s="205" t="s">
        <v>316</v>
      </c>
      <c r="D286" s="119" t="s">
        <v>231</v>
      </c>
      <c r="E286" s="120" t="s">
        <v>1214</v>
      </c>
      <c r="F286" s="121" t="s">
        <v>1210</v>
      </c>
      <c r="G286" s="122" t="s">
        <v>1194</v>
      </c>
      <c r="H286" s="206">
        <v>1</v>
      </c>
      <c r="I286" s="124">
        <v>97.52</v>
      </c>
      <c r="J286" s="124">
        <f>ROUND(I286*H286,2)</f>
        <v>97.52</v>
      </c>
      <c r="K286" s="121" t="s">
        <v>1</v>
      </c>
      <c r="L286" s="24"/>
      <c r="M286" s="125" t="s">
        <v>1</v>
      </c>
      <c r="N286" s="126" t="s">
        <v>32</v>
      </c>
      <c r="O286" s="127">
        <v>0</v>
      </c>
      <c r="P286" s="127">
        <f>O286*H286</f>
        <v>0</v>
      </c>
      <c r="Q286" s="127">
        <v>0</v>
      </c>
      <c r="R286" s="127">
        <f>Q286*H286</f>
        <v>0</v>
      </c>
      <c r="S286" s="127">
        <v>0</v>
      </c>
      <c r="T286" s="128">
        <f>S286*H286</f>
        <v>0</v>
      </c>
      <c r="W286" s="199"/>
      <c r="X286" s="205" t="s">
        <v>316</v>
      </c>
      <c r="Y286" s="119" t="s">
        <v>231</v>
      </c>
      <c r="Z286" s="120" t="s">
        <v>1214</v>
      </c>
      <c r="AA286" s="121" t="s">
        <v>1210</v>
      </c>
      <c r="AB286" s="122" t="s">
        <v>1194</v>
      </c>
      <c r="AC286" s="206">
        <v>0</v>
      </c>
      <c r="AD286" s="124">
        <v>97.52</v>
      </c>
      <c r="AE286" s="200">
        <f>ROUND(AD286*AC286,2)</f>
        <v>0</v>
      </c>
      <c r="AF286" s="248">
        <v>7</v>
      </c>
      <c r="AR286" s="129" t="s">
        <v>235</v>
      </c>
      <c r="AT286" s="129" t="s">
        <v>231</v>
      </c>
      <c r="AU286" s="129" t="s">
        <v>76</v>
      </c>
      <c r="AY286" s="13" t="s">
        <v>228</v>
      </c>
      <c r="BE286" s="130">
        <f>IF(N286="základná",J286,0)</f>
        <v>0</v>
      </c>
      <c r="BF286" s="130">
        <f>IF(N286="znížená",J286,0)</f>
        <v>97.52</v>
      </c>
      <c r="BG286" s="130">
        <f>IF(N286="zákl. prenesená",J286,0)</f>
        <v>0</v>
      </c>
      <c r="BH286" s="130">
        <f>IF(N286="zníž. prenesená",J286,0)</f>
        <v>0</v>
      </c>
      <c r="BI286" s="130">
        <f>IF(N286="nulová",J286,0)</f>
        <v>0</v>
      </c>
      <c r="BJ286" s="13" t="s">
        <v>76</v>
      </c>
      <c r="BK286" s="130">
        <f>ROUND(I286*H286,2)</f>
        <v>97.52</v>
      </c>
      <c r="BL286" s="13" t="s">
        <v>235</v>
      </c>
      <c r="BM286" s="129" t="s">
        <v>396</v>
      </c>
    </row>
    <row r="287" spans="2:65" s="11" customFormat="1" ht="22.95" customHeight="1" x14ac:dyDescent="0.25">
      <c r="B287" s="106"/>
      <c r="D287" s="107" t="s">
        <v>57</v>
      </c>
      <c r="E287" s="116" t="s">
        <v>2108</v>
      </c>
      <c r="F287" s="116" t="s">
        <v>1253</v>
      </c>
      <c r="J287" s="117">
        <f>BK287</f>
        <v>66.37</v>
      </c>
      <c r="L287" s="106"/>
      <c r="M287" s="110"/>
      <c r="N287" s="111"/>
      <c r="O287" s="111"/>
      <c r="P287" s="112">
        <f>SUM(P288:P289)</f>
        <v>0</v>
      </c>
      <c r="Q287" s="111"/>
      <c r="R287" s="112">
        <f>SUM(R288:R289)</f>
        <v>0</v>
      </c>
      <c r="S287" s="111"/>
      <c r="T287" s="113">
        <f>SUM(T288:T289)</f>
        <v>0</v>
      </c>
      <c r="W287" s="195"/>
      <c r="X287" s="111"/>
      <c r="Y287" s="196" t="s">
        <v>57</v>
      </c>
      <c r="Z287" s="201" t="s">
        <v>2108</v>
      </c>
      <c r="AA287" s="201" t="s">
        <v>1253</v>
      </c>
      <c r="AB287" s="111"/>
      <c r="AC287" s="111"/>
      <c r="AD287" s="111"/>
      <c r="AE287" s="202">
        <f>SUM(AE288:AE289)</f>
        <v>53.84</v>
      </c>
      <c r="AF287" s="248"/>
      <c r="AR287" s="107" t="s">
        <v>63</v>
      </c>
      <c r="AT287" s="114" t="s">
        <v>57</v>
      </c>
      <c r="AU287" s="114" t="s">
        <v>63</v>
      </c>
      <c r="AY287" s="107" t="s">
        <v>228</v>
      </c>
      <c r="BK287" s="115">
        <f>SUM(BK288:BK289)</f>
        <v>66.37</v>
      </c>
    </row>
    <row r="288" spans="2:65" s="1" customFormat="1" ht="16.5" customHeight="1" x14ac:dyDescent="0.2">
      <c r="B288" s="118"/>
      <c r="C288" s="205" t="s">
        <v>397</v>
      </c>
      <c r="D288" s="119" t="s">
        <v>231</v>
      </c>
      <c r="E288" s="120" t="s">
        <v>1254</v>
      </c>
      <c r="F288" s="121" t="s">
        <v>1204</v>
      </c>
      <c r="G288" s="122" t="s">
        <v>1194</v>
      </c>
      <c r="H288" s="206">
        <v>2</v>
      </c>
      <c r="I288" s="124">
        <v>5.57</v>
      </c>
      <c r="J288" s="124">
        <f>ROUND(I288*H288,2)</f>
        <v>11.14</v>
      </c>
      <c r="K288" s="121" t="s">
        <v>1</v>
      </c>
      <c r="L288" s="24"/>
      <c r="M288" s="125" t="s">
        <v>1</v>
      </c>
      <c r="N288" s="126" t="s">
        <v>32</v>
      </c>
      <c r="O288" s="127">
        <v>0</v>
      </c>
      <c r="P288" s="127">
        <f>O288*H288</f>
        <v>0</v>
      </c>
      <c r="Q288" s="127">
        <v>0</v>
      </c>
      <c r="R288" s="127">
        <f>Q288*H288</f>
        <v>0</v>
      </c>
      <c r="S288" s="127">
        <v>0</v>
      </c>
      <c r="T288" s="128">
        <f>S288*H288</f>
        <v>0</v>
      </c>
      <c r="W288" s="199"/>
      <c r="X288" s="205" t="s">
        <v>397</v>
      </c>
      <c r="Y288" s="119" t="s">
        <v>231</v>
      </c>
      <c r="Z288" s="120" t="s">
        <v>1254</v>
      </c>
      <c r="AA288" s="121" t="s">
        <v>1204</v>
      </c>
      <c r="AB288" s="122" t="s">
        <v>1194</v>
      </c>
      <c r="AC288" s="206">
        <v>4</v>
      </c>
      <c r="AD288" s="124">
        <v>5.57</v>
      </c>
      <c r="AE288" s="200">
        <f>ROUND(AD288*AC288,2)</f>
        <v>22.28</v>
      </c>
      <c r="AF288" s="248">
        <v>7</v>
      </c>
      <c r="AR288" s="129" t="s">
        <v>235</v>
      </c>
      <c r="AT288" s="129" t="s">
        <v>231</v>
      </c>
      <c r="AU288" s="129" t="s">
        <v>76</v>
      </c>
      <c r="AY288" s="13" t="s">
        <v>228</v>
      </c>
      <c r="BE288" s="130">
        <f>IF(N288="základná",J288,0)</f>
        <v>0</v>
      </c>
      <c r="BF288" s="130">
        <f>IF(N288="znížená",J288,0)</f>
        <v>11.14</v>
      </c>
      <c r="BG288" s="130">
        <f>IF(N288="zákl. prenesená",J288,0)</f>
        <v>0</v>
      </c>
      <c r="BH288" s="130">
        <f>IF(N288="zníž. prenesená",J288,0)</f>
        <v>0</v>
      </c>
      <c r="BI288" s="130">
        <f>IF(N288="nulová",J288,0)</f>
        <v>0</v>
      </c>
      <c r="BJ288" s="13" t="s">
        <v>76</v>
      </c>
      <c r="BK288" s="130">
        <f>ROUND(I288*H288,2)</f>
        <v>11.14</v>
      </c>
      <c r="BL288" s="13" t="s">
        <v>235</v>
      </c>
      <c r="BM288" s="129" t="s">
        <v>400</v>
      </c>
    </row>
    <row r="289" spans="2:65" s="1" customFormat="1" ht="16.5" customHeight="1" x14ac:dyDescent="0.2">
      <c r="B289" s="118"/>
      <c r="C289" s="205" t="s">
        <v>319</v>
      </c>
      <c r="D289" s="119" t="s">
        <v>231</v>
      </c>
      <c r="E289" s="120" t="s">
        <v>3615</v>
      </c>
      <c r="F289" s="121" t="s">
        <v>1206</v>
      </c>
      <c r="G289" s="122" t="s">
        <v>1194</v>
      </c>
      <c r="H289" s="1071">
        <v>7</v>
      </c>
      <c r="I289" s="124">
        <v>7.89</v>
      </c>
      <c r="J289" s="124">
        <f>ROUND(I289*H289,2)</f>
        <v>55.23</v>
      </c>
      <c r="K289" s="121" t="s">
        <v>1</v>
      </c>
      <c r="L289" s="24"/>
      <c r="M289" s="125" t="s">
        <v>1</v>
      </c>
      <c r="N289" s="126" t="s">
        <v>32</v>
      </c>
      <c r="O289" s="127">
        <v>0</v>
      </c>
      <c r="P289" s="127">
        <f>O289*H289</f>
        <v>0</v>
      </c>
      <c r="Q289" s="127">
        <v>0</v>
      </c>
      <c r="R289" s="127">
        <f>Q289*H289</f>
        <v>0</v>
      </c>
      <c r="S289" s="127">
        <v>0</v>
      </c>
      <c r="T289" s="128">
        <f>S289*H289</f>
        <v>0</v>
      </c>
      <c r="W289" s="199"/>
      <c r="X289" s="205" t="s">
        <v>319</v>
      </c>
      <c r="Y289" s="119" t="s">
        <v>231</v>
      </c>
      <c r="Z289" s="120" t="s">
        <v>3615</v>
      </c>
      <c r="AA289" s="121" t="s">
        <v>1206</v>
      </c>
      <c r="AB289" s="122" t="s">
        <v>1194</v>
      </c>
      <c r="AC289" s="206">
        <v>4</v>
      </c>
      <c r="AD289" s="124">
        <v>7.89</v>
      </c>
      <c r="AE289" s="200">
        <f>ROUND(AD289*AC289,2)</f>
        <v>31.56</v>
      </c>
      <c r="AF289" s="248">
        <v>7</v>
      </c>
      <c r="AR289" s="129" t="s">
        <v>235</v>
      </c>
      <c r="AT289" s="129" t="s">
        <v>231</v>
      </c>
      <c r="AU289" s="129" t="s">
        <v>76</v>
      </c>
      <c r="AY289" s="13" t="s">
        <v>228</v>
      </c>
      <c r="BE289" s="130">
        <f>IF(N289="základná",J289,0)</f>
        <v>0</v>
      </c>
      <c r="BF289" s="130">
        <f>IF(N289="znížená",J289,0)</f>
        <v>55.23</v>
      </c>
      <c r="BG289" s="130">
        <f>IF(N289="zákl. prenesená",J289,0)</f>
        <v>0</v>
      </c>
      <c r="BH289" s="130">
        <f>IF(N289="zníž. prenesená",J289,0)</f>
        <v>0</v>
      </c>
      <c r="BI289" s="130">
        <f>IF(N289="nulová",J289,0)</f>
        <v>0</v>
      </c>
      <c r="BJ289" s="13" t="s">
        <v>76</v>
      </c>
      <c r="BK289" s="130">
        <f>ROUND(I289*H289,2)</f>
        <v>55.23</v>
      </c>
      <c r="BL289" s="13" t="s">
        <v>235</v>
      </c>
      <c r="BM289" s="129" t="s">
        <v>404</v>
      </c>
    </row>
    <row r="290" spans="2:65" s="11" customFormat="1" ht="22.95" customHeight="1" x14ac:dyDescent="0.25">
      <c r="B290" s="106"/>
      <c r="D290" s="107" t="s">
        <v>57</v>
      </c>
      <c r="E290" s="116" t="s">
        <v>2154</v>
      </c>
      <c r="F290" s="116" t="s">
        <v>3616</v>
      </c>
      <c r="J290" s="117">
        <f>BK290</f>
        <v>245.68</v>
      </c>
      <c r="L290" s="106"/>
      <c r="M290" s="110"/>
      <c r="N290" s="111"/>
      <c r="O290" s="111"/>
      <c r="P290" s="112">
        <f>SUM(P291:P292)</f>
        <v>0</v>
      </c>
      <c r="Q290" s="111"/>
      <c r="R290" s="112">
        <f>SUM(R291:R292)</f>
        <v>0</v>
      </c>
      <c r="S290" s="111"/>
      <c r="T290" s="113">
        <f>SUM(T291:T292)</f>
        <v>0</v>
      </c>
      <c r="W290" s="195"/>
      <c r="X290" s="111"/>
      <c r="Y290" s="196" t="s">
        <v>57</v>
      </c>
      <c r="Z290" s="201" t="s">
        <v>2154</v>
      </c>
      <c r="AA290" s="201" t="s">
        <v>3616</v>
      </c>
      <c r="AB290" s="111"/>
      <c r="AC290" s="111"/>
      <c r="AD290" s="111"/>
      <c r="AE290" s="202">
        <f>SUM(AE291:AE292)</f>
        <v>245.68</v>
      </c>
      <c r="AF290" s="248"/>
      <c r="AR290" s="107" t="s">
        <v>63</v>
      </c>
      <c r="AT290" s="114" t="s">
        <v>57</v>
      </c>
      <c r="AU290" s="114" t="s">
        <v>63</v>
      </c>
      <c r="AY290" s="107" t="s">
        <v>228</v>
      </c>
      <c r="BK290" s="115">
        <f>SUM(BK291:BK292)</f>
        <v>245.68</v>
      </c>
    </row>
    <row r="291" spans="2:65" s="1" customFormat="1" ht="16.5" customHeight="1" x14ac:dyDescent="0.2">
      <c r="B291" s="118"/>
      <c r="C291" s="119" t="s">
        <v>407</v>
      </c>
      <c r="D291" s="119" t="s">
        <v>231</v>
      </c>
      <c r="E291" s="120" t="s">
        <v>3617</v>
      </c>
      <c r="F291" s="121" t="s">
        <v>3618</v>
      </c>
      <c r="G291" s="122" t="s">
        <v>1194</v>
      </c>
      <c r="H291" s="123">
        <v>4</v>
      </c>
      <c r="I291" s="124">
        <v>41.45</v>
      </c>
      <c r="J291" s="124">
        <f>ROUND(I291*H291,2)</f>
        <v>165.8</v>
      </c>
      <c r="K291" s="121" t="s">
        <v>1</v>
      </c>
      <c r="L291" s="24"/>
      <c r="M291" s="125" t="s">
        <v>1</v>
      </c>
      <c r="N291" s="126" t="s">
        <v>32</v>
      </c>
      <c r="O291" s="127">
        <v>0</v>
      </c>
      <c r="P291" s="127">
        <f>O291*H291</f>
        <v>0</v>
      </c>
      <c r="Q291" s="127">
        <v>0</v>
      </c>
      <c r="R291" s="127">
        <f>Q291*H291</f>
        <v>0</v>
      </c>
      <c r="S291" s="127">
        <v>0</v>
      </c>
      <c r="T291" s="128">
        <f>S291*H291</f>
        <v>0</v>
      </c>
      <c r="W291" s="199"/>
      <c r="X291" s="119" t="s">
        <v>407</v>
      </c>
      <c r="Y291" s="119" t="s">
        <v>231</v>
      </c>
      <c r="Z291" s="120" t="s">
        <v>3617</v>
      </c>
      <c r="AA291" s="121" t="s">
        <v>3618</v>
      </c>
      <c r="AB291" s="122" t="s">
        <v>1194</v>
      </c>
      <c r="AC291" s="123">
        <v>4</v>
      </c>
      <c r="AD291" s="124">
        <v>41.45</v>
      </c>
      <c r="AE291" s="200">
        <f>ROUND(AD291*AC291,2)</f>
        <v>165.8</v>
      </c>
      <c r="AF291" s="248"/>
      <c r="AR291" s="129" t="s">
        <v>235</v>
      </c>
      <c r="AT291" s="129" t="s">
        <v>231</v>
      </c>
      <c r="AU291" s="129" t="s">
        <v>76</v>
      </c>
      <c r="AY291" s="13" t="s">
        <v>228</v>
      </c>
      <c r="BE291" s="130">
        <f>IF(N291="základná",J291,0)</f>
        <v>0</v>
      </c>
      <c r="BF291" s="130">
        <f>IF(N291="znížená",J291,0)</f>
        <v>165.8</v>
      </c>
      <c r="BG291" s="130">
        <f>IF(N291="zákl. prenesená",J291,0)</f>
        <v>0</v>
      </c>
      <c r="BH291" s="130">
        <f>IF(N291="zníž. prenesená",J291,0)</f>
        <v>0</v>
      </c>
      <c r="BI291" s="130">
        <f>IF(N291="nulová",J291,0)</f>
        <v>0</v>
      </c>
      <c r="BJ291" s="13" t="s">
        <v>76</v>
      </c>
      <c r="BK291" s="130">
        <f>ROUND(I291*H291,2)</f>
        <v>165.8</v>
      </c>
      <c r="BL291" s="13" t="s">
        <v>235</v>
      </c>
      <c r="BM291" s="129" t="s">
        <v>410</v>
      </c>
    </row>
    <row r="292" spans="2:65" s="1" customFormat="1" ht="16.5" customHeight="1" x14ac:dyDescent="0.2">
      <c r="B292" s="118"/>
      <c r="C292" s="119" t="s">
        <v>323</v>
      </c>
      <c r="D292" s="119" t="s">
        <v>231</v>
      </c>
      <c r="E292" s="120" t="s">
        <v>3619</v>
      </c>
      <c r="F292" s="121" t="s">
        <v>3620</v>
      </c>
      <c r="G292" s="122" t="s">
        <v>1194</v>
      </c>
      <c r="H292" s="123">
        <v>4</v>
      </c>
      <c r="I292" s="124">
        <v>19.97</v>
      </c>
      <c r="J292" s="124">
        <f>ROUND(I292*H292,2)</f>
        <v>79.88</v>
      </c>
      <c r="K292" s="121" t="s">
        <v>1</v>
      </c>
      <c r="L292" s="24"/>
      <c r="M292" s="125" t="s">
        <v>1</v>
      </c>
      <c r="N292" s="126" t="s">
        <v>32</v>
      </c>
      <c r="O292" s="127">
        <v>0</v>
      </c>
      <c r="P292" s="127">
        <f>O292*H292</f>
        <v>0</v>
      </c>
      <c r="Q292" s="127">
        <v>0</v>
      </c>
      <c r="R292" s="127">
        <f>Q292*H292</f>
        <v>0</v>
      </c>
      <c r="S292" s="127">
        <v>0</v>
      </c>
      <c r="T292" s="128">
        <f>S292*H292</f>
        <v>0</v>
      </c>
      <c r="W292" s="199"/>
      <c r="X292" s="119" t="s">
        <v>323</v>
      </c>
      <c r="Y292" s="119" t="s">
        <v>231</v>
      </c>
      <c r="Z292" s="120" t="s">
        <v>3619</v>
      </c>
      <c r="AA292" s="121" t="s">
        <v>3620</v>
      </c>
      <c r="AB292" s="122" t="s">
        <v>1194</v>
      </c>
      <c r="AC292" s="123">
        <v>4</v>
      </c>
      <c r="AD292" s="124">
        <v>19.97</v>
      </c>
      <c r="AE292" s="200">
        <f>ROUND(AD292*AC292,2)</f>
        <v>79.88</v>
      </c>
      <c r="AF292" s="248"/>
      <c r="AR292" s="129" t="s">
        <v>235</v>
      </c>
      <c r="AT292" s="129" t="s">
        <v>231</v>
      </c>
      <c r="AU292" s="129" t="s">
        <v>76</v>
      </c>
      <c r="AY292" s="13" t="s">
        <v>228</v>
      </c>
      <c r="BE292" s="130">
        <f>IF(N292="základná",J292,0)</f>
        <v>0</v>
      </c>
      <c r="BF292" s="130">
        <f>IF(N292="znížená",J292,0)</f>
        <v>79.88</v>
      </c>
      <c r="BG292" s="130">
        <f>IF(N292="zákl. prenesená",J292,0)</f>
        <v>0</v>
      </c>
      <c r="BH292" s="130">
        <f>IF(N292="zníž. prenesená",J292,0)</f>
        <v>0</v>
      </c>
      <c r="BI292" s="130">
        <f>IF(N292="nulová",J292,0)</f>
        <v>0</v>
      </c>
      <c r="BJ292" s="13" t="s">
        <v>76</v>
      </c>
      <c r="BK292" s="130">
        <f>ROUND(I292*H292,2)</f>
        <v>79.88</v>
      </c>
      <c r="BL292" s="13" t="s">
        <v>235</v>
      </c>
      <c r="BM292" s="129" t="s">
        <v>414</v>
      </c>
    </row>
    <row r="293" spans="2:65" s="11" customFormat="1" ht="22.95" customHeight="1" x14ac:dyDescent="0.25">
      <c r="B293" s="106"/>
      <c r="D293" s="107" t="s">
        <v>57</v>
      </c>
      <c r="E293" s="116" t="s">
        <v>2175</v>
      </c>
      <c r="F293" s="116" t="s">
        <v>3621</v>
      </c>
      <c r="J293" s="117">
        <f>BK293</f>
        <v>468.24</v>
      </c>
      <c r="L293" s="106"/>
      <c r="M293" s="110"/>
      <c r="N293" s="111"/>
      <c r="O293" s="111"/>
      <c r="P293" s="112">
        <f>SUM(P294:P299)</f>
        <v>0</v>
      </c>
      <c r="Q293" s="111"/>
      <c r="R293" s="112">
        <f>SUM(R294:R299)</f>
        <v>0</v>
      </c>
      <c r="S293" s="111"/>
      <c r="T293" s="113">
        <f>SUM(T294:T299)</f>
        <v>0</v>
      </c>
      <c r="W293" s="195"/>
      <c r="X293" s="111"/>
      <c r="Y293" s="196" t="s">
        <v>57</v>
      </c>
      <c r="Z293" s="201" t="s">
        <v>2175</v>
      </c>
      <c r="AA293" s="201" t="s">
        <v>3621</v>
      </c>
      <c r="AB293" s="111"/>
      <c r="AC293" s="111"/>
      <c r="AD293" s="111"/>
      <c r="AE293" s="202">
        <f>SUM(AE294:AE299)</f>
        <v>468.24</v>
      </c>
      <c r="AF293" s="248"/>
      <c r="AR293" s="107" t="s">
        <v>63</v>
      </c>
      <c r="AT293" s="114" t="s">
        <v>57</v>
      </c>
      <c r="AU293" s="114" t="s">
        <v>63</v>
      </c>
      <c r="AY293" s="107" t="s">
        <v>228</v>
      </c>
      <c r="BK293" s="115">
        <f>SUM(BK294:BK299)</f>
        <v>468.24</v>
      </c>
    </row>
    <row r="294" spans="2:65" s="1" customFormat="1" ht="16.5" customHeight="1" x14ac:dyDescent="0.2">
      <c r="B294" s="118"/>
      <c r="C294" s="119" t="s">
        <v>415</v>
      </c>
      <c r="D294" s="119" t="s">
        <v>231</v>
      </c>
      <c r="E294" s="120" t="s">
        <v>3622</v>
      </c>
      <c r="F294" s="121" t="s">
        <v>3623</v>
      </c>
      <c r="G294" s="122" t="s">
        <v>1194</v>
      </c>
      <c r="H294" s="123">
        <v>4</v>
      </c>
      <c r="I294" s="124">
        <v>51.26</v>
      </c>
      <c r="J294" s="124">
        <f t="shared" ref="J294:J299" si="16">ROUND(I294*H294,2)</f>
        <v>205.04</v>
      </c>
      <c r="K294" s="121" t="s">
        <v>1</v>
      </c>
      <c r="L294" s="24"/>
      <c r="M294" s="125" t="s">
        <v>1</v>
      </c>
      <c r="N294" s="126" t="s">
        <v>32</v>
      </c>
      <c r="O294" s="127">
        <v>0</v>
      </c>
      <c r="P294" s="127">
        <f t="shared" ref="P294:P299" si="17">O294*H294</f>
        <v>0</v>
      </c>
      <c r="Q294" s="127">
        <v>0</v>
      </c>
      <c r="R294" s="127">
        <f t="shared" ref="R294:R299" si="18">Q294*H294</f>
        <v>0</v>
      </c>
      <c r="S294" s="127">
        <v>0</v>
      </c>
      <c r="T294" s="128">
        <f t="shared" ref="T294:T299" si="19">S294*H294</f>
        <v>0</v>
      </c>
      <c r="W294" s="199"/>
      <c r="X294" s="119" t="s">
        <v>415</v>
      </c>
      <c r="Y294" s="119" t="s">
        <v>231</v>
      </c>
      <c r="Z294" s="120" t="s">
        <v>3622</v>
      </c>
      <c r="AA294" s="121" t="s">
        <v>3623</v>
      </c>
      <c r="AB294" s="122" t="s">
        <v>1194</v>
      </c>
      <c r="AC294" s="123">
        <v>4</v>
      </c>
      <c r="AD294" s="124">
        <v>51.26</v>
      </c>
      <c r="AE294" s="200">
        <f t="shared" ref="AE294:AE299" si="20">ROUND(AD294*AC294,2)</f>
        <v>205.04</v>
      </c>
      <c r="AF294" s="248"/>
      <c r="AR294" s="129" t="s">
        <v>235</v>
      </c>
      <c r="AT294" s="129" t="s">
        <v>231</v>
      </c>
      <c r="AU294" s="129" t="s">
        <v>76</v>
      </c>
      <c r="AY294" s="13" t="s">
        <v>228</v>
      </c>
      <c r="BE294" s="130">
        <f t="shared" ref="BE294:BE299" si="21">IF(N294="základná",J294,0)</f>
        <v>0</v>
      </c>
      <c r="BF294" s="130">
        <f t="shared" ref="BF294:BF299" si="22">IF(N294="znížená",J294,0)</f>
        <v>205.04</v>
      </c>
      <c r="BG294" s="130">
        <f t="shared" ref="BG294:BG299" si="23">IF(N294="zákl. prenesená",J294,0)</f>
        <v>0</v>
      </c>
      <c r="BH294" s="130">
        <f t="shared" ref="BH294:BH299" si="24">IF(N294="zníž. prenesená",J294,0)</f>
        <v>0</v>
      </c>
      <c r="BI294" s="130">
        <f t="shared" ref="BI294:BI299" si="25">IF(N294="nulová",J294,0)</f>
        <v>0</v>
      </c>
      <c r="BJ294" s="13" t="s">
        <v>76</v>
      </c>
      <c r="BK294" s="130">
        <f t="shared" ref="BK294:BK299" si="26">ROUND(I294*H294,2)</f>
        <v>205.04</v>
      </c>
      <c r="BL294" s="13" t="s">
        <v>235</v>
      </c>
      <c r="BM294" s="129" t="s">
        <v>418</v>
      </c>
    </row>
    <row r="295" spans="2:65" s="1" customFormat="1" ht="16.5" customHeight="1" x14ac:dyDescent="0.2">
      <c r="B295" s="118"/>
      <c r="C295" s="119" t="s">
        <v>326</v>
      </c>
      <c r="D295" s="119" t="s">
        <v>231</v>
      </c>
      <c r="E295" s="120" t="s">
        <v>3624</v>
      </c>
      <c r="F295" s="121" t="s">
        <v>3625</v>
      </c>
      <c r="G295" s="122" t="s">
        <v>1194</v>
      </c>
      <c r="H295" s="123">
        <v>4</v>
      </c>
      <c r="I295" s="124">
        <v>27.4</v>
      </c>
      <c r="J295" s="124">
        <f t="shared" si="16"/>
        <v>109.6</v>
      </c>
      <c r="K295" s="121" t="s">
        <v>1</v>
      </c>
      <c r="L295" s="24"/>
      <c r="M295" s="125" t="s">
        <v>1</v>
      </c>
      <c r="N295" s="126" t="s">
        <v>32</v>
      </c>
      <c r="O295" s="127">
        <v>0</v>
      </c>
      <c r="P295" s="127">
        <f t="shared" si="17"/>
        <v>0</v>
      </c>
      <c r="Q295" s="127">
        <v>0</v>
      </c>
      <c r="R295" s="127">
        <f t="shared" si="18"/>
        <v>0</v>
      </c>
      <c r="S295" s="127">
        <v>0</v>
      </c>
      <c r="T295" s="128">
        <f t="shared" si="19"/>
        <v>0</v>
      </c>
      <c r="W295" s="199"/>
      <c r="X295" s="119" t="s">
        <v>326</v>
      </c>
      <c r="Y295" s="119" t="s">
        <v>231</v>
      </c>
      <c r="Z295" s="120" t="s">
        <v>3624</v>
      </c>
      <c r="AA295" s="121" t="s">
        <v>3625</v>
      </c>
      <c r="AB295" s="122" t="s">
        <v>1194</v>
      </c>
      <c r="AC295" s="123">
        <v>4</v>
      </c>
      <c r="AD295" s="124">
        <v>27.4</v>
      </c>
      <c r="AE295" s="200">
        <f t="shared" si="20"/>
        <v>109.6</v>
      </c>
      <c r="AF295" s="248"/>
      <c r="AR295" s="129" t="s">
        <v>235</v>
      </c>
      <c r="AT295" s="129" t="s">
        <v>231</v>
      </c>
      <c r="AU295" s="129" t="s">
        <v>76</v>
      </c>
      <c r="AY295" s="13" t="s">
        <v>228</v>
      </c>
      <c r="BE295" s="130">
        <f t="shared" si="21"/>
        <v>0</v>
      </c>
      <c r="BF295" s="130">
        <f t="shared" si="22"/>
        <v>109.6</v>
      </c>
      <c r="BG295" s="130">
        <f t="shared" si="23"/>
        <v>0</v>
      </c>
      <c r="BH295" s="130">
        <f t="shared" si="24"/>
        <v>0</v>
      </c>
      <c r="BI295" s="130">
        <f t="shared" si="25"/>
        <v>0</v>
      </c>
      <c r="BJ295" s="13" t="s">
        <v>76</v>
      </c>
      <c r="BK295" s="130">
        <f t="shared" si="26"/>
        <v>109.6</v>
      </c>
      <c r="BL295" s="13" t="s">
        <v>235</v>
      </c>
      <c r="BM295" s="129" t="s">
        <v>421</v>
      </c>
    </row>
    <row r="296" spans="2:65" s="1" customFormat="1" ht="16.5" customHeight="1" x14ac:dyDescent="0.2">
      <c r="B296" s="118"/>
      <c r="C296" s="119" t="s">
        <v>422</v>
      </c>
      <c r="D296" s="119" t="s">
        <v>231</v>
      </c>
      <c r="E296" s="120" t="s">
        <v>3626</v>
      </c>
      <c r="F296" s="121" t="s">
        <v>3627</v>
      </c>
      <c r="G296" s="122" t="s">
        <v>1194</v>
      </c>
      <c r="H296" s="123">
        <v>4</v>
      </c>
      <c r="I296" s="124">
        <v>14.09</v>
      </c>
      <c r="J296" s="124">
        <f t="shared" si="16"/>
        <v>56.36</v>
      </c>
      <c r="K296" s="121" t="s">
        <v>1</v>
      </c>
      <c r="L296" s="24"/>
      <c r="M296" s="125" t="s">
        <v>1</v>
      </c>
      <c r="N296" s="126" t="s">
        <v>32</v>
      </c>
      <c r="O296" s="127">
        <v>0</v>
      </c>
      <c r="P296" s="127">
        <f t="shared" si="17"/>
        <v>0</v>
      </c>
      <c r="Q296" s="127">
        <v>0</v>
      </c>
      <c r="R296" s="127">
        <f t="shared" si="18"/>
        <v>0</v>
      </c>
      <c r="S296" s="127">
        <v>0</v>
      </c>
      <c r="T296" s="128">
        <f t="shared" si="19"/>
        <v>0</v>
      </c>
      <c r="W296" s="199"/>
      <c r="X296" s="119" t="s">
        <v>422</v>
      </c>
      <c r="Y296" s="119" t="s">
        <v>231</v>
      </c>
      <c r="Z296" s="120" t="s">
        <v>3626</v>
      </c>
      <c r="AA296" s="121" t="s">
        <v>3627</v>
      </c>
      <c r="AB296" s="122" t="s">
        <v>1194</v>
      </c>
      <c r="AC296" s="123">
        <v>4</v>
      </c>
      <c r="AD296" s="124">
        <v>14.09</v>
      </c>
      <c r="AE296" s="200">
        <f t="shared" si="20"/>
        <v>56.36</v>
      </c>
      <c r="AF296" s="248"/>
      <c r="AR296" s="129" t="s">
        <v>235</v>
      </c>
      <c r="AT296" s="129" t="s">
        <v>231</v>
      </c>
      <c r="AU296" s="129" t="s">
        <v>76</v>
      </c>
      <c r="AY296" s="13" t="s">
        <v>228</v>
      </c>
      <c r="BE296" s="130">
        <f t="shared" si="21"/>
        <v>0</v>
      </c>
      <c r="BF296" s="130">
        <f t="shared" si="22"/>
        <v>56.36</v>
      </c>
      <c r="BG296" s="130">
        <f t="shared" si="23"/>
        <v>0</v>
      </c>
      <c r="BH296" s="130">
        <f t="shared" si="24"/>
        <v>0</v>
      </c>
      <c r="BI296" s="130">
        <f t="shared" si="25"/>
        <v>0</v>
      </c>
      <c r="BJ296" s="13" t="s">
        <v>76</v>
      </c>
      <c r="BK296" s="130">
        <f t="shared" si="26"/>
        <v>56.36</v>
      </c>
      <c r="BL296" s="13" t="s">
        <v>235</v>
      </c>
      <c r="BM296" s="129" t="s">
        <v>425</v>
      </c>
    </row>
    <row r="297" spans="2:65" s="1" customFormat="1" ht="16.5" customHeight="1" x14ac:dyDescent="0.2">
      <c r="B297" s="118"/>
      <c r="C297" s="119" t="s">
        <v>330</v>
      </c>
      <c r="D297" s="119" t="s">
        <v>231</v>
      </c>
      <c r="E297" s="120" t="s">
        <v>3628</v>
      </c>
      <c r="F297" s="121" t="s">
        <v>3629</v>
      </c>
      <c r="G297" s="122" t="s">
        <v>1194</v>
      </c>
      <c r="H297" s="123">
        <v>4</v>
      </c>
      <c r="I297" s="124">
        <v>9.89</v>
      </c>
      <c r="J297" s="124">
        <f t="shared" si="16"/>
        <v>39.56</v>
      </c>
      <c r="K297" s="121" t="s">
        <v>1</v>
      </c>
      <c r="L297" s="24"/>
      <c r="M297" s="125" t="s">
        <v>1</v>
      </c>
      <c r="N297" s="126" t="s">
        <v>32</v>
      </c>
      <c r="O297" s="127">
        <v>0</v>
      </c>
      <c r="P297" s="127">
        <f t="shared" si="17"/>
        <v>0</v>
      </c>
      <c r="Q297" s="127">
        <v>0</v>
      </c>
      <c r="R297" s="127">
        <f t="shared" si="18"/>
        <v>0</v>
      </c>
      <c r="S297" s="127">
        <v>0</v>
      </c>
      <c r="T297" s="128">
        <f t="shared" si="19"/>
        <v>0</v>
      </c>
      <c r="W297" s="199"/>
      <c r="X297" s="119" t="s">
        <v>330</v>
      </c>
      <c r="Y297" s="119" t="s">
        <v>231</v>
      </c>
      <c r="Z297" s="120" t="s">
        <v>3628</v>
      </c>
      <c r="AA297" s="121" t="s">
        <v>3629</v>
      </c>
      <c r="AB297" s="122" t="s">
        <v>1194</v>
      </c>
      <c r="AC297" s="123">
        <v>4</v>
      </c>
      <c r="AD297" s="124">
        <v>9.89</v>
      </c>
      <c r="AE297" s="200">
        <f t="shared" si="20"/>
        <v>39.56</v>
      </c>
      <c r="AF297" s="248"/>
      <c r="AR297" s="129" t="s">
        <v>235</v>
      </c>
      <c r="AT297" s="129" t="s">
        <v>231</v>
      </c>
      <c r="AU297" s="129" t="s">
        <v>76</v>
      </c>
      <c r="AY297" s="13" t="s">
        <v>228</v>
      </c>
      <c r="BE297" s="130">
        <f t="shared" si="21"/>
        <v>0</v>
      </c>
      <c r="BF297" s="130">
        <f t="shared" si="22"/>
        <v>39.56</v>
      </c>
      <c r="BG297" s="130">
        <f t="shared" si="23"/>
        <v>0</v>
      </c>
      <c r="BH297" s="130">
        <f t="shared" si="24"/>
        <v>0</v>
      </c>
      <c r="BI297" s="130">
        <f t="shared" si="25"/>
        <v>0</v>
      </c>
      <c r="BJ297" s="13" t="s">
        <v>76</v>
      </c>
      <c r="BK297" s="130">
        <f t="shared" si="26"/>
        <v>39.56</v>
      </c>
      <c r="BL297" s="13" t="s">
        <v>235</v>
      </c>
      <c r="BM297" s="129" t="s">
        <v>428</v>
      </c>
    </row>
    <row r="298" spans="2:65" s="1" customFormat="1" ht="16.5" customHeight="1" x14ac:dyDescent="0.2">
      <c r="B298" s="118"/>
      <c r="C298" s="119" t="s">
        <v>429</v>
      </c>
      <c r="D298" s="119" t="s">
        <v>231</v>
      </c>
      <c r="E298" s="120" t="s">
        <v>3630</v>
      </c>
      <c r="F298" s="121" t="s">
        <v>3631</v>
      </c>
      <c r="G298" s="122" t="s">
        <v>1194</v>
      </c>
      <c r="H298" s="123">
        <v>4</v>
      </c>
      <c r="I298" s="124">
        <v>9.89</v>
      </c>
      <c r="J298" s="124">
        <f t="shared" si="16"/>
        <v>39.56</v>
      </c>
      <c r="K298" s="121" t="s">
        <v>1</v>
      </c>
      <c r="L298" s="24"/>
      <c r="M298" s="125" t="s">
        <v>1</v>
      </c>
      <c r="N298" s="126" t="s">
        <v>32</v>
      </c>
      <c r="O298" s="127">
        <v>0</v>
      </c>
      <c r="P298" s="127">
        <f t="shared" si="17"/>
        <v>0</v>
      </c>
      <c r="Q298" s="127">
        <v>0</v>
      </c>
      <c r="R298" s="127">
        <f t="shared" si="18"/>
        <v>0</v>
      </c>
      <c r="S298" s="127">
        <v>0</v>
      </c>
      <c r="T298" s="128">
        <f t="shared" si="19"/>
        <v>0</v>
      </c>
      <c r="W298" s="199"/>
      <c r="X298" s="119" t="s">
        <v>429</v>
      </c>
      <c r="Y298" s="119" t="s">
        <v>231</v>
      </c>
      <c r="Z298" s="120" t="s">
        <v>3630</v>
      </c>
      <c r="AA298" s="121" t="s">
        <v>3631</v>
      </c>
      <c r="AB298" s="122" t="s">
        <v>1194</v>
      </c>
      <c r="AC298" s="123">
        <v>4</v>
      </c>
      <c r="AD298" s="124">
        <v>9.89</v>
      </c>
      <c r="AE298" s="200">
        <f t="shared" si="20"/>
        <v>39.56</v>
      </c>
      <c r="AF298" s="248"/>
      <c r="AR298" s="129" t="s">
        <v>235</v>
      </c>
      <c r="AT298" s="129" t="s">
        <v>231</v>
      </c>
      <c r="AU298" s="129" t="s">
        <v>76</v>
      </c>
      <c r="AY298" s="13" t="s">
        <v>228</v>
      </c>
      <c r="BE298" s="130">
        <f t="shared" si="21"/>
        <v>0</v>
      </c>
      <c r="BF298" s="130">
        <f t="shared" si="22"/>
        <v>39.56</v>
      </c>
      <c r="BG298" s="130">
        <f t="shared" si="23"/>
        <v>0</v>
      </c>
      <c r="BH298" s="130">
        <f t="shared" si="24"/>
        <v>0</v>
      </c>
      <c r="BI298" s="130">
        <f t="shared" si="25"/>
        <v>0</v>
      </c>
      <c r="BJ298" s="13" t="s">
        <v>76</v>
      </c>
      <c r="BK298" s="130">
        <f t="shared" si="26"/>
        <v>39.56</v>
      </c>
      <c r="BL298" s="13" t="s">
        <v>235</v>
      </c>
      <c r="BM298" s="129" t="s">
        <v>432</v>
      </c>
    </row>
    <row r="299" spans="2:65" s="1" customFormat="1" ht="16.5" customHeight="1" x14ac:dyDescent="0.2">
      <c r="B299" s="118"/>
      <c r="C299" s="119" t="s">
        <v>333</v>
      </c>
      <c r="D299" s="119" t="s">
        <v>231</v>
      </c>
      <c r="E299" s="120" t="s">
        <v>1255</v>
      </c>
      <c r="F299" s="121" t="s">
        <v>1256</v>
      </c>
      <c r="G299" s="122" t="s">
        <v>1194</v>
      </c>
      <c r="H299" s="123">
        <v>3</v>
      </c>
      <c r="I299" s="124">
        <v>6.04</v>
      </c>
      <c r="J299" s="124">
        <f t="shared" si="16"/>
        <v>18.12</v>
      </c>
      <c r="K299" s="121" t="s">
        <v>1</v>
      </c>
      <c r="L299" s="24"/>
      <c r="M299" s="125" t="s">
        <v>1</v>
      </c>
      <c r="N299" s="126" t="s">
        <v>32</v>
      </c>
      <c r="O299" s="127">
        <v>0</v>
      </c>
      <c r="P299" s="127">
        <f t="shared" si="17"/>
        <v>0</v>
      </c>
      <c r="Q299" s="127">
        <v>0</v>
      </c>
      <c r="R299" s="127">
        <f t="shared" si="18"/>
        <v>0</v>
      </c>
      <c r="S299" s="127">
        <v>0</v>
      </c>
      <c r="T299" s="128">
        <f t="shared" si="19"/>
        <v>0</v>
      </c>
      <c r="W299" s="199"/>
      <c r="X299" s="119" t="s">
        <v>333</v>
      </c>
      <c r="Y299" s="119" t="s">
        <v>231</v>
      </c>
      <c r="Z299" s="120" t="s">
        <v>1255</v>
      </c>
      <c r="AA299" s="121" t="s">
        <v>1256</v>
      </c>
      <c r="AB299" s="122" t="s">
        <v>1194</v>
      </c>
      <c r="AC299" s="123">
        <v>3</v>
      </c>
      <c r="AD299" s="124">
        <v>6.04</v>
      </c>
      <c r="AE299" s="200">
        <f t="shared" si="20"/>
        <v>18.12</v>
      </c>
      <c r="AF299" s="248"/>
      <c r="AR299" s="129" t="s">
        <v>235</v>
      </c>
      <c r="AT299" s="129" t="s">
        <v>231</v>
      </c>
      <c r="AU299" s="129" t="s">
        <v>76</v>
      </c>
      <c r="AY299" s="13" t="s">
        <v>228</v>
      </c>
      <c r="BE299" s="130">
        <f t="shared" si="21"/>
        <v>0</v>
      </c>
      <c r="BF299" s="130">
        <f t="shared" si="22"/>
        <v>18.12</v>
      </c>
      <c r="BG299" s="130">
        <f t="shared" si="23"/>
        <v>0</v>
      </c>
      <c r="BH299" s="130">
        <f t="shared" si="24"/>
        <v>0</v>
      </c>
      <c r="BI299" s="130">
        <f t="shared" si="25"/>
        <v>0</v>
      </c>
      <c r="BJ299" s="13" t="s">
        <v>76</v>
      </c>
      <c r="BK299" s="130">
        <f t="shared" si="26"/>
        <v>18.12</v>
      </c>
      <c r="BL299" s="13" t="s">
        <v>235</v>
      </c>
      <c r="BM299" s="129" t="s">
        <v>435</v>
      </c>
    </row>
    <row r="300" spans="2:65" s="11" customFormat="1" ht="22.95" customHeight="1" x14ac:dyDescent="0.25">
      <c r="B300" s="106"/>
      <c r="D300" s="107" t="s">
        <v>57</v>
      </c>
      <c r="E300" s="116" t="s">
        <v>2196</v>
      </c>
      <c r="F300" s="116" t="s">
        <v>3634</v>
      </c>
      <c r="J300" s="117">
        <f>BK300</f>
        <v>1579.2599999999998</v>
      </c>
      <c r="L300" s="106"/>
      <c r="M300" s="110"/>
      <c r="N300" s="111"/>
      <c r="O300" s="111"/>
      <c r="P300" s="112">
        <f>SUM(P301:P309)</f>
        <v>0</v>
      </c>
      <c r="Q300" s="111"/>
      <c r="R300" s="112">
        <f>SUM(R301:R309)</f>
        <v>0</v>
      </c>
      <c r="S300" s="111"/>
      <c r="T300" s="113">
        <f>SUM(T301:T309)</f>
        <v>0</v>
      </c>
      <c r="W300" s="195"/>
      <c r="X300" s="111"/>
      <c r="Y300" s="196" t="s">
        <v>57</v>
      </c>
      <c r="Z300" s="201" t="s">
        <v>2196</v>
      </c>
      <c r="AA300" s="201" t="s">
        <v>3634</v>
      </c>
      <c r="AB300" s="111"/>
      <c r="AC300" s="111"/>
      <c r="AD300" s="111"/>
      <c r="AE300" s="202">
        <f>SUM(AE301:AE309)</f>
        <v>1711.37</v>
      </c>
      <c r="AF300" s="248"/>
      <c r="AR300" s="107" t="s">
        <v>63</v>
      </c>
      <c r="AT300" s="114" t="s">
        <v>57</v>
      </c>
      <c r="AU300" s="114" t="s">
        <v>63</v>
      </c>
      <c r="AY300" s="107" t="s">
        <v>228</v>
      </c>
      <c r="BK300" s="115">
        <f>SUM(BK301:BK309)</f>
        <v>1579.2599999999998</v>
      </c>
    </row>
    <row r="301" spans="2:65" s="1" customFormat="1" ht="34.200000000000003" x14ac:dyDescent="0.2">
      <c r="B301" s="118"/>
      <c r="C301" s="1070" t="s">
        <v>438</v>
      </c>
      <c r="D301" s="119" t="s">
        <v>231</v>
      </c>
      <c r="E301" s="120" t="s">
        <v>3635</v>
      </c>
      <c r="F301" s="239" t="s">
        <v>4516</v>
      </c>
      <c r="G301" s="122" t="s">
        <v>1194</v>
      </c>
      <c r="H301" s="1071">
        <v>28</v>
      </c>
      <c r="I301" s="124">
        <v>21.97</v>
      </c>
      <c r="J301" s="124">
        <f>ROUND(I301*H301,2)</f>
        <v>615.16</v>
      </c>
      <c r="K301" s="121" t="s">
        <v>1</v>
      </c>
      <c r="L301" s="24"/>
      <c r="M301" s="125" t="s">
        <v>1</v>
      </c>
      <c r="N301" s="126" t="s">
        <v>32</v>
      </c>
      <c r="O301" s="127">
        <v>0</v>
      </c>
      <c r="P301" s="127">
        <f>O301*H301</f>
        <v>0</v>
      </c>
      <c r="Q301" s="127">
        <v>0</v>
      </c>
      <c r="R301" s="127">
        <f>Q301*H301</f>
        <v>0</v>
      </c>
      <c r="S301" s="127">
        <v>0</v>
      </c>
      <c r="T301" s="128">
        <f>S301*H301</f>
        <v>0</v>
      </c>
      <c r="W301" s="199"/>
      <c r="X301" s="1070" t="s">
        <v>438</v>
      </c>
      <c r="Y301" s="119" t="s">
        <v>231</v>
      </c>
      <c r="Z301" s="120" t="s">
        <v>3635</v>
      </c>
      <c r="AA301" s="265" t="s">
        <v>5396</v>
      </c>
      <c r="AB301" s="122" t="s">
        <v>1194</v>
      </c>
      <c r="AC301" s="1071">
        <f>17+1</f>
        <v>18</v>
      </c>
      <c r="AD301" s="124">
        <v>21.97</v>
      </c>
      <c r="AE301" s="200">
        <f t="shared" ref="AE301:AE309" si="27">ROUND(AD301*AC301,2)</f>
        <v>395.46</v>
      </c>
      <c r="AF301" s="248" t="s">
        <v>6651</v>
      </c>
      <c r="AR301" s="129" t="s">
        <v>235</v>
      </c>
      <c r="AT301" s="129" t="s">
        <v>231</v>
      </c>
      <c r="AU301" s="129" t="s">
        <v>76</v>
      </c>
      <c r="AY301" s="13" t="s">
        <v>228</v>
      </c>
      <c r="BE301" s="130">
        <f>IF(N301="základná",J301,0)</f>
        <v>0</v>
      </c>
      <c r="BF301" s="130">
        <f>IF(N301="znížená",J301,0)</f>
        <v>615.16</v>
      </c>
      <c r="BG301" s="130">
        <f>IF(N301="zákl. prenesená",J301,0)</f>
        <v>0</v>
      </c>
      <c r="BH301" s="130">
        <f>IF(N301="zníž. prenesená",J301,0)</f>
        <v>0</v>
      </c>
      <c r="BI301" s="130">
        <f>IF(N301="nulová",J301,0)</f>
        <v>0</v>
      </c>
      <c r="BJ301" s="13" t="s">
        <v>76</v>
      </c>
      <c r="BK301" s="130">
        <f>ROUND(I301*H301,2)</f>
        <v>615.16</v>
      </c>
      <c r="BL301" s="13" t="s">
        <v>235</v>
      </c>
      <c r="BM301" s="129" t="s">
        <v>441</v>
      </c>
    </row>
    <row r="302" spans="2:65" s="243" customFormat="1" ht="28.95" customHeight="1" x14ac:dyDescent="0.2">
      <c r="B302" s="24"/>
      <c r="C302" s="1234" t="s">
        <v>5205</v>
      </c>
      <c r="D302" s="1235"/>
      <c r="E302" s="1235"/>
      <c r="F302" s="1235"/>
      <c r="G302" s="1235"/>
      <c r="H302" s="1235"/>
      <c r="I302" s="1235"/>
      <c r="J302" s="1236"/>
      <c r="L302" s="24"/>
      <c r="M302" s="146"/>
      <c r="N302" s="244"/>
      <c r="O302" s="244"/>
      <c r="P302" s="244"/>
      <c r="Q302" s="244"/>
      <c r="R302" s="244"/>
      <c r="S302" s="244"/>
      <c r="T302" s="43"/>
      <c r="W302" s="158"/>
      <c r="X302" s="215" t="s">
        <v>5403</v>
      </c>
      <c r="Y302" s="215" t="s">
        <v>231</v>
      </c>
      <c r="Z302" s="216" t="s">
        <v>5397</v>
      </c>
      <c r="AA302" s="217" t="s">
        <v>5398</v>
      </c>
      <c r="AB302" s="218" t="s">
        <v>1194</v>
      </c>
      <c r="AC302" s="219">
        <v>10</v>
      </c>
      <c r="AD302" s="220">
        <v>18.100000000000001</v>
      </c>
      <c r="AE302" s="221">
        <f t="shared" si="27"/>
        <v>181</v>
      </c>
      <c r="AF302" s="248">
        <v>7</v>
      </c>
      <c r="AT302" s="13"/>
      <c r="AU302" s="13"/>
    </row>
    <row r="303" spans="2:65" s="243" customFormat="1" ht="29.55" customHeight="1" x14ac:dyDescent="0.2">
      <c r="B303" s="24"/>
      <c r="C303" s="1234" t="s">
        <v>5205</v>
      </c>
      <c r="D303" s="1235"/>
      <c r="E303" s="1235"/>
      <c r="F303" s="1235"/>
      <c r="G303" s="1235"/>
      <c r="H303" s="1235"/>
      <c r="I303" s="1235"/>
      <c r="J303" s="1236"/>
      <c r="L303" s="24"/>
      <c r="M303" s="146"/>
      <c r="N303" s="244"/>
      <c r="O303" s="244"/>
      <c r="P303" s="244"/>
      <c r="Q303" s="244"/>
      <c r="R303" s="244"/>
      <c r="S303" s="244"/>
      <c r="T303" s="43"/>
      <c r="W303" s="158"/>
      <c r="X303" s="215" t="s">
        <v>5404</v>
      </c>
      <c r="Y303" s="215" t="s">
        <v>231</v>
      </c>
      <c r="Z303" s="216" t="s">
        <v>5399</v>
      </c>
      <c r="AA303" s="217" t="s">
        <v>5400</v>
      </c>
      <c r="AB303" s="218" t="s">
        <v>1194</v>
      </c>
      <c r="AC303" s="219">
        <v>10</v>
      </c>
      <c r="AD303" s="220">
        <v>13.2</v>
      </c>
      <c r="AE303" s="221">
        <f t="shared" si="27"/>
        <v>132</v>
      </c>
      <c r="AF303" s="248">
        <v>7</v>
      </c>
      <c r="AT303" s="13"/>
      <c r="AU303" s="13"/>
    </row>
    <row r="304" spans="2:65" s="243" customFormat="1" ht="39.450000000000003" customHeight="1" x14ac:dyDescent="0.2">
      <c r="B304" s="24"/>
      <c r="C304" s="1234" t="s">
        <v>5205</v>
      </c>
      <c r="D304" s="1235"/>
      <c r="E304" s="1235"/>
      <c r="F304" s="1235"/>
      <c r="G304" s="1235"/>
      <c r="H304" s="1235"/>
      <c r="I304" s="1235"/>
      <c r="J304" s="1236"/>
      <c r="L304" s="24"/>
      <c r="M304" s="146"/>
      <c r="N304" s="244"/>
      <c r="O304" s="244"/>
      <c r="P304" s="244"/>
      <c r="Q304" s="244"/>
      <c r="R304" s="244"/>
      <c r="S304" s="244"/>
      <c r="T304" s="43"/>
      <c r="W304" s="158"/>
      <c r="X304" s="215" t="s">
        <v>5405</v>
      </c>
      <c r="Y304" s="215" t="s">
        <v>231</v>
      </c>
      <c r="Z304" s="216" t="s">
        <v>5401</v>
      </c>
      <c r="AA304" s="217" t="s">
        <v>5402</v>
      </c>
      <c r="AB304" s="218" t="s">
        <v>1194</v>
      </c>
      <c r="AC304" s="219">
        <v>1</v>
      </c>
      <c r="AD304" s="220">
        <v>43.9</v>
      </c>
      <c r="AE304" s="221">
        <f t="shared" si="27"/>
        <v>43.9</v>
      </c>
      <c r="AF304" s="248">
        <v>7</v>
      </c>
      <c r="AT304" s="13"/>
      <c r="AU304" s="13"/>
    </row>
    <row r="305" spans="2:65" s="1" customFormat="1" ht="29.55" customHeight="1" x14ac:dyDescent="0.2">
      <c r="B305" s="118"/>
      <c r="C305" s="205" t="s">
        <v>337</v>
      </c>
      <c r="D305" s="119" t="s">
        <v>231</v>
      </c>
      <c r="E305" s="120" t="s">
        <v>4517</v>
      </c>
      <c r="F305" s="239" t="s">
        <v>4518</v>
      </c>
      <c r="G305" s="122" t="s">
        <v>1194</v>
      </c>
      <c r="H305" s="206">
        <v>28</v>
      </c>
      <c r="I305" s="124">
        <v>15.09</v>
      </c>
      <c r="J305" s="124">
        <f>ROUND(I305*H305,2)</f>
        <v>422.52</v>
      </c>
      <c r="K305" s="121" t="s">
        <v>1</v>
      </c>
      <c r="L305" s="24"/>
      <c r="M305" s="125" t="s">
        <v>1</v>
      </c>
      <c r="N305" s="126" t="s">
        <v>32</v>
      </c>
      <c r="O305" s="127">
        <v>0</v>
      </c>
      <c r="P305" s="127">
        <f>O305*H305</f>
        <v>0</v>
      </c>
      <c r="Q305" s="127">
        <v>0</v>
      </c>
      <c r="R305" s="127">
        <f>Q305*H305</f>
        <v>0</v>
      </c>
      <c r="S305" s="127">
        <v>0</v>
      </c>
      <c r="T305" s="128">
        <f>S305*H305</f>
        <v>0</v>
      </c>
      <c r="W305" s="199"/>
      <c r="X305" s="205" t="s">
        <v>337</v>
      </c>
      <c r="Y305" s="119" t="s">
        <v>231</v>
      </c>
      <c r="Z305" s="120" t="s">
        <v>4517</v>
      </c>
      <c r="AA305" s="265" t="s">
        <v>5406</v>
      </c>
      <c r="AB305" s="122" t="s">
        <v>1194</v>
      </c>
      <c r="AC305" s="206">
        <v>17</v>
      </c>
      <c r="AD305" s="124">
        <v>15.09</v>
      </c>
      <c r="AE305" s="200">
        <f t="shared" si="27"/>
        <v>256.52999999999997</v>
      </c>
      <c r="AF305" s="248">
        <v>7</v>
      </c>
      <c r="AR305" s="129" t="s">
        <v>235</v>
      </c>
      <c r="AT305" s="129" t="s">
        <v>231</v>
      </c>
      <c r="AU305" s="129" t="s">
        <v>76</v>
      </c>
      <c r="AY305" s="13" t="s">
        <v>228</v>
      </c>
      <c r="BE305" s="130">
        <f>IF(N305="základná",J305,0)</f>
        <v>0</v>
      </c>
      <c r="BF305" s="130">
        <f>IF(N305="znížená",J305,0)</f>
        <v>422.52</v>
      </c>
      <c r="BG305" s="130">
        <f>IF(N305="zákl. prenesená",J305,0)</f>
        <v>0</v>
      </c>
      <c r="BH305" s="130">
        <f>IF(N305="zníž. prenesená",J305,0)</f>
        <v>0</v>
      </c>
      <c r="BI305" s="130">
        <f>IF(N305="nulová",J305,0)</f>
        <v>0</v>
      </c>
      <c r="BJ305" s="13" t="s">
        <v>76</v>
      </c>
      <c r="BK305" s="130">
        <f>ROUND(I305*H305,2)</f>
        <v>422.52</v>
      </c>
      <c r="BL305" s="13" t="s">
        <v>235</v>
      </c>
      <c r="BM305" s="129" t="s">
        <v>444</v>
      </c>
    </row>
    <row r="306" spans="2:65" s="243" customFormat="1" ht="29.55" customHeight="1" x14ac:dyDescent="0.2">
      <c r="B306" s="118"/>
      <c r="C306" s="1234" t="s">
        <v>5205</v>
      </c>
      <c r="D306" s="1235"/>
      <c r="E306" s="1235"/>
      <c r="F306" s="1235"/>
      <c r="G306" s="1235"/>
      <c r="H306" s="1235"/>
      <c r="I306" s="1235"/>
      <c r="J306" s="1236"/>
      <c r="K306" s="121"/>
      <c r="L306" s="24"/>
      <c r="M306" s="125"/>
      <c r="N306" s="126"/>
      <c r="O306" s="127"/>
      <c r="P306" s="127"/>
      <c r="Q306" s="127"/>
      <c r="R306" s="127"/>
      <c r="S306" s="127"/>
      <c r="T306" s="128"/>
      <c r="W306" s="199"/>
      <c r="X306" s="215" t="s">
        <v>5408</v>
      </c>
      <c r="Y306" s="215" t="s">
        <v>231</v>
      </c>
      <c r="Z306" s="216" t="s">
        <v>5407</v>
      </c>
      <c r="AA306" s="217" t="s">
        <v>5409</v>
      </c>
      <c r="AB306" s="218" t="s">
        <v>1194</v>
      </c>
      <c r="AC306" s="219">
        <f>11+1</f>
        <v>12</v>
      </c>
      <c r="AD306" s="220">
        <v>15.09</v>
      </c>
      <c r="AE306" s="221">
        <f t="shared" si="27"/>
        <v>181.08</v>
      </c>
      <c r="AF306" s="248" t="s">
        <v>6651</v>
      </c>
      <c r="AR306" s="129"/>
      <c r="AT306" s="129"/>
      <c r="AU306" s="129"/>
      <c r="AY306" s="13"/>
      <c r="BE306" s="130"/>
      <c r="BF306" s="130"/>
      <c r="BG306" s="130"/>
      <c r="BH306" s="130"/>
      <c r="BI306" s="130"/>
      <c r="BJ306" s="13"/>
      <c r="BK306" s="130"/>
      <c r="BL306" s="13"/>
      <c r="BM306" s="129"/>
    </row>
    <row r="307" spans="2:65" s="1" customFormat="1" ht="24" customHeight="1" x14ac:dyDescent="0.2">
      <c r="B307" s="118"/>
      <c r="C307" s="1070" t="s">
        <v>445</v>
      </c>
      <c r="D307" s="119" t="s">
        <v>231</v>
      </c>
      <c r="E307" s="120" t="s">
        <v>3639</v>
      </c>
      <c r="F307" s="121" t="s">
        <v>3640</v>
      </c>
      <c r="G307" s="122" t="s">
        <v>1194</v>
      </c>
      <c r="H307" s="1071">
        <v>56</v>
      </c>
      <c r="I307" s="124">
        <v>6.04</v>
      </c>
      <c r="J307" s="124">
        <f>ROUND(I307*H307,2)</f>
        <v>338.24</v>
      </c>
      <c r="K307" s="121" t="s">
        <v>1</v>
      </c>
      <c r="L307" s="24"/>
      <c r="M307" s="125" t="s">
        <v>1</v>
      </c>
      <c r="N307" s="126" t="s">
        <v>32</v>
      </c>
      <c r="O307" s="127">
        <v>0</v>
      </c>
      <c r="P307" s="127">
        <f>O307*H307</f>
        <v>0</v>
      </c>
      <c r="Q307" s="127">
        <v>0</v>
      </c>
      <c r="R307" s="127">
        <f>Q307*H307</f>
        <v>0</v>
      </c>
      <c r="S307" s="127">
        <v>0</v>
      </c>
      <c r="T307" s="128">
        <f>S307*H307</f>
        <v>0</v>
      </c>
      <c r="W307" s="199"/>
      <c r="X307" s="1070" t="s">
        <v>445</v>
      </c>
      <c r="Y307" s="119" t="s">
        <v>231</v>
      </c>
      <c r="Z307" s="120" t="s">
        <v>3639</v>
      </c>
      <c r="AA307" s="121" t="s">
        <v>3640</v>
      </c>
      <c r="AB307" s="122" t="s">
        <v>1194</v>
      </c>
      <c r="AC307" s="1071">
        <f>56+2</f>
        <v>58</v>
      </c>
      <c r="AD307" s="124">
        <v>6.04</v>
      </c>
      <c r="AE307" s="200">
        <f t="shared" si="27"/>
        <v>350.32</v>
      </c>
      <c r="AF307" s="248" t="s">
        <v>5482</v>
      </c>
      <c r="AR307" s="129" t="s">
        <v>235</v>
      </c>
      <c r="AT307" s="129" t="s">
        <v>231</v>
      </c>
      <c r="AU307" s="129" t="s">
        <v>76</v>
      </c>
      <c r="AY307" s="13" t="s">
        <v>228</v>
      </c>
      <c r="BE307" s="130">
        <f>IF(N307="základná",J307,0)</f>
        <v>0</v>
      </c>
      <c r="BF307" s="130">
        <f>IF(N307="znížená",J307,0)</f>
        <v>338.24</v>
      </c>
      <c r="BG307" s="130">
        <f>IF(N307="zákl. prenesená",J307,0)</f>
        <v>0</v>
      </c>
      <c r="BH307" s="130">
        <f>IF(N307="zníž. prenesená",J307,0)</f>
        <v>0</v>
      </c>
      <c r="BI307" s="130">
        <f>IF(N307="nulová",J307,0)</f>
        <v>0</v>
      </c>
      <c r="BJ307" s="13" t="s">
        <v>76</v>
      </c>
      <c r="BK307" s="130">
        <f>ROUND(I307*H307,2)</f>
        <v>338.24</v>
      </c>
      <c r="BL307" s="13" t="s">
        <v>235</v>
      </c>
      <c r="BM307" s="129" t="s">
        <v>448</v>
      </c>
    </row>
    <row r="308" spans="2:65" s="1" customFormat="1" ht="28.95" customHeight="1" x14ac:dyDescent="0.2">
      <c r="B308" s="118"/>
      <c r="C308" s="119" t="s">
        <v>340</v>
      </c>
      <c r="D308" s="119" t="s">
        <v>231</v>
      </c>
      <c r="E308" s="120" t="s">
        <v>4519</v>
      </c>
      <c r="F308" s="121" t="s">
        <v>4520</v>
      </c>
      <c r="G308" s="122" t="s">
        <v>1194</v>
      </c>
      <c r="H308" s="123">
        <v>28</v>
      </c>
      <c r="I308" s="124">
        <v>3.41</v>
      </c>
      <c r="J308" s="124">
        <f>ROUND(I308*H308,2)</f>
        <v>95.48</v>
      </c>
      <c r="K308" s="121" t="s">
        <v>1</v>
      </c>
      <c r="L308" s="24"/>
      <c r="M308" s="125" t="s">
        <v>1</v>
      </c>
      <c r="N308" s="126" t="s">
        <v>32</v>
      </c>
      <c r="O308" s="127">
        <v>0</v>
      </c>
      <c r="P308" s="127">
        <f>O308*H308</f>
        <v>0</v>
      </c>
      <c r="Q308" s="127">
        <v>0</v>
      </c>
      <c r="R308" s="127">
        <f>Q308*H308</f>
        <v>0</v>
      </c>
      <c r="S308" s="127">
        <v>0</v>
      </c>
      <c r="T308" s="128">
        <f>S308*H308</f>
        <v>0</v>
      </c>
      <c r="W308" s="199"/>
      <c r="X308" s="119" t="s">
        <v>340</v>
      </c>
      <c r="Y308" s="119" t="s">
        <v>231</v>
      </c>
      <c r="Z308" s="120" t="s">
        <v>4519</v>
      </c>
      <c r="AA308" s="121" t="s">
        <v>4520</v>
      </c>
      <c r="AB308" s="122" t="s">
        <v>1194</v>
      </c>
      <c r="AC308" s="123">
        <v>28</v>
      </c>
      <c r="AD308" s="124">
        <v>3.41</v>
      </c>
      <c r="AE308" s="200">
        <f t="shared" si="27"/>
        <v>95.48</v>
      </c>
      <c r="AF308" s="248"/>
      <c r="AR308" s="129" t="s">
        <v>235</v>
      </c>
      <c r="AT308" s="129" t="s">
        <v>231</v>
      </c>
      <c r="AU308" s="129" t="s">
        <v>76</v>
      </c>
      <c r="AY308" s="13" t="s">
        <v>228</v>
      </c>
      <c r="BE308" s="130">
        <f>IF(N308="základná",J308,0)</f>
        <v>0</v>
      </c>
      <c r="BF308" s="130">
        <f>IF(N308="znížená",J308,0)</f>
        <v>95.48</v>
      </c>
      <c r="BG308" s="130">
        <f>IF(N308="zákl. prenesená",J308,0)</f>
        <v>0</v>
      </c>
      <c r="BH308" s="130">
        <f>IF(N308="zníž. prenesená",J308,0)</f>
        <v>0</v>
      </c>
      <c r="BI308" s="130">
        <f>IF(N308="nulová",J308,0)</f>
        <v>0</v>
      </c>
      <c r="BJ308" s="13" t="s">
        <v>76</v>
      </c>
      <c r="BK308" s="130">
        <f>ROUND(I308*H308,2)</f>
        <v>95.48</v>
      </c>
      <c r="BL308" s="13" t="s">
        <v>235</v>
      </c>
      <c r="BM308" s="129" t="s">
        <v>451</v>
      </c>
    </row>
    <row r="309" spans="2:65" s="1" customFormat="1" ht="16.5" customHeight="1" x14ac:dyDescent="0.2">
      <c r="B309" s="118"/>
      <c r="C309" s="205" t="s">
        <v>452</v>
      </c>
      <c r="D309" s="119" t="s">
        <v>231</v>
      </c>
      <c r="E309" s="120" t="s">
        <v>1261</v>
      </c>
      <c r="F309" s="121" t="s">
        <v>1262</v>
      </c>
      <c r="G309" s="122" t="s">
        <v>570</v>
      </c>
      <c r="H309" s="123">
        <v>1.8</v>
      </c>
      <c r="I309" s="213">
        <v>59.92</v>
      </c>
      <c r="J309" s="124">
        <f>ROUND(I309*H309,2)</f>
        <v>107.86</v>
      </c>
      <c r="K309" s="121" t="s">
        <v>1</v>
      </c>
      <c r="L309" s="24"/>
      <c r="M309" s="125" t="s">
        <v>1</v>
      </c>
      <c r="N309" s="126" t="s">
        <v>32</v>
      </c>
      <c r="O309" s="127">
        <v>0</v>
      </c>
      <c r="P309" s="127">
        <f>O309*H309</f>
        <v>0</v>
      </c>
      <c r="Q309" s="127">
        <v>0</v>
      </c>
      <c r="R309" s="127">
        <f>Q309*H309</f>
        <v>0</v>
      </c>
      <c r="S309" s="127">
        <v>0</v>
      </c>
      <c r="T309" s="128">
        <f>S309*H309</f>
        <v>0</v>
      </c>
      <c r="W309" s="199"/>
      <c r="X309" s="205" t="s">
        <v>452</v>
      </c>
      <c r="Y309" s="119" t="s">
        <v>231</v>
      </c>
      <c r="Z309" s="120" t="s">
        <v>1261</v>
      </c>
      <c r="AA309" s="121" t="s">
        <v>1262</v>
      </c>
      <c r="AB309" s="122" t="s">
        <v>570</v>
      </c>
      <c r="AC309" s="123">
        <v>1.8</v>
      </c>
      <c r="AD309" s="213">
        <v>42</v>
      </c>
      <c r="AE309" s="200">
        <f t="shared" si="27"/>
        <v>75.599999999999994</v>
      </c>
      <c r="AF309" s="248">
        <v>7</v>
      </c>
      <c r="AR309" s="129" t="s">
        <v>235</v>
      </c>
      <c r="AT309" s="129" t="s">
        <v>231</v>
      </c>
      <c r="AU309" s="129" t="s">
        <v>76</v>
      </c>
      <c r="AY309" s="13" t="s">
        <v>228</v>
      </c>
      <c r="BE309" s="130">
        <f>IF(N309="základná",J309,0)</f>
        <v>0</v>
      </c>
      <c r="BF309" s="130">
        <f>IF(N309="znížená",J309,0)</f>
        <v>107.86</v>
      </c>
      <c r="BG309" s="130">
        <f>IF(N309="zákl. prenesená",J309,0)</f>
        <v>0</v>
      </c>
      <c r="BH309" s="130">
        <f>IF(N309="zníž. prenesená",J309,0)</f>
        <v>0</v>
      </c>
      <c r="BI309" s="130">
        <f>IF(N309="nulová",J309,0)</f>
        <v>0</v>
      </c>
      <c r="BJ309" s="13" t="s">
        <v>76</v>
      </c>
      <c r="BK309" s="130">
        <f>ROUND(I309*H309,2)</f>
        <v>107.86</v>
      </c>
      <c r="BL309" s="13" t="s">
        <v>235</v>
      </c>
      <c r="BM309" s="129" t="s">
        <v>455</v>
      </c>
    </row>
    <row r="310" spans="2:65" s="11" customFormat="1" ht="25.95" customHeight="1" x14ac:dyDescent="0.25">
      <c r="B310" s="106"/>
      <c r="D310" s="107" t="s">
        <v>57</v>
      </c>
      <c r="E310" s="108" t="s">
        <v>3641</v>
      </c>
      <c r="F310" s="108" t="s">
        <v>3642</v>
      </c>
      <c r="J310" s="109">
        <f>BK310</f>
        <v>5403.579999999999</v>
      </c>
      <c r="L310" s="106"/>
      <c r="M310" s="110"/>
      <c r="N310" s="111"/>
      <c r="O310" s="111"/>
      <c r="P310" s="112">
        <f>P312+P326+P329+P337</f>
        <v>0</v>
      </c>
      <c r="Q310" s="111"/>
      <c r="R310" s="112">
        <f>R312+R326+R329+R337</f>
        <v>0</v>
      </c>
      <c r="S310" s="111"/>
      <c r="T310" s="113">
        <f>T312+T326+T329+T337</f>
        <v>0</v>
      </c>
      <c r="W310" s="195"/>
      <c r="X310" s="111"/>
      <c r="Y310" s="196" t="s">
        <v>57</v>
      </c>
      <c r="Z310" s="197" t="s">
        <v>3641</v>
      </c>
      <c r="AA310" s="197" t="s">
        <v>3642</v>
      </c>
      <c r="AB310" s="111"/>
      <c r="AC310" s="111"/>
      <c r="AD310" s="111"/>
      <c r="AE310" s="198">
        <f>AE311+AE312+AE326+AE329+AE337</f>
        <v>5322.9799999999987</v>
      </c>
      <c r="AF310" s="248"/>
      <c r="AR310" s="107" t="s">
        <v>63</v>
      </c>
      <c r="AT310" s="114" t="s">
        <v>57</v>
      </c>
      <c r="AU310" s="114" t="s">
        <v>58</v>
      </c>
      <c r="AY310" s="107" t="s">
        <v>228</v>
      </c>
      <c r="BK310" s="115">
        <f>BK312+BK326+BK329+BK337</f>
        <v>5403.579999999999</v>
      </c>
    </row>
    <row r="311" spans="2:65" s="11" customFormat="1" ht="39.450000000000003" customHeight="1" x14ac:dyDescent="0.2">
      <c r="B311" s="106"/>
      <c r="C311" s="1234" t="s">
        <v>5205</v>
      </c>
      <c r="D311" s="1235"/>
      <c r="E311" s="1235"/>
      <c r="F311" s="1235"/>
      <c r="G311" s="1235"/>
      <c r="H311" s="1235"/>
      <c r="I311" s="1235"/>
      <c r="J311" s="1236"/>
      <c r="L311" s="106"/>
      <c r="M311" s="110"/>
      <c r="N311" s="111"/>
      <c r="O311" s="111"/>
      <c r="P311" s="112"/>
      <c r="Q311" s="111"/>
      <c r="R311" s="112"/>
      <c r="S311" s="111"/>
      <c r="T311" s="113"/>
      <c r="W311" s="195"/>
      <c r="X311" s="215" t="s">
        <v>5411</v>
      </c>
      <c r="Y311" s="215" t="s">
        <v>231</v>
      </c>
      <c r="Z311" s="216" t="s">
        <v>3420</v>
      </c>
      <c r="AA311" s="217" t="s">
        <v>5410</v>
      </c>
      <c r="AB311" s="218" t="s">
        <v>1</v>
      </c>
      <c r="AC311" s="219">
        <v>10</v>
      </c>
      <c r="AD311" s="220">
        <v>135.5</v>
      </c>
      <c r="AE311" s="221">
        <f>ROUND(AD311*AC311,2)</f>
        <v>1355</v>
      </c>
      <c r="AF311" s="248">
        <v>7</v>
      </c>
      <c r="AR311" s="107"/>
      <c r="AT311" s="114"/>
      <c r="AU311" s="114"/>
      <c r="AY311" s="107"/>
      <c r="BK311" s="115"/>
    </row>
    <row r="312" spans="2:65" s="11" customFormat="1" ht="22.95" customHeight="1" x14ac:dyDescent="0.25">
      <c r="B312" s="106"/>
      <c r="D312" s="107" t="s">
        <v>57</v>
      </c>
      <c r="E312" s="116" t="s">
        <v>2218</v>
      </c>
      <c r="F312" s="116" t="s">
        <v>3644</v>
      </c>
      <c r="J312" s="117">
        <f>BK312</f>
        <v>4075.99</v>
      </c>
      <c r="L312" s="106"/>
      <c r="M312" s="110"/>
      <c r="N312" s="111"/>
      <c r="O312" s="111"/>
      <c r="P312" s="112">
        <f>SUM(P315:P325)</f>
        <v>0</v>
      </c>
      <c r="Q312" s="111"/>
      <c r="R312" s="112">
        <f>SUM(R315:R325)</f>
        <v>0</v>
      </c>
      <c r="S312" s="111"/>
      <c r="T312" s="113">
        <f>SUM(T315:T325)</f>
        <v>0</v>
      </c>
      <c r="W312" s="195"/>
      <c r="X312" s="111"/>
      <c r="Y312" s="196" t="s">
        <v>57</v>
      </c>
      <c r="Z312" s="201" t="s">
        <v>2218</v>
      </c>
      <c r="AA312" s="201" t="s">
        <v>3644</v>
      </c>
      <c r="AB312" s="111"/>
      <c r="AC312" s="111"/>
      <c r="AD312" s="111"/>
      <c r="AE312" s="202">
        <f>SUM(AE313:AE325)</f>
        <v>2637.3399999999992</v>
      </c>
      <c r="AF312" s="248"/>
      <c r="AR312" s="107" t="s">
        <v>63</v>
      </c>
      <c r="AT312" s="114" t="s">
        <v>57</v>
      </c>
      <c r="AU312" s="114" t="s">
        <v>63</v>
      </c>
      <c r="AY312" s="107" t="s">
        <v>228</v>
      </c>
      <c r="BK312" s="115">
        <f>SUM(BK315:BK325)</f>
        <v>4075.99</v>
      </c>
    </row>
    <row r="313" spans="2:65" s="11" customFormat="1" ht="16.5" customHeight="1" x14ac:dyDescent="0.2">
      <c r="B313" s="106"/>
      <c r="C313" s="1234" t="s">
        <v>5205</v>
      </c>
      <c r="D313" s="1235"/>
      <c r="E313" s="1235"/>
      <c r="F313" s="1235"/>
      <c r="G313" s="1235"/>
      <c r="H313" s="1235"/>
      <c r="I313" s="1235"/>
      <c r="J313" s="1236"/>
      <c r="L313" s="106"/>
      <c r="M313" s="110"/>
      <c r="N313" s="111"/>
      <c r="O313" s="111"/>
      <c r="P313" s="112"/>
      <c r="Q313" s="111"/>
      <c r="R313" s="112"/>
      <c r="S313" s="111"/>
      <c r="T313" s="113"/>
      <c r="W313" s="195"/>
      <c r="X313" s="215" t="s">
        <v>5416</v>
      </c>
      <c r="Y313" s="215" t="s">
        <v>231</v>
      </c>
      <c r="Z313" s="216" t="s">
        <v>5412</v>
      </c>
      <c r="AA313" s="217" t="s">
        <v>5413</v>
      </c>
      <c r="AB313" s="218" t="s">
        <v>1194</v>
      </c>
      <c r="AC313" s="219">
        <v>1</v>
      </c>
      <c r="AD313" s="220">
        <v>75.599999999999994</v>
      </c>
      <c r="AE313" s="221">
        <f t="shared" ref="AE313:AE314" si="28">ROUND(AD313*AC313,2)</f>
        <v>75.599999999999994</v>
      </c>
      <c r="AF313" s="248">
        <v>7</v>
      </c>
      <c r="AR313" s="107"/>
      <c r="AT313" s="114"/>
      <c r="AU313" s="114"/>
      <c r="AY313" s="107"/>
      <c r="BK313" s="115"/>
    </row>
    <row r="314" spans="2:65" s="11" customFormat="1" ht="22.2" customHeight="1" x14ac:dyDescent="0.2">
      <c r="B314" s="106"/>
      <c r="C314" s="1234" t="s">
        <v>5205</v>
      </c>
      <c r="D314" s="1235"/>
      <c r="E314" s="1235"/>
      <c r="F314" s="1235"/>
      <c r="G314" s="1235"/>
      <c r="H314" s="1235"/>
      <c r="I314" s="1235"/>
      <c r="J314" s="1236"/>
      <c r="L314" s="106"/>
      <c r="M314" s="110"/>
      <c r="N314" s="111"/>
      <c r="O314" s="111"/>
      <c r="P314" s="112"/>
      <c r="Q314" s="111"/>
      <c r="R314" s="112"/>
      <c r="S314" s="111"/>
      <c r="T314" s="113"/>
      <c r="W314" s="195"/>
      <c r="X314" s="215" t="s">
        <v>5417</v>
      </c>
      <c r="Y314" s="215" t="s">
        <v>231</v>
      </c>
      <c r="Z314" s="216" t="s">
        <v>5414</v>
      </c>
      <c r="AA314" s="217" t="s">
        <v>5415</v>
      </c>
      <c r="AB314" s="218" t="s">
        <v>1194</v>
      </c>
      <c r="AC314" s="219">
        <v>2</v>
      </c>
      <c r="AD314" s="220">
        <v>109.91</v>
      </c>
      <c r="AE314" s="221">
        <f t="shared" si="28"/>
        <v>219.82</v>
      </c>
      <c r="AF314" s="248">
        <v>7</v>
      </c>
      <c r="AR314" s="107"/>
      <c r="AT314" s="114"/>
      <c r="AU314" s="114"/>
      <c r="AY314" s="107"/>
      <c r="BK314" s="115"/>
    </row>
    <row r="315" spans="2:65" s="1" customFormat="1" ht="22.8" x14ac:dyDescent="0.2">
      <c r="B315" s="118"/>
      <c r="C315" s="205" t="s">
        <v>344</v>
      </c>
      <c r="D315" s="119" t="s">
        <v>231</v>
      </c>
      <c r="E315" s="120" t="s">
        <v>4521</v>
      </c>
      <c r="F315" s="121" t="s">
        <v>4522</v>
      </c>
      <c r="G315" s="122" t="s">
        <v>1194</v>
      </c>
      <c r="H315" s="206">
        <v>3</v>
      </c>
      <c r="I315" s="124">
        <v>109.91</v>
      </c>
      <c r="J315" s="124">
        <f t="shared" ref="J315:J325" si="29">ROUND(I315*H315,2)</f>
        <v>329.73</v>
      </c>
      <c r="K315" s="121" t="s">
        <v>1</v>
      </c>
      <c r="L315" s="24"/>
      <c r="M315" s="125" t="s">
        <v>1</v>
      </c>
      <c r="N315" s="126" t="s">
        <v>32</v>
      </c>
      <c r="O315" s="127">
        <v>0</v>
      </c>
      <c r="P315" s="127">
        <f t="shared" ref="P315:P325" si="30">O315*H315</f>
        <v>0</v>
      </c>
      <c r="Q315" s="127">
        <v>0</v>
      </c>
      <c r="R315" s="127">
        <f t="shared" ref="R315:R325" si="31">Q315*H315</f>
        <v>0</v>
      </c>
      <c r="S315" s="127">
        <v>0</v>
      </c>
      <c r="T315" s="128">
        <f t="shared" ref="T315:T325" si="32">S315*H315</f>
        <v>0</v>
      </c>
      <c r="W315" s="199"/>
      <c r="X315" s="205" t="s">
        <v>344</v>
      </c>
      <c r="Y315" s="119" t="s">
        <v>231</v>
      </c>
      <c r="Z315" s="120" t="s">
        <v>4521</v>
      </c>
      <c r="AA315" s="121" t="s">
        <v>4522</v>
      </c>
      <c r="AB315" s="122" t="s">
        <v>1194</v>
      </c>
      <c r="AC315" s="206">
        <v>1</v>
      </c>
      <c r="AD315" s="124">
        <v>109.91</v>
      </c>
      <c r="AE315" s="200">
        <f t="shared" ref="AE315:AE325" si="33">ROUND(AD315*AC315,2)</f>
        <v>109.91</v>
      </c>
      <c r="AF315" s="248">
        <v>7</v>
      </c>
      <c r="AR315" s="129" t="s">
        <v>235</v>
      </c>
      <c r="AT315" s="129" t="s">
        <v>231</v>
      </c>
      <c r="AU315" s="129" t="s">
        <v>76</v>
      </c>
      <c r="AY315" s="13" t="s">
        <v>228</v>
      </c>
      <c r="BE315" s="130">
        <f t="shared" ref="BE315:BE325" si="34">IF(N315="základná",J315,0)</f>
        <v>0</v>
      </c>
      <c r="BF315" s="130">
        <f t="shared" ref="BF315:BF325" si="35">IF(N315="znížená",J315,0)</f>
        <v>329.73</v>
      </c>
      <c r="BG315" s="130">
        <f t="shared" ref="BG315:BG325" si="36">IF(N315="zákl. prenesená",J315,0)</f>
        <v>0</v>
      </c>
      <c r="BH315" s="130">
        <f t="shared" ref="BH315:BH325" si="37">IF(N315="zníž. prenesená",J315,0)</f>
        <v>0</v>
      </c>
      <c r="BI315" s="130">
        <f t="shared" ref="BI315:BI325" si="38">IF(N315="nulová",J315,0)</f>
        <v>0</v>
      </c>
      <c r="BJ315" s="13" t="s">
        <v>76</v>
      </c>
      <c r="BK315" s="130">
        <f t="shared" ref="BK315:BK325" si="39">ROUND(I315*H315,2)</f>
        <v>329.73</v>
      </c>
      <c r="BL315" s="13" t="s">
        <v>235</v>
      </c>
      <c r="BM315" s="129" t="s">
        <v>458</v>
      </c>
    </row>
    <row r="316" spans="2:65" s="1" customFormat="1" ht="22.8" x14ac:dyDescent="0.2">
      <c r="B316" s="118"/>
      <c r="C316" s="205" t="s">
        <v>459</v>
      </c>
      <c r="D316" s="119" t="s">
        <v>231</v>
      </c>
      <c r="E316" s="120" t="s">
        <v>4523</v>
      </c>
      <c r="F316" s="121" t="s">
        <v>4524</v>
      </c>
      <c r="G316" s="122" t="s">
        <v>1194</v>
      </c>
      <c r="H316" s="206">
        <v>2</v>
      </c>
      <c r="I316" s="124">
        <v>117.85</v>
      </c>
      <c r="J316" s="124">
        <f t="shared" si="29"/>
        <v>235.7</v>
      </c>
      <c r="K316" s="121" t="s">
        <v>1</v>
      </c>
      <c r="L316" s="24"/>
      <c r="M316" s="125" t="s">
        <v>1</v>
      </c>
      <c r="N316" s="126" t="s">
        <v>32</v>
      </c>
      <c r="O316" s="127">
        <v>0</v>
      </c>
      <c r="P316" s="127">
        <f t="shared" si="30"/>
        <v>0</v>
      </c>
      <c r="Q316" s="127">
        <v>0</v>
      </c>
      <c r="R316" s="127">
        <f t="shared" si="31"/>
        <v>0</v>
      </c>
      <c r="S316" s="127">
        <v>0</v>
      </c>
      <c r="T316" s="128">
        <f t="shared" si="32"/>
        <v>0</v>
      </c>
      <c r="W316" s="199"/>
      <c r="X316" s="205" t="s">
        <v>459</v>
      </c>
      <c r="Y316" s="119" t="s">
        <v>231</v>
      </c>
      <c r="Z316" s="120" t="s">
        <v>4523</v>
      </c>
      <c r="AA316" s="121" t="s">
        <v>4524</v>
      </c>
      <c r="AB316" s="122" t="s">
        <v>1194</v>
      </c>
      <c r="AC316" s="206">
        <v>0</v>
      </c>
      <c r="AD316" s="124">
        <v>117.85</v>
      </c>
      <c r="AE316" s="200">
        <f t="shared" si="33"/>
        <v>0</v>
      </c>
      <c r="AF316" s="248">
        <v>7</v>
      </c>
      <c r="AR316" s="129" t="s">
        <v>235</v>
      </c>
      <c r="AT316" s="129" t="s">
        <v>231</v>
      </c>
      <c r="AU316" s="129" t="s">
        <v>76</v>
      </c>
      <c r="AY316" s="13" t="s">
        <v>228</v>
      </c>
      <c r="BE316" s="130">
        <f t="shared" si="34"/>
        <v>0</v>
      </c>
      <c r="BF316" s="130">
        <f t="shared" si="35"/>
        <v>235.7</v>
      </c>
      <c r="BG316" s="130">
        <f t="shared" si="36"/>
        <v>0</v>
      </c>
      <c r="BH316" s="130">
        <f t="shared" si="37"/>
        <v>0</v>
      </c>
      <c r="BI316" s="130">
        <f t="shared" si="38"/>
        <v>0</v>
      </c>
      <c r="BJ316" s="13" t="s">
        <v>76</v>
      </c>
      <c r="BK316" s="130">
        <f t="shared" si="39"/>
        <v>235.7</v>
      </c>
      <c r="BL316" s="13" t="s">
        <v>235</v>
      </c>
      <c r="BM316" s="129" t="s">
        <v>462</v>
      </c>
    </row>
    <row r="317" spans="2:65" s="1" customFormat="1" ht="22.8" x14ac:dyDescent="0.2">
      <c r="B317" s="118"/>
      <c r="C317" s="119" t="s">
        <v>347</v>
      </c>
      <c r="D317" s="119" t="s">
        <v>231</v>
      </c>
      <c r="E317" s="120" t="s">
        <v>4525</v>
      </c>
      <c r="F317" s="121" t="s">
        <v>4526</v>
      </c>
      <c r="G317" s="122" t="s">
        <v>1194</v>
      </c>
      <c r="H317" s="123">
        <v>2</v>
      </c>
      <c r="I317" s="124">
        <v>125.82</v>
      </c>
      <c r="J317" s="124">
        <f t="shared" si="29"/>
        <v>251.64</v>
      </c>
      <c r="K317" s="121" t="s">
        <v>1</v>
      </c>
      <c r="L317" s="24"/>
      <c r="M317" s="125" t="s">
        <v>1</v>
      </c>
      <c r="N317" s="126" t="s">
        <v>32</v>
      </c>
      <c r="O317" s="127">
        <v>0</v>
      </c>
      <c r="P317" s="127">
        <f t="shared" si="30"/>
        <v>0</v>
      </c>
      <c r="Q317" s="127">
        <v>0</v>
      </c>
      <c r="R317" s="127">
        <f t="shared" si="31"/>
        <v>0</v>
      </c>
      <c r="S317" s="127">
        <v>0</v>
      </c>
      <c r="T317" s="128">
        <f t="shared" si="32"/>
        <v>0</v>
      </c>
      <c r="W317" s="199"/>
      <c r="X317" s="119" t="s">
        <v>347</v>
      </c>
      <c r="Y317" s="119" t="s">
        <v>231</v>
      </c>
      <c r="Z317" s="120" t="s">
        <v>4525</v>
      </c>
      <c r="AA317" s="121" t="s">
        <v>4526</v>
      </c>
      <c r="AB317" s="122" t="s">
        <v>1194</v>
      </c>
      <c r="AC317" s="123">
        <v>2</v>
      </c>
      <c r="AD317" s="124">
        <v>125.82</v>
      </c>
      <c r="AE317" s="200">
        <f t="shared" si="33"/>
        <v>251.64</v>
      </c>
      <c r="AF317" s="248"/>
      <c r="AR317" s="129" t="s">
        <v>235</v>
      </c>
      <c r="AT317" s="129" t="s">
        <v>231</v>
      </c>
      <c r="AU317" s="129" t="s">
        <v>76</v>
      </c>
      <c r="AY317" s="13" t="s">
        <v>228</v>
      </c>
      <c r="BE317" s="130">
        <f t="shared" si="34"/>
        <v>0</v>
      </c>
      <c r="BF317" s="130">
        <f t="shared" si="35"/>
        <v>251.64</v>
      </c>
      <c r="BG317" s="130">
        <f t="shared" si="36"/>
        <v>0</v>
      </c>
      <c r="BH317" s="130">
        <f t="shared" si="37"/>
        <v>0</v>
      </c>
      <c r="BI317" s="130">
        <f t="shared" si="38"/>
        <v>0</v>
      </c>
      <c r="BJ317" s="13" t="s">
        <v>76</v>
      </c>
      <c r="BK317" s="130">
        <f t="shared" si="39"/>
        <v>251.64</v>
      </c>
      <c r="BL317" s="13" t="s">
        <v>235</v>
      </c>
      <c r="BM317" s="129" t="s">
        <v>465</v>
      </c>
    </row>
    <row r="318" spans="2:65" s="1" customFormat="1" ht="24" customHeight="1" x14ac:dyDescent="0.2">
      <c r="B318" s="118"/>
      <c r="C318" s="119" t="s">
        <v>466</v>
      </c>
      <c r="D318" s="119" t="s">
        <v>231</v>
      </c>
      <c r="E318" s="120" t="s">
        <v>4527</v>
      </c>
      <c r="F318" s="121" t="s">
        <v>4528</v>
      </c>
      <c r="G318" s="122" t="s">
        <v>1194</v>
      </c>
      <c r="H318" s="123">
        <v>1</v>
      </c>
      <c r="I318" s="124">
        <v>111.66</v>
      </c>
      <c r="J318" s="124">
        <f t="shared" si="29"/>
        <v>111.66</v>
      </c>
      <c r="K318" s="121" t="s">
        <v>1</v>
      </c>
      <c r="L318" s="24"/>
      <c r="M318" s="125" t="s">
        <v>1</v>
      </c>
      <c r="N318" s="126" t="s">
        <v>32</v>
      </c>
      <c r="O318" s="127">
        <v>0</v>
      </c>
      <c r="P318" s="127">
        <f t="shared" si="30"/>
        <v>0</v>
      </c>
      <c r="Q318" s="127">
        <v>0</v>
      </c>
      <c r="R318" s="127">
        <f t="shared" si="31"/>
        <v>0</v>
      </c>
      <c r="S318" s="127">
        <v>0</v>
      </c>
      <c r="T318" s="128">
        <f t="shared" si="32"/>
        <v>0</v>
      </c>
      <c r="W318" s="199"/>
      <c r="X318" s="119" t="s">
        <v>466</v>
      </c>
      <c r="Y318" s="119" t="s">
        <v>231</v>
      </c>
      <c r="Z318" s="120" t="s">
        <v>4527</v>
      </c>
      <c r="AA318" s="121" t="s">
        <v>4528</v>
      </c>
      <c r="AB318" s="122" t="s">
        <v>1194</v>
      </c>
      <c r="AC318" s="123">
        <v>1</v>
      </c>
      <c r="AD318" s="124">
        <v>111.66</v>
      </c>
      <c r="AE318" s="200">
        <f t="shared" si="33"/>
        <v>111.66</v>
      </c>
      <c r="AF318" s="248"/>
      <c r="AR318" s="129" t="s">
        <v>235</v>
      </c>
      <c r="AT318" s="129" t="s">
        <v>231</v>
      </c>
      <c r="AU318" s="129" t="s">
        <v>76</v>
      </c>
      <c r="AY318" s="13" t="s">
        <v>228</v>
      </c>
      <c r="BE318" s="130">
        <f t="shared" si="34"/>
        <v>0</v>
      </c>
      <c r="BF318" s="130">
        <f t="shared" si="35"/>
        <v>111.66</v>
      </c>
      <c r="BG318" s="130">
        <f t="shared" si="36"/>
        <v>0</v>
      </c>
      <c r="BH318" s="130">
        <f t="shared" si="37"/>
        <v>0</v>
      </c>
      <c r="BI318" s="130">
        <f t="shared" si="38"/>
        <v>0</v>
      </c>
      <c r="BJ318" s="13" t="s">
        <v>76</v>
      </c>
      <c r="BK318" s="130">
        <f t="shared" si="39"/>
        <v>111.66</v>
      </c>
      <c r="BL318" s="13" t="s">
        <v>235</v>
      </c>
      <c r="BM318" s="129" t="s">
        <v>469</v>
      </c>
    </row>
    <row r="319" spans="2:65" s="1" customFormat="1" ht="25.95" customHeight="1" x14ac:dyDescent="0.2">
      <c r="B319" s="118"/>
      <c r="C319" s="119" t="s">
        <v>351</v>
      </c>
      <c r="D319" s="119" t="s">
        <v>231</v>
      </c>
      <c r="E319" s="120" t="s">
        <v>4529</v>
      </c>
      <c r="F319" s="121" t="s">
        <v>4530</v>
      </c>
      <c r="G319" s="122" t="s">
        <v>1194</v>
      </c>
      <c r="H319" s="123">
        <v>4</v>
      </c>
      <c r="I319" s="124">
        <v>140.34</v>
      </c>
      <c r="J319" s="124">
        <f t="shared" si="29"/>
        <v>561.36</v>
      </c>
      <c r="K319" s="121" t="s">
        <v>1</v>
      </c>
      <c r="L319" s="24"/>
      <c r="M319" s="125" t="s">
        <v>1</v>
      </c>
      <c r="N319" s="126" t="s">
        <v>32</v>
      </c>
      <c r="O319" s="127">
        <v>0</v>
      </c>
      <c r="P319" s="127">
        <f t="shared" si="30"/>
        <v>0</v>
      </c>
      <c r="Q319" s="127">
        <v>0</v>
      </c>
      <c r="R319" s="127">
        <f t="shared" si="31"/>
        <v>0</v>
      </c>
      <c r="S319" s="127">
        <v>0</v>
      </c>
      <c r="T319" s="128">
        <f t="shared" si="32"/>
        <v>0</v>
      </c>
      <c r="W319" s="199"/>
      <c r="X319" s="119" t="s">
        <v>351</v>
      </c>
      <c r="Y319" s="119" t="s">
        <v>231</v>
      </c>
      <c r="Z319" s="120" t="s">
        <v>4529</v>
      </c>
      <c r="AA319" s="121" t="s">
        <v>4530</v>
      </c>
      <c r="AB319" s="122" t="s">
        <v>1194</v>
      </c>
      <c r="AC319" s="123">
        <v>4</v>
      </c>
      <c r="AD319" s="124">
        <v>140.34</v>
      </c>
      <c r="AE319" s="200">
        <f t="shared" si="33"/>
        <v>561.36</v>
      </c>
      <c r="AF319" s="248"/>
      <c r="AR319" s="129" t="s">
        <v>235</v>
      </c>
      <c r="AT319" s="129" t="s">
        <v>231</v>
      </c>
      <c r="AU319" s="129" t="s">
        <v>76</v>
      </c>
      <c r="AY319" s="13" t="s">
        <v>228</v>
      </c>
      <c r="BE319" s="130">
        <f t="shared" si="34"/>
        <v>0</v>
      </c>
      <c r="BF319" s="130">
        <f t="shared" si="35"/>
        <v>561.36</v>
      </c>
      <c r="BG319" s="130">
        <f t="shared" si="36"/>
        <v>0</v>
      </c>
      <c r="BH319" s="130">
        <f t="shared" si="37"/>
        <v>0</v>
      </c>
      <c r="BI319" s="130">
        <f t="shared" si="38"/>
        <v>0</v>
      </c>
      <c r="BJ319" s="13" t="s">
        <v>76</v>
      </c>
      <c r="BK319" s="130">
        <f t="shared" si="39"/>
        <v>561.36</v>
      </c>
      <c r="BL319" s="13" t="s">
        <v>235</v>
      </c>
      <c r="BM319" s="129" t="s">
        <v>472</v>
      </c>
    </row>
    <row r="320" spans="2:65" s="1025" customFormat="1" ht="25.95" customHeight="1" x14ac:dyDescent="0.2">
      <c r="B320" s="1028"/>
      <c r="C320" s="1029"/>
      <c r="D320" s="1029"/>
      <c r="E320" s="1030"/>
      <c r="F320" s="1031"/>
      <c r="G320" s="1032"/>
      <c r="H320" s="1033"/>
      <c r="I320" s="1034"/>
      <c r="J320" s="1034"/>
      <c r="K320" s="1031"/>
      <c r="L320" s="1027"/>
      <c r="M320" s="1035"/>
      <c r="N320" s="1036"/>
      <c r="O320" s="1037"/>
      <c r="P320" s="1037"/>
      <c r="Q320" s="1037"/>
      <c r="R320" s="1037"/>
      <c r="S320" s="1037"/>
      <c r="T320" s="1038"/>
      <c r="W320" s="1041"/>
      <c r="X320" s="1072" t="s">
        <v>5255</v>
      </c>
      <c r="Y320" s="1072" t="s">
        <v>231</v>
      </c>
      <c r="Z320" s="1073" t="s">
        <v>6199</v>
      </c>
      <c r="AA320" s="1074" t="s">
        <v>6200</v>
      </c>
      <c r="AB320" s="1075" t="s">
        <v>1194</v>
      </c>
      <c r="AC320" s="1076">
        <v>1</v>
      </c>
      <c r="AD320" s="1077">
        <v>127</v>
      </c>
      <c r="AE320" s="1078">
        <f>AC320*AD320</f>
        <v>127</v>
      </c>
      <c r="AF320" s="924" t="s">
        <v>5482</v>
      </c>
      <c r="AR320" s="1039"/>
      <c r="AT320" s="1039"/>
      <c r="AU320" s="1039"/>
      <c r="AY320" s="1026"/>
      <c r="BE320" s="1040"/>
      <c r="BF320" s="1040"/>
      <c r="BG320" s="1040"/>
      <c r="BH320" s="1040"/>
      <c r="BI320" s="1040"/>
      <c r="BJ320" s="1026"/>
      <c r="BK320" s="1040"/>
      <c r="BL320" s="1026"/>
      <c r="BM320" s="1039"/>
    </row>
    <row r="321" spans="2:65" s="1" customFormat="1" ht="22.8" x14ac:dyDescent="0.2">
      <c r="B321" s="118"/>
      <c r="C321" s="205" t="s">
        <v>473</v>
      </c>
      <c r="D321" s="119" t="s">
        <v>231</v>
      </c>
      <c r="E321" s="120" t="s">
        <v>4531</v>
      </c>
      <c r="F321" s="121" t="s">
        <v>4532</v>
      </c>
      <c r="G321" s="122" t="s">
        <v>1194</v>
      </c>
      <c r="H321" s="206">
        <v>15</v>
      </c>
      <c r="I321" s="124">
        <v>149.91</v>
      </c>
      <c r="J321" s="124">
        <f t="shared" si="29"/>
        <v>2248.65</v>
      </c>
      <c r="K321" s="121" t="s">
        <v>1</v>
      </c>
      <c r="L321" s="24"/>
      <c r="M321" s="125" t="s">
        <v>1</v>
      </c>
      <c r="N321" s="126" t="s">
        <v>32</v>
      </c>
      <c r="O321" s="127">
        <v>0</v>
      </c>
      <c r="P321" s="127">
        <f t="shared" si="30"/>
        <v>0</v>
      </c>
      <c r="Q321" s="127">
        <v>0</v>
      </c>
      <c r="R321" s="127">
        <f t="shared" si="31"/>
        <v>0</v>
      </c>
      <c r="S321" s="127">
        <v>0</v>
      </c>
      <c r="T321" s="128">
        <f t="shared" si="32"/>
        <v>0</v>
      </c>
      <c r="W321" s="199"/>
      <c r="X321" s="205" t="s">
        <v>473</v>
      </c>
      <c r="Y321" s="119" t="s">
        <v>231</v>
      </c>
      <c r="Z321" s="120" t="s">
        <v>4531</v>
      </c>
      <c r="AA321" s="121" t="s">
        <v>4532</v>
      </c>
      <c r="AB321" s="122" t="s">
        <v>1194</v>
      </c>
      <c r="AC321" s="206">
        <v>5</v>
      </c>
      <c r="AD321" s="124">
        <v>149.91</v>
      </c>
      <c r="AE321" s="200">
        <f t="shared" si="33"/>
        <v>749.55</v>
      </c>
      <c r="AF321" s="248">
        <v>7</v>
      </c>
      <c r="AR321" s="129" t="s">
        <v>235</v>
      </c>
      <c r="AT321" s="129" t="s">
        <v>231</v>
      </c>
      <c r="AU321" s="129" t="s">
        <v>76</v>
      </c>
      <c r="AY321" s="13" t="s">
        <v>228</v>
      </c>
      <c r="BE321" s="130">
        <f t="shared" si="34"/>
        <v>0</v>
      </c>
      <c r="BF321" s="130">
        <f t="shared" si="35"/>
        <v>2248.65</v>
      </c>
      <c r="BG321" s="130">
        <f t="shared" si="36"/>
        <v>0</v>
      </c>
      <c r="BH321" s="130">
        <f t="shared" si="37"/>
        <v>0</v>
      </c>
      <c r="BI321" s="130">
        <f t="shared" si="38"/>
        <v>0</v>
      </c>
      <c r="BJ321" s="13" t="s">
        <v>76</v>
      </c>
      <c r="BK321" s="130">
        <f t="shared" si="39"/>
        <v>2248.65</v>
      </c>
      <c r="BL321" s="13" t="s">
        <v>235</v>
      </c>
      <c r="BM321" s="129" t="s">
        <v>476</v>
      </c>
    </row>
    <row r="322" spans="2:65" s="1" customFormat="1" ht="22.8" x14ac:dyDescent="0.2">
      <c r="B322" s="118"/>
      <c r="C322" s="119" t="s">
        <v>354</v>
      </c>
      <c r="D322" s="119" t="s">
        <v>231</v>
      </c>
      <c r="E322" s="120" t="s">
        <v>4533</v>
      </c>
      <c r="F322" s="121" t="s">
        <v>4534</v>
      </c>
      <c r="G322" s="122" t="s">
        <v>1194</v>
      </c>
      <c r="H322" s="123">
        <v>1</v>
      </c>
      <c r="I322" s="124">
        <v>159.44999999999999</v>
      </c>
      <c r="J322" s="124">
        <f t="shared" si="29"/>
        <v>159.44999999999999</v>
      </c>
      <c r="K322" s="121" t="s">
        <v>1</v>
      </c>
      <c r="L322" s="24"/>
      <c r="M322" s="125" t="s">
        <v>1</v>
      </c>
      <c r="N322" s="126" t="s">
        <v>32</v>
      </c>
      <c r="O322" s="127">
        <v>0</v>
      </c>
      <c r="P322" s="127">
        <f t="shared" si="30"/>
        <v>0</v>
      </c>
      <c r="Q322" s="127">
        <v>0</v>
      </c>
      <c r="R322" s="127">
        <f t="shared" si="31"/>
        <v>0</v>
      </c>
      <c r="S322" s="127">
        <v>0</v>
      </c>
      <c r="T322" s="128">
        <f t="shared" si="32"/>
        <v>0</v>
      </c>
      <c r="W322" s="199"/>
      <c r="X322" s="119" t="s">
        <v>354</v>
      </c>
      <c r="Y322" s="119" t="s">
        <v>231</v>
      </c>
      <c r="Z322" s="120" t="s">
        <v>4533</v>
      </c>
      <c r="AA322" s="121" t="s">
        <v>4534</v>
      </c>
      <c r="AB322" s="122" t="s">
        <v>1194</v>
      </c>
      <c r="AC322" s="123">
        <v>1</v>
      </c>
      <c r="AD322" s="124">
        <v>159.44999999999999</v>
      </c>
      <c r="AE322" s="200">
        <f t="shared" si="33"/>
        <v>159.44999999999999</v>
      </c>
      <c r="AF322" s="248"/>
      <c r="AR322" s="129" t="s">
        <v>235</v>
      </c>
      <c r="AT322" s="129" t="s">
        <v>231</v>
      </c>
      <c r="AU322" s="129" t="s">
        <v>76</v>
      </c>
      <c r="AY322" s="13" t="s">
        <v>228</v>
      </c>
      <c r="BE322" s="130">
        <f t="shared" si="34"/>
        <v>0</v>
      </c>
      <c r="BF322" s="130">
        <f t="shared" si="35"/>
        <v>159.44999999999999</v>
      </c>
      <c r="BG322" s="130">
        <f t="shared" si="36"/>
        <v>0</v>
      </c>
      <c r="BH322" s="130">
        <f t="shared" si="37"/>
        <v>0</v>
      </c>
      <c r="BI322" s="130">
        <f t="shared" si="38"/>
        <v>0</v>
      </c>
      <c r="BJ322" s="13" t="s">
        <v>76</v>
      </c>
      <c r="BK322" s="130">
        <f t="shared" si="39"/>
        <v>159.44999999999999</v>
      </c>
      <c r="BL322" s="13" t="s">
        <v>235</v>
      </c>
      <c r="BM322" s="129" t="s">
        <v>479</v>
      </c>
    </row>
    <row r="323" spans="2:65" s="243" customFormat="1" ht="33.450000000000003" customHeight="1" x14ac:dyDescent="0.2">
      <c r="B323" s="118"/>
      <c r="C323" s="1234" t="s">
        <v>5205</v>
      </c>
      <c r="D323" s="1235"/>
      <c r="E323" s="1235"/>
      <c r="F323" s="1235"/>
      <c r="G323" s="1235"/>
      <c r="H323" s="1235"/>
      <c r="I323" s="1235"/>
      <c r="J323" s="1236"/>
      <c r="K323" s="121"/>
      <c r="L323" s="24"/>
      <c r="M323" s="125"/>
      <c r="N323" s="126"/>
      <c r="O323" s="127"/>
      <c r="P323" s="127"/>
      <c r="Q323" s="127"/>
      <c r="R323" s="127"/>
      <c r="S323" s="127"/>
      <c r="T323" s="128"/>
      <c r="W323" s="199"/>
      <c r="X323" s="215" t="s">
        <v>5420</v>
      </c>
      <c r="Y323" s="215" t="s">
        <v>231</v>
      </c>
      <c r="Z323" s="216" t="s">
        <v>5418</v>
      </c>
      <c r="AA323" s="217" t="s">
        <v>5419</v>
      </c>
      <c r="AB323" s="218" t="s">
        <v>1194</v>
      </c>
      <c r="AC323" s="219">
        <v>1</v>
      </c>
      <c r="AD323" s="220">
        <v>87.2</v>
      </c>
      <c r="AE323" s="221">
        <f t="shared" si="33"/>
        <v>87.2</v>
      </c>
      <c r="AF323" s="248">
        <v>7</v>
      </c>
      <c r="AR323" s="129"/>
      <c r="AT323" s="129"/>
      <c r="AU323" s="129"/>
      <c r="AY323" s="13"/>
      <c r="BE323" s="130"/>
      <c r="BF323" s="130"/>
      <c r="BG323" s="130"/>
      <c r="BH323" s="130"/>
      <c r="BI323" s="130"/>
      <c r="BJ323" s="13"/>
      <c r="BK323" s="130"/>
      <c r="BL323" s="13"/>
      <c r="BM323" s="129"/>
    </row>
    <row r="324" spans="2:65" s="1" customFormat="1" ht="24" customHeight="1" x14ac:dyDescent="0.2">
      <c r="B324" s="118"/>
      <c r="C324" s="1070" t="s">
        <v>480</v>
      </c>
      <c r="D324" s="119" t="s">
        <v>231</v>
      </c>
      <c r="E324" s="120" t="s">
        <v>3666</v>
      </c>
      <c r="F324" s="121" t="s">
        <v>3667</v>
      </c>
      <c r="G324" s="122" t="s">
        <v>1194</v>
      </c>
      <c r="H324" s="1071">
        <v>28</v>
      </c>
      <c r="I324" s="124">
        <v>4.0599999999999996</v>
      </c>
      <c r="J324" s="124">
        <f t="shared" si="29"/>
        <v>113.68</v>
      </c>
      <c r="K324" s="121" t="s">
        <v>1</v>
      </c>
      <c r="L324" s="24"/>
      <c r="M324" s="125" t="s">
        <v>1</v>
      </c>
      <c r="N324" s="126" t="s">
        <v>32</v>
      </c>
      <c r="O324" s="127">
        <v>0</v>
      </c>
      <c r="P324" s="127">
        <f t="shared" si="30"/>
        <v>0</v>
      </c>
      <c r="Q324" s="127">
        <v>0</v>
      </c>
      <c r="R324" s="127">
        <f t="shared" si="31"/>
        <v>0</v>
      </c>
      <c r="S324" s="127">
        <v>0</v>
      </c>
      <c r="T324" s="128">
        <f t="shared" si="32"/>
        <v>0</v>
      </c>
      <c r="W324" s="199"/>
      <c r="X324" s="1070" t="s">
        <v>480</v>
      </c>
      <c r="Y324" s="119" t="s">
        <v>231</v>
      </c>
      <c r="Z324" s="120" t="s">
        <v>3666</v>
      </c>
      <c r="AA324" s="121" t="s">
        <v>3667</v>
      </c>
      <c r="AB324" s="122" t="s">
        <v>1194</v>
      </c>
      <c r="AC324" s="1071">
        <f>28+1</f>
        <v>29</v>
      </c>
      <c r="AD324" s="124">
        <v>4.0599999999999996</v>
      </c>
      <c r="AE324" s="200">
        <f t="shared" si="33"/>
        <v>117.74</v>
      </c>
      <c r="AF324" s="924" t="s">
        <v>5482</v>
      </c>
      <c r="AR324" s="129" t="s">
        <v>235</v>
      </c>
      <c r="AT324" s="129" t="s">
        <v>231</v>
      </c>
      <c r="AU324" s="129" t="s">
        <v>76</v>
      </c>
      <c r="AY324" s="13" t="s">
        <v>228</v>
      </c>
      <c r="BE324" s="130">
        <f t="shared" si="34"/>
        <v>0</v>
      </c>
      <c r="BF324" s="130">
        <f t="shared" si="35"/>
        <v>113.68</v>
      </c>
      <c r="BG324" s="130">
        <f t="shared" si="36"/>
        <v>0</v>
      </c>
      <c r="BH324" s="130">
        <f t="shared" si="37"/>
        <v>0</v>
      </c>
      <c r="BI324" s="130">
        <f t="shared" si="38"/>
        <v>0</v>
      </c>
      <c r="BJ324" s="13" t="s">
        <v>76</v>
      </c>
      <c r="BK324" s="130">
        <f t="shared" si="39"/>
        <v>113.68</v>
      </c>
      <c r="BL324" s="13" t="s">
        <v>235</v>
      </c>
      <c r="BM324" s="129" t="s">
        <v>483</v>
      </c>
    </row>
    <row r="325" spans="2:65" s="1" customFormat="1" ht="24" customHeight="1" x14ac:dyDescent="0.2">
      <c r="B325" s="118"/>
      <c r="C325" s="1070" t="s">
        <v>358</v>
      </c>
      <c r="D325" s="119" t="s">
        <v>231</v>
      </c>
      <c r="E325" s="120" t="s">
        <v>3668</v>
      </c>
      <c r="F325" s="121" t="s">
        <v>3669</v>
      </c>
      <c r="G325" s="122" t="s">
        <v>1194</v>
      </c>
      <c r="H325" s="1071">
        <v>28</v>
      </c>
      <c r="I325" s="124">
        <v>2.29</v>
      </c>
      <c r="J325" s="124">
        <f t="shared" si="29"/>
        <v>64.12</v>
      </c>
      <c r="K325" s="121" t="s">
        <v>1</v>
      </c>
      <c r="L325" s="24"/>
      <c r="M325" s="125" t="s">
        <v>1</v>
      </c>
      <c r="N325" s="126" t="s">
        <v>32</v>
      </c>
      <c r="O325" s="127">
        <v>0</v>
      </c>
      <c r="P325" s="127">
        <f t="shared" si="30"/>
        <v>0</v>
      </c>
      <c r="Q325" s="127">
        <v>0</v>
      </c>
      <c r="R325" s="127">
        <f t="shared" si="31"/>
        <v>0</v>
      </c>
      <c r="S325" s="127">
        <v>0</v>
      </c>
      <c r="T325" s="128">
        <f t="shared" si="32"/>
        <v>0</v>
      </c>
      <c r="W325" s="199"/>
      <c r="X325" s="1070" t="s">
        <v>358</v>
      </c>
      <c r="Y325" s="119" t="s">
        <v>231</v>
      </c>
      <c r="Z325" s="120" t="s">
        <v>3668</v>
      </c>
      <c r="AA325" s="121" t="s">
        <v>3669</v>
      </c>
      <c r="AB325" s="122" t="s">
        <v>1194</v>
      </c>
      <c r="AC325" s="1071">
        <f>28+1</f>
        <v>29</v>
      </c>
      <c r="AD325" s="124">
        <v>2.29</v>
      </c>
      <c r="AE325" s="200">
        <f t="shared" si="33"/>
        <v>66.41</v>
      </c>
      <c r="AF325" s="248" t="s">
        <v>5482</v>
      </c>
      <c r="AR325" s="129" t="s">
        <v>235</v>
      </c>
      <c r="AT325" s="129" t="s">
        <v>231</v>
      </c>
      <c r="AU325" s="129" t="s">
        <v>76</v>
      </c>
      <c r="AY325" s="13" t="s">
        <v>228</v>
      </c>
      <c r="BE325" s="130">
        <f t="shared" si="34"/>
        <v>0</v>
      </c>
      <c r="BF325" s="130">
        <f t="shared" si="35"/>
        <v>64.12</v>
      </c>
      <c r="BG325" s="130">
        <f t="shared" si="36"/>
        <v>0</v>
      </c>
      <c r="BH325" s="130">
        <f t="shared" si="37"/>
        <v>0</v>
      </c>
      <c r="BI325" s="130">
        <f t="shared" si="38"/>
        <v>0</v>
      </c>
      <c r="BJ325" s="13" t="s">
        <v>76</v>
      </c>
      <c r="BK325" s="130">
        <f t="shared" si="39"/>
        <v>64.12</v>
      </c>
      <c r="BL325" s="13" t="s">
        <v>235</v>
      </c>
      <c r="BM325" s="129" t="s">
        <v>486</v>
      </c>
    </row>
    <row r="326" spans="2:65" s="11" customFormat="1" ht="22.95" customHeight="1" x14ac:dyDescent="0.25">
      <c r="B326" s="106"/>
      <c r="D326" s="107" t="s">
        <v>57</v>
      </c>
      <c r="E326" s="116" t="s">
        <v>2229</v>
      </c>
      <c r="F326" s="116" t="s">
        <v>3670</v>
      </c>
      <c r="J326" s="117">
        <f>BK326</f>
        <v>207.48</v>
      </c>
      <c r="L326" s="106"/>
      <c r="M326" s="110"/>
      <c r="N326" s="111"/>
      <c r="O326" s="111"/>
      <c r="P326" s="112">
        <f>P328</f>
        <v>0</v>
      </c>
      <c r="Q326" s="111"/>
      <c r="R326" s="112">
        <f>R328</f>
        <v>0</v>
      </c>
      <c r="S326" s="111"/>
      <c r="T326" s="113">
        <f>T328</f>
        <v>0</v>
      </c>
      <c r="W326" s="195"/>
      <c r="X326" s="111"/>
      <c r="Y326" s="196" t="s">
        <v>57</v>
      </c>
      <c r="Z326" s="201" t="s">
        <v>2229</v>
      </c>
      <c r="AA326" s="201" t="s">
        <v>3670</v>
      </c>
      <c r="AB326" s="111"/>
      <c r="AC326" s="111"/>
      <c r="AD326" s="111"/>
      <c r="AE326" s="202">
        <f>SUM(AE327:AE328)</f>
        <v>207.70999999999998</v>
      </c>
      <c r="AF326" s="248"/>
      <c r="AR326" s="107" t="s">
        <v>63</v>
      </c>
      <c r="AT326" s="114" t="s">
        <v>57</v>
      </c>
      <c r="AU326" s="114" t="s">
        <v>63</v>
      </c>
      <c r="AY326" s="107" t="s">
        <v>228</v>
      </c>
      <c r="BK326" s="115">
        <f>BK328</f>
        <v>207.48</v>
      </c>
    </row>
    <row r="327" spans="2:65" s="11" customFormat="1" ht="19.95" customHeight="1" x14ac:dyDescent="0.2">
      <c r="B327" s="106"/>
      <c r="C327" s="1234" t="s">
        <v>5205</v>
      </c>
      <c r="D327" s="1235"/>
      <c r="E327" s="1235"/>
      <c r="F327" s="1235"/>
      <c r="G327" s="1235"/>
      <c r="H327" s="1235"/>
      <c r="I327" s="1235"/>
      <c r="J327" s="1236"/>
      <c r="L327" s="106"/>
      <c r="M327" s="110"/>
      <c r="N327" s="111"/>
      <c r="O327" s="111"/>
      <c r="P327" s="112"/>
      <c r="Q327" s="111"/>
      <c r="R327" s="112"/>
      <c r="S327" s="111"/>
      <c r="T327" s="113"/>
      <c r="W327" s="195"/>
      <c r="X327" s="215" t="s">
        <v>5421</v>
      </c>
      <c r="Y327" s="215" t="s">
        <v>231</v>
      </c>
      <c r="Z327" s="216" t="s">
        <v>3671</v>
      </c>
      <c r="AA327" s="217" t="s">
        <v>3672</v>
      </c>
      <c r="AB327" s="218" t="s">
        <v>1194</v>
      </c>
      <c r="AC327" s="219">
        <v>2</v>
      </c>
      <c r="AD327" s="220">
        <v>3.82</v>
      </c>
      <c r="AE327" s="221">
        <f>ROUND(AD327*AC327,2)</f>
        <v>7.64</v>
      </c>
      <c r="AF327" s="248">
        <v>7</v>
      </c>
      <c r="AR327" s="107"/>
      <c r="AT327" s="114"/>
      <c r="AU327" s="114"/>
      <c r="AY327" s="107"/>
      <c r="BK327" s="115"/>
    </row>
    <row r="328" spans="2:65" s="1" customFormat="1" ht="18.45" customHeight="1" x14ac:dyDescent="0.2">
      <c r="B328" s="118"/>
      <c r="C328" s="205" t="s">
        <v>487</v>
      </c>
      <c r="D328" s="119" t="s">
        <v>231</v>
      </c>
      <c r="E328" s="120" t="s">
        <v>3673</v>
      </c>
      <c r="F328" s="121" t="s">
        <v>3674</v>
      </c>
      <c r="G328" s="122" t="s">
        <v>1194</v>
      </c>
      <c r="H328" s="206">
        <v>28</v>
      </c>
      <c r="I328" s="124">
        <v>7.41</v>
      </c>
      <c r="J328" s="124">
        <f>ROUND(I328*H328,2)</f>
        <v>207.48</v>
      </c>
      <c r="K328" s="121" t="s">
        <v>1</v>
      </c>
      <c r="L328" s="24"/>
      <c r="M328" s="125" t="s">
        <v>1</v>
      </c>
      <c r="N328" s="126" t="s">
        <v>32</v>
      </c>
      <c r="O328" s="127">
        <v>0</v>
      </c>
      <c r="P328" s="127">
        <f>O328*H328</f>
        <v>0</v>
      </c>
      <c r="Q328" s="127">
        <v>0</v>
      </c>
      <c r="R328" s="127">
        <f>Q328*H328</f>
        <v>0</v>
      </c>
      <c r="S328" s="127">
        <v>0</v>
      </c>
      <c r="T328" s="128">
        <f>S328*H328</f>
        <v>0</v>
      </c>
      <c r="W328" s="199"/>
      <c r="X328" s="205" t="s">
        <v>487</v>
      </c>
      <c r="Y328" s="119" t="s">
        <v>231</v>
      </c>
      <c r="Z328" s="120" t="s">
        <v>3673</v>
      </c>
      <c r="AA328" s="121" t="s">
        <v>3674</v>
      </c>
      <c r="AB328" s="122" t="s">
        <v>1194</v>
      </c>
      <c r="AC328" s="206">
        <f>26+1</f>
        <v>27</v>
      </c>
      <c r="AD328" s="124">
        <v>7.41</v>
      </c>
      <c r="AE328" s="200">
        <f>ROUND(AD328*AC328,2)</f>
        <v>200.07</v>
      </c>
      <c r="AF328" s="248" t="s">
        <v>6651</v>
      </c>
      <c r="AR328" s="129" t="s">
        <v>235</v>
      </c>
      <c r="AT328" s="129" t="s">
        <v>231</v>
      </c>
      <c r="AU328" s="129" t="s">
        <v>76</v>
      </c>
      <c r="AY328" s="13" t="s">
        <v>228</v>
      </c>
      <c r="BE328" s="130">
        <f>IF(N328="základná",J328,0)</f>
        <v>0</v>
      </c>
      <c r="BF328" s="130">
        <f>IF(N328="znížená",J328,0)</f>
        <v>207.48</v>
      </c>
      <c r="BG328" s="130">
        <f>IF(N328="zákl. prenesená",J328,0)</f>
        <v>0</v>
      </c>
      <c r="BH328" s="130">
        <f>IF(N328="zníž. prenesená",J328,0)</f>
        <v>0</v>
      </c>
      <c r="BI328" s="130">
        <f>IF(N328="nulová",J328,0)</f>
        <v>0</v>
      </c>
      <c r="BJ328" s="13" t="s">
        <v>76</v>
      </c>
      <c r="BK328" s="130">
        <f>ROUND(I328*H328,2)</f>
        <v>207.48</v>
      </c>
      <c r="BL328" s="13" t="s">
        <v>235</v>
      </c>
      <c r="BM328" s="129" t="s">
        <v>490</v>
      </c>
    </row>
    <row r="329" spans="2:65" s="11" customFormat="1" ht="22.95" customHeight="1" x14ac:dyDescent="0.25">
      <c r="B329" s="106"/>
      <c r="D329" s="107" t="s">
        <v>57</v>
      </c>
      <c r="E329" s="116" t="s">
        <v>2253</v>
      </c>
      <c r="F329" s="116" t="s">
        <v>3675</v>
      </c>
      <c r="J329" s="117">
        <f>BK329</f>
        <v>909.37</v>
      </c>
      <c r="L329" s="106"/>
      <c r="M329" s="110"/>
      <c r="N329" s="111"/>
      <c r="O329" s="111"/>
      <c r="P329" s="112">
        <f>SUM(P332:P336)</f>
        <v>0</v>
      </c>
      <c r="Q329" s="111"/>
      <c r="R329" s="112">
        <f>SUM(R332:R336)</f>
        <v>0</v>
      </c>
      <c r="S329" s="111"/>
      <c r="T329" s="113">
        <f>SUM(T332:T336)</f>
        <v>0</v>
      </c>
      <c r="W329" s="195"/>
      <c r="X329" s="111"/>
      <c r="Y329" s="196" t="s">
        <v>57</v>
      </c>
      <c r="Z329" s="201" t="s">
        <v>2253</v>
      </c>
      <c r="AA329" s="201" t="s">
        <v>3675</v>
      </c>
      <c r="AB329" s="111"/>
      <c r="AC329" s="111"/>
      <c r="AD329" s="111"/>
      <c r="AE329" s="202">
        <f>SUM(AE330:AE336)</f>
        <v>917.73</v>
      </c>
      <c r="AF329" s="248"/>
      <c r="AR329" s="107" t="s">
        <v>63</v>
      </c>
      <c r="AT329" s="114" t="s">
        <v>57</v>
      </c>
      <c r="AU329" s="114" t="s">
        <v>63</v>
      </c>
      <c r="AY329" s="107" t="s">
        <v>228</v>
      </c>
      <c r="BK329" s="115">
        <f>SUM(BK332:BK336)</f>
        <v>909.37</v>
      </c>
    </row>
    <row r="330" spans="2:65" s="11" customFormat="1" ht="16.5" customHeight="1" x14ac:dyDescent="0.2">
      <c r="B330" s="106"/>
      <c r="C330" s="1234" t="s">
        <v>5205</v>
      </c>
      <c r="D330" s="1235"/>
      <c r="E330" s="1235"/>
      <c r="F330" s="1235"/>
      <c r="G330" s="1235"/>
      <c r="H330" s="1235"/>
      <c r="I330" s="1235"/>
      <c r="J330" s="1236"/>
      <c r="L330" s="106"/>
      <c r="M330" s="110"/>
      <c r="N330" s="111"/>
      <c r="O330" s="111"/>
      <c r="P330" s="112"/>
      <c r="Q330" s="111"/>
      <c r="R330" s="112"/>
      <c r="S330" s="111"/>
      <c r="T330" s="113"/>
      <c r="W330" s="195"/>
      <c r="X330" s="215" t="s">
        <v>5425</v>
      </c>
      <c r="Y330" s="215" t="s">
        <v>231</v>
      </c>
      <c r="Z330" s="216" t="s">
        <v>3676</v>
      </c>
      <c r="AA330" s="217" t="s">
        <v>5422</v>
      </c>
      <c r="AB330" s="218" t="s">
        <v>1194</v>
      </c>
      <c r="AC330" s="219">
        <v>1</v>
      </c>
      <c r="AD330" s="220">
        <v>5.2</v>
      </c>
      <c r="AE330" s="221">
        <f t="shared" ref="AE330:AE331" si="40">ROUND(AD330*AC330,2)</f>
        <v>5.2</v>
      </c>
      <c r="AF330" s="248">
        <v>7</v>
      </c>
      <c r="AR330" s="107"/>
      <c r="AT330" s="114"/>
      <c r="AU330" s="114"/>
      <c r="AY330" s="107"/>
      <c r="BK330" s="115"/>
    </row>
    <row r="331" spans="2:65" s="11" customFormat="1" ht="16.5" customHeight="1" x14ac:dyDescent="0.2">
      <c r="B331" s="106"/>
      <c r="C331" s="1234" t="s">
        <v>5205</v>
      </c>
      <c r="D331" s="1235"/>
      <c r="E331" s="1235"/>
      <c r="F331" s="1235"/>
      <c r="G331" s="1235"/>
      <c r="H331" s="1235"/>
      <c r="I331" s="1235"/>
      <c r="J331" s="1236"/>
      <c r="L331" s="106"/>
      <c r="M331" s="110"/>
      <c r="N331" s="111"/>
      <c r="O331" s="111"/>
      <c r="P331" s="112"/>
      <c r="Q331" s="111"/>
      <c r="R331" s="112"/>
      <c r="S331" s="111"/>
      <c r="T331" s="113"/>
      <c r="W331" s="195"/>
      <c r="X331" s="215" t="s">
        <v>5426</v>
      </c>
      <c r="Y331" s="215" t="s">
        <v>231</v>
      </c>
      <c r="Z331" s="216" t="s">
        <v>5423</v>
      </c>
      <c r="AA331" s="217" t="s">
        <v>5424</v>
      </c>
      <c r="AB331" s="218" t="s">
        <v>1194</v>
      </c>
      <c r="AC331" s="219">
        <v>1</v>
      </c>
      <c r="AD331" s="220">
        <v>25</v>
      </c>
      <c r="AE331" s="221">
        <f t="shared" si="40"/>
        <v>25</v>
      </c>
      <c r="AF331" s="248">
        <v>7</v>
      </c>
      <c r="AR331" s="107"/>
      <c r="AT331" s="114"/>
      <c r="AU331" s="114"/>
      <c r="AY331" s="107"/>
      <c r="BK331" s="115"/>
    </row>
    <row r="332" spans="2:65" s="1" customFormat="1" ht="16.5" customHeight="1" x14ac:dyDescent="0.2">
      <c r="B332" s="118"/>
      <c r="C332" s="205" t="s">
        <v>361</v>
      </c>
      <c r="D332" s="119" t="s">
        <v>231</v>
      </c>
      <c r="E332" s="120" t="s">
        <v>3678</v>
      </c>
      <c r="F332" s="121" t="s">
        <v>3679</v>
      </c>
      <c r="G332" s="122" t="s">
        <v>1194</v>
      </c>
      <c r="H332" s="206">
        <v>1</v>
      </c>
      <c r="I332" s="124">
        <v>20.43</v>
      </c>
      <c r="J332" s="124">
        <f>ROUND(I332*H332,2)</f>
        <v>20.43</v>
      </c>
      <c r="K332" s="121" t="s">
        <v>1</v>
      </c>
      <c r="L332" s="24"/>
      <c r="M332" s="125" t="s">
        <v>1</v>
      </c>
      <c r="N332" s="126" t="s">
        <v>32</v>
      </c>
      <c r="O332" s="127">
        <v>0</v>
      </c>
      <c r="P332" s="127">
        <f>O332*H332</f>
        <v>0</v>
      </c>
      <c r="Q332" s="127">
        <v>0</v>
      </c>
      <c r="R332" s="127">
        <f>Q332*H332</f>
        <v>0</v>
      </c>
      <c r="S332" s="127">
        <v>0</v>
      </c>
      <c r="T332" s="128">
        <f>S332*H332</f>
        <v>0</v>
      </c>
      <c r="W332" s="199"/>
      <c r="X332" s="205" t="s">
        <v>361</v>
      </c>
      <c r="Y332" s="119" t="s">
        <v>231</v>
      </c>
      <c r="Z332" s="120" t="s">
        <v>3678</v>
      </c>
      <c r="AA332" s="121" t="s">
        <v>3679</v>
      </c>
      <c r="AB332" s="122" t="s">
        <v>1194</v>
      </c>
      <c r="AC332" s="206">
        <v>3</v>
      </c>
      <c r="AD332" s="124">
        <v>20.43</v>
      </c>
      <c r="AE332" s="200">
        <f>ROUND(AD332*AC332,2)</f>
        <v>61.29</v>
      </c>
      <c r="AF332" s="248">
        <v>7</v>
      </c>
      <c r="AR332" s="129" t="s">
        <v>235</v>
      </c>
      <c r="AT332" s="129" t="s">
        <v>231</v>
      </c>
      <c r="AU332" s="129" t="s">
        <v>76</v>
      </c>
      <c r="AY332" s="13" t="s">
        <v>228</v>
      </c>
      <c r="BE332" s="130">
        <f>IF(N332="základná",J332,0)</f>
        <v>0</v>
      </c>
      <c r="BF332" s="130">
        <f>IF(N332="znížená",J332,0)</f>
        <v>20.43</v>
      </c>
      <c r="BG332" s="130">
        <f>IF(N332="zákl. prenesená",J332,0)</f>
        <v>0</v>
      </c>
      <c r="BH332" s="130">
        <f>IF(N332="zníž. prenesená",J332,0)</f>
        <v>0</v>
      </c>
      <c r="BI332" s="130">
        <f>IF(N332="nulová",J332,0)</f>
        <v>0</v>
      </c>
      <c r="BJ332" s="13" t="s">
        <v>76</v>
      </c>
      <c r="BK332" s="130">
        <f>ROUND(I332*H332,2)</f>
        <v>20.43</v>
      </c>
      <c r="BL332" s="13" t="s">
        <v>235</v>
      </c>
      <c r="BM332" s="129" t="s">
        <v>493</v>
      </c>
    </row>
    <row r="333" spans="2:65" s="1" customFormat="1" ht="16.5" customHeight="1" x14ac:dyDescent="0.2">
      <c r="B333" s="118"/>
      <c r="C333" s="205" t="s">
        <v>494</v>
      </c>
      <c r="D333" s="119" t="s">
        <v>231</v>
      </c>
      <c r="E333" s="120" t="s">
        <v>3680</v>
      </c>
      <c r="F333" s="121" t="s">
        <v>3681</v>
      </c>
      <c r="G333" s="122" t="s">
        <v>1194</v>
      </c>
      <c r="H333" s="206">
        <v>11</v>
      </c>
      <c r="I333" s="124">
        <v>20.9</v>
      </c>
      <c r="J333" s="124">
        <f>ROUND(I333*H333,2)</f>
        <v>229.9</v>
      </c>
      <c r="K333" s="121" t="s">
        <v>1</v>
      </c>
      <c r="L333" s="24"/>
      <c r="M333" s="125" t="s">
        <v>1</v>
      </c>
      <c r="N333" s="126" t="s">
        <v>32</v>
      </c>
      <c r="O333" s="127">
        <v>0</v>
      </c>
      <c r="P333" s="127">
        <f>O333*H333</f>
        <v>0</v>
      </c>
      <c r="Q333" s="127">
        <v>0</v>
      </c>
      <c r="R333" s="127">
        <f>Q333*H333</f>
        <v>0</v>
      </c>
      <c r="S333" s="127">
        <v>0</v>
      </c>
      <c r="T333" s="128">
        <f>S333*H333</f>
        <v>0</v>
      </c>
      <c r="W333" s="199"/>
      <c r="X333" s="205" t="s">
        <v>494</v>
      </c>
      <c r="Y333" s="119" t="s">
        <v>231</v>
      </c>
      <c r="Z333" s="120" t="s">
        <v>3680</v>
      </c>
      <c r="AA333" s="121" t="s">
        <v>3681</v>
      </c>
      <c r="AB333" s="122" t="s">
        <v>1194</v>
      </c>
      <c r="AC333" s="206">
        <f>7+1</f>
        <v>8</v>
      </c>
      <c r="AD333" s="124">
        <v>20.9</v>
      </c>
      <c r="AE333" s="200">
        <f>ROUND(AD333*AC333,2)</f>
        <v>167.2</v>
      </c>
      <c r="AF333" s="248" t="s">
        <v>6651</v>
      </c>
      <c r="AR333" s="129" t="s">
        <v>235</v>
      </c>
      <c r="AT333" s="129" t="s">
        <v>231</v>
      </c>
      <c r="AU333" s="129" t="s">
        <v>76</v>
      </c>
      <c r="AY333" s="13" t="s">
        <v>228</v>
      </c>
      <c r="BE333" s="130">
        <f>IF(N333="základná",J333,0)</f>
        <v>0</v>
      </c>
      <c r="BF333" s="130">
        <f>IF(N333="znížená",J333,0)</f>
        <v>229.9</v>
      </c>
      <c r="BG333" s="130">
        <f>IF(N333="zákl. prenesená",J333,0)</f>
        <v>0</v>
      </c>
      <c r="BH333" s="130">
        <f>IF(N333="zníž. prenesená",J333,0)</f>
        <v>0</v>
      </c>
      <c r="BI333" s="130">
        <f>IF(N333="nulová",J333,0)</f>
        <v>0</v>
      </c>
      <c r="BJ333" s="13" t="s">
        <v>76</v>
      </c>
      <c r="BK333" s="130">
        <f>ROUND(I333*H333,2)</f>
        <v>229.9</v>
      </c>
      <c r="BL333" s="13" t="s">
        <v>235</v>
      </c>
      <c r="BM333" s="129" t="s">
        <v>497</v>
      </c>
    </row>
    <row r="334" spans="2:65" s="1" customFormat="1" ht="16.5" customHeight="1" x14ac:dyDescent="0.2">
      <c r="B334" s="118"/>
      <c r="C334" s="119" t="s">
        <v>365</v>
      </c>
      <c r="D334" s="119" t="s">
        <v>231</v>
      </c>
      <c r="E334" s="120" t="s">
        <v>3682</v>
      </c>
      <c r="F334" s="121" t="s">
        <v>3683</v>
      </c>
      <c r="G334" s="122" t="s">
        <v>1194</v>
      </c>
      <c r="H334" s="123">
        <v>16</v>
      </c>
      <c r="I334" s="124">
        <v>21.34</v>
      </c>
      <c r="J334" s="124">
        <f>ROUND(I334*H334,2)</f>
        <v>341.44</v>
      </c>
      <c r="K334" s="121" t="s">
        <v>1</v>
      </c>
      <c r="L334" s="24"/>
      <c r="M334" s="125" t="s">
        <v>1</v>
      </c>
      <c r="N334" s="126" t="s">
        <v>32</v>
      </c>
      <c r="O334" s="127">
        <v>0</v>
      </c>
      <c r="P334" s="127">
        <f>O334*H334</f>
        <v>0</v>
      </c>
      <c r="Q334" s="127">
        <v>0</v>
      </c>
      <c r="R334" s="127">
        <f>Q334*H334</f>
        <v>0</v>
      </c>
      <c r="S334" s="127">
        <v>0</v>
      </c>
      <c r="T334" s="128">
        <f>S334*H334</f>
        <v>0</v>
      </c>
      <c r="W334" s="199"/>
      <c r="X334" s="119" t="s">
        <v>365</v>
      </c>
      <c r="Y334" s="119" t="s">
        <v>231</v>
      </c>
      <c r="Z334" s="120" t="s">
        <v>3682</v>
      </c>
      <c r="AA334" s="121" t="s">
        <v>3683</v>
      </c>
      <c r="AB334" s="122" t="s">
        <v>1194</v>
      </c>
      <c r="AC334" s="123">
        <v>16</v>
      </c>
      <c r="AD334" s="124">
        <v>21.34</v>
      </c>
      <c r="AE334" s="200">
        <f>ROUND(AD334*AC334,2)</f>
        <v>341.44</v>
      </c>
      <c r="AF334" s="248"/>
      <c r="AR334" s="129" t="s">
        <v>235</v>
      </c>
      <c r="AT334" s="129" t="s">
        <v>231</v>
      </c>
      <c r="AU334" s="129" t="s">
        <v>76</v>
      </c>
      <c r="AY334" s="13" t="s">
        <v>228</v>
      </c>
      <c r="BE334" s="130">
        <f>IF(N334="základná",J334,0)</f>
        <v>0</v>
      </c>
      <c r="BF334" s="130">
        <f>IF(N334="znížená",J334,0)</f>
        <v>341.44</v>
      </c>
      <c r="BG334" s="130">
        <f>IF(N334="zákl. prenesená",J334,0)</f>
        <v>0</v>
      </c>
      <c r="BH334" s="130">
        <f>IF(N334="zníž. prenesená",J334,0)</f>
        <v>0</v>
      </c>
      <c r="BI334" s="130">
        <f>IF(N334="nulová",J334,0)</f>
        <v>0</v>
      </c>
      <c r="BJ334" s="13" t="s">
        <v>76</v>
      </c>
      <c r="BK334" s="130">
        <f>ROUND(I334*H334,2)</f>
        <v>341.44</v>
      </c>
      <c r="BL334" s="13" t="s">
        <v>235</v>
      </c>
      <c r="BM334" s="129" t="s">
        <v>500</v>
      </c>
    </row>
    <row r="335" spans="2:65" s="1" customFormat="1" ht="16.5" customHeight="1" x14ac:dyDescent="0.2">
      <c r="B335" s="118"/>
      <c r="C335" s="119" t="s">
        <v>501</v>
      </c>
      <c r="D335" s="119" t="s">
        <v>231</v>
      </c>
      <c r="E335" s="120" t="s">
        <v>4535</v>
      </c>
      <c r="F335" s="121" t="s">
        <v>4536</v>
      </c>
      <c r="G335" s="122" t="s">
        <v>284</v>
      </c>
      <c r="H335" s="123">
        <v>120</v>
      </c>
      <c r="I335" s="124">
        <v>2.5299999999999998</v>
      </c>
      <c r="J335" s="124">
        <f>ROUND(I335*H335,2)</f>
        <v>303.60000000000002</v>
      </c>
      <c r="K335" s="121" t="s">
        <v>1</v>
      </c>
      <c r="L335" s="24"/>
      <c r="M335" s="125" t="s">
        <v>1</v>
      </c>
      <c r="N335" s="126" t="s">
        <v>32</v>
      </c>
      <c r="O335" s="127">
        <v>0</v>
      </c>
      <c r="P335" s="127">
        <f>O335*H335</f>
        <v>0</v>
      </c>
      <c r="Q335" s="127">
        <v>0</v>
      </c>
      <c r="R335" s="127">
        <f>Q335*H335</f>
        <v>0</v>
      </c>
      <c r="S335" s="127">
        <v>0</v>
      </c>
      <c r="T335" s="128">
        <f>S335*H335</f>
        <v>0</v>
      </c>
      <c r="W335" s="199"/>
      <c r="X335" s="119" t="s">
        <v>501</v>
      </c>
      <c r="Y335" s="119" t="s">
        <v>231</v>
      </c>
      <c r="Z335" s="120" t="s">
        <v>4535</v>
      </c>
      <c r="AA335" s="121" t="s">
        <v>4536</v>
      </c>
      <c r="AB335" s="122" t="s">
        <v>284</v>
      </c>
      <c r="AC335" s="123">
        <v>120</v>
      </c>
      <c r="AD335" s="124">
        <v>2.5299999999999998</v>
      </c>
      <c r="AE335" s="200">
        <f>ROUND(AD335*AC335,2)</f>
        <v>303.60000000000002</v>
      </c>
      <c r="AF335" s="248"/>
      <c r="AR335" s="129" t="s">
        <v>235</v>
      </c>
      <c r="AT335" s="129" t="s">
        <v>231</v>
      </c>
      <c r="AU335" s="129" t="s">
        <v>76</v>
      </c>
      <c r="AY335" s="13" t="s">
        <v>228</v>
      </c>
      <c r="BE335" s="130">
        <f>IF(N335="základná",J335,0)</f>
        <v>0</v>
      </c>
      <c r="BF335" s="130">
        <f>IF(N335="znížená",J335,0)</f>
        <v>303.60000000000002</v>
      </c>
      <c r="BG335" s="130">
        <f>IF(N335="zákl. prenesená",J335,0)</f>
        <v>0</v>
      </c>
      <c r="BH335" s="130">
        <f>IF(N335="zníž. prenesená",J335,0)</f>
        <v>0</v>
      </c>
      <c r="BI335" s="130">
        <f>IF(N335="nulová",J335,0)</f>
        <v>0</v>
      </c>
      <c r="BJ335" s="13" t="s">
        <v>76</v>
      </c>
      <c r="BK335" s="130">
        <f>ROUND(I335*H335,2)</f>
        <v>303.60000000000002</v>
      </c>
      <c r="BL335" s="13" t="s">
        <v>235</v>
      </c>
      <c r="BM335" s="129" t="s">
        <v>504</v>
      </c>
    </row>
    <row r="336" spans="2:65" s="1" customFormat="1" ht="16.5" customHeight="1" x14ac:dyDescent="0.2">
      <c r="B336" s="118"/>
      <c r="C336" s="119" t="s">
        <v>368</v>
      </c>
      <c r="D336" s="119" t="s">
        <v>231</v>
      </c>
      <c r="E336" s="120" t="s">
        <v>4537</v>
      </c>
      <c r="F336" s="121" t="s">
        <v>4538</v>
      </c>
      <c r="G336" s="122" t="s">
        <v>1194</v>
      </c>
      <c r="H336" s="123">
        <v>28</v>
      </c>
      <c r="I336" s="124">
        <v>0.5</v>
      </c>
      <c r="J336" s="124">
        <f>ROUND(I336*H336,2)</f>
        <v>14</v>
      </c>
      <c r="K336" s="121" t="s">
        <v>1</v>
      </c>
      <c r="L336" s="24"/>
      <c r="M336" s="125" t="s">
        <v>1</v>
      </c>
      <c r="N336" s="126" t="s">
        <v>32</v>
      </c>
      <c r="O336" s="127">
        <v>0</v>
      </c>
      <c r="P336" s="127">
        <f>O336*H336</f>
        <v>0</v>
      </c>
      <c r="Q336" s="127">
        <v>0</v>
      </c>
      <c r="R336" s="127">
        <f>Q336*H336</f>
        <v>0</v>
      </c>
      <c r="S336" s="127">
        <v>0</v>
      </c>
      <c r="T336" s="128">
        <f>S336*H336</f>
        <v>0</v>
      </c>
      <c r="W336" s="199"/>
      <c r="X336" s="119" t="s">
        <v>368</v>
      </c>
      <c r="Y336" s="119" t="s">
        <v>231</v>
      </c>
      <c r="Z336" s="120" t="s">
        <v>4537</v>
      </c>
      <c r="AA336" s="121" t="s">
        <v>4538</v>
      </c>
      <c r="AB336" s="122" t="s">
        <v>1194</v>
      </c>
      <c r="AC336" s="123">
        <v>28</v>
      </c>
      <c r="AD336" s="124">
        <v>0.5</v>
      </c>
      <c r="AE336" s="200">
        <f>ROUND(AD336*AC336,2)</f>
        <v>14</v>
      </c>
      <c r="AF336" s="248"/>
      <c r="AR336" s="129" t="s">
        <v>235</v>
      </c>
      <c r="AT336" s="129" t="s">
        <v>231</v>
      </c>
      <c r="AU336" s="129" t="s">
        <v>76</v>
      </c>
      <c r="AY336" s="13" t="s">
        <v>228</v>
      </c>
      <c r="BE336" s="130">
        <f>IF(N336="základná",J336,0)</f>
        <v>0</v>
      </c>
      <c r="BF336" s="130">
        <f>IF(N336="znížená",J336,0)</f>
        <v>14</v>
      </c>
      <c r="BG336" s="130">
        <f>IF(N336="zákl. prenesená",J336,0)</f>
        <v>0</v>
      </c>
      <c r="BH336" s="130">
        <f>IF(N336="zníž. prenesená",J336,0)</f>
        <v>0</v>
      </c>
      <c r="BI336" s="130">
        <f>IF(N336="nulová",J336,0)</f>
        <v>0</v>
      </c>
      <c r="BJ336" s="13" t="s">
        <v>76</v>
      </c>
      <c r="BK336" s="130">
        <f>ROUND(I336*H336,2)</f>
        <v>14</v>
      </c>
      <c r="BL336" s="13" t="s">
        <v>235</v>
      </c>
      <c r="BM336" s="129" t="s">
        <v>507</v>
      </c>
    </row>
    <row r="337" spans="2:65" s="11" customFormat="1" ht="22.95" customHeight="1" x14ac:dyDescent="0.25">
      <c r="B337" s="106"/>
      <c r="D337" s="107" t="s">
        <v>57</v>
      </c>
      <c r="E337" s="116" t="s">
        <v>4539</v>
      </c>
      <c r="F337" s="116" t="s">
        <v>4540</v>
      </c>
      <c r="J337" s="117">
        <f>BK337</f>
        <v>210.74</v>
      </c>
      <c r="L337" s="106"/>
      <c r="M337" s="110"/>
      <c r="N337" s="111"/>
      <c r="O337" s="111"/>
      <c r="P337" s="112">
        <f>SUM(P338:P339)</f>
        <v>0</v>
      </c>
      <c r="Q337" s="111"/>
      <c r="R337" s="112">
        <f>SUM(R338:R339)</f>
        <v>0</v>
      </c>
      <c r="S337" s="111"/>
      <c r="T337" s="113">
        <f>SUM(T338:T339)</f>
        <v>0</v>
      </c>
      <c r="W337" s="195"/>
      <c r="X337" s="111"/>
      <c r="Y337" s="196" t="s">
        <v>57</v>
      </c>
      <c r="Z337" s="201" t="s">
        <v>4539</v>
      </c>
      <c r="AA337" s="201" t="s">
        <v>4540</v>
      </c>
      <c r="AB337" s="111"/>
      <c r="AC337" s="111"/>
      <c r="AD337" s="111"/>
      <c r="AE337" s="202">
        <f>SUM(AE338:AE339)</f>
        <v>205.2</v>
      </c>
      <c r="AF337" s="248"/>
      <c r="AR337" s="107" t="s">
        <v>63</v>
      </c>
      <c r="AT337" s="114" t="s">
        <v>57</v>
      </c>
      <c r="AU337" s="114" t="s">
        <v>63</v>
      </c>
      <c r="AY337" s="107" t="s">
        <v>228</v>
      </c>
      <c r="BK337" s="115">
        <f>SUM(BK338:BK339)</f>
        <v>210.74</v>
      </c>
    </row>
    <row r="338" spans="2:65" s="1" customFormat="1" ht="16.5" customHeight="1" x14ac:dyDescent="0.2">
      <c r="B338" s="118"/>
      <c r="C338" s="119" t="s">
        <v>508</v>
      </c>
      <c r="D338" s="119" t="s">
        <v>231</v>
      </c>
      <c r="E338" s="120" t="s">
        <v>4541</v>
      </c>
      <c r="F338" s="121" t="s">
        <v>4542</v>
      </c>
      <c r="G338" s="122" t="s">
        <v>284</v>
      </c>
      <c r="H338" s="123">
        <v>120</v>
      </c>
      <c r="I338" s="124">
        <v>0.96</v>
      </c>
      <c r="J338" s="124">
        <f>ROUND(I338*H338,2)</f>
        <v>115.2</v>
      </c>
      <c r="K338" s="121" t="s">
        <v>1</v>
      </c>
      <c r="L338" s="24"/>
      <c r="M338" s="125" t="s">
        <v>1</v>
      </c>
      <c r="N338" s="126" t="s">
        <v>32</v>
      </c>
      <c r="O338" s="127">
        <v>0</v>
      </c>
      <c r="P338" s="127">
        <f>O338*H338</f>
        <v>0</v>
      </c>
      <c r="Q338" s="127">
        <v>0</v>
      </c>
      <c r="R338" s="127">
        <f>Q338*H338</f>
        <v>0</v>
      </c>
      <c r="S338" s="127">
        <v>0</v>
      </c>
      <c r="T338" s="128">
        <f>S338*H338</f>
        <v>0</v>
      </c>
      <c r="W338" s="199"/>
      <c r="X338" s="119" t="s">
        <v>508</v>
      </c>
      <c r="Y338" s="119" t="s">
        <v>231</v>
      </c>
      <c r="Z338" s="120" t="s">
        <v>4541</v>
      </c>
      <c r="AA338" s="121" t="s">
        <v>4542</v>
      </c>
      <c r="AB338" s="122" t="s">
        <v>284</v>
      </c>
      <c r="AC338" s="123">
        <v>120</v>
      </c>
      <c r="AD338" s="124">
        <v>0.96</v>
      </c>
      <c r="AE338" s="200">
        <f>ROUND(AD338*AC338,2)</f>
        <v>115.2</v>
      </c>
      <c r="AF338" s="248"/>
      <c r="AR338" s="129" t="s">
        <v>235</v>
      </c>
      <c r="AT338" s="129" t="s">
        <v>231</v>
      </c>
      <c r="AU338" s="129" t="s">
        <v>76</v>
      </c>
      <c r="AY338" s="13" t="s">
        <v>228</v>
      </c>
      <c r="BE338" s="130">
        <f>IF(N338="základná",J338,0)</f>
        <v>0</v>
      </c>
      <c r="BF338" s="130">
        <f>IF(N338="znížená",J338,0)</f>
        <v>115.2</v>
      </c>
      <c r="BG338" s="130">
        <f>IF(N338="zákl. prenesená",J338,0)</f>
        <v>0</v>
      </c>
      <c r="BH338" s="130">
        <f>IF(N338="zníž. prenesená",J338,0)</f>
        <v>0</v>
      </c>
      <c r="BI338" s="130">
        <f>IF(N338="nulová",J338,0)</f>
        <v>0</v>
      </c>
      <c r="BJ338" s="13" t="s">
        <v>76</v>
      </c>
      <c r="BK338" s="130">
        <f>ROUND(I338*H338,2)</f>
        <v>115.2</v>
      </c>
      <c r="BL338" s="13" t="s">
        <v>235</v>
      </c>
      <c r="BM338" s="129" t="s">
        <v>511</v>
      </c>
    </row>
    <row r="339" spans="2:65" s="1" customFormat="1" ht="16.5" customHeight="1" x14ac:dyDescent="0.2">
      <c r="B339" s="118"/>
      <c r="C339" s="205" t="s">
        <v>372</v>
      </c>
      <c r="D339" s="119" t="s">
        <v>231</v>
      </c>
      <c r="E339" s="120" t="s">
        <v>3686</v>
      </c>
      <c r="F339" s="121" t="s">
        <v>3687</v>
      </c>
      <c r="G339" s="122" t="s">
        <v>570</v>
      </c>
      <c r="H339" s="123">
        <v>1.8</v>
      </c>
      <c r="I339" s="213">
        <v>53.08</v>
      </c>
      <c r="J339" s="124">
        <f>ROUND(I339*H339,2)</f>
        <v>95.54</v>
      </c>
      <c r="K339" s="121" t="s">
        <v>1</v>
      </c>
      <c r="L339" s="24"/>
      <c r="M339" s="125" t="s">
        <v>1</v>
      </c>
      <c r="N339" s="126" t="s">
        <v>32</v>
      </c>
      <c r="O339" s="127">
        <v>0</v>
      </c>
      <c r="P339" s="127">
        <f>O339*H339</f>
        <v>0</v>
      </c>
      <c r="Q339" s="127">
        <v>0</v>
      </c>
      <c r="R339" s="127">
        <f>Q339*H339</f>
        <v>0</v>
      </c>
      <c r="S339" s="127">
        <v>0</v>
      </c>
      <c r="T339" s="128">
        <f>S339*H339</f>
        <v>0</v>
      </c>
      <c r="W339" s="199"/>
      <c r="X339" s="205" t="s">
        <v>372</v>
      </c>
      <c r="Y339" s="119" t="s">
        <v>231</v>
      </c>
      <c r="Z339" s="120" t="s">
        <v>3686</v>
      </c>
      <c r="AA339" s="121" t="s">
        <v>3687</v>
      </c>
      <c r="AB339" s="122" t="s">
        <v>570</v>
      </c>
      <c r="AC339" s="123">
        <v>1.8</v>
      </c>
      <c r="AD339" s="213">
        <v>50</v>
      </c>
      <c r="AE339" s="200">
        <f>ROUND(AD339*AC339,2)</f>
        <v>90</v>
      </c>
      <c r="AF339" s="248">
        <v>7</v>
      </c>
      <c r="AR339" s="129" t="s">
        <v>235</v>
      </c>
      <c r="AT339" s="129" t="s">
        <v>231</v>
      </c>
      <c r="AU339" s="129" t="s">
        <v>76</v>
      </c>
      <c r="AY339" s="13" t="s">
        <v>228</v>
      </c>
      <c r="BE339" s="130">
        <f>IF(N339="základná",J339,0)</f>
        <v>0</v>
      </c>
      <c r="BF339" s="130">
        <f>IF(N339="znížená",J339,0)</f>
        <v>95.54</v>
      </c>
      <c r="BG339" s="130">
        <f>IF(N339="zákl. prenesená",J339,0)</f>
        <v>0</v>
      </c>
      <c r="BH339" s="130">
        <f>IF(N339="zníž. prenesená",J339,0)</f>
        <v>0</v>
      </c>
      <c r="BI339" s="130">
        <f>IF(N339="nulová",J339,0)</f>
        <v>0</v>
      </c>
      <c r="BJ339" s="13" t="s">
        <v>76</v>
      </c>
      <c r="BK339" s="130">
        <f>ROUND(I339*H339,2)</f>
        <v>95.54</v>
      </c>
      <c r="BL339" s="13" t="s">
        <v>235</v>
      </c>
      <c r="BM339" s="129" t="s">
        <v>514</v>
      </c>
    </row>
    <row r="340" spans="2:65" s="11" customFormat="1" ht="25.95" customHeight="1" x14ac:dyDescent="0.25">
      <c r="B340" s="106"/>
      <c r="D340" s="107" t="s">
        <v>57</v>
      </c>
      <c r="E340" s="108" t="s">
        <v>882</v>
      </c>
      <c r="F340" s="108" t="s">
        <v>1263</v>
      </c>
      <c r="J340" s="109">
        <f>BK340</f>
        <v>469.81999999999994</v>
      </c>
      <c r="L340" s="106"/>
      <c r="M340" s="110"/>
      <c r="N340" s="111"/>
      <c r="O340" s="111"/>
      <c r="P340" s="112">
        <f>SUM(P345:P347)</f>
        <v>0</v>
      </c>
      <c r="Q340" s="111"/>
      <c r="R340" s="112">
        <f>SUM(R345:R347)</f>
        <v>0</v>
      </c>
      <c r="S340" s="111"/>
      <c r="T340" s="113">
        <f>SUM(T345:T347)</f>
        <v>0</v>
      </c>
      <c r="W340" s="195"/>
      <c r="X340" s="111"/>
      <c r="Y340" s="196" t="s">
        <v>57</v>
      </c>
      <c r="Z340" s="197" t="s">
        <v>882</v>
      </c>
      <c r="AA340" s="197" t="s">
        <v>1263</v>
      </c>
      <c r="AB340" s="111"/>
      <c r="AC340" s="111"/>
      <c r="AD340" s="111"/>
      <c r="AE340" s="198">
        <f>SUM(AE342:AE347)</f>
        <v>782.58999999999992</v>
      </c>
      <c r="AF340" s="248"/>
      <c r="AR340" s="107" t="s">
        <v>63</v>
      </c>
      <c r="AT340" s="114" t="s">
        <v>57</v>
      </c>
      <c r="AU340" s="114" t="s">
        <v>58</v>
      </c>
      <c r="AY340" s="107" t="s">
        <v>228</v>
      </c>
      <c r="BK340" s="115">
        <f>SUM(BK345:BK347)</f>
        <v>469.81999999999994</v>
      </c>
    </row>
    <row r="341" spans="2:65" s="11" customFormat="1" ht="25.95" customHeight="1" x14ac:dyDescent="0.25">
      <c r="B341" s="106"/>
      <c r="D341" s="107"/>
      <c r="E341" s="108"/>
      <c r="F341" s="108"/>
      <c r="J341" s="109"/>
      <c r="L341" s="106"/>
      <c r="M341" s="110"/>
      <c r="N341" s="111"/>
      <c r="O341" s="111"/>
      <c r="P341" s="112"/>
      <c r="Q341" s="111"/>
      <c r="R341" s="112"/>
      <c r="S341" s="111"/>
      <c r="T341" s="113"/>
      <c r="W341" s="195"/>
      <c r="X341" s="271"/>
      <c r="Y341" s="272" t="s">
        <v>57</v>
      </c>
      <c r="Z341" s="266" t="s">
        <v>5427</v>
      </c>
      <c r="AA341" s="266" t="s">
        <v>5428</v>
      </c>
      <c r="AB341" s="271"/>
      <c r="AC341" s="271"/>
      <c r="AD341" s="271"/>
      <c r="AE341" s="273"/>
      <c r="AF341" s="248"/>
      <c r="AR341" s="107"/>
      <c r="AT341" s="114"/>
      <c r="AU341" s="114"/>
      <c r="AY341" s="107"/>
      <c r="BK341" s="115"/>
    </row>
    <row r="342" spans="2:65" s="11" customFormat="1" ht="25.95" customHeight="1" x14ac:dyDescent="0.2">
      <c r="B342" s="106"/>
      <c r="C342" s="1234" t="s">
        <v>5205</v>
      </c>
      <c r="D342" s="1235"/>
      <c r="E342" s="1235"/>
      <c r="F342" s="1235"/>
      <c r="G342" s="1235"/>
      <c r="H342" s="1235"/>
      <c r="I342" s="1235"/>
      <c r="J342" s="1236"/>
      <c r="L342" s="106"/>
      <c r="M342" s="110"/>
      <c r="N342" s="111"/>
      <c r="O342" s="111"/>
      <c r="P342" s="112"/>
      <c r="Q342" s="111"/>
      <c r="R342" s="112"/>
      <c r="S342" s="111"/>
      <c r="T342" s="113"/>
      <c r="W342" s="195"/>
      <c r="X342" s="215" t="s">
        <v>5429</v>
      </c>
      <c r="Y342" s="215" t="s">
        <v>231</v>
      </c>
      <c r="Z342" s="216" t="s">
        <v>1264</v>
      </c>
      <c r="AA342" s="217" t="s">
        <v>1265</v>
      </c>
      <c r="AB342" s="218" t="s">
        <v>292</v>
      </c>
      <c r="AC342" s="219">
        <v>41</v>
      </c>
      <c r="AD342" s="220">
        <v>0.46</v>
      </c>
      <c r="AE342" s="221">
        <f t="shared" ref="AE342:AE347" si="41">ROUND(AD342*AC342,2)</f>
        <v>18.86</v>
      </c>
      <c r="AF342" s="248">
        <v>7</v>
      </c>
      <c r="AR342" s="107"/>
      <c r="AT342" s="114"/>
      <c r="AU342" s="114"/>
      <c r="AY342" s="107"/>
      <c r="BK342" s="115"/>
    </row>
    <row r="343" spans="2:65" s="11" customFormat="1" ht="25.95" customHeight="1" x14ac:dyDescent="0.2">
      <c r="B343" s="106"/>
      <c r="C343" s="1234" t="s">
        <v>5205</v>
      </c>
      <c r="D343" s="1235"/>
      <c r="E343" s="1235"/>
      <c r="F343" s="1235"/>
      <c r="G343" s="1235"/>
      <c r="H343" s="1235"/>
      <c r="I343" s="1235"/>
      <c r="J343" s="1236"/>
      <c r="L343" s="106"/>
      <c r="M343" s="110"/>
      <c r="N343" s="111"/>
      <c r="O343" s="111"/>
      <c r="P343" s="112"/>
      <c r="Q343" s="111"/>
      <c r="R343" s="112"/>
      <c r="S343" s="111"/>
      <c r="T343" s="113"/>
      <c r="W343" s="195"/>
      <c r="X343" s="215" t="s">
        <v>5430</v>
      </c>
      <c r="Y343" s="215" t="s">
        <v>231</v>
      </c>
      <c r="Z343" s="216" t="s">
        <v>3732</v>
      </c>
      <c r="AA343" s="217" t="s">
        <v>3733</v>
      </c>
      <c r="AB343" s="218" t="s">
        <v>292</v>
      </c>
      <c r="AC343" s="219">
        <v>93</v>
      </c>
      <c r="AD343" s="220">
        <v>3.18</v>
      </c>
      <c r="AE343" s="221">
        <f t="shared" si="41"/>
        <v>295.74</v>
      </c>
      <c r="AF343" s="248">
        <v>7</v>
      </c>
      <c r="AR343" s="107"/>
      <c r="AT343" s="114"/>
      <c r="AU343" s="114"/>
      <c r="AY343" s="107"/>
      <c r="BK343" s="115"/>
    </row>
    <row r="344" spans="2:65" s="11" customFormat="1" ht="25.95" customHeight="1" x14ac:dyDescent="0.2">
      <c r="B344" s="106"/>
      <c r="C344" s="1266" t="s">
        <v>5205</v>
      </c>
      <c r="D344" s="1235"/>
      <c r="E344" s="1235"/>
      <c r="F344" s="1235"/>
      <c r="G344" s="1235"/>
      <c r="H344" s="1235"/>
      <c r="I344" s="1235"/>
      <c r="J344" s="1236"/>
      <c r="L344" s="106"/>
      <c r="M344" s="110"/>
      <c r="N344" s="111"/>
      <c r="O344" s="111"/>
      <c r="P344" s="112"/>
      <c r="Q344" s="111"/>
      <c r="R344" s="112"/>
      <c r="S344" s="111"/>
      <c r="T344" s="113"/>
      <c r="W344" s="195"/>
      <c r="X344" s="215" t="s">
        <v>5431</v>
      </c>
      <c r="Y344" s="215" t="s">
        <v>231</v>
      </c>
      <c r="Z344" s="216" t="s">
        <v>1266</v>
      </c>
      <c r="AA344" s="217" t="s">
        <v>1267</v>
      </c>
      <c r="AB344" s="218" t="s">
        <v>284</v>
      </c>
      <c r="AC344" s="219">
        <v>5</v>
      </c>
      <c r="AD344" s="220">
        <v>11.44</v>
      </c>
      <c r="AE344" s="221">
        <f t="shared" si="41"/>
        <v>57.2</v>
      </c>
      <c r="AF344" s="248">
        <v>7</v>
      </c>
      <c r="AR344" s="107"/>
      <c r="AT344" s="114"/>
      <c r="AU344" s="114"/>
      <c r="AY344" s="107"/>
      <c r="BK344" s="115"/>
    </row>
    <row r="345" spans="2:65" s="1" customFormat="1" ht="27.45" customHeight="1" x14ac:dyDescent="0.2">
      <c r="B345" s="118"/>
      <c r="C345" s="205" t="s">
        <v>515</v>
      </c>
      <c r="D345" s="119" t="s">
        <v>231</v>
      </c>
      <c r="E345" s="120" t="s">
        <v>1264</v>
      </c>
      <c r="F345" s="121" t="s">
        <v>1265</v>
      </c>
      <c r="G345" s="122" t="s">
        <v>292</v>
      </c>
      <c r="H345" s="206">
        <v>427</v>
      </c>
      <c r="I345" s="124">
        <v>0.46</v>
      </c>
      <c r="J345" s="124">
        <f>ROUND(I345*H345,2)</f>
        <v>196.42</v>
      </c>
      <c r="K345" s="121" t="s">
        <v>1</v>
      </c>
      <c r="L345" s="24"/>
      <c r="M345" s="125" t="s">
        <v>1</v>
      </c>
      <c r="N345" s="126" t="s">
        <v>32</v>
      </c>
      <c r="O345" s="127">
        <v>0</v>
      </c>
      <c r="P345" s="127">
        <f>O345*H345</f>
        <v>0</v>
      </c>
      <c r="Q345" s="127">
        <v>0</v>
      </c>
      <c r="R345" s="127">
        <f>Q345*H345</f>
        <v>0</v>
      </c>
      <c r="S345" s="127">
        <v>0</v>
      </c>
      <c r="T345" s="128">
        <f>S345*H345</f>
        <v>0</v>
      </c>
      <c r="W345" s="199"/>
      <c r="X345" s="205" t="s">
        <v>515</v>
      </c>
      <c r="Y345" s="119" t="s">
        <v>231</v>
      </c>
      <c r="Z345" s="120" t="s">
        <v>1264</v>
      </c>
      <c r="AA345" s="121" t="s">
        <v>1265</v>
      </c>
      <c r="AB345" s="122" t="s">
        <v>292</v>
      </c>
      <c r="AC345" s="206">
        <f>301+11.5</f>
        <v>312.5</v>
      </c>
      <c r="AD345" s="124">
        <v>0.46</v>
      </c>
      <c r="AE345" s="200">
        <f t="shared" si="41"/>
        <v>143.75</v>
      </c>
      <c r="AF345" s="248" t="s">
        <v>6651</v>
      </c>
      <c r="AR345" s="129" t="s">
        <v>235</v>
      </c>
      <c r="AT345" s="129" t="s">
        <v>231</v>
      </c>
      <c r="AU345" s="129" t="s">
        <v>63</v>
      </c>
      <c r="AY345" s="13" t="s">
        <v>228</v>
      </c>
      <c r="BE345" s="130">
        <f>IF(N345="základná",J345,0)</f>
        <v>0</v>
      </c>
      <c r="BF345" s="130">
        <f>IF(N345="znížená",J345,0)</f>
        <v>196.42</v>
      </c>
      <c r="BG345" s="130">
        <f>IF(N345="zákl. prenesená",J345,0)</f>
        <v>0</v>
      </c>
      <c r="BH345" s="130">
        <f>IF(N345="zníž. prenesená",J345,0)</f>
        <v>0</v>
      </c>
      <c r="BI345" s="130">
        <f>IF(N345="nulová",J345,0)</f>
        <v>0</v>
      </c>
      <c r="BJ345" s="13" t="s">
        <v>76</v>
      </c>
      <c r="BK345" s="130">
        <f>ROUND(I345*H345,2)</f>
        <v>196.42</v>
      </c>
      <c r="BL345" s="13" t="s">
        <v>235</v>
      </c>
      <c r="BM345" s="129" t="s">
        <v>518</v>
      </c>
    </row>
    <row r="346" spans="2:65" s="1" customFormat="1" ht="28.95" customHeight="1" x14ac:dyDescent="0.2">
      <c r="B346" s="118"/>
      <c r="C346" s="205" t="s">
        <v>375</v>
      </c>
      <c r="D346" s="119" t="s">
        <v>231</v>
      </c>
      <c r="E346" s="120" t="s">
        <v>3732</v>
      </c>
      <c r="F346" s="121" t="s">
        <v>3733</v>
      </c>
      <c r="G346" s="122" t="s">
        <v>292</v>
      </c>
      <c r="H346" s="206">
        <v>50</v>
      </c>
      <c r="I346" s="124">
        <v>3.18</v>
      </c>
      <c r="J346" s="124">
        <f>ROUND(I346*H346,2)</f>
        <v>159</v>
      </c>
      <c r="K346" s="121" t="s">
        <v>1</v>
      </c>
      <c r="L346" s="24"/>
      <c r="M346" s="125" t="s">
        <v>1</v>
      </c>
      <c r="N346" s="126" t="s">
        <v>32</v>
      </c>
      <c r="O346" s="127">
        <v>0</v>
      </c>
      <c r="P346" s="127">
        <f>O346*H346</f>
        <v>0</v>
      </c>
      <c r="Q346" s="127">
        <v>0</v>
      </c>
      <c r="R346" s="127">
        <f>Q346*H346</f>
        <v>0</v>
      </c>
      <c r="S346" s="127">
        <v>0</v>
      </c>
      <c r="T346" s="128">
        <f>S346*H346</f>
        <v>0</v>
      </c>
      <c r="W346" s="199"/>
      <c r="X346" s="205" t="s">
        <v>375</v>
      </c>
      <c r="Y346" s="119" t="s">
        <v>231</v>
      </c>
      <c r="Z346" s="120" t="s">
        <v>3732</v>
      </c>
      <c r="AA346" s="121" t="s">
        <v>3733</v>
      </c>
      <c r="AB346" s="122" t="s">
        <v>292</v>
      </c>
      <c r="AC346" s="206">
        <v>48</v>
      </c>
      <c r="AD346" s="124">
        <v>3.18</v>
      </c>
      <c r="AE346" s="200">
        <f t="shared" si="41"/>
        <v>152.63999999999999</v>
      </c>
      <c r="AF346" s="248">
        <v>7</v>
      </c>
      <c r="AR346" s="129" t="s">
        <v>235</v>
      </c>
      <c r="AT346" s="129" t="s">
        <v>231</v>
      </c>
      <c r="AU346" s="129" t="s">
        <v>63</v>
      </c>
      <c r="AY346" s="13" t="s">
        <v>228</v>
      </c>
      <c r="BE346" s="130">
        <f>IF(N346="základná",J346,0)</f>
        <v>0</v>
      </c>
      <c r="BF346" s="130">
        <f>IF(N346="znížená",J346,0)</f>
        <v>159</v>
      </c>
      <c r="BG346" s="130">
        <f>IF(N346="zákl. prenesená",J346,0)</f>
        <v>0</v>
      </c>
      <c r="BH346" s="130">
        <f>IF(N346="zníž. prenesená",J346,0)</f>
        <v>0</v>
      </c>
      <c r="BI346" s="130">
        <f>IF(N346="nulová",J346,0)</f>
        <v>0</v>
      </c>
      <c r="BJ346" s="13" t="s">
        <v>76</v>
      </c>
      <c r="BK346" s="130">
        <f>ROUND(I346*H346,2)</f>
        <v>159</v>
      </c>
      <c r="BL346" s="13" t="s">
        <v>235</v>
      </c>
      <c r="BM346" s="129" t="s">
        <v>521</v>
      </c>
    </row>
    <row r="347" spans="2:65" s="1" customFormat="1" ht="27.45" customHeight="1" x14ac:dyDescent="0.2">
      <c r="B347" s="118"/>
      <c r="C347" s="119" t="s">
        <v>522</v>
      </c>
      <c r="D347" s="119" t="s">
        <v>231</v>
      </c>
      <c r="E347" s="120" t="s">
        <v>1266</v>
      </c>
      <c r="F347" s="121" t="s">
        <v>1267</v>
      </c>
      <c r="G347" s="122" t="s">
        <v>284</v>
      </c>
      <c r="H347" s="123">
        <v>10</v>
      </c>
      <c r="I347" s="124">
        <v>11.44</v>
      </c>
      <c r="J347" s="124">
        <f>ROUND(I347*H347,2)</f>
        <v>114.4</v>
      </c>
      <c r="K347" s="121" t="s">
        <v>1</v>
      </c>
      <c r="L347" s="24"/>
      <c r="M347" s="125" t="s">
        <v>1</v>
      </c>
      <c r="N347" s="126" t="s">
        <v>32</v>
      </c>
      <c r="O347" s="127">
        <v>0</v>
      </c>
      <c r="P347" s="127">
        <f>O347*H347</f>
        <v>0</v>
      </c>
      <c r="Q347" s="127">
        <v>0</v>
      </c>
      <c r="R347" s="127">
        <f>Q347*H347</f>
        <v>0</v>
      </c>
      <c r="S347" s="127">
        <v>0</v>
      </c>
      <c r="T347" s="128">
        <f>S347*H347</f>
        <v>0</v>
      </c>
      <c r="W347" s="199"/>
      <c r="X347" s="119" t="s">
        <v>522</v>
      </c>
      <c r="Y347" s="119" t="s">
        <v>231</v>
      </c>
      <c r="Z347" s="120" t="s">
        <v>1266</v>
      </c>
      <c r="AA347" s="121" t="s">
        <v>1267</v>
      </c>
      <c r="AB347" s="122" t="s">
        <v>284</v>
      </c>
      <c r="AC347" s="123">
        <v>10</v>
      </c>
      <c r="AD347" s="124">
        <v>11.44</v>
      </c>
      <c r="AE347" s="200">
        <f t="shared" si="41"/>
        <v>114.4</v>
      </c>
      <c r="AF347" s="248"/>
      <c r="AR347" s="129" t="s">
        <v>235</v>
      </c>
      <c r="AT347" s="129" t="s">
        <v>231</v>
      </c>
      <c r="AU347" s="129" t="s">
        <v>63</v>
      </c>
      <c r="AY347" s="13" t="s">
        <v>228</v>
      </c>
      <c r="BE347" s="130">
        <f>IF(N347="základná",J347,0)</f>
        <v>0</v>
      </c>
      <c r="BF347" s="130">
        <f>IF(N347="znížená",J347,0)</f>
        <v>114.4</v>
      </c>
      <c r="BG347" s="130">
        <f>IF(N347="zákl. prenesená",J347,0)</f>
        <v>0</v>
      </c>
      <c r="BH347" s="130">
        <f>IF(N347="zníž. prenesená",J347,0)</f>
        <v>0</v>
      </c>
      <c r="BI347" s="130">
        <f>IF(N347="nulová",J347,0)</f>
        <v>0</v>
      </c>
      <c r="BJ347" s="13" t="s">
        <v>76</v>
      </c>
      <c r="BK347" s="130">
        <f>ROUND(I347*H347,2)</f>
        <v>114.4</v>
      </c>
      <c r="BL347" s="13" t="s">
        <v>235</v>
      </c>
      <c r="BM347" s="129" t="s">
        <v>525</v>
      </c>
    </row>
    <row r="348" spans="2:65" s="11" customFormat="1" ht="25.95" customHeight="1" x14ac:dyDescent="0.25">
      <c r="B348" s="106"/>
      <c r="D348" s="107" t="s">
        <v>57</v>
      </c>
      <c r="E348" s="108" t="s">
        <v>939</v>
      </c>
      <c r="F348" s="108" t="s">
        <v>1268</v>
      </c>
      <c r="J348" s="109">
        <f>BK348</f>
        <v>1148.95</v>
      </c>
      <c r="L348" s="106"/>
      <c r="M348" s="110"/>
      <c r="N348" s="111"/>
      <c r="O348" s="111"/>
      <c r="P348" s="112">
        <f>P358</f>
        <v>0</v>
      </c>
      <c r="Q348" s="111"/>
      <c r="R348" s="112">
        <f>R358</f>
        <v>0</v>
      </c>
      <c r="S348" s="111"/>
      <c r="T348" s="113">
        <f>T358</f>
        <v>0</v>
      </c>
      <c r="W348" s="195"/>
      <c r="X348" s="111"/>
      <c r="Y348" s="196" t="s">
        <v>57</v>
      </c>
      <c r="Z348" s="197" t="s">
        <v>939</v>
      </c>
      <c r="AA348" s="197" t="s">
        <v>1268</v>
      </c>
      <c r="AB348" s="111"/>
      <c r="AC348" s="111"/>
      <c r="AD348" s="111"/>
      <c r="AE348" s="198">
        <f>AE350+AE358+AE366+AE370</f>
        <v>3009.2199999999993</v>
      </c>
      <c r="AF348" s="248"/>
      <c r="AR348" s="107" t="s">
        <v>63</v>
      </c>
      <c r="AT348" s="114" t="s">
        <v>57</v>
      </c>
      <c r="AU348" s="114" t="s">
        <v>58</v>
      </c>
      <c r="AY348" s="107" t="s">
        <v>228</v>
      </c>
      <c r="BK348" s="115">
        <f>BK358</f>
        <v>1148.95</v>
      </c>
    </row>
    <row r="349" spans="2:65" s="11" customFormat="1" ht="25.95" customHeight="1" x14ac:dyDescent="0.25">
      <c r="B349" s="106"/>
      <c r="D349" s="107"/>
      <c r="E349" s="108"/>
      <c r="F349" s="108"/>
      <c r="J349" s="109"/>
      <c r="L349" s="106"/>
      <c r="M349" s="110"/>
      <c r="N349" s="111"/>
      <c r="O349" s="111"/>
      <c r="P349" s="112"/>
      <c r="Q349" s="111"/>
      <c r="R349" s="112"/>
      <c r="S349" s="111"/>
      <c r="T349" s="113"/>
      <c r="W349" s="195"/>
      <c r="X349" s="111"/>
      <c r="Y349" s="272" t="s">
        <v>57</v>
      </c>
      <c r="Z349" s="266" t="s">
        <v>5263</v>
      </c>
      <c r="AA349" s="266" t="s">
        <v>5438</v>
      </c>
      <c r="AB349" s="271"/>
      <c r="AC349" s="271"/>
      <c r="AD349" s="271"/>
      <c r="AE349" s="273"/>
      <c r="AF349" s="248"/>
      <c r="AR349" s="107"/>
      <c r="AT349" s="114"/>
      <c r="AU349" s="114"/>
      <c r="AY349" s="107"/>
      <c r="BK349" s="115"/>
    </row>
    <row r="350" spans="2:65" s="11" customFormat="1" ht="25.95" customHeight="1" x14ac:dyDescent="0.25">
      <c r="B350" s="106"/>
      <c r="D350" s="107"/>
      <c r="E350" s="108"/>
      <c r="F350" s="108"/>
      <c r="J350" s="109"/>
      <c r="L350" s="106"/>
      <c r="M350" s="110"/>
      <c r="N350" s="111"/>
      <c r="O350" s="111"/>
      <c r="P350" s="112"/>
      <c r="Q350" s="111"/>
      <c r="R350" s="112"/>
      <c r="S350" s="111"/>
      <c r="T350" s="113"/>
      <c r="W350" s="195"/>
      <c r="X350" s="271"/>
      <c r="Y350" s="272" t="s">
        <v>57</v>
      </c>
      <c r="Z350" s="274" t="s">
        <v>5265</v>
      </c>
      <c r="AA350" s="274" t="s">
        <v>5266</v>
      </c>
      <c r="AB350" s="271"/>
      <c r="AC350" s="271"/>
      <c r="AD350" s="271"/>
      <c r="AE350" s="275">
        <f>SUM(AE351:AE357)</f>
        <v>1303.5999999999999</v>
      </c>
      <c r="AF350" s="248"/>
      <c r="AR350" s="107"/>
      <c r="AT350" s="114"/>
      <c r="AU350" s="114"/>
      <c r="AY350" s="107"/>
      <c r="BK350" s="115"/>
    </row>
    <row r="351" spans="2:65" s="11" customFormat="1" ht="18" customHeight="1" x14ac:dyDescent="0.2">
      <c r="B351" s="106"/>
      <c r="C351" s="1266" t="s">
        <v>5205</v>
      </c>
      <c r="D351" s="1235"/>
      <c r="E351" s="1235"/>
      <c r="F351" s="1235"/>
      <c r="G351" s="1235"/>
      <c r="H351" s="1235"/>
      <c r="I351" s="1235"/>
      <c r="J351" s="1236"/>
      <c r="L351" s="106"/>
      <c r="M351" s="110"/>
      <c r="N351" s="111"/>
      <c r="O351" s="111"/>
      <c r="P351" s="112"/>
      <c r="Q351" s="111"/>
      <c r="R351" s="112"/>
      <c r="S351" s="111"/>
      <c r="T351" s="113"/>
      <c r="W351" s="195"/>
      <c r="X351" s="215" t="s">
        <v>5439</v>
      </c>
      <c r="Y351" s="215" t="s">
        <v>231</v>
      </c>
      <c r="Z351" s="216" t="s">
        <v>1275</v>
      </c>
      <c r="AA351" s="217" t="s">
        <v>1276</v>
      </c>
      <c r="AB351" s="218" t="s">
        <v>292</v>
      </c>
      <c r="AC351" s="219">
        <v>8</v>
      </c>
      <c r="AD351" s="220">
        <v>3.77</v>
      </c>
      <c r="AE351" s="221">
        <f t="shared" ref="AE351:AE357" si="42">ROUND(AD351*AC351,2)</f>
        <v>30.16</v>
      </c>
      <c r="AF351" s="1131">
        <v>7</v>
      </c>
      <c r="AG351" s="292"/>
      <c r="AR351" s="107"/>
      <c r="AT351" s="114"/>
      <c r="AU351" s="114"/>
      <c r="AY351" s="107"/>
      <c r="BK351" s="115"/>
    </row>
    <row r="352" spans="2:65" s="11" customFormat="1" ht="34.200000000000003" x14ac:dyDescent="0.2">
      <c r="B352" s="106"/>
      <c r="C352" s="1266" t="s">
        <v>5205</v>
      </c>
      <c r="D352" s="1235"/>
      <c r="E352" s="1235"/>
      <c r="F352" s="1235"/>
      <c r="G352" s="1235"/>
      <c r="H352" s="1235"/>
      <c r="I352" s="1235"/>
      <c r="J352" s="1236"/>
      <c r="L352" s="106"/>
      <c r="M352" s="110"/>
      <c r="N352" s="111"/>
      <c r="O352" s="111"/>
      <c r="P352" s="112"/>
      <c r="Q352" s="111"/>
      <c r="R352" s="112"/>
      <c r="S352" s="111"/>
      <c r="T352" s="113"/>
      <c r="W352" s="195"/>
      <c r="X352" s="215" t="s">
        <v>5440</v>
      </c>
      <c r="Y352" s="215" t="s">
        <v>231</v>
      </c>
      <c r="Z352" s="216" t="s">
        <v>5267</v>
      </c>
      <c r="AA352" s="217" t="s">
        <v>5268</v>
      </c>
      <c r="AB352" s="218" t="s">
        <v>292</v>
      </c>
      <c r="AC352" s="219">
        <v>8</v>
      </c>
      <c r="AD352" s="220">
        <v>7.4</v>
      </c>
      <c r="AE352" s="221">
        <f t="shared" si="42"/>
        <v>59.2</v>
      </c>
      <c r="AF352" s="1131">
        <v>7</v>
      </c>
      <c r="AG352" s="292"/>
      <c r="AR352" s="107"/>
      <c r="AT352" s="114"/>
      <c r="AU352" s="114"/>
      <c r="AY352" s="107"/>
      <c r="BK352" s="115"/>
    </row>
    <row r="353" spans="2:65" s="11" customFormat="1" ht="34.200000000000003" x14ac:dyDescent="0.2">
      <c r="B353" s="106"/>
      <c r="C353" s="1266" t="s">
        <v>5205</v>
      </c>
      <c r="D353" s="1235"/>
      <c r="E353" s="1235"/>
      <c r="F353" s="1235"/>
      <c r="G353" s="1235"/>
      <c r="H353" s="1235"/>
      <c r="I353" s="1235"/>
      <c r="J353" s="1236"/>
      <c r="L353" s="106"/>
      <c r="M353" s="110"/>
      <c r="N353" s="111"/>
      <c r="O353" s="111"/>
      <c r="P353" s="112"/>
      <c r="Q353" s="111"/>
      <c r="R353" s="112"/>
      <c r="S353" s="111"/>
      <c r="T353" s="113"/>
      <c r="W353" s="195"/>
      <c r="X353" s="215" t="s">
        <v>5441</v>
      </c>
      <c r="Y353" s="215" t="s">
        <v>231</v>
      </c>
      <c r="Z353" s="216" t="s">
        <v>5269</v>
      </c>
      <c r="AA353" s="217" t="s">
        <v>5270</v>
      </c>
      <c r="AB353" s="218" t="s">
        <v>292</v>
      </c>
      <c r="AC353" s="219">
        <v>25</v>
      </c>
      <c r="AD353" s="220">
        <v>8.1</v>
      </c>
      <c r="AE353" s="221">
        <f t="shared" si="42"/>
        <v>202.5</v>
      </c>
      <c r="AF353" s="1131">
        <v>7</v>
      </c>
      <c r="AG353" s="292"/>
      <c r="AR353" s="107"/>
      <c r="AT353" s="114"/>
      <c r="AU353" s="114"/>
      <c r="AY353" s="107"/>
      <c r="BK353" s="115"/>
    </row>
    <row r="354" spans="2:65" s="11" customFormat="1" ht="34.200000000000003" x14ac:dyDescent="0.2">
      <c r="B354" s="106"/>
      <c r="C354" s="1266" t="s">
        <v>5205</v>
      </c>
      <c r="D354" s="1235"/>
      <c r="E354" s="1235"/>
      <c r="F354" s="1235"/>
      <c r="G354" s="1235"/>
      <c r="H354" s="1235"/>
      <c r="I354" s="1235"/>
      <c r="J354" s="1236"/>
      <c r="L354" s="106"/>
      <c r="M354" s="110"/>
      <c r="N354" s="111"/>
      <c r="O354" s="111"/>
      <c r="P354" s="112"/>
      <c r="Q354" s="111"/>
      <c r="R354" s="112"/>
      <c r="S354" s="111"/>
      <c r="T354" s="113"/>
      <c r="W354" s="195"/>
      <c r="X354" s="215" t="s">
        <v>5442</v>
      </c>
      <c r="Y354" s="215" t="s">
        <v>231</v>
      </c>
      <c r="Z354" s="216" t="s">
        <v>5271</v>
      </c>
      <c r="AA354" s="217" t="s">
        <v>5272</v>
      </c>
      <c r="AB354" s="218" t="s">
        <v>292</v>
      </c>
      <c r="AC354" s="219">
        <v>70</v>
      </c>
      <c r="AD354" s="220">
        <v>9.3699999999999992</v>
      </c>
      <c r="AE354" s="221">
        <f t="shared" si="42"/>
        <v>655.9</v>
      </c>
      <c r="AF354" s="1131">
        <v>7</v>
      </c>
      <c r="AG354" s="292"/>
      <c r="AR354" s="107"/>
      <c r="AT354" s="114"/>
      <c r="AU354" s="114"/>
      <c r="AY354" s="107"/>
      <c r="BK354" s="115"/>
    </row>
    <row r="355" spans="2:65" s="11" customFormat="1" ht="34.200000000000003" x14ac:dyDescent="0.2">
      <c r="B355" s="106"/>
      <c r="C355" s="1266" t="s">
        <v>5205</v>
      </c>
      <c r="D355" s="1235"/>
      <c r="E355" s="1235"/>
      <c r="F355" s="1235"/>
      <c r="G355" s="1235"/>
      <c r="H355" s="1235"/>
      <c r="I355" s="1235"/>
      <c r="J355" s="1236"/>
      <c r="L355" s="106"/>
      <c r="M355" s="110"/>
      <c r="N355" s="111"/>
      <c r="O355" s="111"/>
      <c r="P355" s="112"/>
      <c r="Q355" s="111"/>
      <c r="R355" s="112"/>
      <c r="S355" s="111"/>
      <c r="T355" s="113"/>
      <c r="W355" s="195"/>
      <c r="X355" s="215" t="s">
        <v>5443</v>
      </c>
      <c r="Y355" s="215" t="s">
        <v>231</v>
      </c>
      <c r="Z355" s="216" t="s">
        <v>5432</v>
      </c>
      <c r="AA355" s="217" t="s">
        <v>5433</v>
      </c>
      <c r="AB355" s="218" t="s">
        <v>292</v>
      </c>
      <c r="AC355" s="219">
        <v>8</v>
      </c>
      <c r="AD355" s="220">
        <v>14.54</v>
      </c>
      <c r="AE355" s="221">
        <f t="shared" si="42"/>
        <v>116.32</v>
      </c>
      <c r="AF355" s="1131">
        <v>7</v>
      </c>
      <c r="AG355" s="292"/>
      <c r="AR355" s="107"/>
      <c r="AT355" s="114"/>
      <c r="AU355" s="114"/>
      <c r="AY355" s="107"/>
      <c r="BK355" s="115"/>
    </row>
    <row r="356" spans="2:65" s="11" customFormat="1" ht="34.200000000000003" x14ac:dyDescent="0.2">
      <c r="B356" s="106"/>
      <c r="C356" s="1266" t="s">
        <v>5205</v>
      </c>
      <c r="D356" s="1235"/>
      <c r="E356" s="1235"/>
      <c r="F356" s="1235"/>
      <c r="G356" s="1235"/>
      <c r="H356" s="1235"/>
      <c r="I356" s="1235"/>
      <c r="J356" s="1236"/>
      <c r="L356" s="106"/>
      <c r="M356" s="110"/>
      <c r="N356" s="111"/>
      <c r="O356" s="111"/>
      <c r="P356" s="112"/>
      <c r="Q356" s="111"/>
      <c r="R356" s="112"/>
      <c r="S356" s="111"/>
      <c r="T356" s="113"/>
      <c r="W356" s="195"/>
      <c r="X356" s="215" t="s">
        <v>5444</v>
      </c>
      <c r="Y356" s="215" t="s">
        <v>231</v>
      </c>
      <c r="Z356" s="216" t="s">
        <v>5434</v>
      </c>
      <c r="AA356" s="217" t="s">
        <v>5435</v>
      </c>
      <c r="AB356" s="218" t="s">
        <v>292</v>
      </c>
      <c r="AC356" s="219">
        <v>9</v>
      </c>
      <c r="AD356" s="220">
        <v>19.239999999999998</v>
      </c>
      <c r="AE356" s="221">
        <f t="shared" si="42"/>
        <v>173.16</v>
      </c>
      <c r="AF356" s="1131">
        <v>7</v>
      </c>
      <c r="AG356" s="292"/>
      <c r="AR356" s="107"/>
      <c r="AT356" s="114"/>
      <c r="AU356" s="114"/>
      <c r="AY356" s="107"/>
      <c r="BK356" s="115"/>
    </row>
    <row r="357" spans="2:65" s="11" customFormat="1" ht="34.200000000000003" x14ac:dyDescent="0.2">
      <c r="B357" s="106"/>
      <c r="C357" s="1266" t="s">
        <v>5205</v>
      </c>
      <c r="D357" s="1235"/>
      <c r="E357" s="1235"/>
      <c r="F357" s="1235"/>
      <c r="G357" s="1235"/>
      <c r="H357" s="1235"/>
      <c r="I357" s="1235"/>
      <c r="J357" s="1236"/>
      <c r="L357" s="106"/>
      <c r="M357" s="110"/>
      <c r="N357" s="111"/>
      <c r="O357" s="111"/>
      <c r="P357" s="112"/>
      <c r="Q357" s="111"/>
      <c r="R357" s="112"/>
      <c r="S357" s="111"/>
      <c r="T357" s="113"/>
      <c r="W357" s="195"/>
      <c r="X357" s="215" t="s">
        <v>5445</v>
      </c>
      <c r="Y357" s="215" t="s">
        <v>231</v>
      </c>
      <c r="Z357" s="216" t="s">
        <v>5436</v>
      </c>
      <c r="AA357" s="217" t="s">
        <v>5437</v>
      </c>
      <c r="AB357" s="218" t="s">
        <v>292</v>
      </c>
      <c r="AC357" s="219">
        <v>6</v>
      </c>
      <c r="AD357" s="220">
        <v>11.06</v>
      </c>
      <c r="AE357" s="221">
        <f t="shared" si="42"/>
        <v>66.36</v>
      </c>
      <c r="AF357" s="1131">
        <v>7</v>
      </c>
      <c r="AG357" s="292"/>
      <c r="AR357" s="107"/>
      <c r="AT357" s="114"/>
      <c r="AU357" s="114"/>
      <c r="AY357" s="107"/>
      <c r="BK357" s="115"/>
    </row>
    <row r="358" spans="2:65" s="11" customFormat="1" ht="22.95" customHeight="1" x14ac:dyDescent="0.25">
      <c r="B358" s="106"/>
      <c r="D358" s="107" t="s">
        <v>57</v>
      </c>
      <c r="E358" s="116" t="s">
        <v>2284</v>
      </c>
      <c r="F358" s="116" t="s">
        <v>4543</v>
      </c>
      <c r="J358" s="117">
        <f>BK358</f>
        <v>1148.95</v>
      </c>
      <c r="L358" s="106"/>
      <c r="M358" s="110"/>
      <c r="N358" s="111"/>
      <c r="O358" s="111"/>
      <c r="P358" s="112">
        <f>SUM(P359:P376)</f>
        <v>0</v>
      </c>
      <c r="Q358" s="111"/>
      <c r="R358" s="112">
        <f>SUM(R359:R376)</f>
        <v>0</v>
      </c>
      <c r="S358" s="111"/>
      <c r="T358" s="113">
        <f>SUM(T359:T376)</f>
        <v>0</v>
      </c>
      <c r="W358" s="195"/>
      <c r="X358" s="111"/>
      <c r="Y358" s="196" t="s">
        <v>57</v>
      </c>
      <c r="Z358" s="201" t="s">
        <v>2284</v>
      </c>
      <c r="AA358" s="201" t="s">
        <v>4543</v>
      </c>
      <c r="AB358" s="111"/>
      <c r="AC358" s="111"/>
      <c r="AD358" s="111"/>
      <c r="AE358" s="202">
        <f>SUM(AE359:AE365)</f>
        <v>641.54</v>
      </c>
      <c r="AF358" s="1131"/>
      <c r="AG358" s="292"/>
      <c r="AR358" s="107" t="s">
        <v>63</v>
      </c>
      <c r="AT358" s="114" t="s">
        <v>57</v>
      </c>
      <c r="AU358" s="114" t="s">
        <v>63</v>
      </c>
      <c r="AY358" s="107" t="s">
        <v>228</v>
      </c>
      <c r="BK358" s="115">
        <f>SUM(BK359:BK376)</f>
        <v>1148.95</v>
      </c>
    </row>
    <row r="359" spans="2:65" s="1" customFormat="1" ht="16.5" customHeight="1" x14ac:dyDescent="0.2">
      <c r="B359" s="118"/>
      <c r="C359" s="205" t="s">
        <v>379</v>
      </c>
      <c r="D359" s="119" t="s">
        <v>231</v>
      </c>
      <c r="E359" s="120" t="s">
        <v>1271</v>
      </c>
      <c r="F359" s="121" t="s">
        <v>1272</v>
      </c>
      <c r="G359" s="122" t="s">
        <v>292</v>
      </c>
      <c r="H359" s="206">
        <v>67</v>
      </c>
      <c r="I359" s="124">
        <v>3.26</v>
      </c>
      <c r="J359" s="124">
        <f t="shared" ref="J359:J374" si="43">ROUND(I359*H359,2)</f>
        <v>218.42</v>
      </c>
      <c r="K359" s="121" t="s">
        <v>1</v>
      </c>
      <c r="L359" s="24"/>
      <c r="M359" s="125" t="s">
        <v>1</v>
      </c>
      <c r="N359" s="126" t="s">
        <v>32</v>
      </c>
      <c r="O359" s="127">
        <v>0</v>
      </c>
      <c r="P359" s="127">
        <f t="shared" ref="P359:P374" si="44">O359*H359</f>
        <v>0</v>
      </c>
      <c r="Q359" s="127">
        <v>0</v>
      </c>
      <c r="R359" s="127">
        <f t="shared" ref="R359:R374" si="45">Q359*H359</f>
        <v>0</v>
      </c>
      <c r="S359" s="127">
        <v>0</v>
      </c>
      <c r="T359" s="128">
        <f t="shared" ref="T359:T374" si="46">S359*H359</f>
        <v>0</v>
      </c>
      <c r="W359" s="199"/>
      <c r="X359" s="205" t="s">
        <v>379</v>
      </c>
      <c r="Y359" s="119" t="s">
        <v>231</v>
      </c>
      <c r="Z359" s="120" t="s">
        <v>1271</v>
      </c>
      <c r="AA359" s="121" t="s">
        <v>1272</v>
      </c>
      <c r="AB359" s="122" t="s">
        <v>292</v>
      </c>
      <c r="AC359" s="206">
        <f>0+10+8</f>
        <v>18</v>
      </c>
      <c r="AD359" s="124">
        <v>3.26</v>
      </c>
      <c r="AE359" s="200">
        <f t="shared" ref="AE359:AE374" si="47">ROUND(AD359*AC359,2)</f>
        <v>58.68</v>
      </c>
      <c r="AF359" s="1131" t="s">
        <v>6650</v>
      </c>
      <c r="AG359" s="407"/>
      <c r="AR359" s="129" t="s">
        <v>235</v>
      </c>
      <c r="AT359" s="129" t="s">
        <v>231</v>
      </c>
      <c r="AU359" s="129" t="s">
        <v>76</v>
      </c>
      <c r="AY359" s="13" t="s">
        <v>228</v>
      </c>
      <c r="BE359" s="130">
        <f t="shared" ref="BE359:BE374" si="48">IF(N359="základná",J359,0)</f>
        <v>0</v>
      </c>
      <c r="BF359" s="130">
        <f t="shared" ref="BF359:BF374" si="49">IF(N359="znížená",J359,0)</f>
        <v>218.42</v>
      </c>
      <c r="BG359" s="130">
        <f t="shared" ref="BG359:BG374" si="50">IF(N359="zákl. prenesená",J359,0)</f>
        <v>0</v>
      </c>
      <c r="BH359" s="130">
        <f t="shared" ref="BH359:BH374" si="51">IF(N359="zníž. prenesená",J359,0)</f>
        <v>0</v>
      </c>
      <c r="BI359" s="130">
        <f t="shared" ref="BI359:BI374" si="52">IF(N359="nulová",J359,0)</f>
        <v>0</v>
      </c>
      <c r="BJ359" s="13" t="s">
        <v>76</v>
      </c>
      <c r="BK359" s="130">
        <f t="shared" ref="BK359:BK374" si="53">ROUND(I359*H359,2)</f>
        <v>218.42</v>
      </c>
      <c r="BL359" s="13" t="s">
        <v>235</v>
      </c>
      <c r="BM359" s="129" t="s">
        <v>528</v>
      </c>
    </row>
    <row r="360" spans="2:65" s="1" customFormat="1" ht="16.5" customHeight="1" x14ac:dyDescent="0.2">
      <c r="B360" s="118"/>
      <c r="C360" s="205" t="s">
        <v>529</v>
      </c>
      <c r="D360" s="119" t="s">
        <v>231</v>
      </c>
      <c r="E360" s="120" t="s">
        <v>1273</v>
      </c>
      <c r="F360" s="121" t="s">
        <v>1274</v>
      </c>
      <c r="G360" s="122" t="s">
        <v>292</v>
      </c>
      <c r="H360" s="206">
        <v>5</v>
      </c>
      <c r="I360" s="124">
        <v>3.6</v>
      </c>
      <c r="J360" s="124">
        <f t="shared" si="43"/>
        <v>18</v>
      </c>
      <c r="K360" s="121" t="s">
        <v>1</v>
      </c>
      <c r="L360" s="24"/>
      <c r="M360" s="125" t="s">
        <v>1</v>
      </c>
      <c r="N360" s="126" t="s">
        <v>32</v>
      </c>
      <c r="O360" s="127">
        <v>0</v>
      </c>
      <c r="P360" s="127">
        <f t="shared" si="44"/>
        <v>0</v>
      </c>
      <c r="Q360" s="127">
        <v>0</v>
      </c>
      <c r="R360" s="127">
        <f t="shared" si="45"/>
        <v>0</v>
      </c>
      <c r="S360" s="127">
        <v>0</v>
      </c>
      <c r="T360" s="128">
        <f t="shared" si="46"/>
        <v>0</v>
      </c>
      <c r="W360" s="199"/>
      <c r="X360" s="205" t="s">
        <v>529</v>
      </c>
      <c r="Y360" s="119" t="s">
        <v>231</v>
      </c>
      <c r="Z360" s="120" t="s">
        <v>1273</v>
      </c>
      <c r="AA360" s="121" t="s">
        <v>1274</v>
      </c>
      <c r="AB360" s="122" t="s">
        <v>292</v>
      </c>
      <c r="AC360" s="206">
        <f>0+56+3.5</f>
        <v>59.5</v>
      </c>
      <c r="AD360" s="124">
        <v>3.6</v>
      </c>
      <c r="AE360" s="200">
        <f t="shared" si="47"/>
        <v>214.2</v>
      </c>
      <c r="AF360" s="1131" t="s">
        <v>6650</v>
      </c>
      <c r="AG360" s="407"/>
      <c r="AR360" s="129" t="s">
        <v>235</v>
      </c>
      <c r="AT360" s="129" t="s">
        <v>231</v>
      </c>
      <c r="AU360" s="129" t="s">
        <v>76</v>
      </c>
      <c r="AY360" s="13" t="s">
        <v>228</v>
      </c>
      <c r="BE360" s="130">
        <f t="shared" si="48"/>
        <v>0</v>
      </c>
      <c r="BF360" s="130">
        <f t="shared" si="49"/>
        <v>18</v>
      </c>
      <c r="BG360" s="130">
        <f t="shared" si="50"/>
        <v>0</v>
      </c>
      <c r="BH360" s="130">
        <f t="shared" si="51"/>
        <v>0</v>
      </c>
      <c r="BI360" s="130">
        <f t="shared" si="52"/>
        <v>0</v>
      </c>
      <c r="BJ360" s="13" t="s">
        <v>76</v>
      </c>
      <c r="BK360" s="130">
        <f t="shared" si="53"/>
        <v>18</v>
      </c>
      <c r="BL360" s="13" t="s">
        <v>235</v>
      </c>
      <c r="BM360" s="129" t="s">
        <v>532</v>
      </c>
    </row>
    <row r="361" spans="2:65" s="1" customFormat="1" ht="16.5" customHeight="1" x14ac:dyDescent="0.2">
      <c r="B361" s="118"/>
      <c r="C361" s="205" t="s">
        <v>382</v>
      </c>
      <c r="D361" s="119" t="s">
        <v>231</v>
      </c>
      <c r="E361" s="120" t="s">
        <v>1275</v>
      </c>
      <c r="F361" s="121" t="s">
        <v>1276</v>
      </c>
      <c r="G361" s="122" t="s">
        <v>292</v>
      </c>
      <c r="H361" s="206">
        <v>23</v>
      </c>
      <c r="I361" s="124">
        <v>3.77</v>
      </c>
      <c r="J361" s="124">
        <f t="shared" si="43"/>
        <v>86.71</v>
      </c>
      <c r="K361" s="121" t="s">
        <v>1</v>
      </c>
      <c r="L361" s="24"/>
      <c r="M361" s="125" t="s">
        <v>1</v>
      </c>
      <c r="N361" s="126" t="s">
        <v>32</v>
      </c>
      <c r="O361" s="127">
        <v>0</v>
      </c>
      <c r="P361" s="127">
        <f t="shared" si="44"/>
        <v>0</v>
      </c>
      <c r="Q361" s="127">
        <v>0</v>
      </c>
      <c r="R361" s="127">
        <f t="shared" si="45"/>
        <v>0</v>
      </c>
      <c r="S361" s="127">
        <v>0</v>
      </c>
      <c r="T361" s="128">
        <f t="shared" si="46"/>
        <v>0</v>
      </c>
      <c r="W361" s="199"/>
      <c r="X361" s="205" t="s">
        <v>382</v>
      </c>
      <c r="Y361" s="119" t="s">
        <v>231</v>
      </c>
      <c r="Z361" s="120" t="s">
        <v>1275</v>
      </c>
      <c r="AA361" s="121" t="s">
        <v>1276</v>
      </c>
      <c r="AB361" s="122" t="s">
        <v>292</v>
      </c>
      <c r="AC361" s="206">
        <f>36+22</f>
        <v>58</v>
      </c>
      <c r="AD361" s="124">
        <v>3.77</v>
      </c>
      <c r="AE361" s="200">
        <f t="shared" si="47"/>
        <v>218.66</v>
      </c>
      <c r="AF361" s="1131" t="s">
        <v>6295</v>
      </c>
      <c r="AG361" s="407"/>
      <c r="AR361" s="129" t="s">
        <v>235</v>
      </c>
      <c r="AT361" s="129" t="s">
        <v>231</v>
      </c>
      <c r="AU361" s="129" t="s">
        <v>76</v>
      </c>
      <c r="AY361" s="13" t="s">
        <v>228</v>
      </c>
      <c r="BE361" s="130">
        <f t="shared" si="48"/>
        <v>0</v>
      </c>
      <c r="BF361" s="130">
        <f t="shared" si="49"/>
        <v>86.71</v>
      </c>
      <c r="BG361" s="130">
        <f t="shared" si="50"/>
        <v>0</v>
      </c>
      <c r="BH361" s="130">
        <f t="shared" si="51"/>
        <v>0</v>
      </c>
      <c r="BI361" s="130">
        <f t="shared" si="52"/>
        <v>0</v>
      </c>
      <c r="BJ361" s="13" t="s">
        <v>76</v>
      </c>
      <c r="BK361" s="130">
        <f t="shared" si="53"/>
        <v>86.71</v>
      </c>
      <c r="BL361" s="13" t="s">
        <v>235</v>
      </c>
      <c r="BM361" s="129" t="s">
        <v>535</v>
      </c>
    </row>
    <row r="362" spans="2:65" s="1" customFormat="1" ht="16.5" customHeight="1" x14ac:dyDescent="0.2">
      <c r="B362" s="118"/>
      <c r="C362" s="205" t="s">
        <v>536</v>
      </c>
      <c r="D362" s="119" t="s">
        <v>231</v>
      </c>
      <c r="E362" s="120" t="s">
        <v>1277</v>
      </c>
      <c r="F362" s="121" t="s">
        <v>1278</v>
      </c>
      <c r="G362" s="122" t="s">
        <v>292</v>
      </c>
      <c r="H362" s="206">
        <v>41</v>
      </c>
      <c r="I362" s="124">
        <v>4.18</v>
      </c>
      <c r="J362" s="124">
        <f t="shared" si="43"/>
        <v>171.38</v>
      </c>
      <c r="K362" s="121" t="s">
        <v>1</v>
      </c>
      <c r="L362" s="24"/>
      <c r="M362" s="125" t="s">
        <v>1</v>
      </c>
      <c r="N362" s="126" t="s">
        <v>32</v>
      </c>
      <c r="O362" s="127">
        <v>0</v>
      </c>
      <c r="P362" s="127">
        <f t="shared" si="44"/>
        <v>0</v>
      </c>
      <c r="Q362" s="127">
        <v>0</v>
      </c>
      <c r="R362" s="127">
        <f t="shared" si="45"/>
        <v>0</v>
      </c>
      <c r="S362" s="127">
        <v>0</v>
      </c>
      <c r="T362" s="128">
        <f t="shared" si="46"/>
        <v>0</v>
      </c>
      <c r="W362" s="199"/>
      <c r="X362" s="205" t="s">
        <v>536</v>
      </c>
      <c r="Y362" s="119" t="s">
        <v>231</v>
      </c>
      <c r="Z362" s="120" t="s">
        <v>1277</v>
      </c>
      <c r="AA362" s="121" t="s">
        <v>1278</v>
      </c>
      <c r="AB362" s="122" t="s">
        <v>292</v>
      </c>
      <c r="AC362" s="206">
        <v>0</v>
      </c>
      <c r="AD362" s="124">
        <v>4.18</v>
      </c>
      <c r="AE362" s="200">
        <f t="shared" si="47"/>
        <v>0</v>
      </c>
      <c r="AF362" s="1131">
        <v>7</v>
      </c>
      <c r="AG362" s="407"/>
      <c r="AR362" s="129" t="s">
        <v>235</v>
      </c>
      <c r="AT362" s="129" t="s">
        <v>231</v>
      </c>
      <c r="AU362" s="129" t="s">
        <v>76</v>
      </c>
      <c r="AY362" s="13" t="s">
        <v>228</v>
      </c>
      <c r="BE362" s="130">
        <f t="shared" si="48"/>
        <v>0</v>
      </c>
      <c r="BF362" s="130">
        <f t="shared" si="49"/>
        <v>171.38</v>
      </c>
      <c r="BG362" s="130">
        <f t="shared" si="50"/>
        <v>0</v>
      </c>
      <c r="BH362" s="130">
        <f t="shared" si="51"/>
        <v>0</v>
      </c>
      <c r="BI362" s="130">
        <f t="shared" si="52"/>
        <v>0</v>
      </c>
      <c r="BJ362" s="13" t="s">
        <v>76</v>
      </c>
      <c r="BK362" s="130">
        <f t="shared" si="53"/>
        <v>171.38</v>
      </c>
      <c r="BL362" s="13" t="s">
        <v>235</v>
      </c>
      <c r="BM362" s="129" t="s">
        <v>539</v>
      </c>
    </row>
    <row r="363" spans="2:65" s="641" customFormat="1" ht="16.5" customHeight="1" x14ac:dyDescent="0.2">
      <c r="B363" s="118"/>
      <c r="C363" s="1266" t="s">
        <v>5205</v>
      </c>
      <c r="D363" s="1235"/>
      <c r="E363" s="1235"/>
      <c r="F363" s="1235"/>
      <c r="G363" s="1235"/>
      <c r="H363" s="1235"/>
      <c r="I363" s="1235"/>
      <c r="J363" s="1236"/>
      <c r="K363" s="121"/>
      <c r="L363" s="24"/>
      <c r="M363" s="125"/>
      <c r="N363" s="126"/>
      <c r="O363" s="127"/>
      <c r="P363" s="127"/>
      <c r="Q363" s="127"/>
      <c r="R363" s="127"/>
      <c r="S363" s="127"/>
      <c r="T363" s="128"/>
      <c r="W363" s="199"/>
      <c r="X363" s="207" t="s">
        <v>6298</v>
      </c>
      <c r="Y363" s="207" t="s">
        <v>231</v>
      </c>
      <c r="Z363" s="216" t="s">
        <v>6296</v>
      </c>
      <c r="AA363" s="217" t="s">
        <v>6297</v>
      </c>
      <c r="AB363" s="218" t="s">
        <v>292</v>
      </c>
      <c r="AC363" s="219">
        <v>10</v>
      </c>
      <c r="AD363" s="220">
        <v>10</v>
      </c>
      <c r="AE363" s="221">
        <v>100</v>
      </c>
      <c r="AF363" s="1131" t="s">
        <v>6286</v>
      </c>
      <c r="AG363" s="407"/>
      <c r="AR363" s="129"/>
      <c r="AT363" s="129"/>
      <c r="AU363" s="129"/>
      <c r="AY363" s="13"/>
      <c r="BE363" s="130"/>
      <c r="BF363" s="130"/>
      <c r="BG363" s="130"/>
      <c r="BH363" s="130"/>
      <c r="BI363" s="130"/>
      <c r="BJ363" s="13"/>
      <c r="BK363" s="130"/>
      <c r="BL363" s="13"/>
      <c r="BM363" s="129"/>
    </row>
    <row r="364" spans="2:65" s="1" customFormat="1" ht="16.5" customHeight="1" x14ac:dyDescent="0.2">
      <c r="B364" s="118"/>
      <c r="C364" s="205" t="s">
        <v>386</v>
      </c>
      <c r="D364" s="119" t="s">
        <v>231</v>
      </c>
      <c r="E364" s="120" t="s">
        <v>4544</v>
      </c>
      <c r="F364" s="121" t="s">
        <v>4545</v>
      </c>
      <c r="G364" s="122" t="s">
        <v>292</v>
      </c>
      <c r="H364" s="206">
        <v>50</v>
      </c>
      <c r="I364" s="124">
        <v>11.3</v>
      </c>
      <c r="J364" s="124">
        <f t="shared" si="43"/>
        <v>565</v>
      </c>
      <c r="K364" s="121" t="s">
        <v>1</v>
      </c>
      <c r="L364" s="24"/>
      <c r="M364" s="125" t="s">
        <v>1</v>
      </c>
      <c r="N364" s="126" t="s">
        <v>32</v>
      </c>
      <c r="O364" s="127">
        <v>0</v>
      </c>
      <c r="P364" s="127">
        <f t="shared" si="44"/>
        <v>0</v>
      </c>
      <c r="Q364" s="127">
        <v>0</v>
      </c>
      <c r="R364" s="127">
        <f t="shared" si="45"/>
        <v>0</v>
      </c>
      <c r="S364" s="127">
        <v>0</v>
      </c>
      <c r="T364" s="128">
        <f t="shared" si="46"/>
        <v>0</v>
      </c>
      <c r="W364" s="199"/>
      <c r="X364" s="205" t="s">
        <v>386</v>
      </c>
      <c r="Y364" s="119" t="s">
        <v>231</v>
      </c>
      <c r="Z364" s="120" t="s">
        <v>4544</v>
      </c>
      <c r="AA364" s="121" t="s">
        <v>4545</v>
      </c>
      <c r="AB364" s="122" t="s">
        <v>292</v>
      </c>
      <c r="AC364" s="206">
        <v>0</v>
      </c>
      <c r="AD364" s="124">
        <v>11.3</v>
      </c>
      <c r="AE364" s="200">
        <f t="shared" si="47"/>
        <v>0</v>
      </c>
      <c r="AF364" s="1131">
        <v>7</v>
      </c>
      <c r="AG364" s="407"/>
      <c r="AR364" s="129" t="s">
        <v>235</v>
      </c>
      <c r="AT364" s="129" t="s">
        <v>231</v>
      </c>
      <c r="AU364" s="129" t="s">
        <v>76</v>
      </c>
      <c r="AY364" s="13" t="s">
        <v>228</v>
      </c>
      <c r="BE364" s="130">
        <f t="shared" si="48"/>
        <v>0</v>
      </c>
      <c r="BF364" s="130">
        <f t="shared" si="49"/>
        <v>565</v>
      </c>
      <c r="BG364" s="130">
        <f t="shared" si="50"/>
        <v>0</v>
      </c>
      <c r="BH364" s="130">
        <f t="shared" si="51"/>
        <v>0</v>
      </c>
      <c r="BI364" s="130">
        <f t="shared" si="52"/>
        <v>0</v>
      </c>
      <c r="BJ364" s="13" t="s">
        <v>76</v>
      </c>
      <c r="BK364" s="130">
        <f t="shared" si="53"/>
        <v>565</v>
      </c>
      <c r="BL364" s="13" t="s">
        <v>235</v>
      </c>
      <c r="BM364" s="129" t="s">
        <v>542</v>
      </c>
    </row>
    <row r="365" spans="2:65" s="641" customFormat="1" ht="16.5" customHeight="1" x14ac:dyDescent="0.2">
      <c r="B365" s="118"/>
      <c r="C365" s="1266" t="s">
        <v>5205</v>
      </c>
      <c r="D365" s="1235"/>
      <c r="E365" s="1235"/>
      <c r="F365" s="1235"/>
      <c r="G365" s="1235"/>
      <c r="H365" s="1235"/>
      <c r="I365" s="1235"/>
      <c r="J365" s="1236"/>
      <c r="K365" s="121"/>
      <c r="L365" s="24"/>
      <c r="M365" s="125"/>
      <c r="N365" s="126"/>
      <c r="O365" s="127"/>
      <c r="P365" s="127"/>
      <c r="Q365" s="127"/>
      <c r="R365" s="127"/>
      <c r="S365" s="127"/>
      <c r="T365" s="128"/>
      <c r="W365" s="199"/>
      <c r="X365" s="207" t="s">
        <v>6170</v>
      </c>
      <c r="Y365" s="207"/>
      <c r="Z365" s="216" t="s">
        <v>6183</v>
      </c>
      <c r="AA365" s="217" t="s">
        <v>6184</v>
      </c>
      <c r="AB365" s="218" t="s">
        <v>292</v>
      </c>
      <c r="AC365" s="219">
        <v>50</v>
      </c>
      <c r="AD365" s="220">
        <v>1</v>
      </c>
      <c r="AE365" s="221">
        <v>50</v>
      </c>
      <c r="AF365" s="1131" t="s">
        <v>6286</v>
      </c>
      <c r="AG365" s="407"/>
      <c r="AR365" s="129"/>
      <c r="AT365" s="129"/>
      <c r="AU365" s="129"/>
      <c r="AY365" s="13"/>
      <c r="BE365" s="130"/>
      <c r="BF365" s="130"/>
      <c r="BG365" s="130"/>
      <c r="BH365" s="130"/>
      <c r="BI365" s="130"/>
      <c r="BJ365" s="13"/>
      <c r="BK365" s="130"/>
      <c r="BL365" s="13"/>
      <c r="BM365" s="129"/>
    </row>
    <row r="366" spans="2:65" s="243" customFormat="1" ht="19.95" customHeight="1" x14ac:dyDescent="0.25">
      <c r="B366" s="118"/>
      <c r="C366" s="119"/>
      <c r="D366" s="119"/>
      <c r="E366" s="120"/>
      <c r="F366" s="121"/>
      <c r="G366" s="122"/>
      <c r="H366" s="123"/>
      <c r="I366" s="124"/>
      <c r="J366" s="124"/>
      <c r="K366" s="121"/>
      <c r="L366" s="24"/>
      <c r="M366" s="125"/>
      <c r="N366" s="126"/>
      <c r="O366" s="127"/>
      <c r="P366" s="127"/>
      <c r="Q366" s="127"/>
      <c r="R366" s="127"/>
      <c r="S366" s="127"/>
      <c r="T366" s="128"/>
      <c r="W366" s="199"/>
      <c r="X366" s="271"/>
      <c r="Y366" s="272" t="s">
        <v>57</v>
      </c>
      <c r="Z366" s="274" t="s">
        <v>5265</v>
      </c>
      <c r="AA366" s="274" t="s">
        <v>5266</v>
      </c>
      <c r="AB366" s="271"/>
      <c r="AC366" s="271"/>
      <c r="AD366" s="271"/>
      <c r="AE366" s="275">
        <f>SUM(AE367:AE369)</f>
        <v>659.8</v>
      </c>
      <c r="AF366" s="1131"/>
      <c r="AG366" s="407"/>
      <c r="AR366" s="129"/>
      <c r="AT366" s="129"/>
      <c r="AU366" s="129"/>
      <c r="AY366" s="13"/>
      <c r="BE366" s="130"/>
      <c r="BF366" s="130"/>
      <c r="BG366" s="130"/>
      <c r="BH366" s="130"/>
      <c r="BI366" s="130"/>
      <c r="BJ366" s="13"/>
      <c r="BK366" s="130"/>
      <c r="BL366" s="13"/>
      <c r="BM366" s="129"/>
    </row>
    <row r="367" spans="2:65" s="243" customFormat="1" ht="19.2" customHeight="1" x14ac:dyDescent="0.2">
      <c r="B367" s="118"/>
      <c r="C367" s="1266" t="s">
        <v>5205</v>
      </c>
      <c r="D367" s="1235"/>
      <c r="E367" s="1235"/>
      <c r="F367" s="1235"/>
      <c r="G367" s="1235"/>
      <c r="H367" s="1235"/>
      <c r="I367" s="1235"/>
      <c r="J367" s="1236"/>
      <c r="K367" s="121"/>
      <c r="L367" s="24"/>
      <c r="M367" s="125"/>
      <c r="N367" s="126"/>
      <c r="O367" s="127"/>
      <c r="P367" s="127"/>
      <c r="Q367" s="127"/>
      <c r="R367" s="127"/>
      <c r="S367" s="127"/>
      <c r="T367" s="128"/>
      <c r="W367" s="199"/>
      <c r="X367" s="215" t="s">
        <v>451</v>
      </c>
      <c r="Y367" s="215" t="s">
        <v>231</v>
      </c>
      <c r="Z367" s="216" t="s">
        <v>1275</v>
      </c>
      <c r="AA367" s="217" t="s">
        <v>1276</v>
      </c>
      <c r="AB367" s="218" t="s">
        <v>292</v>
      </c>
      <c r="AC367" s="219">
        <v>20</v>
      </c>
      <c r="AD367" s="220">
        <v>3.77</v>
      </c>
      <c r="AE367" s="221">
        <f>ROUND(AD367*AC367,2)</f>
        <v>75.400000000000006</v>
      </c>
      <c r="AF367" s="1131">
        <v>7</v>
      </c>
      <c r="AG367" s="407"/>
      <c r="AR367" s="129"/>
      <c r="AT367" s="129"/>
      <c r="AU367" s="129"/>
      <c r="AY367" s="13"/>
      <c r="BE367" s="130"/>
      <c r="BF367" s="130"/>
      <c r="BG367" s="130"/>
      <c r="BH367" s="130"/>
      <c r="BI367" s="130"/>
      <c r="BJ367" s="13"/>
      <c r="BK367" s="130"/>
      <c r="BL367" s="13"/>
      <c r="BM367" s="129"/>
    </row>
    <row r="368" spans="2:65" s="243" customFormat="1" ht="34.200000000000003" x14ac:dyDescent="0.2">
      <c r="B368" s="118"/>
      <c r="C368" s="1266" t="s">
        <v>5205</v>
      </c>
      <c r="D368" s="1235"/>
      <c r="E368" s="1235"/>
      <c r="F368" s="1235"/>
      <c r="G368" s="1235"/>
      <c r="H368" s="1235"/>
      <c r="I368" s="1235"/>
      <c r="J368" s="1236"/>
      <c r="K368" s="121"/>
      <c r="L368" s="24"/>
      <c r="M368" s="125"/>
      <c r="N368" s="126"/>
      <c r="O368" s="127"/>
      <c r="P368" s="127"/>
      <c r="Q368" s="127"/>
      <c r="R368" s="127"/>
      <c r="S368" s="127"/>
      <c r="T368" s="128"/>
      <c r="W368" s="199"/>
      <c r="X368" s="215" t="s">
        <v>678</v>
      </c>
      <c r="Y368" s="215" t="s">
        <v>231</v>
      </c>
      <c r="Z368" s="216" t="s">
        <v>5269</v>
      </c>
      <c r="AA368" s="217" t="s">
        <v>5270</v>
      </c>
      <c r="AB368" s="218" t="s">
        <v>292</v>
      </c>
      <c r="AC368" s="219">
        <v>4</v>
      </c>
      <c r="AD368" s="220">
        <v>8.1</v>
      </c>
      <c r="AE368" s="221">
        <f>ROUND(AD368*AC368,2)</f>
        <v>32.4</v>
      </c>
      <c r="AF368" s="1131">
        <v>7</v>
      </c>
      <c r="AG368" s="407"/>
      <c r="AR368" s="129"/>
      <c r="AT368" s="129"/>
      <c r="AU368" s="129"/>
      <c r="AY368" s="13"/>
      <c r="BE368" s="130"/>
      <c r="BF368" s="130"/>
      <c r="BG368" s="130"/>
      <c r="BH368" s="130"/>
      <c r="BI368" s="130"/>
      <c r="BJ368" s="13"/>
      <c r="BK368" s="130"/>
      <c r="BL368" s="13"/>
      <c r="BM368" s="129"/>
    </row>
    <row r="369" spans="2:65" s="243" customFormat="1" ht="34.200000000000003" x14ac:dyDescent="0.2">
      <c r="B369" s="118"/>
      <c r="C369" s="1266" t="s">
        <v>5205</v>
      </c>
      <c r="D369" s="1235"/>
      <c r="E369" s="1235"/>
      <c r="F369" s="1235"/>
      <c r="G369" s="1235"/>
      <c r="H369" s="1235"/>
      <c r="I369" s="1235"/>
      <c r="J369" s="1236"/>
      <c r="K369" s="121"/>
      <c r="L369" s="24"/>
      <c r="M369" s="125"/>
      <c r="N369" s="126"/>
      <c r="O369" s="127"/>
      <c r="P369" s="127"/>
      <c r="Q369" s="127"/>
      <c r="R369" s="127"/>
      <c r="S369" s="127"/>
      <c r="T369" s="128"/>
      <c r="W369" s="199"/>
      <c r="X369" s="215" t="s">
        <v>455</v>
      </c>
      <c r="Y369" s="215" t="s">
        <v>231</v>
      </c>
      <c r="Z369" s="216" t="s">
        <v>5446</v>
      </c>
      <c r="AA369" s="217" t="s">
        <v>5437</v>
      </c>
      <c r="AB369" s="218" t="s">
        <v>292</v>
      </c>
      <c r="AC369" s="219">
        <v>48</v>
      </c>
      <c r="AD369" s="220">
        <v>11.5</v>
      </c>
      <c r="AE369" s="221">
        <f>ROUND(AD369*AC369,2)</f>
        <v>552</v>
      </c>
      <c r="AF369" s="1131">
        <v>7</v>
      </c>
      <c r="AG369" s="407"/>
      <c r="AR369" s="129"/>
      <c r="AT369" s="129"/>
      <c r="AU369" s="129"/>
      <c r="AY369" s="13"/>
      <c r="BE369" s="130"/>
      <c r="BF369" s="130"/>
      <c r="BG369" s="130"/>
      <c r="BH369" s="130"/>
      <c r="BI369" s="130"/>
      <c r="BJ369" s="13"/>
      <c r="BK369" s="130"/>
      <c r="BL369" s="13"/>
      <c r="BM369" s="129"/>
    </row>
    <row r="370" spans="2:65" s="243" customFormat="1" ht="15" customHeight="1" x14ac:dyDescent="0.25">
      <c r="B370" s="118"/>
      <c r="C370" s="119"/>
      <c r="D370" s="119"/>
      <c r="E370" s="120"/>
      <c r="F370" s="121"/>
      <c r="G370" s="122"/>
      <c r="H370" s="123"/>
      <c r="I370" s="124"/>
      <c r="J370" s="124"/>
      <c r="K370" s="121"/>
      <c r="L370" s="24"/>
      <c r="M370" s="125"/>
      <c r="N370" s="126"/>
      <c r="O370" s="127"/>
      <c r="P370" s="127"/>
      <c r="Q370" s="127"/>
      <c r="R370" s="127"/>
      <c r="S370" s="127"/>
      <c r="T370" s="128"/>
      <c r="W370" s="199"/>
      <c r="X370" s="271"/>
      <c r="Y370" s="272" t="s">
        <v>57</v>
      </c>
      <c r="Z370" s="274" t="s">
        <v>3739</v>
      </c>
      <c r="AA370" s="274" t="s">
        <v>3740</v>
      </c>
      <c r="AB370" s="271"/>
      <c r="AC370" s="271"/>
      <c r="AD370" s="271"/>
      <c r="AE370" s="275">
        <f>SUM(AE371:AE376)</f>
        <v>404.28</v>
      </c>
      <c r="AF370" s="1131"/>
      <c r="AG370" s="407"/>
      <c r="AR370" s="129"/>
      <c r="AT370" s="129"/>
      <c r="AU370" s="129"/>
      <c r="AY370" s="13"/>
      <c r="BE370" s="130"/>
      <c r="BF370" s="130"/>
      <c r="BG370" s="130"/>
      <c r="BH370" s="130"/>
      <c r="BI370" s="130"/>
      <c r="BJ370" s="13"/>
      <c r="BK370" s="130"/>
      <c r="BL370" s="13"/>
      <c r="BM370" s="129"/>
    </row>
    <row r="371" spans="2:65" s="243" customFormat="1" ht="18" customHeight="1" x14ac:dyDescent="0.2">
      <c r="B371" s="118"/>
      <c r="C371" s="1266" t="s">
        <v>5205</v>
      </c>
      <c r="D371" s="1235"/>
      <c r="E371" s="1235"/>
      <c r="F371" s="1235"/>
      <c r="G371" s="1235"/>
      <c r="H371" s="1235"/>
      <c r="I371" s="1235"/>
      <c r="J371" s="1236"/>
      <c r="K371" s="121"/>
      <c r="L371" s="24"/>
      <c r="M371" s="125"/>
      <c r="N371" s="126"/>
      <c r="O371" s="127"/>
      <c r="P371" s="127"/>
      <c r="Q371" s="127"/>
      <c r="R371" s="127"/>
      <c r="S371" s="127"/>
      <c r="T371" s="128"/>
      <c r="W371" s="199"/>
      <c r="X371" s="215" t="s">
        <v>685</v>
      </c>
      <c r="Y371" s="215" t="s">
        <v>231</v>
      </c>
      <c r="Z371" s="216" t="s">
        <v>3741</v>
      </c>
      <c r="AA371" s="217" t="s">
        <v>3742</v>
      </c>
      <c r="AB371" s="218" t="s">
        <v>292</v>
      </c>
      <c r="AC371" s="219">
        <v>108</v>
      </c>
      <c r="AD371" s="220">
        <v>1.95</v>
      </c>
      <c r="AE371" s="221">
        <f>ROUND(AD371*AC371,2)</f>
        <v>210.6</v>
      </c>
      <c r="AF371" s="1131">
        <v>7</v>
      </c>
      <c r="AG371" s="407"/>
      <c r="AR371" s="129"/>
      <c r="AT371" s="129"/>
      <c r="AU371" s="129"/>
      <c r="AY371" s="13"/>
      <c r="BE371" s="130"/>
      <c r="BF371" s="130"/>
      <c r="BG371" s="130"/>
      <c r="BH371" s="130"/>
      <c r="BI371" s="130"/>
      <c r="BJ371" s="13"/>
      <c r="BK371" s="130"/>
      <c r="BL371" s="13"/>
      <c r="BM371" s="129"/>
    </row>
    <row r="372" spans="2:65" s="243" customFormat="1" ht="18" customHeight="1" x14ac:dyDescent="0.2">
      <c r="B372" s="118"/>
      <c r="C372" s="1266" t="s">
        <v>5205</v>
      </c>
      <c r="D372" s="1235"/>
      <c r="E372" s="1235"/>
      <c r="F372" s="1235"/>
      <c r="G372" s="1235"/>
      <c r="H372" s="1235"/>
      <c r="I372" s="1235"/>
      <c r="J372" s="1236"/>
      <c r="K372" s="121"/>
      <c r="L372" s="24"/>
      <c r="M372" s="125"/>
      <c r="N372" s="126"/>
      <c r="O372" s="127"/>
      <c r="P372" s="127"/>
      <c r="Q372" s="127"/>
      <c r="R372" s="127"/>
      <c r="S372" s="127"/>
      <c r="T372" s="128"/>
      <c r="W372" s="199"/>
      <c r="X372" s="215" t="s">
        <v>458</v>
      </c>
      <c r="Y372" s="215" t="s">
        <v>231</v>
      </c>
      <c r="Z372" s="216" t="s">
        <v>3743</v>
      </c>
      <c r="AA372" s="217" t="s">
        <v>3744</v>
      </c>
      <c r="AB372" s="218" t="s">
        <v>292</v>
      </c>
      <c r="AC372" s="219">
        <v>13</v>
      </c>
      <c r="AD372" s="220">
        <v>1.99</v>
      </c>
      <c r="AE372" s="221">
        <f>ROUND(AD372*AC372,2)</f>
        <v>25.87</v>
      </c>
      <c r="AF372" s="1131">
        <v>7</v>
      </c>
      <c r="AG372" s="407"/>
      <c r="AR372" s="129"/>
      <c r="AT372" s="129"/>
      <c r="AU372" s="129"/>
      <c r="AY372" s="13"/>
      <c r="BE372" s="130"/>
      <c r="BF372" s="130"/>
      <c r="BG372" s="130"/>
      <c r="BH372" s="130"/>
      <c r="BI372" s="130"/>
      <c r="BJ372" s="13"/>
      <c r="BK372" s="130"/>
      <c r="BL372" s="13"/>
      <c r="BM372" s="129"/>
    </row>
    <row r="373" spans="2:65" s="243" customFormat="1" ht="18" customHeight="1" x14ac:dyDescent="0.2">
      <c r="B373" s="118"/>
      <c r="C373" s="1266" t="s">
        <v>5205</v>
      </c>
      <c r="D373" s="1235"/>
      <c r="E373" s="1235"/>
      <c r="F373" s="1235"/>
      <c r="G373" s="1235"/>
      <c r="H373" s="1235"/>
      <c r="I373" s="1235"/>
      <c r="J373" s="1236"/>
      <c r="K373" s="121"/>
      <c r="L373" s="24"/>
      <c r="M373" s="125"/>
      <c r="N373" s="126"/>
      <c r="O373" s="127"/>
      <c r="P373" s="127"/>
      <c r="Q373" s="127"/>
      <c r="R373" s="127"/>
      <c r="S373" s="127"/>
      <c r="T373" s="128"/>
      <c r="W373" s="199"/>
      <c r="X373" s="215" t="s">
        <v>692</v>
      </c>
      <c r="Y373" s="215" t="s">
        <v>231</v>
      </c>
      <c r="Z373" s="216" t="s">
        <v>3745</v>
      </c>
      <c r="AA373" s="217" t="s">
        <v>3746</v>
      </c>
      <c r="AB373" s="218" t="s">
        <v>292</v>
      </c>
      <c r="AC373" s="219">
        <v>15</v>
      </c>
      <c r="AD373" s="220">
        <v>2.0099999999999998</v>
      </c>
      <c r="AE373" s="221">
        <f>ROUND(AD373*AC373,2)</f>
        <v>30.15</v>
      </c>
      <c r="AF373" s="1131">
        <v>7</v>
      </c>
      <c r="AG373" s="407"/>
      <c r="AR373" s="129"/>
      <c r="AT373" s="129"/>
      <c r="AU373" s="129"/>
      <c r="AY373" s="13"/>
      <c r="BE373" s="130"/>
      <c r="BF373" s="130"/>
      <c r="BG373" s="130"/>
      <c r="BH373" s="130"/>
      <c r="BI373" s="130"/>
      <c r="BJ373" s="13"/>
      <c r="BK373" s="130"/>
      <c r="BL373" s="13"/>
      <c r="BM373" s="129"/>
    </row>
    <row r="374" spans="2:65" s="1" customFormat="1" ht="26.55" customHeight="1" x14ac:dyDescent="0.2">
      <c r="B374" s="118"/>
      <c r="C374" s="119" t="s">
        <v>543</v>
      </c>
      <c r="D374" s="119" t="s">
        <v>231</v>
      </c>
      <c r="E374" s="120" t="s">
        <v>1279</v>
      </c>
      <c r="F374" s="121" t="s">
        <v>1280</v>
      </c>
      <c r="G374" s="122" t="s">
        <v>284</v>
      </c>
      <c r="H374" s="123">
        <v>4</v>
      </c>
      <c r="I374" s="124">
        <v>14.8</v>
      </c>
      <c r="J374" s="124">
        <f t="shared" si="43"/>
        <v>59.2</v>
      </c>
      <c r="K374" s="121" t="s">
        <v>1</v>
      </c>
      <c r="L374" s="24"/>
      <c r="M374" s="125" t="s">
        <v>1</v>
      </c>
      <c r="N374" s="126" t="s">
        <v>32</v>
      </c>
      <c r="O374" s="127">
        <v>0</v>
      </c>
      <c r="P374" s="127">
        <f t="shared" si="44"/>
        <v>0</v>
      </c>
      <c r="Q374" s="127">
        <v>0</v>
      </c>
      <c r="R374" s="127">
        <f t="shared" si="45"/>
        <v>0</v>
      </c>
      <c r="S374" s="127">
        <v>0</v>
      </c>
      <c r="T374" s="128">
        <f t="shared" si="46"/>
        <v>0</v>
      </c>
      <c r="W374" s="199"/>
      <c r="X374" s="119" t="s">
        <v>543</v>
      </c>
      <c r="Y374" s="119" t="s">
        <v>231</v>
      </c>
      <c r="Z374" s="120" t="s">
        <v>1279</v>
      </c>
      <c r="AA374" s="121" t="s">
        <v>1280</v>
      </c>
      <c r="AB374" s="122" t="s">
        <v>284</v>
      </c>
      <c r="AC374" s="264">
        <v>4</v>
      </c>
      <c r="AD374" s="124">
        <v>14.8</v>
      </c>
      <c r="AE374" s="200">
        <f t="shared" si="47"/>
        <v>59.2</v>
      </c>
      <c r="AF374" s="1131"/>
      <c r="AG374" s="407"/>
      <c r="AR374" s="129" t="s">
        <v>235</v>
      </c>
      <c r="AT374" s="129" t="s">
        <v>231</v>
      </c>
      <c r="AU374" s="129" t="s">
        <v>76</v>
      </c>
      <c r="AY374" s="13" t="s">
        <v>228</v>
      </c>
      <c r="BE374" s="130">
        <f t="shared" si="48"/>
        <v>0</v>
      </c>
      <c r="BF374" s="130">
        <f t="shared" si="49"/>
        <v>59.2</v>
      </c>
      <c r="BG374" s="130">
        <f t="shared" si="50"/>
        <v>0</v>
      </c>
      <c r="BH374" s="130">
        <f t="shared" si="51"/>
        <v>0</v>
      </c>
      <c r="BI374" s="130">
        <f t="shared" si="52"/>
        <v>0</v>
      </c>
      <c r="BJ374" s="13" t="s">
        <v>76</v>
      </c>
      <c r="BK374" s="130">
        <f t="shared" si="53"/>
        <v>59.2</v>
      </c>
      <c r="BL374" s="13" t="s">
        <v>235</v>
      </c>
      <c r="BM374" s="129" t="s">
        <v>546</v>
      </c>
    </row>
    <row r="375" spans="2:65" s="1" customFormat="1" ht="19.2" x14ac:dyDescent="0.2">
      <c r="B375" s="24"/>
      <c r="D375" s="144" t="s">
        <v>1259</v>
      </c>
      <c r="F375" s="145" t="s">
        <v>1281</v>
      </c>
      <c r="L375" s="24"/>
      <c r="M375" s="146"/>
      <c r="N375" s="42"/>
      <c r="O375" s="42"/>
      <c r="P375" s="42"/>
      <c r="Q375" s="42"/>
      <c r="R375" s="42"/>
      <c r="S375" s="42"/>
      <c r="T375" s="43"/>
      <c r="W375" s="158"/>
      <c r="X375" s="244"/>
      <c r="Y375" s="203" t="s">
        <v>1259</v>
      </c>
      <c r="Z375" s="244"/>
      <c r="AA375" s="204" t="s">
        <v>1281</v>
      </c>
      <c r="AB375" s="244"/>
      <c r="AC375" s="244"/>
      <c r="AD375" s="244"/>
      <c r="AE375" s="159"/>
      <c r="AF375" s="1131"/>
      <c r="AG375" s="407"/>
      <c r="AT375" s="13" t="s">
        <v>1259</v>
      </c>
      <c r="AU375" s="13" t="s">
        <v>76</v>
      </c>
    </row>
    <row r="376" spans="2:65" s="1" customFormat="1" ht="16.5" customHeight="1" x14ac:dyDescent="0.2">
      <c r="B376" s="118"/>
      <c r="C376" s="205" t="s">
        <v>389</v>
      </c>
      <c r="D376" s="119" t="s">
        <v>231</v>
      </c>
      <c r="E376" s="120" t="s">
        <v>1282</v>
      </c>
      <c r="F376" s="121" t="s">
        <v>1283</v>
      </c>
      <c r="G376" s="122" t="s">
        <v>570</v>
      </c>
      <c r="H376" s="123">
        <v>2.7</v>
      </c>
      <c r="I376" s="213">
        <v>11.2</v>
      </c>
      <c r="J376" s="124">
        <f>ROUND(I376*H376,2)</f>
        <v>30.24</v>
      </c>
      <c r="K376" s="121" t="s">
        <v>1</v>
      </c>
      <c r="L376" s="24"/>
      <c r="M376" s="125" t="s">
        <v>1</v>
      </c>
      <c r="N376" s="126" t="s">
        <v>32</v>
      </c>
      <c r="O376" s="127">
        <v>0</v>
      </c>
      <c r="P376" s="127">
        <f>O376*H376</f>
        <v>0</v>
      </c>
      <c r="Q376" s="127">
        <v>0</v>
      </c>
      <c r="R376" s="127">
        <f>Q376*H376</f>
        <v>0</v>
      </c>
      <c r="S376" s="127">
        <v>0</v>
      </c>
      <c r="T376" s="128">
        <f>S376*H376</f>
        <v>0</v>
      </c>
      <c r="W376" s="199"/>
      <c r="X376" s="205" t="s">
        <v>389</v>
      </c>
      <c r="Y376" s="119" t="s">
        <v>231</v>
      </c>
      <c r="Z376" s="120" t="s">
        <v>1282</v>
      </c>
      <c r="AA376" s="121" t="s">
        <v>1283</v>
      </c>
      <c r="AB376" s="122" t="s">
        <v>570</v>
      </c>
      <c r="AC376" s="123">
        <v>2.7</v>
      </c>
      <c r="AD376" s="213">
        <f>24+4.671+0.387</f>
        <v>29.058</v>
      </c>
      <c r="AE376" s="200">
        <f>ROUND(AD376*AC376,2)</f>
        <v>78.459999999999994</v>
      </c>
      <c r="AF376" s="1131" t="s">
        <v>6623</v>
      </c>
      <c r="AG376" s="407"/>
      <c r="AR376" s="129" t="s">
        <v>235</v>
      </c>
      <c r="AT376" s="129" t="s">
        <v>231</v>
      </c>
      <c r="AU376" s="129" t="s">
        <v>76</v>
      </c>
      <c r="AY376" s="13" t="s">
        <v>228</v>
      </c>
      <c r="BE376" s="130">
        <f>IF(N376="základná",J376,0)</f>
        <v>0</v>
      </c>
      <c r="BF376" s="130">
        <f>IF(N376="znížená",J376,0)</f>
        <v>30.24</v>
      </c>
      <c r="BG376" s="130">
        <f>IF(N376="zákl. prenesená",J376,0)</f>
        <v>0</v>
      </c>
      <c r="BH376" s="130">
        <f>IF(N376="zníž. prenesená",J376,0)</f>
        <v>0</v>
      </c>
      <c r="BI376" s="130">
        <f>IF(N376="nulová",J376,0)</f>
        <v>0</v>
      </c>
      <c r="BJ376" s="13" t="s">
        <v>76</v>
      </c>
      <c r="BK376" s="130">
        <f>ROUND(I376*H376,2)</f>
        <v>30.24</v>
      </c>
      <c r="BL376" s="13" t="s">
        <v>235</v>
      </c>
      <c r="BM376" s="129" t="s">
        <v>549</v>
      </c>
    </row>
    <row r="377" spans="2:65" s="11" customFormat="1" ht="25.95" customHeight="1" x14ac:dyDescent="0.25">
      <c r="B377" s="106"/>
      <c r="D377" s="107" t="s">
        <v>57</v>
      </c>
      <c r="E377" s="108" t="s">
        <v>717</v>
      </c>
      <c r="F377" s="108" t="s">
        <v>1284</v>
      </c>
      <c r="J377" s="109">
        <f>BK377</f>
        <v>1119.46</v>
      </c>
      <c r="L377" s="106"/>
      <c r="M377" s="110"/>
      <c r="N377" s="111"/>
      <c r="O377" s="111"/>
      <c r="P377" s="112">
        <f>SUM(P381:P384)</f>
        <v>0</v>
      </c>
      <c r="Q377" s="111"/>
      <c r="R377" s="112">
        <f>SUM(R381:R384)</f>
        <v>0</v>
      </c>
      <c r="S377" s="111"/>
      <c r="T377" s="113">
        <f>SUM(T381:T384)</f>
        <v>0</v>
      </c>
      <c r="W377" s="195"/>
      <c r="X377" s="111"/>
      <c r="Y377" s="196" t="s">
        <v>57</v>
      </c>
      <c r="Z377" s="197" t="s">
        <v>717</v>
      </c>
      <c r="AA377" s="197" t="s">
        <v>1284</v>
      </c>
      <c r="AB377" s="111"/>
      <c r="AC377" s="111"/>
      <c r="AD377" s="111"/>
      <c r="AE377" s="198">
        <f>SUM(AE379:AE383)</f>
        <v>2238.8000000000002</v>
      </c>
      <c r="AF377" s="1131"/>
      <c r="AG377" s="292"/>
      <c r="AR377" s="107" t="s">
        <v>63</v>
      </c>
      <c r="AT377" s="114" t="s">
        <v>57</v>
      </c>
      <c r="AU377" s="114" t="s">
        <v>58</v>
      </c>
      <c r="AY377" s="107" t="s">
        <v>228</v>
      </c>
      <c r="BK377" s="115">
        <f>SUM(BK381:BK384)</f>
        <v>1119.46</v>
      </c>
    </row>
    <row r="378" spans="2:65" s="11" customFormat="1" ht="25.95" customHeight="1" x14ac:dyDescent="0.25">
      <c r="B378" s="106"/>
      <c r="D378" s="107"/>
      <c r="E378" s="108"/>
      <c r="F378" s="108"/>
      <c r="J378" s="109"/>
      <c r="L378" s="106"/>
      <c r="M378" s="110"/>
      <c r="N378" s="111"/>
      <c r="O378" s="111"/>
      <c r="P378" s="112"/>
      <c r="Q378" s="111"/>
      <c r="R378" s="112"/>
      <c r="S378" s="111"/>
      <c r="T378" s="113"/>
      <c r="W378" s="195"/>
      <c r="X378" s="111"/>
      <c r="Y378" s="196" t="s">
        <v>57</v>
      </c>
      <c r="Z378" s="266" t="s">
        <v>5286</v>
      </c>
      <c r="AA378" s="266" t="s">
        <v>5447</v>
      </c>
      <c r="AB378" s="271"/>
      <c r="AC378" s="271"/>
      <c r="AD378" s="271"/>
      <c r="AE378" s="198"/>
      <c r="AF378" s="1131"/>
      <c r="AG378" s="292"/>
      <c r="AR378" s="107"/>
      <c r="AT378" s="114"/>
      <c r="AU378" s="114"/>
      <c r="AY378" s="107"/>
      <c r="BK378" s="115"/>
    </row>
    <row r="379" spans="2:65" s="11" customFormat="1" ht="25.95" customHeight="1" x14ac:dyDescent="0.2">
      <c r="B379" s="106"/>
      <c r="C379" s="1266" t="s">
        <v>5205</v>
      </c>
      <c r="D379" s="1235"/>
      <c r="E379" s="1235"/>
      <c r="F379" s="1235"/>
      <c r="G379" s="1235"/>
      <c r="H379" s="1235"/>
      <c r="I379" s="1235"/>
      <c r="J379" s="1236"/>
      <c r="L379" s="106"/>
      <c r="M379" s="110"/>
      <c r="N379" s="111"/>
      <c r="O379" s="111"/>
      <c r="P379" s="112"/>
      <c r="Q379" s="111"/>
      <c r="R379" s="112"/>
      <c r="S379" s="111"/>
      <c r="T379" s="113"/>
      <c r="W379" s="195"/>
      <c r="X379" s="215" t="s">
        <v>5448</v>
      </c>
      <c r="Y379" s="207" t="s">
        <v>231</v>
      </c>
      <c r="Z379" s="208" t="s">
        <v>1285</v>
      </c>
      <c r="AA379" s="209" t="s">
        <v>1286</v>
      </c>
      <c r="AB379" s="210" t="s">
        <v>1035</v>
      </c>
      <c r="AC379" s="211">
        <v>100</v>
      </c>
      <c r="AD379" s="212">
        <v>6.16</v>
      </c>
      <c r="AE379" s="214">
        <f>ROUND(AD379*AC379,2)</f>
        <v>616</v>
      </c>
      <c r="AF379" s="1131">
        <v>7</v>
      </c>
      <c r="AG379" s="292"/>
      <c r="AR379" s="107"/>
      <c r="AT379" s="114"/>
      <c r="AU379" s="114"/>
      <c r="AY379" s="107"/>
      <c r="BK379" s="115"/>
    </row>
    <row r="380" spans="2:65" s="11" customFormat="1" ht="25.95" customHeight="1" x14ac:dyDescent="0.2">
      <c r="B380" s="106"/>
      <c r="C380" s="1266" t="s">
        <v>5205</v>
      </c>
      <c r="D380" s="1235"/>
      <c r="E380" s="1235"/>
      <c r="F380" s="1235"/>
      <c r="G380" s="1235"/>
      <c r="H380" s="1235"/>
      <c r="I380" s="1235"/>
      <c r="J380" s="1236"/>
      <c r="L380" s="106"/>
      <c r="M380" s="110"/>
      <c r="N380" s="111"/>
      <c r="O380" s="111"/>
      <c r="P380" s="112"/>
      <c r="Q380" s="111"/>
      <c r="R380" s="112"/>
      <c r="S380" s="111"/>
      <c r="T380" s="113"/>
      <c r="W380" s="195"/>
      <c r="X380" s="215" t="s">
        <v>5449</v>
      </c>
      <c r="Y380" s="207" t="s">
        <v>231</v>
      </c>
      <c r="Z380" s="208" t="s">
        <v>1287</v>
      </c>
      <c r="AA380" s="209" t="s">
        <v>1288</v>
      </c>
      <c r="AB380" s="210" t="s">
        <v>1035</v>
      </c>
      <c r="AC380" s="211">
        <v>100</v>
      </c>
      <c r="AD380" s="212">
        <v>4.88</v>
      </c>
      <c r="AE380" s="214">
        <f>ROUND(AD380*AC380,2)</f>
        <v>488</v>
      </c>
      <c r="AF380" s="1131">
        <v>7</v>
      </c>
      <c r="AG380" s="292"/>
      <c r="AR380" s="107"/>
      <c r="AT380" s="114"/>
      <c r="AU380" s="114"/>
      <c r="AY380" s="107"/>
      <c r="BK380" s="115"/>
    </row>
    <row r="381" spans="2:65" s="1" customFormat="1" ht="16.5" customHeight="1" x14ac:dyDescent="0.2">
      <c r="B381" s="118"/>
      <c r="C381" s="119" t="s">
        <v>552</v>
      </c>
      <c r="D381" s="119" t="s">
        <v>231</v>
      </c>
      <c r="E381" s="120" t="s">
        <v>1285</v>
      </c>
      <c r="F381" s="121" t="s">
        <v>1286</v>
      </c>
      <c r="G381" s="122" t="s">
        <v>1035</v>
      </c>
      <c r="H381" s="123">
        <v>100</v>
      </c>
      <c r="I381" s="124">
        <v>6.16</v>
      </c>
      <c r="J381" s="124">
        <f>ROUND(I381*H381,2)</f>
        <v>616</v>
      </c>
      <c r="K381" s="121" t="s">
        <v>1</v>
      </c>
      <c r="L381" s="24"/>
      <c r="M381" s="125" t="s">
        <v>1</v>
      </c>
      <c r="N381" s="126" t="s">
        <v>32</v>
      </c>
      <c r="O381" s="127">
        <v>0</v>
      </c>
      <c r="P381" s="127">
        <f>O381*H381</f>
        <v>0</v>
      </c>
      <c r="Q381" s="127">
        <v>0</v>
      </c>
      <c r="R381" s="127">
        <f>Q381*H381</f>
        <v>0</v>
      </c>
      <c r="S381" s="127">
        <v>0</v>
      </c>
      <c r="T381" s="128">
        <f>S381*H381</f>
        <v>0</v>
      </c>
      <c r="W381" s="199"/>
      <c r="X381" s="119" t="s">
        <v>552</v>
      </c>
      <c r="Y381" s="119" t="s">
        <v>231</v>
      </c>
      <c r="Z381" s="120" t="s">
        <v>1285</v>
      </c>
      <c r="AA381" s="121" t="s">
        <v>1286</v>
      </c>
      <c r="AB381" s="122" t="s">
        <v>1035</v>
      </c>
      <c r="AC381" s="123">
        <v>100</v>
      </c>
      <c r="AD381" s="124">
        <v>6.16</v>
      </c>
      <c r="AE381" s="200">
        <f>ROUND(AD381*AC381,2)</f>
        <v>616</v>
      </c>
      <c r="AF381" s="1131"/>
      <c r="AG381" s="407"/>
      <c r="AR381" s="129" t="s">
        <v>235</v>
      </c>
      <c r="AT381" s="129" t="s">
        <v>231</v>
      </c>
      <c r="AU381" s="129" t="s">
        <v>63</v>
      </c>
      <c r="AY381" s="13" t="s">
        <v>228</v>
      </c>
      <c r="BE381" s="130">
        <f>IF(N381="základná",J381,0)</f>
        <v>0</v>
      </c>
      <c r="BF381" s="130">
        <f>IF(N381="znížená",J381,0)</f>
        <v>616</v>
      </c>
      <c r="BG381" s="130">
        <f>IF(N381="zákl. prenesená",J381,0)</f>
        <v>0</v>
      </c>
      <c r="BH381" s="130">
        <f>IF(N381="zníž. prenesená",J381,0)</f>
        <v>0</v>
      </c>
      <c r="BI381" s="130">
        <f>IF(N381="nulová",J381,0)</f>
        <v>0</v>
      </c>
      <c r="BJ381" s="13" t="s">
        <v>76</v>
      </c>
      <c r="BK381" s="130">
        <f>ROUND(I381*H381,2)</f>
        <v>616</v>
      </c>
      <c r="BL381" s="13" t="s">
        <v>235</v>
      </c>
      <c r="BM381" s="129" t="s">
        <v>555</v>
      </c>
    </row>
    <row r="382" spans="2:65" s="1" customFormat="1" ht="16.5" customHeight="1" x14ac:dyDescent="0.2">
      <c r="B382" s="118"/>
      <c r="C382" s="119" t="s">
        <v>393</v>
      </c>
      <c r="D382" s="119" t="s">
        <v>231</v>
      </c>
      <c r="E382" s="120" t="s">
        <v>1287</v>
      </c>
      <c r="F382" s="121" t="s">
        <v>1288</v>
      </c>
      <c r="G382" s="122" t="s">
        <v>1035</v>
      </c>
      <c r="H382" s="123">
        <v>100</v>
      </c>
      <c r="I382" s="124">
        <v>4.88</v>
      </c>
      <c r="J382" s="124">
        <f>ROUND(I382*H382,2)</f>
        <v>488</v>
      </c>
      <c r="K382" s="121" t="s">
        <v>1</v>
      </c>
      <c r="L382" s="24"/>
      <c r="M382" s="125" t="s">
        <v>1</v>
      </c>
      <c r="N382" s="126" t="s">
        <v>32</v>
      </c>
      <c r="O382" s="127">
        <v>0</v>
      </c>
      <c r="P382" s="127">
        <f>O382*H382</f>
        <v>0</v>
      </c>
      <c r="Q382" s="127">
        <v>0</v>
      </c>
      <c r="R382" s="127">
        <f>Q382*H382</f>
        <v>0</v>
      </c>
      <c r="S382" s="127">
        <v>0</v>
      </c>
      <c r="T382" s="128">
        <f>S382*H382</f>
        <v>0</v>
      </c>
      <c r="W382" s="199"/>
      <c r="X382" s="119" t="s">
        <v>393</v>
      </c>
      <c r="Y382" s="119" t="s">
        <v>231</v>
      </c>
      <c r="Z382" s="120" t="s">
        <v>1287</v>
      </c>
      <c r="AA382" s="121" t="s">
        <v>1288</v>
      </c>
      <c r="AB382" s="122" t="s">
        <v>1035</v>
      </c>
      <c r="AC382" s="123">
        <v>100</v>
      </c>
      <c r="AD382" s="124">
        <v>4.88</v>
      </c>
      <c r="AE382" s="200">
        <f>ROUND(AD382*AC382,2)</f>
        <v>488</v>
      </c>
      <c r="AF382" s="1131">
        <v>7</v>
      </c>
      <c r="AG382" s="407"/>
      <c r="AR382" s="129" t="s">
        <v>235</v>
      </c>
      <c r="AT382" s="129" t="s">
        <v>231</v>
      </c>
      <c r="AU382" s="129" t="s">
        <v>63</v>
      </c>
      <c r="AY382" s="13" t="s">
        <v>228</v>
      </c>
      <c r="BE382" s="130">
        <f>IF(N382="základná",J382,0)</f>
        <v>0</v>
      </c>
      <c r="BF382" s="130">
        <f>IF(N382="znížená",J382,0)</f>
        <v>488</v>
      </c>
      <c r="BG382" s="130">
        <f>IF(N382="zákl. prenesená",J382,0)</f>
        <v>0</v>
      </c>
      <c r="BH382" s="130">
        <f>IF(N382="zníž. prenesená",J382,0)</f>
        <v>0</v>
      </c>
      <c r="BI382" s="130">
        <f>IF(N382="nulová",J382,0)</f>
        <v>0</v>
      </c>
      <c r="BJ382" s="13" t="s">
        <v>76</v>
      </c>
      <c r="BK382" s="130">
        <f>ROUND(I382*H382,2)</f>
        <v>488</v>
      </c>
      <c r="BL382" s="13" t="s">
        <v>235</v>
      </c>
      <c r="BM382" s="129" t="s">
        <v>562</v>
      </c>
    </row>
    <row r="383" spans="2:65" s="1" customFormat="1" ht="16.5" customHeight="1" x14ac:dyDescent="0.2">
      <c r="B383" s="118"/>
      <c r="C383" s="205" t="s">
        <v>563</v>
      </c>
      <c r="D383" s="119" t="s">
        <v>231</v>
      </c>
      <c r="E383" s="120" t="s">
        <v>1289</v>
      </c>
      <c r="F383" s="121" t="s">
        <v>1290</v>
      </c>
      <c r="G383" s="122" t="s">
        <v>570</v>
      </c>
      <c r="H383" s="123">
        <v>1.4</v>
      </c>
      <c r="I383" s="213">
        <v>11.04</v>
      </c>
      <c r="J383" s="124">
        <f>ROUND(I383*H383,2)</f>
        <v>15.46</v>
      </c>
      <c r="K383" s="121" t="s">
        <v>1</v>
      </c>
      <c r="L383" s="24"/>
      <c r="M383" s="125" t="s">
        <v>1</v>
      </c>
      <c r="N383" s="126" t="s">
        <v>32</v>
      </c>
      <c r="O383" s="127">
        <v>0</v>
      </c>
      <c r="P383" s="127">
        <f>O383*H383</f>
        <v>0</v>
      </c>
      <c r="Q383" s="127">
        <v>0</v>
      </c>
      <c r="R383" s="127">
        <f>Q383*H383</f>
        <v>0</v>
      </c>
      <c r="S383" s="127">
        <v>0</v>
      </c>
      <c r="T383" s="128">
        <f>S383*H383</f>
        <v>0</v>
      </c>
      <c r="W383" s="199"/>
      <c r="X383" s="205" t="s">
        <v>563</v>
      </c>
      <c r="Y383" s="119" t="s">
        <v>231</v>
      </c>
      <c r="Z383" s="120" t="s">
        <v>1289</v>
      </c>
      <c r="AA383" s="121" t="s">
        <v>1290</v>
      </c>
      <c r="AB383" s="122" t="s">
        <v>570</v>
      </c>
      <c r="AC383" s="123">
        <v>1.4</v>
      </c>
      <c r="AD383" s="213">
        <v>22</v>
      </c>
      <c r="AE383" s="200">
        <f>ROUND(AD383*AC383,2)</f>
        <v>30.8</v>
      </c>
      <c r="AF383" s="1131">
        <v>7</v>
      </c>
      <c r="AG383" s="407"/>
      <c r="AR383" s="129" t="s">
        <v>235</v>
      </c>
      <c r="AT383" s="129" t="s">
        <v>231</v>
      </c>
      <c r="AU383" s="129" t="s">
        <v>63</v>
      </c>
      <c r="AY383" s="13" t="s">
        <v>228</v>
      </c>
      <c r="BE383" s="130">
        <f>IF(N383="základná",J383,0)</f>
        <v>0</v>
      </c>
      <c r="BF383" s="130">
        <f>IF(N383="znížená",J383,0)</f>
        <v>15.46</v>
      </c>
      <c r="BG383" s="130">
        <f>IF(N383="zákl. prenesená",J383,0)</f>
        <v>0</v>
      </c>
      <c r="BH383" s="130">
        <f>IF(N383="zníž. prenesená",J383,0)</f>
        <v>0</v>
      </c>
      <c r="BI383" s="130">
        <f>IF(N383="nulová",J383,0)</f>
        <v>0</v>
      </c>
      <c r="BJ383" s="13" t="s">
        <v>76</v>
      </c>
      <c r="BK383" s="130">
        <f>ROUND(I383*H383,2)</f>
        <v>15.46</v>
      </c>
      <c r="BL383" s="13" t="s">
        <v>235</v>
      </c>
      <c r="BM383" s="129" t="s">
        <v>567</v>
      </c>
    </row>
    <row r="384" spans="2:65" s="1" customFormat="1" ht="19.2" x14ac:dyDescent="0.2">
      <c r="B384" s="24"/>
      <c r="D384" s="144" t="s">
        <v>1259</v>
      </c>
      <c r="F384" s="145" t="s">
        <v>1291</v>
      </c>
      <c r="L384" s="24"/>
      <c r="M384" s="146"/>
      <c r="N384" s="42"/>
      <c r="O384" s="42"/>
      <c r="P384" s="42"/>
      <c r="Q384" s="42"/>
      <c r="R384" s="42"/>
      <c r="S384" s="42"/>
      <c r="T384" s="43"/>
      <c r="W384" s="158"/>
      <c r="X384" s="244"/>
      <c r="Y384" s="203" t="s">
        <v>1259</v>
      </c>
      <c r="Z384" s="244"/>
      <c r="AA384" s="204" t="s">
        <v>1291</v>
      </c>
      <c r="AB384" s="244"/>
      <c r="AC384" s="244"/>
      <c r="AD384" s="244"/>
      <c r="AE384" s="159"/>
      <c r="AF384" s="1131"/>
      <c r="AG384" s="407"/>
      <c r="AT384" s="13" t="s">
        <v>1259</v>
      </c>
      <c r="AU384" s="13" t="s">
        <v>63</v>
      </c>
    </row>
    <row r="385" spans="2:65" s="11" customFormat="1" ht="25.95" customHeight="1" x14ac:dyDescent="0.25">
      <c r="B385" s="106"/>
      <c r="D385" s="107" t="s">
        <v>57</v>
      </c>
      <c r="E385" s="108" t="s">
        <v>1292</v>
      </c>
      <c r="F385" s="108" t="s">
        <v>1293</v>
      </c>
      <c r="J385" s="109">
        <f>BK385</f>
        <v>176.28</v>
      </c>
      <c r="L385" s="106"/>
      <c r="M385" s="110"/>
      <c r="N385" s="111"/>
      <c r="O385" s="111"/>
      <c r="P385" s="112">
        <f>SUM(P386:P387)</f>
        <v>0</v>
      </c>
      <c r="Q385" s="111"/>
      <c r="R385" s="112">
        <f>SUM(R386:R387)</f>
        <v>0</v>
      </c>
      <c r="S385" s="111"/>
      <c r="T385" s="113">
        <f>SUM(T386:T387)</f>
        <v>0</v>
      </c>
      <c r="W385" s="195"/>
      <c r="X385" s="111"/>
      <c r="Y385" s="196" t="s">
        <v>57</v>
      </c>
      <c r="Z385" s="197" t="s">
        <v>1292</v>
      </c>
      <c r="AA385" s="197" t="s">
        <v>1293</v>
      </c>
      <c r="AB385" s="111"/>
      <c r="AC385" s="111"/>
      <c r="AD385" s="111"/>
      <c r="AE385" s="198">
        <f>SUM(AE386:AE387)</f>
        <v>240</v>
      </c>
      <c r="AF385" s="1131"/>
      <c r="AG385" s="292"/>
      <c r="AR385" s="107" t="s">
        <v>235</v>
      </c>
      <c r="AT385" s="114" t="s">
        <v>57</v>
      </c>
      <c r="AU385" s="114" t="s">
        <v>58</v>
      </c>
      <c r="AY385" s="107" t="s">
        <v>228</v>
      </c>
      <c r="BK385" s="115">
        <f>SUM(BK386:BK387)</f>
        <v>176.28</v>
      </c>
    </row>
    <row r="386" spans="2:65" s="1" customFormat="1" ht="16.5" customHeight="1" x14ac:dyDescent="0.2">
      <c r="B386" s="118"/>
      <c r="C386" s="205" t="s">
        <v>396</v>
      </c>
      <c r="D386" s="119" t="s">
        <v>231</v>
      </c>
      <c r="E386" s="120" t="s">
        <v>4546</v>
      </c>
      <c r="F386" s="121" t="s">
        <v>1295</v>
      </c>
      <c r="G386" s="122" t="s">
        <v>570</v>
      </c>
      <c r="H386" s="123">
        <v>3.6</v>
      </c>
      <c r="I386" s="213">
        <v>21.19</v>
      </c>
      <c r="J386" s="124">
        <f>ROUND(I386*H386,2)</f>
        <v>76.28</v>
      </c>
      <c r="K386" s="121" t="s">
        <v>1</v>
      </c>
      <c r="L386" s="24"/>
      <c r="M386" s="125" t="s">
        <v>1</v>
      </c>
      <c r="N386" s="126" t="s">
        <v>32</v>
      </c>
      <c r="O386" s="127">
        <v>0</v>
      </c>
      <c r="P386" s="127">
        <f>O386*H386</f>
        <v>0</v>
      </c>
      <c r="Q386" s="127">
        <v>0</v>
      </c>
      <c r="R386" s="127">
        <f>Q386*H386</f>
        <v>0</v>
      </c>
      <c r="S386" s="127">
        <v>0</v>
      </c>
      <c r="T386" s="128">
        <f>S386*H386</f>
        <v>0</v>
      </c>
      <c r="W386" s="199"/>
      <c r="X386" s="205" t="s">
        <v>396</v>
      </c>
      <c r="Y386" s="119" t="s">
        <v>231</v>
      </c>
      <c r="Z386" s="120" t="s">
        <v>4546</v>
      </c>
      <c r="AA386" s="121" t="s">
        <v>1295</v>
      </c>
      <c r="AB386" s="122" t="s">
        <v>570</v>
      </c>
      <c r="AC386" s="123">
        <v>3.6</v>
      </c>
      <c r="AD386" s="213">
        <v>38.89</v>
      </c>
      <c r="AE386" s="200">
        <f>ROUND(AD386*AC386,2)</f>
        <v>140</v>
      </c>
      <c r="AF386" s="1131">
        <v>7</v>
      </c>
      <c r="AG386" s="407"/>
      <c r="AR386" s="129" t="s">
        <v>1173</v>
      </c>
      <c r="AT386" s="129" t="s">
        <v>231</v>
      </c>
      <c r="AU386" s="129" t="s">
        <v>63</v>
      </c>
      <c r="AY386" s="13" t="s">
        <v>228</v>
      </c>
      <c r="BE386" s="130">
        <f>IF(N386="základná",J386,0)</f>
        <v>0</v>
      </c>
      <c r="BF386" s="130">
        <f>IF(N386="znížená",J386,0)</f>
        <v>76.28</v>
      </c>
      <c r="BG386" s="130">
        <f>IF(N386="zákl. prenesená",J386,0)</f>
        <v>0</v>
      </c>
      <c r="BH386" s="130">
        <f>IF(N386="zníž. prenesená",J386,0)</f>
        <v>0</v>
      </c>
      <c r="BI386" s="130">
        <f>IF(N386="nulová",J386,0)</f>
        <v>0</v>
      </c>
      <c r="BJ386" s="13" t="s">
        <v>76</v>
      </c>
      <c r="BK386" s="130">
        <f>ROUND(I386*H386,2)</f>
        <v>76.28</v>
      </c>
      <c r="BL386" s="13" t="s">
        <v>1173</v>
      </c>
      <c r="BM386" s="129" t="s">
        <v>4547</v>
      </c>
    </row>
    <row r="387" spans="2:65" s="1" customFormat="1" ht="16.5" customHeight="1" x14ac:dyDescent="0.2">
      <c r="B387" s="118"/>
      <c r="C387" s="119" t="s">
        <v>574</v>
      </c>
      <c r="D387" s="119" t="s">
        <v>231</v>
      </c>
      <c r="E387" s="120" t="s">
        <v>1297</v>
      </c>
      <c r="F387" s="121" t="s">
        <v>1298</v>
      </c>
      <c r="G387" s="122" t="s">
        <v>1172</v>
      </c>
      <c r="H387" s="123">
        <v>1</v>
      </c>
      <c r="I387" s="124">
        <v>100</v>
      </c>
      <c r="J387" s="124">
        <f>ROUND(I387*H387,2)</f>
        <v>100</v>
      </c>
      <c r="K387" s="121" t="s">
        <v>1</v>
      </c>
      <c r="L387" s="24"/>
      <c r="M387" s="125" t="s">
        <v>1</v>
      </c>
      <c r="N387" s="126" t="s">
        <v>32</v>
      </c>
      <c r="O387" s="127">
        <v>0</v>
      </c>
      <c r="P387" s="127">
        <f>O387*H387</f>
        <v>0</v>
      </c>
      <c r="Q387" s="127">
        <v>0</v>
      </c>
      <c r="R387" s="127">
        <f>Q387*H387</f>
        <v>0</v>
      </c>
      <c r="S387" s="127">
        <v>0</v>
      </c>
      <c r="T387" s="128">
        <f>S387*H387</f>
        <v>0</v>
      </c>
      <c r="W387" s="199"/>
      <c r="X387" s="119" t="s">
        <v>574</v>
      </c>
      <c r="Y387" s="119" t="s">
        <v>231</v>
      </c>
      <c r="Z387" s="120" t="s">
        <v>1297</v>
      </c>
      <c r="AA387" s="121" t="s">
        <v>1298</v>
      </c>
      <c r="AB387" s="122" t="s">
        <v>1172</v>
      </c>
      <c r="AC387" s="123">
        <v>1</v>
      </c>
      <c r="AD387" s="124">
        <v>100</v>
      </c>
      <c r="AE387" s="200">
        <f>ROUND(AD387*AC387,2)</f>
        <v>100</v>
      </c>
      <c r="AF387" s="1131"/>
      <c r="AG387" s="407"/>
      <c r="AR387" s="129" t="s">
        <v>1173</v>
      </c>
      <c r="AT387" s="129" t="s">
        <v>231</v>
      </c>
      <c r="AU387" s="129" t="s">
        <v>63</v>
      </c>
      <c r="AY387" s="13" t="s">
        <v>228</v>
      </c>
      <c r="BE387" s="130">
        <f>IF(N387="základná",J387,0)</f>
        <v>0</v>
      </c>
      <c r="BF387" s="130">
        <f>IF(N387="znížená",J387,0)</f>
        <v>100</v>
      </c>
      <c r="BG387" s="130">
        <f>IF(N387="zákl. prenesená",J387,0)</f>
        <v>0</v>
      </c>
      <c r="BH387" s="130">
        <f>IF(N387="zníž. prenesená",J387,0)</f>
        <v>0</v>
      </c>
      <c r="BI387" s="130">
        <f>IF(N387="nulová",J387,0)</f>
        <v>0</v>
      </c>
      <c r="BJ387" s="13" t="s">
        <v>76</v>
      </c>
      <c r="BK387" s="130">
        <f>ROUND(I387*H387,2)</f>
        <v>100</v>
      </c>
      <c r="BL387" s="13" t="s">
        <v>1173</v>
      </c>
      <c r="BM387" s="129" t="s">
        <v>4548</v>
      </c>
    </row>
    <row r="388" spans="2:65" s="1" customFormat="1" ht="7.05" customHeight="1" x14ac:dyDescent="0.2">
      <c r="B388" s="33"/>
      <c r="C388" s="34"/>
      <c r="D388" s="34"/>
      <c r="E388" s="34"/>
      <c r="F388" s="34"/>
      <c r="G388" s="34"/>
      <c r="H388" s="34"/>
      <c r="I388" s="34"/>
      <c r="J388" s="34"/>
      <c r="K388" s="34"/>
      <c r="L388" s="24"/>
      <c r="W388" s="175"/>
      <c r="X388" s="176"/>
      <c r="Y388" s="176"/>
      <c r="Z388" s="176"/>
      <c r="AA388" s="176"/>
      <c r="AB388" s="176"/>
      <c r="AC388" s="176"/>
      <c r="AD388" s="176"/>
      <c r="AE388" s="177"/>
      <c r="AF388" s="248"/>
    </row>
  </sheetData>
  <autoFilter ref="C154:K387" xr:uid="{00000000-0009-0000-0000-000020000000}"/>
  <mergeCells count="118">
    <mergeCell ref="C343:J343"/>
    <mergeCell ref="C344:J344"/>
    <mergeCell ref="C352:J352"/>
    <mergeCell ref="C351:J351"/>
    <mergeCell ref="C353:J353"/>
    <mergeCell ref="C323:J323"/>
    <mergeCell ref="C327:J327"/>
    <mergeCell ref="C330:J330"/>
    <mergeCell ref="C331:J331"/>
    <mergeCell ref="C342:J342"/>
    <mergeCell ref="C379:J379"/>
    <mergeCell ref="C380:J380"/>
    <mergeCell ref="C368:J368"/>
    <mergeCell ref="C369:J369"/>
    <mergeCell ref="C371:J371"/>
    <mergeCell ref="C372:J372"/>
    <mergeCell ref="C373:J373"/>
    <mergeCell ref="C354:J354"/>
    <mergeCell ref="C355:J355"/>
    <mergeCell ref="C356:J356"/>
    <mergeCell ref="C357:J357"/>
    <mergeCell ref="C367:J367"/>
    <mergeCell ref="C363:J363"/>
    <mergeCell ref="C365:J365"/>
    <mergeCell ref="C304:J304"/>
    <mergeCell ref="C306:J306"/>
    <mergeCell ref="C311:J311"/>
    <mergeCell ref="C313:J313"/>
    <mergeCell ref="C314:J314"/>
    <mergeCell ref="C277:J277"/>
    <mergeCell ref="C282:J282"/>
    <mergeCell ref="C284:J284"/>
    <mergeCell ref="C302:J302"/>
    <mergeCell ref="C303:J303"/>
    <mergeCell ref="C258:J258"/>
    <mergeCell ref="C263:J263"/>
    <mergeCell ref="C264:J264"/>
    <mergeCell ref="C267:J267"/>
    <mergeCell ref="C273:J273"/>
    <mergeCell ref="C249:J249"/>
    <mergeCell ref="C250:J250"/>
    <mergeCell ref="C252:J252"/>
    <mergeCell ref="C253:J253"/>
    <mergeCell ref="C257:J257"/>
    <mergeCell ref="C240:J240"/>
    <mergeCell ref="C242:J242"/>
    <mergeCell ref="C243:J243"/>
    <mergeCell ref="C244:J244"/>
    <mergeCell ref="C245:J245"/>
    <mergeCell ref="C235:J235"/>
    <mergeCell ref="C236:J236"/>
    <mergeCell ref="C237:J237"/>
    <mergeCell ref="C238:J238"/>
    <mergeCell ref="C239:J239"/>
    <mergeCell ref="C228:J228"/>
    <mergeCell ref="C229:J229"/>
    <mergeCell ref="C231:J231"/>
    <mergeCell ref="C232:J232"/>
    <mergeCell ref="C234:J234"/>
    <mergeCell ref="C206:J206"/>
    <mergeCell ref="C208:J208"/>
    <mergeCell ref="C212:J212"/>
    <mergeCell ref="C214:J214"/>
    <mergeCell ref="C227:J227"/>
    <mergeCell ref="C189:J189"/>
    <mergeCell ref="C193:J193"/>
    <mergeCell ref="C195:J195"/>
    <mergeCell ref="C197:J197"/>
    <mergeCell ref="C170:J170"/>
    <mergeCell ref="C171:J171"/>
    <mergeCell ref="C173:J173"/>
    <mergeCell ref="C174:J174"/>
    <mergeCell ref="C175:J175"/>
    <mergeCell ref="C183:J183"/>
    <mergeCell ref="C177:J177"/>
    <mergeCell ref="C178:J178"/>
    <mergeCell ref="C179:J179"/>
    <mergeCell ref="C181:J181"/>
    <mergeCell ref="C182:J182"/>
    <mergeCell ref="L2:V2"/>
    <mergeCell ref="E9:H9"/>
    <mergeCell ref="E18:H18"/>
    <mergeCell ref="E27:H27"/>
    <mergeCell ref="Z9:AC9"/>
    <mergeCell ref="Z18:AC18"/>
    <mergeCell ref="Z27:AC27"/>
    <mergeCell ref="D4:J4"/>
    <mergeCell ref="F6:J7"/>
    <mergeCell ref="X4:AE4"/>
    <mergeCell ref="AA6:AE7"/>
    <mergeCell ref="Z145:AC145"/>
    <mergeCell ref="Z147:AC147"/>
    <mergeCell ref="C157:J157"/>
    <mergeCell ref="C169:J169"/>
    <mergeCell ref="E87:H87"/>
    <mergeCell ref="E145:H145"/>
    <mergeCell ref="E147:H147"/>
    <mergeCell ref="D99:K99"/>
    <mergeCell ref="D100:K100"/>
    <mergeCell ref="D101:K101"/>
    <mergeCell ref="D102:K102"/>
    <mergeCell ref="D111:K111"/>
    <mergeCell ref="D113:K113"/>
    <mergeCell ref="D114:K114"/>
    <mergeCell ref="D130:K130"/>
    <mergeCell ref="D132:K132"/>
    <mergeCell ref="D133:K133"/>
    <mergeCell ref="X82:AE82"/>
    <mergeCell ref="Z84:AE84"/>
    <mergeCell ref="C82:J82"/>
    <mergeCell ref="E84:J84"/>
    <mergeCell ref="W142:AE142"/>
    <mergeCell ref="Z144:AE144"/>
    <mergeCell ref="C142:J142"/>
    <mergeCell ref="E144:J144"/>
    <mergeCell ref="Z85:AC85"/>
    <mergeCell ref="Z87:AC87"/>
    <mergeCell ref="E85:H85"/>
  </mergeCells>
  <phoneticPr fontId="0" type="noConversion"/>
  <pageMargins left="0.39374999999999999" right="0.39374999999999999" top="0.39374999999999999" bottom="0.39374999999999999" header="0" footer="0"/>
  <pageSetup paperSize="9" scale="39" fitToHeight="100" orientation="portrait" blackAndWhite="1" r:id="rId1"/>
  <headerFooter>
    <oddFooter>&amp;CStrana &amp;P z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249977111117893"/>
    <pageSetUpPr fitToPage="1"/>
  </sheetPr>
  <dimension ref="A1:BM164"/>
  <sheetViews>
    <sheetView showGridLines="0" topLeftCell="E126" zoomScale="80" zoomScaleNormal="80" workbookViewId="0">
      <selection activeCell="AE119" sqref="AE119:AE164"/>
    </sheetView>
  </sheetViews>
  <sheetFormatPr defaultColWidth="8.7109375" defaultRowHeight="10.199999999999999" x14ac:dyDescent="0.2"/>
  <cols>
    <col min="1" max="1" width="8.28515625" customWidth="1"/>
    <col min="2" max="2" width="1.7109375" customWidth="1"/>
    <col min="3" max="4" width="4.28515625" customWidth="1"/>
    <col min="5" max="5" width="17.28515625" customWidth="1"/>
    <col min="6" max="6" width="50.7109375" customWidth="1"/>
    <col min="7" max="7" width="7" customWidth="1"/>
    <col min="8" max="8" width="11.42578125" customWidth="1"/>
    <col min="9" max="10" width="20.28515625" customWidth="1"/>
    <col min="11" max="11" width="20.28515625" hidden="1" customWidth="1"/>
    <col min="12" max="12" width="9.28515625" customWidth="1"/>
    <col min="13" max="13" width="10.7109375" hidden="1" customWidth="1"/>
    <col min="14" max="14" width="9.28515625" hidden="1"/>
    <col min="15" max="20" width="14.28515625" hidden="1" customWidth="1"/>
    <col min="21" max="21" width="16.28515625" hidden="1" customWidth="1"/>
    <col min="22" max="22" width="12.28515625" customWidth="1"/>
    <col min="23" max="23" width="1.7109375" style="678" customWidth="1"/>
    <col min="24" max="25" width="4.28515625" style="678" customWidth="1"/>
    <col min="26" max="26" width="17.28515625" style="678" customWidth="1"/>
    <col min="27" max="27" width="50.7109375" style="678" customWidth="1"/>
    <col min="28" max="28" width="7" style="678" customWidth="1"/>
    <col min="29" max="29" width="11.42578125" style="678" customWidth="1"/>
    <col min="30" max="31" width="20.28515625" style="678" customWidth="1"/>
    <col min="44" max="65" width="9.28515625" hidden="1"/>
  </cols>
  <sheetData>
    <row r="1" spans="1:46" x14ac:dyDescent="0.2">
      <c r="A1" s="73"/>
    </row>
    <row r="2" spans="1:46" ht="37.049999999999997" customHeight="1" x14ac:dyDescent="0.2">
      <c r="L2" s="1227" t="s">
        <v>5</v>
      </c>
      <c r="M2" s="1225"/>
      <c r="N2" s="1225"/>
      <c r="O2" s="1225"/>
      <c r="P2" s="1225"/>
      <c r="Q2" s="1225"/>
      <c r="R2" s="1225"/>
      <c r="S2" s="1225"/>
      <c r="T2" s="1225"/>
      <c r="U2" s="1225"/>
      <c r="V2" s="1225"/>
      <c r="AT2" s="13" t="s">
        <v>158</v>
      </c>
    </row>
    <row r="3" spans="1:46" ht="7.05" customHeight="1" x14ac:dyDescent="0.2">
      <c r="B3" s="14"/>
      <c r="C3" s="15"/>
      <c r="D3" s="15"/>
      <c r="E3" s="15"/>
      <c r="F3" s="15"/>
      <c r="G3" s="15"/>
      <c r="H3" s="15"/>
      <c r="I3" s="15"/>
      <c r="J3" s="15"/>
      <c r="K3" s="15"/>
      <c r="L3" s="16"/>
      <c r="W3" s="152"/>
      <c r="X3" s="153"/>
      <c r="Y3" s="153"/>
      <c r="Z3" s="153"/>
      <c r="AA3" s="153"/>
      <c r="AB3" s="153"/>
      <c r="AC3" s="153"/>
      <c r="AD3" s="153"/>
      <c r="AE3" s="154"/>
      <c r="AT3" s="13" t="s">
        <v>58</v>
      </c>
    </row>
    <row r="4" spans="1:46" ht="25.05" customHeight="1" x14ac:dyDescent="0.2">
      <c r="B4" s="16"/>
      <c r="C4" s="1165" t="s">
        <v>185</v>
      </c>
      <c r="D4" s="1165"/>
      <c r="E4" s="1165"/>
      <c r="F4" s="1165"/>
      <c r="G4" s="1165"/>
      <c r="H4" s="1165"/>
      <c r="I4" s="1165"/>
      <c r="J4" s="1165"/>
      <c r="L4" s="16"/>
      <c r="M4" s="74" t="s">
        <v>9</v>
      </c>
      <c r="W4" s="155"/>
      <c r="X4" s="1237" t="s">
        <v>185</v>
      </c>
      <c r="Y4" s="1237"/>
      <c r="Z4" s="1237"/>
      <c r="AA4" s="1237"/>
      <c r="AB4" s="1237"/>
      <c r="AC4" s="1237"/>
      <c r="AD4" s="1237"/>
      <c r="AE4" s="1238"/>
      <c r="AT4" s="13" t="s">
        <v>3</v>
      </c>
    </row>
    <row r="5" spans="1:46" ht="7.05" customHeight="1" x14ac:dyDescent="0.2">
      <c r="B5" s="16"/>
      <c r="L5" s="16"/>
      <c r="W5" s="155"/>
      <c r="X5" s="156"/>
      <c r="Y5" s="156"/>
      <c r="Z5" s="156"/>
      <c r="AA5" s="156"/>
      <c r="AB5" s="156"/>
      <c r="AC5" s="156"/>
      <c r="AD5" s="156"/>
      <c r="AE5" s="157"/>
    </row>
    <row r="6" spans="1:46" ht="12" customHeight="1" x14ac:dyDescent="0.2">
      <c r="B6" s="16"/>
      <c r="D6" s="548" t="s">
        <v>12</v>
      </c>
      <c r="F6" s="1254" t="s">
        <v>6176</v>
      </c>
      <c r="G6" s="1254"/>
      <c r="H6" s="1254"/>
      <c r="I6" s="1254"/>
      <c r="J6" s="1254"/>
      <c r="L6" s="16"/>
      <c r="W6" s="155"/>
      <c r="X6" s="156"/>
      <c r="Y6" s="541" t="s">
        <v>12</v>
      </c>
      <c r="Z6" s="156"/>
      <c r="AA6" s="1239" t="s">
        <v>6176</v>
      </c>
      <c r="AB6" s="1239"/>
      <c r="AC6" s="1239"/>
      <c r="AD6" s="1239"/>
      <c r="AE6" s="1240"/>
    </row>
    <row r="7" spans="1:46" ht="22.2" customHeight="1" x14ac:dyDescent="0.2">
      <c r="B7" s="16"/>
      <c r="D7" s="527"/>
      <c r="E7" s="531"/>
      <c r="F7" s="1254"/>
      <c r="G7" s="1254"/>
      <c r="H7" s="1254"/>
      <c r="I7" s="1254"/>
      <c r="J7" s="1254"/>
      <c r="L7" s="16"/>
      <c r="W7" s="155"/>
      <c r="X7" s="156"/>
      <c r="Y7" s="539"/>
      <c r="Z7" s="245"/>
      <c r="AA7" s="1239"/>
      <c r="AB7" s="1239"/>
      <c r="AC7" s="1239"/>
      <c r="AD7" s="1239"/>
      <c r="AE7" s="1240"/>
    </row>
    <row r="8" spans="1:46" s="1" customFormat="1" ht="12" customHeight="1" x14ac:dyDescent="0.2">
      <c r="B8" s="24"/>
      <c r="D8" s="549" t="s">
        <v>186</v>
      </c>
      <c r="F8" s="532" t="s">
        <v>4549</v>
      </c>
      <c r="L8" s="24"/>
      <c r="W8" s="158"/>
      <c r="X8" s="680"/>
      <c r="Y8" s="550" t="s">
        <v>186</v>
      </c>
      <c r="Z8" s="680"/>
      <c r="AA8" s="555" t="s">
        <v>4549</v>
      </c>
      <c r="AB8" s="680"/>
      <c r="AC8" s="680"/>
      <c r="AD8" s="680"/>
      <c r="AE8" s="159"/>
    </row>
    <row r="9" spans="1:46" s="1" customFormat="1" ht="37.049999999999997" customHeight="1" x14ac:dyDescent="0.2">
      <c r="B9" s="24"/>
      <c r="D9" s="551"/>
      <c r="E9" s="1251"/>
      <c r="F9" s="1252"/>
      <c r="G9" s="1252"/>
      <c r="H9" s="1252"/>
      <c r="L9" s="24"/>
      <c r="W9" s="158"/>
      <c r="X9" s="680"/>
      <c r="Y9" s="689"/>
      <c r="Z9" s="1245"/>
      <c r="AA9" s="1246"/>
      <c r="AB9" s="1246"/>
      <c r="AC9" s="1246"/>
      <c r="AD9" s="680"/>
      <c r="AE9" s="159"/>
    </row>
    <row r="10" spans="1:46" s="1" customFormat="1" x14ac:dyDescent="0.2">
      <c r="B10" s="24"/>
      <c r="D10" s="521"/>
      <c r="L10" s="24"/>
      <c r="W10" s="158"/>
      <c r="X10" s="680"/>
      <c r="Y10" s="680"/>
      <c r="Z10" s="680"/>
      <c r="AA10" s="680"/>
      <c r="AB10" s="680"/>
      <c r="AC10" s="680"/>
      <c r="AD10" s="680"/>
      <c r="AE10" s="159"/>
    </row>
    <row r="11" spans="1:46" s="1" customFormat="1" ht="12" customHeight="1" x14ac:dyDescent="0.2">
      <c r="B11" s="24"/>
      <c r="D11" s="528" t="s">
        <v>13</v>
      </c>
      <c r="F11" s="19" t="s">
        <v>1</v>
      </c>
      <c r="I11" s="528" t="s">
        <v>14</v>
      </c>
      <c r="J11" s="19" t="s">
        <v>1</v>
      </c>
      <c r="L11" s="24"/>
      <c r="W11" s="158"/>
      <c r="X11" s="680"/>
      <c r="Y11" s="679" t="s">
        <v>13</v>
      </c>
      <c r="Z11" s="680"/>
      <c r="AA11" s="677" t="s">
        <v>1</v>
      </c>
      <c r="AB11" s="680"/>
      <c r="AC11" s="680"/>
      <c r="AD11" s="679" t="s">
        <v>14</v>
      </c>
      <c r="AE11" s="161" t="s">
        <v>1</v>
      </c>
    </row>
    <row r="12" spans="1:46" s="1" customFormat="1" ht="12" customHeight="1" x14ac:dyDescent="0.2">
      <c r="B12" s="24"/>
      <c r="D12" s="528" t="s">
        <v>15</v>
      </c>
      <c r="F12" s="520" t="s">
        <v>6173</v>
      </c>
      <c r="I12" s="528" t="s">
        <v>17</v>
      </c>
      <c r="J12" s="39"/>
      <c r="L12" s="24"/>
      <c r="W12" s="158"/>
      <c r="X12" s="680"/>
      <c r="Y12" s="679" t="s">
        <v>15</v>
      </c>
      <c r="Z12" s="680"/>
      <c r="AA12" s="677" t="s">
        <v>6173</v>
      </c>
      <c r="AB12" s="680"/>
      <c r="AC12" s="680"/>
      <c r="AD12" s="679" t="s">
        <v>17</v>
      </c>
      <c r="AE12" s="162"/>
    </row>
    <row r="13" spans="1:46" s="1" customFormat="1" ht="10.95" customHeight="1" x14ac:dyDescent="0.2">
      <c r="B13" s="24"/>
      <c r="D13" s="521"/>
      <c r="F13" s="521"/>
      <c r="I13" s="521"/>
      <c r="L13" s="24"/>
      <c r="W13" s="158"/>
      <c r="X13" s="680"/>
      <c r="Y13" s="680"/>
      <c r="Z13" s="680"/>
      <c r="AA13" s="680"/>
      <c r="AB13" s="680"/>
      <c r="AC13" s="680"/>
      <c r="AD13" s="680"/>
      <c r="AE13" s="159"/>
    </row>
    <row r="14" spans="1:46" s="1" customFormat="1" ht="12" customHeight="1" x14ac:dyDescent="0.2">
      <c r="B14" s="24"/>
      <c r="D14" s="528" t="s">
        <v>18</v>
      </c>
      <c r="F14" s="529" t="s">
        <v>6175</v>
      </c>
      <c r="I14" s="528" t="s">
        <v>19</v>
      </c>
      <c r="J14" s="19" t="str">
        <f>IF('Rekapitulácia stavby'!AN10="","",'Rekapitulácia stavby'!AN10)</f>
        <v/>
      </c>
      <c r="L14" s="24"/>
      <c r="W14" s="158"/>
      <c r="X14" s="680"/>
      <c r="Y14" s="679" t="s">
        <v>18</v>
      </c>
      <c r="Z14" s="680"/>
      <c r="AA14" s="576" t="s">
        <v>6175</v>
      </c>
      <c r="AB14" s="680"/>
      <c r="AC14" s="680"/>
      <c r="AD14" s="679" t="s">
        <v>19</v>
      </c>
      <c r="AE14" s="161" t="str">
        <f>IF('Rekapitulácia stavby'!BI10="","",'Rekapitulácia stavby'!BI10)</f>
        <v/>
      </c>
    </row>
    <row r="15" spans="1:46" s="1" customFormat="1" ht="18" customHeight="1" x14ac:dyDescent="0.2">
      <c r="B15" s="24"/>
      <c r="D15" s="521"/>
      <c r="E15" s="19" t="str">
        <f>IF('Rekapitulácia stavby'!E11="","",'Rekapitulácia stavby'!E11)</f>
        <v/>
      </c>
      <c r="F15" s="521"/>
      <c r="I15" s="528" t="s">
        <v>20</v>
      </c>
      <c r="J15" s="19" t="str">
        <f>IF('Rekapitulácia stavby'!AN11="","",'Rekapitulácia stavby'!AN11)</f>
        <v/>
      </c>
      <c r="L15" s="24"/>
      <c r="W15" s="158"/>
      <c r="X15" s="680"/>
      <c r="Y15" s="680"/>
      <c r="Z15" s="677" t="str">
        <f>IF('Rekapitulácia stavby'!Z11="","",'Rekapitulácia stavby'!Z11)</f>
        <v/>
      </c>
      <c r="AA15" s="680"/>
      <c r="AB15" s="680"/>
      <c r="AC15" s="680"/>
      <c r="AD15" s="679" t="s">
        <v>20</v>
      </c>
      <c r="AE15" s="161" t="str">
        <f>IF('Rekapitulácia stavby'!BI11="","",'Rekapitulácia stavby'!BI11)</f>
        <v/>
      </c>
    </row>
    <row r="16" spans="1:46" s="1" customFormat="1" ht="7.05" customHeight="1" x14ac:dyDescent="0.2">
      <c r="B16" s="24"/>
      <c r="D16" s="521"/>
      <c r="F16" s="521"/>
      <c r="I16" s="521"/>
      <c r="L16" s="24"/>
      <c r="W16" s="158"/>
      <c r="X16" s="680"/>
      <c r="Y16" s="680"/>
      <c r="Z16" s="680"/>
      <c r="AA16" s="680"/>
      <c r="AB16" s="680"/>
      <c r="AC16" s="680"/>
      <c r="AD16" s="680"/>
      <c r="AE16" s="159"/>
    </row>
    <row r="17" spans="2:31" s="1" customFormat="1" ht="12" customHeight="1" x14ac:dyDescent="0.2">
      <c r="B17" s="24"/>
      <c r="D17" s="528" t="s">
        <v>21</v>
      </c>
      <c r="F17" s="529" t="s">
        <v>5202</v>
      </c>
      <c r="I17" s="528" t="s">
        <v>19</v>
      </c>
      <c r="J17" s="19"/>
      <c r="L17" s="24"/>
      <c r="W17" s="158"/>
      <c r="X17" s="680"/>
      <c r="Y17" s="679" t="s">
        <v>21</v>
      </c>
      <c r="Z17" s="680"/>
      <c r="AA17" s="576" t="s">
        <v>5202</v>
      </c>
      <c r="AB17" s="680"/>
      <c r="AC17" s="680"/>
      <c r="AD17" s="679" t="s">
        <v>19</v>
      </c>
      <c r="AE17" s="161"/>
    </row>
    <row r="18" spans="2:31" s="1" customFormat="1" ht="18" customHeight="1" x14ac:dyDescent="0.2">
      <c r="B18" s="24"/>
      <c r="D18" s="521"/>
      <c r="E18" s="1161"/>
      <c r="F18" s="1161"/>
      <c r="G18" s="1161"/>
      <c r="H18" s="1161"/>
      <c r="I18" s="528" t="s">
        <v>20</v>
      </c>
      <c r="J18" s="19" t="str">
        <f>'Rekapitulácia stavby'!AN14</f>
        <v/>
      </c>
      <c r="L18" s="24"/>
      <c r="W18" s="158"/>
      <c r="X18" s="680"/>
      <c r="Y18" s="680"/>
      <c r="Z18" s="1247"/>
      <c r="AA18" s="1247"/>
      <c r="AB18" s="1247"/>
      <c r="AC18" s="1247"/>
      <c r="AD18" s="679" t="s">
        <v>20</v>
      </c>
      <c r="AE18" s="161"/>
    </row>
    <row r="19" spans="2:31" s="1" customFormat="1" ht="7.05" customHeight="1" x14ac:dyDescent="0.2">
      <c r="B19" s="24"/>
      <c r="D19" s="521"/>
      <c r="I19" s="521"/>
      <c r="L19" s="24"/>
      <c r="W19" s="158"/>
      <c r="X19" s="680"/>
      <c r="Y19" s="680"/>
      <c r="Z19" s="680"/>
      <c r="AA19" s="680"/>
      <c r="AB19" s="680"/>
      <c r="AC19" s="680"/>
      <c r="AD19" s="680"/>
      <c r="AE19" s="159"/>
    </row>
    <row r="20" spans="2:31" s="1" customFormat="1" ht="12" customHeight="1" x14ac:dyDescent="0.2">
      <c r="B20" s="24"/>
      <c r="D20" s="528" t="s">
        <v>22</v>
      </c>
      <c r="I20" s="528" t="s">
        <v>19</v>
      </c>
      <c r="J20" s="19" t="str">
        <f>IF('Rekapitulácia stavby'!AN16="","",'Rekapitulácia stavby'!AN16)</f>
        <v/>
      </c>
      <c r="L20" s="24"/>
      <c r="W20" s="158"/>
      <c r="X20" s="680"/>
      <c r="Y20" s="679" t="s">
        <v>22</v>
      </c>
      <c r="Z20" s="680"/>
      <c r="AA20" s="680"/>
      <c r="AB20" s="680"/>
      <c r="AC20" s="680"/>
      <c r="AD20" s="679" t="s">
        <v>19</v>
      </c>
      <c r="AE20" s="161" t="str">
        <f>IF('Rekapitulácia stavby'!BI16="","",'Rekapitulácia stavby'!BI16)</f>
        <v/>
      </c>
    </row>
    <row r="21" spans="2:31" s="1" customFormat="1" ht="18" customHeight="1" x14ac:dyDescent="0.2">
      <c r="B21" s="24"/>
      <c r="D21" s="521"/>
      <c r="E21" s="19" t="str">
        <f>IF('Rekapitulácia stavby'!E17="","",'Rekapitulácia stavby'!E17)</f>
        <v xml:space="preserve"> </v>
      </c>
      <c r="I21" s="528" t="s">
        <v>20</v>
      </c>
      <c r="J21" s="19" t="str">
        <f>IF('Rekapitulácia stavby'!AN17="","",'Rekapitulácia stavby'!AN17)</f>
        <v/>
      </c>
      <c r="L21" s="24"/>
      <c r="W21" s="158"/>
      <c r="X21" s="680"/>
      <c r="Y21" s="680"/>
      <c r="Z21" s="677" t="str">
        <f>IF('Rekapitulácia stavby'!Z17="","",'Rekapitulácia stavby'!Z17)</f>
        <v/>
      </c>
      <c r="AA21" s="680"/>
      <c r="AB21" s="680"/>
      <c r="AC21" s="680"/>
      <c r="AD21" s="679" t="s">
        <v>20</v>
      </c>
      <c r="AE21" s="161" t="str">
        <f>IF('Rekapitulácia stavby'!BI17="","",'Rekapitulácia stavby'!BI17)</f>
        <v/>
      </c>
    </row>
    <row r="22" spans="2:31" s="1" customFormat="1" ht="7.05" customHeight="1" x14ac:dyDescent="0.2">
      <c r="B22" s="24"/>
      <c r="D22" s="521"/>
      <c r="I22" s="521"/>
      <c r="L22" s="24"/>
      <c r="W22" s="158"/>
      <c r="X22" s="680"/>
      <c r="Y22" s="680"/>
      <c r="Z22" s="680"/>
      <c r="AA22" s="680"/>
      <c r="AB22" s="680"/>
      <c r="AC22" s="680"/>
      <c r="AD22" s="680"/>
      <c r="AE22" s="159"/>
    </row>
    <row r="23" spans="2:31" s="1" customFormat="1" ht="12" customHeight="1" x14ac:dyDescent="0.2">
      <c r="B23" s="24"/>
      <c r="D23" s="528" t="s">
        <v>24</v>
      </c>
      <c r="I23" s="528" t="s">
        <v>19</v>
      </c>
      <c r="J23" s="19" t="str">
        <f>IF('Rekapitulácia stavby'!AN19="","",'Rekapitulácia stavby'!AN19)</f>
        <v/>
      </c>
      <c r="L23" s="24"/>
      <c r="W23" s="158"/>
      <c r="X23" s="680"/>
      <c r="Y23" s="679" t="s">
        <v>24</v>
      </c>
      <c r="Z23" s="680"/>
      <c r="AA23" s="680"/>
      <c r="AB23" s="680"/>
      <c r="AC23" s="680"/>
      <c r="AD23" s="679" t="s">
        <v>19</v>
      </c>
      <c r="AE23" s="161" t="str">
        <f>IF('Rekapitulácia stavby'!BI19="","",'Rekapitulácia stavby'!BI19)</f>
        <v/>
      </c>
    </row>
    <row r="24" spans="2:31" s="1" customFormat="1" ht="18" customHeight="1" x14ac:dyDescent="0.2">
      <c r="B24" s="24"/>
      <c r="D24" s="521"/>
      <c r="E24" s="19" t="str">
        <f>IF('Rekapitulácia stavby'!E20="","",'Rekapitulácia stavby'!E20)</f>
        <v xml:space="preserve"> </v>
      </c>
      <c r="I24" s="528" t="s">
        <v>20</v>
      </c>
      <c r="J24" s="19" t="str">
        <f>IF('Rekapitulácia stavby'!AN20="","",'Rekapitulácia stavby'!AN20)</f>
        <v/>
      </c>
      <c r="L24" s="24"/>
      <c r="W24" s="158"/>
      <c r="X24" s="680"/>
      <c r="Y24" s="680"/>
      <c r="Z24" s="677" t="str">
        <f>IF('Rekapitulácia stavby'!Z20="","",'Rekapitulácia stavby'!Z20)</f>
        <v/>
      </c>
      <c r="AA24" s="680"/>
      <c r="AB24" s="680"/>
      <c r="AC24" s="680"/>
      <c r="AD24" s="679" t="s">
        <v>20</v>
      </c>
      <c r="AE24" s="161" t="str">
        <f>IF('Rekapitulácia stavby'!BI20="","",'Rekapitulácia stavby'!BI20)</f>
        <v/>
      </c>
    </row>
    <row r="25" spans="2:31" s="1" customFormat="1" ht="7.05" customHeight="1" x14ac:dyDescent="0.2">
      <c r="B25" s="24"/>
      <c r="D25" s="521"/>
      <c r="L25" s="24"/>
      <c r="W25" s="158"/>
      <c r="X25" s="680"/>
      <c r="Y25" s="680"/>
      <c r="Z25" s="680"/>
      <c r="AA25" s="680"/>
      <c r="AB25" s="680"/>
      <c r="AC25" s="680"/>
      <c r="AD25" s="680"/>
      <c r="AE25" s="159"/>
    </row>
    <row r="26" spans="2:31" s="1" customFormat="1" ht="12" customHeight="1" x14ac:dyDescent="0.2">
      <c r="B26" s="24"/>
      <c r="D26" s="528" t="s">
        <v>25</v>
      </c>
      <c r="L26" s="24"/>
      <c r="W26" s="158"/>
      <c r="X26" s="680"/>
      <c r="Y26" s="679" t="s">
        <v>25</v>
      </c>
      <c r="Z26" s="680"/>
      <c r="AA26" s="680"/>
      <c r="AB26" s="680"/>
      <c r="AC26" s="680"/>
      <c r="AD26" s="680"/>
      <c r="AE26" s="159"/>
    </row>
    <row r="27" spans="2:31" s="7" customFormat="1" ht="16.5" customHeight="1" x14ac:dyDescent="0.2">
      <c r="B27" s="75"/>
      <c r="E27" s="1228" t="s">
        <v>1</v>
      </c>
      <c r="F27" s="1228"/>
      <c r="G27" s="1228"/>
      <c r="H27" s="1228"/>
      <c r="L27" s="75"/>
      <c r="W27" s="163"/>
      <c r="X27" s="164"/>
      <c r="Y27" s="164"/>
      <c r="Z27" s="1248" t="s">
        <v>1</v>
      </c>
      <c r="AA27" s="1248"/>
      <c r="AB27" s="1248"/>
      <c r="AC27" s="1248"/>
      <c r="AD27" s="164"/>
      <c r="AE27" s="165"/>
    </row>
    <row r="28" spans="2:31" s="1" customFormat="1" ht="7.05" customHeight="1" x14ac:dyDescent="0.2">
      <c r="B28" s="24"/>
      <c r="L28" s="24"/>
      <c r="W28" s="158"/>
      <c r="X28" s="680"/>
      <c r="Y28" s="680"/>
      <c r="Z28" s="680"/>
      <c r="AA28" s="680"/>
      <c r="AB28" s="680"/>
      <c r="AC28" s="680"/>
      <c r="AD28" s="680"/>
      <c r="AE28" s="159"/>
    </row>
    <row r="29" spans="2:31" s="1" customFormat="1" ht="7.05" customHeight="1" x14ac:dyDescent="0.2">
      <c r="B29" s="24"/>
      <c r="D29" s="40"/>
      <c r="E29" s="40"/>
      <c r="F29" s="40"/>
      <c r="G29" s="40"/>
      <c r="H29" s="40"/>
      <c r="I29" s="40"/>
      <c r="J29" s="40"/>
      <c r="K29" s="40"/>
      <c r="L29" s="24"/>
      <c r="W29" s="158"/>
      <c r="X29" s="680"/>
      <c r="Y29" s="40"/>
      <c r="Z29" s="40"/>
      <c r="AA29" s="40"/>
      <c r="AB29" s="40"/>
      <c r="AC29" s="40"/>
      <c r="AD29" s="40"/>
      <c r="AE29" s="166"/>
    </row>
    <row r="30" spans="2:31" s="1" customFormat="1" ht="25.2" customHeight="1" x14ac:dyDescent="0.2">
      <c r="B30" s="24"/>
      <c r="D30" s="76" t="s">
        <v>26</v>
      </c>
      <c r="J30" s="53">
        <f>ROUND(J117, 2)</f>
        <v>22713.040000000001</v>
      </c>
      <c r="L30" s="24"/>
      <c r="W30" s="158"/>
      <c r="X30" s="680"/>
      <c r="Y30" s="167" t="s">
        <v>26</v>
      </c>
      <c r="Z30" s="680"/>
      <c r="AA30" s="680"/>
      <c r="AB30" s="680"/>
      <c r="AC30" s="680"/>
      <c r="AD30" s="680"/>
      <c r="AE30" s="168">
        <f>ROUND(AE117, 2)</f>
        <v>15267.78</v>
      </c>
    </row>
    <row r="31" spans="2:31" s="1" customFormat="1" ht="7.05" customHeight="1" x14ac:dyDescent="0.2">
      <c r="B31" s="24"/>
      <c r="D31" s="40"/>
      <c r="E31" s="40"/>
      <c r="F31" s="40"/>
      <c r="G31" s="40"/>
      <c r="H31" s="40"/>
      <c r="I31" s="40"/>
      <c r="J31" s="40"/>
      <c r="K31" s="40"/>
      <c r="L31" s="24"/>
      <c r="W31" s="158"/>
      <c r="X31" s="680"/>
      <c r="Y31" s="40"/>
      <c r="Z31" s="40"/>
      <c r="AA31" s="40"/>
      <c r="AB31" s="40"/>
      <c r="AC31" s="40"/>
      <c r="AD31" s="40"/>
      <c r="AE31" s="166"/>
    </row>
    <row r="32" spans="2:31" s="1" customFormat="1" ht="14.55" customHeight="1" x14ac:dyDescent="0.2">
      <c r="B32" s="24"/>
      <c r="D32" s="521"/>
      <c r="E32" s="521"/>
      <c r="F32" s="534" t="s">
        <v>28</v>
      </c>
      <c r="G32" s="521"/>
      <c r="H32" s="521"/>
      <c r="I32" s="534" t="s">
        <v>27</v>
      </c>
      <c r="J32" s="534" t="s">
        <v>29</v>
      </c>
      <c r="L32" s="24"/>
      <c r="W32" s="158"/>
      <c r="X32" s="680"/>
      <c r="Y32" s="680"/>
      <c r="Z32" s="680"/>
      <c r="AA32" s="542" t="s">
        <v>28</v>
      </c>
      <c r="AB32" s="680"/>
      <c r="AC32" s="680"/>
      <c r="AD32" s="542" t="s">
        <v>27</v>
      </c>
      <c r="AE32" s="543" t="s">
        <v>29</v>
      </c>
    </row>
    <row r="33" spans="2:31" s="1" customFormat="1" ht="14.55" customHeight="1" x14ac:dyDescent="0.2">
      <c r="B33" s="24"/>
      <c r="D33" s="13" t="s">
        <v>30</v>
      </c>
      <c r="E33" s="528" t="s">
        <v>31</v>
      </c>
      <c r="F33" s="398">
        <f>ROUND((SUM(BE117:BE163)),  2)</f>
        <v>0</v>
      </c>
      <c r="G33" s="521"/>
      <c r="H33" s="521"/>
      <c r="I33" s="535">
        <v>0.2</v>
      </c>
      <c r="J33" s="398">
        <f>ROUND(((SUM(BE117:BE163))*I33),  2)</f>
        <v>0</v>
      </c>
      <c r="L33" s="24"/>
      <c r="W33" s="158"/>
      <c r="X33" s="680"/>
      <c r="Y33" s="544" t="s">
        <v>30</v>
      </c>
      <c r="Z33" s="679" t="s">
        <v>31</v>
      </c>
      <c r="AA33" s="545">
        <f>ROUND((SUM(BZ117:BZ163)),  2)</f>
        <v>0</v>
      </c>
      <c r="AB33" s="680"/>
      <c r="AC33" s="680"/>
      <c r="AD33" s="546">
        <v>0.2</v>
      </c>
      <c r="AE33" s="547">
        <f>ROUND(((SUM(BZ117:BZ163))*AD33),  2)</f>
        <v>0</v>
      </c>
    </row>
    <row r="34" spans="2:31" s="1" customFormat="1" ht="14.55" customHeight="1" x14ac:dyDescent="0.2">
      <c r="B34" s="24"/>
      <c r="D34" s="521"/>
      <c r="E34" s="528" t="s">
        <v>32</v>
      </c>
      <c r="F34" s="398">
        <f>ROUND((SUM(BF117:BF163)),  2)</f>
        <v>22713.040000000001</v>
      </c>
      <c r="G34" s="521"/>
      <c r="H34" s="521"/>
      <c r="I34" s="535">
        <v>0.2</v>
      </c>
      <c r="J34" s="398">
        <f>ROUND(((SUM(BF117:BF163))*I34),  2)</f>
        <v>4542.6099999999997</v>
      </c>
      <c r="L34" s="24"/>
      <c r="W34" s="158"/>
      <c r="X34" s="680"/>
      <c r="Y34" s="680"/>
      <c r="Z34" s="679" t="s">
        <v>32</v>
      </c>
      <c r="AA34" s="545">
        <f>AE30</f>
        <v>15267.78</v>
      </c>
      <c r="AB34" s="680"/>
      <c r="AC34" s="680"/>
      <c r="AD34" s="546">
        <v>0.2</v>
      </c>
      <c r="AE34" s="547">
        <f>AA34*0.2</f>
        <v>3053.5560000000005</v>
      </c>
    </row>
    <row r="35" spans="2:31" s="1" customFormat="1" ht="14.55" hidden="1" customHeight="1" x14ac:dyDescent="0.2">
      <c r="B35" s="24"/>
      <c r="E35" s="21" t="s">
        <v>33</v>
      </c>
      <c r="F35" s="78">
        <f>ROUND((SUM(BG117:BG163)),  2)</f>
        <v>0</v>
      </c>
      <c r="I35" s="79">
        <v>0.2</v>
      </c>
      <c r="J35" s="78">
        <f>0</f>
        <v>0</v>
      </c>
      <c r="L35" s="24"/>
      <c r="W35" s="158"/>
      <c r="X35" s="680"/>
      <c r="Y35" s="680"/>
      <c r="Z35" s="681" t="s">
        <v>33</v>
      </c>
      <c r="AA35" s="170">
        <f>ROUND((SUM(CB117:CB163)),  2)</f>
        <v>0</v>
      </c>
      <c r="AB35" s="680"/>
      <c r="AC35" s="680"/>
      <c r="AD35" s="171">
        <v>0.2</v>
      </c>
      <c r="AE35" s="172">
        <f>0</f>
        <v>0</v>
      </c>
    </row>
    <row r="36" spans="2:31" s="1" customFormat="1" ht="14.55" hidden="1" customHeight="1" x14ac:dyDescent="0.2">
      <c r="B36" s="24"/>
      <c r="E36" s="21" t="s">
        <v>34</v>
      </c>
      <c r="F36" s="78">
        <f>ROUND((SUM(BH117:BH163)),  2)</f>
        <v>0</v>
      </c>
      <c r="I36" s="79">
        <v>0.2</v>
      </c>
      <c r="J36" s="78">
        <f>0</f>
        <v>0</v>
      </c>
      <c r="L36" s="24"/>
      <c r="W36" s="158"/>
      <c r="X36" s="680"/>
      <c r="Y36" s="680"/>
      <c r="Z36" s="681" t="s">
        <v>34</v>
      </c>
      <c r="AA36" s="170">
        <f>ROUND((SUM(CC117:CC163)),  2)</f>
        <v>0</v>
      </c>
      <c r="AB36" s="680"/>
      <c r="AC36" s="680"/>
      <c r="AD36" s="171">
        <v>0.2</v>
      </c>
      <c r="AE36" s="172">
        <f>0</f>
        <v>0</v>
      </c>
    </row>
    <row r="37" spans="2:31" s="1" customFormat="1" ht="14.55" hidden="1" customHeight="1" x14ac:dyDescent="0.2">
      <c r="B37" s="24"/>
      <c r="E37" s="21" t="s">
        <v>35</v>
      </c>
      <c r="F37" s="78">
        <f>ROUND((SUM(BI117:BI163)),  2)</f>
        <v>0</v>
      </c>
      <c r="I37" s="79">
        <v>0</v>
      </c>
      <c r="J37" s="78">
        <f>0</f>
        <v>0</v>
      </c>
      <c r="L37" s="24"/>
      <c r="W37" s="158"/>
      <c r="X37" s="680"/>
      <c r="Y37" s="680"/>
      <c r="Z37" s="681" t="s">
        <v>35</v>
      </c>
      <c r="AA37" s="170">
        <f>ROUND((SUM(CD117:CD163)),  2)</f>
        <v>0</v>
      </c>
      <c r="AB37" s="680"/>
      <c r="AC37" s="680"/>
      <c r="AD37" s="171">
        <v>0</v>
      </c>
      <c r="AE37" s="172">
        <f>0</f>
        <v>0</v>
      </c>
    </row>
    <row r="38" spans="2:31" s="1" customFormat="1" ht="7.05" customHeight="1" x14ac:dyDescent="0.2">
      <c r="B38" s="24"/>
      <c r="L38" s="24"/>
      <c r="W38" s="158"/>
      <c r="X38" s="680"/>
      <c r="Y38" s="680"/>
      <c r="Z38" s="680"/>
      <c r="AA38" s="680"/>
      <c r="AB38" s="680"/>
      <c r="AC38" s="680"/>
      <c r="AD38" s="680"/>
      <c r="AE38" s="159"/>
    </row>
    <row r="39" spans="2:31" s="1" customFormat="1" ht="25.2" customHeight="1" x14ac:dyDescent="0.2">
      <c r="B39" s="24"/>
      <c r="C39" s="80"/>
      <c r="D39" s="81" t="s">
        <v>36</v>
      </c>
      <c r="E39" s="44"/>
      <c r="F39" s="44"/>
      <c r="G39" s="82" t="s">
        <v>37</v>
      </c>
      <c r="H39" s="83" t="s">
        <v>38</v>
      </c>
      <c r="I39" s="44"/>
      <c r="J39" s="84">
        <f>SUM(J30:J37)</f>
        <v>27255.65</v>
      </c>
      <c r="K39" s="85"/>
      <c r="L39" s="24"/>
      <c r="W39" s="158"/>
      <c r="X39" s="173"/>
      <c r="Y39" s="81" t="s">
        <v>36</v>
      </c>
      <c r="Z39" s="44"/>
      <c r="AA39" s="44"/>
      <c r="AB39" s="82" t="s">
        <v>37</v>
      </c>
      <c r="AC39" s="83" t="s">
        <v>38</v>
      </c>
      <c r="AD39" s="44"/>
      <c r="AE39" s="174">
        <f>SUM(AE30:AE37)</f>
        <v>18321.336000000003</v>
      </c>
    </row>
    <row r="40" spans="2:31" s="1" customFormat="1" ht="14.55" customHeight="1" x14ac:dyDescent="0.2">
      <c r="B40" s="24"/>
      <c r="L40" s="24"/>
      <c r="W40" s="158"/>
      <c r="X40" s="680"/>
      <c r="Y40" s="680"/>
      <c r="Z40" s="680"/>
      <c r="AA40" s="680"/>
      <c r="AB40" s="680"/>
      <c r="AC40" s="680"/>
      <c r="AD40" s="680"/>
      <c r="AE40" s="159"/>
    </row>
    <row r="41" spans="2:31" ht="14.55" customHeight="1" x14ac:dyDescent="0.2">
      <c r="B41" s="16"/>
      <c r="L41" s="16"/>
      <c r="W41" s="155"/>
      <c r="X41" s="156"/>
      <c r="Y41" s="156"/>
      <c r="Z41" s="156"/>
      <c r="AA41" s="156"/>
      <c r="AB41" s="156"/>
      <c r="AC41" s="156"/>
      <c r="AD41" s="156"/>
      <c r="AE41" s="157"/>
    </row>
    <row r="42" spans="2:31" ht="14.55" customHeight="1" x14ac:dyDescent="0.2">
      <c r="B42" s="16"/>
      <c r="L42" s="16"/>
      <c r="W42" s="155"/>
      <c r="X42" s="156"/>
      <c r="Y42" s="156"/>
      <c r="Z42" s="156"/>
      <c r="AA42" s="156"/>
      <c r="AB42" s="156"/>
      <c r="AC42" s="156"/>
      <c r="AD42" s="156"/>
      <c r="AE42" s="157"/>
    </row>
    <row r="43" spans="2:31" ht="14.55" customHeight="1" x14ac:dyDescent="0.2">
      <c r="B43" s="16"/>
      <c r="L43" s="16"/>
      <c r="W43" s="155"/>
      <c r="X43" s="156"/>
      <c r="Y43" s="156"/>
      <c r="Z43" s="156"/>
      <c r="AA43" s="156"/>
      <c r="AB43" s="156"/>
      <c r="AC43" s="156"/>
      <c r="AD43" s="156"/>
      <c r="AE43" s="157"/>
    </row>
    <row r="44" spans="2:31" ht="14.55" customHeight="1" x14ac:dyDescent="0.2">
      <c r="B44" s="16"/>
      <c r="L44" s="16"/>
      <c r="W44" s="155"/>
      <c r="X44" s="156"/>
      <c r="Y44" s="156"/>
      <c r="Z44" s="156"/>
      <c r="AA44" s="156"/>
      <c r="AB44" s="156"/>
      <c r="AC44" s="156"/>
      <c r="AD44" s="156"/>
      <c r="AE44" s="157"/>
    </row>
    <row r="45" spans="2:31" ht="14.55" customHeight="1" x14ac:dyDescent="0.2">
      <c r="B45" s="16"/>
      <c r="L45" s="16"/>
      <c r="W45" s="155"/>
      <c r="X45" s="156"/>
      <c r="Y45" s="156"/>
      <c r="Z45" s="156"/>
      <c r="AA45" s="156"/>
      <c r="AB45" s="156"/>
      <c r="AC45" s="156"/>
      <c r="AD45" s="156"/>
      <c r="AE45" s="157"/>
    </row>
    <row r="46" spans="2:31" ht="14.55" customHeight="1" x14ac:dyDescent="0.2">
      <c r="B46" s="16"/>
      <c r="L46" s="16"/>
      <c r="W46" s="155"/>
      <c r="X46" s="156"/>
      <c r="Y46" s="156"/>
      <c r="Z46" s="156"/>
      <c r="AA46" s="156"/>
      <c r="AB46" s="156"/>
      <c r="AC46" s="156"/>
      <c r="AD46" s="156"/>
      <c r="AE46" s="157"/>
    </row>
    <row r="47" spans="2:31" ht="14.55" customHeight="1" x14ac:dyDescent="0.2">
      <c r="B47" s="16"/>
      <c r="L47" s="16"/>
      <c r="W47" s="155"/>
      <c r="X47" s="156"/>
      <c r="Y47" s="156"/>
      <c r="Z47" s="156"/>
      <c r="AA47" s="156"/>
      <c r="AB47" s="156"/>
      <c r="AC47" s="156"/>
      <c r="AD47" s="156"/>
      <c r="AE47" s="157"/>
    </row>
    <row r="48" spans="2:31" ht="14.55" customHeight="1" x14ac:dyDescent="0.2">
      <c r="B48" s="16"/>
      <c r="L48" s="16"/>
      <c r="W48" s="155"/>
      <c r="X48" s="156"/>
      <c r="Y48" s="156"/>
      <c r="Z48" s="156"/>
      <c r="AA48" s="156"/>
      <c r="AB48" s="156"/>
      <c r="AC48" s="156"/>
      <c r="AD48" s="156"/>
      <c r="AE48" s="157"/>
    </row>
    <row r="49" spans="2:31" ht="14.55" customHeight="1" x14ac:dyDescent="0.2">
      <c r="B49" s="16"/>
      <c r="D49" s="156"/>
      <c r="E49" s="156"/>
      <c r="F49" s="156"/>
      <c r="G49" s="156"/>
      <c r="H49" s="156"/>
      <c r="I49" s="156"/>
      <c r="J49" s="156"/>
      <c r="L49" s="16"/>
      <c r="W49" s="155"/>
      <c r="X49" s="156"/>
      <c r="Y49" s="156"/>
      <c r="Z49" s="156"/>
      <c r="AA49" s="156"/>
      <c r="AB49" s="156"/>
      <c r="AC49" s="156"/>
      <c r="AD49" s="156"/>
      <c r="AE49" s="157"/>
    </row>
    <row r="50" spans="2:31" s="1" customFormat="1" ht="14.55" customHeight="1" x14ac:dyDescent="0.2">
      <c r="B50" s="24"/>
      <c r="D50" s="530"/>
      <c r="E50" s="523"/>
      <c r="F50" s="523"/>
      <c r="G50" s="530"/>
      <c r="H50" s="523"/>
      <c r="I50" s="523"/>
      <c r="J50" s="523"/>
      <c r="K50" s="32"/>
      <c r="L50" s="24"/>
      <c r="W50" s="158"/>
      <c r="X50" s="680"/>
      <c r="Y50" s="530"/>
      <c r="Z50" s="680"/>
      <c r="AA50" s="680"/>
      <c r="AB50" s="530"/>
      <c r="AC50" s="680"/>
      <c r="AD50" s="680"/>
      <c r="AE50" s="159"/>
    </row>
    <row r="51" spans="2:31" x14ac:dyDescent="0.2">
      <c r="B51" s="16"/>
      <c r="D51" s="156"/>
      <c r="E51" s="156"/>
      <c r="F51" s="156"/>
      <c r="G51" s="156"/>
      <c r="H51" s="156"/>
      <c r="I51" s="156"/>
      <c r="J51" s="156"/>
      <c r="L51" s="16"/>
      <c r="W51" s="155"/>
      <c r="X51" s="156"/>
      <c r="Y51" s="156"/>
      <c r="Z51" s="156"/>
      <c r="AA51" s="156"/>
      <c r="AB51" s="156"/>
      <c r="AC51" s="156"/>
      <c r="AD51" s="156"/>
      <c r="AE51" s="157"/>
    </row>
    <row r="52" spans="2:31" x14ac:dyDescent="0.2">
      <c r="B52" s="16"/>
      <c r="D52" s="156"/>
      <c r="E52" s="156"/>
      <c r="F52" s="156"/>
      <c r="G52" s="156"/>
      <c r="H52" s="156"/>
      <c r="I52" s="156"/>
      <c r="J52" s="156"/>
      <c r="L52" s="16"/>
      <c r="W52" s="155"/>
      <c r="X52" s="156"/>
      <c r="Y52" s="156"/>
      <c r="Z52" s="156"/>
      <c r="AA52" s="156"/>
      <c r="AB52" s="156"/>
      <c r="AC52" s="156"/>
      <c r="AD52" s="156"/>
      <c r="AE52" s="157"/>
    </row>
    <row r="53" spans="2:31" x14ac:dyDescent="0.2">
      <c r="B53" s="16"/>
      <c r="D53" s="156"/>
      <c r="E53" s="156"/>
      <c r="F53" s="156"/>
      <c r="G53" s="156"/>
      <c r="H53" s="156"/>
      <c r="I53" s="156"/>
      <c r="J53" s="156"/>
      <c r="L53" s="16"/>
      <c r="W53" s="155"/>
      <c r="X53" s="156"/>
      <c r="Y53" s="156"/>
      <c r="Z53" s="156"/>
      <c r="AA53" s="156"/>
      <c r="AB53" s="156"/>
      <c r="AC53" s="156"/>
      <c r="AD53" s="156"/>
      <c r="AE53" s="157"/>
    </row>
    <row r="54" spans="2:31" x14ac:dyDescent="0.2">
      <c r="B54" s="16"/>
      <c r="D54" s="156"/>
      <c r="E54" s="156"/>
      <c r="F54" s="156"/>
      <c r="G54" s="156"/>
      <c r="H54" s="156"/>
      <c r="I54" s="156"/>
      <c r="J54" s="156"/>
      <c r="L54" s="16"/>
      <c r="W54" s="155"/>
      <c r="X54" s="156"/>
      <c r="Y54" s="156"/>
      <c r="Z54" s="156"/>
      <c r="AA54" s="156"/>
      <c r="AB54" s="156"/>
      <c r="AC54" s="156"/>
      <c r="AD54" s="156"/>
      <c r="AE54" s="157"/>
    </row>
    <row r="55" spans="2:31" x14ac:dyDescent="0.2">
      <c r="B55" s="16"/>
      <c r="D55" s="156"/>
      <c r="E55" s="156"/>
      <c r="F55" s="156"/>
      <c r="G55" s="156"/>
      <c r="H55" s="156"/>
      <c r="I55" s="156"/>
      <c r="J55" s="156"/>
      <c r="L55" s="16"/>
      <c r="W55" s="155"/>
      <c r="X55" s="156"/>
      <c r="Y55" s="156"/>
      <c r="Z55" s="156"/>
      <c r="AA55" s="156"/>
      <c r="AB55" s="156"/>
      <c r="AC55" s="156"/>
      <c r="AD55" s="156"/>
      <c r="AE55" s="157"/>
    </row>
    <row r="56" spans="2:31" x14ac:dyDescent="0.2">
      <c r="B56" s="16"/>
      <c r="D56" s="156"/>
      <c r="E56" s="156"/>
      <c r="F56" s="156"/>
      <c r="G56" s="156"/>
      <c r="H56" s="156"/>
      <c r="I56" s="156"/>
      <c r="J56" s="156"/>
      <c r="L56" s="16"/>
      <c r="W56" s="155"/>
      <c r="X56" s="156"/>
      <c r="Y56" s="156"/>
      <c r="Z56" s="156"/>
      <c r="AA56" s="156"/>
      <c r="AB56" s="156"/>
      <c r="AC56" s="156"/>
      <c r="AD56" s="156"/>
      <c r="AE56" s="157"/>
    </row>
    <row r="57" spans="2:31" x14ac:dyDescent="0.2">
      <c r="B57" s="16"/>
      <c r="D57" s="156"/>
      <c r="E57" s="156"/>
      <c r="F57" s="156"/>
      <c r="G57" s="156"/>
      <c r="H57" s="156"/>
      <c r="I57" s="156"/>
      <c r="J57" s="156"/>
      <c r="L57" s="16"/>
      <c r="W57" s="155"/>
      <c r="X57" s="156"/>
      <c r="Y57" s="156"/>
      <c r="Z57" s="156"/>
      <c r="AA57" s="156"/>
      <c r="AB57" s="156"/>
      <c r="AC57" s="156"/>
      <c r="AD57" s="156"/>
      <c r="AE57" s="157"/>
    </row>
    <row r="58" spans="2:31" x14ac:dyDescent="0.2">
      <c r="B58" s="16"/>
      <c r="D58" s="156"/>
      <c r="E58" s="156"/>
      <c r="F58" s="156"/>
      <c r="G58" s="156"/>
      <c r="H58" s="156"/>
      <c r="I58" s="156"/>
      <c r="J58" s="156"/>
      <c r="L58" s="16"/>
      <c r="W58" s="155"/>
      <c r="X58" s="156"/>
      <c r="Y58" s="156"/>
      <c r="Z58" s="156"/>
      <c r="AA58" s="156"/>
      <c r="AB58" s="156"/>
      <c r="AC58" s="156"/>
      <c r="AD58" s="156"/>
      <c r="AE58" s="157"/>
    </row>
    <row r="59" spans="2:31" x14ac:dyDescent="0.2">
      <c r="B59" s="16"/>
      <c r="D59" s="156"/>
      <c r="E59" s="156"/>
      <c r="F59" s="156"/>
      <c r="G59" s="156"/>
      <c r="H59" s="156"/>
      <c r="I59" s="156"/>
      <c r="J59" s="156"/>
      <c r="L59" s="16"/>
      <c r="W59" s="155"/>
      <c r="X59" s="156"/>
      <c r="Y59" s="156"/>
      <c r="Z59" s="156"/>
      <c r="AA59" s="156"/>
      <c r="AB59" s="156"/>
      <c r="AC59" s="156"/>
      <c r="AD59" s="156"/>
      <c r="AE59" s="157"/>
    </row>
    <row r="60" spans="2:31" x14ac:dyDescent="0.2">
      <c r="B60" s="16"/>
      <c r="D60" s="156"/>
      <c r="E60" s="156"/>
      <c r="F60" s="156"/>
      <c r="G60" s="156"/>
      <c r="H60" s="156"/>
      <c r="I60" s="156"/>
      <c r="J60" s="156"/>
      <c r="L60" s="16"/>
      <c r="W60" s="155"/>
      <c r="X60" s="156"/>
      <c r="Y60" s="156"/>
      <c r="Z60" s="156"/>
      <c r="AA60" s="156"/>
      <c r="AB60" s="156"/>
      <c r="AC60" s="156"/>
      <c r="AD60" s="156"/>
      <c r="AE60" s="157"/>
    </row>
    <row r="61" spans="2:31" s="1" customFormat="1" ht="13.2" x14ac:dyDescent="0.2">
      <c r="B61" s="24"/>
      <c r="D61" s="522"/>
      <c r="E61" s="523"/>
      <c r="F61" s="536"/>
      <c r="G61" s="522"/>
      <c r="H61" s="523"/>
      <c r="I61" s="523"/>
      <c r="J61" s="169"/>
      <c r="K61" s="26"/>
      <c r="L61" s="24"/>
      <c r="W61" s="158"/>
      <c r="X61" s="680"/>
      <c r="Y61" s="681"/>
      <c r="Z61" s="680"/>
      <c r="AA61" s="536"/>
      <c r="AB61" s="681"/>
      <c r="AC61" s="680"/>
      <c r="AD61" s="680"/>
      <c r="AE61" s="577"/>
    </row>
    <row r="62" spans="2:31" x14ac:dyDescent="0.2">
      <c r="B62" s="16"/>
      <c r="D62" s="156"/>
      <c r="E62" s="156"/>
      <c r="F62" s="156"/>
      <c r="G62" s="156"/>
      <c r="H62" s="156"/>
      <c r="I62" s="156"/>
      <c r="J62" s="156"/>
      <c r="L62" s="16"/>
      <c r="W62" s="155"/>
      <c r="X62" s="156"/>
      <c r="Y62" s="156"/>
      <c r="Z62" s="156"/>
      <c r="AA62" s="156"/>
      <c r="AB62" s="156"/>
      <c r="AC62" s="156"/>
      <c r="AD62" s="156"/>
      <c r="AE62" s="157"/>
    </row>
    <row r="63" spans="2:31" x14ac:dyDescent="0.2">
      <c r="B63" s="16"/>
      <c r="D63" s="156"/>
      <c r="E63" s="156"/>
      <c r="F63" s="156"/>
      <c r="G63" s="156"/>
      <c r="H63" s="156"/>
      <c r="I63" s="156"/>
      <c r="J63" s="156"/>
      <c r="L63" s="16"/>
      <c r="W63" s="155"/>
      <c r="X63" s="156"/>
      <c r="Y63" s="156"/>
      <c r="Z63" s="156"/>
      <c r="AA63" s="156"/>
      <c r="AB63" s="156"/>
      <c r="AC63" s="156"/>
      <c r="AD63" s="156"/>
      <c r="AE63" s="157"/>
    </row>
    <row r="64" spans="2:31" x14ac:dyDescent="0.2">
      <c r="B64" s="16"/>
      <c r="D64" s="156"/>
      <c r="E64" s="156"/>
      <c r="F64" s="156"/>
      <c r="G64" s="156"/>
      <c r="H64" s="156"/>
      <c r="I64" s="156"/>
      <c r="J64" s="156"/>
      <c r="L64" s="16"/>
      <c r="W64" s="155"/>
      <c r="X64" s="156"/>
      <c r="Y64" s="156"/>
      <c r="Z64" s="156"/>
      <c r="AA64" s="156"/>
      <c r="AB64" s="156"/>
      <c r="AC64" s="156"/>
      <c r="AD64" s="156"/>
      <c r="AE64" s="157"/>
    </row>
    <row r="65" spans="2:31" s="1" customFormat="1" ht="13.2" x14ac:dyDescent="0.2">
      <c r="B65" s="24"/>
      <c r="D65" s="530"/>
      <c r="E65" s="523"/>
      <c r="F65" s="523"/>
      <c r="G65" s="530"/>
      <c r="H65" s="523"/>
      <c r="I65" s="523"/>
      <c r="J65" s="523"/>
      <c r="K65" s="32"/>
      <c r="L65" s="24"/>
      <c r="W65" s="158"/>
      <c r="X65" s="680"/>
      <c r="Y65" s="530"/>
      <c r="Z65" s="680"/>
      <c r="AA65" s="680"/>
      <c r="AB65" s="530"/>
      <c r="AC65" s="680"/>
      <c r="AD65" s="680"/>
      <c r="AE65" s="159"/>
    </row>
    <row r="66" spans="2:31" x14ac:dyDescent="0.2">
      <c r="B66" s="16"/>
      <c r="D66" s="156"/>
      <c r="E66" s="156"/>
      <c r="F66" s="156"/>
      <c r="G66" s="156"/>
      <c r="H66" s="156"/>
      <c r="I66" s="156"/>
      <c r="J66" s="156"/>
      <c r="L66" s="16"/>
      <c r="W66" s="155"/>
      <c r="X66" s="156"/>
      <c r="Y66" s="156"/>
      <c r="Z66" s="156"/>
      <c r="AA66" s="156"/>
      <c r="AB66" s="156"/>
      <c r="AC66" s="156"/>
      <c r="AD66" s="156"/>
      <c r="AE66" s="157"/>
    </row>
    <row r="67" spans="2:31" x14ac:dyDescent="0.2">
      <c r="B67" s="16"/>
      <c r="D67" s="156"/>
      <c r="E67" s="156"/>
      <c r="F67" s="156"/>
      <c r="G67" s="156"/>
      <c r="H67" s="156"/>
      <c r="I67" s="156"/>
      <c r="J67" s="156"/>
      <c r="L67" s="16"/>
      <c r="W67" s="155"/>
      <c r="X67" s="156"/>
      <c r="Y67" s="156"/>
      <c r="Z67" s="156"/>
      <c r="AA67" s="156"/>
      <c r="AB67" s="156"/>
      <c r="AC67" s="156"/>
      <c r="AD67" s="156"/>
      <c r="AE67" s="157"/>
    </row>
    <row r="68" spans="2:31" x14ac:dyDescent="0.2">
      <c r="B68" s="16"/>
      <c r="D68" s="156"/>
      <c r="E68" s="156"/>
      <c r="F68" s="156"/>
      <c r="G68" s="156"/>
      <c r="H68" s="156"/>
      <c r="I68" s="156"/>
      <c r="J68" s="156"/>
      <c r="L68" s="16"/>
      <c r="W68" s="155"/>
      <c r="X68" s="156"/>
      <c r="Y68" s="156"/>
      <c r="Z68" s="156"/>
      <c r="AA68" s="156"/>
      <c r="AB68" s="156"/>
      <c r="AC68" s="156"/>
      <c r="AD68" s="156"/>
      <c r="AE68" s="157"/>
    </row>
    <row r="69" spans="2:31" x14ac:dyDescent="0.2">
      <c r="B69" s="16"/>
      <c r="D69" s="156"/>
      <c r="E69" s="156"/>
      <c r="F69" s="156"/>
      <c r="G69" s="156"/>
      <c r="H69" s="156"/>
      <c r="I69" s="156"/>
      <c r="J69" s="156"/>
      <c r="L69" s="16"/>
      <c r="W69" s="155"/>
      <c r="X69" s="156"/>
      <c r="Y69" s="156"/>
      <c r="Z69" s="156"/>
      <c r="AA69" s="156"/>
      <c r="AB69" s="156"/>
      <c r="AC69" s="156"/>
      <c r="AD69" s="156"/>
      <c r="AE69" s="157"/>
    </row>
    <row r="70" spans="2:31" x14ac:dyDescent="0.2">
      <c r="B70" s="16"/>
      <c r="D70" s="156"/>
      <c r="E70" s="156"/>
      <c r="F70" s="156"/>
      <c r="G70" s="156"/>
      <c r="H70" s="156"/>
      <c r="I70" s="156"/>
      <c r="J70" s="156"/>
      <c r="L70" s="16"/>
      <c r="W70" s="155"/>
      <c r="X70" s="156"/>
      <c r="Y70" s="156"/>
      <c r="Z70" s="156"/>
      <c r="AA70" s="156"/>
      <c r="AB70" s="156"/>
      <c r="AC70" s="156"/>
      <c r="AD70" s="156"/>
      <c r="AE70" s="157"/>
    </row>
    <row r="71" spans="2:31" x14ac:dyDescent="0.2">
      <c r="B71" s="16"/>
      <c r="D71" s="156"/>
      <c r="E71" s="156"/>
      <c r="F71" s="156"/>
      <c r="G71" s="156"/>
      <c r="H71" s="156"/>
      <c r="I71" s="156"/>
      <c r="J71" s="156"/>
      <c r="L71" s="16"/>
      <c r="W71" s="155"/>
      <c r="X71" s="156"/>
      <c r="Y71" s="156"/>
      <c r="Z71" s="156"/>
      <c r="AA71" s="156"/>
      <c r="AB71" s="156"/>
      <c r="AC71" s="156"/>
      <c r="AD71" s="156"/>
      <c r="AE71" s="157"/>
    </row>
    <row r="72" spans="2:31" x14ac:dyDescent="0.2">
      <c r="B72" s="16"/>
      <c r="D72" s="156"/>
      <c r="E72" s="156"/>
      <c r="F72" s="156"/>
      <c r="G72" s="156"/>
      <c r="H72" s="156"/>
      <c r="I72" s="156"/>
      <c r="J72" s="156"/>
      <c r="L72" s="16"/>
      <c r="W72" s="155"/>
      <c r="X72" s="156"/>
      <c r="Y72" s="156"/>
      <c r="Z72" s="156"/>
      <c r="AA72" s="156"/>
      <c r="AB72" s="156"/>
      <c r="AC72" s="156"/>
      <c r="AD72" s="156"/>
      <c r="AE72" s="157"/>
    </row>
    <row r="73" spans="2:31" x14ac:dyDescent="0.2">
      <c r="B73" s="16"/>
      <c r="D73" s="156"/>
      <c r="E73" s="156"/>
      <c r="F73" s="156"/>
      <c r="G73" s="156"/>
      <c r="H73" s="156"/>
      <c r="I73" s="156"/>
      <c r="J73" s="156"/>
      <c r="L73" s="16"/>
      <c r="W73" s="155"/>
      <c r="X73" s="156"/>
      <c r="Y73" s="156"/>
      <c r="Z73" s="156"/>
      <c r="AA73" s="156"/>
      <c r="AB73" s="156"/>
      <c r="AC73" s="156"/>
      <c r="AD73" s="156"/>
      <c r="AE73" s="157"/>
    </row>
    <row r="74" spans="2:31" x14ac:dyDescent="0.2">
      <c r="B74" s="16"/>
      <c r="D74" s="156"/>
      <c r="E74" s="156"/>
      <c r="F74" s="156"/>
      <c r="G74" s="156"/>
      <c r="H74" s="156"/>
      <c r="I74" s="156"/>
      <c r="J74" s="156"/>
      <c r="L74" s="16"/>
      <c r="W74" s="155"/>
      <c r="X74" s="156"/>
      <c r="Y74" s="156"/>
      <c r="Z74" s="156"/>
      <c r="AA74" s="156"/>
      <c r="AB74" s="156"/>
      <c r="AC74" s="156"/>
      <c r="AD74" s="156"/>
      <c r="AE74" s="157"/>
    </row>
    <row r="75" spans="2:31" x14ac:dyDescent="0.2">
      <c r="B75" s="16"/>
      <c r="D75" s="156"/>
      <c r="E75" s="156"/>
      <c r="F75" s="156"/>
      <c r="G75" s="156"/>
      <c r="H75" s="156"/>
      <c r="I75" s="156"/>
      <c r="J75" s="156"/>
      <c r="L75" s="16"/>
      <c r="W75" s="155"/>
      <c r="X75" s="156"/>
      <c r="Y75" s="156"/>
      <c r="Z75" s="156"/>
      <c r="AA75" s="156"/>
      <c r="AB75" s="156"/>
      <c r="AC75" s="156"/>
      <c r="AD75" s="156"/>
      <c r="AE75" s="157"/>
    </row>
    <row r="76" spans="2:31" s="1" customFormat="1" ht="13.2" x14ac:dyDescent="0.2">
      <c r="B76" s="24"/>
      <c r="D76" s="522"/>
      <c r="E76" s="523"/>
      <c r="F76" s="536"/>
      <c r="G76" s="522"/>
      <c r="H76" s="523"/>
      <c r="I76" s="523"/>
      <c r="J76" s="169"/>
      <c r="K76" s="26"/>
      <c r="L76" s="24"/>
      <c r="W76" s="158"/>
      <c r="X76" s="680"/>
      <c r="Y76" s="681"/>
      <c r="Z76" s="680"/>
      <c r="AA76" s="536"/>
      <c r="AB76" s="681"/>
      <c r="AC76" s="680"/>
      <c r="AD76" s="680"/>
      <c r="AE76" s="577"/>
    </row>
    <row r="77" spans="2:31" s="1" customFormat="1" ht="14.55" customHeight="1" x14ac:dyDescent="0.2">
      <c r="B77" s="33"/>
      <c r="C77" s="34"/>
      <c r="D77" s="34"/>
      <c r="E77" s="34"/>
      <c r="F77" s="34"/>
      <c r="G77" s="34"/>
      <c r="H77" s="34"/>
      <c r="I77" s="34"/>
      <c r="J77" s="34"/>
      <c r="K77" s="34"/>
      <c r="L77" s="24"/>
      <c r="W77" s="175"/>
      <c r="X77" s="176"/>
      <c r="Y77" s="176"/>
      <c r="Z77" s="176"/>
      <c r="AA77" s="176"/>
      <c r="AB77" s="176"/>
      <c r="AC77" s="176"/>
      <c r="AD77" s="176"/>
      <c r="AE77" s="177"/>
    </row>
    <row r="81" spans="2:47" s="1" customFormat="1" ht="7.05" customHeight="1" x14ac:dyDescent="0.2">
      <c r="B81" s="35"/>
      <c r="C81" s="36"/>
      <c r="D81" s="36"/>
      <c r="E81" s="36"/>
      <c r="F81" s="36"/>
      <c r="G81" s="36"/>
      <c r="H81" s="36"/>
      <c r="I81" s="36"/>
      <c r="J81" s="36"/>
      <c r="K81" s="36"/>
      <c r="L81" s="24"/>
      <c r="W81" s="178"/>
      <c r="X81" s="179"/>
      <c r="Y81" s="179"/>
      <c r="Z81" s="179"/>
      <c r="AA81" s="179"/>
      <c r="AB81" s="179"/>
      <c r="AC81" s="179"/>
      <c r="AD81" s="179"/>
      <c r="AE81" s="180"/>
    </row>
    <row r="82" spans="2:47" s="1" customFormat="1" ht="25.05" customHeight="1" x14ac:dyDescent="0.2">
      <c r="B82" s="24"/>
      <c r="C82" s="1165" t="s">
        <v>188</v>
      </c>
      <c r="D82" s="1165"/>
      <c r="E82" s="1165"/>
      <c r="F82" s="1165"/>
      <c r="G82" s="1165"/>
      <c r="H82" s="1165"/>
      <c r="I82" s="1165"/>
      <c r="J82" s="1165"/>
      <c r="L82" s="24"/>
      <c r="W82" s="158"/>
      <c r="X82" s="1237" t="s">
        <v>188</v>
      </c>
      <c r="Y82" s="1237"/>
      <c r="Z82" s="1237"/>
      <c r="AA82" s="1237"/>
      <c r="AB82" s="1237"/>
      <c r="AC82" s="1237"/>
      <c r="AD82" s="1237"/>
      <c r="AE82" s="1238"/>
    </row>
    <row r="83" spans="2:47" s="1" customFormat="1" ht="7.05" customHeight="1" x14ac:dyDescent="0.2">
      <c r="B83" s="24"/>
      <c r="L83" s="24"/>
      <c r="W83" s="158"/>
      <c r="X83" s="680"/>
      <c r="Y83" s="680"/>
      <c r="Z83" s="680"/>
      <c r="AA83" s="680"/>
      <c r="AB83" s="680"/>
      <c r="AC83" s="680"/>
      <c r="AD83" s="680"/>
      <c r="AE83" s="159"/>
    </row>
    <row r="84" spans="2:47" s="1" customFormat="1" ht="12" customHeight="1" x14ac:dyDescent="0.2">
      <c r="B84" s="24"/>
      <c r="C84" s="528" t="s">
        <v>12</v>
      </c>
      <c r="E84" s="1242" t="s">
        <v>6177</v>
      </c>
      <c r="F84" s="1242"/>
      <c r="G84" s="1242"/>
      <c r="H84" s="1242"/>
      <c r="I84" s="1242"/>
      <c r="J84" s="1242"/>
      <c r="L84" s="24"/>
      <c r="W84" s="158"/>
      <c r="X84" s="679" t="s">
        <v>12</v>
      </c>
      <c r="Y84" s="680"/>
      <c r="Z84" s="1163" t="s">
        <v>6177</v>
      </c>
      <c r="AA84" s="1163"/>
      <c r="AB84" s="1163"/>
      <c r="AC84" s="1163"/>
      <c r="AD84" s="1163"/>
      <c r="AE84" s="1241"/>
    </row>
    <row r="85" spans="2:47" s="1" customFormat="1" ht="22.95" customHeight="1" x14ac:dyDescent="0.2">
      <c r="B85" s="24"/>
      <c r="C85" s="521"/>
      <c r="E85" s="1243"/>
      <c r="F85" s="1244"/>
      <c r="G85" s="1244"/>
      <c r="H85" s="1244"/>
      <c r="L85" s="24"/>
      <c r="W85" s="158"/>
      <c r="X85" s="680"/>
      <c r="Y85" s="680"/>
      <c r="Z85" s="1249"/>
      <c r="AA85" s="1250"/>
      <c r="AB85" s="1250"/>
      <c r="AC85" s="1250"/>
      <c r="AD85" s="680"/>
      <c r="AE85" s="159"/>
    </row>
    <row r="86" spans="2:47" s="1" customFormat="1" ht="12" customHeight="1" x14ac:dyDescent="0.2">
      <c r="B86" s="24"/>
      <c r="C86" s="528" t="s">
        <v>186</v>
      </c>
      <c r="F86" s="532" t="s">
        <v>4549</v>
      </c>
      <c r="L86" s="24"/>
      <c r="W86" s="158"/>
      <c r="X86" s="679" t="s">
        <v>186</v>
      </c>
      <c r="Y86" s="680"/>
      <c r="Z86" s="680"/>
      <c r="AA86" s="555" t="s">
        <v>4549</v>
      </c>
      <c r="AB86" s="680"/>
      <c r="AC86" s="680"/>
      <c r="AD86" s="680"/>
      <c r="AE86" s="159"/>
    </row>
    <row r="87" spans="2:47" s="1" customFormat="1" ht="16.5" customHeight="1" x14ac:dyDescent="0.2">
      <c r="B87" s="24"/>
      <c r="C87" s="521"/>
      <c r="E87" s="1251"/>
      <c r="F87" s="1252"/>
      <c r="G87" s="1252"/>
      <c r="H87" s="1252"/>
      <c r="L87" s="24"/>
      <c r="W87" s="158"/>
      <c r="X87" s="680"/>
      <c r="Y87" s="680"/>
      <c r="Z87" s="1245"/>
      <c r="AA87" s="1246"/>
      <c r="AB87" s="1246"/>
      <c r="AC87" s="1246"/>
      <c r="AD87" s="680"/>
      <c r="AE87" s="159"/>
    </row>
    <row r="88" spans="2:47" s="1" customFormat="1" ht="7.05" customHeight="1" x14ac:dyDescent="0.2">
      <c r="B88" s="24"/>
      <c r="C88" s="521"/>
      <c r="L88" s="24"/>
      <c r="W88" s="158"/>
      <c r="X88" s="680"/>
      <c r="Y88" s="680"/>
      <c r="Z88" s="680"/>
      <c r="AA88" s="680"/>
      <c r="AB88" s="680"/>
      <c r="AC88" s="680"/>
      <c r="AD88" s="680"/>
      <c r="AE88" s="159"/>
    </row>
    <row r="89" spans="2:47" s="1" customFormat="1" ht="12" customHeight="1" x14ac:dyDescent="0.2">
      <c r="B89" s="24"/>
      <c r="C89" s="528" t="s">
        <v>15</v>
      </c>
      <c r="F89" s="19" t="str">
        <f>F12</f>
        <v>Kuzmányho nábrežie 28, 960 01 Zvolen</v>
      </c>
      <c r="I89" s="528" t="s">
        <v>17</v>
      </c>
      <c r="J89" s="39" t="str">
        <f>IF(J12="","",J12)</f>
        <v/>
      </c>
      <c r="L89" s="24"/>
      <c r="W89" s="158"/>
      <c r="X89" s="679" t="s">
        <v>15</v>
      </c>
      <c r="Y89" s="680"/>
      <c r="Z89" s="680"/>
      <c r="AA89" s="677" t="str">
        <f>AA12</f>
        <v>Kuzmányho nábrežie 28, 960 01 Zvolen</v>
      </c>
      <c r="AB89" s="680"/>
      <c r="AC89" s="680"/>
      <c r="AD89" s="679" t="s">
        <v>17</v>
      </c>
      <c r="AE89" s="162" t="str">
        <f>IF(AE12="","",AE12)</f>
        <v/>
      </c>
    </row>
    <row r="90" spans="2:47" s="1" customFormat="1" ht="7.05" customHeight="1" x14ac:dyDescent="0.2">
      <c r="B90" s="24"/>
      <c r="C90" s="521"/>
      <c r="I90" s="521"/>
      <c r="L90" s="24"/>
      <c r="W90" s="158"/>
      <c r="X90" s="680"/>
      <c r="Y90" s="680"/>
      <c r="Z90" s="680"/>
      <c r="AA90" s="680"/>
      <c r="AB90" s="680"/>
      <c r="AC90" s="680"/>
      <c r="AD90" s="680"/>
      <c r="AE90" s="159"/>
    </row>
    <row r="91" spans="2:47" s="1" customFormat="1" ht="15.3" customHeight="1" x14ac:dyDescent="0.2">
      <c r="B91" s="24"/>
      <c r="C91" s="528" t="s">
        <v>18</v>
      </c>
      <c r="F91" s="529" t="s">
        <v>6175</v>
      </c>
      <c r="I91" s="528" t="s">
        <v>22</v>
      </c>
      <c r="J91" s="22" t="str">
        <f>E21</f>
        <v xml:space="preserve"> </v>
      </c>
      <c r="L91" s="24"/>
      <c r="W91" s="158"/>
      <c r="X91" s="679" t="s">
        <v>18</v>
      </c>
      <c r="Y91" s="680"/>
      <c r="Z91" s="680"/>
      <c r="AA91" s="576" t="s">
        <v>6175</v>
      </c>
      <c r="AB91" s="680"/>
      <c r="AC91" s="680"/>
      <c r="AD91" s="679" t="s">
        <v>22</v>
      </c>
      <c r="AE91" s="181" t="str">
        <f>Z21</f>
        <v/>
      </c>
    </row>
    <row r="92" spans="2:47" s="1" customFormat="1" ht="15.3" customHeight="1" x14ac:dyDescent="0.2">
      <c r="B92" s="24"/>
      <c r="C92" s="528" t="s">
        <v>21</v>
      </c>
      <c r="F92" s="529" t="s">
        <v>5202</v>
      </c>
      <c r="I92" s="528" t="s">
        <v>24</v>
      </c>
      <c r="J92" s="22" t="str">
        <f>E24</f>
        <v xml:space="preserve"> </v>
      </c>
      <c r="L92" s="24"/>
      <c r="W92" s="158"/>
      <c r="X92" s="679" t="s">
        <v>21</v>
      </c>
      <c r="Y92" s="680"/>
      <c r="Z92" s="680"/>
      <c r="AA92" s="576" t="s">
        <v>5202</v>
      </c>
      <c r="AB92" s="680"/>
      <c r="AC92" s="680"/>
      <c r="AD92" s="679" t="s">
        <v>24</v>
      </c>
      <c r="AE92" s="181" t="str">
        <f>Z24</f>
        <v/>
      </c>
    </row>
    <row r="93" spans="2:47" s="1" customFormat="1" ht="10.199999999999999" customHeight="1" x14ac:dyDescent="0.2">
      <c r="B93" s="24"/>
      <c r="L93" s="24"/>
      <c r="W93" s="158"/>
      <c r="X93" s="680"/>
      <c r="Y93" s="680"/>
      <c r="Z93" s="680"/>
      <c r="AA93" s="680"/>
      <c r="AB93" s="680"/>
      <c r="AC93" s="680"/>
      <c r="AD93" s="680"/>
      <c r="AE93" s="159"/>
    </row>
    <row r="94" spans="2:47" s="1" customFormat="1" ht="29.25" customHeight="1" x14ac:dyDescent="0.2">
      <c r="B94" s="24"/>
      <c r="C94" s="86" t="s">
        <v>189</v>
      </c>
      <c r="D94" s="80"/>
      <c r="E94" s="80"/>
      <c r="F94" s="80"/>
      <c r="G94" s="80"/>
      <c r="H94" s="80"/>
      <c r="I94" s="80"/>
      <c r="J94" s="87" t="s">
        <v>190</v>
      </c>
      <c r="K94" s="80"/>
      <c r="L94" s="24"/>
      <c r="W94" s="158"/>
      <c r="X94" s="182" t="s">
        <v>189</v>
      </c>
      <c r="Y94" s="173"/>
      <c r="Z94" s="173"/>
      <c r="AA94" s="173"/>
      <c r="AB94" s="173"/>
      <c r="AC94" s="173"/>
      <c r="AD94" s="173"/>
      <c r="AE94" s="183" t="s">
        <v>190</v>
      </c>
    </row>
    <row r="95" spans="2:47" s="1" customFormat="1" ht="10.199999999999999" customHeight="1" x14ac:dyDescent="0.2">
      <c r="B95" s="24"/>
      <c r="L95" s="24"/>
      <c r="W95" s="158"/>
      <c r="X95" s="680"/>
      <c r="Y95" s="680"/>
      <c r="Z95" s="680"/>
      <c r="AA95" s="680"/>
      <c r="AB95" s="680"/>
      <c r="AC95" s="680"/>
      <c r="AD95" s="680"/>
      <c r="AE95" s="159"/>
    </row>
    <row r="96" spans="2:47" s="1" customFormat="1" ht="22.95" customHeight="1" x14ac:dyDescent="0.2">
      <c r="B96" s="24"/>
      <c r="C96" s="88" t="s">
        <v>191</v>
      </c>
      <c r="J96" s="53">
        <f>J117</f>
        <v>22713.040000000005</v>
      </c>
      <c r="L96" s="24"/>
      <c r="W96" s="158"/>
      <c r="X96" s="184" t="s">
        <v>191</v>
      </c>
      <c r="Y96" s="680"/>
      <c r="Z96" s="680"/>
      <c r="AA96" s="680"/>
      <c r="AB96" s="680"/>
      <c r="AC96" s="680"/>
      <c r="AD96" s="680"/>
      <c r="AE96" s="168">
        <f>AE117</f>
        <v>15267.779999999999</v>
      </c>
      <c r="AU96" s="13" t="s">
        <v>192</v>
      </c>
    </row>
    <row r="97" spans="2:31" s="8" customFormat="1" ht="25.05" customHeight="1" x14ac:dyDescent="0.2">
      <c r="B97" s="89"/>
      <c r="D97" s="90" t="s">
        <v>3799</v>
      </c>
      <c r="E97" s="91"/>
      <c r="F97" s="91"/>
      <c r="G97" s="91"/>
      <c r="H97" s="91"/>
      <c r="I97" s="91"/>
      <c r="J97" s="92">
        <f>J118</f>
        <v>22713.040000000005</v>
      </c>
      <c r="L97" s="89"/>
      <c r="W97" s="185"/>
      <c r="X97" s="186"/>
      <c r="Y97" s="90" t="s">
        <v>3799</v>
      </c>
      <c r="Z97" s="91"/>
      <c r="AA97" s="91"/>
      <c r="AB97" s="91"/>
      <c r="AC97" s="91"/>
      <c r="AD97" s="91"/>
      <c r="AE97" s="187">
        <f>AE118</f>
        <v>15267.779999999999</v>
      </c>
    </row>
    <row r="98" spans="2:31" s="1" customFormat="1" ht="21.75" customHeight="1" x14ac:dyDescent="0.2">
      <c r="B98" s="24"/>
      <c r="L98" s="24"/>
      <c r="W98" s="158"/>
      <c r="X98" s="680"/>
      <c r="Y98" s="680"/>
      <c r="Z98" s="680"/>
      <c r="AA98" s="680"/>
      <c r="AB98" s="680"/>
      <c r="AC98" s="680"/>
      <c r="AD98" s="680"/>
      <c r="AE98" s="159"/>
    </row>
    <row r="99" spans="2:31" s="1" customFormat="1" ht="7.05" customHeight="1" x14ac:dyDescent="0.2">
      <c r="B99" s="33"/>
      <c r="C99" s="34"/>
      <c r="D99" s="34"/>
      <c r="E99" s="34"/>
      <c r="F99" s="34"/>
      <c r="G99" s="34"/>
      <c r="H99" s="34"/>
      <c r="I99" s="34"/>
      <c r="J99" s="34"/>
      <c r="K99" s="34"/>
      <c r="L99" s="24"/>
      <c r="W99" s="175"/>
      <c r="X99" s="176"/>
      <c r="Y99" s="176"/>
      <c r="Z99" s="176"/>
      <c r="AA99" s="176"/>
      <c r="AB99" s="176"/>
      <c r="AC99" s="176"/>
      <c r="AD99" s="176"/>
      <c r="AE99" s="177"/>
    </row>
    <row r="103" spans="2:31" s="1" customFormat="1" ht="7.05" customHeight="1" x14ac:dyDescent="0.2">
      <c r="B103" s="35"/>
      <c r="C103" s="36"/>
      <c r="D103" s="36"/>
      <c r="E103" s="36"/>
      <c r="F103" s="36"/>
      <c r="G103" s="36"/>
      <c r="H103" s="36"/>
      <c r="I103" s="36"/>
      <c r="J103" s="36"/>
      <c r="K103" s="36"/>
      <c r="L103" s="24"/>
      <c r="W103" s="178"/>
      <c r="X103" s="179"/>
      <c r="Y103" s="179"/>
      <c r="Z103" s="179"/>
      <c r="AA103" s="179"/>
      <c r="AB103" s="179"/>
      <c r="AC103" s="179"/>
      <c r="AD103" s="179"/>
      <c r="AE103" s="180"/>
    </row>
    <row r="104" spans="2:31" s="1" customFormat="1" ht="25.05" customHeight="1" x14ac:dyDescent="0.2">
      <c r="B104" s="1256" t="s">
        <v>214</v>
      </c>
      <c r="C104" s="1165"/>
      <c r="D104" s="1165"/>
      <c r="E104" s="1165"/>
      <c r="F104" s="1165"/>
      <c r="G104" s="1165"/>
      <c r="H104" s="1165"/>
      <c r="I104" s="1165"/>
      <c r="J104" s="1165"/>
      <c r="L104" s="24"/>
      <c r="W104" s="1255" t="s">
        <v>214</v>
      </c>
      <c r="X104" s="1237"/>
      <c r="Y104" s="1237"/>
      <c r="Z104" s="1237"/>
      <c r="AA104" s="1237"/>
      <c r="AB104" s="1237"/>
      <c r="AC104" s="1237"/>
      <c r="AD104" s="1237"/>
      <c r="AE104" s="1238"/>
    </row>
    <row r="105" spans="2:31" s="1" customFormat="1" ht="7.05" customHeight="1" x14ac:dyDescent="0.2">
      <c r="B105" s="24"/>
      <c r="L105" s="24"/>
      <c r="W105" s="158"/>
      <c r="X105" s="680"/>
      <c r="Y105" s="680"/>
      <c r="Z105" s="680"/>
      <c r="AA105" s="680"/>
      <c r="AB105" s="680"/>
      <c r="AC105" s="680"/>
      <c r="AD105" s="680"/>
      <c r="AE105" s="159"/>
    </row>
    <row r="106" spans="2:31" s="1" customFormat="1" ht="12" customHeight="1" x14ac:dyDescent="0.2">
      <c r="B106" s="24"/>
      <c r="C106" s="528" t="s">
        <v>12</v>
      </c>
      <c r="E106" s="1242" t="s">
        <v>6177</v>
      </c>
      <c r="F106" s="1242"/>
      <c r="G106" s="1242"/>
      <c r="H106" s="1242"/>
      <c r="I106" s="1242"/>
      <c r="J106" s="1242"/>
      <c r="L106" s="24"/>
      <c r="W106" s="158"/>
      <c r="X106" s="679" t="s">
        <v>12</v>
      </c>
      <c r="Y106" s="680"/>
      <c r="Z106" s="1163" t="s">
        <v>6177</v>
      </c>
      <c r="AA106" s="1163"/>
      <c r="AB106" s="1163"/>
      <c r="AC106" s="1163"/>
      <c r="AD106" s="1163"/>
      <c r="AE106" s="1241"/>
    </row>
    <row r="107" spans="2:31" s="1" customFormat="1" ht="25.2" customHeight="1" x14ac:dyDescent="0.2">
      <c r="B107" s="24"/>
      <c r="C107" s="521"/>
      <c r="E107" s="1243"/>
      <c r="F107" s="1244"/>
      <c r="G107" s="1244"/>
      <c r="H107" s="1244"/>
      <c r="L107" s="24"/>
      <c r="W107" s="158"/>
      <c r="X107" s="680"/>
      <c r="Y107" s="680"/>
      <c r="Z107" s="1249"/>
      <c r="AA107" s="1250"/>
      <c r="AB107" s="1250"/>
      <c r="AC107" s="1250"/>
      <c r="AD107" s="680"/>
      <c r="AE107" s="159"/>
    </row>
    <row r="108" spans="2:31" s="1" customFormat="1" ht="12" customHeight="1" x14ac:dyDescent="0.2">
      <c r="B108" s="24"/>
      <c r="C108" s="528" t="s">
        <v>186</v>
      </c>
      <c r="F108" s="532" t="s">
        <v>4549</v>
      </c>
      <c r="L108" s="24"/>
      <c r="W108" s="158"/>
      <c r="X108" s="679" t="s">
        <v>186</v>
      </c>
      <c r="Y108" s="680"/>
      <c r="Z108" s="680"/>
      <c r="AA108" s="555" t="s">
        <v>4549</v>
      </c>
      <c r="AB108" s="680"/>
      <c r="AC108" s="680"/>
      <c r="AD108" s="680"/>
      <c r="AE108" s="159"/>
    </row>
    <row r="109" spans="2:31" s="1" customFormat="1" ht="16.5" customHeight="1" x14ac:dyDescent="0.2">
      <c r="B109" s="24"/>
      <c r="C109" s="521"/>
      <c r="E109" s="1251"/>
      <c r="F109" s="1252"/>
      <c r="G109" s="1252"/>
      <c r="H109" s="1252"/>
      <c r="L109" s="24"/>
      <c r="W109" s="158"/>
      <c r="X109" s="680"/>
      <c r="Y109" s="680"/>
      <c r="Z109" s="1245"/>
      <c r="AA109" s="1246"/>
      <c r="AB109" s="1246"/>
      <c r="AC109" s="1246"/>
      <c r="AD109" s="680"/>
      <c r="AE109" s="159"/>
    </row>
    <row r="110" spans="2:31" s="1" customFormat="1" ht="7.05" customHeight="1" x14ac:dyDescent="0.2">
      <c r="B110" s="24"/>
      <c r="C110" s="521"/>
      <c r="L110" s="24"/>
      <c r="W110" s="158"/>
      <c r="X110" s="680"/>
      <c r="Y110" s="680"/>
      <c r="Z110" s="680"/>
      <c r="AA110" s="680"/>
      <c r="AB110" s="680"/>
      <c r="AC110" s="680"/>
      <c r="AD110" s="680"/>
      <c r="AE110" s="159"/>
    </row>
    <row r="111" spans="2:31" s="1" customFormat="1" ht="12" customHeight="1" x14ac:dyDescent="0.2">
      <c r="B111" s="24"/>
      <c r="C111" s="528" t="s">
        <v>15</v>
      </c>
      <c r="F111" s="19" t="str">
        <f>F12</f>
        <v>Kuzmányho nábrežie 28, 960 01 Zvolen</v>
      </c>
      <c r="I111" s="528" t="s">
        <v>17</v>
      </c>
      <c r="J111" s="39" t="str">
        <f>IF(J12="","",J12)</f>
        <v/>
      </c>
      <c r="L111" s="24"/>
      <c r="W111" s="158"/>
      <c r="X111" s="679" t="s">
        <v>15</v>
      </c>
      <c r="Y111" s="680"/>
      <c r="Z111" s="680"/>
      <c r="AA111" s="677" t="str">
        <f>AA12</f>
        <v>Kuzmányho nábrežie 28, 960 01 Zvolen</v>
      </c>
      <c r="AB111" s="680"/>
      <c r="AC111" s="680"/>
      <c r="AD111" s="679" t="s">
        <v>17</v>
      </c>
      <c r="AE111" s="162" t="str">
        <f>IF(AE12="","",AE12)</f>
        <v/>
      </c>
    </row>
    <row r="112" spans="2:31" s="1" customFormat="1" ht="7.05" customHeight="1" x14ac:dyDescent="0.2">
      <c r="B112" s="24"/>
      <c r="C112" s="521"/>
      <c r="I112" s="521"/>
      <c r="L112" s="24"/>
      <c r="W112" s="158"/>
      <c r="X112" s="680"/>
      <c r="Y112" s="680"/>
      <c r="Z112" s="680"/>
      <c r="AA112" s="680"/>
      <c r="AB112" s="680"/>
      <c r="AC112" s="680"/>
      <c r="AD112" s="680"/>
      <c r="AE112" s="159"/>
    </row>
    <row r="113" spans="2:65" s="1" customFormat="1" ht="15.3" customHeight="1" x14ac:dyDescent="0.2">
      <c r="B113" s="24"/>
      <c r="C113" s="528" t="s">
        <v>18</v>
      </c>
      <c r="F113" s="529" t="s">
        <v>6175</v>
      </c>
      <c r="I113" s="528" t="s">
        <v>22</v>
      </c>
      <c r="J113" s="22" t="str">
        <f>E21</f>
        <v xml:space="preserve"> </v>
      </c>
      <c r="L113" s="24"/>
      <c r="W113" s="158"/>
      <c r="X113" s="679" t="s">
        <v>18</v>
      </c>
      <c r="Y113" s="680"/>
      <c r="Z113" s="680"/>
      <c r="AA113" s="576" t="s">
        <v>6175</v>
      </c>
      <c r="AB113" s="680"/>
      <c r="AC113" s="680"/>
      <c r="AD113" s="679" t="s">
        <v>22</v>
      </c>
      <c r="AE113" s="181" t="str">
        <f>Z21</f>
        <v/>
      </c>
    </row>
    <row r="114" spans="2:65" s="1" customFormat="1" ht="15.3" customHeight="1" x14ac:dyDescent="0.2">
      <c r="B114" s="24"/>
      <c r="C114" s="528" t="s">
        <v>21</v>
      </c>
      <c r="F114" s="529" t="s">
        <v>5202</v>
      </c>
      <c r="I114" s="520" t="s">
        <v>24</v>
      </c>
      <c r="J114" s="22" t="str">
        <f>E24</f>
        <v xml:space="preserve"> </v>
      </c>
      <c r="L114" s="24"/>
      <c r="W114" s="158"/>
      <c r="X114" s="679" t="s">
        <v>21</v>
      </c>
      <c r="Y114" s="680"/>
      <c r="Z114" s="680"/>
      <c r="AA114" s="576" t="s">
        <v>5202</v>
      </c>
      <c r="AB114" s="680"/>
      <c r="AC114" s="680"/>
      <c r="AD114" s="677" t="s">
        <v>24</v>
      </c>
      <c r="AE114" s="181" t="str">
        <f>Z24</f>
        <v/>
      </c>
    </row>
    <row r="115" spans="2:65" s="1" customFormat="1" ht="10.199999999999999" customHeight="1" x14ac:dyDescent="0.2">
      <c r="B115" s="24"/>
      <c r="L115" s="24"/>
      <c r="W115" s="158"/>
      <c r="X115" s="680"/>
      <c r="Y115" s="680"/>
      <c r="Z115" s="680"/>
      <c r="AA115" s="680"/>
      <c r="AB115" s="680"/>
      <c r="AC115" s="680"/>
      <c r="AD115" s="680"/>
      <c r="AE115" s="159"/>
    </row>
    <row r="116" spans="2:65" s="10" customFormat="1" ht="29.25" customHeight="1" x14ac:dyDescent="0.2">
      <c r="B116" s="97"/>
      <c r="C116" s="98" t="s">
        <v>215</v>
      </c>
      <c r="D116" s="99" t="s">
        <v>43</v>
      </c>
      <c r="E116" s="99" t="s">
        <v>41</v>
      </c>
      <c r="F116" s="99" t="s">
        <v>42</v>
      </c>
      <c r="G116" s="99" t="s">
        <v>216</v>
      </c>
      <c r="H116" s="99" t="s">
        <v>217</v>
      </c>
      <c r="I116" s="99" t="s">
        <v>218</v>
      </c>
      <c r="J116" s="100" t="s">
        <v>190</v>
      </c>
      <c r="K116" s="101" t="s">
        <v>219</v>
      </c>
      <c r="L116" s="97"/>
      <c r="M116" s="46" t="s">
        <v>1</v>
      </c>
      <c r="N116" s="47" t="s">
        <v>30</v>
      </c>
      <c r="O116" s="47" t="s">
        <v>220</v>
      </c>
      <c r="P116" s="47" t="s">
        <v>221</v>
      </c>
      <c r="Q116" s="47" t="s">
        <v>222</v>
      </c>
      <c r="R116" s="47" t="s">
        <v>223</v>
      </c>
      <c r="S116" s="47" t="s">
        <v>224</v>
      </c>
      <c r="T116" s="48" t="s">
        <v>225</v>
      </c>
      <c r="W116" s="191"/>
      <c r="X116" s="98" t="s">
        <v>215</v>
      </c>
      <c r="Y116" s="99" t="s">
        <v>43</v>
      </c>
      <c r="Z116" s="99" t="s">
        <v>41</v>
      </c>
      <c r="AA116" s="99" t="s">
        <v>42</v>
      </c>
      <c r="AB116" s="99" t="s">
        <v>216</v>
      </c>
      <c r="AC116" s="99" t="s">
        <v>217</v>
      </c>
      <c r="AD116" s="99" t="s">
        <v>218</v>
      </c>
      <c r="AE116" s="192" t="s">
        <v>190</v>
      </c>
      <c r="AF116" s="228" t="s">
        <v>5220</v>
      </c>
    </row>
    <row r="117" spans="2:65" s="1" customFormat="1" ht="22.95" customHeight="1" x14ac:dyDescent="0.3">
      <c r="B117" s="24"/>
      <c r="C117" s="51" t="s">
        <v>191</v>
      </c>
      <c r="J117" s="102">
        <f>BK117</f>
        <v>22713.040000000005</v>
      </c>
      <c r="L117" s="24"/>
      <c r="M117" s="49"/>
      <c r="N117" s="40"/>
      <c r="O117" s="40"/>
      <c r="P117" s="103">
        <f>P118</f>
        <v>0</v>
      </c>
      <c r="Q117" s="40"/>
      <c r="R117" s="103">
        <f>R118</f>
        <v>1.4949999999999998E-2</v>
      </c>
      <c r="S117" s="40"/>
      <c r="T117" s="104">
        <f>T118</f>
        <v>0</v>
      </c>
      <c r="W117" s="158"/>
      <c r="X117" s="193" t="s">
        <v>191</v>
      </c>
      <c r="Y117" s="680"/>
      <c r="Z117" s="680"/>
      <c r="AA117" s="680"/>
      <c r="AB117" s="680"/>
      <c r="AC117" s="680"/>
      <c r="AD117" s="680"/>
      <c r="AE117" s="194">
        <f>AE118</f>
        <v>15267.779999999999</v>
      </c>
      <c r="AT117" s="13" t="s">
        <v>57</v>
      </c>
      <c r="AU117" s="13" t="s">
        <v>192</v>
      </c>
      <c r="BK117" s="105">
        <f>BK118</f>
        <v>22713.040000000005</v>
      </c>
    </row>
    <row r="118" spans="2:65" s="11" customFormat="1" ht="25.95" customHeight="1" x14ac:dyDescent="0.25">
      <c r="B118" s="106"/>
      <c r="D118" s="107" t="s">
        <v>57</v>
      </c>
      <c r="E118" s="108" t="s">
        <v>1302</v>
      </c>
      <c r="F118" s="108" t="s">
        <v>3801</v>
      </c>
      <c r="J118" s="109">
        <f>BK118</f>
        <v>22713.040000000005</v>
      </c>
      <c r="L118" s="106"/>
      <c r="M118" s="110"/>
      <c r="N118" s="111"/>
      <c r="O118" s="111"/>
      <c r="P118" s="112">
        <f>SUM(P119:P163)</f>
        <v>0</v>
      </c>
      <c r="Q118" s="111"/>
      <c r="R118" s="112">
        <f>SUM(R119:R163)</f>
        <v>1.4949999999999998E-2</v>
      </c>
      <c r="S118" s="111"/>
      <c r="T118" s="113">
        <f>SUM(T119:T163)</f>
        <v>0</v>
      </c>
      <c r="W118" s="195"/>
      <c r="X118" s="111"/>
      <c r="Y118" s="196" t="s">
        <v>57</v>
      </c>
      <c r="Z118" s="197" t="s">
        <v>1302</v>
      </c>
      <c r="AA118" s="197" t="s">
        <v>3801</v>
      </c>
      <c r="AB118" s="111"/>
      <c r="AC118" s="111"/>
      <c r="AD118" s="111"/>
      <c r="AE118" s="198">
        <f>SUM(AE119:AE163)</f>
        <v>15267.779999999999</v>
      </c>
      <c r="AR118" s="107" t="s">
        <v>63</v>
      </c>
      <c r="AT118" s="114" t="s">
        <v>57</v>
      </c>
      <c r="AU118" s="114" t="s">
        <v>58</v>
      </c>
      <c r="AY118" s="107" t="s">
        <v>228</v>
      </c>
      <c r="BK118" s="115">
        <f>SUM(BK119:BK163)</f>
        <v>22713.040000000005</v>
      </c>
    </row>
    <row r="119" spans="2:65" s="1" customFormat="1" ht="24" customHeight="1" x14ac:dyDescent="0.2">
      <c r="B119" s="118"/>
      <c r="C119" s="205" t="s">
        <v>63</v>
      </c>
      <c r="D119" s="119" t="s">
        <v>231</v>
      </c>
      <c r="E119" s="120" t="s">
        <v>3806</v>
      </c>
      <c r="F119" s="121" t="s">
        <v>3807</v>
      </c>
      <c r="G119" s="122" t="s">
        <v>292</v>
      </c>
      <c r="H119" s="206">
        <v>118</v>
      </c>
      <c r="I119" s="124">
        <v>2</v>
      </c>
      <c r="J119" s="124">
        <f t="shared" ref="J119:J163" si="0">ROUND(I119*H119,2)</f>
        <v>236</v>
      </c>
      <c r="K119" s="121" t="s">
        <v>1</v>
      </c>
      <c r="L119" s="24"/>
      <c r="M119" s="125" t="s">
        <v>1</v>
      </c>
      <c r="N119" s="126" t="s">
        <v>32</v>
      </c>
      <c r="O119" s="127">
        <v>0</v>
      </c>
      <c r="P119" s="127">
        <f t="shared" ref="P119:P163" si="1">O119*H119</f>
        <v>0</v>
      </c>
      <c r="Q119" s="127">
        <v>0</v>
      </c>
      <c r="R119" s="127">
        <f t="shared" ref="R119:R163" si="2">Q119*H119</f>
        <v>0</v>
      </c>
      <c r="S119" s="127">
        <v>0</v>
      </c>
      <c r="T119" s="128">
        <f t="shared" ref="T119:T163" si="3">S119*H119</f>
        <v>0</v>
      </c>
      <c r="W119" s="199"/>
      <c r="X119" s="205" t="s">
        <v>63</v>
      </c>
      <c r="Y119" s="119" t="s">
        <v>231</v>
      </c>
      <c r="Z119" s="120" t="s">
        <v>3806</v>
      </c>
      <c r="AA119" s="121" t="s">
        <v>3807</v>
      </c>
      <c r="AB119" s="122" t="s">
        <v>292</v>
      </c>
      <c r="AC119" s="206">
        <f>118+20</f>
        <v>138</v>
      </c>
      <c r="AD119" s="124">
        <v>2</v>
      </c>
      <c r="AE119" s="200">
        <f t="shared" ref="AE119:AE163" si="4">ROUND(AD119*AC119,2)</f>
        <v>276</v>
      </c>
      <c r="AF119" s="227">
        <v>21</v>
      </c>
      <c r="AR119" s="129" t="s">
        <v>235</v>
      </c>
      <c r="AT119" s="129" t="s">
        <v>231</v>
      </c>
      <c r="AU119" s="129" t="s">
        <v>63</v>
      </c>
      <c r="AY119" s="13" t="s">
        <v>228</v>
      </c>
      <c r="BE119" s="130">
        <f t="shared" ref="BE119:BE163" si="5">IF(N119="základná",J119,0)</f>
        <v>0</v>
      </c>
      <c r="BF119" s="130">
        <f t="shared" ref="BF119:BF163" si="6">IF(N119="znížená",J119,0)</f>
        <v>236</v>
      </c>
      <c r="BG119" s="130">
        <f t="shared" ref="BG119:BG163" si="7">IF(N119="zákl. prenesená",J119,0)</f>
        <v>0</v>
      </c>
      <c r="BH119" s="130">
        <f t="shared" ref="BH119:BH163" si="8">IF(N119="zníž. prenesená",J119,0)</f>
        <v>0</v>
      </c>
      <c r="BI119" s="130">
        <f t="shared" ref="BI119:BI163" si="9">IF(N119="nulová",J119,0)</f>
        <v>0</v>
      </c>
      <c r="BJ119" s="13" t="s">
        <v>76</v>
      </c>
      <c r="BK119" s="130">
        <f t="shared" ref="BK119:BK163" si="10">ROUND(I119*H119,2)</f>
        <v>236</v>
      </c>
      <c r="BL119" s="13" t="s">
        <v>235</v>
      </c>
      <c r="BM119" s="129" t="s">
        <v>76</v>
      </c>
    </row>
    <row r="120" spans="2:65" s="1" customFormat="1" ht="16.5" customHeight="1" x14ac:dyDescent="0.2">
      <c r="B120" s="118"/>
      <c r="C120" s="242" t="s">
        <v>76</v>
      </c>
      <c r="D120" s="131" t="s">
        <v>277</v>
      </c>
      <c r="E120" s="132" t="s">
        <v>3808</v>
      </c>
      <c r="F120" s="133" t="s">
        <v>3809</v>
      </c>
      <c r="G120" s="134" t="s">
        <v>292</v>
      </c>
      <c r="H120" s="241">
        <v>118</v>
      </c>
      <c r="I120" s="136">
        <v>7.35</v>
      </c>
      <c r="J120" s="136">
        <f t="shared" si="0"/>
        <v>867.3</v>
      </c>
      <c r="K120" s="133" t="s">
        <v>1</v>
      </c>
      <c r="L120" s="137"/>
      <c r="M120" s="138" t="s">
        <v>1</v>
      </c>
      <c r="N120" s="139" t="s">
        <v>32</v>
      </c>
      <c r="O120" s="127">
        <v>0</v>
      </c>
      <c r="P120" s="127">
        <f t="shared" si="1"/>
        <v>0</v>
      </c>
      <c r="Q120" s="127">
        <v>0</v>
      </c>
      <c r="R120" s="127">
        <f t="shared" si="2"/>
        <v>0</v>
      </c>
      <c r="S120" s="127">
        <v>0</v>
      </c>
      <c r="T120" s="128">
        <f t="shared" si="3"/>
        <v>0</v>
      </c>
      <c r="W120" s="199"/>
      <c r="X120" s="242" t="s">
        <v>76</v>
      </c>
      <c r="Y120" s="131" t="s">
        <v>277</v>
      </c>
      <c r="Z120" s="132" t="s">
        <v>3808</v>
      </c>
      <c r="AA120" s="133" t="s">
        <v>3809</v>
      </c>
      <c r="AB120" s="134" t="s">
        <v>292</v>
      </c>
      <c r="AC120" s="241">
        <f>118+20</f>
        <v>138</v>
      </c>
      <c r="AD120" s="136">
        <v>7.35</v>
      </c>
      <c r="AE120" s="229">
        <f t="shared" si="4"/>
        <v>1014.3</v>
      </c>
      <c r="AF120" s="227">
        <v>21</v>
      </c>
      <c r="AR120" s="129" t="s">
        <v>244</v>
      </c>
      <c r="AT120" s="129" t="s">
        <v>277</v>
      </c>
      <c r="AU120" s="129" t="s">
        <v>63</v>
      </c>
      <c r="AY120" s="13" t="s">
        <v>228</v>
      </c>
      <c r="BE120" s="130">
        <f t="shared" si="5"/>
        <v>0</v>
      </c>
      <c r="BF120" s="130">
        <f t="shared" si="6"/>
        <v>867.3</v>
      </c>
      <c r="BG120" s="130">
        <f t="shared" si="7"/>
        <v>0</v>
      </c>
      <c r="BH120" s="130">
        <f t="shared" si="8"/>
        <v>0</v>
      </c>
      <c r="BI120" s="130">
        <f t="shared" si="9"/>
        <v>0</v>
      </c>
      <c r="BJ120" s="13" t="s">
        <v>76</v>
      </c>
      <c r="BK120" s="130">
        <f t="shared" si="10"/>
        <v>867.3</v>
      </c>
      <c r="BL120" s="13" t="s">
        <v>235</v>
      </c>
      <c r="BM120" s="129" t="s">
        <v>235</v>
      </c>
    </row>
    <row r="121" spans="2:65" s="1" customFormat="1" ht="24" customHeight="1" x14ac:dyDescent="0.2">
      <c r="B121" s="118"/>
      <c r="C121" s="205" t="s">
        <v>229</v>
      </c>
      <c r="D121" s="119" t="s">
        <v>231</v>
      </c>
      <c r="E121" s="120" t="s">
        <v>1771</v>
      </c>
      <c r="F121" s="121" t="s">
        <v>1772</v>
      </c>
      <c r="G121" s="122" t="s">
        <v>292</v>
      </c>
      <c r="H121" s="206">
        <v>25</v>
      </c>
      <c r="I121" s="124">
        <v>0.67</v>
      </c>
      <c r="J121" s="124">
        <f t="shared" si="0"/>
        <v>16.75</v>
      </c>
      <c r="K121" s="121" t="s">
        <v>1</v>
      </c>
      <c r="L121" s="24"/>
      <c r="M121" s="125" t="s">
        <v>1</v>
      </c>
      <c r="N121" s="126" t="s">
        <v>32</v>
      </c>
      <c r="O121" s="127">
        <v>0</v>
      </c>
      <c r="P121" s="127">
        <f t="shared" si="1"/>
        <v>0</v>
      </c>
      <c r="Q121" s="127">
        <v>0</v>
      </c>
      <c r="R121" s="127">
        <f t="shared" si="2"/>
        <v>0</v>
      </c>
      <c r="S121" s="127">
        <v>0</v>
      </c>
      <c r="T121" s="128">
        <f t="shared" si="3"/>
        <v>0</v>
      </c>
      <c r="W121" s="199"/>
      <c r="X121" s="205" t="s">
        <v>229</v>
      </c>
      <c r="Y121" s="119" t="s">
        <v>231</v>
      </c>
      <c r="Z121" s="120" t="s">
        <v>1771</v>
      </c>
      <c r="AA121" s="121" t="s">
        <v>1772</v>
      </c>
      <c r="AB121" s="122" t="s">
        <v>292</v>
      </c>
      <c r="AC121" s="206">
        <f>25+279.95</f>
        <v>304.95</v>
      </c>
      <c r="AD121" s="124">
        <v>0.67</v>
      </c>
      <c r="AE121" s="200">
        <f t="shared" si="4"/>
        <v>204.32</v>
      </c>
      <c r="AF121" s="1152">
        <v>21</v>
      </c>
      <c r="AR121" s="129" t="s">
        <v>235</v>
      </c>
      <c r="AT121" s="129" t="s">
        <v>231</v>
      </c>
      <c r="AU121" s="129" t="s">
        <v>63</v>
      </c>
      <c r="AY121" s="13" t="s">
        <v>228</v>
      </c>
      <c r="BE121" s="130">
        <f t="shared" si="5"/>
        <v>0</v>
      </c>
      <c r="BF121" s="130">
        <f t="shared" si="6"/>
        <v>16.75</v>
      </c>
      <c r="BG121" s="130">
        <f t="shared" si="7"/>
        <v>0</v>
      </c>
      <c r="BH121" s="130">
        <f t="shared" si="8"/>
        <v>0</v>
      </c>
      <c r="BI121" s="130">
        <f t="shared" si="9"/>
        <v>0</v>
      </c>
      <c r="BJ121" s="13" t="s">
        <v>76</v>
      </c>
      <c r="BK121" s="130">
        <f t="shared" si="10"/>
        <v>16.75</v>
      </c>
      <c r="BL121" s="13" t="s">
        <v>235</v>
      </c>
      <c r="BM121" s="129" t="s">
        <v>240</v>
      </c>
    </row>
    <row r="122" spans="2:65" s="1" customFormat="1" ht="16.5" customHeight="1" x14ac:dyDescent="0.2">
      <c r="B122" s="118"/>
      <c r="C122" s="242" t="s">
        <v>235</v>
      </c>
      <c r="D122" s="131" t="s">
        <v>277</v>
      </c>
      <c r="E122" s="132" t="s">
        <v>1774</v>
      </c>
      <c r="F122" s="133" t="s">
        <v>1775</v>
      </c>
      <c r="G122" s="134" t="s">
        <v>292</v>
      </c>
      <c r="H122" s="241">
        <v>25</v>
      </c>
      <c r="I122" s="136">
        <v>0.85</v>
      </c>
      <c r="J122" s="136">
        <f t="shared" si="0"/>
        <v>21.25</v>
      </c>
      <c r="K122" s="133" t="s">
        <v>1</v>
      </c>
      <c r="L122" s="137"/>
      <c r="M122" s="138" t="s">
        <v>1</v>
      </c>
      <c r="N122" s="139" t="s">
        <v>32</v>
      </c>
      <c r="O122" s="127">
        <v>0</v>
      </c>
      <c r="P122" s="127">
        <f t="shared" si="1"/>
        <v>0</v>
      </c>
      <c r="Q122" s="127">
        <v>0</v>
      </c>
      <c r="R122" s="127">
        <f t="shared" si="2"/>
        <v>0</v>
      </c>
      <c r="S122" s="127">
        <v>0</v>
      </c>
      <c r="T122" s="128">
        <f t="shared" si="3"/>
        <v>0</v>
      </c>
      <c r="W122" s="199"/>
      <c r="X122" s="242" t="s">
        <v>235</v>
      </c>
      <c r="Y122" s="131" t="s">
        <v>277</v>
      </c>
      <c r="Z122" s="132" t="s">
        <v>1774</v>
      </c>
      <c r="AA122" s="133" t="s">
        <v>1775</v>
      </c>
      <c r="AB122" s="134" t="s">
        <v>292</v>
      </c>
      <c r="AC122" s="241">
        <f>25+279.95</f>
        <v>304.95</v>
      </c>
      <c r="AD122" s="136">
        <v>0.85</v>
      </c>
      <c r="AE122" s="229">
        <f t="shared" si="4"/>
        <v>259.20999999999998</v>
      </c>
      <c r="AF122" s="1152">
        <v>21</v>
      </c>
      <c r="AR122" s="129" t="s">
        <v>244</v>
      </c>
      <c r="AT122" s="129" t="s">
        <v>277</v>
      </c>
      <c r="AU122" s="129" t="s">
        <v>63</v>
      </c>
      <c r="AY122" s="13" t="s">
        <v>228</v>
      </c>
      <c r="BE122" s="130">
        <f t="shared" si="5"/>
        <v>0</v>
      </c>
      <c r="BF122" s="130">
        <f t="shared" si="6"/>
        <v>21.25</v>
      </c>
      <c r="BG122" s="130">
        <f t="shared" si="7"/>
        <v>0</v>
      </c>
      <c r="BH122" s="130">
        <f t="shared" si="8"/>
        <v>0</v>
      </c>
      <c r="BI122" s="130">
        <f t="shared" si="9"/>
        <v>0</v>
      </c>
      <c r="BJ122" s="13" t="s">
        <v>76</v>
      </c>
      <c r="BK122" s="130">
        <f t="shared" si="10"/>
        <v>21.25</v>
      </c>
      <c r="BL122" s="13" t="s">
        <v>235</v>
      </c>
      <c r="BM122" s="129" t="s">
        <v>244</v>
      </c>
    </row>
    <row r="123" spans="2:65" s="1" customFormat="1" ht="24" customHeight="1" x14ac:dyDescent="0.2">
      <c r="B123" s="118"/>
      <c r="C123" s="119" t="s">
        <v>245</v>
      </c>
      <c r="D123" s="119" t="s">
        <v>231</v>
      </c>
      <c r="E123" s="120" t="s">
        <v>1615</v>
      </c>
      <c r="F123" s="121" t="s">
        <v>1777</v>
      </c>
      <c r="G123" s="122" t="s">
        <v>292</v>
      </c>
      <c r="H123" s="123">
        <v>23</v>
      </c>
      <c r="I123" s="124">
        <v>1.24</v>
      </c>
      <c r="J123" s="124">
        <f t="shared" si="0"/>
        <v>28.52</v>
      </c>
      <c r="K123" s="121" t="s">
        <v>1</v>
      </c>
      <c r="L123" s="24"/>
      <c r="M123" s="125" t="s">
        <v>1</v>
      </c>
      <c r="N123" s="126" t="s">
        <v>32</v>
      </c>
      <c r="O123" s="127">
        <v>0</v>
      </c>
      <c r="P123" s="127">
        <f t="shared" si="1"/>
        <v>0</v>
      </c>
      <c r="Q123" s="127">
        <v>0</v>
      </c>
      <c r="R123" s="127">
        <f t="shared" si="2"/>
        <v>0</v>
      </c>
      <c r="S123" s="127">
        <v>0</v>
      </c>
      <c r="T123" s="128">
        <f t="shared" si="3"/>
        <v>0</v>
      </c>
      <c r="W123" s="199"/>
      <c r="X123" s="119" t="s">
        <v>245</v>
      </c>
      <c r="Y123" s="119" t="s">
        <v>231</v>
      </c>
      <c r="Z123" s="120" t="s">
        <v>1615</v>
      </c>
      <c r="AA123" s="121" t="s">
        <v>1777</v>
      </c>
      <c r="AB123" s="122" t="s">
        <v>292</v>
      </c>
      <c r="AC123" s="123">
        <v>23</v>
      </c>
      <c r="AD123" s="124">
        <v>1.24</v>
      </c>
      <c r="AE123" s="200">
        <f t="shared" si="4"/>
        <v>28.52</v>
      </c>
      <c r="AF123" s="227"/>
      <c r="AR123" s="129" t="s">
        <v>235</v>
      </c>
      <c r="AT123" s="129" t="s">
        <v>231</v>
      </c>
      <c r="AU123" s="129" t="s">
        <v>63</v>
      </c>
      <c r="AY123" s="13" t="s">
        <v>228</v>
      </c>
      <c r="BE123" s="130">
        <f t="shared" si="5"/>
        <v>0</v>
      </c>
      <c r="BF123" s="130">
        <f t="shared" si="6"/>
        <v>28.52</v>
      </c>
      <c r="BG123" s="130">
        <f t="shared" si="7"/>
        <v>0</v>
      </c>
      <c r="BH123" s="130">
        <f t="shared" si="8"/>
        <v>0</v>
      </c>
      <c r="BI123" s="130">
        <f t="shared" si="9"/>
        <v>0</v>
      </c>
      <c r="BJ123" s="13" t="s">
        <v>76</v>
      </c>
      <c r="BK123" s="130">
        <f t="shared" si="10"/>
        <v>28.52</v>
      </c>
      <c r="BL123" s="13" t="s">
        <v>235</v>
      </c>
      <c r="BM123" s="129" t="s">
        <v>248</v>
      </c>
    </row>
    <row r="124" spans="2:65" s="1" customFormat="1" ht="16.5" customHeight="1" x14ac:dyDescent="0.2">
      <c r="B124" s="118"/>
      <c r="C124" s="131" t="s">
        <v>240</v>
      </c>
      <c r="D124" s="131" t="s">
        <v>277</v>
      </c>
      <c r="E124" s="132" t="s">
        <v>1618</v>
      </c>
      <c r="F124" s="133" t="s">
        <v>1779</v>
      </c>
      <c r="G124" s="134" t="s">
        <v>292</v>
      </c>
      <c r="H124" s="135">
        <v>23</v>
      </c>
      <c r="I124" s="136">
        <v>1.49</v>
      </c>
      <c r="J124" s="136">
        <f t="shared" si="0"/>
        <v>34.270000000000003</v>
      </c>
      <c r="K124" s="133" t="s">
        <v>1</v>
      </c>
      <c r="L124" s="137"/>
      <c r="M124" s="138" t="s">
        <v>1</v>
      </c>
      <c r="N124" s="139" t="s">
        <v>32</v>
      </c>
      <c r="O124" s="127">
        <v>0</v>
      </c>
      <c r="P124" s="127">
        <f t="shared" si="1"/>
        <v>0</v>
      </c>
      <c r="Q124" s="127">
        <v>2.9999999999999997E-4</v>
      </c>
      <c r="R124" s="127">
        <f t="shared" si="2"/>
        <v>6.899999999999999E-3</v>
      </c>
      <c r="S124" s="127">
        <v>0</v>
      </c>
      <c r="T124" s="128">
        <f t="shared" si="3"/>
        <v>0</v>
      </c>
      <c r="W124" s="199"/>
      <c r="X124" s="131" t="s">
        <v>240</v>
      </c>
      <c r="Y124" s="131" t="s">
        <v>277</v>
      </c>
      <c r="Z124" s="132" t="s">
        <v>1618</v>
      </c>
      <c r="AA124" s="133" t="s">
        <v>1779</v>
      </c>
      <c r="AB124" s="134" t="s">
        <v>292</v>
      </c>
      <c r="AC124" s="135">
        <v>23</v>
      </c>
      <c r="AD124" s="136">
        <v>1.49</v>
      </c>
      <c r="AE124" s="229">
        <f t="shared" si="4"/>
        <v>34.270000000000003</v>
      </c>
      <c r="AF124" s="227"/>
      <c r="AR124" s="129" t="s">
        <v>244</v>
      </c>
      <c r="AT124" s="129" t="s">
        <v>277</v>
      </c>
      <c r="AU124" s="129" t="s">
        <v>63</v>
      </c>
      <c r="AY124" s="13" t="s">
        <v>228</v>
      </c>
      <c r="BE124" s="130">
        <f t="shared" si="5"/>
        <v>0</v>
      </c>
      <c r="BF124" s="130">
        <f t="shared" si="6"/>
        <v>34.270000000000003</v>
      </c>
      <c r="BG124" s="130">
        <f t="shared" si="7"/>
        <v>0</v>
      </c>
      <c r="BH124" s="130">
        <f t="shared" si="8"/>
        <v>0</v>
      </c>
      <c r="BI124" s="130">
        <f t="shared" si="9"/>
        <v>0</v>
      </c>
      <c r="BJ124" s="13" t="s">
        <v>76</v>
      </c>
      <c r="BK124" s="130">
        <f t="shared" si="10"/>
        <v>34.270000000000003</v>
      </c>
      <c r="BL124" s="13" t="s">
        <v>235</v>
      </c>
      <c r="BM124" s="129" t="s">
        <v>251</v>
      </c>
    </row>
    <row r="125" spans="2:65" s="1" customFormat="1" ht="24" customHeight="1" x14ac:dyDescent="0.2">
      <c r="B125" s="118"/>
      <c r="C125" s="119" t="s">
        <v>252</v>
      </c>
      <c r="D125" s="119" t="s">
        <v>231</v>
      </c>
      <c r="E125" s="120" t="s">
        <v>1627</v>
      </c>
      <c r="F125" s="121" t="s">
        <v>1781</v>
      </c>
      <c r="G125" s="122" t="s">
        <v>292</v>
      </c>
      <c r="H125" s="123">
        <v>23</v>
      </c>
      <c r="I125" s="124">
        <v>1.24</v>
      </c>
      <c r="J125" s="124">
        <f t="shared" si="0"/>
        <v>28.52</v>
      </c>
      <c r="K125" s="121" t="s">
        <v>1</v>
      </c>
      <c r="L125" s="24"/>
      <c r="M125" s="125" t="s">
        <v>1</v>
      </c>
      <c r="N125" s="126" t="s">
        <v>32</v>
      </c>
      <c r="O125" s="127">
        <v>0</v>
      </c>
      <c r="P125" s="127">
        <f t="shared" si="1"/>
        <v>0</v>
      </c>
      <c r="Q125" s="127">
        <v>0</v>
      </c>
      <c r="R125" s="127">
        <f t="shared" si="2"/>
        <v>0</v>
      </c>
      <c r="S125" s="127">
        <v>0</v>
      </c>
      <c r="T125" s="128">
        <f t="shared" si="3"/>
        <v>0</v>
      </c>
      <c r="W125" s="199"/>
      <c r="X125" s="119" t="s">
        <v>252</v>
      </c>
      <c r="Y125" s="119" t="s">
        <v>231</v>
      </c>
      <c r="Z125" s="120" t="s">
        <v>1627</v>
      </c>
      <c r="AA125" s="121" t="s">
        <v>1781</v>
      </c>
      <c r="AB125" s="122" t="s">
        <v>292</v>
      </c>
      <c r="AC125" s="123">
        <v>23</v>
      </c>
      <c r="AD125" s="124">
        <v>1.24</v>
      </c>
      <c r="AE125" s="200">
        <f t="shared" si="4"/>
        <v>28.52</v>
      </c>
      <c r="AF125" s="227"/>
      <c r="AR125" s="129" t="s">
        <v>235</v>
      </c>
      <c r="AT125" s="129" t="s">
        <v>231</v>
      </c>
      <c r="AU125" s="129" t="s">
        <v>63</v>
      </c>
      <c r="AY125" s="13" t="s">
        <v>228</v>
      </c>
      <c r="BE125" s="130">
        <f t="shared" si="5"/>
        <v>0</v>
      </c>
      <c r="BF125" s="130">
        <f t="shared" si="6"/>
        <v>28.52</v>
      </c>
      <c r="BG125" s="130">
        <f t="shared" si="7"/>
        <v>0</v>
      </c>
      <c r="BH125" s="130">
        <f t="shared" si="8"/>
        <v>0</v>
      </c>
      <c r="BI125" s="130">
        <f t="shared" si="9"/>
        <v>0</v>
      </c>
      <c r="BJ125" s="13" t="s">
        <v>76</v>
      </c>
      <c r="BK125" s="130">
        <f t="shared" si="10"/>
        <v>28.52</v>
      </c>
      <c r="BL125" s="13" t="s">
        <v>235</v>
      </c>
      <c r="BM125" s="129" t="s">
        <v>255</v>
      </c>
    </row>
    <row r="126" spans="2:65" s="1" customFormat="1" ht="16.5" customHeight="1" x14ac:dyDescent="0.2">
      <c r="B126" s="118"/>
      <c r="C126" s="131" t="s">
        <v>244</v>
      </c>
      <c r="D126" s="131" t="s">
        <v>277</v>
      </c>
      <c r="E126" s="132" t="s">
        <v>1630</v>
      </c>
      <c r="F126" s="133" t="s">
        <v>1783</v>
      </c>
      <c r="G126" s="134" t="s">
        <v>292</v>
      </c>
      <c r="H126" s="135">
        <v>23</v>
      </c>
      <c r="I126" s="136">
        <v>1.83</v>
      </c>
      <c r="J126" s="136">
        <f t="shared" si="0"/>
        <v>42.09</v>
      </c>
      <c r="K126" s="133" t="s">
        <v>1</v>
      </c>
      <c r="L126" s="137"/>
      <c r="M126" s="138" t="s">
        <v>1</v>
      </c>
      <c r="N126" s="139" t="s">
        <v>32</v>
      </c>
      <c r="O126" s="127">
        <v>0</v>
      </c>
      <c r="P126" s="127">
        <f t="shared" si="1"/>
        <v>0</v>
      </c>
      <c r="Q126" s="127">
        <v>3.5E-4</v>
      </c>
      <c r="R126" s="127">
        <f t="shared" si="2"/>
        <v>8.0499999999999999E-3</v>
      </c>
      <c r="S126" s="127">
        <v>0</v>
      </c>
      <c r="T126" s="128">
        <f t="shared" si="3"/>
        <v>0</v>
      </c>
      <c r="W126" s="199"/>
      <c r="X126" s="131" t="s">
        <v>244</v>
      </c>
      <c r="Y126" s="131" t="s">
        <v>277</v>
      </c>
      <c r="Z126" s="132" t="s">
        <v>1630</v>
      </c>
      <c r="AA126" s="133" t="s">
        <v>1783</v>
      </c>
      <c r="AB126" s="134" t="s">
        <v>292</v>
      </c>
      <c r="AC126" s="135">
        <v>23</v>
      </c>
      <c r="AD126" s="136">
        <v>1.83</v>
      </c>
      <c r="AE126" s="229">
        <f t="shared" si="4"/>
        <v>42.09</v>
      </c>
      <c r="AF126" s="227"/>
      <c r="AR126" s="129" t="s">
        <v>244</v>
      </c>
      <c r="AT126" s="129" t="s">
        <v>277</v>
      </c>
      <c r="AU126" s="129" t="s">
        <v>63</v>
      </c>
      <c r="AY126" s="13" t="s">
        <v>228</v>
      </c>
      <c r="BE126" s="130">
        <f t="shared" si="5"/>
        <v>0</v>
      </c>
      <c r="BF126" s="130">
        <f t="shared" si="6"/>
        <v>42.09</v>
      </c>
      <c r="BG126" s="130">
        <f t="shared" si="7"/>
        <v>0</v>
      </c>
      <c r="BH126" s="130">
        <f t="shared" si="8"/>
        <v>0</v>
      </c>
      <c r="BI126" s="130">
        <f t="shared" si="9"/>
        <v>0</v>
      </c>
      <c r="BJ126" s="13" t="s">
        <v>76</v>
      </c>
      <c r="BK126" s="130">
        <f t="shared" si="10"/>
        <v>42.09</v>
      </c>
      <c r="BL126" s="13" t="s">
        <v>235</v>
      </c>
      <c r="BM126" s="129" t="s">
        <v>258</v>
      </c>
    </row>
    <row r="127" spans="2:65" s="1" customFormat="1" ht="19.2" customHeight="1" x14ac:dyDescent="0.2">
      <c r="B127" s="118"/>
      <c r="C127" s="205" t="s">
        <v>259</v>
      </c>
      <c r="D127" s="119" t="s">
        <v>231</v>
      </c>
      <c r="E127" s="120" t="s">
        <v>1651</v>
      </c>
      <c r="F127" s="121" t="s">
        <v>1652</v>
      </c>
      <c r="G127" s="122" t="s">
        <v>292</v>
      </c>
      <c r="H127" s="206">
        <v>770</v>
      </c>
      <c r="I127" s="124">
        <v>0.67</v>
      </c>
      <c r="J127" s="124">
        <f t="shared" si="0"/>
        <v>515.9</v>
      </c>
      <c r="K127" s="121" t="s">
        <v>1</v>
      </c>
      <c r="L127" s="24"/>
      <c r="M127" s="125" t="s">
        <v>1</v>
      </c>
      <c r="N127" s="126" t="s">
        <v>32</v>
      </c>
      <c r="O127" s="127">
        <v>0</v>
      </c>
      <c r="P127" s="127">
        <f t="shared" si="1"/>
        <v>0</v>
      </c>
      <c r="Q127" s="127">
        <v>0</v>
      </c>
      <c r="R127" s="127">
        <f t="shared" si="2"/>
        <v>0</v>
      </c>
      <c r="S127" s="127">
        <v>0</v>
      </c>
      <c r="T127" s="128">
        <f t="shared" si="3"/>
        <v>0</v>
      </c>
      <c r="W127" s="199"/>
      <c r="X127" s="205" t="s">
        <v>259</v>
      </c>
      <c r="Y127" s="119" t="s">
        <v>231</v>
      </c>
      <c r="Z127" s="120" t="s">
        <v>1651</v>
      </c>
      <c r="AA127" s="121" t="s">
        <v>1652</v>
      </c>
      <c r="AB127" s="122" t="s">
        <v>292</v>
      </c>
      <c r="AC127" s="206">
        <f>770+373</f>
        <v>1143</v>
      </c>
      <c r="AD127" s="124">
        <v>0.67</v>
      </c>
      <c r="AE127" s="200">
        <f t="shared" si="4"/>
        <v>765.81</v>
      </c>
      <c r="AF127" s="1152">
        <v>21</v>
      </c>
      <c r="AR127" s="129" t="s">
        <v>235</v>
      </c>
      <c r="AT127" s="129" t="s">
        <v>231</v>
      </c>
      <c r="AU127" s="129" t="s">
        <v>63</v>
      </c>
      <c r="AY127" s="13" t="s">
        <v>228</v>
      </c>
      <c r="BE127" s="130">
        <f t="shared" si="5"/>
        <v>0</v>
      </c>
      <c r="BF127" s="130">
        <f t="shared" si="6"/>
        <v>515.9</v>
      </c>
      <c r="BG127" s="130">
        <f t="shared" si="7"/>
        <v>0</v>
      </c>
      <c r="BH127" s="130">
        <f t="shared" si="8"/>
        <v>0</v>
      </c>
      <c r="BI127" s="130">
        <f t="shared" si="9"/>
        <v>0</v>
      </c>
      <c r="BJ127" s="13" t="s">
        <v>76</v>
      </c>
      <c r="BK127" s="130">
        <f t="shared" si="10"/>
        <v>515.9</v>
      </c>
      <c r="BL127" s="13" t="s">
        <v>235</v>
      </c>
      <c r="BM127" s="129" t="s">
        <v>262</v>
      </c>
    </row>
    <row r="128" spans="2:65" s="1" customFormat="1" ht="16.5" customHeight="1" x14ac:dyDescent="0.2">
      <c r="B128" s="118"/>
      <c r="C128" s="242" t="s">
        <v>248</v>
      </c>
      <c r="D128" s="131" t="s">
        <v>277</v>
      </c>
      <c r="E128" s="132" t="s">
        <v>1651</v>
      </c>
      <c r="F128" s="133" t="s">
        <v>1652</v>
      </c>
      <c r="G128" s="134" t="s">
        <v>292</v>
      </c>
      <c r="H128" s="241">
        <v>770</v>
      </c>
      <c r="I128" s="136">
        <v>1.21</v>
      </c>
      <c r="J128" s="136">
        <f t="shared" si="0"/>
        <v>931.7</v>
      </c>
      <c r="K128" s="133" t="s">
        <v>1</v>
      </c>
      <c r="L128" s="137"/>
      <c r="M128" s="138" t="s">
        <v>1</v>
      </c>
      <c r="N128" s="139" t="s">
        <v>32</v>
      </c>
      <c r="O128" s="127">
        <v>0</v>
      </c>
      <c r="P128" s="127">
        <f t="shared" si="1"/>
        <v>0</v>
      </c>
      <c r="Q128" s="127">
        <v>0</v>
      </c>
      <c r="R128" s="127">
        <f t="shared" si="2"/>
        <v>0</v>
      </c>
      <c r="S128" s="127">
        <v>0</v>
      </c>
      <c r="T128" s="128">
        <f t="shared" si="3"/>
        <v>0</v>
      </c>
      <c r="W128" s="199"/>
      <c r="X128" s="242" t="s">
        <v>248</v>
      </c>
      <c r="Y128" s="131" t="s">
        <v>277</v>
      </c>
      <c r="Z128" s="132" t="s">
        <v>1651</v>
      </c>
      <c r="AA128" s="133" t="s">
        <v>1652</v>
      </c>
      <c r="AB128" s="134" t="s">
        <v>292</v>
      </c>
      <c r="AC128" s="241">
        <f>770+373</f>
        <v>1143</v>
      </c>
      <c r="AD128" s="136">
        <v>1.21</v>
      </c>
      <c r="AE128" s="229">
        <f t="shared" si="4"/>
        <v>1383.03</v>
      </c>
      <c r="AF128" s="1152">
        <v>21</v>
      </c>
      <c r="AR128" s="129" t="s">
        <v>244</v>
      </c>
      <c r="AT128" s="129" t="s">
        <v>277</v>
      </c>
      <c r="AU128" s="129" t="s">
        <v>63</v>
      </c>
      <c r="AY128" s="13" t="s">
        <v>228</v>
      </c>
      <c r="BE128" s="130">
        <f t="shared" si="5"/>
        <v>0</v>
      </c>
      <c r="BF128" s="130">
        <f t="shared" si="6"/>
        <v>931.7</v>
      </c>
      <c r="BG128" s="130">
        <f t="shared" si="7"/>
        <v>0</v>
      </c>
      <c r="BH128" s="130">
        <f t="shared" si="8"/>
        <v>0</v>
      </c>
      <c r="BI128" s="130">
        <f t="shared" si="9"/>
        <v>0</v>
      </c>
      <c r="BJ128" s="13" t="s">
        <v>76</v>
      </c>
      <c r="BK128" s="130">
        <f t="shared" si="10"/>
        <v>931.7</v>
      </c>
      <c r="BL128" s="13" t="s">
        <v>235</v>
      </c>
      <c r="BM128" s="129" t="s">
        <v>7</v>
      </c>
    </row>
    <row r="129" spans="2:65" s="1" customFormat="1" ht="24" customHeight="1" x14ac:dyDescent="0.2">
      <c r="B129" s="118"/>
      <c r="C129" s="205" t="s">
        <v>265</v>
      </c>
      <c r="D129" s="119" t="s">
        <v>231</v>
      </c>
      <c r="E129" s="120" t="s">
        <v>1304</v>
      </c>
      <c r="F129" s="121" t="s">
        <v>1787</v>
      </c>
      <c r="G129" s="122" t="s">
        <v>292</v>
      </c>
      <c r="H129" s="206">
        <v>650</v>
      </c>
      <c r="I129" s="124">
        <v>1.21</v>
      </c>
      <c r="J129" s="124">
        <f t="shared" si="0"/>
        <v>786.5</v>
      </c>
      <c r="K129" s="121" t="s">
        <v>1</v>
      </c>
      <c r="L129" s="24"/>
      <c r="M129" s="125" t="s">
        <v>1</v>
      </c>
      <c r="N129" s="126" t="s">
        <v>32</v>
      </c>
      <c r="O129" s="127">
        <v>0</v>
      </c>
      <c r="P129" s="127">
        <f t="shared" si="1"/>
        <v>0</v>
      </c>
      <c r="Q129" s="127">
        <v>0</v>
      </c>
      <c r="R129" s="127">
        <f t="shared" si="2"/>
        <v>0</v>
      </c>
      <c r="S129" s="127">
        <v>0</v>
      </c>
      <c r="T129" s="128">
        <f t="shared" si="3"/>
        <v>0</v>
      </c>
      <c r="W129" s="199"/>
      <c r="X129" s="205" t="s">
        <v>265</v>
      </c>
      <c r="Y129" s="119" t="s">
        <v>231</v>
      </c>
      <c r="Z129" s="120" t="s">
        <v>1304</v>
      </c>
      <c r="AA129" s="121" t="s">
        <v>1787</v>
      </c>
      <c r="AB129" s="122" t="s">
        <v>292</v>
      </c>
      <c r="AC129" s="206">
        <f>650+116</f>
        <v>766</v>
      </c>
      <c r="AD129" s="124">
        <v>1.21</v>
      </c>
      <c r="AE129" s="200">
        <f t="shared" si="4"/>
        <v>926.86</v>
      </c>
      <c r="AF129" s="1152">
        <v>21</v>
      </c>
      <c r="AR129" s="129" t="s">
        <v>235</v>
      </c>
      <c r="AT129" s="129" t="s">
        <v>231</v>
      </c>
      <c r="AU129" s="129" t="s">
        <v>63</v>
      </c>
      <c r="AY129" s="13" t="s">
        <v>228</v>
      </c>
      <c r="BE129" s="130">
        <f t="shared" si="5"/>
        <v>0</v>
      </c>
      <c r="BF129" s="130">
        <f t="shared" si="6"/>
        <v>786.5</v>
      </c>
      <c r="BG129" s="130">
        <f t="shared" si="7"/>
        <v>0</v>
      </c>
      <c r="BH129" s="130">
        <f t="shared" si="8"/>
        <v>0</v>
      </c>
      <c r="BI129" s="130">
        <f t="shared" si="9"/>
        <v>0</v>
      </c>
      <c r="BJ129" s="13" t="s">
        <v>76</v>
      </c>
      <c r="BK129" s="130">
        <f t="shared" si="10"/>
        <v>786.5</v>
      </c>
      <c r="BL129" s="13" t="s">
        <v>235</v>
      </c>
      <c r="BM129" s="129" t="s">
        <v>268</v>
      </c>
    </row>
    <row r="130" spans="2:65" s="1" customFormat="1" ht="16.5" customHeight="1" x14ac:dyDescent="0.2">
      <c r="B130" s="118"/>
      <c r="C130" s="242" t="s">
        <v>251</v>
      </c>
      <c r="D130" s="131" t="s">
        <v>277</v>
      </c>
      <c r="E130" s="132" t="s">
        <v>1307</v>
      </c>
      <c r="F130" s="133" t="s">
        <v>1789</v>
      </c>
      <c r="G130" s="134" t="s">
        <v>292</v>
      </c>
      <c r="H130" s="241">
        <v>650</v>
      </c>
      <c r="I130" s="136">
        <v>2.14</v>
      </c>
      <c r="J130" s="136">
        <f t="shared" si="0"/>
        <v>1391</v>
      </c>
      <c r="K130" s="133" t="s">
        <v>1</v>
      </c>
      <c r="L130" s="137"/>
      <c r="M130" s="138" t="s">
        <v>1</v>
      </c>
      <c r="N130" s="139" t="s">
        <v>32</v>
      </c>
      <c r="O130" s="127">
        <v>0</v>
      </c>
      <c r="P130" s="127">
        <f t="shared" si="1"/>
        <v>0</v>
      </c>
      <c r="Q130" s="127">
        <v>0</v>
      </c>
      <c r="R130" s="127">
        <f t="shared" si="2"/>
        <v>0</v>
      </c>
      <c r="S130" s="127">
        <v>0</v>
      </c>
      <c r="T130" s="128">
        <f t="shared" si="3"/>
        <v>0</v>
      </c>
      <c r="W130" s="199"/>
      <c r="X130" s="242" t="s">
        <v>251</v>
      </c>
      <c r="Y130" s="131" t="s">
        <v>277</v>
      </c>
      <c r="Z130" s="132" t="s">
        <v>1307</v>
      </c>
      <c r="AA130" s="133" t="s">
        <v>1789</v>
      </c>
      <c r="AB130" s="134" t="s">
        <v>292</v>
      </c>
      <c r="AC130" s="241">
        <f>650+116</f>
        <v>766</v>
      </c>
      <c r="AD130" s="136">
        <v>2.14</v>
      </c>
      <c r="AE130" s="229">
        <f t="shared" si="4"/>
        <v>1639.24</v>
      </c>
      <c r="AF130" s="1152">
        <v>21</v>
      </c>
      <c r="AR130" s="129" t="s">
        <v>244</v>
      </c>
      <c r="AT130" s="129" t="s">
        <v>277</v>
      </c>
      <c r="AU130" s="129" t="s">
        <v>63</v>
      </c>
      <c r="AY130" s="13" t="s">
        <v>228</v>
      </c>
      <c r="BE130" s="130">
        <f t="shared" si="5"/>
        <v>0</v>
      </c>
      <c r="BF130" s="130">
        <f t="shared" si="6"/>
        <v>1391</v>
      </c>
      <c r="BG130" s="130">
        <f t="shared" si="7"/>
        <v>0</v>
      </c>
      <c r="BH130" s="130">
        <f t="shared" si="8"/>
        <v>0</v>
      </c>
      <c r="BI130" s="130">
        <f t="shared" si="9"/>
        <v>0</v>
      </c>
      <c r="BJ130" s="13" t="s">
        <v>76</v>
      </c>
      <c r="BK130" s="130">
        <f t="shared" si="10"/>
        <v>1391</v>
      </c>
      <c r="BL130" s="13" t="s">
        <v>235</v>
      </c>
      <c r="BM130" s="129" t="s">
        <v>272</v>
      </c>
    </row>
    <row r="131" spans="2:65" s="682" customFormat="1" ht="16.5" customHeight="1" x14ac:dyDescent="0.2">
      <c r="B131" s="118"/>
      <c r="C131" s="1234" t="s">
        <v>5205</v>
      </c>
      <c r="D131" s="1235"/>
      <c r="E131" s="1235"/>
      <c r="F131" s="1235"/>
      <c r="G131" s="1235"/>
      <c r="H131" s="1235"/>
      <c r="I131" s="1235"/>
      <c r="J131" s="1236"/>
      <c r="K131" s="133"/>
      <c r="L131" s="137"/>
      <c r="M131" s="138"/>
      <c r="N131" s="139"/>
      <c r="O131" s="127"/>
      <c r="P131" s="127"/>
      <c r="Q131" s="127"/>
      <c r="R131" s="127"/>
      <c r="S131" s="127"/>
      <c r="T131" s="128"/>
      <c r="W131" s="199"/>
      <c r="X131" s="207" t="s">
        <v>5343</v>
      </c>
      <c r="Y131" s="207" t="s">
        <v>231</v>
      </c>
      <c r="Z131" s="342" t="s">
        <v>6520</v>
      </c>
      <c r="AA131" s="343" t="s">
        <v>6521</v>
      </c>
      <c r="AB131" s="344" t="s">
        <v>1194</v>
      </c>
      <c r="AC131" s="345">
        <v>550</v>
      </c>
      <c r="AD131" s="346">
        <v>0.24</v>
      </c>
      <c r="AE131" s="355">
        <f>ROUND(AD131*AC131,2)</f>
        <v>132</v>
      </c>
      <c r="AF131" s="1152">
        <v>21</v>
      </c>
      <c r="AR131" s="129"/>
      <c r="AT131" s="129"/>
      <c r="AU131" s="129"/>
      <c r="AY131" s="13"/>
      <c r="BE131" s="130"/>
      <c r="BF131" s="130"/>
      <c r="BG131" s="130"/>
      <c r="BH131" s="130"/>
      <c r="BI131" s="130"/>
      <c r="BJ131" s="13"/>
      <c r="BK131" s="130"/>
      <c r="BL131" s="13"/>
      <c r="BM131" s="129"/>
    </row>
    <row r="132" spans="2:65" s="682" customFormat="1" ht="16.5" customHeight="1" x14ac:dyDescent="0.2">
      <c r="B132" s="118"/>
      <c r="C132" s="1234" t="s">
        <v>5205</v>
      </c>
      <c r="D132" s="1235"/>
      <c r="E132" s="1235"/>
      <c r="F132" s="1235"/>
      <c r="G132" s="1235"/>
      <c r="H132" s="1235"/>
      <c r="I132" s="1235"/>
      <c r="J132" s="1236"/>
      <c r="K132" s="133"/>
      <c r="L132" s="137"/>
      <c r="M132" s="138"/>
      <c r="N132" s="139"/>
      <c r="O132" s="127"/>
      <c r="P132" s="127"/>
      <c r="Q132" s="127"/>
      <c r="R132" s="127"/>
      <c r="S132" s="127"/>
      <c r="T132" s="128"/>
      <c r="W132" s="199"/>
      <c r="X132" s="386" t="s">
        <v>6229</v>
      </c>
      <c r="Y132" s="386" t="s">
        <v>277</v>
      </c>
      <c r="Z132" s="349" t="s">
        <v>6522</v>
      </c>
      <c r="AA132" s="350" t="s">
        <v>6521</v>
      </c>
      <c r="AB132" s="351" t="s">
        <v>1194</v>
      </c>
      <c r="AC132" s="352">
        <v>550</v>
      </c>
      <c r="AD132" s="353">
        <v>0.3</v>
      </c>
      <c r="AE132" s="356">
        <f t="shared" ref="AE132:AE139" si="11">ROUND(AD132*AC132,2)</f>
        <v>165</v>
      </c>
      <c r="AF132" s="1152">
        <v>21</v>
      </c>
      <c r="AR132" s="129"/>
      <c r="AT132" s="129"/>
      <c r="AU132" s="129"/>
      <c r="AY132" s="13"/>
      <c r="BE132" s="130"/>
      <c r="BF132" s="130"/>
      <c r="BG132" s="130"/>
      <c r="BH132" s="130"/>
      <c r="BI132" s="130"/>
      <c r="BJ132" s="13"/>
      <c r="BK132" s="130"/>
      <c r="BL132" s="13"/>
      <c r="BM132" s="129"/>
    </row>
    <row r="133" spans="2:65" s="682" customFormat="1" ht="16.5" customHeight="1" x14ac:dyDescent="0.2">
      <c r="B133" s="118"/>
      <c r="C133" s="1234" t="s">
        <v>5205</v>
      </c>
      <c r="D133" s="1235"/>
      <c r="E133" s="1235"/>
      <c r="F133" s="1235"/>
      <c r="G133" s="1235"/>
      <c r="H133" s="1235"/>
      <c r="I133" s="1235"/>
      <c r="J133" s="1236"/>
      <c r="K133" s="133"/>
      <c r="L133" s="137"/>
      <c r="M133" s="138"/>
      <c r="N133" s="139"/>
      <c r="O133" s="127"/>
      <c r="P133" s="127"/>
      <c r="Q133" s="127"/>
      <c r="R133" s="127"/>
      <c r="S133" s="127"/>
      <c r="T133" s="128"/>
      <c r="W133" s="199"/>
      <c r="X133" s="207" t="s">
        <v>6258</v>
      </c>
      <c r="Y133" s="207" t="s">
        <v>231</v>
      </c>
      <c r="Z133" s="342" t="s">
        <v>6523</v>
      </c>
      <c r="AA133" s="343" t="s">
        <v>6524</v>
      </c>
      <c r="AB133" s="344" t="s">
        <v>1194</v>
      </c>
      <c r="AC133" s="345">
        <v>1</v>
      </c>
      <c r="AD133" s="346">
        <v>15.94</v>
      </c>
      <c r="AE133" s="355">
        <f t="shared" si="11"/>
        <v>15.94</v>
      </c>
      <c r="AF133" s="227">
        <v>21</v>
      </c>
      <c r="AR133" s="129"/>
      <c r="AT133" s="129"/>
      <c r="AU133" s="129"/>
      <c r="AY133" s="13"/>
      <c r="BE133" s="130"/>
      <c r="BF133" s="130"/>
      <c r="BG133" s="130"/>
      <c r="BH133" s="130"/>
      <c r="BI133" s="130"/>
      <c r="BJ133" s="13"/>
      <c r="BK133" s="130"/>
      <c r="BL133" s="13"/>
      <c r="BM133" s="129"/>
    </row>
    <row r="134" spans="2:65" s="682" customFormat="1" ht="16.5" customHeight="1" x14ac:dyDescent="0.2">
      <c r="B134" s="118"/>
      <c r="C134" s="1234" t="s">
        <v>5205</v>
      </c>
      <c r="D134" s="1235"/>
      <c r="E134" s="1235"/>
      <c r="F134" s="1235"/>
      <c r="G134" s="1235"/>
      <c r="H134" s="1235"/>
      <c r="I134" s="1235"/>
      <c r="J134" s="1236"/>
      <c r="K134" s="133"/>
      <c r="L134" s="137"/>
      <c r="M134" s="138"/>
      <c r="N134" s="139"/>
      <c r="O134" s="127"/>
      <c r="P134" s="127"/>
      <c r="Q134" s="127"/>
      <c r="R134" s="127"/>
      <c r="S134" s="127"/>
      <c r="T134" s="128"/>
      <c r="W134" s="199"/>
      <c r="X134" s="386" t="s">
        <v>6260</v>
      </c>
      <c r="Y134" s="386" t="s">
        <v>277</v>
      </c>
      <c r="Z134" s="349" t="s">
        <v>6525</v>
      </c>
      <c r="AA134" s="350" t="s">
        <v>6524</v>
      </c>
      <c r="AB134" s="351" t="s">
        <v>1194</v>
      </c>
      <c r="AC134" s="352">
        <v>1</v>
      </c>
      <c r="AD134" s="353">
        <v>78</v>
      </c>
      <c r="AE134" s="356">
        <f t="shared" si="11"/>
        <v>78</v>
      </c>
      <c r="AF134" s="227">
        <v>21</v>
      </c>
      <c r="AR134" s="129"/>
      <c r="AT134" s="129"/>
      <c r="AU134" s="129"/>
      <c r="AY134" s="13"/>
      <c r="BE134" s="130"/>
      <c r="BF134" s="130"/>
      <c r="BG134" s="130"/>
      <c r="BH134" s="130"/>
      <c r="BI134" s="130"/>
      <c r="BJ134" s="13"/>
      <c r="BK134" s="130"/>
      <c r="BL134" s="13"/>
      <c r="BM134" s="129"/>
    </row>
    <row r="135" spans="2:65" s="682" customFormat="1" ht="16.5" customHeight="1" x14ac:dyDescent="0.2">
      <c r="B135" s="118"/>
      <c r="C135" s="1234" t="s">
        <v>5205</v>
      </c>
      <c r="D135" s="1235"/>
      <c r="E135" s="1235"/>
      <c r="F135" s="1235"/>
      <c r="G135" s="1235"/>
      <c r="H135" s="1235"/>
      <c r="I135" s="1235"/>
      <c r="J135" s="1236"/>
      <c r="K135" s="133"/>
      <c r="L135" s="137"/>
      <c r="M135" s="138"/>
      <c r="N135" s="139"/>
      <c r="O135" s="127"/>
      <c r="P135" s="127"/>
      <c r="Q135" s="127"/>
      <c r="R135" s="127"/>
      <c r="S135" s="127"/>
      <c r="T135" s="128"/>
      <c r="W135" s="199"/>
      <c r="X135" s="207" t="s">
        <v>6286</v>
      </c>
      <c r="Y135" s="207" t="s">
        <v>231</v>
      </c>
      <c r="Z135" s="342" t="s">
        <v>6526</v>
      </c>
      <c r="AA135" s="343" t="s">
        <v>6527</v>
      </c>
      <c r="AB135" s="344" t="s">
        <v>1194</v>
      </c>
      <c r="AC135" s="345">
        <v>4</v>
      </c>
      <c r="AD135" s="346">
        <v>15.94</v>
      </c>
      <c r="AE135" s="355">
        <f t="shared" si="11"/>
        <v>63.76</v>
      </c>
      <c r="AF135" s="227">
        <v>21</v>
      </c>
      <c r="AR135" s="129"/>
      <c r="AT135" s="129"/>
      <c r="AU135" s="129"/>
      <c r="AY135" s="13"/>
      <c r="BE135" s="130"/>
      <c r="BF135" s="130"/>
      <c r="BG135" s="130"/>
      <c r="BH135" s="130"/>
      <c r="BI135" s="130"/>
      <c r="BJ135" s="13"/>
      <c r="BK135" s="130"/>
      <c r="BL135" s="13"/>
      <c r="BM135" s="129"/>
    </row>
    <row r="136" spans="2:65" s="682" customFormat="1" ht="16.5" customHeight="1" x14ac:dyDescent="0.2">
      <c r="B136" s="118"/>
      <c r="C136" s="1234" t="s">
        <v>5205</v>
      </c>
      <c r="D136" s="1235"/>
      <c r="E136" s="1235"/>
      <c r="F136" s="1235"/>
      <c r="G136" s="1235"/>
      <c r="H136" s="1235"/>
      <c r="I136" s="1235"/>
      <c r="J136" s="1236"/>
      <c r="K136" s="133"/>
      <c r="L136" s="137"/>
      <c r="M136" s="138"/>
      <c r="N136" s="139"/>
      <c r="O136" s="127"/>
      <c r="P136" s="127"/>
      <c r="Q136" s="127"/>
      <c r="R136" s="127"/>
      <c r="S136" s="127"/>
      <c r="T136" s="128"/>
      <c r="W136" s="199"/>
      <c r="X136" s="386" t="s">
        <v>6551</v>
      </c>
      <c r="Y136" s="386" t="s">
        <v>277</v>
      </c>
      <c r="Z136" s="349" t="s">
        <v>6528</v>
      </c>
      <c r="AA136" s="350" t="s">
        <v>6527</v>
      </c>
      <c r="AB136" s="351" t="s">
        <v>1194</v>
      </c>
      <c r="AC136" s="352">
        <v>4</v>
      </c>
      <c r="AD136" s="353">
        <v>102</v>
      </c>
      <c r="AE136" s="356">
        <f t="shared" si="11"/>
        <v>408</v>
      </c>
      <c r="AF136" s="227">
        <v>21</v>
      </c>
      <c r="AR136" s="129"/>
      <c r="AT136" s="129"/>
      <c r="AU136" s="129"/>
      <c r="AY136" s="13"/>
      <c r="BE136" s="130"/>
      <c r="BF136" s="130"/>
      <c r="BG136" s="130"/>
      <c r="BH136" s="130"/>
      <c r="BI136" s="130"/>
      <c r="BJ136" s="13"/>
      <c r="BK136" s="130"/>
      <c r="BL136" s="13"/>
      <c r="BM136" s="129"/>
    </row>
    <row r="137" spans="2:65" s="682" customFormat="1" ht="16.5" customHeight="1" x14ac:dyDescent="0.2">
      <c r="B137" s="118"/>
      <c r="C137" s="1234" t="s">
        <v>5205</v>
      </c>
      <c r="D137" s="1235"/>
      <c r="E137" s="1235"/>
      <c r="F137" s="1235"/>
      <c r="G137" s="1235"/>
      <c r="H137" s="1235"/>
      <c r="I137" s="1235"/>
      <c r="J137" s="1236"/>
      <c r="K137" s="133"/>
      <c r="L137" s="137"/>
      <c r="M137" s="138"/>
      <c r="N137" s="139"/>
      <c r="O137" s="127"/>
      <c r="P137" s="127"/>
      <c r="Q137" s="127"/>
      <c r="R137" s="127"/>
      <c r="S137" s="127"/>
      <c r="T137" s="128"/>
      <c r="W137" s="199"/>
      <c r="X137" s="207" t="s">
        <v>6552</v>
      </c>
      <c r="Y137" s="207" t="s">
        <v>231</v>
      </c>
      <c r="Z137" s="342" t="s">
        <v>6529</v>
      </c>
      <c r="AA137" s="343" t="s">
        <v>6530</v>
      </c>
      <c r="AB137" s="344" t="s">
        <v>1194</v>
      </c>
      <c r="AC137" s="345">
        <v>5</v>
      </c>
      <c r="AD137" s="346">
        <v>3.24</v>
      </c>
      <c r="AE137" s="355">
        <f t="shared" si="11"/>
        <v>16.2</v>
      </c>
      <c r="AF137" s="227">
        <v>21</v>
      </c>
      <c r="AR137" s="129"/>
      <c r="AT137" s="129"/>
      <c r="AU137" s="129"/>
      <c r="AY137" s="13"/>
      <c r="BE137" s="130"/>
      <c r="BF137" s="130"/>
      <c r="BG137" s="130"/>
      <c r="BH137" s="130"/>
      <c r="BI137" s="130"/>
      <c r="BJ137" s="13"/>
      <c r="BK137" s="130"/>
      <c r="BL137" s="13"/>
      <c r="BM137" s="129"/>
    </row>
    <row r="138" spans="2:65" s="682" customFormat="1" ht="16.5" customHeight="1" x14ac:dyDescent="0.2">
      <c r="B138" s="118"/>
      <c r="C138" s="1234" t="s">
        <v>5205</v>
      </c>
      <c r="D138" s="1235"/>
      <c r="E138" s="1235"/>
      <c r="F138" s="1235"/>
      <c r="G138" s="1235"/>
      <c r="H138" s="1235"/>
      <c r="I138" s="1235"/>
      <c r="J138" s="1236"/>
      <c r="K138" s="133"/>
      <c r="L138" s="137"/>
      <c r="M138" s="138"/>
      <c r="N138" s="139"/>
      <c r="O138" s="127"/>
      <c r="P138" s="127"/>
      <c r="Q138" s="127"/>
      <c r="R138" s="127"/>
      <c r="S138" s="127"/>
      <c r="T138" s="128"/>
      <c r="W138" s="199"/>
      <c r="X138" s="386" t="s">
        <v>6553</v>
      </c>
      <c r="Y138" s="386" t="s">
        <v>277</v>
      </c>
      <c r="Z138" s="349" t="s">
        <v>6531</v>
      </c>
      <c r="AA138" s="350" t="s">
        <v>6530</v>
      </c>
      <c r="AB138" s="351" t="s">
        <v>1194</v>
      </c>
      <c r="AC138" s="352">
        <v>5</v>
      </c>
      <c r="AD138" s="353">
        <v>12.74</v>
      </c>
      <c r="AE138" s="356">
        <f t="shared" si="11"/>
        <v>63.7</v>
      </c>
      <c r="AF138" s="227">
        <v>21</v>
      </c>
      <c r="AR138" s="129"/>
      <c r="AT138" s="129"/>
      <c r="AU138" s="129"/>
      <c r="AY138" s="13"/>
      <c r="BE138" s="130"/>
      <c r="BF138" s="130"/>
      <c r="BG138" s="130"/>
      <c r="BH138" s="130"/>
      <c r="BI138" s="130"/>
      <c r="BJ138" s="13"/>
      <c r="BK138" s="130"/>
      <c r="BL138" s="13"/>
      <c r="BM138" s="129"/>
    </row>
    <row r="139" spans="2:65" s="1092" customFormat="1" ht="16.5" customHeight="1" x14ac:dyDescent="0.2">
      <c r="B139" s="1028"/>
      <c r="C139" s="1087"/>
      <c r="D139" s="1088"/>
      <c r="E139" s="1088"/>
      <c r="F139" s="1088"/>
      <c r="G139" s="1088"/>
      <c r="H139" s="1088"/>
      <c r="I139" s="1088"/>
      <c r="J139" s="1089"/>
      <c r="K139" s="133"/>
      <c r="L139" s="137"/>
      <c r="M139" s="138"/>
      <c r="N139" s="139"/>
      <c r="O139" s="1037"/>
      <c r="P139" s="1037"/>
      <c r="Q139" s="1037"/>
      <c r="R139" s="1037"/>
      <c r="S139" s="1037"/>
      <c r="T139" s="1038"/>
      <c r="W139" s="1041"/>
      <c r="X139" s="1072" t="s">
        <v>6749</v>
      </c>
      <c r="Y139" s="1072" t="s">
        <v>231</v>
      </c>
      <c r="Z139" s="342" t="s">
        <v>6747</v>
      </c>
      <c r="AA139" s="343" t="s">
        <v>6748</v>
      </c>
      <c r="AB139" s="344" t="s">
        <v>292</v>
      </c>
      <c r="AC139" s="345">
        <v>30</v>
      </c>
      <c r="AD139" s="346">
        <v>5</v>
      </c>
      <c r="AE139" s="355">
        <f t="shared" si="11"/>
        <v>150</v>
      </c>
      <c r="AF139" s="1079">
        <v>28</v>
      </c>
      <c r="AR139" s="1039"/>
      <c r="AT139" s="1039"/>
      <c r="AU139" s="1039"/>
      <c r="AY139" s="1026"/>
      <c r="BE139" s="1040"/>
      <c r="BF139" s="1040"/>
      <c r="BG139" s="1040"/>
      <c r="BH139" s="1040"/>
      <c r="BI139" s="1040"/>
      <c r="BJ139" s="1026"/>
      <c r="BK139" s="1040"/>
      <c r="BL139" s="1026"/>
      <c r="BM139" s="1039"/>
    </row>
    <row r="140" spans="2:65" s="1" customFormat="1" ht="16.5" customHeight="1" x14ac:dyDescent="0.2">
      <c r="B140" s="118"/>
      <c r="C140" s="205" t="s">
        <v>273</v>
      </c>
      <c r="D140" s="119" t="s">
        <v>231</v>
      </c>
      <c r="E140" s="120" t="s">
        <v>1587</v>
      </c>
      <c r="F140" s="121" t="s">
        <v>1791</v>
      </c>
      <c r="G140" s="122" t="s">
        <v>1194</v>
      </c>
      <c r="H140" s="206">
        <v>1</v>
      </c>
      <c r="I140" s="124">
        <v>1982.7</v>
      </c>
      <c r="J140" s="124">
        <f t="shared" si="0"/>
        <v>1982.7</v>
      </c>
      <c r="K140" s="121" t="s">
        <v>1</v>
      </c>
      <c r="L140" s="24"/>
      <c r="M140" s="125" t="s">
        <v>1</v>
      </c>
      <c r="N140" s="126" t="s">
        <v>32</v>
      </c>
      <c r="O140" s="127">
        <v>0</v>
      </c>
      <c r="P140" s="127">
        <f t="shared" si="1"/>
        <v>0</v>
      </c>
      <c r="Q140" s="127">
        <v>0</v>
      </c>
      <c r="R140" s="127">
        <f t="shared" si="2"/>
        <v>0</v>
      </c>
      <c r="S140" s="127">
        <v>0</v>
      </c>
      <c r="T140" s="128">
        <f t="shared" si="3"/>
        <v>0</v>
      </c>
      <c r="W140" s="199"/>
      <c r="X140" s="205" t="s">
        <v>273</v>
      </c>
      <c r="Y140" s="285" t="s">
        <v>231</v>
      </c>
      <c r="Z140" s="120" t="s">
        <v>1587</v>
      </c>
      <c r="AA140" s="121" t="s">
        <v>1791</v>
      </c>
      <c r="AB140" s="122" t="s">
        <v>1194</v>
      </c>
      <c r="AC140" s="206">
        <f t="shared" ref="AC140:AC145" si="12">1-1</f>
        <v>0</v>
      </c>
      <c r="AD140" s="124">
        <v>1982.7</v>
      </c>
      <c r="AE140" s="200">
        <f t="shared" si="4"/>
        <v>0</v>
      </c>
      <c r="AF140" s="227">
        <v>21</v>
      </c>
      <c r="AR140" s="129" t="s">
        <v>235</v>
      </c>
      <c r="AT140" s="129" t="s">
        <v>231</v>
      </c>
      <c r="AU140" s="129" t="s">
        <v>63</v>
      </c>
      <c r="AY140" s="13" t="s">
        <v>228</v>
      </c>
      <c r="BE140" s="130">
        <f t="shared" si="5"/>
        <v>0</v>
      </c>
      <c r="BF140" s="130">
        <f t="shared" si="6"/>
        <v>1982.7</v>
      </c>
      <c r="BG140" s="130">
        <f t="shared" si="7"/>
        <v>0</v>
      </c>
      <c r="BH140" s="130">
        <f t="shared" si="8"/>
        <v>0</v>
      </c>
      <c r="BI140" s="130">
        <f t="shared" si="9"/>
        <v>0</v>
      </c>
      <c r="BJ140" s="13" t="s">
        <v>76</v>
      </c>
      <c r="BK140" s="130">
        <f t="shared" si="10"/>
        <v>1982.7</v>
      </c>
      <c r="BL140" s="13" t="s">
        <v>235</v>
      </c>
      <c r="BM140" s="129" t="s">
        <v>276</v>
      </c>
    </row>
    <row r="141" spans="2:65" s="1" customFormat="1" ht="16.5" customHeight="1" x14ac:dyDescent="0.2">
      <c r="B141" s="118"/>
      <c r="C141" s="242" t="s">
        <v>255</v>
      </c>
      <c r="D141" s="131" t="s">
        <v>277</v>
      </c>
      <c r="E141" s="132" t="s">
        <v>1587</v>
      </c>
      <c r="F141" s="133" t="s">
        <v>1791</v>
      </c>
      <c r="G141" s="134" t="s">
        <v>1194</v>
      </c>
      <c r="H141" s="241">
        <v>1</v>
      </c>
      <c r="I141" s="136">
        <v>3017.44</v>
      </c>
      <c r="J141" s="136">
        <f t="shared" si="0"/>
        <v>3017.44</v>
      </c>
      <c r="K141" s="133" t="s">
        <v>1</v>
      </c>
      <c r="L141" s="137"/>
      <c r="M141" s="138" t="s">
        <v>1</v>
      </c>
      <c r="N141" s="139" t="s">
        <v>32</v>
      </c>
      <c r="O141" s="127">
        <v>0</v>
      </c>
      <c r="P141" s="127">
        <f t="shared" si="1"/>
        <v>0</v>
      </c>
      <c r="Q141" s="127">
        <v>0</v>
      </c>
      <c r="R141" s="127">
        <f t="shared" si="2"/>
        <v>0</v>
      </c>
      <c r="S141" s="127">
        <v>0</v>
      </c>
      <c r="T141" s="128">
        <f t="shared" si="3"/>
        <v>0</v>
      </c>
      <c r="W141" s="199"/>
      <c r="X141" s="242" t="s">
        <v>255</v>
      </c>
      <c r="Y141" s="444" t="s">
        <v>277</v>
      </c>
      <c r="Z141" s="132" t="s">
        <v>1587</v>
      </c>
      <c r="AA141" s="133" t="s">
        <v>1791</v>
      </c>
      <c r="AB141" s="134" t="s">
        <v>1194</v>
      </c>
      <c r="AC141" s="241">
        <f t="shared" si="12"/>
        <v>0</v>
      </c>
      <c r="AD141" s="136">
        <v>3017.44</v>
      </c>
      <c r="AE141" s="229">
        <f t="shared" si="4"/>
        <v>0</v>
      </c>
      <c r="AF141" s="227">
        <v>21</v>
      </c>
      <c r="AR141" s="129" t="s">
        <v>244</v>
      </c>
      <c r="AT141" s="129" t="s">
        <v>277</v>
      </c>
      <c r="AU141" s="129" t="s">
        <v>63</v>
      </c>
      <c r="AY141" s="13" t="s">
        <v>228</v>
      </c>
      <c r="BE141" s="130">
        <f t="shared" si="5"/>
        <v>0</v>
      </c>
      <c r="BF141" s="130">
        <f t="shared" si="6"/>
        <v>3017.44</v>
      </c>
      <c r="BG141" s="130">
        <f t="shared" si="7"/>
        <v>0</v>
      </c>
      <c r="BH141" s="130">
        <f t="shared" si="8"/>
        <v>0</v>
      </c>
      <c r="BI141" s="130">
        <f t="shared" si="9"/>
        <v>0</v>
      </c>
      <c r="BJ141" s="13" t="s">
        <v>76</v>
      </c>
      <c r="BK141" s="130">
        <f t="shared" si="10"/>
        <v>3017.44</v>
      </c>
      <c r="BL141" s="13" t="s">
        <v>235</v>
      </c>
      <c r="BM141" s="129" t="s">
        <v>280</v>
      </c>
    </row>
    <row r="142" spans="2:65" s="1" customFormat="1" ht="16.5" customHeight="1" x14ac:dyDescent="0.2">
      <c r="B142" s="118"/>
      <c r="C142" s="205" t="s">
        <v>281</v>
      </c>
      <c r="D142" s="119" t="s">
        <v>231</v>
      </c>
      <c r="E142" s="120" t="s">
        <v>1597</v>
      </c>
      <c r="F142" s="121" t="s">
        <v>1796</v>
      </c>
      <c r="G142" s="122" t="s">
        <v>1194</v>
      </c>
      <c r="H142" s="206">
        <v>1</v>
      </c>
      <c r="I142" s="124">
        <v>2216.35</v>
      </c>
      <c r="J142" s="124">
        <f t="shared" si="0"/>
        <v>2216.35</v>
      </c>
      <c r="K142" s="121" t="s">
        <v>1</v>
      </c>
      <c r="L142" s="24"/>
      <c r="M142" s="125" t="s">
        <v>1</v>
      </c>
      <c r="N142" s="126" t="s">
        <v>32</v>
      </c>
      <c r="O142" s="127">
        <v>0</v>
      </c>
      <c r="P142" s="127">
        <f t="shared" si="1"/>
        <v>0</v>
      </c>
      <c r="Q142" s="127">
        <v>0</v>
      </c>
      <c r="R142" s="127">
        <f t="shared" si="2"/>
        <v>0</v>
      </c>
      <c r="S142" s="127">
        <v>0</v>
      </c>
      <c r="T142" s="128">
        <f t="shared" si="3"/>
        <v>0</v>
      </c>
      <c r="W142" s="199"/>
      <c r="X142" s="205" t="s">
        <v>281</v>
      </c>
      <c r="Y142" s="285" t="s">
        <v>231</v>
      </c>
      <c r="Z142" s="120" t="s">
        <v>1597</v>
      </c>
      <c r="AA142" s="121" t="s">
        <v>1796</v>
      </c>
      <c r="AB142" s="122" t="s">
        <v>1194</v>
      </c>
      <c r="AC142" s="206">
        <f t="shared" si="12"/>
        <v>0</v>
      </c>
      <c r="AD142" s="124">
        <v>2216.35</v>
      </c>
      <c r="AE142" s="200">
        <f t="shared" si="4"/>
        <v>0</v>
      </c>
      <c r="AF142" s="227">
        <v>21</v>
      </c>
      <c r="AR142" s="129" t="s">
        <v>235</v>
      </c>
      <c r="AT142" s="129" t="s">
        <v>231</v>
      </c>
      <c r="AU142" s="129" t="s">
        <v>63</v>
      </c>
      <c r="AY142" s="13" t="s">
        <v>228</v>
      </c>
      <c r="BE142" s="130">
        <f t="shared" si="5"/>
        <v>0</v>
      </c>
      <c r="BF142" s="130">
        <f t="shared" si="6"/>
        <v>2216.35</v>
      </c>
      <c r="BG142" s="130">
        <f t="shared" si="7"/>
        <v>0</v>
      </c>
      <c r="BH142" s="130">
        <f t="shared" si="8"/>
        <v>0</v>
      </c>
      <c r="BI142" s="130">
        <f t="shared" si="9"/>
        <v>0</v>
      </c>
      <c r="BJ142" s="13" t="s">
        <v>76</v>
      </c>
      <c r="BK142" s="130">
        <f t="shared" si="10"/>
        <v>2216.35</v>
      </c>
      <c r="BL142" s="13" t="s">
        <v>235</v>
      </c>
      <c r="BM142" s="129" t="s">
        <v>285</v>
      </c>
    </row>
    <row r="143" spans="2:65" s="1" customFormat="1" ht="16.5" customHeight="1" x14ac:dyDescent="0.2">
      <c r="B143" s="118"/>
      <c r="C143" s="242" t="s">
        <v>258</v>
      </c>
      <c r="D143" s="131" t="s">
        <v>277</v>
      </c>
      <c r="E143" s="132" t="s">
        <v>1597</v>
      </c>
      <c r="F143" s="133" t="s">
        <v>1796</v>
      </c>
      <c r="G143" s="134" t="s">
        <v>1194</v>
      </c>
      <c r="H143" s="241">
        <v>1</v>
      </c>
      <c r="I143" s="136">
        <v>4355.6099999999997</v>
      </c>
      <c r="J143" s="136">
        <f t="shared" si="0"/>
        <v>4355.6099999999997</v>
      </c>
      <c r="K143" s="133" t="s">
        <v>1</v>
      </c>
      <c r="L143" s="137"/>
      <c r="M143" s="138" t="s">
        <v>1</v>
      </c>
      <c r="N143" s="139" t="s">
        <v>32</v>
      </c>
      <c r="O143" s="127">
        <v>0</v>
      </c>
      <c r="P143" s="127">
        <f t="shared" si="1"/>
        <v>0</v>
      </c>
      <c r="Q143" s="127">
        <v>0</v>
      </c>
      <c r="R143" s="127">
        <f t="shared" si="2"/>
        <v>0</v>
      </c>
      <c r="S143" s="127">
        <v>0</v>
      </c>
      <c r="T143" s="128">
        <f t="shared" si="3"/>
        <v>0</v>
      </c>
      <c r="W143" s="199"/>
      <c r="X143" s="242" t="s">
        <v>258</v>
      </c>
      <c r="Y143" s="444" t="s">
        <v>277</v>
      </c>
      <c r="Z143" s="132" t="s">
        <v>1597</v>
      </c>
      <c r="AA143" s="133" t="s">
        <v>1796</v>
      </c>
      <c r="AB143" s="134" t="s">
        <v>1194</v>
      </c>
      <c r="AC143" s="241">
        <f t="shared" si="12"/>
        <v>0</v>
      </c>
      <c r="AD143" s="136">
        <v>4355.6099999999997</v>
      </c>
      <c r="AE143" s="229">
        <f t="shared" si="4"/>
        <v>0</v>
      </c>
      <c r="AF143" s="227">
        <v>21</v>
      </c>
      <c r="AR143" s="129" t="s">
        <v>244</v>
      </c>
      <c r="AT143" s="129" t="s">
        <v>277</v>
      </c>
      <c r="AU143" s="129" t="s">
        <v>63</v>
      </c>
      <c r="AY143" s="13" t="s">
        <v>228</v>
      </c>
      <c r="BE143" s="130">
        <f t="shared" si="5"/>
        <v>0</v>
      </c>
      <c r="BF143" s="130">
        <f t="shared" si="6"/>
        <v>4355.6099999999997</v>
      </c>
      <c r="BG143" s="130">
        <f t="shared" si="7"/>
        <v>0</v>
      </c>
      <c r="BH143" s="130">
        <f t="shared" si="8"/>
        <v>0</v>
      </c>
      <c r="BI143" s="130">
        <f t="shared" si="9"/>
        <v>0</v>
      </c>
      <c r="BJ143" s="13" t="s">
        <v>76</v>
      </c>
      <c r="BK143" s="130">
        <f t="shared" si="10"/>
        <v>4355.6099999999997</v>
      </c>
      <c r="BL143" s="13" t="s">
        <v>235</v>
      </c>
      <c r="BM143" s="129" t="s">
        <v>288</v>
      </c>
    </row>
    <row r="144" spans="2:65" s="1" customFormat="1" ht="16.5" customHeight="1" x14ac:dyDescent="0.2">
      <c r="B144" s="118"/>
      <c r="C144" s="205" t="s">
        <v>289</v>
      </c>
      <c r="D144" s="119" t="s">
        <v>231</v>
      </c>
      <c r="E144" s="120" t="s">
        <v>1735</v>
      </c>
      <c r="F144" s="121" t="s">
        <v>3991</v>
      </c>
      <c r="G144" s="122" t="s">
        <v>1194</v>
      </c>
      <c r="H144" s="206">
        <v>1</v>
      </c>
      <c r="I144" s="124">
        <v>40.049999999999997</v>
      </c>
      <c r="J144" s="124">
        <f t="shared" si="0"/>
        <v>40.049999999999997</v>
      </c>
      <c r="K144" s="121" t="s">
        <v>1</v>
      </c>
      <c r="L144" s="24"/>
      <c r="M144" s="125" t="s">
        <v>1</v>
      </c>
      <c r="N144" s="126" t="s">
        <v>32</v>
      </c>
      <c r="O144" s="127">
        <v>0</v>
      </c>
      <c r="P144" s="127">
        <f t="shared" si="1"/>
        <v>0</v>
      </c>
      <c r="Q144" s="127">
        <v>0</v>
      </c>
      <c r="R144" s="127">
        <f t="shared" si="2"/>
        <v>0</v>
      </c>
      <c r="S144" s="127">
        <v>0</v>
      </c>
      <c r="T144" s="128">
        <f t="shared" si="3"/>
        <v>0</v>
      </c>
      <c r="W144" s="199"/>
      <c r="X144" s="205" t="s">
        <v>289</v>
      </c>
      <c r="Y144" s="119" t="s">
        <v>231</v>
      </c>
      <c r="Z144" s="120" t="s">
        <v>1735</v>
      </c>
      <c r="AA144" s="121" t="s">
        <v>3991</v>
      </c>
      <c r="AB144" s="122" t="s">
        <v>1194</v>
      </c>
      <c r="AC144" s="206">
        <f t="shared" si="12"/>
        <v>0</v>
      </c>
      <c r="AD144" s="124">
        <v>40.049999999999997</v>
      </c>
      <c r="AE144" s="200">
        <f t="shared" si="4"/>
        <v>0</v>
      </c>
      <c r="AF144" s="227">
        <v>21</v>
      </c>
      <c r="AR144" s="129" t="s">
        <v>235</v>
      </c>
      <c r="AT144" s="129" t="s">
        <v>231</v>
      </c>
      <c r="AU144" s="129" t="s">
        <v>63</v>
      </c>
      <c r="AY144" s="13" t="s">
        <v>228</v>
      </c>
      <c r="BE144" s="130">
        <f t="shared" si="5"/>
        <v>0</v>
      </c>
      <c r="BF144" s="130">
        <f t="shared" si="6"/>
        <v>40.049999999999997</v>
      </c>
      <c r="BG144" s="130">
        <f t="shared" si="7"/>
        <v>0</v>
      </c>
      <c r="BH144" s="130">
        <f t="shared" si="8"/>
        <v>0</v>
      </c>
      <c r="BI144" s="130">
        <f t="shared" si="9"/>
        <v>0</v>
      </c>
      <c r="BJ144" s="13" t="s">
        <v>76</v>
      </c>
      <c r="BK144" s="130">
        <f t="shared" si="10"/>
        <v>40.049999999999997</v>
      </c>
      <c r="BL144" s="13" t="s">
        <v>235</v>
      </c>
      <c r="BM144" s="129" t="s">
        <v>293</v>
      </c>
    </row>
    <row r="145" spans="2:65" s="1" customFormat="1" ht="16.5" customHeight="1" x14ac:dyDescent="0.2">
      <c r="B145" s="118"/>
      <c r="C145" s="242" t="s">
        <v>262</v>
      </c>
      <c r="D145" s="131" t="s">
        <v>277</v>
      </c>
      <c r="E145" s="132" t="s">
        <v>1735</v>
      </c>
      <c r="F145" s="133" t="s">
        <v>3991</v>
      </c>
      <c r="G145" s="134" t="s">
        <v>1194</v>
      </c>
      <c r="H145" s="241">
        <v>1</v>
      </c>
      <c r="I145" s="136">
        <v>459.18</v>
      </c>
      <c r="J145" s="136">
        <f t="shared" si="0"/>
        <v>459.18</v>
      </c>
      <c r="K145" s="133" t="s">
        <v>1</v>
      </c>
      <c r="L145" s="137"/>
      <c r="M145" s="138" t="s">
        <v>1</v>
      </c>
      <c r="N145" s="139" t="s">
        <v>32</v>
      </c>
      <c r="O145" s="127">
        <v>0</v>
      </c>
      <c r="P145" s="127">
        <f t="shared" si="1"/>
        <v>0</v>
      </c>
      <c r="Q145" s="127">
        <v>0</v>
      </c>
      <c r="R145" s="127">
        <f t="shared" si="2"/>
        <v>0</v>
      </c>
      <c r="S145" s="127">
        <v>0</v>
      </c>
      <c r="T145" s="128">
        <f t="shared" si="3"/>
        <v>0</v>
      </c>
      <c r="W145" s="199"/>
      <c r="X145" s="242" t="s">
        <v>262</v>
      </c>
      <c r="Y145" s="131" t="s">
        <v>277</v>
      </c>
      <c r="Z145" s="132" t="s">
        <v>1735</v>
      </c>
      <c r="AA145" s="133" t="s">
        <v>3991</v>
      </c>
      <c r="AB145" s="134" t="s">
        <v>1194</v>
      </c>
      <c r="AC145" s="241">
        <f t="shared" si="12"/>
        <v>0</v>
      </c>
      <c r="AD145" s="136">
        <v>459.18</v>
      </c>
      <c r="AE145" s="229">
        <f t="shared" si="4"/>
        <v>0</v>
      </c>
      <c r="AF145" s="227">
        <v>21</v>
      </c>
      <c r="AR145" s="129" t="s">
        <v>244</v>
      </c>
      <c r="AT145" s="129" t="s">
        <v>277</v>
      </c>
      <c r="AU145" s="129" t="s">
        <v>63</v>
      </c>
      <c r="AY145" s="13" t="s">
        <v>228</v>
      </c>
      <c r="BE145" s="130">
        <f t="shared" si="5"/>
        <v>0</v>
      </c>
      <c r="BF145" s="130">
        <f t="shared" si="6"/>
        <v>459.18</v>
      </c>
      <c r="BG145" s="130">
        <f t="shared" si="7"/>
        <v>0</v>
      </c>
      <c r="BH145" s="130">
        <f t="shared" si="8"/>
        <v>0</v>
      </c>
      <c r="BI145" s="130">
        <f t="shared" si="9"/>
        <v>0</v>
      </c>
      <c r="BJ145" s="13" t="s">
        <v>76</v>
      </c>
      <c r="BK145" s="130">
        <f t="shared" si="10"/>
        <v>459.18</v>
      </c>
      <c r="BL145" s="13" t="s">
        <v>235</v>
      </c>
      <c r="BM145" s="129" t="s">
        <v>296</v>
      </c>
    </row>
    <row r="146" spans="2:65" s="1" customFormat="1" ht="16.5" customHeight="1" x14ac:dyDescent="0.2">
      <c r="B146" s="118"/>
      <c r="C146" s="205" t="s">
        <v>297</v>
      </c>
      <c r="D146" s="119" t="s">
        <v>231</v>
      </c>
      <c r="E146" s="120" t="s">
        <v>1740</v>
      </c>
      <c r="F146" s="121" t="s">
        <v>1801</v>
      </c>
      <c r="G146" s="122" t="s">
        <v>1194</v>
      </c>
      <c r="H146" s="206">
        <v>7</v>
      </c>
      <c r="I146" s="124">
        <v>14.76</v>
      </c>
      <c r="J146" s="124">
        <f t="shared" si="0"/>
        <v>103.32</v>
      </c>
      <c r="K146" s="121" t="s">
        <v>1</v>
      </c>
      <c r="L146" s="24"/>
      <c r="M146" s="125" t="s">
        <v>1</v>
      </c>
      <c r="N146" s="126" t="s">
        <v>32</v>
      </c>
      <c r="O146" s="127">
        <v>0</v>
      </c>
      <c r="P146" s="127">
        <f t="shared" si="1"/>
        <v>0</v>
      </c>
      <c r="Q146" s="127">
        <v>0</v>
      </c>
      <c r="R146" s="127">
        <f t="shared" si="2"/>
        <v>0</v>
      </c>
      <c r="S146" s="127">
        <v>0</v>
      </c>
      <c r="T146" s="128">
        <f t="shared" si="3"/>
        <v>0</v>
      </c>
      <c r="W146" s="199"/>
      <c r="X146" s="205" t="s">
        <v>297</v>
      </c>
      <c r="Y146" s="119" t="s">
        <v>231</v>
      </c>
      <c r="Z146" s="120" t="s">
        <v>1740</v>
      </c>
      <c r="AA146" s="121" t="s">
        <v>1801</v>
      </c>
      <c r="AB146" s="122" t="s">
        <v>1194</v>
      </c>
      <c r="AC146" s="206">
        <f>7+1</f>
        <v>8</v>
      </c>
      <c r="AD146" s="124">
        <v>14.76</v>
      </c>
      <c r="AE146" s="200">
        <f t="shared" si="4"/>
        <v>118.08</v>
      </c>
      <c r="AF146" s="227">
        <v>21</v>
      </c>
      <c r="AR146" s="129" t="s">
        <v>235</v>
      </c>
      <c r="AT146" s="129" t="s">
        <v>231</v>
      </c>
      <c r="AU146" s="129" t="s">
        <v>63</v>
      </c>
      <c r="AY146" s="13" t="s">
        <v>228</v>
      </c>
      <c r="BE146" s="130">
        <f t="shared" si="5"/>
        <v>0</v>
      </c>
      <c r="BF146" s="130">
        <f t="shared" si="6"/>
        <v>103.32</v>
      </c>
      <c r="BG146" s="130">
        <f t="shared" si="7"/>
        <v>0</v>
      </c>
      <c r="BH146" s="130">
        <f t="shared" si="8"/>
        <v>0</v>
      </c>
      <c r="BI146" s="130">
        <f t="shared" si="9"/>
        <v>0</v>
      </c>
      <c r="BJ146" s="13" t="s">
        <v>76</v>
      </c>
      <c r="BK146" s="130">
        <f t="shared" si="10"/>
        <v>103.32</v>
      </c>
      <c r="BL146" s="13" t="s">
        <v>235</v>
      </c>
      <c r="BM146" s="129" t="s">
        <v>300</v>
      </c>
    </row>
    <row r="147" spans="2:65" s="1" customFormat="1" ht="16.5" customHeight="1" x14ac:dyDescent="0.2">
      <c r="B147" s="118"/>
      <c r="C147" s="242" t="s">
        <v>7</v>
      </c>
      <c r="D147" s="131" t="s">
        <v>277</v>
      </c>
      <c r="E147" s="132" t="s">
        <v>1740</v>
      </c>
      <c r="F147" s="133" t="s">
        <v>1801</v>
      </c>
      <c r="G147" s="134" t="s">
        <v>1194</v>
      </c>
      <c r="H147" s="241">
        <v>7</v>
      </c>
      <c r="I147" s="136">
        <v>60.76</v>
      </c>
      <c r="J147" s="136">
        <f t="shared" si="0"/>
        <v>425.32</v>
      </c>
      <c r="K147" s="133" t="s">
        <v>1</v>
      </c>
      <c r="L147" s="137"/>
      <c r="M147" s="138" t="s">
        <v>1</v>
      </c>
      <c r="N147" s="139" t="s">
        <v>32</v>
      </c>
      <c r="O147" s="127">
        <v>0</v>
      </c>
      <c r="P147" s="127">
        <f t="shared" si="1"/>
        <v>0</v>
      </c>
      <c r="Q147" s="127">
        <v>0</v>
      </c>
      <c r="R147" s="127">
        <f t="shared" si="2"/>
        <v>0</v>
      </c>
      <c r="S147" s="127">
        <v>0</v>
      </c>
      <c r="T147" s="128">
        <f t="shared" si="3"/>
        <v>0</v>
      </c>
      <c r="W147" s="199"/>
      <c r="X147" s="242" t="s">
        <v>7</v>
      </c>
      <c r="Y147" s="131" t="s">
        <v>277</v>
      </c>
      <c r="Z147" s="132" t="s">
        <v>1740</v>
      </c>
      <c r="AA147" s="133" t="s">
        <v>1801</v>
      </c>
      <c r="AB147" s="134" t="s">
        <v>1194</v>
      </c>
      <c r="AC147" s="241">
        <f>7+1</f>
        <v>8</v>
      </c>
      <c r="AD147" s="136">
        <v>60.76</v>
      </c>
      <c r="AE147" s="229">
        <f t="shared" si="4"/>
        <v>486.08</v>
      </c>
      <c r="AF147" s="227">
        <v>21</v>
      </c>
      <c r="AR147" s="129" t="s">
        <v>244</v>
      </c>
      <c r="AT147" s="129" t="s">
        <v>277</v>
      </c>
      <c r="AU147" s="129" t="s">
        <v>63</v>
      </c>
      <c r="AY147" s="13" t="s">
        <v>228</v>
      </c>
      <c r="BE147" s="130">
        <f t="shared" si="5"/>
        <v>0</v>
      </c>
      <c r="BF147" s="130">
        <f t="shared" si="6"/>
        <v>425.32</v>
      </c>
      <c r="BG147" s="130">
        <f t="shared" si="7"/>
        <v>0</v>
      </c>
      <c r="BH147" s="130">
        <f t="shared" si="8"/>
        <v>0</v>
      </c>
      <c r="BI147" s="130">
        <f t="shared" si="9"/>
        <v>0</v>
      </c>
      <c r="BJ147" s="13" t="s">
        <v>76</v>
      </c>
      <c r="BK147" s="130">
        <f t="shared" si="10"/>
        <v>425.32</v>
      </c>
      <c r="BL147" s="13" t="s">
        <v>235</v>
      </c>
      <c r="BM147" s="129" t="s">
        <v>303</v>
      </c>
    </row>
    <row r="148" spans="2:65" s="1" customFormat="1" ht="16.5" customHeight="1" x14ac:dyDescent="0.2">
      <c r="B148" s="118"/>
      <c r="C148" s="205" t="s">
        <v>305</v>
      </c>
      <c r="D148" s="119" t="s">
        <v>231</v>
      </c>
      <c r="E148" s="120" t="s">
        <v>1743</v>
      </c>
      <c r="F148" s="121" t="s">
        <v>3992</v>
      </c>
      <c r="G148" s="122" t="s">
        <v>1194</v>
      </c>
      <c r="H148" s="206">
        <v>2</v>
      </c>
      <c r="I148" s="124">
        <v>14.76</v>
      </c>
      <c r="J148" s="124">
        <f t="shared" si="0"/>
        <v>29.52</v>
      </c>
      <c r="K148" s="121" t="s">
        <v>1</v>
      </c>
      <c r="L148" s="24"/>
      <c r="M148" s="125" t="s">
        <v>1</v>
      </c>
      <c r="N148" s="126" t="s">
        <v>32</v>
      </c>
      <c r="O148" s="127">
        <v>0</v>
      </c>
      <c r="P148" s="127">
        <f t="shared" si="1"/>
        <v>0</v>
      </c>
      <c r="Q148" s="127">
        <v>0</v>
      </c>
      <c r="R148" s="127">
        <f t="shared" si="2"/>
        <v>0</v>
      </c>
      <c r="S148" s="127">
        <v>0</v>
      </c>
      <c r="T148" s="128">
        <f t="shared" si="3"/>
        <v>0</v>
      </c>
      <c r="W148" s="199"/>
      <c r="X148" s="205" t="s">
        <v>305</v>
      </c>
      <c r="Y148" s="119" t="s">
        <v>231</v>
      </c>
      <c r="Z148" s="120" t="s">
        <v>1743</v>
      </c>
      <c r="AA148" s="121" t="s">
        <v>3992</v>
      </c>
      <c r="AB148" s="122" t="s">
        <v>1194</v>
      </c>
      <c r="AC148" s="206">
        <f>2+2</f>
        <v>4</v>
      </c>
      <c r="AD148" s="124">
        <v>14.76</v>
      </c>
      <c r="AE148" s="200">
        <f t="shared" si="4"/>
        <v>59.04</v>
      </c>
      <c r="AF148" s="227">
        <v>21</v>
      </c>
      <c r="AR148" s="129" t="s">
        <v>235</v>
      </c>
      <c r="AT148" s="129" t="s">
        <v>231</v>
      </c>
      <c r="AU148" s="129" t="s">
        <v>63</v>
      </c>
      <c r="AY148" s="13" t="s">
        <v>228</v>
      </c>
      <c r="BE148" s="130">
        <f t="shared" si="5"/>
        <v>0</v>
      </c>
      <c r="BF148" s="130">
        <f t="shared" si="6"/>
        <v>29.52</v>
      </c>
      <c r="BG148" s="130">
        <f t="shared" si="7"/>
        <v>0</v>
      </c>
      <c r="BH148" s="130">
        <f t="shared" si="8"/>
        <v>0</v>
      </c>
      <c r="BI148" s="130">
        <f t="shared" si="9"/>
        <v>0</v>
      </c>
      <c r="BJ148" s="13" t="s">
        <v>76</v>
      </c>
      <c r="BK148" s="130">
        <f t="shared" si="10"/>
        <v>29.52</v>
      </c>
      <c r="BL148" s="13" t="s">
        <v>235</v>
      </c>
      <c r="BM148" s="129" t="s">
        <v>308</v>
      </c>
    </row>
    <row r="149" spans="2:65" s="1" customFormat="1" ht="16.5" customHeight="1" x14ac:dyDescent="0.2">
      <c r="B149" s="118"/>
      <c r="C149" s="242" t="s">
        <v>268</v>
      </c>
      <c r="D149" s="131" t="s">
        <v>277</v>
      </c>
      <c r="E149" s="132" t="s">
        <v>1743</v>
      </c>
      <c r="F149" s="133" t="s">
        <v>4550</v>
      </c>
      <c r="G149" s="134" t="s">
        <v>1194</v>
      </c>
      <c r="H149" s="241">
        <v>2</v>
      </c>
      <c r="I149" s="136">
        <v>139.53</v>
      </c>
      <c r="J149" s="136">
        <f t="shared" si="0"/>
        <v>279.06</v>
      </c>
      <c r="K149" s="133" t="s">
        <v>1</v>
      </c>
      <c r="L149" s="137"/>
      <c r="M149" s="138" t="s">
        <v>1</v>
      </c>
      <c r="N149" s="139" t="s">
        <v>32</v>
      </c>
      <c r="O149" s="127">
        <v>0</v>
      </c>
      <c r="P149" s="127">
        <f t="shared" si="1"/>
        <v>0</v>
      </c>
      <c r="Q149" s="127">
        <v>0</v>
      </c>
      <c r="R149" s="127">
        <f t="shared" si="2"/>
        <v>0</v>
      </c>
      <c r="S149" s="127">
        <v>0</v>
      </c>
      <c r="T149" s="128">
        <f t="shared" si="3"/>
        <v>0</v>
      </c>
      <c r="W149" s="199"/>
      <c r="X149" s="242" t="s">
        <v>268</v>
      </c>
      <c r="Y149" s="131" t="s">
        <v>277</v>
      </c>
      <c r="Z149" s="132" t="s">
        <v>1743</v>
      </c>
      <c r="AA149" s="133" t="s">
        <v>4550</v>
      </c>
      <c r="AB149" s="134" t="s">
        <v>1194</v>
      </c>
      <c r="AC149" s="241">
        <f>2+2</f>
        <v>4</v>
      </c>
      <c r="AD149" s="136">
        <v>139.53</v>
      </c>
      <c r="AE149" s="229">
        <f t="shared" si="4"/>
        <v>558.12</v>
      </c>
      <c r="AF149" s="227">
        <v>21</v>
      </c>
      <c r="AR149" s="129" t="s">
        <v>244</v>
      </c>
      <c r="AT149" s="129" t="s">
        <v>277</v>
      </c>
      <c r="AU149" s="129" t="s">
        <v>63</v>
      </c>
      <c r="AY149" s="13" t="s">
        <v>228</v>
      </c>
      <c r="BE149" s="130">
        <f t="shared" si="5"/>
        <v>0</v>
      </c>
      <c r="BF149" s="130">
        <f t="shared" si="6"/>
        <v>279.06</v>
      </c>
      <c r="BG149" s="130">
        <f t="shared" si="7"/>
        <v>0</v>
      </c>
      <c r="BH149" s="130">
        <f t="shared" si="8"/>
        <v>0</v>
      </c>
      <c r="BI149" s="130">
        <f t="shared" si="9"/>
        <v>0</v>
      </c>
      <c r="BJ149" s="13" t="s">
        <v>76</v>
      </c>
      <c r="BK149" s="130">
        <f t="shared" si="10"/>
        <v>279.06</v>
      </c>
      <c r="BL149" s="13" t="s">
        <v>235</v>
      </c>
      <c r="BM149" s="129" t="s">
        <v>312</v>
      </c>
    </row>
    <row r="150" spans="2:65" s="1" customFormat="1" ht="16.5" customHeight="1" x14ac:dyDescent="0.2">
      <c r="B150" s="118"/>
      <c r="C150" s="205" t="s">
        <v>313</v>
      </c>
      <c r="D150" s="119" t="s">
        <v>231</v>
      </c>
      <c r="E150" s="120" t="s">
        <v>1746</v>
      </c>
      <c r="F150" s="121" t="s">
        <v>1804</v>
      </c>
      <c r="G150" s="122" t="s">
        <v>1194</v>
      </c>
      <c r="H150" s="206">
        <v>39</v>
      </c>
      <c r="I150" s="124">
        <v>13.08</v>
      </c>
      <c r="J150" s="124">
        <f t="shared" si="0"/>
        <v>510.12</v>
      </c>
      <c r="K150" s="121" t="s">
        <v>1</v>
      </c>
      <c r="L150" s="24"/>
      <c r="M150" s="125" t="s">
        <v>1</v>
      </c>
      <c r="N150" s="126" t="s">
        <v>32</v>
      </c>
      <c r="O150" s="127">
        <v>0</v>
      </c>
      <c r="P150" s="127">
        <f t="shared" si="1"/>
        <v>0</v>
      </c>
      <c r="Q150" s="127">
        <v>0</v>
      </c>
      <c r="R150" s="127">
        <f t="shared" si="2"/>
        <v>0</v>
      </c>
      <c r="S150" s="127">
        <v>0</v>
      </c>
      <c r="T150" s="128">
        <f t="shared" si="3"/>
        <v>0</v>
      </c>
      <c r="W150" s="199"/>
      <c r="X150" s="205" t="s">
        <v>313</v>
      </c>
      <c r="Y150" s="119" t="s">
        <v>231</v>
      </c>
      <c r="Z150" s="120" t="s">
        <v>1746</v>
      </c>
      <c r="AA150" s="121" t="s">
        <v>1804</v>
      </c>
      <c r="AB150" s="122" t="s">
        <v>1194</v>
      </c>
      <c r="AC150" s="206">
        <f>39+9</f>
        <v>48</v>
      </c>
      <c r="AD150" s="124">
        <v>13.08</v>
      </c>
      <c r="AE150" s="200">
        <f t="shared" si="4"/>
        <v>627.84</v>
      </c>
      <c r="AF150" s="227">
        <v>21</v>
      </c>
      <c r="AR150" s="129" t="s">
        <v>235</v>
      </c>
      <c r="AT150" s="129" t="s">
        <v>231</v>
      </c>
      <c r="AU150" s="129" t="s">
        <v>63</v>
      </c>
      <c r="AY150" s="13" t="s">
        <v>228</v>
      </c>
      <c r="BE150" s="130">
        <f t="shared" si="5"/>
        <v>0</v>
      </c>
      <c r="BF150" s="130">
        <f t="shared" si="6"/>
        <v>510.12</v>
      </c>
      <c r="BG150" s="130">
        <f t="shared" si="7"/>
        <v>0</v>
      </c>
      <c r="BH150" s="130">
        <f t="shared" si="8"/>
        <v>0</v>
      </c>
      <c r="BI150" s="130">
        <f t="shared" si="9"/>
        <v>0</v>
      </c>
      <c r="BJ150" s="13" t="s">
        <v>76</v>
      </c>
      <c r="BK150" s="130">
        <f t="shared" si="10"/>
        <v>510.12</v>
      </c>
      <c r="BL150" s="13" t="s">
        <v>235</v>
      </c>
      <c r="BM150" s="129" t="s">
        <v>316</v>
      </c>
    </row>
    <row r="151" spans="2:65" s="1" customFormat="1" ht="16.5" customHeight="1" x14ac:dyDescent="0.2">
      <c r="B151" s="118"/>
      <c r="C151" s="242" t="s">
        <v>272</v>
      </c>
      <c r="D151" s="131" t="s">
        <v>277</v>
      </c>
      <c r="E151" s="132" t="s">
        <v>1746</v>
      </c>
      <c r="F151" s="133" t="s">
        <v>1804</v>
      </c>
      <c r="G151" s="134" t="s">
        <v>1194</v>
      </c>
      <c r="H151" s="241">
        <v>39</v>
      </c>
      <c r="I151" s="136">
        <v>50.74</v>
      </c>
      <c r="J151" s="136">
        <f t="shared" si="0"/>
        <v>1978.86</v>
      </c>
      <c r="K151" s="133" t="s">
        <v>1</v>
      </c>
      <c r="L151" s="137"/>
      <c r="M151" s="138" t="s">
        <v>1</v>
      </c>
      <c r="N151" s="139" t="s">
        <v>32</v>
      </c>
      <c r="O151" s="127">
        <v>0</v>
      </c>
      <c r="P151" s="127">
        <f t="shared" si="1"/>
        <v>0</v>
      </c>
      <c r="Q151" s="127">
        <v>0</v>
      </c>
      <c r="R151" s="127">
        <f t="shared" si="2"/>
        <v>0</v>
      </c>
      <c r="S151" s="127">
        <v>0</v>
      </c>
      <c r="T151" s="128">
        <f t="shared" si="3"/>
        <v>0</v>
      </c>
      <c r="W151" s="199"/>
      <c r="X151" s="242" t="s">
        <v>272</v>
      </c>
      <c r="Y151" s="131" t="s">
        <v>277</v>
      </c>
      <c r="Z151" s="132" t="s">
        <v>1746</v>
      </c>
      <c r="AA151" s="133" t="s">
        <v>1804</v>
      </c>
      <c r="AB151" s="134" t="s">
        <v>1194</v>
      </c>
      <c r="AC151" s="241">
        <f>39+9</f>
        <v>48</v>
      </c>
      <c r="AD151" s="136">
        <v>50.74</v>
      </c>
      <c r="AE151" s="229">
        <f t="shared" si="4"/>
        <v>2435.52</v>
      </c>
      <c r="AF151" s="227">
        <v>21</v>
      </c>
      <c r="AR151" s="129" t="s">
        <v>244</v>
      </c>
      <c r="AT151" s="129" t="s">
        <v>277</v>
      </c>
      <c r="AU151" s="129" t="s">
        <v>63</v>
      </c>
      <c r="AY151" s="13" t="s">
        <v>228</v>
      </c>
      <c r="BE151" s="130">
        <f t="shared" si="5"/>
        <v>0</v>
      </c>
      <c r="BF151" s="130">
        <f t="shared" si="6"/>
        <v>1978.86</v>
      </c>
      <c r="BG151" s="130">
        <f t="shared" si="7"/>
        <v>0</v>
      </c>
      <c r="BH151" s="130">
        <f t="shared" si="8"/>
        <v>0</v>
      </c>
      <c r="BI151" s="130">
        <f t="shared" si="9"/>
        <v>0</v>
      </c>
      <c r="BJ151" s="13" t="s">
        <v>76</v>
      </c>
      <c r="BK151" s="130">
        <f t="shared" si="10"/>
        <v>1978.86</v>
      </c>
      <c r="BL151" s="13" t="s">
        <v>235</v>
      </c>
      <c r="BM151" s="129" t="s">
        <v>319</v>
      </c>
    </row>
    <row r="152" spans="2:65" s="1" customFormat="1" ht="16.5" customHeight="1" x14ac:dyDescent="0.2">
      <c r="B152" s="118"/>
      <c r="C152" s="205" t="s">
        <v>320</v>
      </c>
      <c r="D152" s="119" t="s">
        <v>231</v>
      </c>
      <c r="E152" s="120" t="s">
        <v>1749</v>
      </c>
      <c r="F152" s="121" t="s">
        <v>1807</v>
      </c>
      <c r="G152" s="122" t="s">
        <v>1194</v>
      </c>
      <c r="H152" s="206">
        <v>2</v>
      </c>
      <c r="I152" s="124">
        <v>20.83</v>
      </c>
      <c r="J152" s="124">
        <f t="shared" si="0"/>
        <v>41.66</v>
      </c>
      <c r="K152" s="121" t="s">
        <v>1</v>
      </c>
      <c r="L152" s="24"/>
      <c r="M152" s="125" t="s">
        <v>1</v>
      </c>
      <c r="N152" s="126" t="s">
        <v>32</v>
      </c>
      <c r="O152" s="127">
        <v>0</v>
      </c>
      <c r="P152" s="127">
        <f t="shared" si="1"/>
        <v>0</v>
      </c>
      <c r="Q152" s="127">
        <v>0</v>
      </c>
      <c r="R152" s="127">
        <f t="shared" si="2"/>
        <v>0</v>
      </c>
      <c r="S152" s="127">
        <v>0</v>
      </c>
      <c r="T152" s="128">
        <f t="shared" si="3"/>
        <v>0</v>
      </c>
      <c r="W152" s="199"/>
      <c r="X152" s="205" t="s">
        <v>320</v>
      </c>
      <c r="Y152" s="119" t="s">
        <v>231</v>
      </c>
      <c r="Z152" s="120" t="s">
        <v>1749</v>
      </c>
      <c r="AA152" s="121" t="s">
        <v>1807</v>
      </c>
      <c r="AB152" s="122" t="s">
        <v>1194</v>
      </c>
      <c r="AC152" s="206">
        <f>2+2</f>
        <v>4</v>
      </c>
      <c r="AD152" s="124">
        <v>20.83</v>
      </c>
      <c r="AE152" s="200">
        <f t="shared" si="4"/>
        <v>83.32</v>
      </c>
      <c r="AF152" s="227">
        <v>21</v>
      </c>
      <c r="AR152" s="129" t="s">
        <v>235</v>
      </c>
      <c r="AT152" s="129" t="s">
        <v>231</v>
      </c>
      <c r="AU152" s="129" t="s">
        <v>63</v>
      </c>
      <c r="AY152" s="13" t="s">
        <v>228</v>
      </c>
      <c r="BE152" s="130">
        <f t="shared" si="5"/>
        <v>0</v>
      </c>
      <c r="BF152" s="130">
        <f t="shared" si="6"/>
        <v>41.66</v>
      </c>
      <c r="BG152" s="130">
        <f t="shared" si="7"/>
        <v>0</v>
      </c>
      <c r="BH152" s="130">
        <f t="shared" si="8"/>
        <v>0</v>
      </c>
      <c r="BI152" s="130">
        <f t="shared" si="9"/>
        <v>0</v>
      </c>
      <c r="BJ152" s="13" t="s">
        <v>76</v>
      </c>
      <c r="BK152" s="130">
        <f t="shared" si="10"/>
        <v>41.66</v>
      </c>
      <c r="BL152" s="13" t="s">
        <v>235</v>
      </c>
      <c r="BM152" s="129" t="s">
        <v>323</v>
      </c>
    </row>
    <row r="153" spans="2:65" s="1" customFormat="1" ht="16.5" customHeight="1" x14ac:dyDescent="0.2">
      <c r="B153" s="118"/>
      <c r="C153" s="242" t="s">
        <v>276</v>
      </c>
      <c r="D153" s="131" t="s">
        <v>277</v>
      </c>
      <c r="E153" s="132" t="s">
        <v>1749</v>
      </c>
      <c r="F153" s="133" t="s">
        <v>1807</v>
      </c>
      <c r="G153" s="134" t="s">
        <v>1194</v>
      </c>
      <c r="H153" s="241">
        <v>2</v>
      </c>
      <c r="I153" s="136">
        <v>113.49</v>
      </c>
      <c r="J153" s="136">
        <f t="shared" si="0"/>
        <v>226.98</v>
      </c>
      <c r="K153" s="133" t="s">
        <v>1</v>
      </c>
      <c r="L153" s="137"/>
      <c r="M153" s="138" t="s">
        <v>1</v>
      </c>
      <c r="N153" s="139" t="s">
        <v>32</v>
      </c>
      <c r="O153" s="127">
        <v>0</v>
      </c>
      <c r="P153" s="127">
        <f t="shared" si="1"/>
        <v>0</v>
      </c>
      <c r="Q153" s="127">
        <v>0</v>
      </c>
      <c r="R153" s="127">
        <f t="shared" si="2"/>
        <v>0</v>
      </c>
      <c r="S153" s="127">
        <v>0</v>
      </c>
      <c r="T153" s="128">
        <f t="shared" si="3"/>
        <v>0</v>
      </c>
      <c r="W153" s="199"/>
      <c r="X153" s="242" t="s">
        <v>276</v>
      </c>
      <c r="Y153" s="131" t="s">
        <v>277</v>
      </c>
      <c r="Z153" s="132" t="s">
        <v>1749</v>
      </c>
      <c r="AA153" s="133" t="s">
        <v>1807</v>
      </c>
      <c r="AB153" s="134" t="s">
        <v>1194</v>
      </c>
      <c r="AC153" s="241">
        <f>2+2</f>
        <v>4</v>
      </c>
      <c r="AD153" s="136">
        <v>113.49</v>
      </c>
      <c r="AE153" s="229">
        <f t="shared" si="4"/>
        <v>453.96</v>
      </c>
      <c r="AF153" s="227">
        <v>21</v>
      </c>
      <c r="AR153" s="129" t="s">
        <v>244</v>
      </c>
      <c r="AT153" s="129" t="s">
        <v>277</v>
      </c>
      <c r="AU153" s="129" t="s">
        <v>63</v>
      </c>
      <c r="AY153" s="13" t="s">
        <v>228</v>
      </c>
      <c r="BE153" s="130">
        <f t="shared" si="5"/>
        <v>0</v>
      </c>
      <c r="BF153" s="130">
        <f t="shared" si="6"/>
        <v>226.98</v>
      </c>
      <c r="BG153" s="130">
        <f t="shared" si="7"/>
        <v>0</v>
      </c>
      <c r="BH153" s="130">
        <f t="shared" si="8"/>
        <v>0</v>
      </c>
      <c r="BI153" s="130">
        <f t="shared" si="9"/>
        <v>0</v>
      </c>
      <c r="BJ153" s="13" t="s">
        <v>76</v>
      </c>
      <c r="BK153" s="130">
        <f t="shared" si="10"/>
        <v>226.98</v>
      </c>
      <c r="BL153" s="13" t="s">
        <v>235</v>
      </c>
      <c r="BM153" s="129" t="s">
        <v>326</v>
      </c>
    </row>
    <row r="154" spans="2:65" s="1" customFormat="1" ht="16.5" customHeight="1" x14ac:dyDescent="0.2">
      <c r="B154" s="118"/>
      <c r="C154" s="205" t="s">
        <v>327</v>
      </c>
      <c r="D154" s="119" t="s">
        <v>231</v>
      </c>
      <c r="E154" s="120" t="s">
        <v>1752</v>
      </c>
      <c r="F154" s="121" t="s">
        <v>1810</v>
      </c>
      <c r="G154" s="122" t="s">
        <v>1194</v>
      </c>
      <c r="H154" s="206">
        <v>5</v>
      </c>
      <c r="I154" s="124">
        <v>20.83</v>
      </c>
      <c r="J154" s="124">
        <f t="shared" si="0"/>
        <v>104.15</v>
      </c>
      <c r="K154" s="121" t="s">
        <v>1</v>
      </c>
      <c r="L154" s="24"/>
      <c r="M154" s="125" t="s">
        <v>1</v>
      </c>
      <c r="N154" s="126" t="s">
        <v>32</v>
      </c>
      <c r="O154" s="127">
        <v>0</v>
      </c>
      <c r="P154" s="127">
        <f t="shared" si="1"/>
        <v>0</v>
      </c>
      <c r="Q154" s="127">
        <v>0</v>
      </c>
      <c r="R154" s="127">
        <f t="shared" si="2"/>
        <v>0</v>
      </c>
      <c r="S154" s="127">
        <v>0</v>
      </c>
      <c r="T154" s="128">
        <f t="shared" si="3"/>
        <v>0</v>
      </c>
      <c r="W154" s="199"/>
      <c r="X154" s="205" t="s">
        <v>327</v>
      </c>
      <c r="Y154" s="119" t="s">
        <v>231</v>
      </c>
      <c r="Z154" s="120" t="s">
        <v>1752</v>
      </c>
      <c r="AA154" s="121" t="s">
        <v>1810</v>
      </c>
      <c r="AB154" s="122" t="s">
        <v>1194</v>
      </c>
      <c r="AC154" s="206">
        <f>5+1</f>
        <v>6</v>
      </c>
      <c r="AD154" s="124">
        <v>20.83</v>
      </c>
      <c r="AE154" s="200">
        <f t="shared" si="4"/>
        <v>124.98</v>
      </c>
      <c r="AF154" s="227">
        <v>21</v>
      </c>
      <c r="AR154" s="129" t="s">
        <v>235</v>
      </c>
      <c r="AT154" s="129" t="s">
        <v>231</v>
      </c>
      <c r="AU154" s="129" t="s">
        <v>63</v>
      </c>
      <c r="AY154" s="13" t="s">
        <v>228</v>
      </c>
      <c r="BE154" s="130">
        <f t="shared" si="5"/>
        <v>0</v>
      </c>
      <c r="BF154" s="130">
        <f t="shared" si="6"/>
        <v>104.15</v>
      </c>
      <c r="BG154" s="130">
        <f t="shared" si="7"/>
        <v>0</v>
      </c>
      <c r="BH154" s="130">
        <f t="shared" si="8"/>
        <v>0</v>
      </c>
      <c r="BI154" s="130">
        <f t="shared" si="9"/>
        <v>0</v>
      </c>
      <c r="BJ154" s="13" t="s">
        <v>76</v>
      </c>
      <c r="BK154" s="130">
        <f t="shared" si="10"/>
        <v>104.15</v>
      </c>
      <c r="BL154" s="13" t="s">
        <v>235</v>
      </c>
      <c r="BM154" s="129" t="s">
        <v>330</v>
      </c>
    </row>
    <row r="155" spans="2:65" s="1" customFormat="1" ht="16.5" customHeight="1" x14ac:dyDescent="0.2">
      <c r="B155" s="118"/>
      <c r="C155" s="242" t="s">
        <v>280</v>
      </c>
      <c r="D155" s="131" t="s">
        <v>277</v>
      </c>
      <c r="E155" s="132" t="s">
        <v>1752</v>
      </c>
      <c r="F155" s="133" t="s">
        <v>1810</v>
      </c>
      <c r="G155" s="134" t="s">
        <v>1194</v>
      </c>
      <c r="H155" s="241">
        <v>5</v>
      </c>
      <c r="I155" s="136">
        <v>107.08</v>
      </c>
      <c r="J155" s="136">
        <f t="shared" si="0"/>
        <v>535.4</v>
      </c>
      <c r="K155" s="133" t="s">
        <v>1</v>
      </c>
      <c r="L155" s="137"/>
      <c r="M155" s="138" t="s">
        <v>1</v>
      </c>
      <c r="N155" s="139" t="s">
        <v>32</v>
      </c>
      <c r="O155" s="127">
        <v>0</v>
      </c>
      <c r="P155" s="127">
        <f t="shared" si="1"/>
        <v>0</v>
      </c>
      <c r="Q155" s="127">
        <v>0</v>
      </c>
      <c r="R155" s="127">
        <f t="shared" si="2"/>
        <v>0</v>
      </c>
      <c r="S155" s="127">
        <v>0</v>
      </c>
      <c r="T155" s="128">
        <f t="shared" si="3"/>
        <v>0</v>
      </c>
      <c r="W155" s="199"/>
      <c r="X155" s="242" t="s">
        <v>280</v>
      </c>
      <c r="Y155" s="131" t="s">
        <v>277</v>
      </c>
      <c r="Z155" s="132" t="s">
        <v>1752</v>
      </c>
      <c r="AA155" s="133" t="s">
        <v>1810</v>
      </c>
      <c r="AB155" s="134" t="s">
        <v>1194</v>
      </c>
      <c r="AC155" s="241">
        <f>5+1</f>
        <v>6</v>
      </c>
      <c r="AD155" s="136">
        <v>107.08</v>
      </c>
      <c r="AE155" s="229">
        <f t="shared" si="4"/>
        <v>642.48</v>
      </c>
      <c r="AF155" s="227">
        <v>21</v>
      </c>
      <c r="AR155" s="129" t="s">
        <v>244</v>
      </c>
      <c r="AT155" s="129" t="s">
        <v>277</v>
      </c>
      <c r="AU155" s="129" t="s">
        <v>63</v>
      </c>
      <c r="AY155" s="13" t="s">
        <v>228</v>
      </c>
      <c r="BE155" s="130">
        <f t="shared" si="5"/>
        <v>0</v>
      </c>
      <c r="BF155" s="130">
        <f t="shared" si="6"/>
        <v>535.4</v>
      </c>
      <c r="BG155" s="130">
        <f t="shared" si="7"/>
        <v>0</v>
      </c>
      <c r="BH155" s="130">
        <f t="shared" si="8"/>
        <v>0</v>
      </c>
      <c r="BI155" s="130">
        <f t="shared" si="9"/>
        <v>0</v>
      </c>
      <c r="BJ155" s="13" t="s">
        <v>76</v>
      </c>
      <c r="BK155" s="130">
        <f t="shared" si="10"/>
        <v>535.4</v>
      </c>
      <c r="BL155" s="13" t="s">
        <v>235</v>
      </c>
      <c r="BM155" s="129" t="s">
        <v>333</v>
      </c>
    </row>
    <row r="156" spans="2:65" s="1" customFormat="1" ht="16.5" customHeight="1" x14ac:dyDescent="0.2">
      <c r="B156" s="118"/>
      <c r="C156" s="205" t="s">
        <v>334</v>
      </c>
      <c r="D156" s="119" t="s">
        <v>231</v>
      </c>
      <c r="E156" s="120" t="s">
        <v>1755</v>
      </c>
      <c r="F156" s="121" t="s">
        <v>1813</v>
      </c>
      <c r="G156" s="122" t="s">
        <v>1194</v>
      </c>
      <c r="H156" s="206">
        <v>5</v>
      </c>
      <c r="I156" s="124">
        <v>20.83</v>
      </c>
      <c r="J156" s="124">
        <f t="shared" si="0"/>
        <v>104.15</v>
      </c>
      <c r="K156" s="121" t="s">
        <v>1</v>
      </c>
      <c r="L156" s="24"/>
      <c r="M156" s="125" t="s">
        <v>1</v>
      </c>
      <c r="N156" s="126" t="s">
        <v>32</v>
      </c>
      <c r="O156" s="127">
        <v>0</v>
      </c>
      <c r="P156" s="127">
        <f t="shared" si="1"/>
        <v>0</v>
      </c>
      <c r="Q156" s="127">
        <v>0</v>
      </c>
      <c r="R156" s="127">
        <f t="shared" si="2"/>
        <v>0</v>
      </c>
      <c r="S156" s="127">
        <v>0</v>
      </c>
      <c r="T156" s="128">
        <f t="shared" si="3"/>
        <v>0</v>
      </c>
      <c r="W156" s="199"/>
      <c r="X156" s="205" t="s">
        <v>334</v>
      </c>
      <c r="Y156" s="119" t="s">
        <v>231</v>
      </c>
      <c r="Z156" s="120" t="s">
        <v>1755</v>
      </c>
      <c r="AA156" s="121" t="s">
        <v>1813</v>
      </c>
      <c r="AB156" s="122" t="s">
        <v>1194</v>
      </c>
      <c r="AC156" s="206">
        <f>5+6</f>
        <v>11</v>
      </c>
      <c r="AD156" s="124">
        <v>20.83</v>
      </c>
      <c r="AE156" s="200">
        <f t="shared" si="4"/>
        <v>229.13</v>
      </c>
      <c r="AF156" s="227">
        <v>21</v>
      </c>
      <c r="AR156" s="129" t="s">
        <v>235</v>
      </c>
      <c r="AT156" s="129" t="s">
        <v>231</v>
      </c>
      <c r="AU156" s="129" t="s">
        <v>63</v>
      </c>
      <c r="AY156" s="13" t="s">
        <v>228</v>
      </c>
      <c r="BE156" s="130">
        <f t="shared" si="5"/>
        <v>0</v>
      </c>
      <c r="BF156" s="130">
        <f t="shared" si="6"/>
        <v>104.15</v>
      </c>
      <c r="BG156" s="130">
        <f t="shared" si="7"/>
        <v>0</v>
      </c>
      <c r="BH156" s="130">
        <f t="shared" si="8"/>
        <v>0</v>
      </c>
      <c r="BI156" s="130">
        <f t="shared" si="9"/>
        <v>0</v>
      </c>
      <c r="BJ156" s="13" t="s">
        <v>76</v>
      </c>
      <c r="BK156" s="130">
        <f t="shared" si="10"/>
        <v>104.15</v>
      </c>
      <c r="BL156" s="13" t="s">
        <v>235</v>
      </c>
      <c r="BM156" s="129" t="s">
        <v>337</v>
      </c>
    </row>
    <row r="157" spans="2:65" s="1" customFormat="1" ht="16.5" customHeight="1" x14ac:dyDescent="0.2">
      <c r="B157" s="118"/>
      <c r="C157" s="242" t="s">
        <v>285</v>
      </c>
      <c r="D157" s="131" t="s">
        <v>277</v>
      </c>
      <c r="E157" s="132" t="s">
        <v>1755</v>
      </c>
      <c r="F157" s="133" t="s">
        <v>1813</v>
      </c>
      <c r="G157" s="134" t="s">
        <v>1194</v>
      </c>
      <c r="H157" s="241">
        <v>5</v>
      </c>
      <c r="I157" s="136">
        <v>25.1</v>
      </c>
      <c r="J157" s="136">
        <f t="shared" si="0"/>
        <v>125.5</v>
      </c>
      <c r="K157" s="133" t="s">
        <v>1</v>
      </c>
      <c r="L157" s="137"/>
      <c r="M157" s="138" t="s">
        <v>1</v>
      </c>
      <c r="N157" s="139" t="s">
        <v>32</v>
      </c>
      <c r="O157" s="127">
        <v>0</v>
      </c>
      <c r="P157" s="127">
        <f t="shared" si="1"/>
        <v>0</v>
      </c>
      <c r="Q157" s="127">
        <v>0</v>
      </c>
      <c r="R157" s="127">
        <f t="shared" si="2"/>
        <v>0</v>
      </c>
      <c r="S157" s="127">
        <v>0</v>
      </c>
      <c r="T157" s="128">
        <f t="shared" si="3"/>
        <v>0</v>
      </c>
      <c r="W157" s="199"/>
      <c r="X157" s="242" t="s">
        <v>285</v>
      </c>
      <c r="Y157" s="131" t="s">
        <v>277</v>
      </c>
      <c r="Z157" s="132" t="s">
        <v>1755</v>
      </c>
      <c r="AA157" s="133" t="s">
        <v>1813</v>
      </c>
      <c r="AB157" s="134" t="s">
        <v>1194</v>
      </c>
      <c r="AC157" s="241">
        <f>5+6</f>
        <v>11</v>
      </c>
      <c r="AD157" s="136">
        <v>25.1</v>
      </c>
      <c r="AE157" s="229">
        <f t="shared" si="4"/>
        <v>276.10000000000002</v>
      </c>
      <c r="AF157" s="227">
        <v>21</v>
      </c>
      <c r="AR157" s="129" t="s">
        <v>244</v>
      </c>
      <c r="AT157" s="129" t="s">
        <v>277</v>
      </c>
      <c r="AU157" s="129" t="s">
        <v>63</v>
      </c>
      <c r="AY157" s="13" t="s">
        <v>228</v>
      </c>
      <c r="BE157" s="130">
        <f t="shared" si="5"/>
        <v>0</v>
      </c>
      <c r="BF157" s="130">
        <f t="shared" si="6"/>
        <v>125.5</v>
      </c>
      <c r="BG157" s="130">
        <f t="shared" si="7"/>
        <v>0</v>
      </c>
      <c r="BH157" s="130">
        <f t="shared" si="8"/>
        <v>0</v>
      </c>
      <c r="BI157" s="130">
        <f t="shared" si="9"/>
        <v>0</v>
      </c>
      <c r="BJ157" s="13" t="s">
        <v>76</v>
      </c>
      <c r="BK157" s="130">
        <f t="shared" si="10"/>
        <v>125.5</v>
      </c>
      <c r="BL157" s="13" t="s">
        <v>235</v>
      </c>
      <c r="BM157" s="129" t="s">
        <v>340</v>
      </c>
    </row>
    <row r="158" spans="2:65" s="1" customFormat="1" ht="24" customHeight="1" x14ac:dyDescent="0.2">
      <c r="B158" s="118"/>
      <c r="C158" s="205" t="s">
        <v>341</v>
      </c>
      <c r="D158" s="119" t="s">
        <v>231</v>
      </c>
      <c r="E158" s="120" t="s">
        <v>1365</v>
      </c>
      <c r="F158" s="121" t="s">
        <v>1366</v>
      </c>
      <c r="G158" s="122" t="s">
        <v>1194</v>
      </c>
      <c r="H158" s="206">
        <v>2</v>
      </c>
      <c r="I158" s="124">
        <v>4.74</v>
      </c>
      <c r="J158" s="124">
        <f t="shared" si="0"/>
        <v>9.48</v>
      </c>
      <c r="K158" s="121" t="s">
        <v>1</v>
      </c>
      <c r="L158" s="24"/>
      <c r="M158" s="125" t="s">
        <v>1</v>
      </c>
      <c r="N158" s="126" t="s">
        <v>32</v>
      </c>
      <c r="O158" s="127">
        <v>0</v>
      </c>
      <c r="P158" s="127">
        <f t="shared" si="1"/>
        <v>0</v>
      </c>
      <c r="Q158" s="127">
        <v>0</v>
      </c>
      <c r="R158" s="127">
        <f t="shared" si="2"/>
        <v>0</v>
      </c>
      <c r="S158" s="127">
        <v>0</v>
      </c>
      <c r="T158" s="128">
        <f t="shared" si="3"/>
        <v>0</v>
      </c>
      <c r="W158" s="199"/>
      <c r="X158" s="205" t="s">
        <v>341</v>
      </c>
      <c r="Y158" s="119" t="s">
        <v>231</v>
      </c>
      <c r="Z158" s="120" t="s">
        <v>1365</v>
      </c>
      <c r="AA158" s="121" t="s">
        <v>1366</v>
      </c>
      <c r="AB158" s="122" t="s">
        <v>1194</v>
      </c>
      <c r="AC158" s="206">
        <f>2+2</f>
        <v>4</v>
      </c>
      <c r="AD158" s="124">
        <v>4.74</v>
      </c>
      <c r="AE158" s="200">
        <f t="shared" si="4"/>
        <v>18.96</v>
      </c>
      <c r="AF158" s="227">
        <v>21</v>
      </c>
      <c r="AR158" s="129" t="s">
        <v>235</v>
      </c>
      <c r="AT158" s="129" t="s">
        <v>231</v>
      </c>
      <c r="AU158" s="129" t="s">
        <v>63</v>
      </c>
      <c r="AY158" s="13" t="s">
        <v>228</v>
      </c>
      <c r="BE158" s="130">
        <f t="shared" si="5"/>
        <v>0</v>
      </c>
      <c r="BF158" s="130">
        <f t="shared" si="6"/>
        <v>9.48</v>
      </c>
      <c r="BG158" s="130">
        <f t="shared" si="7"/>
        <v>0</v>
      </c>
      <c r="BH158" s="130">
        <f t="shared" si="8"/>
        <v>0</v>
      </c>
      <c r="BI158" s="130">
        <f t="shared" si="9"/>
        <v>0</v>
      </c>
      <c r="BJ158" s="13" t="s">
        <v>76</v>
      </c>
      <c r="BK158" s="130">
        <f t="shared" si="10"/>
        <v>9.48</v>
      </c>
      <c r="BL158" s="13" t="s">
        <v>235</v>
      </c>
      <c r="BM158" s="129" t="s">
        <v>344</v>
      </c>
    </row>
    <row r="159" spans="2:65" s="1" customFormat="1" ht="24" customHeight="1" x14ac:dyDescent="0.2">
      <c r="B159" s="118"/>
      <c r="C159" s="205" t="s">
        <v>288</v>
      </c>
      <c r="D159" s="119" t="s">
        <v>231</v>
      </c>
      <c r="E159" s="120" t="s">
        <v>1328</v>
      </c>
      <c r="F159" s="121" t="s">
        <v>1329</v>
      </c>
      <c r="G159" s="122" t="s">
        <v>1194</v>
      </c>
      <c r="H159" s="206">
        <v>6</v>
      </c>
      <c r="I159" s="124">
        <v>0.87</v>
      </c>
      <c r="J159" s="124">
        <f t="shared" si="0"/>
        <v>5.22</v>
      </c>
      <c r="K159" s="121" t="s">
        <v>1</v>
      </c>
      <c r="L159" s="24"/>
      <c r="M159" s="125" t="s">
        <v>1</v>
      </c>
      <c r="N159" s="126" t="s">
        <v>32</v>
      </c>
      <c r="O159" s="127">
        <v>0</v>
      </c>
      <c r="P159" s="127">
        <f t="shared" si="1"/>
        <v>0</v>
      </c>
      <c r="Q159" s="127">
        <v>0</v>
      </c>
      <c r="R159" s="127">
        <f t="shared" si="2"/>
        <v>0</v>
      </c>
      <c r="S159" s="127">
        <v>0</v>
      </c>
      <c r="T159" s="128">
        <f t="shared" si="3"/>
        <v>0</v>
      </c>
      <c r="W159" s="199"/>
      <c r="X159" s="205" t="s">
        <v>288</v>
      </c>
      <c r="Y159" s="119" t="s">
        <v>231</v>
      </c>
      <c r="Z159" s="120" t="s">
        <v>1328</v>
      </c>
      <c r="AA159" s="121" t="s">
        <v>1329</v>
      </c>
      <c r="AB159" s="122" t="s">
        <v>1194</v>
      </c>
      <c r="AC159" s="206">
        <f>6+6</f>
        <v>12</v>
      </c>
      <c r="AD159" s="124">
        <v>0.87</v>
      </c>
      <c r="AE159" s="200">
        <f t="shared" si="4"/>
        <v>10.44</v>
      </c>
      <c r="AF159" s="227">
        <v>21</v>
      </c>
      <c r="AR159" s="129" t="s">
        <v>235</v>
      </c>
      <c r="AT159" s="129" t="s">
        <v>231</v>
      </c>
      <c r="AU159" s="129" t="s">
        <v>63</v>
      </c>
      <c r="AY159" s="13" t="s">
        <v>228</v>
      </c>
      <c r="BE159" s="130">
        <f t="shared" si="5"/>
        <v>0</v>
      </c>
      <c r="BF159" s="130">
        <f t="shared" si="6"/>
        <v>5.22</v>
      </c>
      <c r="BG159" s="130">
        <f t="shared" si="7"/>
        <v>0</v>
      </c>
      <c r="BH159" s="130">
        <f t="shared" si="8"/>
        <v>0</v>
      </c>
      <c r="BI159" s="130">
        <f t="shared" si="9"/>
        <v>0</v>
      </c>
      <c r="BJ159" s="13" t="s">
        <v>76</v>
      </c>
      <c r="BK159" s="130">
        <f t="shared" si="10"/>
        <v>5.22</v>
      </c>
      <c r="BL159" s="13" t="s">
        <v>235</v>
      </c>
      <c r="BM159" s="129" t="s">
        <v>347</v>
      </c>
    </row>
    <row r="160" spans="2:65" s="1" customFormat="1" ht="16.5" customHeight="1" x14ac:dyDescent="0.2">
      <c r="B160" s="118"/>
      <c r="C160" s="205" t="s">
        <v>348</v>
      </c>
      <c r="D160" s="119" t="s">
        <v>231</v>
      </c>
      <c r="E160" s="120" t="s">
        <v>1674</v>
      </c>
      <c r="F160" s="121" t="s">
        <v>1759</v>
      </c>
      <c r="G160" s="122" t="s">
        <v>1194</v>
      </c>
      <c r="H160" s="123">
        <v>1</v>
      </c>
      <c r="I160" s="213">
        <v>333.79</v>
      </c>
      <c r="J160" s="124">
        <f t="shared" si="0"/>
        <v>333.79</v>
      </c>
      <c r="K160" s="121" t="s">
        <v>1</v>
      </c>
      <c r="L160" s="24"/>
      <c r="M160" s="125" t="s">
        <v>1</v>
      </c>
      <c r="N160" s="126" t="s">
        <v>32</v>
      </c>
      <c r="O160" s="127">
        <v>0</v>
      </c>
      <c r="P160" s="127">
        <f t="shared" si="1"/>
        <v>0</v>
      </c>
      <c r="Q160" s="127">
        <v>0</v>
      </c>
      <c r="R160" s="127">
        <f t="shared" si="2"/>
        <v>0</v>
      </c>
      <c r="S160" s="127">
        <v>0</v>
      </c>
      <c r="T160" s="128">
        <f t="shared" si="3"/>
        <v>0</v>
      </c>
      <c r="W160" s="199"/>
      <c r="X160" s="205" t="s">
        <v>348</v>
      </c>
      <c r="Y160" s="119" t="s">
        <v>231</v>
      </c>
      <c r="Z160" s="120" t="s">
        <v>1674</v>
      </c>
      <c r="AA160" s="121" t="s">
        <v>1759</v>
      </c>
      <c r="AB160" s="122" t="s">
        <v>1194</v>
      </c>
      <c r="AC160" s="123">
        <v>1</v>
      </c>
      <c r="AD160" s="213">
        <f>333.79+185.79</f>
        <v>519.58000000000004</v>
      </c>
      <c r="AE160" s="200">
        <f t="shared" si="4"/>
        <v>519.58000000000004</v>
      </c>
      <c r="AF160" s="1152">
        <v>21</v>
      </c>
      <c r="AR160" s="129" t="s">
        <v>235</v>
      </c>
      <c r="AT160" s="129" t="s">
        <v>231</v>
      </c>
      <c r="AU160" s="129" t="s">
        <v>63</v>
      </c>
      <c r="AY160" s="13" t="s">
        <v>228</v>
      </c>
      <c r="BE160" s="130">
        <f t="shared" si="5"/>
        <v>0</v>
      </c>
      <c r="BF160" s="130">
        <f t="shared" si="6"/>
        <v>333.79</v>
      </c>
      <c r="BG160" s="130">
        <f t="shared" si="7"/>
        <v>0</v>
      </c>
      <c r="BH160" s="130">
        <f t="shared" si="8"/>
        <v>0</v>
      </c>
      <c r="BI160" s="130">
        <f t="shared" si="9"/>
        <v>0</v>
      </c>
      <c r="BJ160" s="13" t="s">
        <v>76</v>
      </c>
      <c r="BK160" s="130">
        <f t="shared" si="10"/>
        <v>333.79</v>
      </c>
      <c r="BL160" s="13" t="s">
        <v>235</v>
      </c>
      <c r="BM160" s="129" t="s">
        <v>351</v>
      </c>
    </row>
    <row r="161" spans="2:65" s="1" customFormat="1" ht="16.5" customHeight="1" x14ac:dyDescent="0.2">
      <c r="B161" s="118"/>
      <c r="C161" s="119" t="s">
        <v>293</v>
      </c>
      <c r="D161" s="119" t="s">
        <v>231</v>
      </c>
      <c r="E161" s="120" t="s">
        <v>1679</v>
      </c>
      <c r="F161" s="121" t="s">
        <v>1762</v>
      </c>
      <c r="G161" s="122" t="s">
        <v>1194</v>
      </c>
      <c r="H161" s="123">
        <v>1</v>
      </c>
      <c r="I161" s="124">
        <v>440.6</v>
      </c>
      <c r="J161" s="124">
        <f t="shared" si="0"/>
        <v>440.6</v>
      </c>
      <c r="K161" s="121" t="s">
        <v>1</v>
      </c>
      <c r="L161" s="24"/>
      <c r="M161" s="125" t="s">
        <v>1</v>
      </c>
      <c r="N161" s="126" t="s">
        <v>32</v>
      </c>
      <c r="O161" s="127">
        <v>0</v>
      </c>
      <c r="P161" s="127">
        <f t="shared" si="1"/>
        <v>0</v>
      </c>
      <c r="Q161" s="127">
        <v>0</v>
      </c>
      <c r="R161" s="127">
        <f t="shared" si="2"/>
        <v>0</v>
      </c>
      <c r="S161" s="127">
        <v>0</v>
      </c>
      <c r="T161" s="128">
        <f t="shared" si="3"/>
        <v>0</v>
      </c>
      <c r="W161" s="199"/>
      <c r="X161" s="119" t="s">
        <v>293</v>
      </c>
      <c r="Y161" s="119" t="s">
        <v>231</v>
      </c>
      <c r="Z161" s="120" t="s">
        <v>1679</v>
      </c>
      <c r="AA161" s="121" t="s">
        <v>1762</v>
      </c>
      <c r="AB161" s="122" t="s">
        <v>1194</v>
      </c>
      <c r="AC161" s="123">
        <v>1</v>
      </c>
      <c r="AD161" s="124">
        <v>440.6</v>
      </c>
      <c r="AE161" s="200">
        <f t="shared" si="4"/>
        <v>440.6</v>
      </c>
      <c r="AF161" s="227"/>
      <c r="AR161" s="129" t="s">
        <v>235</v>
      </c>
      <c r="AT161" s="129" t="s">
        <v>231</v>
      </c>
      <c r="AU161" s="129" t="s">
        <v>63</v>
      </c>
      <c r="AY161" s="13" t="s">
        <v>228</v>
      </c>
      <c r="BE161" s="130">
        <f t="shared" si="5"/>
        <v>0</v>
      </c>
      <c r="BF161" s="130">
        <f t="shared" si="6"/>
        <v>440.6</v>
      </c>
      <c r="BG161" s="130">
        <f t="shared" si="7"/>
        <v>0</v>
      </c>
      <c r="BH161" s="130">
        <f t="shared" si="8"/>
        <v>0</v>
      </c>
      <c r="BI161" s="130">
        <f t="shared" si="9"/>
        <v>0</v>
      </c>
      <c r="BJ161" s="13" t="s">
        <v>76</v>
      </c>
      <c r="BK161" s="130">
        <f t="shared" si="10"/>
        <v>440.6</v>
      </c>
      <c r="BL161" s="13" t="s">
        <v>235</v>
      </c>
      <c r="BM161" s="129" t="s">
        <v>354</v>
      </c>
    </row>
    <row r="162" spans="2:65" s="1" customFormat="1" ht="16.5" customHeight="1" x14ac:dyDescent="0.2">
      <c r="B162" s="118"/>
      <c r="C162" s="285" t="s">
        <v>355</v>
      </c>
      <c r="D162" s="285" t="s">
        <v>231</v>
      </c>
      <c r="E162" s="286" t="s">
        <v>1684</v>
      </c>
      <c r="F162" s="240" t="s">
        <v>1765</v>
      </c>
      <c r="G162" s="287" t="s">
        <v>1194</v>
      </c>
      <c r="H162" s="288">
        <v>1</v>
      </c>
      <c r="I162" s="289">
        <v>206.66</v>
      </c>
      <c r="J162" s="124">
        <f t="shared" si="0"/>
        <v>206.66</v>
      </c>
      <c r="K162" s="121" t="s">
        <v>1</v>
      </c>
      <c r="L162" s="24"/>
      <c r="M162" s="125" t="s">
        <v>1</v>
      </c>
      <c r="N162" s="126" t="s">
        <v>32</v>
      </c>
      <c r="O162" s="127">
        <v>0</v>
      </c>
      <c r="P162" s="127">
        <f t="shared" si="1"/>
        <v>0</v>
      </c>
      <c r="Q162" s="127">
        <v>0</v>
      </c>
      <c r="R162" s="127">
        <f t="shared" si="2"/>
        <v>0</v>
      </c>
      <c r="S162" s="127">
        <v>0</v>
      </c>
      <c r="T162" s="128">
        <f t="shared" si="3"/>
        <v>0</v>
      </c>
      <c r="W162" s="199"/>
      <c r="X162" s="285" t="s">
        <v>355</v>
      </c>
      <c r="Y162" s="285" t="s">
        <v>231</v>
      </c>
      <c r="Z162" s="286" t="s">
        <v>1684</v>
      </c>
      <c r="AA162" s="240" t="s">
        <v>1765</v>
      </c>
      <c r="AB162" s="287" t="s">
        <v>1194</v>
      </c>
      <c r="AC162" s="288">
        <v>1</v>
      </c>
      <c r="AD162" s="289">
        <f>206.66</f>
        <v>206.66</v>
      </c>
      <c r="AE162" s="290">
        <f t="shared" si="4"/>
        <v>206.66</v>
      </c>
      <c r="AF162" s="1152"/>
      <c r="AR162" s="129" t="s">
        <v>235</v>
      </c>
      <c r="AT162" s="129" t="s">
        <v>231</v>
      </c>
      <c r="AU162" s="129" t="s">
        <v>63</v>
      </c>
      <c r="AY162" s="13" t="s">
        <v>228</v>
      </c>
      <c r="BE162" s="130">
        <f t="shared" si="5"/>
        <v>0</v>
      </c>
      <c r="BF162" s="130">
        <f t="shared" si="6"/>
        <v>206.66</v>
      </c>
      <c r="BG162" s="130">
        <f t="shared" si="7"/>
        <v>0</v>
      </c>
      <c r="BH162" s="130">
        <f t="shared" si="8"/>
        <v>0</v>
      </c>
      <c r="BI162" s="130">
        <f t="shared" si="9"/>
        <v>0</v>
      </c>
      <c r="BJ162" s="13" t="s">
        <v>76</v>
      </c>
      <c r="BK162" s="130">
        <f t="shared" si="10"/>
        <v>206.66</v>
      </c>
      <c r="BL162" s="13" t="s">
        <v>235</v>
      </c>
      <c r="BM162" s="129" t="s">
        <v>358</v>
      </c>
    </row>
    <row r="163" spans="2:65" s="1" customFormat="1" ht="16.5" customHeight="1" x14ac:dyDescent="0.2">
      <c r="B163" s="118"/>
      <c r="C163" s="285" t="s">
        <v>296</v>
      </c>
      <c r="D163" s="285" t="s">
        <v>231</v>
      </c>
      <c r="E163" s="286" t="s">
        <v>1689</v>
      </c>
      <c r="F163" s="240" t="s">
        <v>1768</v>
      </c>
      <c r="G163" s="287" t="s">
        <v>1194</v>
      </c>
      <c r="H163" s="288">
        <v>1</v>
      </c>
      <c r="I163" s="289">
        <v>282.12</v>
      </c>
      <c r="J163" s="124">
        <f t="shared" si="0"/>
        <v>282.12</v>
      </c>
      <c r="K163" s="121" t="s">
        <v>1</v>
      </c>
      <c r="L163" s="24"/>
      <c r="M163" s="140" t="s">
        <v>1</v>
      </c>
      <c r="N163" s="141" t="s">
        <v>32</v>
      </c>
      <c r="O163" s="142">
        <v>0</v>
      </c>
      <c r="P163" s="142">
        <f t="shared" si="1"/>
        <v>0</v>
      </c>
      <c r="Q163" s="142">
        <v>0</v>
      </c>
      <c r="R163" s="142">
        <f t="shared" si="2"/>
        <v>0</v>
      </c>
      <c r="S163" s="142">
        <v>0</v>
      </c>
      <c r="T163" s="143">
        <f t="shared" si="3"/>
        <v>0</v>
      </c>
      <c r="W163" s="199"/>
      <c r="X163" s="285" t="s">
        <v>296</v>
      </c>
      <c r="Y163" s="285" t="s">
        <v>231</v>
      </c>
      <c r="Z163" s="286" t="s">
        <v>1689</v>
      </c>
      <c r="AA163" s="240" t="s">
        <v>1768</v>
      </c>
      <c r="AB163" s="287" t="s">
        <v>1194</v>
      </c>
      <c r="AC163" s="288">
        <v>1</v>
      </c>
      <c r="AD163" s="289">
        <f>282.12</f>
        <v>282.12</v>
      </c>
      <c r="AE163" s="290">
        <f t="shared" si="4"/>
        <v>282.12</v>
      </c>
      <c r="AF163" s="1152"/>
      <c r="AR163" s="129" t="s">
        <v>235</v>
      </c>
      <c r="AT163" s="129" t="s">
        <v>231</v>
      </c>
      <c r="AU163" s="129" t="s">
        <v>63</v>
      </c>
      <c r="AY163" s="13" t="s">
        <v>228</v>
      </c>
      <c r="BE163" s="130">
        <f t="shared" si="5"/>
        <v>0</v>
      </c>
      <c r="BF163" s="130">
        <f t="shared" si="6"/>
        <v>282.12</v>
      </c>
      <c r="BG163" s="130">
        <f t="shared" si="7"/>
        <v>0</v>
      </c>
      <c r="BH163" s="130">
        <f t="shared" si="8"/>
        <v>0</v>
      </c>
      <c r="BI163" s="130">
        <f t="shared" si="9"/>
        <v>0</v>
      </c>
      <c r="BJ163" s="13" t="s">
        <v>76</v>
      </c>
      <c r="BK163" s="130">
        <f t="shared" si="10"/>
        <v>282.12</v>
      </c>
      <c r="BL163" s="13" t="s">
        <v>235</v>
      </c>
      <c r="BM163" s="129" t="s">
        <v>361</v>
      </c>
    </row>
    <row r="164" spans="2:65" s="1" customFormat="1" ht="7.05" customHeight="1" x14ac:dyDescent="0.2">
      <c r="B164" s="33"/>
      <c r="C164" s="34"/>
      <c r="D164" s="34"/>
      <c r="E164" s="34"/>
      <c r="F164" s="34"/>
      <c r="G164" s="34"/>
      <c r="H164" s="34"/>
      <c r="I164" s="34"/>
      <c r="J164" s="34"/>
      <c r="K164" s="34"/>
      <c r="L164" s="24"/>
      <c r="W164" s="175"/>
      <c r="X164" s="176"/>
      <c r="Y164" s="176"/>
      <c r="Z164" s="176"/>
      <c r="AA164" s="176"/>
      <c r="AB164" s="176"/>
      <c r="AC164" s="176"/>
      <c r="AD164" s="176"/>
      <c r="AE164" s="177"/>
      <c r="AF164" s="227"/>
    </row>
  </sheetData>
  <autoFilter ref="C116:K163" xr:uid="{00000000-0009-0000-0000-000021000000}"/>
  <mergeCells count="35">
    <mergeCell ref="E87:H87"/>
    <mergeCell ref="E107:H107"/>
    <mergeCell ref="E109:H109"/>
    <mergeCell ref="L2:V2"/>
    <mergeCell ref="E9:H9"/>
    <mergeCell ref="E18:H18"/>
    <mergeCell ref="E27:H27"/>
    <mergeCell ref="E85:H85"/>
    <mergeCell ref="C4:J4"/>
    <mergeCell ref="F6:J7"/>
    <mergeCell ref="C82:J82"/>
    <mergeCell ref="E84:J84"/>
    <mergeCell ref="B104:J104"/>
    <mergeCell ref="E106:J106"/>
    <mergeCell ref="X4:AE4"/>
    <mergeCell ref="AA6:AE7"/>
    <mergeCell ref="Z9:AC9"/>
    <mergeCell ref="Z18:AC18"/>
    <mergeCell ref="Z27:AC27"/>
    <mergeCell ref="X82:AE82"/>
    <mergeCell ref="Z84:AE84"/>
    <mergeCell ref="Z85:AC85"/>
    <mergeCell ref="Z87:AC87"/>
    <mergeCell ref="W104:AE104"/>
    <mergeCell ref="Z106:AE106"/>
    <mergeCell ref="Z107:AC107"/>
    <mergeCell ref="Z109:AC109"/>
    <mergeCell ref="C131:J131"/>
    <mergeCell ref="C132:J132"/>
    <mergeCell ref="C138:J138"/>
    <mergeCell ref="C133:J133"/>
    <mergeCell ref="C134:J134"/>
    <mergeCell ref="C135:J135"/>
    <mergeCell ref="C136:J136"/>
    <mergeCell ref="C137:J137"/>
  </mergeCells>
  <pageMargins left="0.39374999999999999" right="0.39374999999999999" top="0.39374999999999999" bottom="0.39374999999999999" header="0" footer="0"/>
  <pageSetup paperSize="9" scale="89" fitToHeight="100" orientation="portrait" blackAndWhite="1" r:id="rId1"/>
  <headerFooter>
    <oddFooter>&amp;CStrana &amp;P z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70C0"/>
    <pageSetUpPr fitToPage="1"/>
  </sheetPr>
  <dimension ref="A1:BM325"/>
  <sheetViews>
    <sheetView showGridLines="0" topLeftCell="E97" zoomScale="80" zoomScaleNormal="80" workbookViewId="0">
      <selection activeCell="AE317" sqref="AE317:AE324"/>
    </sheetView>
  </sheetViews>
  <sheetFormatPr defaultColWidth="8.7109375" defaultRowHeight="10.199999999999999" x14ac:dyDescent="0.2"/>
  <cols>
    <col min="1" max="1" width="8.28515625" customWidth="1"/>
    <col min="2" max="2" width="1.7109375" customWidth="1"/>
    <col min="3" max="4" width="4.28515625" customWidth="1"/>
    <col min="5" max="5" width="17.28515625" customWidth="1"/>
    <col min="6" max="6" width="50.7109375" customWidth="1"/>
    <col min="7" max="7" width="7" customWidth="1"/>
    <col min="8" max="8" width="11.42578125" customWidth="1"/>
    <col min="9" max="10" width="20.28515625" customWidth="1"/>
    <col min="11" max="11" width="20.28515625" hidden="1" customWidth="1"/>
    <col min="12" max="12" width="9.28515625" customWidth="1"/>
    <col min="13" max="13" width="10.7109375" hidden="1" customWidth="1"/>
    <col min="14" max="14" width="9.28515625" hidden="1"/>
    <col min="15" max="20" width="14.28515625" hidden="1" customWidth="1"/>
    <col min="21" max="21" width="16.28515625" hidden="1" customWidth="1"/>
    <col min="22" max="22" width="12.28515625" customWidth="1"/>
    <col min="23" max="23" width="1.7109375" style="375" customWidth="1"/>
    <col min="24" max="24" width="5.7109375" style="375" customWidth="1"/>
    <col min="25" max="25" width="4.28515625" style="375" customWidth="1"/>
    <col min="26" max="26" width="17.28515625" style="375" customWidth="1"/>
    <col min="27" max="27" width="50.7109375" style="375" customWidth="1"/>
    <col min="28" max="28" width="7" style="375" customWidth="1"/>
    <col min="29" max="29" width="11.42578125" style="375" customWidth="1"/>
    <col min="30" max="31" width="20.28515625" style="375" customWidth="1"/>
    <col min="32" max="32" width="11.42578125" customWidth="1"/>
    <col min="44" max="65" width="9.28515625" hidden="1"/>
  </cols>
  <sheetData>
    <row r="1" spans="1:46" x14ac:dyDescent="0.2">
      <c r="A1" s="73"/>
    </row>
    <row r="2" spans="1:46" ht="37.049999999999997" customHeight="1" x14ac:dyDescent="0.2">
      <c r="L2" s="1227" t="s">
        <v>5</v>
      </c>
      <c r="M2" s="1225"/>
      <c r="N2" s="1225"/>
      <c r="O2" s="1225"/>
      <c r="P2" s="1225"/>
      <c r="Q2" s="1225"/>
      <c r="R2" s="1225"/>
      <c r="S2" s="1225"/>
      <c r="T2" s="1225"/>
      <c r="U2" s="1225"/>
      <c r="V2" s="1225"/>
      <c r="AT2" s="13" t="s">
        <v>161</v>
      </c>
    </row>
    <row r="3" spans="1:46" ht="7.05" customHeight="1" x14ac:dyDescent="0.2">
      <c r="B3" s="14"/>
      <c r="C3" s="15"/>
      <c r="D3" s="15"/>
      <c r="E3" s="15"/>
      <c r="F3" s="15"/>
      <c r="G3" s="15"/>
      <c r="H3" s="15"/>
      <c r="I3" s="15"/>
      <c r="J3" s="15"/>
      <c r="K3" s="15"/>
      <c r="L3" s="16"/>
      <c r="W3" s="152"/>
      <c r="X3" s="153"/>
      <c r="Y3" s="153"/>
      <c r="Z3" s="153"/>
      <c r="AA3" s="153"/>
      <c r="AB3" s="153"/>
      <c r="AC3" s="153"/>
      <c r="AD3" s="153"/>
      <c r="AE3" s="154"/>
      <c r="AT3" s="13" t="s">
        <v>58</v>
      </c>
    </row>
    <row r="4" spans="1:46" ht="25.05" customHeight="1" x14ac:dyDescent="0.2">
      <c r="B4" s="16"/>
      <c r="C4" s="1165" t="s">
        <v>185</v>
      </c>
      <c r="D4" s="1165"/>
      <c r="E4" s="1165"/>
      <c r="F4" s="1165"/>
      <c r="G4" s="1165"/>
      <c r="H4" s="1165"/>
      <c r="I4" s="1165"/>
      <c r="J4" s="1165"/>
      <c r="L4" s="16"/>
      <c r="M4" s="74" t="s">
        <v>9</v>
      </c>
      <c r="W4" s="155"/>
      <c r="X4" s="1237" t="s">
        <v>185</v>
      </c>
      <c r="Y4" s="1237"/>
      <c r="Z4" s="1237"/>
      <c r="AA4" s="1237"/>
      <c r="AB4" s="1237"/>
      <c r="AC4" s="1237"/>
      <c r="AD4" s="1237"/>
      <c r="AE4" s="1238"/>
      <c r="AT4" s="13" t="s">
        <v>3</v>
      </c>
    </row>
    <row r="5" spans="1:46" ht="7.05" customHeight="1" x14ac:dyDescent="0.2">
      <c r="B5" s="16"/>
      <c r="L5" s="16"/>
      <c r="W5" s="155"/>
      <c r="X5" s="156"/>
      <c r="Y5" s="156"/>
      <c r="Z5" s="156"/>
      <c r="AA5" s="156"/>
      <c r="AB5" s="156"/>
      <c r="AC5" s="156"/>
      <c r="AD5" s="156"/>
      <c r="AE5" s="157"/>
    </row>
    <row r="6" spans="1:46" ht="12" customHeight="1" x14ac:dyDescent="0.2">
      <c r="B6" s="16"/>
      <c r="D6" s="548" t="s">
        <v>12</v>
      </c>
      <c r="F6" s="1254" t="s">
        <v>6176</v>
      </c>
      <c r="G6" s="1254"/>
      <c r="H6" s="1254"/>
      <c r="I6" s="1254"/>
      <c r="J6" s="1254"/>
      <c r="L6" s="16"/>
      <c r="W6" s="155"/>
      <c r="X6" s="156"/>
      <c r="Y6" s="541" t="s">
        <v>12</v>
      </c>
      <c r="Z6" s="156"/>
      <c r="AA6" s="1239" t="s">
        <v>6176</v>
      </c>
      <c r="AB6" s="1239"/>
      <c r="AC6" s="1239"/>
      <c r="AD6" s="1239"/>
      <c r="AE6" s="1240"/>
    </row>
    <row r="7" spans="1:46" ht="24.45" customHeight="1" x14ac:dyDescent="0.2">
      <c r="B7" s="16"/>
      <c r="D7" s="527"/>
      <c r="E7" s="531"/>
      <c r="F7" s="1254"/>
      <c r="G7" s="1254"/>
      <c r="H7" s="1254"/>
      <c r="I7" s="1254"/>
      <c r="J7" s="1254"/>
      <c r="L7" s="16"/>
      <c r="W7" s="155"/>
      <c r="X7" s="156"/>
      <c r="Y7" s="539"/>
      <c r="Z7" s="245"/>
      <c r="AA7" s="1239"/>
      <c r="AB7" s="1239"/>
      <c r="AC7" s="1239"/>
      <c r="AD7" s="1239"/>
      <c r="AE7" s="1240"/>
    </row>
    <row r="8" spans="1:46" s="1" customFormat="1" ht="12" customHeight="1" x14ac:dyDescent="0.2">
      <c r="B8" s="24"/>
      <c r="D8" s="549" t="s">
        <v>186</v>
      </c>
      <c r="F8" s="532" t="s">
        <v>4551</v>
      </c>
      <c r="L8" s="24"/>
      <c r="W8" s="158"/>
      <c r="X8" s="557"/>
      <c r="Y8" s="550" t="s">
        <v>186</v>
      </c>
      <c r="Z8" s="557"/>
      <c r="AA8" s="555" t="s">
        <v>4551</v>
      </c>
      <c r="AB8" s="557"/>
      <c r="AC8" s="557"/>
      <c r="AD8" s="557"/>
      <c r="AE8" s="159"/>
    </row>
    <row r="9" spans="1:46" s="1" customFormat="1" ht="37.049999999999997" customHeight="1" x14ac:dyDescent="0.2">
      <c r="B9" s="24"/>
      <c r="D9" s="521"/>
      <c r="E9" s="1251"/>
      <c r="F9" s="1252"/>
      <c r="G9" s="1252"/>
      <c r="H9" s="1252"/>
      <c r="L9" s="24"/>
      <c r="W9" s="158"/>
      <c r="X9" s="557"/>
      <c r="Y9" s="557"/>
      <c r="Z9" s="1245"/>
      <c r="AA9" s="1246"/>
      <c r="AB9" s="1246"/>
      <c r="AC9" s="1246"/>
      <c r="AD9" s="557"/>
      <c r="AE9" s="159"/>
    </row>
    <row r="10" spans="1:46" s="1" customFormat="1" x14ac:dyDescent="0.2">
      <c r="B10" s="24"/>
      <c r="D10" s="521"/>
      <c r="L10" s="24"/>
      <c r="W10" s="158"/>
      <c r="X10" s="557"/>
      <c r="Y10" s="557"/>
      <c r="Z10" s="557"/>
      <c r="AA10" s="557"/>
      <c r="AB10" s="557"/>
      <c r="AC10" s="557"/>
      <c r="AD10" s="557"/>
      <c r="AE10" s="159"/>
    </row>
    <row r="11" spans="1:46" s="1" customFormat="1" ht="12" customHeight="1" x14ac:dyDescent="0.2">
      <c r="B11" s="24"/>
      <c r="D11" s="528" t="s">
        <v>13</v>
      </c>
      <c r="F11" s="19" t="s">
        <v>1</v>
      </c>
      <c r="I11" s="528" t="s">
        <v>14</v>
      </c>
      <c r="J11" s="19" t="s">
        <v>1</v>
      </c>
      <c r="L11" s="24"/>
      <c r="W11" s="158"/>
      <c r="X11" s="557"/>
      <c r="Y11" s="538" t="s">
        <v>13</v>
      </c>
      <c r="Z11" s="557"/>
      <c r="AA11" s="558" t="s">
        <v>1</v>
      </c>
      <c r="AB11" s="557"/>
      <c r="AC11" s="557"/>
      <c r="AD11" s="538" t="s">
        <v>14</v>
      </c>
      <c r="AE11" s="161" t="s">
        <v>1</v>
      </c>
    </row>
    <row r="12" spans="1:46" s="1" customFormat="1" ht="12" customHeight="1" x14ac:dyDescent="0.2">
      <c r="B12" s="24"/>
      <c r="D12" s="528" t="s">
        <v>15</v>
      </c>
      <c r="F12" s="520" t="s">
        <v>6173</v>
      </c>
      <c r="I12" s="528" t="s">
        <v>17</v>
      </c>
      <c r="J12" s="39"/>
      <c r="L12" s="24"/>
      <c r="W12" s="158"/>
      <c r="X12" s="557"/>
      <c r="Y12" s="538" t="s">
        <v>15</v>
      </c>
      <c r="Z12" s="557"/>
      <c r="AA12" s="558" t="s">
        <v>6173</v>
      </c>
      <c r="AB12" s="557"/>
      <c r="AC12" s="557"/>
      <c r="AD12" s="538" t="s">
        <v>17</v>
      </c>
      <c r="AE12" s="162"/>
    </row>
    <row r="13" spans="1:46" s="1" customFormat="1" ht="10.95" customHeight="1" x14ac:dyDescent="0.2">
      <c r="B13" s="24"/>
      <c r="D13" s="521"/>
      <c r="F13" s="521"/>
      <c r="I13" s="521"/>
      <c r="L13" s="24"/>
      <c r="W13" s="158"/>
      <c r="X13" s="557"/>
      <c r="Y13" s="557"/>
      <c r="Z13" s="557"/>
      <c r="AA13" s="557"/>
      <c r="AB13" s="557"/>
      <c r="AC13" s="557"/>
      <c r="AD13" s="557"/>
      <c r="AE13" s="159"/>
    </row>
    <row r="14" spans="1:46" s="1" customFormat="1" ht="12" customHeight="1" x14ac:dyDescent="0.2">
      <c r="B14" s="24"/>
      <c r="D14" s="528" t="s">
        <v>18</v>
      </c>
      <c r="F14" s="529" t="s">
        <v>6175</v>
      </c>
      <c r="I14" s="528" t="s">
        <v>19</v>
      </c>
      <c r="J14" s="19" t="str">
        <f>IF('Rekapitulácia stavby'!AN10="","",'Rekapitulácia stavby'!AN10)</f>
        <v/>
      </c>
      <c r="L14" s="24"/>
      <c r="W14" s="158"/>
      <c r="X14" s="557"/>
      <c r="Y14" s="538" t="s">
        <v>18</v>
      </c>
      <c r="Z14" s="557"/>
      <c r="AA14" s="576" t="s">
        <v>6175</v>
      </c>
      <c r="AB14" s="557"/>
      <c r="AC14" s="557"/>
      <c r="AD14" s="538" t="s">
        <v>19</v>
      </c>
      <c r="AE14" s="161" t="str">
        <f>IF('Rekapitulácia stavby'!BI10="","",'Rekapitulácia stavby'!BI10)</f>
        <v/>
      </c>
    </row>
    <row r="15" spans="1:46" s="1" customFormat="1" ht="18" customHeight="1" x14ac:dyDescent="0.2">
      <c r="B15" s="24"/>
      <c r="D15" s="521"/>
      <c r="E15" s="19" t="str">
        <f>IF('Rekapitulácia stavby'!E11="","",'Rekapitulácia stavby'!E11)</f>
        <v/>
      </c>
      <c r="F15" s="521"/>
      <c r="I15" s="528" t="s">
        <v>20</v>
      </c>
      <c r="J15" s="19" t="str">
        <f>IF('Rekapitulácia stavby'!AN11="","",'Rekapitulácia stavby'!AN11)</f>
        <v/>
      </c>
      <c r="L15" s="24"/>
      <c r="W15" s="158"/>
      <c r="X15" s="557"/>
      <c r="Y15" s="557"/>
      <c r="Z15" s="558" t="str">
        <f>IF('Rekapitulácia stavby'!Z11="","",'Rekapitulácia stavby'!Z11)</f>
        <v/>
      </c>
      <c r="AA15" s="557"/>
      <c r="AB15" s="557"/>
      <c r="AC15" s="557"/>
      <c r="AD15" s="538" t="s">
        <v>20</v>
      </c>
      <c r="AE15" s="161" t="str">
        <f>IF('Rekapitulácia stavby'!BI11="","",'Rekapitulácia stavby'!BI11)</f>
        <v/>
      </c>
    </row>
    <row r="16" spans="1:46" s="1" customFormat="1" ht="7.05" customHeight="1" x14ac:dyDescent="0.2">
      <c r="B16" s="24"/>
      <c r="D16" s="521"/>
      <c r="F16" s="521"/>
      <c r="I16" s="521"/>
      <c r="L16" s="24"/>
      <c r="W16" s="158"/>
      <c r="X16" s="557"/>
      <c r="Y16" s="557"/>
      <c r="Z16" s="557"/>
      <c r="AA16" s="557"/>
      <c r="AB16" s="557"/>
      <c r="AC16" s="557"/>
      <c r="AD16" s="557"/>
      <c r="AE16" s="159"/>
    </row>
    <row r="17" spans="2:31" s="1" customFormat="1" ht="12" customHeight="1" x14ac:dyDescent="0.2">
      <c r="B17" s="24"/>
      <c r="D17" s="528" t="s">
        <v>21</v>
      </c>
      <c r="F17" s="529" t="s">
        <v>5202</v>
      </c>
      <c r="I17" s="528" t="s">
        <v>19</v>
      </c>
      <c r="J17" s="19"/>
      <c r="L17" s="24"/>
      <c r="W17" s="158"/>
      <c r="X17" s="557"/>
      <c r="Y17" s="538" t="s">
        <v>21</v>
      </c>
      <c r="Z17" s="557"/>
      <c r="AA17" s="576" t="s">
        <v>5202</v>
      </c>
      <c r="AB17" s="557"/>
      <c r="AC17" s="557"/>
      <c r="AD17" s="538" t="s">
        <v>19</v>
      </c>
      <c r="AE17" s="161"/>
    </row>
    <row r="18" spans="2:31" s="1" customFormat="1" ht="18" customHeight="1" x14ac:dyDescent="0.2">
      <c r="B18" s="24"/>
      <c r="D18" s="521"/>
      <c r="E18" s="1161"/>
      <c r="F18" s="1161"/>
      <c r="G18" s="1161"/>
      <c r="H18" s="1161"/>
      <c r="I18" s="528" t="s">
        <v>20</v>
      </c>
      <c r="J18" s="19" t="str">
        <f>'Rekapitulácia stavby'!AN14</f>
        <v/>
      </c>
      <c r="L18" s="24"/>
      <c r="W18" s="158"/>
      <c r="X18" s="557"/>
      <c r="Y18" s="557"/>
      <c r="Z18" s="1247"/>
      <c r="AA18" s="1247"/>
      <c r="AB18" s="1247"/>
      <c r="AC18" s="1247"/>
      <c r="AD18" s="538" t="s">
        <v>20</v>
      </c>
      <c r="AE18" s="161"/>
    </row>
    <row r="19" spans="2:31" s="1" customFormat="1" ht="7.05" customHeight="1" x14ac:dyDescent="0.2">
      <c r="B19" s="24"/>
      <c r="D19" s="521"/>
      <c r="I19" s="521"/>
      <c r="L19" s="24"/>
      <c r="W19" s="158"/>
      <c r="X19" s="557"/>
      <c r="Y19" s="557"/>
      <c r="Z19" s="557"/>
      <c r="AA19" s="557"/>
      <c r="AB19" s="557"/>
      <c r="AC19" s="557"/>
      <c r="AD19" s="557"/>
      <c r="AE19" s="159"/>
    </row>
    <row r="20" spans="2:31" s="1" customFormat="1" ht="12" customHeight="1" x14ac:dyDescent="0.2">
      <c r="B20" s="24"/>
      <c r="D20" s="528" t="s">
        <v>22</v>
      </c>
      <c r="I20" s="528" t="s">
        <v>19</v>
      </c>
      <c r="J20" s="19" t="str">
        <f>IF('Rekapitulácia stavby'!AN16="","",'Rekapitulácia stavby'!AN16)</f>
        <v/>
      </c>
      <c r="L20" s="24"/>
      <c r="W20" s="158"/>
      <c r="X20" s="557"/>
      <c r="Y20" s="538" t="s">
        <v>22</v>
      </c>
      <c r="Z20" s="557"/>
      <c r="AA20" s="557"/>
      <c r="AB20" s="557"/>
      <c r="AC20" s="557"/>
      <c r="AD20" s="538" t="s">
        <v>19</v>
      </c>
      <c r="AE20" s="161" t="str">
        <f>IF('Rekapitulácia stavby'!BI16="","",'Rekapitulácia stavby'!BI16)</f>
        <v/>
      </c>
    </row>
    <row r="21" spans="2:31" s="1" customFormat="1" ht="18" customHeight="1" x14ac:dyDescent="0.2">
      <c r="B21" s="24"/>
      <c r="D21" s="521"/>
      <c r="E21" s="19" t="str">
        <f>IF('Rekapitulácia stavby'!E17="","",'Rekapitulácia stavby'!E17)</f>
        <v xml:space="preserve"> </v>
      </c>
      <c r="I21" s="528" t="s">
        <v>20</v>
      </c>
      <c r="J21" s="19" t="str">
        <f>IF('Rekapitulácia stavby'!AN17="","",'Rekapitulácia stavby'!AN17)</f>
        <v/>
      </c>
      <c r="L21" s="24"/>
      <c r="W21" s="158"/>
      <c r="X21" s="557"/>
      <c r="Y21" s="557"/>
      <c r="Z21" s="558" t="str">
        <f>IF('Rekapitulácia stavby'!Z17="","",'Rekapitulácia stavby'!Z17)</f>
        <v/>
      </c>
      <c r="AA21" s="557"/>
      <c r="AB21" s="557"/>
      <c r="AC21" s="557"/>
      <c r="AD21" s="538" t="s">
        <v>20</v>
      </c>
      <c r="AE21" s="161" t="str">
        <f>IF('Rekapitulácia stavby'!BI17="","",'Rekapitulácia stavby'!BI17)</f>
        <v/>
      </c>
    </row>
    <row r="22" spans="2:31" s="1" customFormat="1" ht="7.05" customHeight="1" x14ac:dyDescent="0.2">
      <c r="B22" s="24"/>
      <c r="D22" s="521"/>
      <c r="I22" s="521"/>
      <c r="L22" s="24"/>
      <c r="W22" s="158"/>
      <c r="X22" s="557"/>
      <c r="Y22" s="557"/>
      <c r="Z22" s="557"/>
      <c r="AA22" s="557"/>
      <c r="AB22" s="557"/>
      <c r="AC22" s="557"/>
      <c r="AD22" s="557"/>
      <c r="AE22" s="159"/>
    </row>
    <row r="23" spans="2:31" s="1" customFormat="1" ht="12" customHeight="1" x14ac:dyDescent="0.2">
      <c r="B23" s="24"/>
      <c r="D23" s="528" t="s">
        <v>24</v>
      </c>
      <c r="I23" s="528" t="s">
        <v>19</v>
      </c>
      <c r="J23" s="19" t="str">
        <f>IF('Rekapitulácia stavby'!AN19="","",'Rekapitulácia stavby'!AN19)</f>
        <v/>
      </c>
      <c r="L23" s="24"/>
      <c r="W23" s="158"/>
      <c r="X23" s="557"/>
      <c r="Y23" s="538" t="s">
        <v>24</v>
      </c>
      <c r="Z23" s="557"/>
      <c r="AA23" s="557"/>
      <c r="AB23" s="557"/>
      <c r="AC23" s="557"/>
      <c r="AD23" s="538" t="s">
        <v>19</v>
      </c>
      <c r="AE23" s="161" t="str">
        <f>IF('Rekapitulácia stavby'!BI19="","",'Rekapitulácia stavby'!BI19)</f>
        <v/>
      </c>
    </row>
    <row r="24" spans="2:31" s="1" customFormat="1" ht="18" customHeight="1" x14ac:dyDescent="0.2">
      <c r="B24" s="24"/>
      <c r="D24" s="521"/>
      <c r="E24" s="19" t="str">
        <f>IF('Rekapitulácia stavby'!E20="","",'Rekapitulácia stavby'!E20)</f>
        <v xml:space="preserve"> </v>
      </c>
      <c r="I24" s="528" t="s">
        <v>20</v>
      </c>
      <c r="J24" s="19" t="str">
        <f>IF('Rekapitulácia stavby'!AN20="","",'Rekapitulácia stavby'!AN20)</f>
        <v/>
      </c>
      <c r="L24" s="24"/>
      <c r="W24" s="158"/>
      <c r="X24" s="557"/>
      <c r="Y24" s="557"/>
      <c r="Z24" s="558" t="str">
        <f>IF('Rekapitulácia stavby'!Z20="","",'Rekapitulácia stavby'!Z20)</f>
        <v/>
      </c>
      <c r="AA24" s="557"/>
      <c r="AB24" s="557"/>
      <c r="AC24" s="557"/>
      <c r="AD24" s="538" t="s">
        <v>20</v>
      </c>
      <c r="AE24" s="161" t="str">
        <f>IF('Rekapitulácia stavby'!BI20="","",'Rekapitulácia stavby'!BI20)</f>
        <v/>
      </c>
    </row>
    <row r="25" spans="2:31" s="1" customFormat="1" ht="7.05" customHeight="1" x14ac:dyDescent="0.2">
      <c r="B25" s="24"/>
      <c r="D25" s="521"/>
      <c r="L25" s="24"/>
      <c r="W25" s="158"/>
      <c r="X25" s="557"/>
      <c r="Y25" s="557"/>
      <c r="Z25" s="557"/>
      <c r="AA25" s="557"/>
      <c r="AB25" s="557"/>
      <c r="AC25" s="557"/>
      <c r="AD25" s="557"/>
      <c r="AE25" s="159"/>
    </row>
    <row r="26" spans="2:31" s="1" customFormat="1" ht="12" customHeight="1" x14ac:dyDescent="0.2">
      <c r="B26" s="24"/>
      <c r="D26" s="528" t="s">
        <v>25</v>
      </c>
      <c r="L26" s="24"/>
      <c r="W26" s="158"/>
      <c r="X26" s="557"/>
      <c r="Y26" s="538" t="s">
        <v>25</v>
      </c>
      <c r="Z26" s="557"/>
      <c r="AA26" s="557"/>
      <c r="AB26" s="557"/>
      <c r="AC26" s="557"/>
      <c r="AD26" s="557"/>
      <c r="AE26" s="159"/>
    </row>
    <row r="27" spans="2:31" s="7" customFormat="1" ht="16.5" customHeight="1" x14ac:dyDescent="0.2">
      <c r="B27" s="75"/>
      <c r="E27" s="1228" t="s">
        <v>1</v>
      </c>
      <c r="F27" s="1228"/>
      <c r="G27" s="1228"/>
      <c r="H27" s="1228"/>
      <c r="L27" s="75"/>
      <c r="W27" s="163"/>
      <c r="X27" s="164"/>
      <c r="Y27" s="164"/>
      <c r="Z27" s="1248" t="s">
        <v>1</v>
      </c>
      <c r="AA27" s="1248"/>
      <c r="AB27" s="1248"/>
      <c r="AC27" s="1248"/>
      <c r="AD27" s="164"/>
      <c r="AE27" s="165"/>
    </row>
    <row r="28" spans="2:31" s="1" customFormat="1" ht="7.05" customHeight="1" x14ac:dyDescent="0.2">
      <c r="B28" s="24"/>
      <c r="L28" s="24"/>
      <c r="W28" s="158"/>
      <c r="X28" s="557"/>
      <c r="Y28" s="557"/>
      <c r="Z28" s="557"/>
      <c r="AA28" s="557"/>
      <c r="AB28" s="557"/>
      <c r="AC28" s="557"/>
      <c r="AD28" s="557"/>
      <c r="AE28" s="159"/>
    </row>
    <row r="29" spans="2:31" s="1" customFormat="1" ht="7.05" customHeight="1" x14ac:dyDescent="0.2">
      <c r="B29" s="24"/>
      <c r="D29" s="40"/>
      <c r="E29" s="40"/>
      <c r="F29" s="40"/>
      <c r="G29" s="40"/>
      <c r="H29" s="40"/>
      <c r="I29" s="40"/>
      <c r="J29" s="40"/>
      <c r="K29" s="40"/>
      <c r="L29" s="24"/>
      <c r="W29" s="158"/>
      <c r="X29" s="557"/>
      <c r="Y29" s="40"/>
      <c r="Z29" s="40"/>
      <c r="AA29" s="40"/>
      <c r="AB29" s="40"/>
      <c r="AC29" s="40"/>
      <c r="AD29" s="40"/>
      <c r="AE29" s="166"/>
    </row>
    <row r="30" spans="2:31" s="1" customFormat="1" ht="25.2" customHeight="1" x14ac:dyDescent="0.2">
      <c r="B30" s="24"/>
      <c r="D30" s="76" t="s">
        <v>26</v>
      </c>
      <c r="J30" s="53">
        <f>ROUND(J118, 2)</f>
        <v>148198.6</v>
      </c>
      <c r="L30" s="24"/>
      <c r="W30" s="158"/>
      <c r="X30" s="557"/>
      <c r="Y30" s="167" t="s">
        <v>26</v>
      </c>
      <c r="Z30" s="557"/>
      <c r="AA30" s="557"/>
      <c r="AB30" s="557"/>
      <c r="AC30" s="557"/>
      <c r="AD30" s="557"/>
      <c r="AE30" s="168">
        <f>ROUND(AE118, 2)</f>
        <v>181104.1</v>
      </c>
    </row>
    <row r="31" spans="2:31" s="1" customFormat="1" ht="7.05" customHeight="1" x14ac:dyDescent="0.2">
      <c r="B31" s="24"/>
      <c r="D31" s="40"/>
      <c r="E31" s="40"/>
      <c r="F31" s="40"/>
      <c r="G31" s="40"/>
      <c r="H31" s="40"/>
      <c r="I31" s="40"/>
      <c r="J31" s="40"/>
      <c r="K31" s="40"/>
      <c r="L31" s="24"/>
      <c r="W31" s="158"/>
      <c r="X31" s="557"/>
      <c r="Y31" s="40"/>
      <c r="Z31" s="40"/>
      <c r="AA31" s="40"/>
      <c r="AB31" s="40"/>
      <c r="AC31" s="40"/>
      <c r="AD31" s="40"/>
      <c r="AE31" s="166"/>
    </row>
    <row r="32" spans="2:31" s="1" customFormat="1" ht="14.55" customHeight="1" x14ac:dyDescent="0.2">
      <c r="B32" s="24"/>
      <c r="D32" s="521"/>
      <c r="E32" s="521"/>
      <c r="F32" s="534" t="s">
        <v>28</v>
      </c>
      <c r="G32" s="521"/>
      <c r="H32" s="521"/>
      <c r="I32" s="534" t="s">
        <v>27</v>
      </c>
      <c r="J32" s="534" t="s">
        <v>29</v>
      </c>
      <c r="L32" s="24"/>
      <c r="W32" s="158"/>
      <c r="X32" s="557"/>
      <c r="Y32" s="557"/>
      <c r="Z32" s="557"/>
      <c r="AA32" s="542" t="s">
        <v>28</v>
      </c>
      <c r="AB32" s="557"/>
      <c r="AC32" s="557"/>
      <c r="AD32" s="542" t="s">
        <v>27</v>
      </c>
      <c r="AE32" s="543" t="s">
        <v>29</v>
      </c>
    </row>
    <row r="33" spans="2:31" s="1" customFormat="1" ht="14.55" customHeight="1" x14ac:dyDescent="0.2">
      <c r="B33" s="24"/>
      <c r="D33" s="13" t="s">
        <v>30</v>
      </c>
      <c r="E33" s="528" t="s">
        <v>31</v>
      </c>
      <c r="F33" s="398">
        <f>ROUND((SUM(BE118:BE324)),  2)</f>
        <v>0</v>
      </c>
      <c r="G33" s="521"/>
      <c r="H33" s="521"/>
      <c r="I33" s="535">
        <v>0.2</v>
      </c>
      <c r="J33" s="398">
        <f>ROUND(((SUM(BE118:BE324))*I33),  2)</f>
        <v>0</v>
      </c>
      <c r="L33" s="24"/>
      <c r="W33" s="158"/>
      <c r="X33" s="557"/>
      <c r="Y33" s="544" t="s">
        <v>30</v>
      </c>
      <c r="Z33" s="538" t="s">
        <v>31</v>
      </c>
      <c r="AA33" s="545">
        <f>ROUND((SUM(BZ118:BZ324)),  2)</f>
        <v>0</v>
      </c>
      <c r="AB33" s="557"/>
      <c r="AC33" s="557"/>
      <c r="AD33" s="546">
        <v>0.2</v>
      </c>
      <c r="AE33" s="547">
        <f>ROUND(((SUM(BZ118:BZ324))*AD33),  2)</f>
        <v>0</v>
      </c>
    </row>
    <row r="34" spans="2:31" s="1" customFormat="1" ht="14.55" customHeight="1" x14ac:dyDescent="0.2">
      <c r="B34" s="24"/>
      <c r="D34" s="521"/>
      <c r="E34" s="528" t="s">
        <v>32</v>
      </c>
      <c r="F34" s="398">
        <f>ROUND((SUM(BF118:BF324)),  2)</f>
        <v>148198.6</v>
      </c>
      <c r="G34" s="521"/>
      <c r="H34" s="521"/>
      <c r="I34" s="535">
        <v>0.2</v>
      </c>
      <c r="J34" s="398">
        <f>ROUND(((SUM(BF118:BF324))*I34),  2)</f>
        <v>29639.72</v>
      </c>
      <c r="L34" s="24"/>
      <c r="W34" s="158"/>
      <c r="X34" s="557"/>
      <c r="Y34" s="557"/>
      <c r="Z34" s="538" t="s">
        <v>32</v>
      </c>
      <c r="AA34" s="545">
        <f>AE30</f>
        <v>181104.1</v>
      </c>
      <c r="AB34" s="557"/>
      <c r="AC34" s="557"/>
      <c r="AD34" s="546">
        <v>0.2</v>
      </c>
      <c r="AE34" s="547">
        <f>AE30*0.2</f>
        <v>36220.82</v>
      </c>
    </row>
    <row r="35" spans="2:31" s="1" customFormat="1" ht="14.55" hidden="1" customHeight="1" x14ac:dyDescent="0.2">
      <c r="B35" s="24"/>
      <c r="E35" s="21" t="s">
        <v>33</v>
      </c>
      <c r="F35" s="78">
        <f>ROUND((SUM(BG118:BG324)),  2)</f>
        <v>0</v>
      </c>
      <c r="I35" s="79">
        <v>0.2</v>
      </c>
      <c r="J35" s="78">
        <f>0</f>
        <v>0</v>
      </c>
      <c r="L35" s="24"/>
      <c r="W35" s="158"/>
      <c r="X35" s="557"/>
      <c r="Y35" s="557"/>
      <c r="Z35" s="559" t="s">
        <v>33</v>
      </c>
      <c r="AA35" s="170">
        <f>ROUND((SUM(CB118:CB324)),  2)</f>
        <v>0</v>
      </c>
      <c r="AB35" s="557"/>
      <c r="AC35" s="557"/>
      <c r="AD35" s="171">
        <v>0.2</v>
      </c>
      <c r="AE35" s="172">
        <f>0</f>
        <v>0</v>
      </c>
    </row>
    <row r="36" spans="2:31" s="1" customFormat="1" ht="14.55" hidden="1" customHeight="1" x14ac:dyDescent="0.2">
      <c r="B36" s="24"/>
      <c r="E36" s="21" t="s">
        <v>34</v>
      </c>
      <c r="F36" s="78">
        <f>ROUND((SUM(BH118:BH324)),  2)</f>
        <v>0</v>
      </c>
      <c r="I36" s="79">
        <v>0.2</v>
      </c>
      <c r="J36" s="78">
        <f>0</f>
        <v>0</v>
      </c>
      <c r="L36" s="24"/>
      <c r="W36" s="158"/>
      <c r="X36" s="557"/>
      <c r="Y36" s="557"/>
      <c r="Z36" s="559" t="s">
        <v>34</v>
      </c>
      <c r="AA36" s="170">
        <f>ROUND((SUM(CC118:CC324)),  2)</f>
        <v>0</v>
      </c>
      <c r="AB36" s="557"/>
      <c r="AC36" s="557"/>
      <c r="AD36" s="171">
        <v>0.2</v>
      </c>
      <c r="AE36" s="172">
        <f>0</f>
        <v>0</v>
      </c>
    </row>
    <row r="37" spans="2:31" s="1" customFormat="1" ht="14.55" hidden="1" customHeight="1" x14ac:dyDescent="0.2">
      <c r="B37" s="24"/>
      <c r="E37" s="21" t="s">
        <v>35</v>
      </c>
      <c r="F37" s="78">
        <f>ROUND((SUM(BI118:BI324)),  2)</f>
        <v>0</v>
      </c>
      <c r="I37" s="79">
        <v>0</v>
      </c>
      <c r="J37" s="78">
        <f>0</f>
        <v>0</v>
      </c>
      <c r="L37" s="24"/>
      <c r="W37" s="158"/>
      <c r="X37" s="557"/>
      <c r="Y37" s="557"/>
      <c r="Z37" s="559" t="s">
        <v>35</v>
      </c>
      <c r="AA37" s="170">
        <f>ROUND((SUM(CD118:CD324)),  2)</f>
        <v>0</v>
      </c>
      <c r="AB37" s="557"/>
      <c r="AC37" s="557"/>
      <c r="AD37" s="171">
        <v>0</v>
      </c>
      <c r="AE37" s="172">
        <f>0</f>
        <v>0</v>
      </c>
    </row>
    <row r="38" spans="2:31" s="1" customFormat="1" ht="7.05" customHeight="1" x14ac:dyDescent="0.2">
      <c r="B38" s="24"/>
      <c r="L38" s="24"/>
      <c r="W38" s="158"/>
      <c r="X38" s="557"/>
      <c r="Y38" s="557"/>
      <c r="Z38" s="557"/>
      <c r="AA38" s="557"/>
      <c r="AB38" s="557"/>
      <c r="AC38" s="557"/>
      <c r="AD38" s="557"/>
      <c r="AE38" s="159"/>
    </row>
    <row r="39" spans="2:31" s="1" customFormat="1" ht="25.2" customHeight="1" x14ac:dyDescent="0.2">
      <c r="B39" s="24"/>
      <c r="C39" s="80"/>
      <c r="D39" s="81" t="s">
        <v>36</v>
      </c>
      <c r="E39" s="44"/>
      <c r="F39" s="44"/>
      <c r="G39" s="82" t="s">
        <v>37</v>
      </c>
      <c r="H39" s="83" t="s">
        <v>38</v>
      </c>
      <c r="I39" s="44"/>
      <c r="J39" s="84">
        <f>SUM(J30:J37)</f>
        <v>177838.32</v>
      </c>
      <c r="K39" s="85"/>
      <c r="L39" s="24"/>
      <c r="W39" s="158"/>
      <c r="X39" s="173"/>
      <c r="Y39" s="81" t="s">
        <v>36</v>
      </c>
      <c r="Z39" s="44"/>
      <c r="AA39" s="44"/>
      <c r="AB39" s="82" t="s">
        <v>37</v>
      </c>
      <c r="AC39" s="83" t="s">
        <v>38</v>
      </c>
      <c r="AD39" s="44"/>
      <c r="AE39" s="174">
        <f>SUM(AE30:AE37)</f>
        <v>217324.92</v>
      </c>
    </row>
    <row r="40" spans="2:31" s="1" customFormat="1" ht="14.55" customHeight="1" x14ac:dyDescent="0.2">
      <c r="B40" s="24"/>
      <c r="L40" s="24"/>
      <c r="W40" s="158"/>
      <c r="X40" s="557"/>
      <c r="Y40" s="557"/>
      <c r="Z40" s="557"/>
      <c r="AA40" s="557"/>
      <c r="AB40" s="557"/>
      <c r="AC40" s="557"/>
      <c r="AD40" s="557"/>
      <c r="AE40" s="159"/>
    </row>
    <row r="41" spans="2:31" ht="14.55" customHeight="1" x14ac:dyDescent="0.2">
      <c r="B41" s="16"/>
      <c r="L41" s="16"/>
      <c r="W41" s="155"/>
      <c r="X41" s="156"/>
      <c r="Y41" s="156"/>
      <c r="Z41" s="156"/>
      <c r="AA41" s="156"/>
      <c r="AB41" s="156"/>
      <c r="AC41" s="156"/>
      <c r="AD41" s="156"/>
      <c r="AE41" s="157"/>
    </row>
    <row r="42" spans="2:31" ht="14.55" customHeight="1" x14ac:dyDescent="0.2">
      <c r="B42" s="16"/>
      <c r="L42" s="16"/>
      <c r="W42" s="155"/>
      <c r="X42" s="156"/>
      <c r="Y42" s="156"/>
      <c r="Z42" s="156"/>
      <c r="AA42" s="156"/>
      <c r="AB42" s="156"/>
      <c r="AC42" s="156"/>
      <c r="AD42" s="156"/>
      <c r="AE42" s="157"/>
    </row>
    <row r="43" spans="2:31" ht="14.55" customHeight="1" x14ac:dyDescent="0.2">
      <c r="B43" s="16"/>
      <c r="L43" s="16"/>
      <c r="W43" s="155"/>
      <c r="X43" s="156"/>
      <c r="Y43" s="156"/>
      <c r="Z43" s="156"/>
      <c r="AA43" s="156"/>
      <c r="AB43" s="156"/>
      <c r="AC43" s="156"/>
      <c r="AD43" s="156"/>
      <c r="AE43" s="157"/>
    </row>
    <row r="44" spans="2:31" ht="14.55" customHeight="1" x14ac:dyDescent="0.2">
      <c r="B44" s="16"/>
      <c r="L44" s="16"/>
      <c r="W44" s="155"/>
      <c r="X44" s="156"/>
      <c r="Y44" s="156"/>
      <c r="Z44" s="156"/>
      <c r="AA44" s="156"/>
      <c r="AB44" s="156"/>
      <c r="AC44" s="156"/>
      <c r="AD44" s="156"/>
      <c r="AE44" s="157"/>
    </row>
    <row r="45" spans="2:31" ht="14.55" customHeight="1" x14ac:dyDescent="0.2">
      <c r="B45" s="16"/>
      <c r="L45" s="16"/>
      <c r="W45" s="155"/>
      <c r="X45" s="156"/>
      <c r="Y45" s="156"/>
      <c r="Z45" s="156"/>
      <c r="AA45" s="156"/>
      <c r="AB45" s="156"/>
      <c r="AC45" s="156"/>
      <c r="AD45" s="156"/>
      <c r="AE45" s="157"/>
    </row>
    <row r="46" spans="2:31" ht="14.55" customHeight="1" x14ac:dyDescent="0.2">
      <c r="B46" s="16"/>
      <c r="L46" s="16"/>
      <c r="W46" s="155"/>
      <c r="X46" s="156"/>
      <c r="Y46" s="156"/>
      <c r="Z46" s="156"/>
      <c r="AA46" s="156"/>
      <c r="AB46" s="156"/>
      <c r="AC46" s="156"/>
      <c r="AD46" s="156"/>
      <c r="AE46" s="157"/>
    </row>
    <row r="47" spans="2:31" ht="14.55" customHeight="1" x14ac:dyDescent="0.2">
      <c r="B47" s="16"/>
      <c r="L47" s="16"/>
      <c r="W47" s="155"/>
      <c r="X47" s="156"/>
      <c r="Y47" s="156"/>
      <c r="Z47" s="156"/>
      <c r="AA47" s="156"/>
      <c r="AB47" s="156"/>
      <c r="AC47" s="156"/>
      <c r="AD47" s="156"/>
      <c r="AE47" s="157"/>
    </row>
    <row r="48" spans="2:31" ht="14.55" customHeight="1" x14ac:dyDescent="0.2">
      <c r="B48" s="16"/>
      <c r="L48" s="16"/>
      <c r="W48" s="155"/>
      <c r="X48" s="156"/>
      <c r="Y48" s="156"/>
      <c r="Z48" s="156"/>
      <c r="AA48" s="156"/>
      <c r="AB48" s="156"/>
      <c r="AC48" s="156"/>
      <c r="AD48" s="156"/>
      <c r="AE48" s="157"/>
    </row>
    <row r="49" spans="2:31" ht="14.55" customHeight="1" x14ac:dyDescent="0.2">
      <c r="B49" s="16"/>
      <c r="D49" s="156"/>
      <c r="E49" s="156"/>
      <c r="F49" s="156"/>
      <c r="G49" s="156"/>
      <c r="H49" s="156"/>
      <c r="I49" s="156"/>
      <c r="J49" s="156"/>
      <c r="L49" s="16"/>
      <c r="W49" s="155"/>
      <c r="X49" s="156"/>
      <c r="Y49" s="156"/>
      <c r="Z49" s="156"/>
      <c r="AA49" s="156"/>
      <c r="AB49" s="156"/>
      <c r="AC49" s="156"/>
      <c r="AD49" s="156"/>
      <c r="AE49" s="157"/>
    </row>
    <row r="50" spans="2:31" s="1" customFormat="1" ht="14.55" customHeight="1" x14ac:dyDescent="0.2">
      <c r="B50" s="24"/>
      <c r="D50" s="530"/>
      <c r="E50" s="523"/>
      <c r="F50" s="523"/>
      <c r="G50" s="530"/>
      <c r="H50" s="523"/>
      <c r="I50" s="523"/>
      <c r="J50" s="523"/>
      <c r="K50" s="32"/>
      <c r="L50" s="24"/>
      <c r="W50" s="158"/>
      <c r="X50" s="557"/>
      <c r="Y50" s="530"/>
      <c r="Z50" s="557"/>
      <c r="AA50" s="557"/>
      <c r="AB50" s="530"/>
      <c r="AC50" s="557"/>
      <c r="AD50" s="557"/>
      <c r="AE50" s="159"/>
    </row>
    <row r="51" spans="2:31" x14ac:dyDescent="0.2">
      <c r="B51" s="16"/>
      <c r="D51" s="156"/>
      <c r="E51" s="156"/>
      <c r="F51" s="156"/>
      <c r="G51" s="156"/>
      <c r="H51" s="156"/>
      <c r="I51" s="156"/>
      <c r="J51" s="156"/>
      <c r="L51" s="16"/>
      <c r="W51" s="155"/>
      <c r="X51" s="156"/>
      <c r="Y51" s="156"/>
      <c r="Z51" s="156"/>
      <c r="AA51" s="156"/>
      <c r="AB51" s="156"/>
      <c r="AC51" s="156"/>
      <c r="AD51" s="156"/>
      <c r="AE51" s="157"/>
    </row>
    <row r="52" spans="2:31" x14ac:dyDescent="0.2">
      <c r="B52" s="16"/>
      <c r="D52" s="156"/>
      <c r="E52" s="156"/>
      <c r="F52" s="156"/>
      <c r="G52" s="156"/>
      <c r="H52" s="156"/>
      <c r="I52" s="156"/>
      <c r="J52" s="156"/>
      <c r="L52" s="16"/>
      <c r="W52" s="155"/>
      <c r="X52" s="156"/>
      <c r="Y52" s="156"/>
      <c r="Z52" s="156"/>
      <c r="AA52" s="156"/>
      <c r="AB52" s="156"/>
      <c r="AC52" s="156"/>
      <c r="AD52" s="156"/>
      <c r="AE52" s="157"/>
    </row>
    <row r="53" spans="2:31" x14ac:dyDescent="0.2">
      <c r="B53" s="16"/>
      <c r="D53" s="156"/>
      <c r="E53" s="156"/>
      <c r="F53" s="156"/>
      <c r="G53" s="156"/>
      <c r="H53" s="156"/>
      <c r="I53" s="156"/>
      <c r="J53" s="156"/>
      <c r="L53" s="16"/>
      <c r="W53" s="155"/>
      <c r="X53" s="156"/>
      <c r="Y53" s="156"/>
      <c r="Z53" s="156"/>
      <c r="AA53" s="156"/>
      <c r="AB53" s="156"/>
      <c r="AC53" s="156"/>
      <c r="AD53" s="156"/>
      <c r="AE53" s="157"/>
    </row>
    <row r="54" spans="2:31" x14ac:dyDescent="0.2">
      <c r="B54" s="16"/>
      <c r="D54" s="156"/>
      <c r="E54" s="156"/>
      <c r="F54" s="156"/>
      <c r="G54" s="156"/>
      <c r="H54" s="156"/>
      <c r="I54" s="156"/>
      <c r="J54" s="156"/>
      <c r="L54" s="16"/>
      <c r="W54" s="155"/>
      <c r="X54" s="156"/>
      <c r="Y54" s="156"/>
      <c r="Z54" s="156"/>
      <c r="AA54" s="156"/>
      <c r="AB54" s="156"/>
      <c r="AC54" s="156"/>
      <c r="AD54" s="156"/>
      <c r="AE54" s="157"/>
    </row>
    <row r="55" spans="2:31" x14ac:dyDescent="0.2">
      <c r="B55" s="16"/>
      <c r="D55" s="156"/>
      <c r="E55" s="156"/>
      <c r="F55" s="156"/>
      <c r="G55" s="156"/>
      <c r="H55" s="156"/>
      <c r="I55" s="156"/>
      <c r="J55" s="156"/>
      <c r="L55" s="16"/>
      <c r="W55" s="155"/>
      <c r="X55" s="156"/>
      <c r="Y55" s="156"/>
      <c r="Z55" s="156"/>
      <c r="AA55" s="156"/>
      <c r="AB55" s="156"/>
      <c r="AC55" s="156"/>
      <c r="AD55" s="156"/>
      <c r="AE55" s="157"/>
    </row>
    <row r="56" spans="2:31" x14ac:dyDescent="0.2">
      <c r="B56" s="16"/>
      <c r="D56" s="156"/>
      <c r="E56" s="156"/>
      <c r="F56" s="156"/>
      <c r="G56" s="156"/>
      <c r="H56" s="156"/>
      <c r="I56" s="156"/>
      <c r="J56" s="156"/>
      <c r="L56" s="16"/>
      <c r="W56" s="155"/>
      <c r="X56" s="156"/>
      <c r="Y56" s="156"/>
      <c r="Z56" s="156"/>
      <c r="AA56" s="156"/>
      <c r="AB56" s="156"/>
      <c r="AC56" s="156"/>
      <c r="AD56" s="156"/>
      <c r="AE56" s="157"/>
    </row>
    <row r="57" spans="2:31" x14ac:dyDescent="0.2">
      <c r="B57" s="16"/>
      <c r="D57" s="156"/>
      <c r="E57" s="156"/>
      <c r="F57" s="156"/>
      <c r="G57" s="156"/>
      <c r="H57" s="156"/>
      <c r="I57" s="156"/>
      <c r="J57" s="156"/>
      <c r="L57" s="16"/>
      <c r="W57" s="155"/>
      <c r="X57" s="156"/>
      <c r="Y57" s="156"/>
      <c r="Z57" s="156"/>
      <c r="AA57" s="156"/>
      <c r="AB57" s="156"/>
      <c r="AC57" s="156"/>
      <c r="AD57" s="156"/>
      <c r="AE57" s="157"/>
    </row>
    <row r="58" spans="2:31" x14ac:dyDescent="0.2">
      <c r="B58" s="16"/>
      <c r="D58" s="156"/>
      <c r="E58" s="156"/>
      <c r="F58" s="156"/>
      <c r="G58" s="156"/>
      <c r="H58" s="156"/>
      <c r="I58" s="156"/>
      <c r="J58" s="156"/>
      <c r="L58" s="16"/>
      <c r="W58" s="155"/>
      <c r="X58" s="156"/>
      <c r="Y58" s="156"/>
      <c r="Z58" s="156"/>
      <c r="AA58" s="156"/>
      <c r="AB58" s="156"/>
      <c r="AC58" s="156"/>
      <c r="AD58" s="156"/>
      <c r="AE58" s="157"/>
    </row>
    <row r="59" spans="2:31" x14ac:dyDescent="0.2">
      <c r="B59" s="16"/>
      <c r="D59" s="156"/>
      <c r="E59" s="156"/>
      <c r="F59" s="156"/>
      <c r="G59" s="156"/>
      <c r="H59" s="156"/>
      <c r="I59" s="156"/>
      <c r="J59" s="156"/>
      <c r="L59" s="16"/>
      <c r="W59" s="155"/>
      <c r="X59" s="156"/>
      <c r="Y59" s="156"/>
      <c r="Z59" s="156"/>
      <c r="AA59" s="156"/>
      <c r="AB59" s="156"/>
      <c r="AC59" s="156"/>
      <c r="AD59" s="156"/>
      <c r="AE59" s="157"/>
    </row>
    <row r="60" spans="2:31" x14ac:dyDescent="0.2">
      <c r="B60" s="16"/>
      <c r="D60" s="156"/>
      <c r="E60" s="156"/>
      <c r="F60" s="156"/>
      <c r="G60" s="156"/>
      <c r="H60" s="156"/>
      <c r="I60" s="156"/>
      <c r="J60" s="156"/>
      <c r="L60" s="16"/>
      <c r="W60" s="155"/>
      <c r="X60" s="156"/>
      <c r="Y60" s="156"/>
      <c r="Z60" s="156"/>
      <c r="AA60" s="156"/>
      <c r="AB60" s="156"/>
      <c r="AC60" s="156"/>
      <c r="AD60" s="156"/>
      <c r="AE60" s="157"/>
    </row>
    <row r="61" spans="2:31" s="1" customFormat="1" ht="13.2" x14ac:dyDescent="0.2">
      <c r="B61" s="24"/>
      <c r="D61" s="522"/>
      <c r="E61" s="523"/>
      <c r="F61" s="536"/>
      <c r="G61" s="522"/>
      <c r="H61" s="523"/>
      <c r="I61" s="523"/>
      <c r="J61" s="169"/>
      <c r="K61" s="26"/>
      <c r="L61" s="24"/>
      <c r="W61" s="158"/>
      <c r="X61" s="557"/>
      <c r="Y61" s="559"/>
      <c r="Z61" s="557"/>
      <c r="AA61" s="536"/>
      <c r="AB61" s="559"/>
      <c r="AC61" s="557"/>
      <c r="AD61" s="557"/>
      <c r="AE61" s="577"/>
    </row>
    <row r="62" spans="2:31" x14ac:dyDescent="0.2">
      <c r="B62" s="16"/>
      <c r="D62" s="156"/>
      <c r="E62" s="156"/>
      <c r="F62" s="156"/>
      <c r="G62" s="156"/>
      <c r="H62" s="156"/>
      <c r="I62" s="156"/>
      <c r="J62" s="156"/>
      <c r="L62" s="16"/>
      <c r="W62" s="155"/>
      <c r="X62" s="156"/>
      <c r="Y62" s="156"/>
      <c r="Z62" s="156"/>
      <c r="AA62" s="156"/>
      <c r="AB62" s="156"/>
      <c r="AC62" s="156"/>
      <c r="AD62" s="156"/>
      <c r="AE62" s="157"/>
    </row>
    <row r="63" spans="2:31" x14ac:dyDescent="0.2">
      <c r="B63" s="16"/>
      <c r="D63" s="156"/>
      <c r="E63" s="156"/>
      <c r="F63" s="156"/>
      <c r="G63" s="156"/>
      <c r="H63" s="156"/>
      <c r="I63" s="156"/>
      <c r="J63" s="156"/>
      <c r="L63" s="16"/>
      <c r="W63" s="155"/>
      <c r="X63" s="156"/>
      <c r="Y63" s="156"/>
      <c r="Z63" s="156"/>
      <c r="AA63" s="156"/>
      <c r="AB63" s="156"/>
      <c r="AC63" s="156"/>
      <c r="AD63" s="156"/>
      <c r="AE63" s="157"/>
    </row>
    <row r="64" spans="2:31" x14ac:dyDescent="0.2">
      <c r="B64" s="16"/>
      <c r="D64" s="156"/>
      <c r="E64" s="156"/>
      <c r="F64" s="156"/>
      <c r="G64" s="156"/>
      <c r="H64" s="156"/>
      <c r="I64" s="156"/>
      <c r="J64" s="156"/>
      <c r="L64" s="16"/>
      <c r="W64" s="155"/>
      <c r="X64" s="156"/>
      <c r="Y64" s="156"/>
      <c r="Z64" s="156"/>
      <c r="AA64" s="156"/>
      <c r="AB64" s="156"/>
      <c r="AC64" s="156"/>
      <c r="AD64" s="156"/>
      <c r="AE64" s="157"/>
    </row>
    <row r="65" spans="2:31" s="1" customFormat="1" ht="13.2" x14ac:dyDescent="0.2">
      <c r="B65" s="24"/>
      <c r="D65" s="530"/>
      <c r="E65" s="523"/>
      <c r="F65" s="523"/>
      <c r="G65" s="530"/>
      <c r="H65" s="523"/>
      <c r="I65" s="523"/>
      <c r="J65" s="523"/>
      <c r="K65" s="32"/>
      <c r="L65" s="24"/>
      <c r="W65" s="158"/>
      <c r="X65" s="557"/>
      <c r="Y65" s="530"/>
      <c r="Z65" s="557"/>
      <c r="AA65" s="557"/>
      <c r="AB65" s="530"/>
      <c r="AC65" s="557"/>
      <c r="AD65" s="557"/>
      <c r="AE65" s="159"/>
    </row>
    <row r="66" spans="2:31" x14ac:dyDescent="0.2">
      <c r="B66" s="16"/>
      <c r="D66" s="156"/>
      <c r="E66" s="156"/>
      <c r="F66" s="156"/>
      <c r="G66" s="156"/>
      <c r="H66" s="156"/>
      <c r="I66" s="156"/>
      <c r="J66" s="156"/>
      <c r="L66" s="16"/>
      <c r="W66" s="155"/>
      <c r="X66" s="156"/>
      <c r="Y66" s="156"/>
      <c r="Z66" s="156"/>
      <c r="AA66" s="156"/>
      <c r="AB66" s="156"/>
      <c r="AC66" s="156"/>
      <c r="AD66" s="156"/>
      <c r="AE66" s="157"/>
    </row>
    <row r="67" spans="2:31" x14ac:dyDescent="0.2">
      <c r="B67" s="16"/>
      <c r="D67" s="156"/>
      <c r="E67" s="156"/>
      <c r="F67" s="156"/>
      <c r="G67" s="156"/>
      <c r="H67" s="156"/>
      <c r="I67" s="156"/>
      <c r="J67" s="156"/>
      <c r="L67" s="16"/>
      <c r="W67" s="155"/>
      <c r="X67" s="156"/>
      <c r="Y67" s="156"/>
      <c r="Z67" s="156"/>
      <c r="AA67" s="156"/>
      <c r="AB67" s="156"/>
      <c r="AC67" s="156"/>
      <c r="AD67" s="156"/>
      <c r="AE67" s="157"/>
    </row>
    <row r="68" spans="2:31" x14ac:dyDescent="0.2">
      <c r="B68" s="16"/>
      <c r="D68" s="156"/>
      <c r="E68" s="156"/>
      <c r="F68" s="156"/>
      <c r="G68" s="156"/>
      <c r="H68" s="156"/>
      <c r="I68" s="156"/>
      <c r="J68" s="156"/>
      <c r="L68" s="16"/>
      <c r="W68" s="155"/>
      <c r="X68" s="156"/>
      <c r="Y68" s="156"/>
      <c r="Z68" s="156"/>
      <c r="AA68" s="156"/>
      <c r="AB68" s="156"/>
      <c r="AC68" s="156"/>
      <c r="AD68" s="156"/>
      <c r="AE68" s="157"/>
    </row>
    <row r="69" spans="2:31" x14ac:dyDescent="0.2">
      <c r="B69" s="16"/>
      <c r="D69" s="156"/>
      <c r="E69" s="156"/>
      <c r="F69" s="156"/>
      <c r="G69" s="156"/>
      <c r="H69" s="156"/>
      <c r="I69" s="156"/>
      <c r="J69" s="156"/>
      <c r="L69" s="16"/>
      <c r="W69" s="155"/>
      <c r="X69" s="156"/>
      <c r="Y69" s="156"/>
      <c r="Z69" s="156"/>
      <c r="AA69" s="156"/>
      <c r="AB69" s="156"/>
      <c r="AC69" s="156"/>
      <c r="AD69" s="156"/>
      <c r="AE69" s="157"/>
    </row>
    <row r="70" spans="2:31" x14ac:dyDescent="0.2">
      <c r="B70" s="16"/>
      <c r="D70" s="156"/>
      <c r="E70" s="156"/>
      <c r="F70" s="156"/>
      <c r="G70" s="156"/>
      <c r="H70" s="156"/>
      <c r="I70" s="156"/>
      <c r="J70" s="156"/>
      <c r="L70" s="16"/>
      <c r="W70" s="155"/>
      <c r="X70" s="156"/>
      <c r="Y70" s="156"/>
      <c r="Z70" s="156"/>
      <c r="AA70" s="156"/>
      <c r="AB70" s="156"/>
      <c r="AC70" s="156"/>
      <c r="AD70" s="156"/>
      <c r="AE70" s="157"/>
    </row>
    <row r="71" spans="2:31" x14ac:dyDescent="0.2">
      <c r="B71" s="16"/>
      <c r="D71" s="156"/>
      <c r="E71" s="156"/>
      <c r="F71" s="156"/>
      <c r="G71" s="156"/>
      <c r="H71" s="156"/>
      <c r="I71" s="156"/>
      <c r="J71" s="156"/>
      <c r="L71" s="16"/>
      <c r="W71" s="155"/>
      <c r="X71" s="156"/>
      <c r="Y71" s="156"/>
      <c r="Z71" s="156"/>
      <c r="AA71" s="156"/>
      <c r="AB71" s="156"/>
      <c r="AC71" s="156"/>
      <c r="AD71" s="156"/>
      <c r="AE71" s="157"/>
    </row>
    <row r="72" spans="2:31" x14ac:dyDescent="0.2">
      <c r="B72" s="16"/>
      <c r="D72" s="156"/>
      <c r="E72" s="156"/>
      <c r="F72" s="156"/>
      <c r="G72" s="156"/>
      <c r="H72" s="156"/>
      <c r="I72" s="156"/>
      <c r="J72" s="156"/>
      <c r="L72" s="16"/>
      <c r="W72" s="155"/>
      <c r="X72" s="156"/>
      <c r="Y72" s="156"/>
      <c r="Z72" s="156"/>
      <c r="AA72" s="156"/>
      <c r="AB72" s="156"/>
      <c r="AC72" s="156"/>
      <c r="AD72" s="156"/>
      <c r="AE72" s="157"/>
    </row>
    <row r="73" spans="2:31" x14ac:dyDescent="0.2">
      <c r="B73" s="16"/>
      <c r="D73" s="156"/>
      <c r="E73" s="156"/>
      <c r="F73" s="156"/>
      <c r="G73" s="156"/>
      <c r="H73" s="156"/>
      <c r="I73" s="156"/>
      <c r="J73" s="156"/>
      <c r="L73" s="16"/>
      <c r="W73" s="155"/>
      <c r="X73" s="156"/>
      <c r="Y73" s="156"/>
      <c r="Z73" s="156"/>
      <c r="AA73" s="156"/>
      <c r="AB73" s="156"/>
      <c r="AC73" s="156"/>
      <c r="AD73" s="156"/>
      <c r="AE73" s="157"/>
    </row>
    <row r="74" spans="2:31" x14ac:dyDescent="0.2">
      <c r="B74" s="16"/>
      <c r="D74" s="156"/>
      <c r="E74" s="156"/>
      <c r="F74" s="156"/>
      <c r="G74" s="156"/>
      <c r="H74" s="156"/>
      <c r="I74" s="156"/>
      <c r="J74" s="156"/>
      <c r="L74" s="16"/>
      <c r="W74" s="155"/>
      <c r="X74" s="156"/>
      <c r="Y74" s="156"/>
      <c r="Z74" s="156"/>
      <c r="AA74" s="156"/>
      <c r="AB74" s="156"/>
      <c r="AC74" s="156"/>
      <c r="AD74" s="156"/>
      <c r="AE74" s="157"/>
    </row>
    <row r="75" spans="2:31" x14ac:dyDescent="0.2">
      <c r="B75" s="16"/>
      <c r="D75" s="156"/>
      <c r="E75" s="156"/>
      <c r="F75" s="156"/>
      <c r="G75" s="156"/>
      <c r="H75" s="156"/>
      <c r="I75" s="156"/>
      <c r="J75" s="156"/>
      <c r="L75" s="16"/>
      <c r="W75" s="155"/>
      <c r="X75" s="156"/>
      <c r="Y75" s="156"/>
      <c r="Z75" s="156"/>
      <c r="AA75" s="156"/>
      <c r="AB75" s="156"/>
      <c r="AC75" s="156"/>
      <c r="AD75" s="156"/>
      <c r="AE75" s="157"/>
    </row>
    <row r="76" spans="2:31" s="1" customFormat="1" ht="13.2" x14ac:dyDescent="0.2">
      <c r="B76" s="24"/>
      <c r="D76" s="522"/>
      <c r="E76" s="523"/>
      <c r="F76" s="536"/>
      <c r="G76" s="522"/>
      <c r="H76" s="523"/>
      <c r="I76" s="523"/>
      <c r="J76" s="169"/>
      <c r="K76" s="26"/>
      <c r="L76" s="24"/>
      <c r="W76" s="158"/>
      <c r="X76" s="557"/>
      <c r="Y76" s="559"/>
      <c r="Z76" s="557"/>
      <c r="AA76" s="536"/>
      <c r="AB76" s="559"/>
      <c r="AC76" s="557"/>
      <c r="AD76" s="557"/>
      <c r="AE76" s="577"/>
    </row>
    <row r="77" spans="2:31" s="1" customFormat="1" ht="14.55" customHeight="1" x14ac:dyDescent="0.2">
      <c r="B77" s="33"/>
      <c r="C77" s="34"/>
      <c r="D77" s="34"/>
      <c r="E77" s="34"/>
      <c r="F77" s="34"/>
      <c r="G77" s="34"/>
      <c r="H77" s="34"/>
      <c r="I77" s="34"/>
      <c r="J77" s="34"/>
      <c r="K77" s="34"/>
      <c r="L77" s="24"/>
      <c r="W77" s="175"/>
      <c r="X77" s="176"/>
      <c r="Y77" s="176"/>
      <c r="Z77" s="176"/>
      <c r="AA77" s="176"/>
      <c r="AB77" s="176"/>
      <c r="AC77" s="176"/>
      <c r="AD77" s="176"/>
      <c r="AE77" s="177"/>
    </row>
    <row r="81" spans="2:47" s="1" customFormat="1" ht="7.05" customHeight="1" x14ac:dyDescent="0.2">
      <c r="B81" s="35"/>
      <c r="C81" s="36"/>
      <c r="D81" s="36"/>
      <c r="E81" s="36"/>
      <c r="F81" s="36"/>
      <c r="G81" s="36"/>
      <c r="H81" s="36"/>
      <c r="I81" s="36"/>
      <c r="J81" s="36"/>
      <c r="K81" s="36"/>
      <c r="L81" s="24"/>
      <c r="W81" s="178"/>
      <c r="X81" s="179"/>
      <c r="Y81" s="179"/>
      <c r="Z81" s="179"/>
      <c r="AA81" s="179"/>
      <c r="AB81" s="179"/>
      <c r="AC81" s="179"/>
      <c r="AD81" s="179"/>
      <c r="AE81" s="180"/>
    </row>
    <row r="82" spans="2:47" s="1" customFormat="1" ht="25.05" customHeight="1" x14ac:dyDescent="0.2">
      <c r="B82" s="24"/>
      <c r="C82" s="1165" t="s">
        <v>188</v>
      </c>
      <c r="D82" s="1165"/>
      <c r="E82" s="1165"/>
      <c r="F82" s="1165"/>
      <c r="G82" s="1165"/>
      <c r="H82" s="1165"/>
      <c r="I82" s="1165"/>
      <c r="J82" s="1165"/>
      <c r="L82" s="24"/>
      <c r="W82" s="158"/>
      <c r="X82" s="1237" t="s">
        <v>188</v>
      </c>
      <c r="Y82" s="1237"/>
      <c r="Z82" s="1237"/>
      <c r="AA82" s="1237"/>
      <c r="AB82" s="1237"/>
      <c r="AC82" s="1237"/>
      <c r="AD82" s="1237"/>
      <c r="AE82" s="1238"/>
    </row>
    <row r="83" spans="2:47" s="1" customFormat="1" ht="7.05" customHeight="1" x14ac:dyDescent="0.2">
      <c r="B83" s="24"/>
      <c r="L83" s="24"/>
      <c r="W83" s="158"/>
      <c r="X83" s="557"/>
      <c r="Y83" s="557"/>
      <c r="Z83" s="557"/>
      <c r="AA83" s="557"/>
      <c r="AB83" s="557"/>
      <c r="AC83" s="557"/>
      <c r="AD83" s="557"/>
      <c r="AE83" s="159"/>
    </row>
    <row r="84" spans="2:47" s="1" customFormat="1" ht="12" customHeight="1" x14ac:dyDescent="0.2">
      <c r="B84" s="24"/>
      <c r="C84" s="528" t="s">
        <v>12</v>
      </c>
      <c r="E84" s="1242" t="s">
        <v>6177</v>
      </c>
      <c r="F84" s="1242"/>
      <c r="G84" s="1242"/>
      <c r="H84" s="1242"/>
      <c r="I84" s="1242"/>
      <c r="J84" s="1242"/>
      <c r="L84" s="24"/>
      <c r="W84" s="158"/>
      <c r="X84" s="538" t="s">
        <v>12</v>
      </c>
      <c r="Y84" s="557"/>
      <c r="Z84" s="1163" t="s">
        <v>6177</v>
      </c>
      <c r="AA84" s="1163"/>
      <c r="AB84" s="1163"/>
      <c r="AC84" s="1163"/>
      <c r="AD84" s="1163"/>
      <c r="AE84" s="1241"/>
    </row>
    <row r="85" spans="2:47" s="1" customFormat="1" ht="22.95" customHeight="1" x14ac:dyDescent="0.2">
      <c r="B85" s="24"/>
      <c r="C85" s="521"/>
      <c r="E85" s="1243"/>
      <c r="F85" s="1244"/>
      <c r="G85" s="1244"/>
      <c r="H85" s="1244"/>
      <c r="L85" s="24"/>
      <c r="W85" s="158"/>
      <c r="X85" s="557"/>
      <c r="Y85" s="557"/>
      <c r="Z85" s="1249"/>
      <c r="AA85" s="1250"/>
      <c r="AB85" s="1250"/>
      <c r="AC85" s="1250"/>
      <c r="AD85" s="557"/>
      <c r="AE85" s="159"/>
    </row>
    <row r="86" spans="2:47" s="1" customFormat="1" ht="12" customHeight="1" x14ac:dyDescent="0.2">
      <c r="B86" s="24"/>
      <c r="C86" s="528" t="s">
        <v>186</v>
      </c>
      <c r="F86" s="532" t="s">
        <v>4551</v>
      </c>
      <c r="L86" s="24"/>
      <c r="W86" s="158"/>
      <c r="X86" s="538" t="s">
        <v>186</v>
      </c>
      <c r="Y86" s="557"/>
      <c r="Z86" s="557"/>
      <c r="AA86" s="555" t="s">
        <v>4551</v>
      </c>
      <c r="AB86" s="557"/>
      <c r="AC86" s="557"/>
      <c r="AD86" s="557"/>
      <c r="AE86" s="159"/>
    </row>
    <row r="87" spans="2:47" s="1" customFormat="1" ht="16.5" customHeight="1" x14ac:dyDescent="0.2">
      <c r="B87" s="24"/>
      <c r="C87" s="521"/>
      <c r="E87" s="1251"/>
      <c r="F87" s="1252"/>
      <c r="G87" s="1252"/>
      <c r="H87" s="1252"/>
      <c r="L87" s="24"/>
      <c r="W87" s="158"/>
      <c r="X87" s="557"/>
      <c r="Y87" s="557"/>
      <c r="Z87" s="1245"/>
      <c r="AA87" s="1246"/>
      <c r="AB87" s="1246"/>
      <c r="AC87" s="1246"/>
      <c r="AD87" s="557"/>
      <c r="AE87" s="159"/>
    </row>
    <row r="88" spans="2:47" s="1" customFormat="1" ht="7.05" customHeight="1" x14ac:dyDescent="0.2">
      <c r="B88" s="24"/>
      <c r="C88" s="521"/>
      <c r="L88" s="24"/>
      <c r="W88" s="158"/>
      <c r="X88" s="557"/>
      <c r="Y88" s="557"/>
      <c r="Z88" s="557"/>
      <c r="AA88" s="557"/>
      <c r="AB88" s="557"/>
      <c r="AC88" s="557"/>
      <c r="AD88" s="557"/>
      <c r="AE88" s="159"/>
    </row>
    <row r="89" spans="2:47" s="1" customFormat="1" ht="12" customHeight="1" x14ac:dyDescent="0.2">
      <c r="B89" s="24"/>
      <c r="C89" s="528" t="s">
        <v>15</v>
      </c>
      <c r="F89" s="19" t="str">
        <f>F12</f>
        <v>Kuzmányho nábrežie 28, 960 01 Zvolen</v>
      </c>
      <c r="I89" s="528" t="s">
        <v>17</v>
      </c>
      <c r="J89" s="39" t="str">
        <f>IF(J12="","",J12)</f>
        <v/>
      </c>
      <c r="L89" s="24"/>
      <c r="W89" s="158"/>
      <c r="X89" s="538" t="s">
        <v>15</v>
      </c>
      <c r="Y89" s="557"/>
      <c r="Z89" s="557"/>
      <c r="AA89" s="558" t="str">
        <f>AA12</f>
        <v>Kuzmányho nábrežie 28, 960 01 Zvolen</v>
      </c>
      <c r="AB89" s="557"/>
      <c r="AC89" s="557"/>
      <c r="AD89" s="538" t="s">
        <v>17</v>
      </c>
      <c r="AE89" s="162" t="str">
        <f>IF(AE12="","",AE12)</f>
        <v/>
      </c>
    </row>
    <row r="90" spans="2:47" s="1" customFormat="1" ht="7.05" customHeight="1" x14ac:dyDescent="0.2">
      <c r="B90" s="24"/>
      <c r="C90" s="521"/>
      <c r="I90" s="521"/>
      <c r="L90" s="24"/>
      <c r="W90" s="158"/>
      <c r="X90" s="557"/>
      <c r="Y90" s="557"/>
      <c r="Z90" s="557"/>
      <c r="AA90" s="557"/>
      <c r="AB90" s="557"/>
      <c r="AC90" s="557"/>
      <c r="AD90" s="557"/>
      <c r="AE90" s="159"/>
    </row>
    <row r="91" spans="2:47" s="1" customFormat="1" ht="15.3" customHeight="1" x14ac:dyDescent="0.2">
      <c r="B91" s="24"/>
      <c r="C91" s="528" t="s">
        <v>18</v>
      </c>
      <c r="F91" s="529" t="s">
        <v>6175</v>
      </c>
      <c r="I91" s="528" t="s">
        <v>22</v>
      </c>
      <c r="J91" s="22" t="str">
        <f>E21</f>
        <v xml:space="preserve"> </v>
      </c>
      <c r="L91" s="24"/>
      <c r="W91" s="158"/>
      <c r="X91" s="538" t="s">
        <v>18</v>
      </c>
      <c r="Y91" s="557"/>
      <c r="Z91" s="557"/>
      <c r="AA91" s="576" t="s">
        <v>6175</v>
      </c>
      <c r="AB91" s="557"/>
      <c r="AC91" s="557"/>
      <c r="AD91" s="538" t="s">
        <v>22</v>
      </c>
      <c r="AE91" s="181" t="str">
        <f>Z21</f>
        <v/>
      </c>
    </row>
    <row r="92" spans="2:47" s="1" customFormat="1" ht="15.3" customHeight="1" x14ac:dyDescent="0.2">
      <c r="B92" s="24"/>
      <c r="C92" s="528" t="s">
        <v>21</v>
      </c>
      <c r="F92" s="529" t="s">
        <v>5202</v>
      </c>
      <c r="I92" s="528" t="s">
        <v>24</v>
      </c>
      <c r="J92" s="22" t="str">
        <f>E24</f>
        <v xml:space="preserve"> </v>
      </c>
      <c r="L92" s="24"/>
      <c r="W92" s="158"/>
      <c r="X92" s="538" t="s">
        <v>21</v>
      </c>
      <c r="Y92" s="557"/>
      <c r="Z92" s="557"/>
      <c r="AA92" s="576" t="s">
        <v>5202</v>
      </c>
      <c r="AB92" s="557"/>
      <c r="AC92" s="557"/>
      <c r="AD92" s="538" t="s">
        <v>24</v>
      </c>
      <c r="AE92" s="181" t="str">
        <f>Z24</f>
        <v/>
      </c>
    </row>
    <row r="93" spans="2:47" s="1" customFormat="1" ht="10.199999999999999" customHeight="1" x14ac:dyDescent="0.2">
      <c r="B93" s="24"/>
      <c r="L93" s="24"/>
      <c r="W93" s="158"/>
      <c r="X93" s="557"/>
      <c r="Y93" s="557"/>
      <c r="Z93" s="557"/>
      <c r="AA93" s="557"/>
      <c r="AB93" s="557"/>
      <c r="AC93" s="557"/>
      <c r="AD93" s="557"/>
      <c r="AE93" s="159"/>
    </row>
    <row r="94" spans="2:47" s="1" customFormat="1" ht="29.25" customHeight="1" x14ac:dyDescent="0.2">
      <c r="B94" s="24"/>
      <c r="C94" s="86" t="s">
        <v>189</v>
      </c>
      <c r="D94" s="80"/>
      <c r="E94" s="80"/>
      <c r="F94" s="80"/>
      <c r="G94" s="80"/>
      <c r="H94" s="80"/>
      <c r="I94" s="80"/>
      <c r="J94" s="87" t="s">
        <v>190</v>
      </c>
      <c r="K94" s="80"/>
      <c r="L94" s="24"/>
      <c r="W94" s="158"/>
      <c r="X94" s="182" t="s">
        <v>189</v>
      </c>
      <c r="Y94" s="173"/>
      <c r="Z94" s="173"/>
      <c r="AA94" s="173"/>
      <c r="AB94" s="173"/>
      <c r="AC94" s="173"/>
      <c r="AD94" s="173"/>
      <c r="AE94" s="183" t="s">
        <v>190</v>
      </c>
    </row>
    <row r="95" spans="2:47" s="1" customFormat="1" ht="10.199999999999999" customHeight="1" x14ac:dyDescent="0.2">
      <c r="B95" s="24"/>
      <c r="L95" s="24"/>
      <c r="W95" s="158"/>
      <c r="X95" s="557"/>
      <c r="Y95" s="557"/>
      <c r="Z95" s="557"/>
      <c r="AA95" s="557"/>
      <c r="AB95" s="557"/>
      <c r="AC95" s="557"/>
      <c r="AD95" s="557"/>
      <c r="AE95" s="159"/>
    </row>
    <row r="96" spans="2:47" s="1" customFormat="1" ht="22.95" customHeight="1" x14ac:dyDescent="0.2">
      <c r="B96" s="24"/>
      <c r="C96" s="88" t="s">
        <v>191</v>
      </c>
      <c r="J96" s="53">
        <f>J118</f>
        <v>148198.6</v>
      </c>
      <c r="L96" s="24"/>
      <c r="W96" s="158"/>
      <c r="X96" s="184" t="s">
        <v>191</v>
      </c>
      <c r="Y96" s="557"/>
      <c r="Z96" s="557"/>
      <c r="AA96" s="557"/>
      <c r="AB96" s="557"/>
      <c r="AC96" s="557"/>
      <c r="AD96" s="557"/>
      <c r="AE96" s="168">
        <f>AE118</f>
        <v>181104.09999999998</v>
      </c>
      <c r="AU96" s="13" t="s">
        <v>192</v>
      </c>
    </row>
    <row r="97" spans="2:31" s="8" customFormat="1" ht="25.05" customHeight="1" x14ac:dyDescent="0.2">
      <c r="B97" s="89"/>
      <c r="D97" s="90" t="s">
        <v>3799</v>
      </c>
      <c r="E97" s="91"/>
      <c r="F97" s="91"/>
      <c r="G97" s="91"/>
      <c r="H97" s="91"/>
      <c r="I97" s="91"/>
      <c r="J97" s="92">
        <f>J119</f>
        <v>132655.31</v>
      </c>
      <c r="L97" s="89"/>
      <c r="W97" s="185"/>
      <c r="X97" s="186"/>
      <c r="Y97" s="90" t="s">
        <v>3799</v>
      </c>
      <c r="Z97" s="91"/>
      <c r="AA97" s="91"/>
      <c r="AB97" s="91"/>
      <c r="AC97" s="91"/>
      <c r="AD97" s="91"/>
      <c r="AE97" s="187">
        <f>AE119</f>
        <v>170758.66999999998</v>
      </c>
    </row>
    <row r="98" spans="2:31" s="8" customFormat="1" ht="25.05" customHeight="1" x14ac:dyDescent="0.2">
      <c r="B98" s="89"/>
      <c r="D98" s="90" t="s">
        <v>3800</v>
      </c>
      <c r="E98" s="91"/>
      <c r="F98" s="91"/>
      <c r="G98" s="91"/>
      <c r="H98" s="91"/>
      <c r="I98" s="91"/>
      <c r="J98" s="92">
        <f>J316</f>
        <v>15543.29</v>
      </c>
      <c r="L98" s="89"/>
      <c r="W98" s="185"/>
      <c r="X98" s="186"/>
      <c r="Y98" s="90" t="s">
        <v>3800</v>
      </c>
      <c r="Z98" s="91"/>
      <c r="AA98" s="91"/>
      <c r="AB98" s="91"/>
      <c r="AC98" s="91"/>
      <c r="AD98" s="91"/>
      <c r="AE98" s="187">
        <f>AE316</f>
        <v>10345.43</v>
      </c>
    </row>
    <row r="99" spans="2:31" s="1" customFormat="1" ht="21.75" customHeight="1" x14ac:dyDescent="0.2">
      <c r="B99" s="24"/>
      <c r="L99" s="24"/>
      <c r="W99" s="158"/>
      <c r="X99" s="557"/>
      <c r="Y99" s="557"/>
      <c r="Z99" s="557"/>
      <c r="AA99" s="557"/>
      <c r="AB99" s="557"/>
      <c r="AC99" s="557"/>
      <c r="AD99" s="557"/>
      <c r="AE99" s="159"/>
    </row>
    <row r="100" spans="2:31" s="1" customFormat="1" ht="7.05" customHeight="1" x14ac:dyDescent="0.2">
      <c r="B100" s="33"/>
      <c r="C100" s="34"/>
      <c r="D100" s="34"/>
      <c r="E100" s="34"/>
      <c r="F100" s="34"/>
      <c r="G100" s="34"/>
      <c r="H100" s="34"/>
      <c r="I100" s="34"/>
      <c r="J100" s="34"/>
      <c r="K100" s="34"/>
      <c r="L100" s="24"/>
      <c r="W100" s="175"/>
      <c r="X100" s="176"/>
      <c r="Y100" s="176"/>
      <c r="Z100" s="176"/>
      <c r="AA100" s="176"/>
      <c r="AB100" s="176"/>
      <c r="AC100" s="176"/>
      <c r="AD100" s="176"/>
      <c r="AE100" s="177"/>
    </row>
    <row r="104" spans="2:31" s="1" customFormat="1" ht="7.05" customHeight="1" x14ac:dyDescent="0.2">
      <c r="B104" s="35"/>
      <c r="C104" s="36"/>
      <c r="D104" s="36"/>
      <c r="E104" s="36"/>
      <c r="F104" s="36"/>
      <c r="G104" s="36"/>
      <c r="H104" s="36"/>
      <c r="I104" s="36"/>
      <c r="J104" s="36"/>
      <c r="K104" s="36"/>
      <c r="L104" s="24"/>
      <c r="W104" s="178"/>
      <c r="X104" s="179"/>
      <c r="Y104" s="179"/>
      <c r="Z104" s="179"/>
      <c r="AA104" s="179"/>
      <c r="AB104" s="179"/>
      <c r="AC104" s="179"/>
      <c r="AD104" s="179"/>
      <c r="AE104" s="180"/>
    </row>
    <row r="105" spans="2:31" s="1" customFormat="1" ht="25.05" customHeight="1" x14ac:dyDescent="0.2">
      <c r="B105" s="24"/>
      <c r="C105" s="1165" t="s">
        <v>214</v>
      </c>
      <c r="D105" s="1165"/>
      <c r="E105" s="1165"/>
      <c r="F105" s="1165"/>
      <c r="G105" s="1165"/>
      <c r="H105" s="1165"/>
      <c r="I105" s="1165"/>
      <c r="J105" s="1165"/>
      <c r="L105" s="24"/>
      <c r="W105" s="158"/>
      <c r="X105" s="1237" t="s">
        <v>214</v>
      </c>
      <c r="Y105" s="1237"/>
      <c r="Z105" s="1237"/>
      <c r="AA105" s="1237"/>
      <c r="AB105" s="1237"/>
      <c r="AC105" s="1237"/>
      <c r="AD105" s="1237"/>
      <c r="AE105" s="1238"/>
    </row>
    <row r="106" spans="2:31" s="1" customFormat="1" ht="7.05" customHeight="1" x14ac:dyDescent="0.2">
      <c r="B106" s="24"/>
      <c r="L106" s="24"/>
      <c r="W106" s="158"/>
      <c r="X106" s="557"/>
      <c r="Y106" s="557"/>
      <c r="Z106" s="557"/>
      <c r="AA106" s="557"/>
      <c r="AB106" s="557"/>
      <c r="AC106" s="557"/>
      <c r="AD106" s="557"/>
      <c r="AE106" s="159"/>
    </row>
    <row r="107" spans="2:31" s="1" customFormat="1" ht="12" customHeight="1" x14ac:dyDescent="0.2">
      <c r="B107" s="24"/>
      <c r="C107" s="528" t="s">
        <v>12</v>
      </c>
      <c r="E107" s="1242" t="s">
        <v>6177</v>
      </c>
      <c r="F107" s="1242"/>
      <c r="G107" s="1242"/>
      <c r="H107" s="1242"/>
      <c r="I107" s="1242"/>
      <c r="J107" s="1242"/>
      <c r="L107" s="24"/>
      <c r="W107" s="158"/>
      <c r="X107" s="538" t="s">
        <v>12</v>
      </c>
      <c r="Y107" s="557"/>
      <c r="Z107" s="1163" t="s">
        <v>6177</v>
      </c>
      <c r="AA107" s="1163"/>
      <c r="AB107" s="1163"/>
      <c r="AC107" s="1163"/>
      <c r="AD107" s="1163"/>
      <c r="AE107" s="1241"/>
    </row>
    <row r="108" spans="2:31" s="1" customFormat="1" ht="23.55" customHeight="1" x14ac:dyDescent="0.2">
      <c r="B108" s="24"/>
      <c r="C108" s="521"/>
      <c r="E108" s="1243"/>
      <c r="F108" s="1244"/>
      <c r="G108" s="1244"/>
      <c r="H108" s="1244"/>
      <c r="L108" s="24"/>
      <c r="W108" s="158"/>
      <c r="X108" s="557"/>
      <c r="Y108" s="557"/>
      <c r="Z108" s="1249"/>
      <c r="AA108" s="1250"/>
      <c r="AB108" s="1250"/>
      <c r="AC108" s="1250"/>
      <c r="AD108" s="557"/>
      <c r="AE108" s="159"/>
    </row>
    <row r="109" spans="2:31" s="1" customFormat="1" ht="12" customHeight="1" x14ac:dyDescent="0.2">
      <c r="B109" s="24"/>
      <c r="C109" s="528" t="s">
        <v>186</v>
      </c>
      <c r="F109" s="532" t="s">
        <v>4551</v>
      </c>
      <c r="L109" s="24"/>
      <c r="W109" s="158"/>
      <c r="X109" s="538" t="s">
        <v>186</v>
      </c>
      <c r="Y109" s="557"/>
      <c r="Z109" s="557"/>
      <c r="AA109" s="555" t="s">
        <v>4551</v>
      </c>
      <c r="AB109" s="557"/>
      <c r="AC109" s="557"/>
      <c r="AD109" s="557"/>
      <c r="AE109" s="159"/>
    </row>
    <row r="110" spans="2:31" s="1" customFormat="1" ht="16.5" customHeight="1" x14ac:dyDescent="0.2">
      <c r="B110" s="24"/>
      <c r="C110" s="521"/>
      <c r="E110" s="1251"/>
      <c r="F110" s="1252"/>
      <c r="G110" s="1252"/>
      <c r="H110" s="1252"/>
      <c r="L110" s="24"/>
      <c r="W110" s="158"/>
      <c r="X110" s="557"/>
      <c r="Y110" s="557"/>
      <c r="Z110" s="1245"/>
      <c r="AA110" s="1246"/>
      <c r="AB110" s="1246"/>
      <c r="AC110" s="1246"/>
      <c r="AD110" s="557"/>
      <c r="AE110" s="159"/>
    </row>
    <row r="111" spans="2:31" s="1" customFormat="1" ht="7.05" customHeight="1" x14ac:dyDescent="0.2">
      <c r="B111" s="24"/>
      <c r="C111" s="521"/>
      <c r="L111" s="24"/>
      <c r="W111" s="158"/>
      <c r="X111" s="557"/>
      <c r="Y111" s="557"/>
      <c r="Z111" s="557"/>
      <c r="AA111" s="557"/>
      <c r="AB111" s="557"/>
      <c r="AC111" s="557"/>
      <c r="AD111" s="557"/>
      <c r="AE111" s="159"/>
    </row>
    <row r="112" spans="2:31" s="1" customFormat="1" ht="12" customHeight="1" x14ac:dyDescent="0.2">
      <c r="B112" s="24"/>
      <c r="C112" s="528" t="s">
        <v>15</v>
      </c>
      <c r="F112" s="19" t="str">
        <f>F12</f>
        <v>Kuzmányho nábrežie 28, 960 01 Zvolen</v>
      </c>
      <c r="I112" s="528" t="s">
        <v>17</v>
      </c>
      <c r="J112" s="39" t="str">
        <f>IF(J12="","",J12)</f>
        <v/>
      </c>
      <c r="L112" s="24"/>
      <c r="W112" s="158"/>
      <c r="X112" s="538" t="s">
        <v>15</v>
      </c>
      <c r="Y112" s="557"/>
      <c r="Z112" s="557"/>
      <c r="AA112" s="558" t="str">
        <f>AA12</f>
        <v>Kuzmányho nábrežie 28, 960 01 Zvolen</v>
      </c>
      <c r="AB112" s="557"/>
      <c r="AC112" s="557"/>
      <c r="AD112" s="538" t="s">
        <v>17</v>
      </c>
      <c r="AE112" s="162" t="str">
        <f>IF(AE12="","",AE12)</f>
        <v/>
      </c>
    </row>
    <row r="113" spans="2:65" s="1" customFormat="1" ht="7.05" customHeight="1" x14ac:dyDescent="0.2">
      <c r="B113" s="24"/>
      <c r="C113" s="521"/>
      <c r="I113" s="521"/>
      <c r="L113" s="24"/>
      <c r="W113" s="158"/>
      <c r="X113" s="557"/>
      <c r="Y113" s="557"/>
      <c r="Z113" s="557"/>
      <c r="AA113" s="557"/>
      <c r="AB113" s="557"/>
      <c r="AC113" s="557"/>
      <c r="AD113" s="557"/>
      <c r="AE113" s="159"/>
    </row>
    <row r="114" spans="2:65" s="1" customFormat="1" ht="15.3" customHeight="1" x14ac:dyDescent="0.2">
      <c r="B114" s="24"/>
      <c r="C114" s="528" t="s">
        <v>18</v>
      </c>
      <c r="F114" s="529" t="s">
        <v>6175</v>
      </c>
      <c r="I114" s="528" t="s">
        <v>22</v>
      </c>
      <c r="J114" s="22" t="str">
        <f>E21</f>
        <v xml:space="preserve"> </v>
      </c>
      <c r="L114" s="24"/>
      <c r="W114" s="158"/>
      <c r="X114" s="538" t="s">
        <v>18</v>
      </c>
      <c r="Y114" s="557"/>
      <c r="Z114" s="557"/>
      <c r="AA114" s="576" t="s">
        <v>6175</v>
      </c>
      <c r="AB114" s="557"/>
      <c r="AC114" s="557"/>
      <c r="AD114" s="538" t="s">
        <v>22</v>
      </c>
      <c r="AE114" s="181" t="str">
        <f>Z21</f>
        <v/>
      </c>
    </row>
    <row r="115" spans="2:65" s="1" customFormat="1" ht="15.3" customHeight="1" x14ac:dyDescent="0.2">
      <c r="B115" s="24"/>
      <c r="C115" s="528" t="s">
        <v>21</v>
      </c>
      <c r="F115" s="529" t="s">
        <v>5202</v>
      </c>
      <c r="I115" s="528" t="s">
        <v>24</v>
      </c>
      <c r="J115" s="22" t="str">
        <f>E24</f>
        <v xml:space="preserve"> </v>
      </c>
      <c r="L115" s="24"/>
      <c r="W115" s="158"/>
      <c r="X115" s="538" t="s">
        <v>21</v>
      </c>
      <c r="Y115" s="557"/>
      <c r="Z115" s="557"/>
      <c r="AA115" s="576" t="s">
        <v>5202</v>
      </c>
      <c r="AB115" s="557"/>
      <c r="AC115" s="557"/>
      <c r="AD115" s="538" t="s">
        <v>24</v>
      </c>
      <c r="AE115" s="181" t="str">
        <f>Z24</f>
        <v/>
      </c>
    </row>
    <row r="116" spans="2:65" s="1" customFormat="1" ht="10.199999999999999" customHeight="1" x14ac:dyDescent="0.2">
      <c r="B116" s="24"/>
      <c r="L116" s="24"/>
      <c r="W116" s="158"/>
      <c r="X116" s="557"/>
      <c r="Y116" s="557"/>
      <c r="Z116" s="557"/>
      <c r="AA116" s="557"/>
      <c r="AB116" s="557"/>
      <c r="AC116" s="557"/>
      <c r="AD116" s="557"/>
      <c r="AE116" s="159"/>
    </row>
    <row r="117" spans="2:65" s="10" customFormat="1" ht="29.25" customHeight="1" x14ac:dyDescent="0.2">
      <c r="B117" s="97"/>
      <c r="C117" s="98" t="s">
        <v>215</v>
      </c>
      <c r="D117" s="99" t="s">
        <v>43</v>
      </c>
      <c r="E117" s="99" t="s">
        <v>41</v>
      </c>
      <c r="F117" s="99" t="s">
        <v>42</v>
      </c>
      <c r="G117" s="99" t="s">
        <v>216</v>
      </c>
      <c r="H117" s="99" t="s">
        <v>217</v>
      </c>
      <c r="I117" s="99" t="s">
        <v>218</v>
      </c>
      <c r="J117" s="100" t="s">
        <v>190</v>
      </c>
      <c r="K117" s="101" t="s">
        <v>219</v>
      </c>
      <c r="L117" s="97"/>
      <c r="M117" s="46" t="s">
        <v>1</v>
      </c>
      <c r="N117" s="47" t="s">
        <v>30</v>
      </c>
      <c r="O117" s="47" t="s">
        <v>220</v>
      </c>
      <c r="P117" s="47" t="s">
        <v>221</v>
      </c>
      <c r="Q117" s="47" t="s">
        <v>222</v>
      </c>
      <c r="R117" s="47" t="s">
        <v>223</v>
      </c>
      <c r="S117" s="47" t="s">
        <v>224</v>
      </c>
      <c r="T117" s="48" t="s">
        <v>225</v>
      </c>
      <c r="W117" s="191"/>
      <c r="X117" s="98" t="s">
        <v>215</v>
      </c>
      <c r="Y117" s="99" t="s">
        <v>43</v>
      </c>
      <c r="Z117" s="99" t="s">
        <v>41</v>
      </c>
      <c r="AA117" s="99" t="s">
        <v>42</v>
      </c>
      <c r="AB117" s="99" t="s">
        <v>216</v>
      </c>
      <c r="AC117" s="99" t="s">
        <v>217</v>
      </c>
      <c r="AD117" s="99" t="s">
        <v>218</v>
      </c>
      <c r="AE117" s="192" t="s">
        <v>190</v>
      </c>
      <c r="AF117" s="228" t="s">
        <v>5220</v>
      </c>
    </row>
    <row r="118" spans="2:65" s="1" customFormat="1" ht="22.95" customHeight="1" x14ac:dyDescent="0.3">
      <c r="B118" s="24"/>
      <c r="C118" s="51" t="s">
        <v>191</v>
      </c>
      <c r="J118" s="102">
        <f>BK118</f>
        <v>148198.6</v>
      </c>
      <c r="L118" s="24"/>
      <c r="M118" s="49"/>
      <c r="N118" s="40"/>
      <c r="O118" s="40"/>
      <c r="P118" s="103">
        <f>P119+P316</f>
        <v>0</v>
      </c>
      <c r="Q118" s="40"/>
      <c r="R118" s="103">
        <f>R119+R316</f>
        <v>2.0154100000000001</v>
      </c>
      <c r="S118" s="40"/>
      <c r="T118" s="104">
        <f>T119+T316</f>
        <v>0</v>
      </c>
      <c r="W118" s="158"/>
      <c r="X118" s="193" t="s">
        <v>191</v>
      </c>
      <c r="Y118" s="557"/>
      <c r="Z118" s="557"/>
      <c r="AA118" s="557"/>
      <c r="AB118" s="557"/>
      <c r="AC118" s="557"/>
      <c r="AD118" s="557"/>
      <c r="AE118" s="194">
        <f>AE119+AE316</f>
        <v>181104.09999999998</v>
      </c>
      <c r="AF118" s="227"/>
      <c r="AH118" s="130"/>
      <c r="AT118" s="13" t="s">
        <v>57</v>
      </c>
      <c r="AU118" s="13" t="s">
        <v>192</v>
      </c>
      <c r="BK118" s="105">
        <f>BK119+BK316</f>
        <v>148198.6</v>
      </c>
    </row>
    <row r="119" spans="2:65" s="11" customFormat="1" ht="25.95" customHeight="1" x14ac:dyDescent="0.25">
      <c r="B119" s="106"/>
      <c r="D119" s="107" t="s">
        <v>57</v>
      </c>
      <c r="E119" s="108" t="s">
        <v>1302</v>
      </c>
      <c r="F119" s="108" t="s">
        <v>3801</v>
      </c>
      <c r="J119" s="109">
        <f>BK119</f>
        <v>132655.31</v>
      </c>
      <c r="L119" s="106"/>
      <c r="M119" s="110"/>
      <c r="N119" s="111"/>
      <c r="O119" s="111"/>
      <c r="P119" s="112">
        <f>SUM(P122:P315)</f>
        <v>0</v>
      </c>
      <c r="Q119" s="111"/>
      <c r="R119" s="112">
        <f>SUM(R122:R315)</f>
        <v>2.0154100000000001</v>
      </c>
      <c r="S119" s="111"/>
      <c r="T119" s="113">
        <f>SUM(T122:T315)</f>
        <v>0</v>
      </c>
      <c r="W119" s="195"/>
      <c r="X119" s="111"/>
      <c r="Y119" s="196" t="s">
        <v>57</v>
      </c>
      <c r="Z119" s="197" t="s">
        <v>1302</v>
      </c>
      <c r="AA119" s="197" t="s">
        <v>3801</v>
      </c>
      <c r="AB119" s="111"/>
      <c r="AC119" s="111"/>
      <c r="AD119" s="111"/>
      <c r="AE119" s="198">
        <f>SUM(AE120:AE315)</f>
        <v>170758.66999999998</v>
      </c>
      <c r="AF119" s="248"/>
      <c r="AR119" s="107" t="s">
        <v>229</v>
      </c>
      <c r="AT119" s="114" t="s">
        <v>57</v>
      </c>
      <c r="AU119" s="114" t="s">
        <v>58</v>
      </c>
      <c r="AY119" s="107" t="s">
        <v>228</v>
      </c>
      <c r="BK119" s="115">
        <f>SUM(BK122:BK315)</f>
        <v>132655.31</v>
      </c>
    </row>
    <row r="120" spans="2:65" s="1051" customFormat="1" ht="25.95" customHeight="1" x14ac:dyDescent="0.2">
      <c r="B120" s="1052"/>
      <c r="C120" s="1234" t="s">
        <v>5205</v>
      </c>
      <c r="D120" s="1235"/>
      <c r="E120" s="1235"/>
      <c r="F120" s="1235"/>
      <c r="G120" s="1235"/>
      <c r="H120" s="1235"/>
      <c r="I120" s="1235"/>
      <c r="J120" s="1236"/>
      <c r="L120" s="1052"/>
      <c r="M120" s="1054"/>
      <c r="N120" s="1055"/>
      <c r="O120" s="1055"/>
      <c r="P120" s="1056"/>
      <c r="Q120" s="1055"/>
      <c r="R120" s="1056"/>
      <c r="S120" s="1055"/>
      <c r="T120" s="1057"/>
      <c r="W120" s="1061"/>
      <c r="X120" s="1072" t="s">
        <v>5323</v>
      </c>
      <c r="Y120" s="1072" t="s">
        <v>231</v>
      </c>
      <c r="Z120" s="1073" t="s">
        <v>1304</v>
      </c>
      <c r="AA120" s="1074" t="s">
        <v>6634</v>
      </c>
      <c r="AB120" s="1075" t="s">
        <v>292</v>
      </c>
      <c r="AC120" s="1076">
        <v>15</v>
      </c>
      <c r="AD120" s="1077">
        <v>1.21</v>
      </c>
      <c r="AE120" s="1078">
        <f>AC120*AD120</f>
        <v>18.149999999999999</v>
      </c>
      <c r="AF120" s="924" t="s">
        <v>5482</v>
      </c>
      <c r="AR120" s="1053"/>
      <c r="AT120" s="1058"/>
      <c r="AU120" s="1058"/>
      <c r="AY120" s="1053"/>
      <c r="BK120" s="1059"/>
    </row>
    <row r="121" spans="2:65" s="1051" customFormat="1" ht="18" customHeight="1" x14ac:dyDescent="0.2">
      <c r="B121" s="1052"/>
      <c r="C121" s="1234" t="s">
        <v>5205</v>
      </c>
      <c r="D121" s="1235"/>
      <c r="E121" s="1235"/>
      <c r="F121" s="1235"/>
      <c r="G121" s="1235"/>
      <c r="H121" s="1235"/>
      <c r="I121" s="1235"/>
      <c r="J121" s="1236"/>
      <c r="L121" s="1052"/>
      <c r="M121" s="1054"/>
      <c r="N121" s="1055"/>
      <c r="O121" s="1055"/>
      <c r="P121" s="1056"/>
      <c r="Q121" s="1055"/>
      <c r="R121" s="1056"/>
      <c r="S121" s="1055"/>
      <c r="T121" s="1057"/>
      <c r="W121" s="1061"/>
      <c r="X121" s="386" t="s">
        <v>5836</v>
      </c>
      <c r="Y121" s="386" t="s">
        <v>277</v>
      </c>
      <c r="Z121" s="387" t="s">
        <v>1307</v>
      </c>
      <c r="AA121" s="388" t="s">
        <v>6635</v>
      </c>
      <c r="AB121" s="389" t="s">
        <v>277</v>
      </c>
      <c r="AC121" s="390">
        <v>15</v>
      </c>
      <c r="AD121" s="391">
        <v>2.14</v>
      </c>
      <c r="AE121" s="401">
        <f>AC121*AD121</f>
        <v>32.1</v>
      </c>
      <c r="AF121" s="924" t="s">
        <v>5482</v>
      </c>
      <c r="AR121" s="1053"/>
      <c r="AT121" s="1058"/>
      <c r="AU121" s="1058"/>
      <c r="AY121" s="1053"/>
      <c r="BK121" s="1059"/>
    </row>
    <row r="122" spans="2:65" s="1" customFormat="1" ht="24" customHeight="1" x14ac:dyDescent="0.2">
      <c r="B122" s="118"/>
      <c r="C122" s="119" t="s">
        <v>63</v>
      </c>
      <c r="D122" s="119" t="s">
        <v>231</v>
      </c>
      <c r="E122" s="120" t="s">
        <v>3806</v>
      </c>
      <c r="F122" s="121" t="s">
        <v>3807</v>
      </c>
      <c r="G122" s="122" t="s">
        <v>292</v>
      </c>
      <c r="H122" s="123">
        <v>230</v>
      </c>
      <c r="I122" s="124">
        <v>2</v>
      </c>
      <c r="J122" s="124">
        <f t="shared" ref="J122:J155" si="0">ROUND(I122*H122,2)</f>
        <v>460</v>
      </c>
      <c r="K122" s="121" t="s">
        <v>1</v>
      </c>
      <c r="L122" s="24"/>
      <c r="M122" s="125" t="s">
        <v>1</v>
      </c>
      <c r="N122" s="126" t="s">
        <v>32</v>
      </c>
      <c r="O122" s="127">
        <v>0</v>
      </c>
      <c r="P122" s="127">
        <f t="shared" ref="P122:P155" si="1">O122*H122</f>
        <v>0</v>
      </c>
      <c r="Q122" s="127">
        <v>0</v>
      </c>
      <c r="R122" s="127">
        <f t="shared" ref="R122:R155" si="2">Q122*H122</f>
        <v>0</v>
      </c>
      <c r="S122" s="127">
        <v>0</v>
      </c>
      <c r="T122" s="128">
        <f t="shared" ref="T122:T155" si="3">S122*H122</f>
        <v>0</v>
      </c>
      <c r="W122" s="199"/>
      <c r="X122" s="119" t="s">
        <v>63</v>
      </c>
      <c r="Y122" s="119" t="s">
        <v>231</v>
      </c>
      <c r="Z122" s="120" t="s">
        <v>3806</v>
      </c>
      <c r="AA122" s="121" t="s">
        <v>3807</v>
      </c>
      <c r="AB122" s="122" t="s">
        <v>292</v>
      </c>
      <c r="AC122" s="123">
        <v>230</v>
      </c>
      <c r="AD122" s="124">
        <v>2</v>
      </c>
      <c r="AE122" s="200">
        <f t="shared" ref="AE122:AE197" si="4">ROUND(AD122*AC122,2)</f>
        <v>460</v>
      </c>
      <c r="AF122" s="248"/>
      <c r="AR122" s="129" t="s">
        <v>347</v>
      </c>
      <c r="AT122" s="129" t="s">
        <v>231</v>
      </c>
      <c r="AU122" s="129" t="s">
        <v>63</v>
      </c>
      <c r="AY122" s="13" t="s">
        <v>228</v>
      </c>
      <c r="BE122" s="130">
        <f t="shared" ref="BE122:BE155" si="5">IF(N122="základná",J122,0)</f>
        <v>0</v>
      </c>
      <c r="BF122" s="130">
        <f t="shared" ref="BF122:BF155" si="6">IF(N122="znížená",J122,0)</f>
        <v>460</v>
      </c>
      <c r="BG122" s="130">
        <f t="shared" ref="BG122:BG155" si="7">IF(N122="zákl. prenesená",J122,0)</f>
        <v>0</v>
      </c>
      <c r="BH122" s="130">
        <f t="shared" ref="BH122:BH155" si="8">IF(N122="zníž. prenesená",J122,0)</f>
        <v>0</v>
      </c>
      <c r="BI122" s="130">
        <f t="shared" ref="BI122:BI155" si="9">IF(N122="nulová",J122,0)</f>
        <v>0</v>
      </c>
      <c r="BJ122" s="13" t="s">
        <v>76</v>
      </c>
      <c r="BK122" s="130">
        <f t="shared" ref="BK122:BK155" si="10">ROUND(I122*H122,2)</f>
        <v>460</v>
      </c>
      <c r="BL122" s="13" t="s">
        <v>347</v>
      </c>
      <c r="BM122" s="129" t="s">
        <v>76</v>
      </c>
    </row>
    <row r="123" spans="2:65" s="1" customFormat="1" ht="16.5" customHeight="1" x14ac:dyDescent="0.2">
      <c r="B123" s="118"/>
      <c r="C123" s="131" t="s">
        <v>76</v>
      </c>
      <c r="D123" s="131" t="s">
        <v>277</v>
      </c>
      <c r="E123" s="132" t="s">
        <v>3808</v>
      </c>
      <c r="F123" s="133" t="s">
        <v>3809</v>
      </c>
      <c r="G123" s="134" t="s">
        <v>292</v>
      </c>
      <c r="H123" s="135">
        <v>230</v>
      </c>
      <c r="I123" s="136">
        <v>7.35</v>
      </c>
      <c r="J123" s="136">
        <f t="shared" si="0"/>
        <v>1690.5</v>
      </c>
      <c r="K123" s="133" t="s">
        <v>1</v>
      </c>
      <c r="L123" s="137"/>
      <c r="M123" s="138" t="s">
        <v>1</v>
      </c>
      <c r="N123" s="139" t="s">
        <v>32</v>
      </c>
      <c r="O123" s="127">
        <v>0</v>
      </c>
      <c r="P123" s="127">
        <f t="shared" si="1"/>
        <v>0</v>
      </c>
      <c r="Q123" s="127">
        <v>0</v>
      </c>
      <c r="R123" s="127">
        <f t="shared" si="2"/>
        <v>0</v>
      </c>
      <c r="S123" s="127">
        <v>0</v>
      </c>
      <c r="T123" s="128">
        <f t="shared" si="3"/>
        <v>0</v>
      </c>
      <c r="W123" s="199"/>
      <c r="X123" s="131" t="s">
        <v>76</v>
      </c>
      <c r="Y123" s="131" t="s">
        <v>277</v>
      </c>
      <c r="Z123" s="132" t="s">
        <v>3808</v>
      </c>
      <c r="AA123" s="133" t="s">
        <v>3809</v>
      </c>
      <c r="AB123" s="134" t="s">
        <v>292</v>
      </c>
      <c r="AC123" s="135">
        <v>230</v>
      </c>
      <c r="AD123" s="136">
        <v>7.35</v>
      </c>
      <c r="AE123" s="229">
        <f t="shared" si="4"/>
        <v>1690.5</v>
      </c>
      <c r="AF123" s="248"/>
      <c r="AR123" s="129" t="s">
        <v>705</v>
      </c>
      <c r="AT123" s="129" t="s">
        <v>277</v>
      </c>
      <c r="AU123" s="129" t="s">
        <v>63</v>
      </c>
      <c r="AY123" s="13" t="s">
        <v>228</v>
      </c>
      <c r="BE123" s="130">
        <f t="shared" si="5"/>
        <v>0</v>
      </c>
      <c r="BF123" s="130">
        <f t="shared" si="6"/>
        <v>1690.5</v>
      </c>
      <c r="BG123" s="130">
        <f t="shared" si="7"/>
        <v>0</v>
      </c>
      <c r="BH123" s="130">
        <f t="shared" si="8"/>
        <v>0</v>
      </c>
      <c r="BI123" s="130">
        <f t="shared" si="9"/>
        <v>0</v>
      </c>
      <c r="BJ123" s="13" t="s">
        <v>76</v>
      </c>
      <c r="BK123" s="130">
        <f t="shared" si="10"/>
        <v>1690.5</v>
      </c>
      <c r="BL123" s="13" t="s">
        <v>347</v>
      </c>
      <c r="BM123" s="129" t="s">
        <v>235</v>
      </c>
    </row>
    <row r="124" spans="2:65" s="1" customFormat="1" ht="24" customHeight="1" x14ac:dyDescent="0.2">
      <c r="B124" s="118"/>
      <c r="C124" s="119" t="s">
        <v>229</v>
      </c>
      <c r="D124" s="119" t="s">
        <v>231</v>
      </c>
      <c r="E124" s="120" t="s">
        <v>3810</v>
      </c>
      <c r="F124" s="121" t="s">
        <v>3811</v>
      </c>
      <c r="G124" s="122" t="s">
        <v>292</v>
      </c>
      <c r="H124" s="123">
        <v>34</v>
      </c>
      <c r="I124" s="124">
        <v>2.94</v>
      </c>
      <c r="J124" s="124">
        <f t="shared" si="0"/>
        <v>99.96</v>
      </c>
      <c r="K124" s="121" t="s">
        <v>1</v>
      </c>
      <c r="L124" s="24"/>
      <c r="M124" s="125" t="s">
        <v>1</v>
      </c>
      <c r="N124" s="126" t="s">
        <v>32</v>
      </c>
      <c r="O124" s="127">
        <v>0</v>
      </c>
      <c r="P124" s="127">
        <f t="shared" si="1"/>
        <v>0</v>
      </c>
      <c r="Q124" s="127">
        <v>0</v>
      </c>
      <c r="R124" s="127">
        <f t="shared" si="2"/>
        <v>0</v>
      </c>
      <c r="S124" s="127">
        <v>0</v>
      </c>
      <c r="T124" s="128">
        <f t="shared" si="3"/>
        <v>0</v>
      </c>
      <c r="W124" s="199"/>
      <c r="X124" s="119" t="s">
        <v>229</v>
      </c>
      <c r="Y124" s="119" t="s">
        <v>231</v>
      </c>
      <c r="Z124" s="120" t="s">
        <v>3810</v>
      </c>
      <c r="AA124" s="121" t="s">
        <v>3811</v>
      </c>
      <c r="AB124" s="122" t="s">
        <v>292</v>
      </c>
      <c r="AC124" s="123">
        <v>34</v>
      </c>
      <c r="AD124" s="124">
        <v>2.94</v>
      </c>
      <c r="AE124" s="200">
        <f t="shared" si="4"/>
        <v>99.96</v>
      </c>
      <c r="AF124" s="248"/>
      <c r="AR124" s="129" t="s">
        <v>347</v>
      </c>
      <c r="AT124" s="129" t="s">
        <v>231</v>
      </c>
      <c r="AU124" s="129" t="s">
        <v>63</v>
      </c>
      <c r="AY124" s="13" t="s">
        <v>228</v>
      </c>
      <c r="BE124" s="130">
        <f t="shared" si="5"/>
        <v>0</v>
      </c>
      <c r="BF124" s="130">
        <f t="shared" si="6"/>
        <v>99.96</v>
      </c>
      <c r="BG124" s="130">
        <f t="shared" si="7"/>
        <v>0</v>
      </c>
      <c r="BH124" s="130">
        <f t="shared" si="8"/>
        <v>0</v>
      </c>
      <c r="BI124" s="130">
        <f t="shared" si="9"/>
        <v>0</v>
      </c>
      <c r="BJ124" s="13" t="s">
        <v>76</v>
      </c>
      <c r="BK124" s="130">
        <f t="shared" si="10"/>
        <v>99.96</v>
      </c>
      <c r="BL124" s="13" t="s">
        <v>347</v>
      </c>
      <c r="BM124" s="129" t="s">
        <v>240</v>
      </c>
    </row>
    <row r="125" spans="2:65" s="1" customFormat="1" ht="16.5" customHeight="1" x14ac:dyDescent="0.2">
      <c r="B125" s="118"/>
      <c r="C125" s="131" t="s">
        <v>235</v>
      </c>
      <c r="D125" s="131" t="s">
        <v>277</v>
      </c>
      <c r="E125" s="132" t="s">
        <v>4552</v>
      </c>
      <c r="F125" s="133" t="s">
        <v>4553</v>
      </c>
      <c r="G125" s="134" t="s">
        <v>292</v>
      </c>
      <c r="H125" s="135">
        <v>34</v>
      </c>
      <c r="I125" s="136">
        <v>11.35</v>
      </c>
      <c r="J125" s="136">
        <f t="shared" si="0"/>
        <v>385.9</v>
      </c>
      <c r="K125" s="133" t="s">
        <v>1</v>
      </c>
      <c r="L125" s="137"/>
      <c r="M125" s="138" t="s">
        <v>1</v>
      </c>
      <c r="N125" s="139" t="s">
        <v>32</v>
      </c>
      <c r="O125" s="127">
        <v>0</v>
      </c>
      <c r="P125" s="127">
        <f t="shared" si="1"/>
        <v>0</v>
      </c>
      <c r="Q125" s="127">
        <v>0</v>
      </c>
      <c r="R125" s="127">
        <f t="shared" si="2"/>
        <v>0</v>
      </c>
      <c r="S125" s="127">
        <v>0</v>
      </c>
      <c r="T125" s="128">
        <f t="shared" si="3"/>
        <v>0</v>
      </c>
      <c r="W125" s="199"/>
      <c r="X125" s="131" t="s">
        <v>235</v>
      </c>
      <c r="Y125" s="131" t="s">
        <v>277</v>
      </c>
      <c r="Z125" s="132" t="s">
        <v>4552</v>
      </c>
      <c r="AA125" s="133" t="s">
        <v>4553</v>
      </c>
      <c r="AB125" s="134" t="s">
        <v>292</v>
      </c>
      <c r="AC125" s="135">
        <v>34</v>
      </c>
      <c r="AD125" s="136">
        <v>11.35</v>
      </c>
      <c r="AE125" s="229">
        <f t="shared" si="4"/>
        <v>385.9</v>
      </c>
      <c r="AF125" s="248"/>
      <c r="AR125" s="129" t="s">
        <v>705</v>
      </c>
      <c r="AT125" s="129" t="s">
        <v>277</v>
      </c>
      <c r="AU125" s="129" t="s">
        <v>63</v>
      </c>
      <c r="AY125" s="13" t="s">
        <v>228</v>
      </c>
      <c r="BE125" s="130">
        <f t="shared" si="5"/>
        <v>0</v>
      </c>
      <c r="BF125" s="130">
        <f t="shared" si="6"/>
        <v>385.9</v>
      </c>
      <c r="BG125" s="130">
        <f t="shared" si="7"/>
        <v>0</v>
      </c>
      <c r="BH125" s="130">
        <f t="shared" si="8"/>
        <v>0</v>
      </c>
      <c r="BI125" s="130">
        <f t="shared" si="9"/>
        <v>0</v>
      </c>
      <c r="BJ125" s="13" t="s">
        <v>76</v>
      </c>
      <c r="BK125" s="130">
        <f t="shared" si="10"/>
        <v>385.9</v>
      </c>
      <c r="BL125" s="13" t="s">
        <v>347</v>
      </c>
      <c r="BM125" s="129" t="s">
        <v>244</v>
      </c>
    </row>
    <row r="126" spans="2:65" s="1" customFormat="1" ht="24" customHeight="1" x14ac:dyDescent="0.2">
      <c r="B126" s="118"/>
      <c r="C126" s="119" t="s">
        <v>245</v>
      </c>
      <c r="D126" s="119" t="s">
        <v>231</v>
      </c>
      <c r="E126" s="120" t="s">
        <v>4554</v>
      </c>
      <c r="F126" s="121" t="s">
        <v>4555</v>
      </c>
      <c r="G126" s="122" t="s">
        <v>1194</v>
      </c>
      <c r="H126" s="123">
        <v>3</v>
      </c>
      <c r="I126" s="124">
        <v>6.01</v>
      </c>
      <c r="J126" s="124">
        <f t="shared" si="0"/>
        <v>18.03</v>
      </c>
      <c r="K126" s="121" t="s">
        <v>1</v>
      </c>
      <c r="L126" s="24"/>
      <c r="M126" s="125" t="s">
        <v>1</v>
      </c>
      <c r="N126" s="126" t="s">
        <v>32</v>
      </c>
      <c r="O126" s="127">
        <v>0</v>
      </c>
      <c r="P126" s="127">
        <f t="shared" si="1"/>
        <v>0</v>
      </c>
      <c r="Q126" s="127">
        <v>0</v>
      </c>
      <c r="R126" s="127">
        <f t="shared" si="2"/>
        <v>0</v>
      </c>
      <c r="S126" s="127">
        <v>0</v>
      </c>
      <c r="T126" s="128">
        <f t="shared" si="3"/>
        <v>0</v>
      </c>
      <c r="W126" s="199"/>
      <c r="X126" s="119" t="s">
        <v>245</v>
      </c>
      <c r="Y126" s="119" t="s">
        <v>231</v>
      </c>
      <c r="Z126" s="120" t="s">
        <v>4554</v>
      </c>
      <c r="AA126" s="121" t="s">
        <v>4555</v>
      </c>
      <c r="AB126" s="122" t="s">
        <v>1194</v>
      </c>
      <c r="AC126" s="123">
        <v>3</v>
      </c>
      <c r="AD126" s="124">
        <v>6.01</v>
      </c>
      <c r="AE126" s="200">
        <f t="shared" si="4"/>
        <v>18.03</v>
      </c>
      <c r="AF126" s="248"/>
      <c r="AR126" s="129" t="s">
        <v>347</v>
      </c>
      <c r="AT126" s="129" t="s">
        <v>231</v>
      </c>
      <c r="AU126" s="129" t="s">
        <v>63</v>
      </c>
      <c r="AY126" s="13" t="s">
        <v>228</v>
      </c>
      <c r="BE126" s="130">
        <f t="shared" si="5"/>
        <v>0</v>
      </c>
      <c r="BF126" s="130">
        <f t="shared" si="6"/>
        <v>18.03</v>
      </c>
      <c r="BG126" s="130">
        <f t="shared" si="7"/>
        <v>0</v>
      </c>
      <c r="BH126" s="130">
        <f t="shared" si="8"/>
        <v>0</v>
      </c>
      <c r="BI126" s="130">
        <f t="shared" si="9"/>
        <v>0</v>
      </c>
      <c r="BJ126" s="13" t="s">
        <v>76</v>
      </c>
      <c r="BK126" s="130">
        <f t="shared" si="10"/>
        <v>18.03</v>
      </c>
      <c r="BL126" s="13" t="s">
        <v>347</v>
      </c>
      <c r="BM126" s="129" t="s">
        <v>248</v>
      </c>
    </row>
    <row r="127" spans="2:65" s="1" customFormat="1" ht="16.5" customHeight="1" x14ac:dyDescent="0.2">
      <c r="B127" s="118"/>
      <c r="C127" s="131" t="s">
        <v>240</v>
      </c>
      <c r="D127" s="131" t="s">
        <v>277</v>
      </c>
      <c r="E127" s="132" t="s">
        <v>4556</v>
      </c>
      <c r="F127" s="133" t="s">
        <v>4557</v>
      </c>
      <c r="G127" s="134" t="s">
        <v>1194</v>
      </c>
      <c r="H127" s="135">
        <v>3</v>
      </c>
      <c r="I127" s="136">
        <v>20.03</v>
      </c>
      <c r="J127" s="136">
        <f t="shared" si="0"/>
        <v>60.09</v>
      </c>
      <c r="K127" s="133" t="s">
        <v>1</v>
      </c>
      <c r="L127" s="137"/>
      <c r="M127" s="138" t="s">
        <v>1</v>
      </c>
      <c r="N127" s="139" t="s">
        <v>32</v>
      </c>
      <c r="O127" s="127">
        <v>0</v>
      </c>
      <c r="P127" s="127">
        <f t="shared" si="1"/>
        <v>0</v>
      </c>
      <c r="Q127" s="127">
        <v>0</v>
      </c>
      <c r="R127" s="127">
        <f t="shared" si="2"/>
        <v>0</v>
      </c>
      <c r="S127" s="127">
        <v>0</v>
      </c>
      <c r="T127" s="128">
        <f t="shared" si="3"/>
        <v>0</v>
      </c>
      <c r="W127" s="199"/>
      <c r="X127" s="131" t="s">
        <v>240</v>
      </c>
      <c r="Y127" s="131" t="s">
        <v>277</v>
      </c>
      <c r="Z127" s="132" t="s">
        <v>4556</v>
      </c>
      <c r="AA127" s="133" t="s">
        <v>4557</v>
      </c>
      <c r="AB127" s="134" t="s">
        <v>1194</v>
      </c>
      <c r="AC127" s="135">
        <v>3</v>
      </c>
      <c r="AD127" s="136">
        <v>20.03</v>
      </c>
      <c r="AE127" s="229">
        <f t="shared" si="4"/>
        <v>60.09</v>
      </c>
      <c r="AF127" s="248"/>
      <c r="AR127" s="129" t="s">
        <v>705</v>
      </c>
      <c r="AT127" s="129" t="s">
        <v>277</v>
      </c>
      <c r="AU127" s="129" t="s">
        <v>63</v>
      </c>
      <c r="AY127" s="13" t="s">
        <v>228</v>
      </c>
      <c r="BE127" s="130">
        <f t="shared" si="5"/>
        <v>0</v>
      </c>
      <c r="BF127" s="130">
        <f t="shared" si="6"/>
        <v>60.09</v>
      </c>
      <c r="BG127" s="130">
        <f t="shared" si="7"/>
        <v>0</v>
      </c>
      <c r="BH127" s="130">
        <f t="shared" si="8"/>
        <v>0</v>
      </c>
      <c r="BI127" s="130">
        <f t="shared" si="9"/>
        <v>0</v>
      </c>
      <c r="BJ127" s="13" t="s">
        <v>76</v>
      </c>
      <c r="BK127" s="130">
        <f t="shared" si="10"/>
        <v>60.09</v>
      </c>
      <c r="BL127" s="13" t="s">
        <v>347</v>
      </c>
      <c r="BM127" s="129" t="s">
        <v>251</v>
      </c>
    </row>
    <row r="128" spans="2:65" s="392" customFormat="1" ht="19.5" customHeight="1" x14ac:dyDescent="0.2">
      <c r="B128" s="118"/>
      <c r="C128" s="1234" t="s">
        <v>5205</v>
      </c>
      <c r="D128" s="1235"/>
      <c r="E128" s="1235"/>
      <c r="F128" s="1235"/>
      <c r="G128" s="1235"/>
      <c r="H128" s="1235"/>
      <c r="I128" s="1235"/>
      <c r="J128" s="1236"/>
      <c r="K128" s="133"/>
      <c r="L128" s="137"/>
      <c r="M128" s="138"/>
      <c r="N128" s="139"/>
      <c r="O128" s="127"/>
      <c r="P128" s="127"/>
      <c r="Q128" s="127"/>
      <c r="R128" s="127"/>
      <c r="S128" s="127"/>
      <c r="T128" s="128"/>
      <c r="W128" s="199"/>
      <c r="X128" s="341" t="s">
        <v>5964</v>
      </c>
      <c r="Y128" s="341" t="s">
        <v>231</v>
      </c>
      <c r="Z128" s="342" t="s">
        <v>5957</v>
      </c>
      <c r="AA128" s="343" t="s">
        <v>5958</v>
      </c>
      <c r="AB128" s="344" t="s">
        <v>292</v>
      </c>
      <c r="AC128" s="345">
        <v>52</v>
      </c>
      <c r="AD128" s="346">
        <v>1.84</v>
      </c>
      <c r="AE128" s="355">
        <f>ROUND(AD128*AC128,2)</f>
        <v>95.68</v>
      </c>
      <c r="AF128" s="248">
        <v>2</v>
      </c>
      <c r="AR128" s="129"/>
      <c r="AT128" s="129"/>
      <c r="AU128" s="129"/>
      <c r="AY128" s="13"/>
      <c r="BE128" s="130"/>
      <c r="BF128" s="130"/>
      <c r="BG128" s="130"/>
      <c r="BH128" s="130"/>
      <c r="BI128" s="130"/>
      <c r="BJ128" s="13"/>
      <c r="BK128" s="130"/>
      <c r="BL128" s="13"/>
      <c r="BM128" s="129"/>
    </row>
    <row r="129" spans="2:65" s="392" customFormat="1" ht="25.5" customHeight="1" x14ac:dyDescent="0.2">
      <c r="B129" s="118"/>
      <c r="C129" s="1234" t="s">
        <v>5205</v>
      </c>
      <c r="D129" s="1235"/>
      <c r="E129" s="1235"/>
      <c r="F129" s="1235"/>
      <c r="G129" s="1235"/>
      <c r="H129" s="1235"/>
      <c r="I129" s="1235"/>
      <c r="J129" s="1236"/>
      <c r="K129" s="133"/>
      <c r="L129" s="137"/>
      <c r="M129" s="138"/>
      <c r="N129" s="139"/>
      <c r="O129" s="127"/>
      <c r="P129" s="127"/>
      <c r="Q129" s="127"/>
      <c r="R129" s="127"/>
      <c r="S129" s="127"/>
      <c r="T129" s="128"/>
      <c r="W129" s="199"/>
      <c r="X129" s="348" t="s">
        <v>5965</v>
      </c>
      <c r="Y129" s="348" t="s">
        <v>277</v>
      </c>
      <c r="Z129" s="349" t="s">
        <v>3839</v>
      </c>
      <c r="AA129" s="350" t="s">
        <v>3840</v>
      </c>
      <c r="AB129" s="351" t="s">
        <v>292</v>
      </c>
      <c r="AC129" s="352">
        <v>32.24</v>
      </c>
      <c r="AD129" s="353">
        <v>1.47</v>
      </c>
      <c r="AE129" s="356">
        <f>ROUND(AD129*AC129,2)</f>
        <v>47.39</v>
      </c>
      <c r="AF129" s="248">
        <v>2</v>
      </c>
      <c r="AR129" s="129"/>
      <c r="AT129" s="129"/>
      <c r="AU129" s="129"/>
      <c r="AY129" s="13"/>
      <c r="BE129" s="130"/>
      <c r="BF129" s="130"/>
      <c r="BG129" s="130"/>
      <c r="BH129" s="130"/>
      <c r="BI129" s="130"/>
      <c r="BJ129" s="13"/>
      <c r="BK129" s="130"/>
      <c r="BL129" s="13"/>
      <c r="BM129" s="129"/>
    </row>
    <row r="130" spans="2:65" s="1" customFormat="1" ht="24" customHeight="1" x14ac:dyDescent="0.2">
      <c r="B130" s="118"/>
      <c r="C130" s="205" t="s">
        <v>252</v>
      </c>
      <c r="D130" s="119" t="s">
        <v>231</v>
      </c>
      <c r="E130" s="120" t="s">
        <v>3837</v>
      </c>
      <c r="F130" s="121" t="s">
        <v>3838</v>
      </c>
      <c r="G130" s="122" t="s">
        <v>1194</v>
      </c>
      <c r="H130" s="206">
        <v>110</v>
      </c>
      <c r="I130" s="124">
        <v>1.68</v>
      </c>
      <c r="J130" s="124">
        <f t="shared" si="0"/>
        <v>184.8</v>
      </c>
      <c r="K130" s="121" t="s">
        <v>1</v>
      </c>
      <c r="L130" s="24"/>
      <c r="M130" s="125" t="s">
        <v>1</v>
      </c>
      <c r="N130" s="126" t="s">
        <v>32</v>
      </c>
      <c r="O130" s="127">
        <v>0</v>
      </c>
      <c r="P130" s="127">
        <f t="shared" si="1"/>
        <v>0</v>
      </c>
      <c r="Q130" s="127">
        <v>0</v>
      </c>
      <c r="R130" s="127">
        <f t="shared" si="2"/>
        <v>0</v>
      </c>
      <c r="S130" s="127">
        <v>0</v>
      </c>
      <c r="T130" s="128">
        <f t="shared" si="3"/>
        <v>0</v>
      </c>
      <c r="W130" s="199"/>
      <c r="X130" s="205" t="s">
        <v>252</v>
      </c>
      <c r="Y130" s="119" t="s">
        <v>231</v>
      </c>
      <c r="Z130" s="120" t="s">
        <v>3837</v>
      </c>
      <c r="AA130" s="121" t="s">
        <v>3838</v>
      </c>
      <c r="AB130" s="122" t="s">
        <v>1194</v>
      </c>
      <c r="AC130" s="206">
        <f>110+20</f>
        <v>130</v>
      </c>
      <c r="AD130" s="124">
        <v>1.68</v>
      </c>
      <c r="AE130" s="200">
        <f t="shared" si="4"/>
        <v>218.4</v>
      </c>
      <c r="AF130" s="248">
        <v>2</v>
      </c>
      <c r="AR130" s="129" t="s">
        <v>347</v>
      </c>
      <c r="AT130" s="129" t="s">
        <v>231</v>
      </c>
      <c r="AU130" s="129" t="s">
        <v>63</v>
      </c>
      <c r="AY130" s="13" t="s">
        <v>228</v>
      </c>
      <c r="BE130" s="130">
        <f t="shared" si="5"/>
        <v>0</v>
      </c>
      <c r="BF130" s="130">
        <f t="shared" si="6"/>
        <v>184.8</v>
      </c>
      <c r="BG130" s="130">
        <f t="shared" si="7"/>
        <v>0</v>
      </c>
      <c r="BH130" s="130">
        <f t="shared" si="8"/>
        <v>0</v>
      </c>
      <c r="BI130" s="130">
        <f t="shared" si="9"/>
        <v>0</v>
      </c>
      <c r="BJ130" s="13" t="s">
        <v>76</v>
      </c>
      <c r="BK130" s="130">
        <f t="shared" si="10"/>
        <v>184.8</v>
      </c>
      <c r="BL130" s="13" t="s">
        <v>347</v>
      </c>
      <c r="BM130" s="129" t="s">
        <v>255</v>
      </c>
    </row>
    <row r="131" spans="2:65" s="1" customFormat="1" ht="24" customHeight="1" x14ac:dyDescent="0.2">
      <c r="B131" s="118"/>
      <c r="C131" s="242" t="s">
        <v>244</v>
      </c>
      <c r="D131" s="131" t="s">
        <v>277</v>
      </c>
      <c r="E131" s="132" t="s">
        <v>3839</v>
      </c>
      <c r="F131" s="133" t="s">
        <v>3840</v>
      </c>
      <c r="G131" s="134" t="s">
        <v>292</v>
      </c>
      <c r="H131" s="241">
        <v>69</v>
      </c>
      <c r="I131" s="136">
        <v>1.47</v>
      </c>
      <c r="J131" s="136">
        <f t="shared" si="0"/>
        <v>101.43</v>
      </c>
      <c r="K131" s="133" t="s">
        <v>1</v>
      </c>
      <c r="L131" s="137"/>
      <c r="M131" s="138" t="s">
        <v>1</v>
      </c>
      <c r="N131" s="139" t="s">
        <v>32</v>
      </c>
      <c r="O131" s="127">
        <v>0</v>
      </c>
      <c r="P131" s="127">
        <f t="shared" si="1"/>
        <v>0</v>
      </c>
      <c r="Q131" s="127">
        <v>0</v>
      </c>
      <c r="R131" s="127">
        <f t="shared" si="2"/>
        <v>0</v>
      </c>
      <c r="S131" s="127">
        <v>0</v>
      </c>
      <c r="T131" s="128">
        <f t="shared" si="3"/>
        <v>0</v>
      </c>
      <c r="W131" s="199"/>
      <c r="X131" s="242" t="s">
        <v>244</v>
      </c>
      <c r="Y131" s="131" t="s">
        <v>277</v>
      </c>
      <c r="Z131" s="132" t="s">
        <v>3839</v>
      </c>
      <c r="AA131" s="133" t="s">
        <v>3840</v>
      </c>
      <c r="AB131" s="134" t="s">
        <v>292</v>
      </c>
      <c r="AC131" s="241">
        <f>69+11.6</f>
        <v>80.599999999999994</v>
      </c>
      <c r="AD131" s="136">
        <v>1.47</v>
      </c>
      <c r="AE131" s="229">
        <f t="shared" si="4"/>
        <v>118.48</v>
      </c>
      <c r="AF131" s="248">
        <v>2</v>
      </c>
      <c r="AR131" s="129" t="s">
        <v>705</v>
      </c>
      <c r="AT131" s="129" t="s">
        <v>277</v>
      </c>
      <c r="AU131" s="129" t="s">
        <v>63</v>
      </c>
      <c r="AY131" s="13" t="s">
        <v>228</v>
      </c>
      <c r="BE131" s="130">
        <f t="shared" si="5"/>
        <v>0</v>
      </c>
      <c r="BF131" s="130">
        <f t="shared" si="6"/>
        <v>101.43</v>
      </c>
      <c r="BG131" s="130">
        <f t="shared" si="7"/>
        <v>0</v>
      </c>
      <c r="BH131" s="130">
        <f t="shared" si="8"/>
        <v>0</v>
      </c>
      <c r="BI131" s="130">
        <f t="shared" si="9"/>
        <v>0</v>
      </c>
      <c r="BJ131" s="13" t="s">
        <v>76</v>
      </c>
      <c r="BK131" s="130">
        <f t="shared" si="10"/>
        <v>101.43</v>
      </c>
      <c r="BL131" s="13" t="s">
        <v>347</v>
      </c>
      <c r="BM131" s="129" t="s">
        <v>258</v>
      </c>
    </row>
    <row r="132" spans="2:65" s="1" customFormat="1" ht="16.5" customHeight="1" x14ac:dyDescent="0.2">
      <c r="B132" s="118"/>
      <c r="C132" s="205" t="s">
        <v>259</v>
      </c>
      <c r="D132" s="119" t="s">
        <v>231</v>
      </c>
      <c r="E132" s="120" t="s">
        <v>4558</v>
      </c>
      <c r="F132" s="121" t="s">
        <v>4559</v>
      </c>
      <c r="G132" s="122" t="s">
        <v>1194</v>
      </c>
      <c r="H132" s="206">
        <v>9</v>
      </c>
      <c r="I132" s="124">
        <v>2.46</v>
      </c>
      <c r="J132" s="124">
        <f t="shared" si="0"/>
        <v>22.14</v>
      </c>
      <c r="K132" s="121" t="s">
        <v>1</v>
      </c>
      <c r="L132" s="24"/>
      <c r="M132" s="125" t="s">
        <v>1</v>
      </c>
      <c r="N132" s="126" t="s">
        <v>32</v>
      </c>
      <c r="O132" s="127">
        <v>0</v>
      </c>
      <c r="P132" s="127">
        <f t="shared" si="1"/>
        <v>0</v>
      </c>
      <c r="Q132" s="127">
        <v>0</v>
      </c>
      <c r="R132" s="127">
        <f t="shared" si="2"/>
        <v>0</v>
      </c>
      <c r="S132" s="127">
        <v>0</v>
      </c>
      <c r="T132" s="128">
        <f t="shared" si="3"/>
        <v>0</v>
      </c>
      <c r="W132" s="199"/>
      <c r="X132" s="205" t="s">
        <v>259</v>
      </c>
      <c r="Y132" s="119" t="s">
        <v>231</v>
      </c>
      <c r="Z132" s="120" t="s">
        <v>4558</v>
      </c>
      <c r="AA132" s="121" t="s">
        <v>4559</v>
      </c>
      <c r="AB132" s="122" t="s">
        <v>1194</v>
      </c>
      <c r="AC132" s="206">
        <f>9+1</f>
        <v>10</v>
      </c>
      <c r="AD132" s="124">
        <v>2.46</v>
      </c>
      <c r="AE132" s="200">
        <f t="shared" si="4"/>
        <v>24.6</v>
      </c>
      <c r="AF132" s="248">
        <v>2</v>
      </c>
      <c r="AR132" s="129" t="s">
        <v>347</v>
      </c>
      <c r="AT132" s="129" t="s">
        <v>231</v>
      </c>
      <c r="AU132" s="129" t="s">
        <v>63</v>
      </c>
      <c r="AY132" s="13" t="s">
        <v>228</v>
      </c>
      <c r="BE132" s="130">
        <f t="shared" si="5"/>
        <v>0</v>
      </c>
      <c r="BF132" s="130">
        <f t="shared" si="6"/>
        <v>22.14</v>
      </c>
      <c r="BG132" s="130">
        <f t="shared" si="7"/>
        <v>0</v>
      </c>
      <c r="BH132" s="130">
        <f t="shared" si="8"/>
        <v>0</v>
      </c>
      <c r="BI132" s="130">
        <f t="shared" si="9"/>
        <v>0</v>
      </c>
      <c r="BJ132" s="13" t="s">
        <v>76</v>
      </c>
      <c r="BK132" s="130">
        <f t="shared" si="10"/>
        <v>22.14</v>
      </c>
      <c r="BL132" s="13" t="s">
        <v>347</v>
      </c>
      <c r="BM132" s="129" t="s">
        <v>262</v>
      </c>
    </row>
    <row r="133" spans="2:65" s="1" customFormat="1" ht="24" customHeight="1" x14ac:dyDescent="0.2">
      <c r="B133" s="118"/>
      <c r="C133" s="242" t="s">
        <v>248</v>
      </c>
      <c r="D133" s="131" t="s">
        <v>277</v>
      </c>
      <c r="E133" s="132" t="s">
        <v>4560</v>
      </c>
      <c r="F133" s="133" t="s">
        <v>4561</v>
      </c>
      <c r="G133" s="134" t="s">
        <v>1194</v>
      </c>
      <c r="H133" s="241">
        <v>9</v>
      </c>
      <c r="I133" s="136">
        <v>0.67</v>
      </c>
      <c r="J133" s="136">
        <f t="shared" si="0"/>
        <v>6.03</v>
      </c>
      <c r="K133" s="133" t="s">
        <v>1</v>
      </c>
      <c r="L133" s="137"/>
      <c r="M133" s="138" t="s">
        <v>1</v>
      </c>
      <c r="N133" s="139" t="s">
        <v>32</v>
      </c>
      <c r="O133" s="127">
        <v>0</v>
      </c>
      <c r="P133" s="127">
        <f t="shared" si="1"/>
        <v>0</v>
      </c>
      <c r="Q133" s="127">
        <v>0</v>
      </c>
      <c r="R133" s="127">
        <f t="shared" si="2"/>
        <v>0</v>
      </c>
      <c r="S133" s="127">
        <v>0</v>
      </c>
      <c r="T133" s="128">
        <f t="shared" si="3"/>
        <v>0</v>
      </c>
      <c r="W133" s="199"/>
      <c r="X133" s="242" t="s">
        <v>248</v>
      </c>
      <c r="Y133" s="131" t="s">
        <v>277</v>
      </c>
      <c r="Z133" s="132" t="s">
        <v>4560</v>
      </c>
      <c r="AA133" s="133" t="s">
        <v>4561</v>
      </c>
      <c r="AB133" s="134" t="s">
        <v>1194</v>
      </c>
      <c r="AC133" s="241">
        <f>9+1</f>
        <v>10</v>
      </c>
      <c r="AD133" s="136">
        <v>0.67</v>
      </c>
      <c r="AE133" s="229">
        <f t="shared" si="4"/>
        <v>6.7</v>
      </c>
      <c r="AF133" s="248">
        <v>2</v>
      </c>
      <c r="AR133" s="129" t="s">
        <v>705</v>
      </c>
      <c r="AT133" s="129" t="s">
        <v>277</v>
      </c>
      <c r="AU133" s="129" t="s">
        <v>63</v>
      </c>
      <c r="AY133" s="13" t="s">
        <v>228</v>
      </c>
      <c r="BE133" s="130">
        <f t="shared" si="5"/>
        <v>0</v>
      </c>
      <c r="BF133" s="130">
        <f t="shared" si="6"/>
        <v>6.03</v>
      </c>
      <c r="BG133" s="130">
        <f t="shared" si="7"/>
        <v>0</v>
      </c>
      <c r="BH133" s="130">
        <f t="shared" si="8"/>
        <v>0</v>
      </c>
      <c r="BI133" s="130">
        <f t="shared" si="9"/>
        <v>0</v>
      </c>
      <c r="BJ133" s="13" t="s">
        <v>76</v>
      </c>
      <c r="BK133" s="130">
        <f t="shared" si="10"/>
        <v>6.03</v>
      </c>
      <c r="BL133" s="13" t="s">
        <v>347</v>
      </c>
      <c r="BM133" s="129" t="s">
        <v>7</v>
      </c>
    </row>
    <row r="134" spans="2:65" s="1" customFormat="1" ht="27.45" customHeight="1" x14ac:dyDescent="0.2">
      <c r="B134" s="118"/>
      <c r="C134" s="119" t="s">
        <v>265</v>
      </c>
      <c r="D134" s="119" t="s">
        <v>231</v>
      </c>
      <c r="E134" s="120" t="s">
        <v>3841</v>
      </c>
      <c r="F134" s="121" t="s">
        <v>3842</v>
      </c>
      <c r="G134" s="122" t="s">
        <v>1194</v>
      </c>
      <c r="H134" s="123">
        <v>110</v>
      </c>
      <c r="I134" s="124">
        <v>2.0099999999999998</v>
      </c>
      <c r="J134" s="124">
        <f t="shared" si="0"/>
        <v>221.1</v>
      </c>
      <c r="K134" s="121" t="s">
        <v>1</v>
      </c>
      <c r="L134" s="24"/>
      <c r="M134" s="125" t="s">
        <v>1</v>
      </c>
      <c r="N134" s="126" t="s">
        <v>32</v>
      </c>
      <c r="O134" s="127">
        <v>0</v>
      </c>
      <c r="P134" s="127">
        <f t="shared" si="1"/>
        <v>0</v>
      </c>
      <c r="Q134" s="127">
        <v>0</v>
      </c>
      <c r="R134" s="127">
        <f t="shared" si="2"/>
        <v>0</v>
      </c>
      <c r="S134" s="127">
        <v>0</v>
      </c>
      <c r="T134" s="128">
        <f t="shared" si="3"/>
        <v>0</v>
      </c>
      <c r="W134" s="199"/>
      <c r="X134" s="119" t="s">
        <v>265</v>
      </c>
      <c r="Y134" s="119" t="s">
        <v>231</v>
      </c>
      <c r="Z134" s="120" t="s">
        <v>3841</v>
      </c>
      <c r="AA134" s="121" t="s">
        <v>3842</v>
      </c>
      <c r="AB134" s="122" t="s">
        <v>1194</v>
      </c>
      <c r="AC134" s="123">
        <v>110</v>
      </c>
      <c r="AD134" s="124">
        <v>2.0099999999999998</v>
      </c>
      <c r="AE134" s="200">
        <f t="shared" si="4"/>
        <v>221.1</v>
      </c>
      <c r="AF134" s="248"/>
      <c r="AR134" s="129" t="s">
        <v>347</v>
      </c>
      <c r="AT134" s="129" t="s">
        <v>231</v>
      </c>
      <c r="AU134" s="129" t="s">
        <v>63</v>
      </c>
      <c r="AY134" s="13" t="s">
        <v>228</v>
      </c>
      <c r="BE134" s="130">
        <f t="shared" si="5"/>
        <v>0</v>
      </c>
      <c r="BF134" s="130">
        <f t="shared" si="6"/>
        <v>221.1</v>
      </c>
      <c r="BG134" s="130">
        <f t="shared" si="7"/>
        <v>0</v>
      </c>
      <c r="BH134" s="130">
        <f t="shared" si="8"/>
        <v>0</v>
      </c>
      <c r="BI134" s="130">
        <f t="shared" si="9"/>
        <v>0</v>
      </c>
      <c r="BJ134" s="13" t="s">
        <v>76</v>
      </c>
      <c r="BK134" s="130">
        <f t="shared" si="10"/>
        <v>221.1</v>
      </c>
      <c r="BL134" s="13" t="s">
        <v>347</v>
      </c>
      <c r="BM134" s="129" t="s">
        <v>268</v>
      </c>
    </row>
    <row r="135" spans="2:65" s="1" customFormat="1" ht="29.55" customHeight="1" x14ac:dyDescent="0.2">
      <c r="B135" s="118"/>
      <c r="C135" s="131" t="s">
        <v>251</v>
      </c>
      <c r="D135" s="131" t="s">
        <v>277</v>
      </c>
      <c r="E135" s="132" t="s">
        <v>3843</v>
      </c>
      <c r="F135" s="133" t="s">
        <v>3844</v>
      </c>
      <c r="G135" s="134" t="s">
        <v>1194</v>
      </c>
      <c r="H135" s="135">
        <v>110</v>
      </c>
      <c r="I135" s="136">
        <v>0.53</v>
      </c>
      <c r="J135" s="136">
        <f t="shared" si="0"/>
        <v>58.3</v>
      </c>
      <c r="K135" s="133" t="s">
        <v>1</v>
      </c>
      <c r="L135" s="137"/>
      <c r="M135" s="138" t="s">
        <v>1</v>
      </c>
      <c r="N135" s="139" t="s">
        <v>32</v>
      </c>
      <c r="O135" s="127">
        <v>0</v>
      </c>
      <c r="P135" s="127">
        <f t="shared" si="1"/>
        <v>0</v>
      </c>
      <c r="Q135" s="127">
        <v>0</v>
      </c>
      <c r="R135" s="127">
        <f t="shared" si="2"/>
        <v>0</v>
      </c>
      <c r="S135" s="127">
        <v>0</v>
      </c>
      <c r="T135" s="128">
        <f t="shared" si="3"/>
        <v>0</v>
      </c>
      <c r="W135" s="199"/>
      <c r="X135" s="131" t="s">
        <v>251</v>
      </c>
      <c r="Y135" s="131" t="s">
        <v>277</v>
      </c>
      <c r="Z135" s="132" t="s">
        <v>3843</v>
      </c>
      <c r="AA135" s="133" t="s">
        <v>3844</v>
      </c>
      <c r="AB135" s="134" t="s">
        <v>1194</v>
      </c>
      <c r="AC135" s="135">
        <v>110</v>
      </c>
      <c r="AD135" s="136">
        <v>0.53</v>
      </c>
      <c r="AE135" s="229">
        <f t="shared" si="4"/>
        <v>58.3</v>
      </c>
      <c r="AF135" s="248"/>
      <c r="AR135" s="129" t="s">
        <v>705</v>
      </c>
      <c r="AT135" s="129" t="s">
        <v>277</v>
      </c>
      <c r="AU135" s="129" t="s">
        <v>63</v>
      </c>
      <c r="AY135" s="13" t="s">
        <v>228</v>
      </c>
      <c r="BE135" s="130">
        <f t="shared" si="5"/>
        <v>0</v>
      </c>
      <c r="BF135" s="130">
        <f t="shared" si="6"/>
        <v>58.3</v>
      </c>
      <c r="BG135" s="130">
        <f t="shared" si="7"/>
        <v>0</v>
      </c>
      <c r="BH135" s="130">
        <f t="shared" si="8"/>
        <v>0</v>
      </c>
      <c r="BI135" s="130">
        <f t="shared" si="9"/>
        <v>0</v>
      </c>
      <c r="BJ135" s="13" t="s">
        <v>76</v>
      </c>
      <c r="BK135" s="130">
        <f t="shared" si="10"/>
        <v>58.3</v>
      </c>
      <c r="BL135" s="13" t="s">
        <v>347</v>
      </c>
      <c r="BM135" s="129" t="s">
        <v>272</v>
      </c>
    </row>
    <row r="136" spans="2:65" s="1" customFormat="1" ht="28.2" customHeight="1" x14ac:dyDescent="0.2">
      <c r="B136" s="118"/>
      <c r="C136" s="119" t="s">
        <v>273</v>
      </c>
      <c r="D136" s="119" t="s">
        <v>231</v>
      </c>
      <c r="E136" s="120" t="s">
        <v>3841</v>
      </c>
      <c r="F136" s="121" t="s">
        <v>3842</v>
      </c>
      <c r="G136" s="122" t="s">
        <v>1194</v>
      </c>
      <c r="H136" s="123">
        <v>36</v>
      </c>
      <c r="I136" s="124">
        <v>2.0099999999999998</v>
      </c>
      <c r="J136" s="124">
        <f t="shared" si="0"/>
        <v>72.36</v>
      </c>
      <c r="K136" s="121" t="s">
        <v>1</v>
      </c>
      <c r="L136" s="24"/>
      <c r="M136" s="125" t="s">
        <v>1</v>
      </c>
      <c r="N136" s="126" t="s">
        <v>32</v>
      </c>
      <c r="O136" s="127">
        <v>0</v>
      </c>
      <c r="P136" s="127">
        <f t="shared" si="1"/>
        <v>0</v>
      </c>
      <c r="Q136" s="127">
        <v>0</v>
      </c>
      <c r="R136" s="127">
        <f t="shared" si="2"/>
        <v>0</v>
      </c>
      <c r="S136" s="127">
        <v>0</v>
      </c>
      <c r="T136" s="128">
        <f t="shared" si="3"/>
        <v>0</v>
      </c>
      <c r="W136" s="199"/>
      <c r="X136" s="119" t="s">
        <v>273</v>
      </c>
      <c r="Y136" s="119" t="s">
        <v>231</v>
      </c>
      <c r="Z136" s="120" t="s">
        <v>3841</v>
      </c>
      <c r="AA136" s="121" t="s">
        <v>3842</v>
      </c>
      <c r="AB136" s="122" t="s">
        <v>1194</v>
      </c>
      <c r="AC136" s="123">
        <v>36</v>
      </c>
      <c r="AD136" s="124">
        <v>2.0099999999999998</v>
      </c>
      <c r="AE136" s="200">
        <f t="shared" si="4"/>
        <v>72.36</v>
      </c>
      <c r="AF136" s="248"/>
      <c r="AR136" s="129" t="s">
        <v>347</v>
      </c>
      <c r="AT136" s="129" t="s">
        <v>231</v>
      </c>
      <c r="AU136" s="129" t="s">
        <v>63</v>
      </c>
      <c r="AY136" s="13" t="s">
        <v>228</v>
      </c>
      <c r="BE136" s="130">
        <f t="shared" si="5"/>
        <v>0</v>
      </c>
      <c r="BF136" s="130">
        <f t="shared" si="6"/>
        <v>72.36</v>
      </c>
      <c r="BG136" s="130">
        <f t="shared" si="7"/>
        <v>0</v>
      </c>
      <c r="BH136" s="130">
        <f t="shared" si="8"/>
        <v>0</v>
      </c>
      <c r="BI136" s="130">
        <f t="shared" si="9"/>
        <v>0</v>
      </c>
      <c r="BJ136" s="13" t="s">
        <v>76</v>
      </c>
      <c r="BK136" s="130">
        <f t="shared" si="10"/>
        <v>72.36</v>
      </c>
      <c r="BL136" s="13" t="s">
        <v>347</v>
      </c>
      <c r="BM136" s="129" t="s">
        <v>276</v>
      </c>
    </row>
    <row r="137" spans="2:65" s="1" customFormat="1" ht="24" customHeight="1" x14ac:dyDescent="0.2">
      <c r="B137" s="118"/>
      <c r="C137" s="131" t="s">
        <v>255</v>
      </c>
      <c r="D137" s="131" t="s">
        <v>277</v>
      </c>
      <c r="E137" s="132" t="s">
        <v>4562</v>
      </c>
      <c r="F137" s="133" t="s">
        <v>4563</v>
      </c>
      <c r="G137" s="134" t="s">
        <v>1194</v>
      </c>
      <c r="H137" s="135">
        <v>36</v>
      </c>
      <c r="I137" s="136">
        <v>0.53</v>
      </c>
      <c r="J137" s="136">
        <f t="shared" si="0"/>
        <v>19.079999999999998</v>
      </c>
      <c r="K137" s="133" t="s">
        <v>1</v>
      </c>
      <c r="L137" s="137"/>
      <c r="M137" s="138" t="s">
        <v>1</v>
      </c>
      <c r="N137" s="139" t="s">
        <v>32</v>
      </c>
      <c r="O137" s="127">
        <v>0</v>
      </c>
      <c r="P137" s="127">
        <f t="shared" si="1"/>
        <v>0</v>
      </c>
      <c r="Q137" s="127">
        <v>0</v>
      </c>
      <c r="R137" s="127">
        <f t="shared" si="2"/>
        <v>0</v>
      </c>
      <c r="S137" s="127">
        <v>0</v>
      </c>
      <c r="T137" s="128">
        <f t="shared" si="3"/>
        <v>0</v>
      </c>
      <c r="W137" s="199"/>
      <c r="X137" s="131" t="s">
        <v>255</v>
      </c>
      <c r="Y137" s="131" t="s">
        <v>277</v>
      </c>
      <c r="Z137" s="132" t="s">
        <v>4562</v>
      </c>
      <c r="AA137" s="133" t="s">
        <v>4563</v>
      </c>
      <c r="AB137" s="134" t="s">
        <v>1194</v>
      </c>
      <c r="AC137" s="135">
        <v>36</v>
      </c>
      <c r="AD137" s="136">
        <v>0.53</v>
      </c>
      <c r="AE137" s="229">
        <f t="shared" si="4"/>
        <v>19.079999999999998</v>
      </c>
      <c r="AF137" s="248"/>
      <c r="AR137" s="129" t="s">
        <v>705</v>
      </c>
      <c r="AT137" s="129" t="s">
        <v>277</v>
      </c>
      <c r="AU137" s="129" t="s">
        <v>63</v>
      </c>
      <c r="AY137" s="13" t="s">
        <v>228</v>
      </c>
      <c r="BE137" s="130">
        <f t="shared" si="5"/>
        <v>0</v>
      </c>
      <c r="BF137" s="130">
        <f t="shared" si="6"/>
        <v>19.079999999999998</v>
      </c>
      <c r="BG137" s="130">
        <f t="shared" si="7"/>
        <v>0</v>
      </c>
      <c r="BH137" s="130">
        <f t="shared" si="8"/>
        <v>0</v>
      </c>
      <c r="BI137" s="130">
        <f t="shared" si="9"/>
        <v>0</v>
      </c>
      <c r="BJ137" s="13" t="s">
        <v>76</v>
      </c>
      <c r="BK137" s="130">
        <f t="shared" si="10"/>
        <v>19.079999999999998</v>
      </c>
      <c r="BL137" s="13" t="s">
        <v>347</v>
      </c>
      <c r="BM137" s="129" t="s">
        <v>280</v>
      </c>
    </row>
    <row r="138" spans="2:65" s="1" customFormat="1" ht="27" customHeight="1" x14ac:dyDescent="0.2">
      <c r="B138" s="118"/>
      <c r="C138" s="205" t="s">
        <v>281</v>
      </c>
      <c r="D138" s="119" t="s">
        <v>231</v>
      </c>
      <c r="E138" s="120" t="s">
        <v>3845</v>
      </c>
      <c r="F138" s="121" t="s">
        <v>3846</v>
      </c>
      <c r="G138" s="122" t="s">
        <v>1194</v>
      </c>
      <c r="H138" s="206">
        <v>130</v>
      </c>
      <c r="I138" s="124">
        <v>2.0099999999999998</v>
      </c>
      <c r="J138" s="124">
        <f t="shared" si="0"/>
        <v>261.3</v>
      </c>
      <c r="K138" s="121" t="s">
        <v>1</v>
      </c>
      <c r="L138" s="24"/>
      <c r="M138" s="125" t="s">
        <v>1</v>
      </c>
      <c r="N138" s="126" t="s">
        <v>32</v>
      </c>
      <c r="O138" s="127">
        <v>0</v>
      </c>
      <c r="P138" s="127">
        <f t="shared" si="1"/>
        <v>0</v>
      </c>
      <c r="Q138" s="127">
        <v>0</v>
      </c>
      <c r="R138" s="127">
        <f t="shared" si="2"/>
        <v>0</v>
      </c>
      <c r="S138" s="127">
        <v>0</v>
      </c>
      <c r="T138" s="128">
        <f t="shared" si="3"/>
        <v>0</v>
      </c>
      <c r="W138" s="199"/>
      <c r="X138" s="205" t="s">
        <v>281</v>
      </c>
      <c r="Y138" s="119" t="s">
        <v>231</v>
      </c>
      <c r="Z138" s="120" t="s">
        <v>3845</v>
      </c>
      <c r="AA138" s="121" t="s">
        <v>3846</v>
      </c>
      <c r="AB138" s="122" t="s">
        <v>1194</v>
      </c>
      <c r="AC138" s="206">
        <f>130+20</f>
        <v>150</v>
      </c>
      <c r="AD138" s="124">
        <v>2.0099999999999998</v>
      </c>
      <c r="AE138" s="200">
        <f t="shared" si="4"/>
        <v>301.5</v>
      </c>
      <c r="AF138" s="248">
        <v>2</v>
      </c>
      <c r="AR138" s="129" t="s">
        <v>347</v>
      </c>
      <c r="AT138" s="129" t="s">
        <v>231</v>
      </c>
      <c r="AU138" s="129" t="s">
        <v>63</v>
      </c>
      <c r="AY138" s="13" t="s">
        <v>228</v>
      </c>
      <c r="BE138" s="130">
        <f t="shared" si="5"/>
        <v>0</v>
      </c>
      <c r="BF138" s="130">
        <f t="shared" si="6"/>
        <v>261.3</v>
      </c>
      <c r="BG138" s="130">
        <f t="shared" si="7"/>
        <v>0</v>
      </c>
      <c r="BH138" s="130">
        <f t="shared" si="8"/>
        <v>0</v>
      </c>
      <c r="BI138" s="130">
        <f t="shared" si="9"/>
        <v>0</v>
      </c>
      <c r="BJ138" s="13" t="s">
        <v>76</v>
      </c>
      <c r="BK138" s="130">
        <f t="shared" si="10"/>
        <v>261.3</v>
      </c>
      <c r="BL138" s="13" t="s">
        <v>347</v>
      </c>
      <c r="BM138" s="129" t="s">
        <v>285</v>
      </c>
    </row>
    <row r="139" spans="2:65" s="1" customFormat="1" ht="24" customHeight="1" x14ac:dyDescent="0.2">
      <c r="B139" s="118"/>
      <c r="C139" s="242" t="s">
        <v>258</v>
      </c>
      <c r="D139" s="131" t="s">
        <v>277</v>
      </c>
      <c r="E139" s="132" t="s">
        <v>4564</v>
      </c>
      <c r="F139" s="133" t="s">
        <v>4565</v>
      </c>
      <c r="G139" s="134" t="s">
        <v>1194</v>
      </c>
      <c r="H139" s="241">
        <v>130</v>
      </c>
      <c r="I139" s="136">
        <v>0.67</v>
      </c>
      <c r="J139" s="136">
        <f t="shared" si="0"/>
        <v>87.1</v>
      </c>
      <c r="K139" s="133" t="s">
        <v>1</v>
      </c>
      <c r="L139" s="137"/>
      <c r="M139" s="138" t="s">
        <v>1</v>
      </c>
      <c r="N139" s="139" t="s">
        <v>32</v>
      </c>
      <c r="O139" s="127">
        <v>0</v>
      </c>
      <c r="P139" s="127">
        <f t="shared" si="1"/>
        <v>0</v>
      </c>
      <c r="Q139" s="127">
        <v>0</v>
      </c>
      <c r="R139" s="127">
        <f t="shared" si="2"/>
        <v>0</v>
      </c>
      <c r="S139" s="127">
        <v>0</v>
      </c>
      <c r="T139" s="128">
        <f t="shared" si="3"/>
        <v>0</v>
      </c>
      <c r="W139" s="199"/>
      <c r="X139" s="242" t="s">
        <v>258</v>
      </c>
      <c r="Y139" s="131" t="s">
        <v>277</v>
      </c>
      <c r="Z139" s="132" t="s">
        <v>4564</v>
      </c>
      <c r="AA139" s="133" t="s">
        <v>4565</v>
      </c>
      <c r="AB139" s="134" t="s">
        <v>1194</v>
      </c>
      <c r="AC139" s="241">
        <f>130+20</f>
        <v>150</v>
      </c>
      <c r="AD139" s="136">
        <v>0.67</v>
      </c>
      <c r="AE139" s="229">
        <f t="shared" si="4"/>
        <v>100.5</v>
      </c>
      <c r="AF139" s="248">
        <v>2</v>
      </c>
      <c r="AR139" s="129" t="s">
        <v>705</v>
      </c>
      <c r="AT139" s="129" t="s">
        <v>277</v>
      </c>
      <c r="AU139" s="129" t="s">
        <v>63</v>
      </c>
      <c r="AY139" s="13" t="s">
        <v>228</v>
      </c>
      <c r="BE139" s="130">
        <f t="shared" si="5"/>
        <v>0</v>
      </c>
      <c r="BF139" s="130">
        <f t="shared" si="6"/>
        <v>87.1</v>
      </c>
      <c r="BG139" s="130">
        <f t="shared" si="7"/>
        <v>0</v>
      </c>
      <c r="BH139" s="130">
        <f t="shared" si="8"/>
        <v>0</v>
      </c>
      <c r="BI139" s="130">
        <f t="shared" si="9"/>
        <v>0</v>
      </c>
      <c r="BJ139" s="13" t="s">
        <v>76</v>
      </c>
      <c r="BK139" s="130">
        <f t="shared" si="10"/>
        <v>87.1</v>
      </c>
      <c r="BL139" s="13" t="s">
        <v>347</v>
      </c>
      <c r="BM139" s="129" t="s">
        <v>288</v>
      </c>
    </row>
    <row r="140" spans="2:65" s="1" customFormat="1" ht="24" customHeight="1" x14ac:dyDescent="0.2">
      <c r="B140" s="118"/>
      <c r="C140" s="285" t="s">
        <v>289</v>
      </c>
      <c r="D140" s="285" t="s">
        <v>231</v>
      </c>
      <c r="E140" s="286" t="s">
        <v>3849</v>
      </c>
      <c r="F140" s="240" t="s">
        <v>3850</v>
      </c>
      <c r="G140" s="287" t="s">
        <v>1194</v>
      </c>
      <c r="H140" s="288">
        <v>6</v>
      </c>
      <c r="I140" s="289">
        <v>7.88</v>
      </c>
      <c r="J140" s="124">
        <f t="shared" si="0"/>
        <v>47.28</v>
      </c>
      <c r="K140" s="121" t="s">
        <v>1</v>
      </c>
      <c r="L140" s="24"/>
      <c r="M140" s="125" t="s">
        <v>1</v>
      </c>
      <c r="N140" s="126" t="s">
        <v>32</v>
      </c>
      <c r="O140" s="127">
        <v>0</v>
      </c>
      <c r="P140" s="127">
        <f t="shared" si="1"/>
        <v>0</v>
      </c>
      <c r="Q140" s="127">
        <v>0</v>
      </c>
      <c r="R140" s="127">
        <f t="shared" si="2"/>
        <v>0</v>
      </c>
      <c r="S140" s="127">
        <v>0</v>
      </c>
      <c r="T140" s="128">
        <f t="shared" si="3"/>
        <v>0</v>
      </c>
      <c r="W140" s="199"/>
      <c r="X140" s="285" t="s">
        <v>289</v>
      </c>
      <c r="Y140" s="285" t="s">
        <v>231</v>
      </c>
      <c r="Z140" s="286" t="s">
        <v>3849</v>
      </c>
      <c r="AA140" s="240" t="s">
        <v>3850</v>
      </c>
      <c r="AB140" s="287" t="s">
        <v>1194</v>
      </c>
      <c r="AC140" s="288">
        <f>6</f>
        <v>6</v>
      </c>
      <c r="AD140" s="124">
        <v>7.88</v>
      </c>
      <c r="AE140" s="200">
        <f t="shared" si="4"/>
        <v>47.28</v>
      </c>
      <c r="AF140" s="248"/>
      <c r="AR140" s="129" t="s">
        <v>347</v>
      </c>
      <c r="AT140" s="129" t="s">
        <v>231</v>
      </c>
      <c r="AU140" s="129" t="s">
        <v>63</v>
      </c>
      <c r="AY140" s="13" t="s">
        <v>228</v>
      </c>
      <c r="BE140" s="130">
        <f t="shared" si="5"/>
        <v>0</v>
      </c>
      <c r="BF140" s="130">
        <f t="shared" si="6"/>
        <v>47.28</v>
      </c>
      <c r="BG140" s="130">
        <f t="shared" si="7"/>
        <v>0</v>
      </c>
      <c r="BH140" s="130">
        <f t="shared" si="8"/>
        <v>0</v>
      </c>
      <c r="BI140" s="130">
        <f t="shared" si="9"/>
        <v>0</v>
      </c>
      <c r="BJ140" s="13" t="s">
        <v>76</v>
      </c>
      <c r="BK140" s="130">
        <f t="shared" si="10"/>
        <v>47.28</v>
      </c>
      <c r="BL140" s="13" t="s">
        <v>347</v>
      </c>
      <c r="BM140" s="129" t="s">
        <v>293</v>
      </c>
    </row>
    <row r="141" spans="2:65" s="1" customFormat="1" ht="24" customHeight="1" x14ac:dyDescent="0.2">
      <c r="B141" s="118"/>
      <c r="C141" s="444" t="s">
        <v>262</v>
      </c>
      <c r="D141" s="444" t="s">
        <v>277</v>
      </c>
      <c r="E141" s="453" t="s">
        <v>3851</v>
      </c>
      <c r="F141" s="454" t="s">
        <v>3852</v>
      </c>
      <c r="G141" s="455" t="s">
        <v>1194</v>
      </c>
      <c r="H141" s="443">
        <v>6</v>
      </c>
      <c r="I141" s="456">
        <v>10.02</v>
      </c>
      <c r="J141" s="136">
        <f t="shared" si="0"/>
        <v>60.12</v>
      </c>
      <c r="K141" s="133" t="s">
        <v>1</v>
      </c>
      <c r="L141" s="137"/>
      <c r="M141" s="138" t="s">
        <v>1</v>
      </c>
      <c r="N141" s="139" t="s">
        <v>32</v>
      </c>
      <c r="O141" s="127">
        <v>0</v>
      </c>
      <c r="P141" s="127">
        <f t="shared" si="1"/>
        <v>0</v>
      </c>
      <c r="Q141" s="127">
        <v>0</v>
      </c>
      <c r="R141" s="127">
        <f t="shared" si="2"/>
        <v>0</v>
      </c>
      <c r="S141" s="127">
        <v>0</v>
      </c>
      <c r="T141" s="128">
        <f t="shared" si="3"/>
        <v>0</v>
      </c>
      <c r="W141" s="199"/>
      <c r="X141" s="444" t="s">
        <v>262</v>
      </c>
      <c r="Y141" s="444" t="s">
        <v>277</v>
      </c>
      <c r="Z141" s="453" t="s">
        <v>3851</v>
      </c>
      <c r="AA141" s="454" t="s">
        <v>3852</v>
      </c>
      <c r="AB141" s="455" t="s">
        <v>1194</v>
      </c>
      <c r="AC141" s="443">
        <f>6</f>
        <v>6</v>
      </c>
      <c r="AD141" s="136">
        <v>10.02</v>
      </c>
      <c r="AE141" s="229">
        <f t="shared" si="4"/>
        <v>60.12</v>
      </c>
      <c r="AF141" s="248"/>
      <c r="AR141" s="129" t="s">
        <v>705</v>
      </c>
      <c r="AT141" s="129" t="s">
        <v>277</v>
      </c>
      <c r="AU141" s="129" t="s">
        <v>63</v>
      </c>
      <c r="AY141" s="13" t="s">
        <v>228</v>
      </c>
      <c r="BE141" s="130">
        <f t="shared" si="5"/>
        <v>0</v>
      </c>
      <c r="BF141" s="130">
        <f t="shared" si="6"/>
        <v>60.12</v>
      </c>
      <c r="BG141" s="130">
        <f t="shared" si="7"/>
        <v>0</v>
      </c>
      <c r="BH141" s="130">
        <f t="shared" si="8"/>
        <v>0</v>
      </c>
      <c r="BI141" s="130">
        <f t="shared" si="9"/>
        <v>0</v>
      </c>
      <c r="BJ141" s="13" t="s">
        <v>76</v>
      </c>
      <c r="BK141" s="130">
        <f t="shared" si="10"/>
        <v>60.12</v>
      </c>
      <c r="BL141" s="13" t="s">
        <v>347</v>
      </c>
      <c r="BM141" s="129" t="s">
        <v>296</v>
      </c>
    </row>
    <row r="142" spans="2:65" s="1" customFormat="1" ht="16.5" customHeight="1" x14ac:dyDescent="0.2">
      <c r="B142" s="118"/>
      <c r="C142" s="119" t="s">
        <v>297</v>
      </c>
      <c r="D142" s="119" t="s">
        <v>231</v>
      </c>
      <c r="E142" s="120" t="s">
        <v>3853</v>
      </c>
      <c r="F142" s="121" t="s">
        <v>3854</v>
      </c>
      <c r="G142" s="122" t="s">
        <v>1194</v>
      </c>
      <c r="H142" s="123">
        <v>6</v>
      </c>
      <c r="I142" s="124">
        <v>8.9499999999999993</v>
      </c>
      <c r="J142" s="124">
        <f t="shared" si="0"/>
        <v>53.7</v>
      </c>
      <c r="K142" s="121" t="s">
        <v>1</v>
      </c>
      <c r="L142" s="24"/>
      <c r="M142" s="125" t="s">
        <v>1</v>
      </c>
      <c r="N142" s="126" t="s">
        <v>32</v>
      </c>
      <c r="O142" s="127">
        <v>0</v>
      </c>
      <c r="P142" s="127">
        <f t="shared" si="1"/>
        <v>0</v>
      </c>
      <c r="Q142" s="127">
        <v>0</v>
      </c>
      <c r="R142" s="127">
        <f t="shared" si="2"/>
        <v>0</v>
      </c>
      <c r="S142" s="127">
        <v>0</v>
      </c>
      <c r="T142" s="128">
        <f t="shared" si="3"/>
        <v>0</v>
      </c>
      <c r="W142" s="199"/>
      <c r="X142" s="119" t="s">
        <v>297</v>
      </c>
      <c r="Y142" s="119" t="s">
        <v>231</v>
      </c>
      <c r="Z142" s="120" t="s">
        <v>3853</v>
      </c>
      <c r="AA142" s="121" t="s">
        <v>3854</v>
      </c>
      <c r="AB142" s="122" t="s">
        <v>1194</v>
      </c>
      <c r="AC142" s="123">
        <v>6</v>
      </c>
      <c r="AD142" s="124">
        <v>8.9499999999999993</v>
      </c>
      <c r="AE142" s="200">
        <f t="shared" si="4"/>
        <v>53.7</v>
      </c>
      <c r="AF142" s="248"/>
      <c r="AR142" s="129" t="s">
        <v>347</v>
      </c>
      <c r="AT142" s="129" t="s">
        <v>231</v>
      </c>
      <c r="AU142" s="129" t="s">
        <v>63</v>
      </c>
      <c r="AY142" s="13" t="s">
        <v>228</v>
      </c>
      <c r="BE142" s="130">
        <f t="shared" si="5"/>
        <v>0</v>
      </c>
      <c r="BF142" s="130">
        <f t="shared" si="6"/>
        <v>53.7</v>
      </c>
      <c r="BG142" s="130">
        <f t="shared" si="7"/>
        <v>0</v>
      </c>
      <c r="BH142" s="130">
        <f t="shared" si="8"/>
        <v>0</v>
      </c>
      <c r="BI142" s="130">
        <f t="shared" si="9"/>
        <v>0</v>
      </c>
      <c r="BJ142" s="13" t="s">
        <v>76</v>
      </c>
      <c r="BK142" s="130">
        <f t="shared" si="10"/>
        <v>53.7</v>
      </c>
      <c r="BL142" s="13" t="s">
        <v>347</v>
      </c>
      <c r="BM142" s="129" t="s">
        <v>300</v>
      </c>
    </row>
    <row r="143" spans="2:65" s="1" customFormat="1" ht="24" customHeight="1" x14ac:dyDescent="0.2">
      <c r="B143" s="118"/>
      <c r="C143" s="131" t="s">
        <v>7</v>
      </c>
      <c r="D143" s="131" t="s">
        <v>277</v>
      </c>
      <c r="E143" s="132" t="s">
        <v>3855</v>
      </c>
      <c r="F143" s="133" t="s">
        <v>3856</v>
      </c>
      <c r="G143" s="134" t="s">
        <v>1194</v>
      </c>
      <c r="H143" s="135">
        <v>6</v>
      </c>
      <c r="I143" s="136">
        <v>1.07</v>
      </c>
      <c r="J143" s="136">
        <f t="shared" si="0"/>
        <v>6.42</v>
      </c>
      <c r="K143" s="133" t="s">
        <v>1</v>
      </c>
      <c r="L143" s="137"/>
      <c r="M143" s="138" t="s">
        <v>1</v>
      </c>
      <c r="N143" s="139" t="s">
        <v>32</v>
      </c>
      <c r="O143" s="127">
        <v>0</v>
      </c>
      <c r="P143" s="127">
        <f t="shared" si="1"/>
        <v>0</v>
      </c>
      <c r="Q143" s="127">
        <v>0</v>
      </c>
      <c r="R143" s="127">
        <f t="shared" si="2"/>
        <v>0</v>
      </c>
      <c r="S143" s="127">
        <v>0</v>
      </c>
      <c r="T143" s="128">
        <f t="shared" si="3"/>
        <v>0</v>
      </c>
      <c r="W143" s="199"/>
      <c r="X143" s="131" t="s">
        <v>7</v>
      </c>
      <c r="Y143" s="131" t="s">
        <v>277</v>
      </c>
      <c r="Z143" s="132" t="s">
        <v>3855</v>
      </c>
      <c r="AA143" s="133" t="s">
        <v>3856</v>
      </c>
      <c r="AB143" s="134" t="s">
        <v>1194</v>
      </c>
      <c r="AC143" s="135">
        <v>6</v>
      </c>
      <c r="AD143" s="136">
        <v>1.07</v>
      </c>
      <c r="AE143" s="229">
        <f t="shared" si="4"/>
        <v>6.42</v>
      </c>
      <c r="AF143" s="248"/>
      <c r="AR143" s="129" t="s">
        <v>705</v>
      </c>
      <c r="AT143" s="129" t="s">
        <v>277</v>
      </c>
      <c r="AU143" s="129" t="s">
        <v>63</v>
      </c>
      <c r="AY143" s="13" t="s">
        <v>228</v>
      </c>
      <c r="BE143" s="130">
        <f t="shared" si="5"/>
        <v>0</v>
      </c>
      <c r="BF143" s="130">
        <f t="shared" si="6"/>
        <v>6.42</v>
      </c>
      <c r="BG143" s="130">
        <f t="shared" si="7"/>
        <v>0</v>
      </c>
      <c r="BH143" s="130">
        <f t="shared" si="8"/>
        <v>0</v>
      </c>
      <c r="BI143" s="130">
        <f t="shared" si="9"/>
        <v>0</v>
      </c>
      <c r="BJ143" s="13" t="s">
        <v>76</v>
      </c>
      <c r="BK143" s="130">
        <f t="shared" si="10"/>
        <v>6.42</v>
      </c>
      <c r="BL143" s="13" t="s">
        <v>347</v>
      </c>
      <c r="BM143" s="129" t="s">
        <v>303</v>
      </c>
    </row>
    <row r="144" spans="2:65" s="1" customFormat="1" ht="16.5" customHeight="1" x14ac:dyDescent="0.2">
      <c r="B144" s="118"/>
      <c r="C144" s="119" t="s">
        <v>305</v>
      </c>
      <c r="D144" s="119" t="s">
        <v>231</v>
      </c>
      <c r="E144" s="120" t="s">
        <v>3857</v>
      </c>
      <c r="F144" s="121" t="s">
        <v>3858</v>
      </c>
      <c r="G144" s="122" t="s">
        <v>1194</v>
      </c>
      <c r="H144" s="123">
        <v>6</v>
      </c>
      <c r="I144" s="124">
        <v>0.94</v>
      </c>
      <c r="J144" s="124">
        <f t="shared" si="0"/>
        <v>5.64</v>
      </c>
      <c r="K144" s="121" t="s">
        <v>1</v>
      </c>
      <c r="L144" s="24"/>
      <c r="M144" s="125" t="s">
        <v>1</v>
      </c>
      <c r="N144" s="126" t="s">
        <v>32</v>
      </c>
      <c r="O144" s="127">
        <v>0</v>
      </c>
      <c r="P144" s="127">
        <f t="shared" si="1"/>
        <v>0</v>
      </c>
      <c r="Q144" s="127">
        <v>0</v>
      </c>
      <c r="R144" s="127">
        <f t="shared" si="2"/>
        <v>0</v>
      </c>
      <c r="S144" s="127">
        <v>0</v>
      </c>
      <c r="T144" s="128">
        <f t="shared" si="3"/>
        <v>0</v>
      </c>
      <c r="W144" s="199"/>
      <c r="X144" s="119" t="s">
        <v>305</v>
      </c>
      <c r="Y144" s="119" t="s">
        <v>231</v>
      </c>
      <c r="Z144" s="120" t="s">
        <v>3857</v>
      </c>
      <c r="AA144" s="121" t="s">
        <v>3858</v>
      </c>
      <c r="AB144" s="122" t="s">
        <v>1194</v>
      </c>
      <c r="AC144" s="123">
        <v>6</v>
      </c>
      <c r="AD144" s="124">
        <v>0.94</v>
      </c>
      <c r="AE144" s="200">
        <f t="shared" si="4"/>
        <v>5.64</v>
      </c>
      <c r="AF144" s="248"/>
      <c r="AR144" s="129" t="s">
        <v>347</v>
      </c>
      <c r="AT144" s="129" t="s">
        <v>231</v>
      </c>
      <c r="AU144" s="129" t="s">
        <v>63</v>
      </c>
      <c r="AY144" s="13" t="s">
        <v>228</v>
      </c>
      <c r="BE144" s="130">
        <f t="shared" si="5"/>
        <v>0</v>
      </c>
      <c r="BF144" s="130">
        <f t="shared" si="6"/>
        <v>5.64</v>
      </c>
      <c r="BG144" s="130">
        <f t="shared" si="7"/>
        <v>0</v>
      </c>
      <c r="BH144" s="130">
        <f t="shared" si="8"/>
        <v>0</v>
      </c>
      <c r="BI144" s="130">
        <f t="shared" si="9"/>
        <v>0</v>
      </c>
      <c r="BJ144" s="13" t="s">
        <v>76</v>
      </c>
      <c r="BK144" s="130">
        <f t="shared" si="10"/>
        <v>5.64</v>
      </c>
      <c r="BL144" s="13" t="s">
        <v>347</v>
      </c>
      <c r="BM144" s="129" t="s">
        <v>308</v>
      </c>
    </row>
    <row r="145" spans="2:65" s="1" customFormat="1" ht="24" customHeight="1" x14ac:dyDescent="0.2">
      <c r="B145" s="118"/>
      <c r="C145" s="131" t="s">
        <v>268</v>
      </c>
      <c r="D145" s="131" t="s">
        <v>277</v>
      </c>
      <c r="E145" s="132" t="s">
        <v>3859</v>
      </c>
      <c r="F145" s="133" t="s">
        <v>3860</v>
      </c>
      <c r="G145" s="134" t="s">
        <v>1194</v>
      </c>
      <c r="H145" s="135">
        <v>6</v>
      </c>
      <c r="I145" s="136">
        <v>1.74</v>
      </c>
      <c r="J145" s="136">
        <f t="shared" si="0"/>
        <v>10.44</v>
      </c>
      <c r="K145" s="133" t="s">
        <v>1</v>
      </c>
      <c r="L145" s="137"/>
      <c r="M145" s="138" t="s">
        <v>1</v>
      </c>
      <c r="N145" s="139" t="s">
        <v>32</v>
      </c>
      <c r="O145" s="127">
        <v>0</v>
      </c>
      <c r="P145" s="127">
        <f t="shared" si="1"/>
        <v>0</v>
      </c>
      <c r="Q145" s="127">
        <v>0</v>
      </c>
      <c r="R145" s="127">
        <f t="shared" si="2"/>
        <v>0</v>
      </c>
      <c r="S145" s="127">
        <v>0</v>
      </c>
      <c r="T145" s="128">
        <f t="shared" si="3"/>
        <v>0</v>
      </c>
      <c r="W145" s="199"/>
      <c r="X145" s="131" t="s">
        <v>268</v>
      </c>
      <c r="Y145" s="131" t="s">
        <v>277</v>
      </c>
      <c r="Z145" s="132" t="s">
        <v>3859</v>
      </c>
      <c r="AA145" s="133" t="s">
        <v>3860</v>
      </c>
      <c r="AB145" s="134" t="s">
        <v>1194</v>
      </c>
      <c r="AC145" s="135">
        <v>6</v>
      </c>
      <c r="AD145" s="136">
        <v>1.74</v>
      </c>
      <c r="AE145" s="229">
        <f t="shared" si="4"/>
        <v>10.44</v>
      </c>
      <c r="AF145" s="248"/>
      <c r="AR145" s="129" t="s">
        <v>705</v>
      </c>
      <c r="AT145" s="129" t="s">
        <v>277</v>
      </c>
      <c r="AU145" s="129" t="s">
        <v>63</v>
      </c>
      <c r="AY145" s="13" t="s">
        <v>228</v>
      </c>
      <c r="BE145" s="130">
        <f t="shared" si="5"/>
        <v>0</v>
      </c>
      <c r="BF145" s="130">
        <f t="shared" si="6"/>
        <v>10.44</v>
      </c>
      <c r="BG145" s="130">
        <f t="shared" si="7"/>
        <v>0</v>
      </c>
      <c r="BH145" s="130">
        <f t="shared" si="8"/>
        <v>0</v>
      </c>
      <c r="BI145" s="130">
        <f t="shared" si="9"/>
        <v>0</v>
      </c>
      <c r="BJ145" s="13" t="s">
        <v>76</v>
      </c>
      <c r="BK145" s="130">
        <f t="shared" si="10"/>
        <v>10.44</v>
      </c>
      <c r="BL145" s="13" t="s">
        <v>347</v>
      </c>
      <c r="BM145" s="129" t="s">
        <v>312</v>
      </c>
    </row>
    <row r="146" spans="2:65" s="1" customFormat="1" ht="16.5" customHeight="1" x14ac:dyDescent="0.2">
      <c r="B146" s="118"/>
      <c r="C146" s="285" t="s">
        <v>313</v>
      </c>
      <c r="D146" s="285" t="s">
        <v>231</v>
      </c>
      <c r="E146" s="286" t="s">
        <v>3861</v>
      </c>
      <c r="F146" s="240" t="s">
        <v>3862</v>
      </c>
      <c r="G146" s="287" t="s">
        <v>1194</v>
      </c>
      <c r="H146" s="288">
        <v>6</v>
      </c>
      <c r="I146" s="289">
        <v>3.45</v>
      </c>
      <c r="J146" s="289">
        <f t="shared" si="0"/>
        <v>20.7</v>
      </c>
      <c r="K146" s="240" t="s">
        <v>1</v>
      </c>
      <c r="L146" s="447"/>
      <c r="M146" s="448" t="s">
        <v>1</v>
      </c>
      <c r="N146" s="449" t="s">
        <v>32</v>
      </c>
      <c r="O146" s="450">
        <v>0</v>
      </c>
      <c r="P146" s="450">
        <f t="shared" si="1"/>
        <v>0</v>
      </c>
      <c r="Q146" s="450">
        <v>0</v>
      </c>
      <c r="R146" s="450">
        <f t="shared" si="2"/>
        <v>0</v>
      </c>
      <c r="S146" s="450">
        <v>0</v>
      </c>
      <c r="T146" s="451">
        <f t="shared" si="3"/>
        <v>0</v>
      </c>
      <c r="U146" s="407"/>
      <c r="V146" s="407"/>
      <c r="W146" s="452"/>
      <c r="X146" s="285" t="s">
        <v>313</v>
      </c>
      <c r="Y146" s="285" t="s">
        <v>231</v>
      </c>
      <c r="Z146" s="286" t="s">
        <v>3861</v>
      </c>
      <c r="AA146" s="240" t="s">
        <v>3862</v>
      </c>
      <c r="AB146" s="287" t="s">
        <v>1194</v>
      </c>
      <c r="AC146" s="288">
        <f>6</f>
        <v>6</v>
      </c>
      <c r="AD146" s="289">
        <v>3.45</v>
      </c>
      <c r="AE146" s="200">
        <f t="shared" si="4"/>
        <v>20.7</v>
      </c>
      <c r="AF146" s="248"/>
      <c r="AR146" s="129" t="s">
        <v>347</v>
      </c>
      <c r="AT146" s="129" t="s">
        <v>231</v>
      </c>
      <c r="AU146" s="129" t="s">
        <v>63</v>
      </c>
      <c r="AY146" s="13" t="s">
        <v>228</v>
      </c>
      <c r="BE146" s="130">
        <f t="shared" si="5"/>
        <v>0</v>
      </c>
      <c r="BF146" s="130">
        <f t="shared" si="6"/>
        <v>20.7</v>
      </c>
      <c r="BG146" s="130">
        <f t="shared" si="7"/>
        <v>0</v>
      </c>
      <c r="BH146" s="130">
        <f t="shared" si="8"/>
        <v>0</v>
      </c>
      <c r="BI146" s="130">
        <f t="shared" si="9"/>
        <v>0</v>
      </c>
      <c r="BJ146" s="13" t="s">
        <v>76</v>
      </c>
      <c r="BK146" s="130">
        <f t="shared" si="10"/>
        <v>20.7</v>
      </c>
      <c r="BL146" s="13" t="s">
        <v>347</v>
      </c>
      <c r="BM146" s="129" t="s">
        <v>316</v>
      </c>
    </row>
    <row r="147" spans="2:65" s="1" customFormat="1" ht="24" customHeight="1" x14ac:dyDescent="0.2">
      <c r="B147" s="118"/>
      <c r="C147" s="444" t="s">
        <v>272</v>
      </c>
      <c r="D147" s="444" t="s">
        <v>277</v>
      </c>
      <c r="E147" s="453" t="s">
        <v>3863</v>
      </c>
      <c r="F147" s="454" t="s">
        <v>3864</v>
      </c>
      <c r="G147" s="455" t="s">
        <v>1194</v>
      </c>
      <c r="H147" s="443">
        <v>6</v>
      </c>
      <c r="I147" s="456">
        <v>1.36</v>
      </c>
      <c r="J147" s="456">
        <f t="shared" si="0"/>
        <v>8.16</v>
      </c>
      <c r="K147" s="454" t="s">
        <v>1</v>
      </c>
      <c r="L147" s="457"/>
      <c r="M147" s="458" t="s">
        <v>1</v>
      </c>
      <c r="N147" s="459" t="s">
        <v>32</v>
      </c>
      <c r="O147" s="450">
        <v>0</v>
      </c>
      <c r="P147" s="450">
        <f t="shared" si="1"/>
        <v>0</v>
      </c>
      <c r="Q147" s="450">
        <v>0</v>
      </c>
      <c r="R147" s="450">
        <f t="shared" si="2"/>
        <v>0</v>
      </c>
      <c r="S147" s="450">
        <v>0</v>
      </c>
      <c r="T147" s="451">
        <f t="shared" si="3"/>
        <v>0</v>
      </c>
      <c r="U147" s="407"/>
      <c r="V147" s="407"/>
      <c r="W147" s="452"/>
      <c r="X147" s="444" t="s">
        <v>272</v>
      </c>
      <c r="Y147" s="444" t="s">
        <v>277</v>
      </c>
      <c r="Z147" s="453" t="s">
        <v>3863</v>
      </c>
      <c r="AA147" s="454" t="s">
        <v>3864</v>
      </c>
      <c r="AB147" s="455" t="s">
        <v>1194</v>
      </c>
      <c r="AC147" s="443">
        <f>6</f>
        <v>6</v>
      </c>
      <c r="AD147" s="456">
        <v>1.36</v>
      </c>
      <c r="AE147" s="229">
        <f t="shared" si="4"/>
        <v>8.16</v>
      </c>
      <c r="AF147" s="248"/>
      <c r="AR147" s="129" t="s">
        <v>705</v>
      </c>
      <c r="AT147" s="129" t="s">
        <v>277</v>
      </c>
      <c r="AU147" s="129" t="s">
        <v>63</v>
      </c>
      <c r="AY147" s="13" t="s">
        <v>228</v>
      </c>
      <c r="BE147" s="130">
        <f t="shared" si="5"/>
        <v>0</v>
      </c>
      <c r="BF147" s="130">
        <f t="shared" si="6"/>
        <v>8.16</v>
      </c>
      <c r="BG147" s="130">
        <f t="shared" si="7"/>
        <v>0</v>
      </c>
      <c r="BH147" s="130">
        <f t="shared" si="8"/>
        <v>0</v>
      </c>
      <c r="BI147" s="130">
        <f t="shared" si="9"/>
        <v>0</v>
      </c>
      <c r="BJ147" s="13" t="s">
        <v>76</v>
      </c>
      <c r="BK147" s="130">
        <f t="shared" si="10"/>
        <v>8.16</v>
      </c>
      <c r="BL147" s="13" t="s">
        <v>347</v>
      </c>
      <c r="BM147" s="129" t="s">
        <v>319</v>
      </c>
    </row>
    <row r="148" spans="2:65" s="1" customFormat="1" ht="16.5" customHeight="1" x14ac:dyDescent="0.2">
      <c r="B148" s="118"/>
      <c r="C148" s="119" t="s">
        <v>320</v>
      </c>
      <c r="D148" s="119" t="s">
        <v>231</v>
      </c>
      <c r="E148" s="120" t="s">
        <v>3869</v>
      </c>
      <c r="F148" s="121" t="s">
        <v>3870</v>
      </c>
      <c r="G148" s="122" t="s">
        <v>1194</v>
      </c>
      <c r="H148" s="123">
        <v>12</v>
      </c>
      <c r="I148" s="124">
        <v>3.45</v>
      </c>
      <c r="J148" s="124">
        <f t="shared" si="0"/>
        <v>41.4</v>
      </c>
      <c r="K148" s="121" t="s">
        <v>1</v>
      </c>
      <c r="L148" s="24"/>
      <c r="M148" s="125" t="s">
        <v>1</v>
      </c>
      <c r="N148" s="126" t="s">
        <v>32</v>
      </c>
      <c r="O148" s="127">
        <v>0</v>
      </c>
      <c r="P148" s="127">
        <f t="shared" si="1"/>
        <v>0</v>
      </c>
      <c r="Q148" s="127">
        <v>0</v>
      </c>
      <c r="R148" s="127">
        <f t="shared" si="2"/>
        <v>0</v>
      </c>
      <c r="S148" s="127">
        <v>0</v>
      </c>
      <c r="T148" s="128">
        <f t="shared" si="3"/>
        <v>0</v>
      </c>
      <c r="W148" s="199"/>
      <c r="X148" s="119" t="s">
        <v>320</v>
      </c>
      <c r="Y148" s="119" t="s">
        <v>231</v>
      </c>
      <c r="Z148" s="120" t="s">
        <v>3869</v>
      </c>
      <c r="AA148" s="121" t="s">
        <v>3870</v>
      </c>
      <c r="AB148" s="122" t="s">
        <v>1194</v>
      </c>
      <c r="AC148" s="123">
        <v>12</v>
      </c>
      <c r="AD148" s="124">
        <v>3.45</v>
      </c>
      <c r="AE148" s="200">
        <f t="shared" si="4"/>
        <v>41.4</v>
      </c>
      <c r="AF148" s="248"/>
      <c r="AR148" s="129" t="s">
        <v>347</v>
      </c>
      <c r="AT148" s="129" t="s">
        <v>231</v>
      </c>
      <c r="AU148" s="129" t="s">
        <v>63</v>
      </c>
      <c r="AY148" s="13" t="s">
        <v>228</v>
      </c>
      <c r="BE148" s="130">
        <f t="shared" si="5"/>
        <v>0</v>
      </c>
      <c r="BF148" s="130">
        <f t="shared" si="6"/>
        <v>41.4</v>
      </c>
      <c r="BG148" s="130">
        <f t="shared" si="7"/>
        <v>0</v>
      </c>
      <c r="BH148" s="130">
        <f t="shared" si="8"/>
        <v>0</v>
      </c>
      <c r="BI148" s="130">
        <f t="shared" si="9"/>
        <v>0</v>
      </c>
      <c r="BJ148" s="13" t="s">
        <v>76</v>
      </c>
      <c r="BK148" s="130">
        <f t="shared" si="10"/>
        <v>41.4</v>
      </c>
      <c r="BL148" s="13" t="s">
        <v>347</v>
      </c>
      <c r="BM148" s="129" t="s">
        <v>323</v>
      </c>
    </row>
    <row r="149" spans="2:65" s="1" customFormat="1" ht="24" customHeight="1" x14ac:dyDescent="0.2">
      <c r="B149" s="118"/>
      <c r="C149" s="131" t="s">
        <v>276</v>
      </c>
      <c r="D149" s="131" t="s">
        <v>277</v>
      </c>
      <c r="E149" s="132" t="s">
        <v>3871</v>
      </c>
      <c r="F149" s="133" t="s">
        <v>3872</v>
      </c>
      <c r="G149" s="134" t="s">
        <v>1194</v>
      </c>
      <c r="H149" s="135">
        <v>12</v>
      </c>
      <c r="I149" s="136">
        <v>0.55000000000000004</v>
      </c>
      <c r="J149" s="136">
        <f t="shared" si="0"/>
        <v>6.6</v>
      </c>
      <c r="K149" s="133" t="s">
        <v>1</v>
      </c>
      <c r="L149" s="137"/>
      <c r="M149" s="138" t="s">
        <v>1</v>
      </c>
      <c r="N149" s="139" t="s">
        <v>32</v>
      </c>
      <c r="O149" s="127">
        <v>0</v>
      </c>
      <c r="P149" s="127">
        <f t="shared" si="1"/>
        <v>0</v>
      </c>
      <c r="Q149" s="127">
        <v>0</v>
      </c>
      <c r="R149" s="127">
        <f t="shared" si="2"/>
        <v>0</v>
      </c>
      <c r="S149" s="127">
        <v>0</v>
      </c>
      <c r="T149" s="128">
        <f t="shared" si="3"/>
        <v>0</v>
      </c>
      <c r="W149" s="199"/>
      <c r="X149" s="131" t="s">
        <v>276</v>
      </c>
      <c r="Y149" s="131" t="s">
        <v>277</v>
      </c>
      <c r="Z149" s="132" t="s">
        <v>3871</v>
      </c>
      <c r="AA149" s="133" t="s">
        <v>3872</v>
      </c>
      <c r="AB149" s="134" t="s">
        <v>1194</v>
      </c>
      <c r="AC149" s="135">
        <v>12</v>
      </c>
      <c r="AD149" s="136">
        <v>0.55000000000000004</v>
      </c>
      <c r="AE149" s="229">
        <f t="shared" si="4"/>
        <v>6.6</v>
      </c>
      <c r="AF149" s="248"/>
      <c r="AR149" s="129" t="s">
        <v>705</v>
      </c>
      <c r="AT149" s="129" t="s">
        <v>277</v>
      </c>
      <c r="AU149" s="129" t="s">
        <v>63</v>
      </c>
      <c r="AY149" s="13" t="s">
        <v>228</v>
      </c>
      <c r="BE149" s="130">
        <f t="shared" si="5"/>
        <v>0</v>
      </c>
      <c r="BF149" s="130">
        <f t="shared" si="6"/>
        <v>6.6</v>
      </c>
      <c r="BG149" s="130">
        <f t="shared" si="7"/>
        <v>0</v>
      </c>
      <c r="BH149" s="130">
        <f t="shared" si="8"/>
        <v>0</v>
      </c>
      <c r="BI149" s="130">
        <f t="shared" si="9"/>
        <v>0</v>
      </c>
      <c r="BJ149" s="13" t="s">
        <v>76</v>
      </c>
      <c r="BK149" s="130">
        <f t="shared" si="10"/>
        <v>6.6</v>
      </c>
      <c r="BL149" s="13" t="s">
        <v>347</v>
      </c>
      <c r="BM149" s="129" t="s">
        <v>326</v>
      </c>
    </row>
    <row r="150" spans="2:65" s="1" customFormat="1" ht="16.5" customHeight="1" x14ac:dyDescent="0.2">
      <c r="B150" s="118"/>
      <c r="C150" s="205" t="s">
        <v>327</v>
      </c>
      <c r="D150" s="119" t="s">
        <v>231</v>
      </c>
      <c r="E150" s="120" t="s">
        <v>3873</v>
      </c>
      <c r="F150" s="121" t="s">
        <v>3874</v>
      </c>
      <c r="G150" s="122" t="s">
        <v>1194</v>
      </c>
      <c r="H150" s="206">
        <v>6</v>
      </c>
      <c r="I150" s="124">
        <v>3.61</v>
      </c>
      <c r="J150" s="124">
        <f t="shared" si="0"/>
        <v>21.66</v>
      </c>
      <c r="K150" s="121" t="s">
        <v>1</v>
      </c>
      <c r="L150" s="24"/>
      <c r="M150" s="125" t="s">
        <v>1</v>
      </c>
      <c r="N150" s="126" t="s">
        <v>32</v>
      </c>
      <c r="O150" s="127">
        <v>0</v>
      </c>
      <c r="P150" s="127">
        <f t="shared" si="1"/>
        <v>0</v>
      </c>
      <c r="Q150" s="127">
        <v>0</v>
      </c>
      <c r="R150" s="127">
        <f t="shared" si="2"/>
        <v>0</v>
      </c>
      <c r="S150" s="127">
        <v>0</v>
      </c>
      <c r="T150" s="128">
        <f t="shared" si="3"/>
        <v>0</v>
      </c>
      <c r="W150" s="199"/>
      <c r="X150" s="205" t="s">
        <v>327</v>
      </c>
      <c r="Y150" s="119" t="s">
        <v>231</v>
      </c>
      <c r="Z150" s="120" t="s">
        <v>3873</v>
      </c>
      <c r="AA150" s="121" t="s">
        <v>3874</v>
      </c>
      <c r="AB150" s="122" t="s">
        <v>1194</v>
      </c>
      <c r="AC150" s="206">
        <f>9</f>
        <v>9</v>
      </c>
      <c r="AD150" s="124">
        <v>3.61</v>
      </c>
      <c r="AE150" s="200">
        <f t="shared" si="4"/>
        <v>32.49</v>
      </c>
      <c r="AF150" s="248">
        <v>2</v>
      </c>
      <c r="AR150" s="129" t="s">
        <v>347</v>
      </c>
      <c r="AT150" s="129" t="s">
        <v>231</v>
      </c>
      <c r="AU150" s="129" t="s">
        <v>63</v>
      </c>
      <c r="AY150" s="13" t="s">
        <v>228</v>
      </c>
      <c r="BE150" s="130">
        <f t="shared" si="5"/>
        <v>0</v>
      </c>
      <c r="BF150" s="130">
        <f t="shared" si="6"/>
        <v>21.66</v>
      </c>
      <c r="BG150" s="130">
        <f t="shared" si="7"/>
        <v>0</v>
      </c>
      <c r="BH150" s="130">
        <f t="shared" si="8"/>
        <v>0</v>
      </c>
      <c r="BI150" s="130">
        <f t="shared" si="9"/>
        <v>0</v>
      </c>
      <c r="BJ150" s="13" t="s">
        <v>76</v>
      </c>
      <c r="BK150" s="130">
        <f t="shared" si="10"/>
        <v>21.66</v>
      </c>
      <c r="BL150" s="13" t="s">
        <v>347</v>
      </c>
      <c r="BM150" s="129" t="s">
        <v>330</v>
      </c>
    </row>
    <row r="151" spans="2:65" s="1" customFormat="1" ht="24" customHeight="1" x14ac:dyDescent="0.2">
      <c r="B151" s="118"/>
      <c r="C151" s="242" t="s">
        <v>280</v>
      </c>
      <c r="D151" s="131" t="s">
        <v>277</v>
      </c>
      <c r="E151" s="132" t="s">
        <v>3875</v>
      </c>
      <c r="F151" s="133" t="s">
        <v>3876</v>
      </c>
      <c r="G151" s="134" t="s">
        <v>1194</v>
      </c>
      <c r="H151" s="241">
        <v>6</v>
      </c>
      <c r="I151" s="136">
        <v>1.1399999999999999</v>
      </c>
      <c r="J151" s="136">
        <f t="shared" si="0"/>
        <v>6.84</v>
      </c>
      <c r="K151" s="133" t="s">
        <v>1</v>
      </c>
      <c r="L151" s="137"/>
      <c r="M151" s="138" t="s">
        <v>1</v>
      </c>
      <c r="N151" s="139" t="s">
        <v>32</v>
      </c>
      <c r="O151" s="127">
        <v>0</v>
      </c>
      <c r="P151" s="127">
        <f t="shared" si="1"/>
        <v>0</v>
      </c>
      <c r="Q151" s="127">
        <v>0</v>
      </c>
      <c r="R151" s="127">
        <f t="shared" si="2"/>
        <v>0</v>
      </c>
      <c r="S151" s="127">
        <v>0</v>
      </c>
      <c r="T151" s="128">
        <f t="shared" si="3"/>
        <v>0</v>
      </c>
      <c r="W151" s="199"/>
      <c r="X151" s="242" t="s">
        <v>280</v>
      </c>
      <c r="Y151" s="131" t="s">
        <v>277</v>
      </c>
      <c r="Z151" s="132" t="s">
        <v>3875</v>
      </c>
      <c r="AA151" s="133" t="s">
        <v>3876</v>
      </c>
      <c r="AB151" s="134" t="s">
        <v>1194</v>
      </c>
      <c r="AC151" s="241">
        <f>9</f>
        <v>9</v>
      </c>
      <c r="AD151" s="136">
        <v>1.1399999999999999</v>
      </c>
      <c r="AE151" s="229">
        <f t="shared" si="4"/>
        <v>10.26</v>
      </c>
      <c r="AF151" s="248">
        <v>2</v>
      </c>
      <c r="AR151" s="129" t="s">
        <v>705</v>
      </c>
      <c r="AT151" s="129" t="s">
        <v>277</v>
      </c>
      <c r="AU151" s="129" t="s">
        <v>63</v>
      </c>
      <c r="AY151" s="13" t="s">
        <v>228</v>
      </c>
      <c r="BE151" s="130">
        <f t="shared" si="5"/>
        <v>0</v>
      </c>
      <c r="BF151" s="130">
        <f t="shared" si="6"/>
        <v>6.84</v>
      </c>
      <c r="BG151" s="130">
        <f t="shared" si="7"/>
        <v>0</v>
      </c>
      <c r="BH151" s="130">
        <f t="shared" si="8"/>
        <v>0</v>
      </c>
      <c r="BI151" s="130">
        <f t="shared" si="9"/>
        <v>0</v>
      </c>
      <c r="BJ151" s="13" t="s">
        <v>76</v>
      </c>
      <c r="BK151" s="130">
        <f t="shared" si="10"/>
        <v>6.84</v>
      </c>
      <c r="BL151" s="13" t="s">
        <v>347</v>
      </c>
      <c r="BM151" s="129" t="s">
        <v>333</v>
      </c>
    </row>
    <row r="152" spans="2:65" s="1" customFormat="1" ht="16.5" customHeight="1" x14ac:dyDescent="0.2">
      <c r="B152" s="118"/>
      <c r="C152" s="205" t="s">
        <v>334</v>
      </c>
      <c r="D152" s="119" t="s">
        <v>231</v>
      </c>
      <c r="E152" s="120" t="s">
        <v>3877</v>
      </c>
      <c r="F152" s="121" t="s">
        <v>3878</v>
      </c>
      <c r="G152" s="122" t="s">
        <v>1194</v>
      </c>
      <c r="H152" s="206">
        <v>9</v>
      </c>
      <c r="I152" s="124">
        <v>3.45</v>
      </c>
      <c r="J152" s="124">
        <f t="shared" si="0"/>
        <v>31.05</v>
      </c>
      <c r="K152" s="121" t="s">
        <v>1</v>
      </c>
      <c r="L152" s="24"/>
      <c r="M152" s="125" t="s">
        <v>1</v>
      </c>
      <c r="N152" s="126" t="s">
        <v>32</v>
      </c>
      <c r="O152" s="127">
        <v>0</v>
      </c>
      <c r="P152" s="127">
        <f t="shared" si="1"/>
        <v>0</v>
      </c>
      <c r="Q152" s="127">
        <v>0</v>
      </c>
      <c r="R152" s="127">
        <f t="shared" si="2"/>
        <v>0</v>
      </c>
      <c r="S152" s="127">
        <v>0</v>
      </c>
      <c r="T152" s="128">
        <f t="shared" si="3"/>
        <v>0</v>
      </c>
      <c r="W152" s="199"/>
      <c r="X152" s="205" t="s">
        <v>334</v>
      </c>
      <c r="Y152" s="119" t="s">
        <v>231</v>
      </c>
      <c r="Z152" s="120" t="s">
        <v>3877</v>
      </c>
      <c r="AA152" s="121" t="s">
        <v>3878</v>
      </c>
      <c r="AB152" s="122" t="s">
        <v>1194</v>
      </c>
      <c r="AC152" s="206">
        <f>9+1</f>
        <v>10</v>
      </c>
      <c r="AD152" s="124">
        <v>3.45</v>
      </c>
      <c r="AE152" s="200">
        <f t="shared" si="4"/>
        <v>34.5</v>
      </c>
      <c r="AF152" s="248">
        <v>2</v>
      </c>
      <c r="AR152" s="129" t="s">
        <v>347</v>
      </c>
      <c r="AT152" s="129" t="s">
        <v>231</v>
      </c>
      <c r="AU152" s="129" t="s">
        <v>63</v>
      </c>
      <c r="AY152" s="13" t="s">
        <v>228</v>
      </c>
      <c r="BE152" s="130">
        <f t="shared" si="5"/>
        <v>0</v>
      </c>
      <c r="BF152" s="130">
        <f t="shared" si="6"/>
        <v>31.05</v>
      </c>
      <c r="BG152" s="130">
        <f t="shared" si="7"/>
        <v>0</v>
      </c>
      <c r="BH152" s="130">
        <f t="shared" si="8"/>
        <v>0</v>
      </c>
      <c r="BI152" s="130">
        <f t="shared" si="9"/>
        <v>0</v>
      </c>
      <c r="BJ152" s="13" t="s">
        <v>76</v>
      </c>
      <c r="BK152" s="130">
        <f t="shared" si="10"/>
        <v>31.05</v>
      </c>
      <c r="BL152" s="13" t="s">
        <v>347</v>
      </c>
      <c r="BM152" s="129" t="s">
        <v>337</v>
      </c>
    </row>
    <row r="153" spans="2:65" s="1" customFormat="1" ht="24" customHeight="1" x14ac:dyDescent="0.2">
      <c r="B153" s="118"/>
      <c r="C153" s="242" t="s">
        <v>285</v>
      </c>
      <c r="D153" s="131" t="s">
        <v>277</v>
      </c>
      <c r="E153" s="132" t="s">
        <v>3879</v>
      </c>
      <c r="F153" s="133" t="s">
        <v>3880</v>
      </c>
      <c r="G153" s="134" t="s">
        <v>1194</v>
      </c>
      <c r="H153" s="241">
        <v>9</v>
      </c>
      <c r="I153" s="136">
        <v>1.35</v>
      </c>
      <c r="J153" s="136">
        <f t="shared" si="0"/>
        <v>12.15</v>
      </c>
      <c r="K153" s="133" t="s">
        <v>1</v>
      </c>
      <c r="L153" s="137"/>
      <c r="M153" s="138" t="s">
        <v>1</v>
      </c>
      <c r="N153" s="139" t="s">
        <v>32</v>
      </c>
      <c r="O153" s="127">
        <v>0</v>
      </c>
      <c r="P153" s="127">
        <f t="shared" si="1"/>
        <v>0</v>
      </c>
      <c r="Q153" s="127">
        <v>0</v>
      </c>
      <c r="R153" s="127">
        <f t="shared" si="2"/>
        <v>0</v>
      </c>
      <c r="S153" s="127">
        <v>0</v>
      </c>
      <c r="T153" s="128">
        <f t="shared" si="3"/>
        <v>0</v>
      </c>
      <c r="W153" s="199"/>
      <c r="X153" s="242" t="s">
        <v>285</v>
      </c>
      <c r="Y153" s="131" t="s">
        <v>277</v>
      </c>
      <c r="Z153" s="132" t="s">
        <v>3879</v>
      </c>
      <c r="AA153" s="133" t="s">
        <v>3880</v>
      </c>
      <c r="AB153" s="134" t="s">
        <v>1194</v>
      </c>
      <c r="AC153" s="241">
        <f>9+1</f>
        <v>10</v>
      </c>
      <c r="AD153" s="136">
        <v>1.35</v>
      </c>
      <c r="AE153" s="229">
        <f t="shared" si="4"/>
        <v>13.5</v>
      </c>
      <c r="AF153" s="248">
        <v>2</v>
      </c>
      <c r="AR153" s="129" t="s">
        <v>705</v>
      </c>
      <c r="AT153" s="129" t="s">
        <v>277</v>
      </c>
      <c r="AU153" s="129" t="s">
        <v>63</v>
      </c>
      <c r="AY153" s="13" t="s">
        <v>228</v>
      </c>
      <c r="BE153" s="130">
        <f t="shared" si="5"/>
        <v>0</v>
      </c>
      <c r="BF153" s="130">
        <f t="shared" si="6"/>
        <v>12.15</v>
      </c>
      <c r="BG153" s="130">
        <f t="shared" si="7"/>
        <v>0</v>
      </c>
      <c r="BH153" s="130">
        <f t="shared" si="8"/>
        <v>0</v>
      </c>
      <c r="BI153" s="130">
        <f t="shared" si="9"/>
        <v>0</v>
      </c>
      <c r="BJ153" s="13" t="s">
        <v>76</v>
      </c>
      <c r="BK153" s="130">
        <f t="shared" si="10"/>
        <v>12.15</v>
      </c>
      <c r="BL153" s="13" t="s">
        <v>347</v>
      </c>
      <c r="BM153" s="129" t="s">
        <v>340</v>
      </c>
    </row>
    <row r="154" spans="2:65" s="1" customFormat="1" ht="16.5" customHeight="1" x14ac:dyDescent="0.2">
      <c r="B154" s="118"/>
      <c r="C154" s="205" t="s">
        <v>341</v>
      </c>
      <c r="D154" s="119" t="s">
        <v>231</v>
      </c>
      <c r="E154" s="120" t="s">
        <v>3881</v>
      </c>
      <c r="F154" s="121" t="s">
        <v>3882</v>
      </c>
      <c r="G154" s="122" t="s">
        <v>1194</v>
      </c>
      <c r="H154" s="206">
        <v>18</v>
      </c>
      <c r="I154" s="124">
        <v>4.8099999999999996</v>
      </c>
      <c r="J154" s="124">
        <f t="shared" si="0"/>
        <v>86.58</v>
      </c>
      <c r="K154" s="121" t="s">
        <v>1</v>
      </c>
      <c r="L154" s="24"/>
      <c r="M154" s="125" t="s">
        <v>1</v>
      </c>
      <c r="N154" s="126" t="s">
        <v>32</v>
      </c>
      <c r="O154" s="127">
        <v>0</v>
      </c>
      <c r="P154" s="127">
        <f t="shared" si="1"/>
        <v>0</v>
      </c>
      <c r="Q154" s="127">
        <v>0</v>
      </c>
      <c r="R154" s="127">
        <f t="shared" si="2"/>
        <v>0</v>
      </c>
      <c r="S154" s="127">
        <v>0</v>
      </c>
      <c r="T154" s="128">
        <f t="shared" si="3"/>
        <v>0</v>
      </c>
      <c r="W154" s="199"/>
      <c r="X154" s="205" t="s">
        <v>341</v>
      </c>
      <c r="Y154" s="119" t="s">
        <v>231</v>
      </c>
      <c r="Z154" s="120" t="s">
        <v>3881</v>
      </c>
      <c r="AA154" s="121" t="s">
        <v>3882</v>
      </c>
      <c r="AB154" s="122" t="s">
        <v>1194</v>
      </c>
      <c r="AC154" s="206">
        <f>18+2</f>
        <v>20</v>
      </c>
      <c r="AD154" s="124">
        <v>4.8099999999999996</v>
      </c>
      <c r="AE154" s="200">
        <f t="shared" si="4"/>
        <v>96.2</v>
      </c>
      <c r="AF154" s="248">
        <v>2</v>
      </c>
      <c r="AR154" s="129" t="s">
        <v>347</v>
      </c>
      <c r="AT154" s="129" t="s">
        <v>231</v>
      </c>
      <c r="AU154" s="129" t="s">
        <v>63</v>
      </c>
      <c r="AY154" s="13" t="s">
        <v>228</v>
      </c>
      <c r="BE154" s="130">
        <f t="shared" si="5"/>
        <v>0</v>
      </c>
      <c r="BF154" s="130">
        <f t="shared" si="6"/>
        <v>86.58</v>
      </c>
      <c r="BG154" s="130">
        <f t="shared" si="7"/>
        <v>0</v>
      </c>
      <c r="BH154" s="130">
        <f t="shared" si="8"/>
        <v>0</v>
      </c>
      <c r="BI154" s="130">
        <f t="shared" si="9"/>
        <v>0</v>
      </c>
      <c r="BJ154" s="13" t="s">
        <v>76</v>
      </c>
      <c r="BK154" s="130">
        <f t="shared" si="10"/>
        <v>86.58</v>
      </c>
      <c r="BL154" s="13" t="s">
        <v>347</v>
      </c>
      <c r="BM154" s="129" t="s">
        <v>344</v>
      </c>
    </row>
    <row r="155" spans="2:65" s="1" customFormat="1" ht="24" customHeight="1" x14ac:dyDescent="0.2">
      <c r="B155" s="118"/>
      <c r="C155" s="242" t="s">
        <v>288</v>
      </c>
      <c r="D155" s="131" t="s">
        <v>277</v>
      </c>
      <c r="E155" s="132" t="s">
        <v>3883</v>
      </c>
      <c r="F155" s="133" t="s">
        <v>3884</v>
      </c>
      <c r="G155" s="134" t="s">
        <v>1194</v>
      </c>
      <c r="H155" s="241">
        <v>18</v>
      </c>
      <c r="I155" s="136">
        <v>0.87</v>
      </c>
      <c r="J155" s="136">
        <f t="shared" si="0"/>
        <v>15.66</v>
      </c>
      <c r="K155" s="133" t="s">
        <v>1</v>
      </c>
      <c r="L155" s="137"/>
      <c r="M155" s="138" t="s">
        <v>1</v>
      </c>
      <c r="N155" s="139" t="s">
        <v>32</v>
      </c>
      <c r="O155" s="127">
        <v>0</v>
      </c>
      <c r="P155" s="127">
        <f t="shared" si="1"/>
        <v>0</v>
      </c>
      <c r="Q155" s="127">
        <v>0</v>
      </c>
      <c r="R155" s="127">
        <f t="shared" si="2"/>
        <v>0</v>
      </c>
      <c r="S155" s="127">
        <v>0</v>
      </c>
      <c r="T155" s="128">
        <f t="shared" si="3"/>
        <v>0</v>
      </c>
      <c r="W155" s="199"/>
      <c r="X155" s="242" t="s">
        <v>288</v>
      </c>
      <c r="Y155" s="131" t="s">
        <v>277</v>
      </c>
      <c r="Z155" s="132" t="s">
        <v>3883</v>
      </c>
      <c r="AA155" s="133" t="s">
        <v>3884</v>
      </c>
      <c r="AB155" s="134" t="s">
        <v>1194</v>
      </c>
      <c r="AC155" s="241">
        <f>18+2</f>
        <v>20</v>
      </c>
      <c r="AD155" s="136">
        <v>0.87</v>
      </c>
      <c r="AE155" s="229">
        <f t="shared" si="4"/>
        <v>17.399999999999999</v>
      </c>
      <c r="AF155" s="248">
        <v>2</v>
      </c>
      <c r="AR155" s="129" t="s">
        <v>705</v>
      </c>
      <c r="AT155" s="129" t="s">
        <v>277</v>
      </c>
      <c r="AU155" s="129" t="s">
        <v>63</v>
      </c>
      <c r="AY155" s="13" t="s">
        <v>228</v>
      </c>
      <c r="BE155" s="130">
        <f t="shared" si="5"/>
        <v>0</v>
      </c>
      <c r="BF155" s="130">
        <f t="shared" si="6"/>
        <v>15.66</v>
      </c>
      <c r="BG155" s="130">
        <f t="shared" si="7"/>
        <v>0</v>
      </c>
      <c r="BH155" s="130">
        <f t="shared" si="8"/>
        <v>0</v>
      </c>
      <c r="BI155" s="130">
        <f t="shared" si="9"/>
        <v>0</v>
      </c>
      <c r="BJ155" s="13" t="s">
        <v>76</v>
      </c>
      <c r="BK155" s="130">
        <f t="shared" si="10"/>
        <v>15.66</v>
      </c>
      <c r="BL155" s="13" t="s">
        <v>347</v>
      </c>
      <c r="BM155" s="129" t="s">
        <v>347</v>
      </c>
    </row>
    <row r="156" spans="2:65" s="392" customFormat="1" ht="19.2" customHeight="1" x14ac:dyDescent="0.2">
      <c r="B156" s="118"/>
      <c r="C156" s="1234" t="s">
        <v>5205</v>
      </c>
      <c r="D156" s="1235"/>
      <c r="E156" s="1235"/>
      <c r="F156" s="1235"/>
      <c r="G156" s="1235"/>
      <c r="H156" s="1235"/>
      <c r="I156" s="1235"/>
      <c r="J156" s="1236"/>
      <c r="K156" s="133"/>
      <c r="L156" s="137"/>
      <c r="M156" s="138"/>
      <c r="N156" s="139"/>
      <c r="O156" s="127"/>
      <c r="P156" s="127"/>
      <c r="Q156" s="127"/>
      <c r="R156" s="127"/>
      <c r="S156" s="127"/>
      <c r="T156" s="128"/>
      <c r="W156" s="199"/>
      <c r="X156" s="207" t="s">
        <v>6468</v>
      </c>
      <c r="Y156" s="341" t="s">
        <v>231</v>
      </c>
      <c r="Z156" s="342" t="s">
        <v>3885</v>
      </c>
      <c r="AA156" s="343" t="s">
        <v>3886</v>
      </c>
      <c r="AB156" s="344" t="s">
        <v>1194</v>
      </c>
      <c r="AC156" s="345">
        <v>10</v>
      </c>
      <c r="AD156" s="346">
        <v>8.69</v>
      </c>
      <c r="AE156" s="355">
        <f>ROUND(AD156*AC156,2)</f>
        <v>86.9</v>
      </c>
      <c r="AF156" s="248">
        <v>2</v>
      </c>
      <c r="AR156" s="129"/>
      <c r="AT156" s="129"/>
      <c r="AU156" s="129"/>
      <c r="AY156" s="13"/>
      <c r="BE156" s="130"/>
      <c r="BF156" s="130"/>
      <c r="BG156" s="130"/>
      <c r="BH156" s="130"/>
      <c r="BI156" s="130"/>
      <c r="BJ156" s="13"/>
      <c r="BK156" s="130"/>
      <c r="BL156" s="13"/>
      <c r="BM156" s="129"/>
    </row>
    <row r="157" spans="2:65" s="392" customFormat="1" ht="19.2" customHeight="1" x14ac:dyDescent="0.2">
      <c r="B157" s="118"/>
      <c r="C157" s="1234" t="s">
        <v>5205</v>
      </c>
      <c r="D157" s="1235"/>
      <c r="E157" s="1235"/>
      <c r="F157" s="1235"/>
      <c r="G157" s="1235"/>
      <c r="H157" s="1235"/>
      <c r="I157" s="1235"/>
      <c r="J157" s="1236"/>
      <c r="K157" s="133"/>
      <c r="L157" s="137"/>
      <c r="M157" s="138"/>
      <c r="N157" s="139"/>
      <c r="O157" s="127"/>
      <c r="P157" s="127"/>
      <c r="Q157" s="127"/>
      <c r="R157" s="127"/>
      <c r="S157" s="127"/>
      <c r="T157" s="128"/>
      <c r="W157" s="199"/>
      <c r="X157" s="386" t="s">
        <v>6469</v>
      </c>
      <c r="Y157" s="348" t="s">
        <v>277</v>
      </c>
      <c r="Z157" s="349" t="s">
        <v>5959</v>
      </c>
      <c r="AA157" s="350" t="s">
        <v>5960</v>
      </c>
      <c r="AB157" s="351" t="s">
        <v>1194</v>
      </c>
      <c r="AC157" s="352">
        <v>10</v>
      </c>
      <c r="AD157" s="353">
        <v>4.3899999999999997</v>
      </c>
      <c r="AE157" s="356">
        <f>ROUND(AD157*AC157,2)</f>
        <v>43.9</v>
      </c>
      <c r="AF157" s="248">
        <v>2</v>
      </c>
      <c r="AR157" s="129"/>
      <c r="AT157" s="129"/>
      <c r="AU157" s="129"/>
      <c r="AY157" s="13"/>
      <c r="BE157" s="130"/>
      <c r="BF157" s="130"/>
      <c r="BG157" s="130"/>
      <c r="BH157" s="130"/>
      <c r="BI157" s="130"/>
      <c r="BJ157" s="13"/>
      <c r="BK157" s="130"/>
      <c r="BL157" s="13"/>
      <c r="BM157" s="129"/>
    </row>
    <row r="158" spans="2:65" s="1" customFormat="1" ht="16.5" customHeight="1" x14ac:dyDescent="0.2">
      <c r="B158" s="118"/>
      <c r="C158" s="205" t="s">
        <v>348</v>
      </c>
      <c r="D158" s="119" t="s">
        <v>231</v>
      </c>
      <c r="E158" s="120" t="s">
        <v>3889</v>
      </c>
      <c r="F158" s="121" t="s">
        <v>3890</v>
      </c>
      <c r="G158" s="122" t="s">
        <v>1194</v>
      </c>
      <c r="H158" s="206">
        <v>18</v>
      </c>
      <c r="I158" s="124">
        <v>6.01</v>
      </c>
      <c r="J158" s="124">
        <f t="shared" ref="J158:J197" si="11">ROUND(I158*H158,2)</f>
        <v>108.18</v>
      </c>
      <c r="K158" s="121" t="s">
        <v>1</v>
      </c>
      <c r="L158" s="24"/>
      <c r="M158" s="125" t="s">
        <v>1</v>
      </c>
      <c r="N158" s="126" t="s">
        <v>32</v>
      </c>
      <c r="O158" s="127">
        <v>0</v>
      </c>
      <c r="P158" s="127">
        <f t="shared" ref="P158:P197" si="12">O158*H158</f>
        <v>0</v>
      </c>
      <c r="Q158" s="127">
        <v>0</v>
      </c>
      <c r="R158" s="127">
        <f t="shared" ref="R158:R197" si="13">Q158*H158</f>
        <v>0</v>
      </c>
      <c r="S158" s="127">
        <v>0</v>
      </c>
      <c r="T158" s="128">
        <f t="shared" ref="T158:T197" si="14">S158*H158</f>
        <v>0</v>
      </c>
      <c r="W158" s="199"/>
      <c r="X158" s="205" t="s">
        <v>348</v>
      </c>
      <c r="Y158" s="119" t="s">
        <v>231</v>
      </c>
      <c r="Z158" s="120" t="s">
        <v>3889</v>
      </c>
      <c r="AA158" s="121" t="s">
        <v>3890</v>
      </c>
      <c r="AB158" s="122" t="s">
        <v>1194</v>
      </c>
      <c r="AC158" s="206">
        <f>18+2</f>
        <v>20</v>
      </c>
      <c r="AD158" s="124">
        <v>6.01</v>
      </c>
      <c r="AE158" s="200">
        <f t="shared" si="4"/>
        <v>120.2</v>
      </c>
      <c r="AF158" s="248">
        <v>2</v>
      </c>
      <c r="AR158" s="129" t="s">
        <v>347</v>
      </c>
      <c r="AT158" s="129" t="s">
        <v>231</v>
      </c>
      <c r="AU158" s="129" t="s">
        <v>63</v>
      </c>
      <c r="AY158" s="13" t="s">
        <v>228</v>
      </c>
      <c r="BE158" s="130">
        <f t="shared" ref="BE158:BE197" si="15">IF(N158="základná",J158,0)</f>
        <v>0</v>
      </c>
      <c r="BF158" s="130">
        <f t="shared" ref="BF158:BF197" si="16">IF(N158="znížená",J158,0)</f>
        <v>108.18</v>
      </c>
      <c r="BG158" s="130">
        <f t="shared" ref="BG158:BG197" si="17">IF(N158="zákl. prenesená",J158,0)</f>
        <v>0</v>
      </c>
      <c r="BH158" s="130">
        <f t="shared" ref="BH158:BH197" si="18">IF(N158="zníž. prenesená",J158,0)</f>
        <v>0</v>
      </c>
      <c r="BI158" s="130">
        <f t="shared" ref="BI158:BI197" si="19">IF(N158="nulová",J158,0)</f>
        <v>0</v>
      </c>
      <c r="BJ158" s="13" t="s">
        <v>76</v>
      </c>
      <c r="BK158" s="130">
        <f t="shared" ref="BK158:BK197" si="20">ROUND(I158*H158,2)</f>
        <v>108.18</v>
      </c>
      <c r="BL158" s="13" t="s">
        <v>347</v>
      </c>
      <c r="BM158" s="129" t="s">
        <v>351</v>
      </c>
    </row>
    <row r="159" spans="2:65" s="1" customFormat="1" ht="24" customHeight="1" x14ac:dyDescent="0.2">
      <c r="B159" s="118"/>
      <c r="C159" s="242" t="s">
        <v>293</v>
      </c>
      <c r="D159" s="131" t="s">
        <v>277</v>
      </c>
      <c r="E159" s="132" t="s">
        <v>3891</v>
      </c>
      <c r="F159" s="133" t="s">
        <v>3892</v>
      </c>
      <c r="G159" s="134" t="s">
        <v>1194</v>
      </c>
      <c r="H159" s="241">
        <v>18</v>
      </c>
      <c r="I159" s="136">
        <v>0.82</v>
      </c>
      <c r="J159" s="136">
        <f t="shared" si="11"/>
        <v>14.76</v>
      </c>
      <c r="K159" s="133" t="s">
        <v>1</v>
      </c>
      <c r="L159" s="137"/>
      <c r="M159" s="138" t="s">
        <v>1</v>
      </c>
      <c r="N159" s="139" t="s">
        <v>32</v>
      </c>
      <c r="O159" s="127">
        <v>0</v>
      </c>
      <c r="P159" s="127">
        <f t="shared" si="12"/>
        <v>0</v>
      </c>
      <c r="Q159" s="127">
        <v>0</v>
      </c>
      <c r="R159" s="127">
        <f t="shared" si="13"/>
        <v>0</v>
      </c>
      <c r="S159" s="127">
        <v>0</v>
      </c>
      <c r="T159" s="128">
        <f t="shared" si="14"/>
        <v>0</v>
      </c>
      <c r="W159" s="199"/>
      <c r="X159" s="242" t="s">
        <v>293</v>
      </c>
      <c r="Y159" s="131" t="s">
        <v>277</v>
      </c>
      <c r="Z159" s="132" t="s">
        <v>3891</v>
      </c>
      <c r="AA159" s="133" t="s">
        <v>3892</v>
      </c>
      <c r="AB159" s="134" t="s">
        <v>1194</v>
      </c>
      <c r="AC159" s="241">
        <f>18+2</f>
        <v>20</v>
      </c>
      <c r="AD159" s="136">
        <v>0.82</v>
      </c>
      <c r="AE159" s="229">
        <f t="shared" si="4"/>
        <v>16.399999999999999</v>
      </c>
      <c r="AF159" s="248">
        <v>2</v>
      </c>
      <c r="AR159" s="129" t="s">
        <v>705</v>
      </c>
      <c r="AT159" s="129" t="s">
        <v>277</v>
      </c>
      <c r="AU159" s="129" t="s">
        <v>63</v>
      </c>
      <c r="AY159" s="13" t="s">
        <v>228</v>
      </c>
      <c r="BE159" s="130">
        <f t="shared" si="15"/>
        <v>0</v>
      </c>
      <c r="BF159" s="130">
        <f t="shared" si="16"/>
        <v>14.76</v>
      </c>
      <c r="BG159" s="130">
        <f t="shared" si="17"/>
        <v>0</v>
      </c>
      <c r="BH159" s="130">
        <f t="shared" si="18"/>
        <v>0</v>
      </c>
      <c r="BI159" s="130">
        <f t="shared" si="19"/>
        <v>0</v>
      </c>
      <c r="BJ159" s="13" t="s">
        <v>76</v>
      </c>
      <c r="BK159" s="130">
        <f t="shared" si="20"/>
        <v>14.76</v>
      </c>
      <c r="BL159" s="13" t="s">
        <v>347</v>
      </c>
      <c r="BM159" s="129" t="s">
        <v>354</v>
      </c>
    </row>
    <row r="160" spans="2:65" s="1" customFormat="1" ht="16.5" customHeight="1" x14ac:dyDescent="0.2">
      <c r="B160" s="118"/>
      <c r="C160" s="205" t="s">
        <v>355</v>
      </c>
      <c r="D160" s="119" t="s">
        <v>231</v>
      </c>
      <c r="E160" s="120" t="s">
        <v>3893</v>
      </c>
      <c r="F160" s="121" t="s">
        <v>3894</v>
      </c>
      <c r="G160" s="122" t="s">
        <v>1194</v>
      </c>
      <c r="H160" s="206">
        <v>9</v>
      </c>
      <c r="I160" s="124">
        <v>9.2899999999999991</v>
      </c>
      <c r="J160" s="124">
        <f t="shared" si="11"/>
        <v>83.61</v>
      </c>
      <c r="K160" s="121" t="s">
        <v>1</v>
      </c>
      <c r="L160" s="24"/>
      <c r="M160" s="125" t="s">
        <v>1</v>
      </c>
      <c r="N160" s="126" t="s">
        <v>32</v>
      </c>
      <c r="O160" s="127">
        <v>0</v>
      </c>
      <c r="P160" s="127">
        <f t="shared" si="12"/>
        <v>0</v>
      </c>
      <c r="Q160" s="127">
        <v>0</v>
      </c>
      <c r="R160" s="127">
        <f t="shared" si="13"/>
        <v>0</v>
      </c>
      <c r="S160" s="127">
        <v>0</v>
      </c>
      <c r="T160" s="128">
        <f t="shared" si="14"/>
        <v>0</v>
      </c>
      <c r="W160" s="199"/>
      <c r="X160" s="205" t="s">
        <v>355</v>
      </c>
      <c r="Y160" s="119" t="s">
        <v>231</v>
      </c>
      <c r="Z160" s="120" t="s">
        <v>3893</v>
      </c>
      <c r="AA160" s="121" t="s">
        <v>3894</v>
      </c>
      <c r="AB160" s="122" t="s">
        <v>1194</v>
      </c>
      <c r="AC160" s="206">
        <f>9+1</f>
        <v>10</v>
      </c>
      <c r="AD160" s="124">
        <v>9.2899999999999991</v>
      </c>
      <c r="AE160" s="200">
        <f t="shared" si="4"/>
        <v>92.9</v>
      </c>
      <c r="AF160" s="248">
        <v>2</v>
      </c>
      <c r="AR160" s="129" t="s">
        <v>347</v>
      </c>
      <c r="AT160" s="129" t="s">
        <v>231</v>
      </c>
      <c r="AU160" s="129" t="s">
        <v>63</v>
      </c>
      <c r="AY160" s="13" t="s">
        <v>228</v>
      </c>
      <c r="BE160" s="130">
        <f t="shared" si="15"/>
        <v>0</v>
      </c>
      <c r="BF160" s="130">
        <f t="shared" si="16"/>
        <v>83.61</v>
      </c>
      <c r="BG160" s="130">
        <f t="shared" si="17"/>
        <v>0</v>
      </c>
      <c r="BH160" s="130">
        <f t="shared" si="18"/>
        <v>0</v>
      </c>
      <c r="BI160" s="130">
        <f t="shared" si="19"/>
        <v>0</v>
      </c>
      <c r="BJ160" s="13" t="s">
        <v>76</v>
      </c>
      <c r="BK160" s="130">
        <f t="shared" si="20"/>
        <v>83.61</v>
      </c>
      <c r="BL160" s="13" t="s">
        <v>347</v>
      </c>
      <c r="BM160" s="129" t="s">
        <v>358</v>
      </c>
    </row>
    <row r="161" spans="2:65" s="1" customFormat="1" ht="24" customHeight="1" x14ac:dyDescent="0.2">
      <c r="B161" s="118"/>
      <c r="C161" s="242" t="s">
        <v>296</v>
      </c>
      <c r="D161" s="131" t="s">
        <v>277</v>
      </c>
      <c r="E161" s="132" t="s">
        <v>3895</v>
      </c>
      <c r="F161" s="133" t="s">
        <v>3896</v>
      </c>
      <c r="G161" s="134" t="s">
        <v>1194</v>
      </c>
      <c r="H161" s="241">
        <v>9</v>
      </c>
      <c r="I161" s="136">
        <v>46.73</v>
      </c>
      <c r="J161" s="136">
        <f t="shared" si="11"/>
        <v>420.57</v>
      </c>
      <c r="K161" s="133" t="s">
        <v>1</v>
      </c>
      <c r="L161" s="137"/>
      <c r="M161" s="138" t="s">
        <v>1</v>
      </c>
      <c r="N161" s="139" t="s">
        <v>32</v>
      </c>
      <c r="O161" s="127">
        <v>0</v>
      </c>
      <c r="P161" s="127">
        <f t="shared" si="12"/>
        <v>0</v>
      </c>
      <c r="Q161" s="127">
        <v>0</v>
      </c>
      <c r="R161" s="127">
        <f t="shared" si="13"/>
        <v>0</v>
      </c>
      <c r="S161" s="127">
        <v>0</v>
      </c>
      <c r="T161" s="128">
        <f t="shared" si="14"/>
        <v>0</v>
      </c>
      <c r="W161" s="199"/>
      <c r="X161" s="242" t="s">
        <v>296</v>
      </c>
      <c r="Y161" s="131" t="s">
        <v>277</v>
      </c>
      <c r="Z161" s="132" t="s">
        <v>3895</v>
      </c>
      <c r="AA161" s="133" t="s">
        <v>3896</v>
      </c>
      <c r="AB161" s="134" t="s">
        <v>1194</v>
      </c>
      <c r="AC161" s="241">
        <f>9+1</f>
        <v>10</v>
      </c>
      <c r="AD161" s="136">
        <v>46.73</v>
      </c>
      <c r="AE161" s="229">
        <f t="shared" si="4"/>
        <v>467.3</v>
      </c>
      <c r="AF161" s="248">
        <v>2</v>
      </c>
      <c r="AR161" s="129" t="s">
        <v>705</v>
      </c>
      <c r="AT161" s="129" t="s">
        <v>277</v>
      </c>
      <c r="AU161" s="129" t="s">
        <v>63</v>
      </c>
      <c r="AY161" s="13" t="s">
        <v>228</v>
      </c>
      <c r="BE161" s="130">
        <f t="shared" si="15"/>
        <v>0</v>
      </c>
      <c r="BF161" s="130">
        <f t="shared" si="16"/>
        <v>420.57</v>
      </c>
      <c r="BG161" s="130">
        <f t="shared" si="17"/>
        <v>0</v>
      </c>
      <c r="BH161" s="130">
        <f t="shared" si="18"/>
        <v>0</v>
      </c>
      <c r="BI161" s="130">
        <f t="shared" si="19"/>
        <v>0</v>
      </c>
      <c r="BJ161" s="13" t="s">
        <v>76</v>
      </c>
      <c r="BK161" s="130">
        <f t="shared" si="20"/>
        <v>420.57</v>
      </c>
      <c r="BL161" s="13" t="s">
        <v>347</v>
      </c>
      <c r="BM161" s="129" t="s">
        <v>361</v>
      </c>
    </row>
    <row r="162" spans="2:65" s="1" customFormat="1" ht="16.5" customHeight="1" x14ac:dyDescent="0.2">
      <c r="B162" s="118"/>
      <c r="C162" s="285" t="s">
        <v>362</v>
      </c>
      <c r="D162" s="285" t="s">
        <v>231</v>
      </c>
      <c r="E162" s="286" t="s">
        <v>3897</v>
      </c>
      <c r="F162" s="240" t="s">
        <v>3898</v>
      </c>
      <c r="G162" s="287" t="s">
        <v>292</v>
      </c>
      <c r="H162" s="288">
        <v>300</v>
      </c>
      <c r="I162" s="289">
        <v>5.12</v>
      </c>
      <c r="J162" s="289">
        <f t="shared" si="11"/>
        <v>1536</v>
      </c>
      <c r="K162" s="240" t="s">
        <v>1</v>
      </c>
      <c r="L162" s="447"/>
      <c r="M162" s="448" t="s">
        <v>1</v>
      </c>
      <c r="N162" s="449" t="s">
        <v>32</v>
      </c>
      <c r="O162" s="450">
        <v>0</v>
      </c>
      <c r="P162" s="450">
        <f t="shared" si="12"/>
        <v>0</v>
      </c>
      <c r="Q162" s="450">
        <v>0</v>
      </c>
      <c r="R162" s="450">
        <f t="shared" si="13"/>
        <v>0</v>
      </c>
      <c r="S162" s="450">
        <v>0</v>
      </c>
      <c r="T162" s="451">
        <f t="shared" si="14"/>
        <v>0</v>
      </c>
      <c r="U162" s="407"/>
      <c r="V162" s="407"/>
      <c r="W162" s="452"/>
      <c r="X162" s="285" t="s">
        <v>362</v>
      </c>
      <c r="Y162" s="285" t="s">
        <v>231</v>
      </c>
      <c r="Z162" s="286" t="s">
        <v>3897</v>
      </c>
      <c r="AA162" s="240" t="s">
        <v>3898</v>
      </c>
      <c r="AB162" s="287" t="s">
        <v>292</v>
      </c>
      <c r="AC162" s="288">
        <f>300</f>
        <v>300</v>
      </c>
      <c r="AD162" s="289">
        <v>5.12</v>
      </c>
      <c r="AE162" s="200">
        <f t="shared" si="4"/>
        <v>1536</v>
      </c>
      <c r="AF162" s="248"/>
      <c r="AR162" s="129" t="s">
        <v>347</v>
      </c>
      <c r="AT162" s="129" t="s">
        <v>231</v>
      </c>
      <c r="AU162" s="129" t="s">
        <v>63</v>
      </c>
      <c r="AY162" s="13" t="s">
        <v>228</v>
      </c>
      <c r="BE162" s="130">
        <f t="shared" si="15"/>
        <v>0</v>
      </c>
      <c r="BF162" s="130">
        <f t="shared" si="16"/>
        <v>1536</v>
      </c>
      <c r="BG162" s="130">
        <f t="shared" si="17"/>
        <v>0</v>
      </c>
      <c r="BH162" s="130">
        <f t="shared" si="18"/>
        <v>0</v>
      </c>
      <c r="BI162" s="130">
        <f t="shared" si="19"/>
        <v>0</v>
      </c>
      <c r="BJ162" s="13" t="s">
        <v>76</v>
      </c>
      <c r="BK162" s="130">
        <f t="shared" si="20"/>
        <v>1536</v>
      </c>
      <c r="BL162" s="13" t="s">
        <v>347</v>
      </c>
      <c r="BM162" s="129" t="s">
        <v>365</v>
      </c>
    </row>
    <row r="163" spans="2:65" s="1" customFormat="1" ht="24.45" customHeight="1" x14ac:dyDescent="0.2">
      <c r="B163" s="118"/>
      <c r="C163" s="444" t="s">
        <v>300</v>
      </c>
      <c r="D163" s="444" t="s">
        <v>277</v>
      </c>
      <c r="E163" s="453" t="s">
        <v>3899</v>
      </c>
      <c r="F163" s="454" t="s">
        <v>3900</v>
      </c>
      <c r="G163" s="455" t="s">
        <v>1035</v>
      </c>
      <c r="H163" s="443">
        <v>41</v>
      </c>
      <c r="I163" s="456">
        <v>5.61</v>
      </c>
      <c r="J163" s="456">
        <f t="shared" si="11"/>
        <v>230.01</v>
      </c>
      <c r="K163" s="454" t="s">
        <v>1</v>
      </c>
      <c r="L163" s="457"/>
      <c r="M163" s="458" t="s">
        <v>1</v>
      </c>
      <c r="N163" s="459" t="s">
        <v>32</v>
      </c>
      <c r="O163" s="450">
        <v>0</v>
      </c>
      <c r="P163" s="450">
        <f t="shared" si="12"/>
        <v>0</v>
      </c>
      <c r="Q163" s="450">
        <v>0</v>
      </c>
      <c r="R163" s="450">
        <f t="shared" si="13"/>
        <v>0</v>
      </c>
      <c r="S163" s="450">
        <v>0</v>
      </c>
      <c r="T163" s="451">
        <f t="shared" si="14"/>
        <v>0</v>
      </c>
      <c r="U163" s="407"/>
      <c r="V163" s="407"/>
      <c r="W163" s="452"/>
      <c r="X163" s="444" t="s">
        <v>300</v>
      </c>
      <c r="Y163" s="444" t="s">
        <v>277</v>
      </c>
      <c r="Z163" s="453" t="s">
        <v>3899</v>
      </c>
      <c r="AA163" s="454" t="s">
        <v>3900</v>
      </c>
      <c r="AB163" s="455" t="s">
        <v>1035</v>
      </c>
      <c r="AC163" s="443">
        <f>41</f>
        <v>41</v>
      </c>
      <c r="AD163" s="456">
        <v>5.61</v>
      </c>
      <c r="AE163" s="229">
        <f t="shared" si="4"/>
        <v>230.01</v>
      </c>
      <c r="AF163" s="248"/>
      <c r="AR163" s="129" t="s">
        <v>705</v>
      </c>
      <c r="AT163" s="129" t="s">
        <v>277</v>
      </c>
      <c r="AU163" s="129" t="s">
        <v>63</v>
      </c>
      <c r="AY163" s="13" t="s">
        <v>228</v>
      </c>
      <c r="BE163" s="130">
        <f t="shared" si="15"/>
        <v>0</v>
      </c>
      <c r="BF163" s="130">
        <f t="shared" si="16"/>
        <v>230.01</v>
      </c>
      <c r="BG163" s="130">
        <f t="shared" si="17"/>
        <v>0</v>
      </c>
      <c r="BH163" s="130">
        <f t="shared" si="18"/>
        <v>0</v>
      </c>
      <c r="BI163" s="130">
        <f t="shared" si="19"/>
        <v>0</v>
      </c>
      <c r="BJ163" s="13" t="s">
        <v>76</v>
      </c>
      <c r="BK163" s="130">
        <f t="shared" si="20"/>
        <v>230.01</v>
      </c>
      <c r="BL163" s="13" t="s">
        <v>347</v>
      </c>
      <c r="BM163" s="129" t="s">
        <v>368</v>
      </c>
    </row>
    <row r="164" spans="2:65" s="392" customFormat="1" ht="22.8" x14ac:dyDescent="0.2">
      <c r="B164" s="118"/>
      <c r="C164" s="1234" t="s">
        <v>5205</v>
      </c>
      <c r="D164" s="1235"/>
      <c r="E164" s="1235"/>
      <c r="F164" s="1235"/>
      <c r="G164" s="1235"/>
      <c r="H164" s="1235"/>
      <c r="I164" s="1235"/>
      <c r="J164" s="1236"/>
      <c r="K164" s="133"/>
      <c r="L164" s="137"/>
      <c r="M164" s="138"/>
      <c r="N164" s="139"/>
      <c r="O164" s="127"/>
      <c r="P164" s="127"/>
      <c r="Q164" s="127"/>
      <c r="R164" s="127"/>
      <c r="S164" s="127"/>
      <c r="T164" s="128"/>
      <c r="W164" s="199"/>
      <c r="X164" s="341" t="s">
        <v>5389</v>
      </c>
      <c r="Y164" s="341" t="s">
        <v>231</v>
      </c>
      <c r="Z164" s="342" t="s">
        <v>5918</v>
      </c>
      <c r="AA164" s="343" t="s">
        <v>5919</v>
      </c>
      <c r="AB164" s="344" t="s">
        <v>292</v>
      </c>
      <c r="AC164" s="345">
        <v>650</v>
      </c>
      <c r="AD164" s="346">
        <v>0.57999999999999996</v>
      </c>
      <c r="AE164" s="355">
        <f>ROUND(AD164*AC164,2)</f>
        <v>377</v>
      </c>
      <c r="AF164" s="248">
        <v>2</v>
      </c>
      <c r="AR164" s="129"/>
      <c r="AT164" s="129"/>
      <c r="AU164" s="129"/>
      <c r="AY164" s="13"/>
      <c r="BE164" s="130"/>
      <c r="BF164" s="130"/>
      <c r="BG164" s="130"/>
      <c r="BH164" s="130"/>
      <c r="BI164" s="130"/>
      <c r="BJ164" s="13"/>
      <c r="BK164" s="130"/>
      <c r="BL164" s="13"/>
      <c r="BM164" s="129"/>
    </row>
    <row r="165" spans="2:65" s="392" customFormat="1" ht="28.2" customHeight="1" x14ac:dyDescent="0.2">
      <c r="B165" s="118"/>
      <c r="C165" s="1234" t="s">
        <v>5205</v>
      </c>
      <c r="D165" s="1235"/>
      <c r="E165" s="1235"/>
      <c r="F165" s="1235"/>
      <c r="G165" s="1235"/>
      <c r="H165" s="1235"/>
      <c r="I165" s="1235"/>
      <c r="J165" s="1236"/>
      <c r="K165" s="133"/>
      <c r="L165" s="137"/>
      <c r="M165" s="138"/>
      <c r="N165" s="139"/>
      <c r="O165" s="127"/>
      <c r="P165" s="127"/>
      <c r="Q165" s="127"/>
      <c r="R165" s="127"/>
      <c r="S165" s="127"/>
      <c r="T165" s="128"/>
      <c r="W165" s="199"/>
      <c r="X165" s="348" t="s">
        <v>5966</v>
      </c>
      <c r="Y165" s="348" t="s">
        <v>277</v>
      </c>
      <c r="Z165" s="349" t="s">
        <v>1636</v>
      </c>
      <c r="AA165" s="350" t="s">
        <v>5920</v>
      </c>
      <c r="AB165" s="351" t="s">
        <v>292</v>
      </c>
      <c r="AC165" s="352">
        <v>650</v>
      </c>
      <c r="AD165" s="353">
        <v>1.92</v>
      </c>
      <c r="AE165" s="356">
        <f>ROUND(AD165*AC165,2)</f>
        <v>1248</v>
      </c>
      <c r="AF165" s="248">
        <v>2</v>
      </c>
      <c r="AR165" s="129"/>
      <c r="AT165" s="129"/>
      <c r="AU165" s="129"/>
      <c r="AY165" s="13"/>
      <c r="BE165" s="130"/>
      <c r="BF165" s="130"/>
      <c r="BG165" s="130"/>
      <c r="BH165" s="130"/>
      <c r="BI165" s="130"/>
      <c r="BJ165" s="13"/>
      <c r="BK165" s="130"/>
      <c r="BL165" s="13"/>
      <c r="BM165" s="129"/>
    </row>
    <row r="166" spans="2:65" s="1" customFormat="1" ht="24" customHeight="1" x14ac:dyDescent="0.2">
      <c r="B166" s="118"/>
      <c r="C166" s="119" t="s">
        <v>369</v>
      </c>
      <c r="D166" s="119" t="s">
        <v>231</v>
      </c>
      <c r="E166" s="120" t="s">
        <v>4566</v>
      </c>
      <c r="F166" s="121" t="s">
        <v>4567</v>
      </c>
      <c r="G166" s="122" t="s">
        <v>292</v>
      </c>
      <c r="H166" s="123">
        <v>120</v>
      </c>
      <c r="I166" s="124">
        <v>1.24</v>
      </c>
      <c r="J166" s="124">
        <f t="shared" si="11"/>
        <v>148.80000000000001</v>
      </c>
      <c r="K166" s="121" t="s">
        <v>1</v>
      </c>
      <c r="L166" s="24"/>
      <c r="M166" s="125" t="s">
        <v>1</v>
      </c>
      <c r="N166" s="126" t="s">
        <v>32</v>
      </c>
      <c r="O166" s="127">
        <v>0</v>
      </c>
      <c r="P166" s="127">
        <f t="shared" si="12"/>
        <v>0</v>
      </c>
      <c r="Q166" s="127">
        <v>0</v>
      </c>
      <c r="R166" s="127">
        <f t="shared" si="13"/>
        <v>0</v>
      </c>
      <c r="S166" s="127">
        <v>0</v>
      </c>
      <c r="T166" s="128">
        <f t="shared" si="14"/>
        <v>0</v>
      </c>
      <c r="W166" s="199"/>
      <c r="X166" s="119" t="s">
        <v>369</v>
      </c>
      <c r="Y166" s="119" t="s">
        <v>231</v>
      </c>
      <c r="Z166" s="120" t="s">
        <v>4566</v>
      </c>
      <c r="AA166" s="121" t="s">
        <v>4567</v>
      </c>
      <c r="AB166" s="122" t="s">
        <v>292</v>
      </c>
      <c r="AC166" s="123">
        <v>120</v>
      </c>
      <c r="AD166" s="124">
        <v>1.24</v>
      </c>
      <c r="AE166" s="200">
        <f t="shared" si="4"/>
        <v>148.80000000000001</v>
      </c>
      <c r="AF166" s="248"/>
      <c r="AR166" s="129" t="s">
        <v>347</v>
      </c>
      <c r="AT166" s="129" t="s">
        <v>231</v>
      </c>
      <c r="AU166" s="129" t="s">
        <v>63</v>
      </c>
      <c r="AY166" s="13" t="s">
        <v>228</v>
      </c>
      <c r="BE166" s="130">
        <f t="shared" si="15"/>
        <v>0</v>
      </c>
      <c r="BF166" s="130">
        <f t="shared" si="16"/>
        <v>148.80000000000001</v>
      </c>
      <c r="BG166" s="130">
        <f t="shared" si="17"/>
        <v>0</v>
      </c>
      <c r="BH166" s="130">
        <f t="shared" si="18"/>
        <v>0</v>
      </c>
      <c r="BI166" s="130">
        <f t="shared" si="19"/>
        <v>0</v>
      </c>
      <c r="BJ166" s="13" t="s">
        <v>76</v>
      </c>
      <c r="BK166" s="130">
        <f t="shared" si="20"/>
        <v>148.80000000000001</v>
      </c>
      <c r="BL166" s="13" t="s">
        <v>347</v>
      </c>
      <c r="BM166" s="129" t="s">
        <v>372</v>
      </c>
    </row>
    <row r="167" spans="2:65" s="1" customFormat="1" ht="16.5" customHeight="1" x14ac:dyDescent="0.2">
      <c r="B167" s="118"/>
      <c r="C167" s="131" t="s">
        <v>303</v>
      </c>
      <c r="D167" s="131" t="s">
        <v>277</v>
      </c>
      <c r="E167" s="132" t="s">
        <v>4568</v>
      </c>
      <c r="F167" s="133" t="s">
        <v>4569</v>
      </c>
      <c r="G167" s="134" t="s">
        <v>292</v>
      </c>
      <c r="H167" s="135">
        <v>120</v>
      </c>
      <c r="I167" s="136">
        <v>11.22</v>
      </c>
      <c r="J167" s="136">
        <f t="shared" si="11"/>
        <v>1346.4</v>
      </c>
      <c r="K167" s="133" t="s">
        <v>1</v>
      </c>
      <c r="L167" s="137"/>
      <c r="M167" s="138" t="s">
        <v>1</v>
      </c>
      <c r="N167" s="139" t="s">
        <v>32</v>
      </c>
      <c r="O167" s="127">
        <v>0</v>
      </c>
      <c r="P167" s="127">
        <f t="shared" si="12"/>
        <v>0</v>
      </c>
      <c r="Q167" s="127">
        <v>0</v>
      </c>
      <c r="R167" s="127">
        <f t="shared" si="13"/>
        <v>0</v>
      </c>
      <c r="S167" s="127">
        <v>0</v>
      </c>
      <c r="T167" s="128">
        <f t="shared" si="14"/>
        <v>0</v>
      </c>
      <c r="W167" s="199"/>
      <c r="X167" s="131" t="s">
        <v>303</v>
      </c>
      <c r="Y167" s="131" t="s">
        <v>277</v>
      </c>
      <c r="Z167" s="132" t="s">
        <v>4568</v>
      </c>
      <c r="AA167" s="133" t="s">
        <v>4569</v>
      </c>
      <c r="AB167" s="134" t="s">
        <v>292</v>
      </c>
      <c r="AC167" s="135">
        <v>120</v>
      </c>
      <c r="AD167" s="136">
        <v>11.22</v>
      </c>
      <c r="AE167" s="229">
        <f t="shared" si="4"/>
        <v>1346.4</v>
      </c>
      <c r="AF167" s="248"/>
      <c r="AR167" s="129" t="s">
        <v>705</v>
      </c>
      <c r="AT167" s="129" t="s">
        <v>277</v>
      </c>
      <c r="AU167" s="129" t="s">
        <v>63</v>
      </c>
      <c r="AY167" s="13" t="s">
        <v>228</v>
      </c>
      <c r="BE167" s="130">
        <f t="shared" si="15"/>
        <v>0</v>
      </c>
      <c r="BF167" s="130">
        <f t="shared" si="16"/>
        <v>1346.4</v>
      </c>
      <c r="BG167" s="130">
        <f t="shared" si="17"/>
        <v>0</v>
      </c>
      <c r="BH167" s="130">
        <f t="shared" si="18"/>
        <v>0</v>
      </c>
      <c r="BI167" s="130">
        <f t="shared" si="19"/>
        <v>0</v>
      </c>
      <c r="BJ167" s="13" t="s">
        <v>76</v>
      </c>
      <c r="BK167" s="130">
        <f t="shared" si="20"/>
        <v>1346.4</v>
      </c>
      <c r="BL167" s="13" t="s">
        <v>347</v>
      </c>
      <c r="BM167" s="129" t="s">
        <v>375</v>
      </c>
    </row>
    <row r="168" spans="2:65" s="1" customFormat="1" ht="24" customHeight="1" x14ac:dyDescent="0.2">
      <c r="B168" s="118"/>
      <c r="C168" s="119" t="s">
        <v>376</v>
      </c>
      <c r="D168" s="119" t="s">
        <v>231</v>
      </c>
      <c r="E168" s="120" t="s">
        <v>1478</v>
      </c>
      <c r="F168" s="121" t="s">
        <v>1479</v>
      </c>
      <c r="G168" s="122" t="s">
        <v>292</v>
      </c>
      <c r="H168" s="123">
        <v>100</v>
      </c>
      <c r="I168" s="124">
        <v>1.74</v>
      </c>
      <c r="J168" s="124">
        <f t="shared" si="11"/>
        <v>174</v>
      </c>
      <c r="K168" s="121" t="s">
        <v>1</v>
      </c>
      <c r="L168" s="24"/>
      <c r="M168" s="125" t="s">
        <v>1</v>
      </c>
      <c r="N168" s="126" t="s">
        <v>32</v>
      </c>
      <c r="O168" s="127">
        <v>0</v>
      </c>
      <c r="P168" s="127">
        <f t="shared" si="12"/>
        <v>0</v>
      </c>
      <c r="Q168" s="127">
        <v>0</v>
      </c>
      <c r="R168" s="127">
        <f t="shared" si="13"/>
        <v>0</v>
      </c>
      <c r="S168" s="127">
        <v>0</v>
      </c>
      <c r="T168" s="128">
        <f t="shared" si="14"/>
        <v>0</v>
      </c>
      <c r="W168" s="199"/>
      <c r="X168" s="119" t="s">
        <v>376</v>
      </c>
      <c r="Y168" s="119" t="s">
        <v>231</v>
      </c>
      <c r="Z168" s="120" t="s">
        <v>1478</v>
      </c>
      <c r="AA168" s="121" t="s">
        <v>1479</v>
      </c>
      <c r="AB168" s="122" t="s">
        <v>292</v>
      </c>
      <c r="AC168" s="123">
        <v>100</v>
      </c>
      <c r="AD168" s="124">
        <v>1.74</v>
      </c>
      <c r="AE168" s="200">
        <f t="shared" si="4"/>
        <v>174</v>
      </c>
      <c r="AF168" s="248"/>
      <c r="AR168" s="129" t="s">
        <v>347</v>
      </c>
      <c r="AT168" s="129" t="s">
        <v>231</v>
      </c>
      <c r="AU168" s="129" t="s">
        <v>63</v>
      </c>
      <c r="AY168" s="13" t="s">
        <v>228</v>
      </c>
      <c r="BE168" s="130">
        <f t="shared" si="15"/>
        <v>0</v>
      </c>
      <c r="BF168" s="130">
        <f t="shared" si="16"/>
        <v>174</v>
      </c>
      <c r="BG168" s="130">
        <f t="shared" si="17"/>
        <v>0</v>
      </c>
      <c r="BH168" s="130">
        <f t="shared" si="18"/>
        <v>0</v>
      </c>
      <c r="BI168" s="130">
        <f t="shared" si="19"/>
        <v>0</v>
      </c>
      <c r="BJ168" s="13" t="s">
        <v>76</v>
      </c>
      <c r="BK168" s="130">
        <f t="shared" si="20"/>
        <v>174</v>
      </c>
      <c r="BL168" s="13" t="s">
        <v>347</v>
      </c>
      <c r="BM168" s="129" t="s">
        <v>379</v>
      </c>
    </row>
    <row r="169" spans="2:65" s="1" customFormat="1" ht="27" customHeight="1" x14ac:dyDescent="0.2">
      <c r="B169" s="118"/>
      <c r="C169" s="131" t="s">
        <v>308</v>
      </c>
      <c r="D169" s="131" t="s">
        <v>277</v>
      </c>
      <c r="E169" s="132" t="s">
        <v>1481</v>
      </c>
      <c r="F169" s="133" t="s">
        <v>1482</v>
      </c>
      <c r="G169" s="134" t="s">
        <v>292</v>
      </c>
      <c r="H169" s="135">
        <v>100</v>
      </c>
      <c r="I169" s="136">
        <v>11.95</v>
      </c>
      <c r="J169" s="136">
        <f t="shared" si="11"/>
        <v>1195</v>
      </c>
      <c r="K169" s="133" t="s">
        <v>1</v>
      </c>
      <c r="L169" s="137"/>
      <c r="M169" s="138" t="s">
        <v>1</v>
      </c>
      <c r="N169" s="139" t="s">
        <v>32</v>
      </c>
      <c r="O169" s="127">
        <v>0</v>
      </c>
      <c r="P169" s="127">
        <f t="shared" si="12"/>
        <v>0</v>
      </c>
      <c r="Q169" s="127">
        <v>9.1E-4</v>
      </c>
      <c r="R169" s="127">
        <f t="shared" si="13"/>
        <v>9.0999999999999998E-2</v>
      </c>
      <c r="S169" s="127">
        <v>0</v>
      </c>
      <c r="T169" s="128">
        <f t="shared" si="14"/>
        <v>0</v>
      </c>
      <c r="W169" s="199"/>
      <c r="X169" s="131" t="s">
        <v>308</v>
      </c>
      <c r="Y169" s="131" t="s">
        <v>277</v>
      </c>
      <c r="Z169" s="132" t="s">
        <v>1481</v>
      </c>
      <c r="AA169" s="133" t="s">
        <v>1482</v>
      </c>
      <c r="AB169" s="134" t="s">
        <v>292</v>
      </c>
      <c r="AC169" s="135">
        <v>100</v>
      </c>
      <c r="AD169" s="136">
        <v>11.95</v>
      </c>
      <c r="AE169" s="229">
        <f t="shared" si="4"/>
        <v>1195</v>
      </c>
      <c r="AF169" s="248"/>
      <c r="AR169" s="129" t="s">
        <v>705</v>
      </c>
      <c r="AT169" s="129" t="s">
        <v>277</v>
      </c>
      <c r="AU169" s="129" t="s">
        <v>63</v>
      </c>
      <c r="AY169" s="13" t="s">
        <v>228</v>
      </c>
      <c r="BE169" s="130">
        <f t="shared" si="15"/>
        <v>0</v>
      </c>
      <c r="BF169" s="130">
        <f t="shared" si="16"/>
        <v>1195</v>
      </c>
      <c r="BG169" s="130">
        <f t="shared" si="17"/>
        <v>0</v>
      </c>
      <c r="BH169" s="130">
        <f t="shared" si="18"/>
        <v>0</v>
      </c>
      <c r="BI169" s="130">
        <f t="shared" si="19"/>
        <v>0</v>
      </c>
      <c r="BJ169" s="13" t="s">
        <v>76</v>
      </c>
      <c r="BK169" s="130">
        <f t="shared" si="20"/>
        <v>1195</v>
      </c>
      <c r="BL169" s="13" t="s">
        <v>347</v>
      </c>
      <c r="BM169" s="129" t="s">
        <v>382</v>
      </c>
    </row>
    <row r="170" spans="2:65" s="1" customFormat="1" ht="24" customHeight="1" x14ac:dyDescent="0.2">
      <c r="B170" s="118"/>
      <c r="C170" s="119" t="s">
        <v>383</v>
      </c>
      <c r="D170" s="119" t="s">
        <v>231</v>
      </c>
      <c r="E170" s="120" t="s">
        <v>1502</v>
      </c>
      <c r="F170" s="121" t="s">
        <v>1503</v>
      </c>
      <c r="G170" s="122" t="s">
        <v>292</v>
      </c>
      <c r="H170" s="123">
        <v>45</v>
      </c>
      <c r="I170" s="124">
        <v>1.24</v>
      </c>
      <c r="J170" s="124">
        <f t="shared" si="11"/>
        <v>55.8</v>
      </c>
      <c r="K170" s="121" t="s">
        <v>1</v>
      </c>
      <c r="L170" s="24"/>
      <c r="M170" s="125" t="s">
        <v>1</v>
      </c>
      <c r="N170" s="126" t="s">
        <v>32</v>
      </c>
      <c r="O170" s="127">
        <v>0</v>
      </c>
      <c r="P170" s="127">
        <f t="shared" si="12"/>
        <v>0</v>
      </c>
      <c r="Q170" s="127">
        <v>0</v>
      </c>
      <c r="R170" s="127">
        <f t="shared" si="13"/>
        <v>0</v>
      </c>
      <c r="S170" s="127">
        <v>0</v>
      </c>
      <c r="T170" s="128">
        <f t="shared" si="14"/>
        <v>0</v>
      </c>
      <c r="W170" s="199"/>
      <c r="X170" s="119" t="s">
        <v>383</v>
      </c>
      <c r="Y170" s="119" t="s">
        <v>231</v>
      </c>
      <c r="Z170" s="120" t="s">
        <v>1502</v>
      </c>
      <c r="AA170" s="121" t="s">
        <v>1503</v>
      </c>
      <c r="AB170" s="122" t="s">
        <v>292</v>
      </c>
      <c r="AC170" s="123">
        <v>45</v>
      </c>
      <c r="AD170" s="124">
        <v>1.24</v>
      </c>
      <c r="AE170" s="200">
        <f t="shared" si="4"/>
        <v>55.8</v>
      </c>
      <c r="AF170" s="248"/>
      <c r="AR170" s="129" t="s">
        <v>347</v>
      </c>
      <c r="AT170" s="129" t="s">
        <v>231</v>
      </c>
      <c r="AU170" s="129" t="s">
        <v>63</v>
      </c>
      <c r="AY170" s="13" t="s">
        <v>228</v>
      </c>
      <c r="BE170" s="130">
        <f t="shared" si="15"/>
        <v>0</v>
      </c>
      <c r="BF170" s="130">
        <f t="shared" si="16"/>
        <v>55.8</v>
      </c>
      <c r="BG170" s="130">
        <f t="shared" si="17"/>
        <v>0</v>
      </c>
      <c r="BH170" s="130">
        <f t="shared" si="18"/>
        <v>0</v>
      </c>
      <c r="BI170" s="130">
        <f t="shared" si="19"/>
        <v>0</v>
      </c>
      <c r="BJ170" s="13" t="s">
        <v>76</v>
      </c>
      <c r="BK170" s="130">
        <f t="shared" si="20"/>
        <v>55.8</v>
      </c>
      <c r="BL170" s="13" t="s">
        <v>347</v>
      </c>
      <c r="BM170" s="129" t="s">
        <v>386</v>
      </c>
    </row>
    <row r="171" spans="2:65" s="1" customFormat="1" ht="24" customHeight="1" x14ac:dyDescent="0.2">
      <c r="B171" s="118"/>
      <c r="C171" s="131" t="s">
        <v>312</v>
      </c>
      <c r="D171" s="131" t="s">
        <v>277</v>
      </c>
      <c r="E171" s="132" t="s">
        <v>1505</v>
      </c>
      <c r="F171" s="133" t="s">
        <v>1506</v>
      </c>
      <c r="G171" s="134" t="s">
        <v>292</v>
      </c>
      <c r="H171" s="135">
        <v>45</v>
      </c>
      <c r="I171" s="136">
        <v>3.74</v>
      </c>
      <c r="J171" s="136">
        <f t="shared" si="11"/>
        <v>168.3</v>
      </c>
      <c r="K171" s="133" t="s">
        <v>1</v>
      </c>
      <c r="L171" s="137"/>
      <c r="M171" s="138" t="s">
        <v>1</v>
      </c>
      <c r="N171" s="139" t="s">
        <v>32</v>
      </c>
      <c r="O171" s="127">
        <v>0</v>
      </c>
      <c r="P171" s="127">
        <f t="shared" si="12"/>
        <v>0</v>
      </c>
      <c r="Q171" s="127">
        <v>2.3000000000000001E-4</v>
      </c>
      <c r="R171" s="127">
        <f t="shared" si="13"/>
        <v>1.035E-2</v>
      </c>
      <c r="S171" s="127">
        <v>0</v>
      </c>
      <c r="T171" s="128">
        <f t="shared" si="14"/>
        <v>0</v>
      </c>
      <c r="W171" s="199"/>
      <c r="X171" s="131" t="s">
        <v>312</v>
      </c>
      <c r="Y171" s="131" t="s">
        <v>277</v>
      </c>
      <c r="Z171" s="132" t="s">
        <v>1505</v>
      </c>
      <c r="AA171" s="133" t="s">
        <v>1506</v>
      </c>
      <c r="AB171" s="134" t="s">
        <v>292</v>
      </c>
      <c r="AC171" s="135">
        <v>45</v>
      </c>
      <c r="AD171" s="136">
        <v>3.74</v>
      </c>
      <c r="AE171" s="229">
        <f t="shared" si="4"/>
        <v>168.3</v>
      </c>
      <c r="AF171" s="248"/>
      <c r="AR171" s="129" t="s">
        <v>705</v>
      </c>
      <c r="AT171" s="129" t="s">
        <v>277</v>
      </c>
      <c r="AU171" s="129" t="s">
        <v>63</v>
      </c>
      <c r="AY171" s="13" t="s">
        <v>228</v>
      </c>
      <c r="BE171" s="130">
        <f t="shared" si="15"/>
        <v>0</v>
      </c>
      <c r="BF171" s="130">
        <f t="shared" si="16"/>
        <v>168.3</v>
      </c>
      <c r="BG171" s="130">
        <f t="shared" si="17"/>
        <v>0</v>
      </c>
      <c r="BH171" s="130">
        <f t="shared" si="18"/>
        <v>0</v>
      </c>
      <c r="BI171" s="130">
        <f t="shared" si="19"/>
        <v>0</v>
      </c>
      <c r="BJ171" s="13" t="s">
        <v>76</v>
      </c>
      <c r="BK171" s="130">
        <f t="shared" si="20"/>
        <v>168.3</v>
      </c>
      <c r="BL171" s="13" t="s">
        <v>347</v>
      </c>
      <c r="BM171" s="129" t="s">
        <v>389</v>
      </c>
    </row>
    <row r="172" spans="2:65" s="1" customFormat="1" ht="24" customHeight="1" x14ac:dyDescent="0.2">
      <c r="B172" s="118"/>
      <c r="C172" s="119" t="s">
        <v>390</v>
      </c>
      <c r="D172" s="119" t="s">
        <v>231</v>
      </c>
      <c r="E172" s="120" t="s">
        <v>1645</v>
      </c>
      <c r="F172" s="121" t="s">
        <v>3907</v>
      </c>
      <c r="G172" s="122" t="s">
        <v>292</v>
      </c>
      <c r="H172" s="123">
        <v>520</v>
      </c>
      <c r="I172" s="124">
        <v>1.24</v>
      </c>
      <c r="J172" s="124">
        <f t="shared" si="11"/>
        <v>644.79999999999995</v>
      </c>
      <c r="K172" s="121" t="s">
        <v>1</v>
      </c>
      <c r="L172" s="24"/>
      <c r="M172" s="125" t="s">
        <v>1</v>
      </c>
      <c r="N172" s="126" t="s">
        <v>32</v>
      </c>
      <c r="O172" s="127">
        <v>0</v>
      </c>
      <c r="P172" s="127">
        <f t="shared" si="12"/>
        <v>0</v>
      </c>
      <c r="Q172" s="127">
        <v>0</v>
      </c>
      <c r="R172" s="127">
        <f t="shared" si="13"/>
        <v>0</v>
      </c>
      <c r="S172" s="127">
        <v>0</v>
      </c>
      <c r="T172" s="128">
        <f t="shared" si="14"/>
        <v>0</v>
      </c>
      <c r="W172" s="199"/>
      <c r="X172" s="119" t="s">
        <v>390</v>
      </c>
      <c r="Y172" s="119" t="s">
        <v>231</v>
      </c>
      <c r="Z172" s="120" t="s">
        <v>1645</v>
      </c>
      <c r="AA172" s="121" t="s">
        <v>3907</v>
      </c>
      <c r="AB172" s="122" t="s">
        <v>292</v>
      </c>
      <c r="AC172" s="123">
        <v>520</v>
      </c>
      <c r="AD172" s="124">
        <v>1.24</v>
      </c>
      <c r="AE172" s="200">
        <f t="shared" si="4"/>
        <v>644.79999999999995</v>
      </c>
      <c r="AF172" s="248"/>
      <c r="AR172" s="129" t="s">
        <v>347</v>
      </c>
      <c r="AT172" s="129" t="s">
        <v>231</v>
      </c>
      <c r="AU172" s="129" t="s">
        <v>63</v>
      </c>
      <c r="AY172" s="13" t="s">
        <v>228</v>
      </c>
      <c r="BE172" s="130">
        <f t="shared" si="15"/>
        <v>0</v>
      </c>
      <c r="BF172" s="130">
        <f t="shared" si="16"/>
        <v>644.79999999999995</v>
      </c>
      <c r="BG172" s="130">
        <f t="shared" si="17"/>
        <v>0</v>
      </c>
      <c r="BH172" s="130">
        <f t="shared" si="18"/>
        <v>0</v>
      </c>
      <c r="BI172" s="130">
        <f t="shared" si="19"/>
        <v>0</v>
      </c>
      <c r="BJ172" s="13" t="s">
        <v>76</v>
      </c>
      <c r="BK172" s="130">
        <f t="shared" si="20"/>
        <v>644.79999999999995</v>
      </c>
      <c r="BL172" s="13" t="s">
        <v>347</v>
      </c>
      <c r="BM172" s="129" t="s">
        <v>393</v>
      </c>
    </row>
    <row r="173" spans="2:65" s="1" customFormat="1" ht="24" customHeight="1" x14ac:dyDescent="0.2">
      <c r="B173" s="118"/>
      <c r="C173" s="131" t="s">
        <v>316</v>
      </c>
      <c r="D173" s="131" t="s">
        <v>277</v>
      </c>
      <c r="E173" s="132" t="s">
        <v>1648</v>
      </c>
      <c r="F173" s="133" t="s">
        <v>3908</v>
      </c>
      <c r="G173" s="134" t="s">
        <v>292</v>
      </c>
      <c r="H173" s="135">
        <v>520</v>
      </c>
      <c r="I173" s="136">
        <v>1.23</v>
      </c>
      <c r="J173" s="136">
        <f t="shared" si="11"/>
        <v>639.6</v>
      </c>
      <c r="K173" s="133" t="s">
        <v>1</v>
      </c>
      <c r="L173" s="137"/>
      <c r="M173" s="138" t="s">
        <v>1</v>
      </c>
      <c r="N173" s="139" t="s">
        <v>32</v>
      </c>
      <c r="O173" s="127">
        <v>0</v>
      </c>
      <c r="P173" s="127">
        <f t="shared" si="12"/>
        <v>0</v>
      </c>
      <c r="Q173" s="127">
        <v>1.2E-4</v>
      </c>
      <c r="R173" s="127">
        <f t="shared" si="13"/>
        <v>6.2400000000000004E-2</v>
      </c>
      <c r="S173" s="127">
        <v>0</v>
      </c>
      <c r="T173" s="128">
        <f t="shared" si="14"/>
        <v>0</v>
      </c>
      <c r="W173" s="199"/>
      <c r="X173" s="131" t="s">
        <v>316</v>
      </c>
      <c r="Y173" s="131" t="s">
        <v>277</v>
      </c>
      <c r="Z173" s="132" t="s">
        <v>1648</v>
      </c>
      <c r="AA173" s="133" t="s">
        <v>3908</v>
      </c>
      <c r="AB173" s="134" t="s">
        <v>292</v>
      </c>
      <c r="AC173" s="135">
        <v>520</v>
      </c>
      <c r="AD173" s="136">
        <v>1.23</v>
      </c>
      <c r="AE173" s="229">
        <f t="shared" si="4"/>
        <v>639.6</v>
      </c>
      <c r="AF173" s="248"/>
      <c r="AR173" s="129" t="s">
        <v>705</v>
      </c>
      <c r="AT173" s="129" t="s">
        <v>277</v>
      </c>
      <c r="AU173" s="129" t="s">
        <v>63</v>
      </c>
      <c r="AY173" s="13" t="s">
        <v>228</v>
      </c>
      <c r="BE173" s="130">
        <f t="shared" si="15"/>
        <v>0</v>
      </c>
      <c r="BF173" s="130">
        <f t="shared" si="16"/>
        <v>639.6</v>
      </c>
      <c r="BG173" s="130">
        <f t="shared" si="17"/>
        <v>0</v>
      </c>
      <c r="BH173" s="130">
        <f t="shared" si="18"/>
        <v>0</v>
      </c>
      <c r="BI173" s="130">
        <f t="shared" si="19"/>
        <v>0</v>
      </c>
      <c r="BJ173" s="13" t="s">
        <v>76</v>
      </c>
      <c r="BK173" s="130">
        <f t="shared" si="20"/>
        <v>639.6</v>
      </c>
      <c r="BL173" s="13" t="s">
        <v>347</v>
      </c>
      <c r="BM173" s="129" t="s">
        <v>396</v>
      </c>
    </row>
    <row r="174" spans="2:65" s="1" customFormat="1" ht="24" customHeight="1" x14ac:dyDescent="0.2">
      <c r="B174" s="118"/>
      <c r="C174" s="205" t="s">
        <v>397</v>
      </c>
      <c r="D174" s="119" t="s">
        <v>231</v>
      </c>
      <c r="E174" s="120" t="s">
        <v>1615</v>
      </c>
      <c r="F174" s="121" t="s">
        <v>4570</v>
      </c>
      <c r="G174" s="122" t="s">
        <v>292</v>
      </c>
      <c r="H174" s="206">
        <v>1300</v>
      </c>
      <c r="I174" s="124">
        <v>1.24</v>
      </c>
      <c r="J174" s="124">
        <f t="shared" si="11"/>
        <v>1612</v>
      </c>
      <c r="K174" s="121" t="s">
        <v>1</v>
      </c>
      <c r="L174" s="24"/>
      <c r="M174" s="125" t="s">
        <v>1</v>
      </c>
      <c r="N174" s="126" t="s">
        <v>32</v>
      </c>
      <c r="O174" s="127">
        <v>0</v>
      </c>
      <c r="P174" s="127">
        <f t="shared" si="12"/>
        <v>0</v>
      </c>
      <c r="Q174" s="127">
        <v>0</v>
      </c>
      <c r="R174" s="127">
        <f t="shared" si="13"/>
        <v>0</v>
      </c>
      <c r="S174" s="127">
        <v>0</v>
      </c>
      <c r="T174" s="128">
        <f t="shared" si="14"/>
        <v>0</v>
      </c>
      <c r="W174" s="199"/>
      <c r="X174" s="205" t="s">
        <v>397</v>
      </c>
      <c r="Y174" s="119" t="s">
        <v>231</v>
      </c>
      <c r="Z174" s="120" t="s">
        <v>1615</v>
      </c>
      <c r="AA174" s="121" t="s">
        <v>4570</v>
      </c>
      <c r="AB174" s="122" t="s">
        <v>292</v>
      </c>
      <c r="AC174" s="206">
        <f>1300+400+50</f>
        <v>1750</v>
      </c>
      <c r="AD174" s="124">
        <v>1.24</v>
      </c>
      <c r="AE174" s="200">
        <f t="shared" si="4"/>
        <v>2170</v>
      </c>
      <c r="AF174" s="248" t="s">
        <v>6636</v>
      </c>
      <c r="AR174" s="129" t="s">
        <v>347</v>
      </c>
      <c r="AT174" s="129" t="s">
        <v>231</v>
      </c>
      <c r="AU174" s="129" t="s">
        <v>63</v>
      </c>
      <c r="AY174" s="13" t="s">
        <v>228</v>
      </c>
      <c r="BE174" s="130">
        <f t="shared" si="15"/>
        <v>0</v>
      </c>
      <c r="BF174" s="130">
        <f t="shared" si="16"/>
        <v>1612</v>
      </c>
      <c r="BG174" s="130">
        <f t="shared" si="17"/>
        <v>0</v>
      </c>
      <c r="BH174" s="130">
        <f t="shared" si="18"/>
        <v>0</v>
      </c>
      <c r="BI174" s="130">
        <f t="shared" si="19"/>
        <v>0</v>
      </c>
      <c r="BJ174" s="13" t="s">
        <v>76</v>
      </c>
      <c r="BK174" s="130">
        <f t="shared" si="20"/>
        <v>1612</v>
      </c>
      <c r="BL174" s="13" t="s">
        <v>347</v>
      </c>
      <c r="BM174" s="129" t="s">
        <v>400</v>
      </c>
    </row>
    <row r="175" spans="2:65" s="1" customFormat="1" ht="24" customHeight="1" x14ac:dyDescent="0.2">
      <c r="B175" s="118"/>
      <c r="C175" s="242" t="s">
        <v>319</v>
      </c>
      <c r="D175" s="131" t="s">
        <v>277</v>
      </c>
      <c r="E175" s="132" t="s">
        <v>1618</v>
      </c>
      <c r="F175" s="133" t="s">
        <v>4571</v>
      </c>
      <c r="G175" s="134" t="s">
        <v>292</v>
      </c>
      <c r="H175" s="241">
        <v>1300</v>
      </c>
      <c r="I175" s="136">
        <v>1.49</v>
      </c>
      <c r="J175" s="136">
        <f t="shared" si="11"/>
        <v>1937</v>
      </c>
      <c r="K175" s="133" t="s">
        <v>1</v>
      </c>
      <c r="L175" s="137"/>
      <c r="M175" s="138" t="s">
        <v>1</v>
      </c>
      <c r="N175" s="139" t="s">
        <v>32</v>
      </c>
      <c r="O175" s="127">
        <v>0</v>
      </c>
      <c r="P175" s="127">
        <f t="shared" si="12"/>
        <v>0</v>
      </c>
      <c r="Q175" s="127">
        <v>2.9999999999999997E-4</v>
      </c>
      <c r="R175" s="127">
        <f t="shared" si="13"/>
        <v>0.38999999999999996</v>
      </c>
      <c r="S175" s="127">
        <v>0</v>
      </c>
      <c r="T175" s="128">
        <f t="shared" si="14"/>
        <v>0</v>
      </c>
      <c r="W175" s="199"/>
      <c r="X175" s="242" t="s">
        <v>319</v>
      </c>
      <c r="Y175" s="131" t="s">
        <v>277</v>
      </c>
      <c r="Z175" s="132" t="s">
        <v>1618</v>
      </c>
      <c r="AA175" s="133" t="s">
        <v>4571</v>
      </c>
      <c r="AB175" s="134" t="s">
        <v>292</v>
      </c>
      <c r="AC175" s="241">
        <f>1300+400+50</f>
        <v>1750</v>
      </c>
      <c r="AD175" s="136">
        <v>1.49</v>
      </c>
      <c r="AE175" s="229">
        <f t="shared" si="4"/>
        <v>2607.5</v>
      </c>
      <c r="AF175" s="924" t="s">
        <v>6636</v>
      </c>
      <c r="AR175" s="129" t="s">
        <v>705</v>
      </c>
      <c r="AT175" s="129" t="s">
        <v>277</v>
      </c>
      <c r="AU175" s="129" t="s">
        <v>63</v>
      </c>
      <c r="AY175" s="13" t="s">
        <v>228</v>
      </c>
      <c r="BE175" s="130">
        <f t="shared" si="15"/>
        <v>0</v>
      </c>
      <c r="BF175" s="130">
        <f t="shared" si="16"/>
        <v>1937</v>
      </c>
      <c r="BG175" s="130">
        <f t="shared" si="17"/>
        <v>0</v>
      </c>
      <c r="BH175" s="130">
        <f t="shared" si="18"/>
        <v>0</v>
      </c>
      <c r="BI175" s="130">
        <f t="shared" si="19"/>
        <v>0</v>
      </c>
      <c r="BJ175" s="13" t="s">
        <v>76</v>
      </c>
      <c r="BK175" s="130">
        <f t="shared" si="20"/>
        <v>1937</v>
      </c>
      <c r="BL175" s="13" t="s">
        <v>347</v>
      </c>
      <c r="BM175" s="129" t="s">
        <v>404</v>
      </c>
    </row>
    <row r="176" spans="2:65" s="1" customFormat="1" ht="24" customHeight="1" x14ac:dyDescent="0.2">
      <c r="B176" s="118"/>
      <c r="C176" s="119" t="s">
        <v>407</v>
      </c>
      <c r="D176" s="119" t="s">
        <v>231</v>
      </c>
      <c r="E176" s="120" t="s">
        <v>1621</v>
      </c>
      <c r="F176" s="121" t="s">
        <v>1616</v>
      </c>
      <c r="G176" s="122" t="s">
        <v>292</v>
      </c>
      <c r="H176" s="123">
        <v>280</v>
      </c>
      <c r="I176" s="124">
        <v>1.24</v>
      </c>
      <c r="J176" s="124">
        <f t="shared" si="11"/>
        <v>347.2</v>
      </c>
      <c r="K176" s="121" t="s">
        <v>1</v>
      </c>
      <c r="L176" s="24"/>
      <c r="M176" s="125" t="s">
        <v>1</v>
      </c>
      <c r="N176" s="126" t="s">
        <v>32</v>
      </c>
      <c r="O176" s="127">
        <v>0</v>
      </c>
      <c r="P176" s="127">
        <f t="shared" si="12"/>
        <v>0</v>
      </c>
      <c r="Q176" s="127">
        <v>0</v>
      </c>
      <c r="R176" s="127">
        <f t="shared" si="13"/>
        <v>0</v>
      </c>
      <c r="S176" s="127">
        <v>0</v>
      </c>
      <c r="T176" s="128">
        <f t="shared" si="14"/>
        <v>0</v>
      </c>
      <c r="W176" s="199"/>
      <c r="X176" s="119" t="s">
        <v>407</v>
      </c>
      <c r="Y176" s="119" t="s">
        <v>231</v>
      </c>
      <c r="Z176" s="120" t="s">
        <v>1621</v>
      </c>
      <c r="AA176" s="121" t="s">
        <v>1616</v>
      </c>
      <c r="AB176" s="122" t="s">
        <v>292</v>
      </c>
      <c r="AC176" s="123">
        <v>280</v>
      </c>
      <c r="AD176" s="124">
        <v>1.24</v>
      </c>
      <c r="AE176" s="200">
        <f t="shared" si="4"/>
        <v>347.2</v>
      </c>
      <c r="AF176" s="248"/>
      <c r="AR176" s="129" t="s">
        <v>347</v>
      </c>
      <c r="AT176" s="129" t="s">
        <v>231</v>
      </c>
      <c r="AU176" s="129" t="s">
        <v>63</v>
      </c>
      <c r="AY176" s="13" t="s">
        <v>228</v>
      </c>
      <c r="BE176" s="130">
        <f t="shared" si="15"/>
        <v>0</v>
      </c>
      <c r="BF176" s="130">
        <f t="shared" si="16"/>
        <v>347.2</v>
      </c>
      <c r="BG176" s="130">
        <f t="shared" si="17"/>
        <v>0</v>
      </c>
      <c r="BH176" s="130">
        <f t="shared" si="18"/>
        <v>0</v>
      </c>
      <c r="BI176" s="130">
        <f t="shared" si="19"/>
        <v>0</v>
      </c>
      <c r="BJ176" s="13" t="s">
        <v>76</v>
      </c>
      <c r="BK176" s="130">
        <f t="shared" si="20"/>
        <v>347.2</v>
      </c>
      <c r="BL176" s="13" t="s">
        <v>347</v>
      </c>
      <c r="BM176" s="129" t="s">
        <v>410</v>
      </c>
    </row>
    <row r="177" spans="2:65" s="1" customFormat="1" ht="24" customHeight="1" x14ac:dyDescent="0.2">
      <c r="B177" s="118"/>
      <c r="C177" s="131" t="s">
        <v>323</v>
      </c>
      <c r="D177" s="131" t="s">
        <v>277</v>
      </c>
      <c r="E177" s="132" t="s">
        <v>1624</v>
      </c>
      <c r="F177" s="133" t="s">
        <v>3903</v>
      </c>
      <c r="G177" s="134" t="s">
        <v>292</v>
      </c>
      <c r="H177" s="135">
        <v>280</v>
      </c>
      <c r="I177" s="136">
        <v>1.49</v>
      </c>
      <c r="J177" s="136">
        <f t="shared" si="11"/>
        <v>417.2</v>
      </c>
      <c r="K177" s="133" t="s">
        <v>1</v>
      </c>
      <c r="L177" s="137"/>
      <c r="M177" s="138" t="s">
        <v>1</v>
      </c>
      <c r="N177" s="139" t="s">
        <v>32</v>
      </c>
      <c r="O177" s="127">
        <v>0</v>
      </c>
      <c r="P177" s="127">
        <f t="shared" si="12"/>
        <v>0</v>
      </c>
      <c r="Q177" s="127">
        <v>2.9999999999999997E-4</v>
      </c>
      <c r="R177" s="127">
        <f t="shared" si="13"/>
        <v>8.3999999999999991E-2</v>
      </c>
      <c r="S177" s="127">
        <v>0</v>
      </c>
      <c r="T177" s="128">
        <f t="shared" si="14"/>
        <v>0</v>
      </c>
      <c r="W177" s="199"/>
      <c r="X177" s="131" t="s">
        <v>323</v>
      </c>
      <c r="Y177" s="131" t="s">
        <v>277</v>
      </c>
      <c r="Z177" s="132" t="s">
        <v>1624</v>
      </c>
      <c r="AA177" s="133" t="s">
        <v>3903</v>
      </c>
      <c r="AB177" s="134" t="s">
        <v>292</v>
      </c>
      <c r="AC177" s="135">
        <v>280</v>
      </c>
      <c r="AD177" s="136">
        <v>1.49</v>
      </c>
      <c r="AE177" s="229">
        <f t="shared" si="4"/>
        <v>417.2</v>
      </c>
      <c r="AF177" s="248"/>
      <c r="AR177" s="129" t="s">
        <v>705</v>
      </c>
      <c r="AT177" s="129" t="s">
        <v>277</v>
      </c>
      <c r="AU177" s="129" t="s">
        <v>63</v>
      </c>
      <c r="AY177" s="13" t="s">
        <v>228</v>
      </c>
      <c r="BE177" s="130">
        <f t="shared" si="15"/>
        <v>0</v>
      </c>
      <c r="BF177" s="130">
        <f t="shared" si="16"/>
        <v>417.2</v>
      </c>
      <c r="BG177" s="130">
        <f t="shared" si="17"/>
        <v>0</v>
      </c>
      <c r="BH177" s="130">
        <f t="shared" si="18"/>
        <v>0</v>
      </c>
      <c r="BI177" s="130">
        <f t="shared" si="19"/>
        <v>0</v>
      </c>
      <c r="BJ177" s="13" t="s">
        <v>76</v>
      </c>
      <c r="BK177" s="130">
        <f t="shared" si="20"/>
        <v>417.2</v>
      </c>
      <c r="BL177" s="13" t="s">
        <v>347</v>
      </c>
      <c r="BM177" s="129" t="s">
        <v>414</v>
      </c>
    </row>
    <row r="178" spans="2:65" s="1" customFormat="1" ht="24" customHeight="1" x14ac:dyDescent="0.2">
      <c r="B178" s="118"/>
      <c r="C178" s="1070" t="s">
        <v>415</v>
      </c>
      <c r="D178" s="119" t="s">
        <v>231</v>
      </c>
      <c r="E178" s="120" t="s">
        <v>1627</v>
      </c>
      <c r="F178" s="121" t="s">
        <v>4572</v>
      </c>
      <c r="G178" s="122" t="s">
        <v>292</v>
      </c>
      <c r="H178" s="1071">
        <v>500</v>
      </c>
      <c r="I178" s="124">
        <v>1.24</v>
      </c>
      <c r="J178" s="124">
        <f t="shared" si="11"/>
        <v>620</v>
      </c>
      <c r="K178" s="121" t="s">
        <v>1</v>
      </c>
      <c r="L178" s="24"/>
      <c r="M178" s="125" t="s">
        <v>1</v>
      </c>
      <c r="N178" s="126" t="s">
        <v>32</v>
      </c>
      <c r="O178" s="127">
        <v>0</v>
      </c>
      <c r="P178" s="127">
        <f t="shared" si="12"/>
        <v>0</v>
      </c>
      <c r="Q178" s="127">
        <v>0</v>
      </c>
      <c r="R178" s="127">
        <f t="shared" si="13"/>
        <v>0</v>
      </c>
      <c r="S178" s="127">
        <v>0</v>
      </c>
      <c r="T178" s="128">
        <f t="shared" si="14"/>
        <v>0</v>
      </c>
      <c r="W178" s="199"/>
      <c r="X178" s="1070" t="s">
        <v>415</v>
      </c>
      <c r="Y178" s="119" t="s">
        <v>231</v>
      </c>
      <c r="Z178" s="120" t="s">
        <v>1627</v>
      </c>
      <c r="AA178" s="121" t="s">
        <v>4572</v>
      </c>
      <c r="AB178" s="122" t="s">
        <v>292</v>
      </c>
      <c r="AC178" s="1071">
        <f>500+60+240</f>
        <v>800</v>
      </c>
      <c r="AD178" s="124">
        <v>1.24</v>
      </c>
      <c r="AE178" s="200">
        <f t="shared" si="4"/>
        <v>992</v>
      </c>
      <c r="AF178" s="248" t="s">
        <v>6744</v>
      </c>
      <c r="AR178" s="129" t="s">
        <v>347</v>
      </c>
      <c r="AT178" s="129" t="s">
        <v>231</v>
      </c>
      <c r="AU178" s="129" t="s">
        <v>63</v>
      </c>
      <c r="AY178" s="13" t="s">
        <v>228</v>
      </c>
      <c r="BE178" s="130">
        <f t="shared" si="15"/>
        <v>0</v>
      </c>
      <c r="BF178" s="130">
        <f t="shared" si="16"/>
        <v>620</v>
      </c>
      <c r="BG178" s="130">
        <f t="shared" si="17"/>
        <v>0</v>
      </c>
      <c r="BH178" s="130">
        <f t="shared" si="18"/>
        <v>0</v>
      </c>
      <c r="BI178" s="130">
        <f t="shared" si="19"/>
        <v>0</v>
      </c>
      <c r="BJ178" s="13" t="s">
        <v>76</v>
      </c>
      <c r="BK178" s="130">
        <f t="shared" si="20"/>
        <v>620</v>
      </c>
      <c r="BL178" s="13" t="s">
        <v>347</v>
      </c>
      <c r="BM178" s="129" t="s">
        <v>418</v>
      </c>
    </row>
    <row r="179" spans="2:65" s="1" customFormat="1" ht="24" customHeight="1" x14ac:dyDescent="0.2">
      <c r="B179" s="118"/>
      <c r="C179" s="979" t="s">
        <v>326</v>
      </c>
      <c r="D179" s="131" t="s">
        <v>277</v>
      </c>
      <c r="E179" s="132" t="s">
        <v>1630</v>
      </c>
      <c r="F179" s="133" t="s">
        <v>4573</v>
      </c>
      <c r="G179" s="134" t="s">
        <v>292</v>
      </c>
      <c r="H179" s="978">
        <v>500</v>
      </c>
      <c r="I179" s="136">
        <v>1.83</v>
      </c>
      <c r="J179" s="136">
        <f t="shared" si="11"/>
        <v>915</v>
      </c>
      <c r="K179" s="133" t="s">
        <v>1</v>
      </c>
      <c r="L179" s="137"/>
      <c r="M179" s="138" t="s">
        <v>1</v>
      </c>
      <c r="N179" s="139" t="s">
        <v>32</v>
      </c>
      <c r="O179" s="127">
        <v>0</v>
      </c>
      <c r="P179" s="127">
        <f t="shared" si="12"/>
        <v>0</v>
      </c>
      <c r="Q179" s="127">
        <v>3.5E-4</v>
      </c>
      <c r="R179" s="127">
        <f t="shared" si="13"/>
        <v>0.17499999999999999</v>
      </c>
      <c r="S179" s="127">
        <v>0</v>
      </c>
      <c r="T179" s="128">
        <f t="shared" si="14"/>
        <v>0</v>
      </c>
      <c r="W179" s="199"/>
      <c r="X179" s="979" t="s">
        <v>326</v>
      </c>
      <c r="Y179" s="131" t="s">
        <v>277</v>
      </c>
      <c r="Z179" s="132" t="s">
        <v>1630</v>
      </c>
      <c r="AA179" s="133" t="s">
        <v>4573</v>
      </c>
      <c r="AB179" s="134" t="s">
        <v>292</v>
      </c>
      <c r="AC179" s="978">
        <f>500+60+150</f>
        <v>710</v>
      </c>
      <c r="AD179" s="136">
        <v>1.83</v>
      </c>
      <c r="AE179" s="229">
        <f t="shared" si="4"/>
        <v>1299.3</v>
      </c>
      <c r="AF179" s="924" t="s">
        <v>6744</v>
      </c>
      <c r="AR179" s="129" t="s">
        <v>705</v>
      </c>
      <c r="AT179" s="129" t="s">
        <v>277</v>
      </c>
      <c r="AU179" s="129" t="s">
        <v>63</v>
      </c>
      <c r="AY179" s="13" t="s">
        <v>228</v>
      </c>
      <c r="BE179" s="130">
        <f t="shared" si="15"/>
        <v>0</v>
      </c>
      <c r="BF179" s="130">
        <f t="shared" si="16"/>
        <v>915</v>
      </c>
      <c r="BG179" s="130">
        <f t="shared" si="17"/>
        <v>0</v>
      </c>
      <c r="BH179" s="130">
        <f t="shared" si="18"/>
        <v>0</v>
      </c>
      <c r="BI179" s="130">
        <f t="shared" si="19"/>
        <v>0</v>
      </c>
      <c r="BJ179" s="13" t="s">
        <v>76</v>
      </c>
      <c r="BK179" s="130">
        <f t="shared" si="20"/>
        <v>915</v>
      </c>
      <c r="BL179" s="13" t="s">
        <v>347</v>
      </c>
      <c r="BM179" s="129" t="s">
        <v>421</v>
      </c>
    </row>
    <row r="180" spans="2:65" s="1" customFormat="1" ht="24" customHeight="1" x14ac:dyDescent="0.2">
      <c r="B180" s="118"/>
      <c r="C180" s="205" t="s">
        <v>422</v>
      </c>
      <c r="D180" s="119" t="s">
        <v>231</v>
      </c>
      <c r="E180" s="120" t="s">
        <v>4574</v>
      </c>
      <c r="F180" s="121" t="s">
        <v>4575</v>
      </c>
      <c r="G180" s="122" t="s">
        <v>292</v>
      </c>
      <c r="H180" s="206">
        <v>1550</v>
      </c>
      <c r="I180" s="124">
        <v>1.24</v>
      </c>
      <c r="J180" s="124">
        <f t="shared" si="11"/>
        <v>1922</v>
      </c>
      <c r="K180" s="121" t="s">
        <v>1</v>
      </c>
      <c r="L180" s="24"/>
      <c r="M180" s="125" t="s">
        <v>1</v>
      </c>
      <c r="N180" s="126" t="s">
        <v>32</v>
      </c>
      <c r="O180" s="127">
        <v>0</v>
      </c>
      <c r="P180" s="127">
        <f t="shared" si="12"/>
        <v>0</v>
      </c>
      <c r="Q180" s="127">
        <v>0</v>
      </c>
      <c r="R180" s="127">
        <f t="shared" si="13"/>
        <v>0</v>
      </c>
      <c r="S180" s="127">
        <v>0</v>
      </c>
      <c r="T180" s="128">
        <f t="shared" si="14"/>
        <v>0</v>
      </c>
      <c r="W180" s="199"/>
      <c r="X180" s="205" t="s">
        <v>422</v>
      </c>
      <c r="Y180" s="119" t="s">
        <v>231</v>
      </c>
      <c r="Z180" s="120" t="s">
        <v>4574</v>
      </c>
      <c r="AA180" s="121" t="s">
        <v>4575</v>
      </c>
      <c r="AB180" s="122" t="s">
        <v>292</v>
      </c>
      <c r="AC180" s="206">
        <f>1550+600</f>
        <v>2150</v>
      </c>
      <c r="AD180" s="124">
        <v>1.24</v>
      </c>
      <c r="AE180" s="200">
        <f t="shared" si="4"/>
        <v>2666</v>
      </c>
      <c r="AF180" s="248">
        <v>2</v>
      </c>
      <c r="AR180" s="129" t="s">
        <v>347</v>
      </c>
      <c r="AT180" s="129" t="s">
        <v>231</v>
      </c>
      <c r="AU180" s="129" t="s">
        <v>63</v>
      </c>
      <c r="AY180" s="13" t="s">
        <v>228</v>
      </c>
      <c r="BE180" s="130">
        <f t="shared" si="15"/>
        <v>0</v>
      </c>
      <c r="BF180" s="130">
        <f t="shared" si="16"/>
        <v>1922</v>
      </c>
      <c r="BG180" s="130">
        <f t="shared" si="17"/>
        <v>0</v>
      </c>
      <c r="BH180" s="130">
        <f t="shared" si="18"/>
        <v>0</v>
      </c>
      <c r="BI180" s="130">
        <f t="shared" si="19"/>
        <v>0</v>
      </c>
      <c r="BJ180" s="13" t="s">
        <v>76</v>
      </c>
      <c r="BK180" s="130">
        <f t="shared" si="20"/>
        <v>1922</v>
      </c>
      <c r="BL180" s="13" t="s">
        <v>347</v>
      </c>
      <c r="BM180" s="129" t="s">
        <v>425</v>
      </c>
    </row>
    <row r="181" spans="2:65" s="1" customFormat="1" ht="24" customHeight="1" x14ac:dyDescent="0.2">
      <c r="B181" s="118"/>
      <c r="C181" s="242" t="s">
        <v>330</v>
      </c>
      <c r="D181" s="131" t="s">
        <v>277</v>
      </c>
      <c r="E181" s="132" t="s">
        <v>4576</v>
      </c>
      <c r="F181" s="133" t="s">
        <v>4577</v>
      </c>
      <c r="G181" s="134" t="s">
        <v>292</v>
      </c>
      <c r="H181" s="241">
        <v>1550</v>
      </c>
      <c r="I181" s="136">
        <v>1.83</v>
      </c>
      <c r="J181" s="136">
        <f t="shared" si="11"/>
        <v>2836.5</v>
      </c>
      <c r="K181" s="133" t="s">
        <v>1</v>
      </c>
      <c r="L181" s="137"/>
      <c r="M181" s="138" t="s">
        <v>1</v>
      </c>
      <c r="N181" s="139" t="s">
        <v>32</v>
      </c>
      <c r="O181" s="127">
        <v>0</v>
      </c>
      <c r="P181" s="127">
        <f t="shared" si="12"/>
        <v>0</v>
      </c>
      <c r="Q181" s="127">
        <v>0</v>
      </c>
      <c r="R181" s="127">
        <f t="shared" si="13"/>
        <v>0</v>
      </c>
      <c r="S181" s="127">
        <v>0</v>
      </c>
      <c r="T181" s="128">
        <f t="shared" si="14"/>
        <v>0</v>
      </c>
      <c r="W181" s="199"/>
      <c r="X181" s="242" t="s">
        <v>330</v>
      </c>
      <c r="Y181" s="131" t="s">
        <v>277</v>
      </c>
      <c r="Z181" s="132" t="s">
        <v>4576</v>
      </c>
      <c r="AA181" s="133" t="s">
        <v>4577</v>
      </c>
      <c r="AB181" s="134" t="s">
        <v>292</v>
      </c>
      <c r="AC181" s="241">
        <f>1550+600</f>
        <v>2150</v>
      </c>
      <c r="AD181" s="136">
        <v>1.83</v>
      </c>
      <c r="AE181" s="229">
        <f t="shared" si="4"/>
        <v>3934.5</v>
      </c>
      <c r="AF181" s="248">
        <v>2</v>
      </c>
      <c r="AR181" s="129" t="s">
        <v>705</v>
      </c>
      <c r="AT181" s="129" t="s">
        <v>277</v>
      </c>
      <c r="AU181" s="129" t="s">
        <v>63</v>
      </c>
      <c r="AY181" s="13" t="s">
        <v>228</v>
      </c>
      <c r="BE181" s="130">
        <f t="shared" si="15"/>
        <v>0</v>
      </c>
      <c r="BF181" s="130">
        <f t="shared" si="16"/>
        <v>2836.5</v>
      </c>
      <c r="BG181" s="130">
        <f t="shared" si="17"/>
        <v>0</v>
      </c>
      <c r="BH181" s="130">
        <f t="shared" si="18"/>
        <v>0</v>
      </c>
      <c r="BI181" s="130">
        <f t="shared" si="19"/>
        <v>0</v>
      </c>
      <c r="BJ181" s="13" t="s">
        <v>76</v>
      </c>
      <c r="BK181" s="130">
        <f t="shared" si="20"/>
        <v>2836.5</v>
      </c>
      <c r="BL181" s="13" t="s">
        <v>347</v>
      </c>
      <c r="BM181" s="129" t="s">
        <v>428</v>
      </c>
    </row>
    <row r="182" spans="2:65" s="1" customFormat="1" ht="24" customHeight="1" x14ac:dyDescent="0.2">
      <c r="B182" s="118"/>
      <c r="C182" s="119" t="s">
        <v>429</v>
      </c>
      <c r="D182" s="119" t="s">
        <v>231</v>
      </c>
      <c r="E182" s="120" t="s">
        <v>1639</v>
      </c>
      <c r="F182" s="121" t="s">
        <v>1640</v>
      </c>
      <c r="G182" s="122" t="s">
        <v>292</v>
      </c>
      <c r="H182" s="123">
        <v>60</v>
      </c>
      <c r="I182" s="124">
        <v>1.24</v>
      </c>
      <c r="J182" s="124">
        <f t="shared" si="11"/>
        <v>74.400000000000006</v>
      </c>
      <c r="K182" s="121" t="s">
        <v>1</v>
      </c>
      <c r="L182" s="24"/>
      <c r="M182" s="125" t="s">
        <v>1</v>
      </c>
      <c r="N182" s="126" t="s">
        <v>32</v>
      </c>
      <c r="O182" s="127">
        <v>0</v>
      </c>
      <c r="P182" s="127">
        <f t="shared" si="12"/>
        <v>0</v>
      </c>
      <c r="Q182" s="127">
        <v>0</v>
      </c>
      <c r="R182" s="127">
        <f t="shared" si="13"/>
        <v>0</v>
      </c>
      <c r="S182" s="127">
        <v>0</v>
      </c>
      <c r="T182" s="128">
        <f t="shared" si="14"/>
        <v>0</v>
      </c>
      <c r="W182" s="199"/>
      <c r="X182" s="119" t="s">
        <v>429</v>
      </c>
      <c r="Y182" s="119" t="s">
        <v>231</v>
      </c>
      <c r="Z182" s="120" t="s">
        <v>1639</v>
      </c>
      <c r="AA182" s="121" t="s">
        <v>1640</v>
      </c>
      <c r="AB182" s="122" t="s">
        <v>292</v>
      </c>
      <c r="AC182" s="123">
        <v>60</v>
      </c>
      <c r="AD182" s="124">
        <v>1.24</v>
      </c>
      <c r="AE182" s="200">
        <f t="shared" si="4"/>
        <v>74.400000000000006</v>
      </c>
      <c r="AF182" s="248"/>
      <c r="AR182" s="129" t="s">
        <v>347</v>
      </c>
      <c r="AT182" s="129" t="s">
        <v>231</v>
      </c>
      <c r="AU182" s="129" t="s">
        <v>63</v>
      </c>
      <c r="AY182" s="13" t="s">
        <v>228</v>
      </c>
      <c r="BE182" s="130">
        <f t="shared" si="15"/>
        <v>0</v>
      </c>
      <c r="BF182" s="130">
        <f t="shared" si="16"/>
        <v>74.400000000000006</v>
      </c>
      <c r="BG182" s="130">
        <f t="shared" si="17"/>
        <v>0</v>
      </c>
      <c r="BH182" s="130">
        <f t="shared" si="18"/>
        <v>0</v>
      </c>
      <c r="BI182" s="130">
        <f t="shared" si="19"/>
        <v>0</v>
      </c>
      <c r="BJ182" s="13" t="s">
        <v>76</v>
      </c>
      <c r="BK182" s="130">
        <f t="shared" si="20"/>
        <v>74.400000000000006</v>
      </c>
      <c r="BL182" s="13" t="s">
        <v>347</v>
      </c>
      <c r="BM182" s="129" t="s">
        <v>432</v>
      </c>
    </row>
    <row r="183" spans="2:65" s="1" customFormat="1" ht="24" customHeight="1" x14ac:dyDescent="0.2">
      <c r="B183" s="118"/>
      <c r="C183" s="131" t="s">
        <v>333</v>
      </c>
      <c r="D183" s="131" t="s">
        <v>277</v>
      </c>
      <c r="E183" s="132" t="s">
        <v>1642</v>
      </c>
      <c r="F183" s="133" t="s">
        <v>3905</v>
      </c>
      <c r="G183" s="134" t="s">
        <v>292</v>
      </c>
      <c r="H183" s="135">
        <v>60</v>
      </c>
      <c r="I183" s="136">
        <v>2.21</v>
      </c>
      <c r="J183" s="136">
        <f t="shared" si="11"/>
        <v>132.6</v>
      </c>
      <c r="K183" s="133" t="s">
        <v>1</v>
      </c>
      <c r="L183" s="137"/>
      <c r="M183" s="138" t="s">
        <v>1</v>
      </c>
      <c r="N183" s="139" t="s">
        <v>32</v>
      </c>
      <c r="O183" s="127">
        <v>0</v>
      </c>
      <c r="P183" s="127">
        <f t="shared" si="12"/>
        <v>0</v>
      </c>
      <c r="Q183" s="127">
        <v>4.0000000000000002E-4</v>
      </c>
      <c r="R183" s="127">
        <f t="shared" si="13"/>
        <v>2.4E-2</v>
      </c>
      <c r="S183" s="127">
        <v>0</v>
      </c>
      <c r="T183" s="128">
        <f t="shared" si="14"/>
        <v>0</v>
      </c>
      <c r="W183" s="199"/>
      <c r="X183" s="131" t="s">
        <v>333</v>
      </c>
      <c r="Y183" s="131" t="s">
        <v>277</v>
      </c>
      <c r="Z183" s="132" t="s">
        <v>1642</v>
      </c>
      <c r="AA183" s="133" t="s">
        <v>3905</v>
      </c>
      <c r="AB183" s="134" t="s">
        <v>292</v>
      </c>
      <c r="AC183" s="135">
        <v>60</v>
      </c>
      <c r="AD183" s="136">
        <v>2.21</v>
      </c>
      <c r="AE183" s="229">
        <f t="shared" si="4"/>
        <v>132.6</v>
      </c>
      <c r="AF183" s="248"/>
      <c r="AR183" s="129" t="s">
        <v>705</v>
      </c>
      <c r="AT183" s="129" t="s">
        <v>277</v>
      </c>
      <c r="AU183" s="129" t="s">
        <v>63</v>
      </c>
      <c r="AY183" s="13" t="s">
        <v>228</v>
      </c>
      <c r="BE183" s="130">
        <f t="shared" si="15"/>
        <v>0</v>
      </c>
      <c r="BF183" s="130">
        <f t="shared" si="16"/>
        <v>132.6</v>
      </c>
      <c r="BG183" s="130">
        <f t="shared" si="17"/>
        <v>0</v>
      </c>
      <c r="BH183" s="130">
        <f t="shared" si="18"/>
        <v>0</v>
      </c>
      <c r="BI183" s="130">
        <f t="shared" si="19"/>
        <v>0</v>
      </c>
      <c r="BJ183" s="13" t="s">
        <v>76</v>
      </c>
      <c r="BK183" s="130">
        <f t="shared" si="20"/>
        <v>132.6</v>
      </c>
      <c r="BL183" s="13" t="s">
        <v>347</v>
      </c>
      <c r="BM183" s="129" t="s">
        <v>435</v>
      </c>
    </row>
    <row r="184" spans="2:65" s="1" customFormat="1" ht="24" customHeight="1" x14ac:dyDescent="0.2">
      <c r="B184" s="118"/>
      <c r="C184" s="119" t="s">
        <v>438</v>
      </c>
      <c r="D184" s="119" t="s">
        <v>231</v>
      </c>
      <c r="E184" s="120" t="s">
        <v>1526</v>
      </c>
      <c r="F184" s="121" t="s">
        <v>1527</v>
      </c>
      <c r="G184" s="122" t="s">
        <v>292</v>
      </c>
      <c r="H184" s="123">
        <v>100</v>
      </c>
      <c r="I184" s="124">
        <v>1.3</v>
      </c>
      <c r="J184" s="124">
        <f t="shared" si="11"/>
        <v>130</v>
      </c>
      <c r="K184" s="121" t="s">
        <v>1</v>
      </c>
      <c r="L184" s="24"/>
      <c r="M184" s="125" t="s">
        <v>1</v>
      </c>
      <c r="N184" s="126" t="s">
        <v>32</v>
      </c>
      <c r="O184" s="127">
        <v>0</v>
      </c>
      <c r="P184" s="127">
        <f t="shared" si="12"/>
        <v>0</v>
      </c>
      <c r="Q184" s="127">
        <v>0</v>
      </c>
      <c r="R184" s="127">
        <f t="shared" si="13"/>
        <v>0</v>
      </c>
      <c r="S184" s="127">
        <v>0</v>
      </c>
      <c r="T184" s="128">
        <f t="shared" si="14"/>
        <v>0</v>
      </c>
      <c r="W184" s="199"/>
      <c r="X184" s="119" t="s">
        <v>438</v>
      </c>
      <c r="Y184" s="119" t="s">
        <v>231</v>
      </c>
      <c r="Z184" s="120" t="s">
        <v>1526</v>
      </c>
      <c r="AA184" s="121" t="s">
        <v>1527</v>
      </c>
      <c r="AB184" s="122" t="s">
        <v>292</v>
      </c>
      <c r="AC184" s="123">
        <v>100</v>
      </c>
      <c r="AD184" s="124">
        <v>1.3</v>
      </c>
      <c r="AE184" s="200">
        <f t="shared" si="4"/>
        <v>130</v>
      </c>
      <c r="AF184" s="248"/>
      <c r="AR184" s="129" t="s">
        <v>347</v>
      </c>
      <c r="AT184" s="129" t="s">
        <v>231</v>
      </c>
      <c r="AU184" s="129" t="s">
        <v>63</v>
      </c>
      <c r="AY184" s="13" t="s">
        <v>228</v>
      </c>
      <c r="BE184" s="130">
        <f t="shared" si="15"/>
        <v>0</v>
      </c>
      <c r="BF184" s="130">
        <f t="shared" si="16"/>
        <v>130</v>
      </c>
      <c r="BG184" s="130">
        <f t="shared" si="17"/>
        <v>0</v>
      </c>
      <c r="BH184" s="130">
        <f t="shared" si="18"/>
        <v>0</v>
      </c>
      <c r="BI184" s="130">
        <f t="shared" si="19"/>
        <v>0</v>
      </c>
      <c r="BJ184" s="13" t="s">
        <v>76</v>
      </c>
      <c r="BK184" s="130">
        <f t="shared" si="20"/>
        <v>130</v>
      </c>
      <c r="BL184" s="13" t="s">
        <v>347</v>
      </c>
      <c r="BM184" s="129" t="s">
        <v>441</v>
      </c>
    </row>
    <row r="185" spans="2:65" s="1" customFormat="1" ht="24" customHeight="1" x14ac:dyDescent="0.2">
      <c r="B185" s="118"/>
      <c r="C185" s="131" t="s">
        <v>337</v>
      </c>
      <c r="D185" s="131" t="s">
        <v>277</v>
      </c>
      <c r="E185" s="132" t="s">
        <v>1529</v>
      </c>
      <c r="F185" s="133" t="s">
        <v>3906</v>
      </c>
      <c r="G185" s="134" t="s">
        <v>292</v>
      </c>
      <c r="H185" s="135">
        <v>100</v>
      </c>
      <c r="I185" s="136">
        <v>3.94</v>
      </c>
      <c r="J185" s="136">
        <f t="shared" si="11"/>
        <v>394</v>
      </c>
      <c r="K185" s="133" t="s">
        <v>1</v>
      </c>
      <c r="L185" s="137"/>
      <c r="M185" s="138" t="s">
        <v>1</v>
      </c>
      <c r="N185" s="139" t="s">
        <v>32</v>
      </c>
      <c r="O185" s="127">
        <v>0</v>
      </c>
      <c r="P185" s="127">
        <f t="shared" si="12"/>
        <v>0</v>
      </c>
      <c r="Q185" s="127">
        <v>5.4000000000000001E-4</v>
      </c>
      <c r="R185" s="127">
        <f t="shared" si="13"/>
        <v>5.3999999999999999E-2</v>
      </c>
      <c r="S185" s="127">
        <v>0</v>
      </c>
      <c r="T185" s="128">
        <f t="shared" si="14"/>
        <v>0</v>
      </c>
      <c r="W185" s="199"/>
      <c r="X185" s="131" t="s">
        <v>337</v>
      </c>
      <c r="Y185" s="131" t="s">
        <v>277</v>
      </c>
      <c r="Z185" s="132" t="s">
        <v>1529</v>
      </c>
      <c r="AA185" s="133" t="s">
        <v>3906</v>
      </c>
      <c r="AB185" s="134" t="s">
        <v>292</v>
      </c>
      <c r="AC185" s="135">
        <v>100</v>
      </c>
      <c r="AD185" s="136">
        <v>3.94</v>
      </c>
      <c r="AE185" s="229">
        <f t="shared" si="4"/>
        <v>394</v>
      </c>
      <c r="AF185" s="248"/>
      <c r="AR185" s="129" t="s">
        <v>705</v>
      </c>
      <c r="AT185" s="129" t="s">
        <v>277</v>
      </c>
      <c r="AU185" s="129" t="s">
        <v>63</v>
      </c>
      <c r="AY185" s="13" t="s">
        <v>228</v>
      </c>
      <c r="BE185" s="130">
        <f t="shared" si="15"/>
        <v>0</v>
      </c>
      <c r="BF185" s="130">
        <f t="shared" si="16"/>
        <v>394</v>
      </c>
      <c r="BG185" s="130">
        <f t="shared" si="17"/>
        <v>0</v>
      </c>
      <c r="BH185" s="130">
        <f t="shared" si="18"/>
        <v>0</v>
      </c>
      <c r="BI185" s="130">
        <f t="shared" si="19"/>
        <v>0</v>
      </c>
      <c r="BJ185" s="13" t="s">
        <v>76</v>
      </c>
      <c r="BK185" s="130">
        <f t="shared" si="20"/>
        <v>394</v>
      </c>
      <c r="BL185" s="13" t="s">
        <v>347</v>
      </c>
      <c r="BM185" s="129" t="s">
        <v>444</v>
      </c>
    </row>
    <row r="186" spans="2:65" s="392" customFormat="1" ht="24" customHeight="1" x14ac:dyDescent="0.2">
      <c r="B186" s="118"/>
      <c r="C186" s="1234" t="s">
        <v>5205</v>
      </c>
      <c r="D186" s="1235"/>
      <c r="E186" s="1235"/>
      <c r="F186" s="1235"/>
      <c r="G186" s="1235"/>
      <c r="H186" s="1235"/>
      <c r="I186" s="1235"/>
      <c r="J186" s="1236"/>
      <c r="K186" s="133"/>
      <c r="L186" s="137"/>
      <c r="M186" s="138"/>
      <c r="N186" s="139"/>
      <c r="O186" s="127"/>
      <c r="P186" s="127"/>
      <c r="Q186" s="127"/>
      <c r="R186" s="127"/>
      <c r="S186" s="127"/>
      <c r="T186" s="128"/>
      <c r="W186" s="199"/>
      <c r="X186" s="341" t="s">
        <v>5408</v>
      </c>
      <c r="Y186" s="341" t="s">
        <v>231</v>
      </c>
      <c r="Z186" s="342" t="s">
        <v>1645</v>
      </c>
      <c r="AA186" s="343" t="s">
        <v>3907</v>
      </c>
      <c r="AB186" s="344" t="s">
        <v>292</v>
      </c>
      <c r="AC186" s="345">
        <v>250</v>
      </c>
      <c r="AD186" s="346">
        <v>1.24</v>
      </c>
      <c r="AE186" s="355">
        <f t="shared" si="4"/>
        <v>310</v>
      </c>
      <c r="AF186" s="248">
        <v>2</v>
      </c>
      <c r="AR186" s="129"/>
      <c r="AT186" s="129"/>
      <c r="AU186" s="129"/>
      <c r="AY186" s="13"/>
      <c r="BE186" s="130"/>
      <c r="BF186" s="130"/>
      <c r="BG186" s="130"/>
      <c r="BH186" s="130"/>
      <c r="BI186" s="130"/>
      <c r="BJ186" s="13"/>
      <c r="BK186" s="130"/>
      <c r="BL186" s="13"/>
      <c r="BM186" s="129"/>
    </row>
    <row r="187" spans="2:65" s="392" customFormat="1" ht="24" customHeight="1" x14ac:dyDescent="0.2">
      <c r="B187" s="118"/>
      <c r="C187" s="1234" t="s">
        <v>5205</v>
      </c>
      <c r="D187" s="1235"/>
      <c r="E187" s="1235"/>
      <c r="F187" s="1235"/>
      <c r="G187" s="1235"/>
      <c r="H187" s="1235"/>
      <c r="I187" s="1235"/>
      <c r="J187" s="1236"/>
      <c r="K187" s="133"/>
      <c r="L187" s="137"/>
      <c r="M187" s="138"/>
      <c r="N187" s="139"/>
      <c r="O187" s="127"/>
      <c r="P187" s="127"/>
      <c r="Q187" s="127"/>
      <c r="R187" s="127"/>
      <c r="S187" s="127"/>
      <c r="T187" s="128"/>
      <c r="W187" s="199"/>
      <c r="X187" s="348" t="s">
        <v>5967</v>
      </c>
      <c r="Y187" s="348" t="s">
        <v>277</v>
      </c>
      <c r="Z187" s="349" t="s">
        <v>5872</v>
      </c>
      <c r="AA187" s="350" t="s">
        <v>5873</v>
      </c>
      <c r="AB187" s="351" t="s">
        <v>292</v>
      </c>
      <c r="AC187" s="352">
        <v>250</v>
      </c>
      <c r="AD187" s="353">
        <v>1.0900000000000001</v>
      </c>
      <c r="AE187" s="356">
        <f t="shared" si="4"/>
        <v>272.5</v>
      </c>
      <c r="AF187" s="248">
        <v>2</v>
      </c>
      <c r="AR187" s="129"/>
      <c r="AT187" s="129"/>
      <c r="AU187" s="129"/>
      <c r="AY187" s="13"/>
      <c r="BE187" s="130"/>
      <c r="BF187" s="130"/>
      <c r="BG187" s="130"/>
      <c r="BH187" s="130"/>
      <c r="BI187" s="130"/>
      <c r="BJ187" s="13"/>
      <c r="BK187" s="130"/>
      <c r="BL187" s="13"/>
      <c r="BM187" s="129"/>
    </row>
    <row r="188" spans="2:65" s="1" customFormat="1" ht="24" customHeight="1" x14ac:dyDescent="0.2">
      <c r="B188" s="118"/>
      <c r="C188" s="119" t="s">
        <v>445</v>
      </c>
      <c r="D188" s="119" t="s">
        <v>231</v>
      </c>
      <c r="E188" s="120" t="s">
        <v>1538</v>
      </c>
      <c r="F188" s="121" t="s">
        <v>1539</v>
      </c>
      <c r="G188" s="122" t="s">
        <v>292</v>
      </c>
      <c r="H188" s="123">
        <v>84</v>
      </c>
      <c r="I188" s="124">
        <v>2.59</v>
      </c>
      <c r="J188" s="124">
        <f t="shared" si="11"/>
        <v>217.56</v>
      </c>
      <c r="K188" s="121" t="s">
        <v>1</v>
      </c>
      <c r="L188" s="24"/>
      <c r="M188" s="125" t="s">
        <v>1</v>
      </c>
      <c r="N188" s="126" t="s">
        <v>32</v>
      </c>
      <c r="O188" s="127">
        <v>0</v>
      </c>
      <c r="P188" s="127">
        <f t="shared" si="12"/>
        <v>0</v>
      </c>
      <c r="Q188" s="127">
        <v>0</v>
      </c>
      <c r="R188" s="127">
        <f t="shared" si="13"/>
        <v>0</v>
      </c>
      <c r="S188" s="127">
        <v>0</v>
      </c>
      <c r="T188" s="128">
        <f t="shared" si="14"/>
        <v>0</v>
      </c>
      <c r="W188" s="199"/>
      <c r="X188" s="119" t="s">
        <v>445</v>
      </c>
      <c r="Y188" s="119" t="s">
        <v>231</v>
      </c>
      <c r="Z188" s="120" t="s">
        <v>1538</v>
      </c>
      <c r="AA188" s="121" t="s">
        <v>1539</v>
      </c>
      <c r="AB188" s="122" t="s">
        <v>292</v>
      </c>
      <c r="AC188" s="123">
        <v>84</v>
      </c>
      <c r="AD188" s="124">
        <v>2.59</v>
      </c>
      <c r="AE188" s="200">
        <f t="shared" si="4"/>
        <v>217.56</v>
      </c>
      <c r="AF188" s="248"/>
      <c r="AR188" s="129" t="s">
        <v>347</v>
      </c>
      <c r="AT188" s="129" t="s">
        <v>231</v>
      </c>
      <c r="AU188" s="129" t="s">
        <v>63</v>
      </c>
      <c r="AY188" s="13" t="s">
        <v>228</v>
      </c>
      <c r="BE188" s="130">
        <f t="shared" si="15"/>
        <v>0</v>
      </c>
      <c r="BF188" s="130">
        <f t="shared" si="16"/>
        <v>217.56</v>
      </c>
      <c r="BG188" s="130">
        <f t="shared" si="17"/>
        <v>0</v>
      </c>
      <c r="BH188" s="130">
        <f t="shared" si="18"/>
        <v>0</v>
      </c>
      <c r="BI188" s="130">
        <f t="shared" si="19"/>
        <v>0</v>
      </c>
      <c r="BJ188" s="13" t="s">
        <v>76</v>
      </c>
      <c r="BK188" s="130">
        <f t="shared" si="20"/>
        <v>217.56</v>
      </c>
      <c r="BL188" s="13" t="s">
        <v>347</v>
      </c>
      <c r="BM188" s="129" t="s">
        <v>448</v>
      </c>
    </row>
    <row r="189" spans="2:65" s="1" customFormat="1" ht="24" customHeight="1" x14ac:dyDescent="0.2">
      <c r="B189" s="118"/>
      <c r="C189" s="131" t="s">
        <v>340</v>
      </c>
      <c r="D189" s="131" t="s">
        <v>277</v>
      </c>
      <c r="E189" s="132" t="s">
        <v>1541</v>
      </c>
      <c r="F189" s="133" t="s">
        <v>1542</v>
      </c>
      <c r="G189" s="134" t="s">
        <v>292</v>
      </c>
      <c r="H189" s="135">
        <v>84</v>
      </c>
      <c r="I189" s="136">
        <v>44.47</v>
      </c>
      <c r="J189" s="136">
        <f t="shared" si="11"/>
        <v>3735.48</v>
      </c>
      <c r="K189" s="133" t="s">
        <v>1</v>
      </c>
      <c r="L189" s="137"/>
      <c r="M189" s="138" t="s">
        <v>1</v>
      </c>
      <c r="N189" s="139" t="s">
        <v>32</v>
      </c>
      <c r="O189" s="127">
        <v>0</v>
      </c>
      <c r="P189" s="127">
        <f t="shared" si="12"/>
        <v>0</v>
      </c>
      <c r="Q189" s="127">
        <v>3.8999999999999998E-3</v>
      </c>
      <c r="R189" s="127">
        <f t="shared" si="13"/>
        <v>0.3276</v>
      </c>
      <c r="S189" s="127">
        <v>0</v>
      </c>
      <c r="T189" s="128">
        <f t="shared" si="14"/>
        <v>0</v>
      </c>
      <c r="W189" s="199"/>
      <c r="X189" s="131" t="s">
        <v>340</v>
      </c>
      <c r="Y189" s="131" t="s">
        <v>277</v>
      </c>
      <c r="Z189" s="132" t="s">
        <v>1541</v>
      </c>
      <c r="AA189" s="133" t="s">
        <v>1542</v>
      </c>
      <c r="AB189" s="134" t="s">
        <v>292</v>
      </c>
      <c r="AC189" s="135">
        <v>84</v>
      </c>
      <c r="AD189" s="136">
        <v>44.47</v>
      </c>
      <c r="AE189" s="229">
        <f t="shared" si="4"/>
        <v>3735.48</v>
      </c>
      <c r="AF189" s="248"/>
      <c r="AR189" s="129" t="s">
        <v>705</v>
      </c>
      <c r="AT189" s="129" t="s">
        <v>277</v>
      </c>
      <c r="AU189" s="129" t="s">
        <v>63</v>
      </c>
      <c r="AY189" s="13" t="s">
        <v>228</v>
      </c>
      <c r="BE189" s="130">
        <f t="shared" si="15"/>
        <v>0</v>
      </c>
      <c r="BF189" s="130">
        <f t="shared" si="16"/>
        <v>3735.48</v>
      </c>
      <c r="BG189" s="130">
        <f t="shared" si="17"/>
        <v>0</v>
      </c>
      <c r="BH189" s="130">
        <f t="shared" si="18"/>
        <v>0</v>
      </c>
      <c r="BI189" s="130">
        <f t="shared" si="19"/>
        <v>0</v>
      </c>
      <c r="BJ189" s="13" t="s">
        <v>76</v>
      </c>
      <c r="BK189" s="130">
        <f t="shared" si="20"/>
        <v>3735.48</v>
      </c>
      <c r="BL189" s="13" t="s">
        <v>347</v>
      </c>
      <c r="BM189" s="129" t="s">
        <v>451</v>
      </c>
    </row>
    <row r="190" spans="2:65" s="392" customFormat="1" ht="24" customHeight="1" x14ac:dyDescent="0.2">
      <c r="B190" s="118"/>
      <c r="C190" s="1234" t="s">
        <v>5205</v>
      </c>
      <c r="D190" s="1235"/>
      <c r="E190" s="1235"/>
      <c r="F190" s="1235"/>
      <c r="G190" s="1235"/>
      <c r="H190" s="1235"/>
      <c r="I190" s="1235"/>
      <c r="J190" s="1236"/>
      <c r="K190" s="133"/>
      <c r="L190" s="137"/>
      <c r="M190" s="138"/>
      <c r="N190" s="139"/>
      <c r="O190" s="127"/>
      <c r="P190" s="127"/>
      <c r="Q190" s="127"/>
      <c r="R190" s="127"/>
      <c r="S190" s="127"/>
      <c r="T190" s="128"/>
      <c r="W190" s="199"/>
      <c r="X190" s="341" t="s">
        <v>5968</v>
      </c>
      <c r="Y190" s="341" t="s">
        <v>231</v>
      </c>
      <c r="Z190" s="342" t="s">
        <v>5864</v>
      </c>
      <c r="AA190" s="343" t="s">
        <v>5865</v>
      </c>
      <c r="AB190" s="344" t="s">
        <v>292</v>
      </c>
      <c r="AC190" s="345">
        <v>36</v>
      </c>
      <c r="AD190" s="346">
        <v>1.47</v>
      </c>
      <c r="AE190" s="355">
        <f t="shared" si="4"/>
        <v>52.92</v>
      </c>
      <c r="AF190" s="248">
        <v>2</v>
      </c>
      <c r="AR190" s="129"/>
      <c r="AT190" s="129"/>
      <c r="AU190" s="129"/>
      <c r="AY190" s="13"/>
      <c r="BE190" s="130"/>
      <c r="BF190" s="130"/>
      <c r="BG190" s="130"/>
      <c r="BH190" s="130"/>
      <c r="BI190" s="130"/>
      <c r="BJ190" s="13"/>
      <c r="BK190" s="130"/>
      <c r="BL190" s="13"/>
      <c r="BM190" s="129"/>
    </row>
    <row r="191" spans="2:65" s="392" customFormat="1" ht="24" customHeight="1" x14ac:dyDescent="0.2">
      <c r="B191" s="118"/>
      <c r="C191" s="1234" t="s">
        <v>5205</v>
      </c>
      <c r="D191" s="1235"/>
      <c r="E191" s="1235"/>
      <c r="F191" s="1235"/>
      <c r="G191" s="1235"/>
      <c r="H191" s="1235"/>
      <c r="I191" s="1235"/>
      <c r="J191" s="1236"/>
      <c r="K191" s="133"/>
      <c r="L191" s="137"/>
      <c r="M191" s="138"/>
      <c r="N191" s="139"/>
      <c r="O191" s="127"/>
      <c r="P191" s="127"/>
      <c r="Q191" s="127"/>
      <c r="R191" s="127"/>
      <c r="S191" s="127"/>
      <c r="T191" s="128"/>
      <c r="W191" s="199"/>
      <c r="X191" s="348" t="s">
        <v>5969</v>
      </c>
      <c r="Y191" s="348" t="s">
        <v>277</v>
      </c>
      <c r="Z191" s="349" t="s">
        <v>5866</v>
      </c>
      <c r="AA191" s="350" t="s">
        <v>5867</v>
      </c>
      <c r="AB191" s="351" t="s">
        <v>292</v>
      </c>
      <c r="AC191" s="352">
        <v>36</v>
      </c>
      <c r="AD191" s="353">
        <v>8.36</v>
      </c>
      <c r="AE191" s="356">
        <f t="shared" si="4"/>
        <v>300.95999999999998</v>
      </c>
      <c r="AF191" s="248">
        <v>2</v>
      </c>
      <c r="AR191" s="129"/>
      <c r="AT191" s="129"/>
      <c r="AU191" s="129"/>
      <c r="AY191" s="13"/>
      <c r="BE191" s="130"/>
      <c r="BF191" s="130"/>
      <c r="BG191" s="130"/>
      <c r="BH191" s="130"/>
      <c r="BI191" s="130"/>
      <c r="BJ191" s="13"/>
      <c r="BK191" s="130"/>
      <c r="BL191" s="13"/>
      <c r="BM191" s="129"/>
    </row>
    <row r="192" spans="2:65" s="392" customFormat="1" ht="24" customHeight="1" x14ac:dyDescent="0.2">
      <c r="B192" s="118"/>
      <c r="C192" s="1234" t="s">
        <v>5205</v>
      </c>
      <c r="D192" s="1235"/>
      <c r="E192" s="1235"/>
      <c r="F192" s="1235"/>
      <c r="G192" s="1235"/>
      <c r="H192" s="1235"/>
      <c r="I192" s="1235"/>
      <c r="J192" s="1236"/>
      <c r="K192" s="133"/>
      <c r="L192" s="137"/>
      <c r="M192" s="138"/>
      <c r="N192" s="139"/>
      <c r="O192" s="127"/>
      <c r="P192" s="127"/>
      <c r="Q192" s="127"/>
      <c r="R192" s="127"/>
      <c r="S192" s="127"/>
      <c r="T192" s="128"/>
      <c r="W192" s="199"/>
      <c r="X192" s="341" t="s">
        <v>5970</v>
      </c>
      <c r="Y192" s="341" t="s">
        <v>231</v>
      </c>
      <c r="Z192" s="342" t="s">
        <v>5868</v>
      </c>
      <c r="AA192" s="343" t="s">
        <v>5869</v>
      </c>
      <c r="AB192" s="344" t="s">
        <v>292</v>
      </c>
      <c r="AC192" s="345">
        <v>93</v>
      </c>
      <c r="AD192" s="346">
        <v>1.94</v>
      </c>
      <c r="AE192" s="355">
        <f t="shared" si="4"/>
        <v>180.42</v>
      </c>
      <c r="AF192" s="248">
        <v>2</v>
      </c>
      <c r="AR192" s="129"/>
      <c r="AT192" s="129"/>
      <c r="AU192" s="129"/>
      <c r="AY192" s="13"/>
      <c r="BE192" s="130"/>
      <c r="BF192" s="130"/>
      <c r="BG192" s="130"/>
      <c r="BH192" s="130"/>
      <c r="BI192" s="130"/>
      <c r="BJ192" s="13"/>
      <c r="BK192" s="130"/>
      <c r="BL192" s="13"/>
      <c r="BM192" s="129"/>
    </row>
    <row r="193" spans="2:65" s="392" customFormat="1" ht="24" customHeight="1" x14ac:dyDescent="0.2">
      <c r="B193" s="118"/>
      <c r="C193" s="1234" t="s">
        <v>5205</v>
      </c>
      <c r="D193" s="1235"/>
      <c r="E193" s="1235"/>
      <c r="F193" s="1235"/>
      <c r="G193" s="1235"/>
      <c r="H193" s="1235"/>
      <c r="I193" s="1235"/>
      <c r="J193" s="1236"/>
      <c r="K193" s="133"/>
      <c r="L193" s="137"/>
      <c r="M193" s="138"/>
      <c r="N193" s="139"/>
      <c r="O193" s="127"/>
      <c r="P193" s="127"/>
      <c r="Q193" s="127"/>
      <c r="R193" s="127"/>
      <c r="S193" s="127"/>
      <c r="T193" s="128"/>
      <c r="W193" s="199"/>
      <c r="X193" s="348" t="s">
        <v>5971</v>
      </c>
      <c r="Y193" s="348" t="s">
        <v>277</v>
      </c>
      <c r="Z193" s="349" t="s">
        <v>5870</v>
      </c>
      <c r="AA193" s="350" t="s">
        <v>5871</v>
      </c>
      <c r="AB193" s="351" t="s">
        <v>292</v>
      </c>
      <c r="AC193" s="352">
        <v>93</v>
      </c>
      <c r="AD193" s="353">
        <v>12.32</v>
      </c>
      <c r="AE193" s="356">
        <f t="shared" si="4"/>
        <v>1145.76</v>
      </c>
      <c r="AF193" s="248">
        <v>2</v>
      </c>
      <c r="AR193" s="129"/>
      <c r="AT193" s="129"/>
      <c r="AU193" s="129"/>
      <c r="AY193" s="13"/>
      <c r="BE193" s="130"/>
      <c r="BF193" s="130"/>
      <c r="BG193" s="130"/>
      <c r="BH193" s="130"/>
      <c r="BI193" s="130"/>
      <c r="BJ193" s="13"/>
      <c r="BK193" s="130"/>
      <c r="BL193" s="13"/>
      <c r="BM193" s="129"/>
    </row>
    <row r="194" spans="2:65" s="1" customFormat="1" ht="16.5" customHeight="1" x14ac:dyDescent="0.2">
      <c r="B194" s="118"/>
      <c r="C194" s="119" t="s">
        <v>452</v>
      </c>
      <c r="D194" s="119" t="s">
        <v>231</v>
      </c>
      <c r="E194" s="120" t="s">
        <v>1587</v>
      </c>
      <c r="F194" s="121" t="s">
        <v>4578</v>
      </c>
      <c r="G194" s="122" t="s">
        <v>292</v>
      </c>
      <c r="H194" s="123">
        <v>10</v>
      </c>
      <c r="I194" s="124">
        <v>3.34</v>
      </c>
      <c r="J194" s="124">
        <f t="shared" si="11"/>
        <v>33.4</v>
      </c>
      <c r="K194" s="121" t="s">
        <v>1</v>
      </c>
      <c r="L194" s="24"/>
      <c r="M194" s="125" t="s">
        <v>1</v>
      </c>
      <c r="N194" s="126" t="s">
        <v>32</v>
      </c>
      <c r="O194" s="127">
        <v>0</v>
      </c>
      <c r="P194" s="127">
        <f t="shared" si="12"/>
        <v>0</v>
      </c>
      <c r="Q194" s="127">
        <v>0</v>
      </c>
      <c r="R194" s="127">
        <f t="shared" si="13"/>
        <v>0</v>
      </c>
      <c r="S194" s="127">
        <v>0</v>
      </c>
      <c r="T194" s="128">
        <f t="shared" si="14"/>
        <v>0</v>
      </c>
      <c r="W194" s="199"/>
      <c r="X194" s="119" t="s">
        <v>452</v>
      </c>
      <c r="Y194" s="119" t="s">
        <v>231</v>
      </c>
      <c r="Z194" s="120" t="s">
        <v>1587</v>
      </c>
      <c r="AA194" s="121" t="s">
        <v>4578</v>
      </c>
      <c r="AB194" s="122" t="s">
        <v>292</v>
      </c>
      <c r="AC194" s="123">
        <v>10</v>
      </c>
      <c r="AD194" s="124">
        <v>3.34</v>
      </c>
      <c r="AE194" s="200">
        <f t="shared" si="4"/>
        <v>33.4</v>
      </c>
      <c r="AF194" s="248"/>
      <c r="AR194" s="129" t="s">
        <v>347</v>
      </c>
      <c r="AT194" s="129" t="s">
        <v>231</v>
      </c>
      <c r="AU194" s="129" t="s">
        <v>63</v>
      </c>
      <c r="AY194" s="13" t="s">
        <v>228</v>
      </c>
      <c r="BE194" s="130">
        <f t="shared" si="15"/>
        <v>0</v>
      </c>
      <c r="BF194" s="130">
        <f t="shared" si="16"/>
        <v>33.4</v>
      </c>
      <c r="BG194" s="130">
        <f t="shared" si="17"/>
        <v>0</v>
      </c>
      <c r="BH194" s="130">
        <f t="shared" si="18"/>
        <v>0</v>
      </c>
      <c r="BI194" s="130">
        <f t="shared" si="19"/>
        <v>0</v>
      </c>
      <c r="BJ194" s="13" t="s">
        <v>76</v>
      </c>
      <c r="BK194" s="130">
        <f t="shared" si="20"/>
        <v>33.4</v>
      </c>
      <c r="BL194" s="13" t="s">
        <v>347</v>
      </c>
      <c r="BM194" s="129" t="s">
        <v>455</v>
      </c>
    </row>
    <row r="195" spans="2:65" s="1" customFormat="1" ht="16.5" customHeight="1" x14ac:dyDescent="0.2">
      <c r="B195" s="118"/>
      <c r="C195" s="131" t="s">
        <v>344</v>
      </c>
      <c r="D195" s="131" t="s">
        <v>277</v>
      </c>
      <c r="E195" s="132" t="s">
        <v>4579</v>
      </c>
      <c r="F195" s="133" t="s">
        <v>4578</v>
      </c>
      <c r="G195" s="134" t="s">
        <v>292</v>
      </c>
      <c r="H195" s="135">
        <v>10</v>
      </c>
      <c r="I195" s="136">
        <v>3.88</v>
      </c>
      <c r="J195" s="136">
        <f t="shared" si="11"/>
        <v>38.799999999999997</v>
      </c>
      <c r="K195" s="133" t="s">
        <v>1</v>
      </c>
      <c r="L195" s="137"/>
      <c r="M195" s="138" t="s">
        <v>1</v>
      </c>
      <c r="N195" s="139" t="s">
        <v>32</v>
      </c>
      <c r="O195" s="127">
        <v>0</v>
      </c>
      <c r="P195" s="127">
        <f t="shared" si="12"/>
        <v>0</v>
      </c>
      <c r="Q195" s="127">
        <v>0</v>
      </c>
      <c r="R195" s="127">
        <f t="shared" si="13"/>
        <v>0</v>
      </c>
      <c r="S195" s="127">
        <v>0</v>
      </c>
      <c r="T195" s="128">
        <f t="shared" si="14"/>
        <v>0</v>
      </c>
      <c r="W195" s="199"/>
      <c r="X195" s="131" t="s">
        <v>344</v>
      </c>
      <c r="Y195" s="131" t="s">
        <v>277</v>
      </c>
      <c r="Z195" s="132" t="s">
        <v>4579</v>
      </c>
      <c r="AA195" s="133" t="s">
        <v>4578</v>
      </c>
      <c r="AB195" s="134" t="s">
        <v>292</v>
      </c>
      <c r="AC195" s="135">
        <v>10</v>
      </c>
      <c r="AD195" s="136">
        <v>3.88</v>
      </c>
      <c r="AE195" s="229">
        <f t="shared" si="4"/>
        <v>38.799999999999997</v>
      </c>
      <c r="AF195" s="248"/>
      <c r="AR195" s="129" t="s">
        <v>705</v>
      </c>
      <c r="AT195" s="129" t="s">
        <v>277</v>
      </c>
      <c r="AU195" s="129" t="s">
        <v>63</v>
      </c>
      <c r="AY195" s="13" t="s">
        <v>228</v>
      </c>
      <c r="BE195" s="130">
        <f t="shared" si="15"/>
        <v>0</v>
      </c>
      <c r="BF195" s="130">
        <f t="shared" si="16"/>
        <v>38.799999999999997</v>
      </c>
      <c r="BG195" s="130">
        <f t="shared" si="17"/>
        <v>0</v>
      </c>
      <c r="BH195" s="130">
        <f t="shared" si="18"/>
        <v>0</v>
      </c>
      <c r="BI195" s="130">
        <f t="shared" si="19"/>
        <v>0</v>
      </c>
      <c r="BJ195" s="13" t="s">
        <v>76</v>
      </c>
      <c r="BK195" s="130">
        <f t="shared" si="20"/>
        <v>38.799999999999997</v>
      </c>
      <c r="BL195" s="13" t="s">
        <v>347</v>
      </c>
      <c r="BM195" s="129" t="s">
        <v>458</v>
      </c>
    </row>
    <row r="196" spans="2:65" s="1" customFormat="1" ht="16.5" customHeight="1" x14ac:dyDescent="0.2">
      <c r="B196" s="118"/>
      <c r="C196" s="119" t="s">
        <v>459</v>
      </c>
      <c r="D196" s="119" t="s">
        <v>231</v>
      </c>
      <c r="E196" s="120" t="s">
        <v>1544</v>
      </c>
      <c r="F196" s="121" t="s">
        <v>1545</v>
      </c>
      <c r="G196" s="122" t="s">
        <v>1194</v>
      </c>
      <c r="H196" s="123">
        <v>8</v>
      </c>
      <c r="I196" s="124">
        <v>11.48</v>
      </c>
      <c r="J196" s="124">
        <f t="shared" si="11"/>
        <v>91.84</v>
      </c>
      <c r="K196" s="121" t="s">
        <v>1</v>
      </c>
      <c r="L196" s="24"/>
      <c r="M196" s="125" t="s">
        <v>1</v>
      </c>
      <c r="N196" s="126" t="s">
        <v>32</v>
      </c>
      <c r="O196" s="127">
        <v>0</v>
      </c>
      <c r="P196" s="127">
        <f t="shared" si="12"/>
        <v>0</v>
      </c>
      <c r="Q196" s="127">
        <v>0</v>
      </c>
      <c r="R196" s="127">
        <f t="shared" si="13"/>
        <v>0</v>
      </c>
      <c r="S196" s="127">
        <v>0</v>
      </c>
      <c r="T196" s="128">
        <f t="shared" si="14"/>
        <v>0</v>
      </c>
      <c r="W196" s="199"/>
      <c r="X196" s="119" t="s">
        <v>459</v>
      </c>
      <c r="Y196" s="119" t="s">
        <v>231</v>
      </c>
      <c r="Z196" s="120" t="s">
        <v>1544</v>
      </c>
      <c r="AA196" s="121" t="s">
        <v>1545</v>
      </c>
      <c r="AB196" s="122" t="s">
        <v>1194</v>
      </c>
      <c r="AC196" s="123">
        <v>8</v>
      </c>
      <c r="AD196" s="124">
        <v>11.48</v>
      </c>
      <c r="AE196" s="200">
        <f t="shared" si="4"/>
        <v>91.84</v>
      </c>
      <c r="AF196" s="248"/>
      <c r="AR196" s="129" t="s">
        <v>347</v>
      </c>
      <c r="AT196" s="129" t="s">
        <v>231</v>
      </c>
      <c r="AU196" s="129" t="s">
        <v>63</v>
      </c>
      <c r="AY196" s="13" t="s">
        <v>228</v>
      </c>
      <c r="BE196" s="130">
        <f t="shared" si="15"/>
        <v>0</v>
      </c>
      <c r="BF196" s="130">
        <f t="shared" si="16"/>
        <v>91.84</v>
      </c>
      <c r="BG196" s="130">
        <f t="shared" si="17"/>
        <v>0</v>
      </c>
      <c r="BH196" s="130">
        <f t="shared" si="18"/>
        <v>0</v>
      </c>
      <c r="BI196" s="130">
        <f t="shared" si="19"/>
        <v>0</v>
      </c>
      <c r="BJ196" s="13" t="s">
        <v>76</v>
      </c>
      <c r="BK196" s="130">
        <f t="shared" si="20"/>
        <v>91.84</v>
      </c>
      <c r="BL196" s="13" t="s">
        <v>347</v>
      </c>
      <c r="BM196" s="129" t="s">
        <v>462</v>
      </c>
    </row>
    <row r="197" spans="2:65" s="1" customFormat="1" ht="16.5" customHeight="1" x14ac:dyDescent="0.2">
      <c r="B197" s="118"/>
      <c r="C197" s="131" t="s">
        <v>347</v>
      </c>
      <c r="D197" s="131" t="s">
        <v>277</v>
      </c>
      <c r="E197" s="132" t="s">
        <v>1544</v>
      </c>
      <c r="F197" s="133" t="s">
        <v>1545</v>
      </c>
      <c r="G197" s="134" t="s">
        <v>1194</v>
      </c>
      <c r="H197" s="135">
        <v>8</v>
      </c>
      <c r="I197" s="136">
        <v>38.19</v>
      </c>
      <c r="J197" s="136">
        <f t="shared" si="11"/>
        <v>305.52</v>
      </c>
      <c r="K197" s="133" t="s">
        <v>1</v>
      </c>
      <c r="L197" s="137"/>
      <c r="M197" s="138" t="s">
        <v>1</v>
      </c>
      <c r="N197" s="139" t="s">
        <v>32</v>
      </c>
      <c r="O197" s="127">
        <v>0</v>
      </c>
      <c r="P197" s="127">
        <f t="shared" si="12"/>
        <v>0</v>
      </c>
      <c r="Q197" s="127">
        <v>0</v>
      </c>
      <c r="R197" s="127">
        <f t="shared" si="13"/>
        <v>0</v>
      </c>
      <c r="S197" s="127">
        <v>0</v>
      </c>
      <c r="T197" s="128">
        <f t="shared" si="14"/>
        <v>0</v>
      </c>
      <c r="W197" s="199"/>
      <c r="X197" s="131" t="s">
        <v>347</v>
      </c>
      <c r="Y197" s="131" t="s">
        <v>277</v>
      </c>
      <c r="Z197" s="132" t="s">
        <v>1544</v>
      </c>
      <c r="AA197" s="133" t="s">
        <v>1545</v>
      </c>
      <c r="AB197" s="134" t="s">
        <v>1194</v>
      </c>
      <c r="AC197" s="135">
        <v>8</v>
      </c>
      <c r="AD197" s="136">
        <v>38.19</v>
      </c>
      <c r="AE197" s="229">
        <f t="shared" si="4"/>
        <v>305.52</v>
      </c>
      <c r="AF197" s="248"/>
      <c r="AR197" s="129" t="s">
        <v>705</v>
      </c>
      <c r="AT197" s="129" t="s">
        <v>277</v>
      </c>
      <c r="AU197" s="129" t="s">
        <v>63</v>
      </c>
      <c r="AY197" s="13" t="s">
        <v>228</v>
      </c>
      <c r="BE197" s="130">
        <f t="shared" si="15"/>
        <v>0</v>
      </c>
      <c r="BF197" s="130">
        <f t="shared" si="16"/>
        <v>305.52</v>
      </c>
      <c r="BG197" s="130">
        <f t="shared" si="17"/>
        <v>0</v>
      </c>
      <c r="BH197" s="130">
        <f t="shared" si="18"/>
        <v>0</v>
      </c>
      <c r="BI197" s="130">
        <f t="shared" si="19"/>
        <v>0</v>
      </c>
      <c r="BJ197" s="13" t="s">
        <v>76</v>
      </c>
      <c r="BK197" s="130">
        <f t="shared" si="20"/>
        <v>305.52</v>
      </c>
      <c r="BL197" s="13" t="s">
        <v>347</v>
      </c>
      <c r="BM197" s="129" t="s">
        <v>465</v>
      </c>
    </row>
    <row r="198" spans="2:65" s="1" customFormat="1" ht="16.5" customHeight="1" x14ac:dyDescent="0.2">
      <c r="B198" s="118"/>
      <c r="C198" s="205" t="s">
        <v>466</v>
      </c>
      <c r="D198" s="119" t="s">
        <v>231</v>
      </c>
      <c r="E198" s="120" t="s">
        <v>3909</v>
      </c>
      <c r="F198" s="121" t="s">
        <v>1652</v>
      </c>
      <c r="G198" s="122" t="s">
        <v>292</v>
      </c>
      <c r="H198" s="206">
        <v>1920</v>
      </c>
      <c r="I198" s="124">
        <v>0.67</v>
      </c>
      <c r="J198" s="124">
        <f t="shared" ref="J198:J229" si="21">ROUND(I198*H198,2)</f>
        <v>1286.4000000000001</v>
      </c>
      <c r="K198" s="121" t="s">
        <v>1</v>
      </c>
      <c r="L198" s="24"/>
      <c r="M198" s="125" t="s">
        <v>1</v>
      </c>
      <c r="N198" s="126" t="s">
        <v>32</v>
      </c>
      <c r="O198" s="127">
        <v>0</v>
      </c>
      <c r="P198" s="127">
        <f t="shared" ref="P198:P229" si="22">O198*H198</f>
        <v>0</v>
      </c>
      <c r="Q198" s="127">
        <v>0</v>
      </c>
      <c r="R198" s="127">
        <f t="shared" ref="R198:R229" si="23">Q198*H198</f>
        <v>0</v>
      </c>
      <c r="S198" s="127">
        <v>0</v>
      </c>
      <c r="T198" s="128">
        <f t="shared" ref="T198:T229" si="24">S198*H198</f>
        <v>0</v>
      </c>
      <c r="W198" s="199"/>
      <c r="X198" s="205" t="s">
        <v>466</v>
      </c>
      <c r="Y198" s="119" t="s">
        <v>231</v>
      </c>
      <c r="Z198" s="120" t="s">
        <v>3909</v>
      </c>
      <c r="AA198" s="121" t="s">
        <v>1652</v>
      </c>
      <c r="AB198" s="122" t="s">
        <v>292</v>
      </c>
      <c r="AC198" s="206">
        <f>1920+580</f>
        <v>2500</v>
      </c>
      <c r="AD198" s="124">
        <v>0.67</v>
      </c>
      <c r="AE198" s="200">
        <f t="shared" ref="AE198:AE270" si="25">ROUND(AD198*AC198,2)</f>
        <v>1675</v>
      </c>
      <c r="AF198" s="248">
        <v>2</v>
      </c>
      <c r="AR198" s="129" t="s">
        <v>347</v>
      </c>
      <c r="AT198" s="129" t="s">
        <v>231</v>
      </c>
      <c r="AU198" s="129" t="s">
        <v>63</v>
      </c>
      <c r="AY198" s="13" t="s">
        <v>228</v>
      </c>
      <c r="BE198" s="130">
        <f t="shared" ref="BE198:BE229" si="26">IF(N198="základná",J198,0)</f>
        <v>0</v>
      </c>
      <c r="BF198" s="130">
        <f t="shared" ref="BF198:BF229" si="27">IF(N198="znížená",J198,0)</f>
        <v>1286.4000000000001</v>
      </c>
      <c r="BG198" s="130">
        <f t="shared" ref="BG198:BG229" si="28">IF(N198="zákl. prenesená",J198,0)</f>
        <v>0</v>
      </c>
      <c r="BH198" s="130">
        <f t="shared" ref="BH198:BH229" si="29">IF(N198="zníž. prenesená",J198,0)</f>
        <v>0</v>
      </c>
      <c r="BI198" s="130">
        <f t="shared" ref="BI198:BI229" si="30">IF(N198="nulová",J198,0)</f>
        <v>0</v>
      </c>
      <c r="BJ198" s="13" t="s">
        <v>76</v>
      </c>
      <c r="BK198" s="130">
        <f t="shared" ref="BK198:BK229" si="31">ROUND(I198*H198,2)</f>
        <v>1286.4000000000001</v>
      </c>
      <c r="BL198" s="13" t="s">
        <v>347</v>
      </c>
      <c r="BM198" s="129" t="s">
        <v>469</v>
      </c>
    </row>
    <row r="199" spans="2:65" s="1" customFormat="1" ht="16.5" customHeight="1" x14ac:dyDescent="0.2">
      <c r="B199" s="118"/>
      <c r="C199" s="242" t="s">
        <v>351</v>
      </c>
      <c r="D199" s="131" t="s">
        <v>277</v>
      </c>
      <c r="E199" s="132" t="s">
        <v>3909</v>
      </c>
      <c r="F199" s="133" t="s">
        <v>1652</v>
      </c>
      <c r="G199" s="134" t="s">
        <v>292</v>
      </c>
      <c r="H199" s="241">
        <v>1920</v>
      </c>
      <c r="I199" s="136">
        <v>1.21</v>
      </c>
      <c r="J199" s="136">
        <f t="shared" si="21"/>
        <v>2323.1999999999998</v>
      </c>
      <c r="K199" s="133" t="s">
        <v>1</v>
      </c>
      <c r="L199" s="137"/>
      <c r="M199" s="138" t="s">
        <v>1</v>
      </c>
      <c r="N199" s="139" t="s">
        <v>32</v>
      </c>
      <c r="O199" s="127">
        <v>0</v>
      </c>
      <c r="P199" s="127">
        <f t="shared" si="22"/>
        <v>0</v>
      </c>
      <c r="Q199" s="127">
        <v>0</v>
      </c>
      <c r="R199" s="127">
        <f t="shared" si="23"/>
        <v>0</v>
      </c>
      <c r="S199" s="127">
        <v>0</v>
      </c>
      <c r="T199" s="128">
        <f t="shared" si="24"/>
        <v>0</v>
      </c>
      <c r="W199" s="199"/>
      <c r="X199" s="242" t="s">
        <v>351</v>
      </c>
      <c r="Y199" s="131" t="s">
        <v>277</v>
      </c>
      <c r="Z199" s="132" t="s">
        <v>3909</v>
      </c>
      <c r="AA199" s="133" t="s">
        <v>1652</v>
      </c>
      <c r="AB199" s="134" t="s">
        <v>292</v>
      </c>
      <c r="AC199" s="241">
        <f>1920+580</f>
        <v>2500</v>
      </c>
      <c r="AD199" s="136">
        <v>1.21</v>
      </c>
      <c r="AE199" s="229">
        <f t="shared" si="25"/>
        <v>3025</v>
      </c>
      <c r="AF199" s="248">
        <v>2</v>
      </c>
      <c r="AR199" s="129" t="s">
        <v>705</v>
      </c>
      <c r="AT199" s="129" t="s">
        <v>277</v>
      </c>
      <c r="AU199" s="129" t="s">
        <v>63</v>
      </c>
      <c r="AY199" s="13" t="s">
        <v>228</v>
      </c>
      <c r="BE199" s="130">
        <f t="shared" si="26"/>
        <v>0</v>
      </c>
      <c r="BF199" s="130">
        <f t="shared" si="27"/>
        <v>2323.1999999999998</v>
      </c>
      <c r="BG199" s="130">
        <f t="shared" si="28"/>
        <v>0</v>
      </c>
      <c r="BH199" s="130">
        <f t="shared" si="29"/>
        <v>0</v>
      </c>
      <c r="BI199" s="130">
        <f t="shared" si="30"/>
        <v>0</v>
      </c>
      <c r="BJ199" s="13" t="s">
        <v>76</v>
      </c>
      <c r="BK199" s="130">
        <f t="shared" si="31"/>
        <v>2323.1999999999998</v>
      </c>
      <c r="BL199" s="13" t="s">
        <v>347</v>
      </c>
      <c r="BM199" s="129" t="s">
        <v>472</v>
      </c>
    </row>
    <row r="200" spans="2:65" s="1" customFormat="1" ht="16.5" customHeight="1" x14ac:dyDescent="0.2">
      <c r="B200" s="118"/>
      <c r="C200" s="119" t="s">
        <v>473</v>
      </c>
      <c r="D200" s="119" t="s">
        <v>231</v>
      </c>
      <c r="E200" s="120" t="s">
        <v>1712</v>
      </c>
      <c r="F200" s="121" t="s">
        <v>1713</v>
      </c>
      <c r="G200" s="122" t="s">
        <v>292</v>
      </c>
      <c r="H200" s="123">
        <v>92</v>
      </c>
      <c r="I200" s="124">
        <v>0.67</v>
      </c>
      <c r="J200" s="124">
        <f t="shared" si="21"/>
        <v>61.64</v>
      </c>
      <c r="K200" s="121" t="s">
        <v>1</v>
      </c>
      <c r="L200" s="24"/>
      <c r="M200" s="125" t="s">
        <v>1</v>
      </c>
      <c r="N200" s="126" t="s">
        <v>32</v>
      </c>
      <c r="O200" s="127">
        <v>0</v>
      </c>
      <c r="P200" s="127">
        <f t="shared" si="22"/>
        <v>0</v>
      </c>
      <c r="Q200" s="127">
        <v>0</v>
      </c>
      <c r="R200" s="127">
        <f t="shared" si="23"/>
        <v>0</v>
      </c>
      <c r="S200" s="127">
        <v>0</v>
      </c>
      <c r="T200" s="128">
        <f t="shared" si="24"/>
        <v>0</v>
      </c>
      <c r="W200" s="199"/>
      <c r="X200" s="119" t="s">
        <v>473</v>
      </c>
      <c r="Y200" s="119" t="s">
        <v>231</v>
      </c>
      <c r="Z200" s="120" t="s">
        <v>1712</v>
      </c>
      <c r="AA200" s="121" t="s">
        <v>1713</v>
      </c>
      <c r="AB200" s="122" t="s">
        <v>292</v>
      </c>
      <c r="AC200" s="123">
        <v>92</v>
      </c>
      <c r="AD200" s="124">
        <v>0.67</v>
      </c>
      <c r="AE200" s="200">
        <f t="shared" si="25"/>
        <v>61.64</v>
      </c>
      <c r="AF200" s="248"/>
      <c r="AR200" s="129" t="s">
        <v>347</v>
      </c>
      <c r="AT200" s="129" t="s">
        <v>231</v>
      </c>
      <c r="AU200" s="129" t="s">
        <v>63</v>
      </c>
      <c r="AY200" s="13" t="s">
        <v>228</v>
      </c>
      <c r="BE200" s="130">
        <f t="shared" si="26"/>
        <v>0</v>
      </c>
      <c r="BF200" s="130">
        <f t="shared" si="27"/>
        <v>61.64</v>
      </c>
      <c r="BG200" s="130">
        <f t="shared" si="28"/>
        <v>0</v>
      </c>
      <c r="BH200" s="130">
        <f t="shared" si="29"/>
        <v>0</v>
      </c>
      <c r="BI200" s="130">
        <f t="shared" si="30"/>
        <v>0</v>
      </c>
      <c r="BJ200" s="13" t="s">
        <v>76</v>
      </c>
      <c r="BK200" s="130">
        <f t="shared" si="31"/>
        <v>61.64</v>
      </c>
      <c r="BL200" s="13" t="s">
        <v>347</v>
      </c>
      <c r="BM200" s="129" t="s">
        <v>476</v>
      </c>
    </row>
    <row r="201" spans="2:65" s="1" customFormat="1" ht="16.5" customHeight="1" x14ac:dyDescent="0.2">
      <c r="B201" s="118"/>
      <c r="C201" s="131" t="s">
        <v>354</v>
      </c>
      <c r="D201" s="131" t="s">
        <v>277</v>
      </c>
      <c r="E201" s="132" t="s">
        <v>1712</v>
      </c>
      <c r="F201" s="133" t="s">
        <v>1713</v>
      </c>
      <c r="G201" s="134" t="s">
        <v>292</v>
      </c>
      <c r="H201" s="135">
        <v>92</v>
      </c>
      <c r="I201" s="136">
        <v>1.28</v>
      </c>
      <c r="J201" s="136">
        <f t="shared" si="21"/>
        <v>117.76</v>
      </c>
      <c r="K201" s="133" t="s">
        <v>1</v>
      </c>
      <c r="L201" s="137"/>
      <c r="M201" s="138" t="s">
        <v>1</v>
      </c>
      <c r="N201" s="139" t="s">
        <v>32</v>
      </c>
      <c r="O201" s="127">
        <v>0</v>
      </c>
      <c r="P201" s="127">
        <f t="shared" si="22"/>
        <v>0</v>
      </c>
      <c r="Q201" s="127">
        <v>0</v>
      </c>
      <c r="R201" s="127">
        <f t="shared" si="23"/>
        <v>0</v>
      </c>
      <c r="S201" s="127">
        <v>0</v>
      </c>
      <c r="T201" s="128">
        <f t="shared" si="24"/>
        <v>0</v>
      </c>
      <c r="W201" s="199"/>
      <c r="X201" s="131" t="s">
        <v>354</v>
      </c>
      <c r="Y201" s="131" t="s">
        <v>277</v>
      </c>
      <c r="Z201" s="132" t="s">
        <v>1712</v>
      </c>
      <c r="AA201" s="133" t="s">
        <v>1713</v>
      </c>
      <c r="AB201" s="134" t="s">
        <v>292</v>
      </c>
      <c r="AC201" s="135">
        <v>92</v>
      </c>
      <c r="AD201" s="136">
        <v>1.28</v>
      </c>
      <c r="AE201" s="229">
        <f t="shared" si="25"/>
        <v>117.76</v>
      </c>
      <c r="AF201" s="248"/>
      <c r="AR201" s="129" t="s">
        <v>705</v>
      </c>
      <c r="AT201" s="129" t="s">
        <v>277</v>
      </c>
      <c r="AU201" s="129" t="s">
        <v>63</v>
      </c>
      <c r="AY201" s="13" t="s">
        <v>228</v>
      </c>
      <c r="BE201" s="130">
        <f t="shared" si="26"/>
        <v>0</v>
      </c>
      <c r="BF201" s="130">
        <f t="shared" si="27"/>
        <v>117.76</v>
      </c>
      <c r="BG201" s="130">
        <f t="shared" si="28"/>
        <v>0</v>
      </c>
      <c r="BH201" s="130">
        <f t="shared" si="29"/>
        <v>0</v>
      </c>
      <c r="BI201" s="130">
        <f t="shared" si="30"/>
        <v>0</v>
      </c>
      <c r="BJ201" s="13" t="s">
        <v>76</v>
      </c>
      <c r="BK201" s="130">
        <f t="shared" si="31"/>
        <v>117.76</v>
      </c>
      <c r="BL201" s="13" t="s">
        <v>347</v>
      </c>
      <c r="BM201" s="129" t="s">
        <v>479</v>
      </c>
    </row>
    <row r="202" spans="2:65" s="1" customFormat="1" ht="24" customHeight="1" x14ac:dyDescent="0.2">
      <c r="B202" s="118"/>
      <c r="C202" s="119" t="s">
        <v>480</v>
      </c>
      <c r="D202" s="119" t="s">
        <v>231</v>
      </c>
      <c r="E202" s="120" t="s">
        <v>1377</v>
      </c>
      <c r="F202" s="121" t="s">
        <v>3915</v>
      </c>
      <c r="G202" s="122" t="s">
        <v>1194</v>
      </c>
      <c r="H202" s="123">
        <v>23</v>
      </c>
      <c r="I202" s="124">
        <v>4.63</v>
      </c>
      <c r="J202" s="124">
        <f t="shared" si="21"/>
        <v>106.49</v>
      </c>
      <c r="K202" s="121" t="s">
        <v>1</v>
      </c>
      <c r="L202" s="24"/>
      <c r="M202" s="125" t="s">
        <v>1</v>
      </c>
      <c r="N202" s="126" t="s">
        <v>32</v>
      </c>
      <c r="O202" s="127">
        <v>0</v>
      </c>
      <c r="P202" s="127">
        <f t="shared" si="22"/>
        <v>0</v>
      </c>
      <c r="Q202" s="127">
        <v>0</v>
      </c>
      <c r="R202" s="127">
        <f t="shared" si="23"/>
        <v>0</v>
      </c>
      <c r="S202" s="127">
        <v>0</v>
      </c>
      <c r="T202" s="128">
        <f t="shared" si="24"/>
        <v>0</v>
      </c>
      <c r="W202" s="199"/>
      <c r="X202" s="119" t="s">
        <v>480</v>
      </c>
      <c r="Y202" s="119" t="s">
        <v>231</v>
      </c>
      <c r="Z202" s="120" t="s">
        <v>1377</v>
      </c>
      <c r="AA202" s="121" t="s">
        <v>3915</v>
      </c>
      <c r="AB202" s="122" t="s">
        <v>1194</v>
      </c>
      <c r="AC202" s="123">
        <v>23</v>
      </c>
      <c r="AD202" s="124">
        <v>4.63</v>
      </c>
      <c r="AE202" s="200">
        <f t="shared" si="25"/>
        <v>106.49</v>
      </c>
      <c r="AF202" s="248"/>
      <c r="AR202" s="129" t="s">
        <v>347</v>
      </c>
      <c r="AT202" s="129" t="s">
        <v>231</v>
      </c>
      <c r="AU202" s="129" t="s">
        <v>63</v>
      </c>
      <c r="AY202" s="13" t="s">
        <v>228</v>
      </c>
      <c r="BE202" s="130">
        <f t="shared" si="26"/>
        <v>0</v>
      </c>
      <c r="BF202" s="130">
        <f t="shared" si="27"/>
        <v>106.49</v>
      </c>
      <c r="BG202" s="130">
        <f t="shared" si="28"/>
        <v>0</v>
      </c>
      <c r="BH202" s="130">
        <f t="shared" si="29"/>
        <v>0</v>
      </c>
      <c r="BI202" s="130">
        <f t="shared" si="30"/>
        <v>0</v>
      </c>
      <c r="BJ202" s="13" t="s">
        <v>76</v>
      </c>
      <c r="BK202" s="130">
        <f t="shared" si="31"/>
        <v>106.49</v>
      </c>
      <c r="BL202" s="13" t="s">
        <v>347</v>
      </c>
      <c r="BM202" s="129" t="s">
        <v>483</v>
      </c>
    </row>
    <row r="203" spans="2:65" s="1" customFormat="1" ht="16.5" customHeight="1" x14ac:dyDescent="0.2">
      <c r="B203" s="118"/>
      <c r="C203" s="131" t="s">
        <v>358</v>
      </c>
      <c r="D203" s="131" t="s">
        <v>277</v>
      </c>
      <c r="E203" s="132" t="s">
        <v>1380</v>
      </c>
      <c r="F203" s="133" t="s">
        <v>1381</v>
      </c>
      <c r="G203" s="134" t="s">
        <v>1194</v>
      </c>
      <c r="H203" s="135">
        <v>23</v>
      </c>
      <c r="I203" s="136">
        <v>11.03</v>
      </c>
      <c r="J203" s="136">
        <f t="shared" si="21"/>
        <v>253.69</v>
      </c>
      <c r="K203" s="133" t="s">
        <v>1</v>
      </c>
      <c r="L203" s="137"/>
      <c r="M203" s="138" t="s">
        <v>1</v>
      </c>
      <c r="N203" s="139" t="s">
        <v>32</v>
      </c>
      <c r="O203" s="127">
        <v>0</v>
      </c>
      <c r="P203" s="127">
        <f t="shared" si="22"/>
        <v>0</v>
      </c>
      <c r="Q203" s="127">
        <v>5.0000000000000002E-5</v>
      </c>
      <c r="R203" s="127">
        <f t="shared" si="23"/>
        <v>1.15E-3</v>
      </c>
      <c r="S203" s="127">
        <v>0</v>
      </c>
      <c r="T203" s="128">
        <f t="shared" si="24"/>
        <v>0</v>
      </c>
      <c r="W203" s="199"/>
      <c r="X203" s="131" t="s">
        <v>358</v>
      </c>
      <c r="Y203" s="131" t="s">
        <v>277</v>
      </c>
      <c r="Z203" s="132" t="s">
        <v>1380</v>
      </c>
      <c r="AA203" s="133" t="s">
        <v>1381</v>
      </c>
      <c r="AB203" s="134" t="s">
        <v>1194</v>
      </c>
      <c r="AC203" s="135">
        <v>23</v>
      </c>
      <c r="AD203" s="136">
        <v>11.03</v>
      </c>
      <c r="AE203" s="229">
        <f t="shared" si="25"/>
        <v>253.69</v>
      </c>
      <c r="AF203" s="248"/>
      <c r="AR203" s="129" t="s">
        <v>705</v>
      </c>
      <c r="AT203" s="129" t="s">
        <v>277</v>
      </c>
      <c r="AU203" s="129" t="s">
        <v>63</v>
      </c>
      <c r="AY203" s="13" t="s">
        <v>228</v>
      </c>
      <c r="BE203" s="130">
        <f t="shared" si="26"/>
        <v>0</v>
      </c>
      <c r="BF203" s="130">
        <f t="shared" si="27"/>
        <v>253.69</v>
      </c>
      <c r="BG203" s="130">
        <f t="shared" si="28"/>
        <v>0</v>
      </c>
      <c r="BH203" s="130">
        <f t="shared" si="29"/>
        <v>0</v>
      </c>
      <c r="BI203" s="130">
        <f t="shared" si="30"/>
        <v>0</v>
      </c>
      <c r="BJ203" s="13" t="s">
        <v>76</v>
      </c>
      <c r="BK203" s="130">
        <f t="shared" si="31"/>
        <v>253.69</v>
      </c>
      <c r="BL203" s="13" t="s">
        <v>347</v>
      </c>
      <c r="BM203" s="129" t="s">
        <v>486</v>
      </c>
    </row>
    <row r="204" spans="2:65" s="1" customFormat="1" ht="24" customHeight="1" x14ac:dyDescent="0.2">
      <c r="B204" s="118"/>
      <c r="C204" s="119" t="s">
        <v>487</v>
      </c>
      <c r="D204" s="119" t="s">
        <v>231</v>
      </c>
      <c r="E204" s="120" t="s">
        <v>1383</v>
      </c>
      <c r="F204" s="121" t="s">
        <v>1384</v>
      </c>
      <c r="G204" s="122" t="s">
        <v>1194</v>
      </c>
      <c r="H204" s="123">
        <v>9</v>
      </c>
      <c r="I204" s="124">
        <v>4.97</v>
      </c>
      <c r="J204" s="124">
        <f t="shared" si="21"/>
        <v>44.73</v>
      </c>
      <c r="K204" s="121" t="s">
        <v>1</v>
      </c>
      <c r="L204" s="24"/>
      <c r="M204" s="125" t="s">
        <v>1</v>
      </c>
      <c r="N204" s="126" t="s">
        <v>32</v>
      </c>
      <c r="O204" s="127">
        <v>0</v>
      </c>
      <c r="P204" s="127">
        <f t="shared" si="22"/>
        <v>0</v>
      </c>
      <c r="Q204" s="127">
        <v>0</v>
      </c>
      <c r="R204" s="127">
        <f t="shared" si="23"/>
        <v>0</v>
      </c>
      <c r="S204" s="127">
        <v>0</v>
      </c>
      <c r="T204" s="128">
        <f t="shared" si="24"/>
        <v>0</v>
      </c>
      <c r="W204" s="199"/>
      <c r="X204" s="119" t="s">
        <v>487</v>
      </c>
      <c r="Y204" s="119" t="s">
        <v>231</v>
      </c>
      <c r="Z204" s="120" t="s">
        <v>1383</v>
      </c>
      <c r="AA204" s="121" t="s">
        <v>1384</v>
      </c>
      <c r="AB204" s="122" t="s">
        <v>1194</v>
      </c>
      <c r="AC204" s="123">
        <v>9</v>
      </c>
      <c r="AD204" s="124">
        <v>4.97</v>
      </c>
      <c r="AE204" s="200">
        <f t="shared" si="25"/>
        <v>44.73</v>
      </c>
      <c r="AF204" s="248"/>
      <c r="AR204" s="129" t="s">
        <v>347</v>
      </c>
      <c r="AT204" s="129" t="s">
        <v>231</v>
      </c>
      <c r="AU204" s="129" t="s">
        <v>63</v>
      </c>
      <c r="AY204" s="13" t="s">
        <v>228</v>
      </c>
      <c r="BE204" s="130">
        <f t="shared" si="26"/>
        <v>0</v>
      </c>
      <c r="BF204" s="130">
        <f t="shared" si="27"/>
        <v>44.73</v>
      </c>
      <c r="BG204" s="130">
        <f t="shared" si="28"/>
        <v>0</v>
      </c>
      <c r="BH204" s="130">
        <f t="shared" si="29"/>
        <v>0</v>
      </c>
      <c r="BI204" s="130">
        <f t="shared" si="30"/>
        <v>0</v>
      </c>
      <c r="BJ204" s="13" t="s">
        <v>76</v>
      </c>
      <c r="BK204" s="130">
        <f t="shared" si="31"/>
        <v>44.73</v>
      </c>
      <c r="BL204" s="13" t="s">
        <v>347</v>
      </c>
      <c r="BM204" s="129" t="s">
        <v>490</v>
      </c>
    </row>
    <row r="205" spans="2:65" s="1" customFormat="1" ht="16.5" customHeight="1" x14ac:dyDescent="0.2">
      <c r="B205" s="118"/>
      <c r="C205" s="131" t="s">
        <v>361</v>
      </c>
      <c r="D205" s="131" t="s">
        <v>277</v>
      </c>
      <c r="E205" s="132" t="s">
        <v>1386</v>
      </c>
      <c r="F205" s="133" t="s">
        <v>4580</v>
      </c>
      <c r="G205" s="134" t="s">
        <v>1194</v>
      </c>
      <c r="H205" s="135">
        <v>9</v>
      </c>
      <c r="I205" s="136">
        <v>14.05</v>
      </c>
      <c r="J205" s="136">
        <f t="shared" si="21"/>
        <v>126.45</v>
      </c>
      <c r="K205" s="133" t="s">
        <v>1</v>
      </c>
      <c r="L205" s="137"/>
      <c r="M205" s="138" t="s">
        <v>1</v>
      </c>
      <c r="N205" s="139" t="s">
        <v>32</v>
      </c>
      <c r="O205" s="127">
        <v>0</v>
      </c>
      <c r="P205" s="127">
        <f t="shared" si="22"/>
        <v>0</v>
      </c>
      <c r="Q205" s="127">
        <v>3.3E-4</v>
      </c>
      <c r="R205" s="127">
        <f t="shared" si="23"/>
        <v>2.97E-3</v>
      </c>
      <c r="S205" s="127">
        <v>0</v>
      </c>
      <c r="T205" s="128">
        <f t="shared" si="24"/>
        <v>0</v>
      </c>
      <c r="W205" s="199"/>
      <c r="X205" s="131" t="s">
        <v>361</v>
      </c>
      <c r="Y205" s="131" t="s">
        <v>277</v>
      </c>
      <c r="Z205" s="132" t="s">
        <v>1386</v>
      </c>
      <c r="AA205" s="133" t="s">
        <v>4580</v>
      </c>
      <c r="AB205" s="134" t="s">
        <v>1194</v>
      </c>
      <c r="AC205" s="135">
        <v>9</v>
      </c>
      <c r="AD205" s="136">
        <v>14.05</v>
      </c>
      <c r="AE205" s="229">
        <f t="shared" si="25"/>
        <v>126.45</v>
      </c>
      <c r="AF205" s="248"/>
      <c r="AR205" s="129" t="s">
        <v>705</v>
      </c>
      <c r="AT205" s="129" t="s">
        <v>277</v>
      </c>
      <c r="AU205" s="129" t="s">
        <v>63</v>
      </c>
      <c r="AY205" s="13" t="s">
        <v>228</v>
      </c>
      <c r="BE205" s="130">
        <f t="shared" si="26"/>
        <v>0</v>
      </c>
      <c r="BF205" s="130">
        <f t="shared" si="27"/>
        <v>126.45</v>
      </c>
      <c r="BG205" s="130">
        <f t="shared" si="28"/>
        <v>0</v>
      </c>
      <c r="BH205" s="130">
        <f t="shared" si="29"/>
        <v>0</v>
      </c>
      <c r="BI205" s="130">
        <f t="shared" si="30"/>
        <v>0</v>
      </c>
      <c r="BJ205" s="13" t="s">
        <v>76</v>
      </c>
      <c r="BK205" s="130">
        <f t="shared" si="31"/>
        <v>126.45</v>
      </c>
      <c r="BL205" s="13" t="s">
        <v>347</v>
      </c>
      <c r="BM205" s="129" t="s">
        <v>493</v>
      </c>
    </row>
    <row r="206" spans="2:65" s="1" customFormat="1" ht="24" customHeight="1" x14ac:dyDescent="0.2">
      <c r="B206" s="118"/>
      <c r="C206" s="119" t="s">
        <v>494</v>
      </c>
      <c r="D206" s="119" t="s">
        <v>231</v>
      </c>
      <c r="E206" s="120" t="s">
        <v>1389</v>
      </c>
      <c r="F206" s="121" t="s">
        <v>1396</v>
      </c>
      <c r="G206" s="122" t="s">
        <v>1194</v>
      </c>
      <c r="H206" s="123">
        <v>10</v>
      </c>
      <c r="I206" s="124">
        <v>2.57</v>
      </c>
      <c r="J206" s="124">
        <f t="shared" si="21"/>
        <v>25.7</v>
      </c>
      <c r="K206" s="121" t="s">
        <v>1</v>
      </c>
      <c r="L206" s="24"/>
      <c r="M206" s="125" t="s">
        <v>1</v>
      </c>
      <c r="N206" s="126" t="s">
        <v>32</v>
      </c>
      <c r="O206" s="127">
        <v>0</v>
      </c>
      <c r="P206" s="127">
        <f t="shared" si="22"/>
        <v>0</v>
      </c>
      <c r="Q206" s="127">
        <v>0</v>
      </c>
      <c r="R206" s="127">
        <f t="shared" si="23"/>
        <v>0</v>
      </c>
      <c r="S206" s="127">
        <v>0</v>
      </c>
      <c r="T206" s="128">
        <f t="shared" si="24"/>
        <v>0</v>
      </c>
      <c r="W206" s="199"/>
      <c r="X206" s="119" t="s">
        <v>494</v>
      </c>
      <c r="Y206" s="119" t="s">
        <v>231</v>
      </c>
      <c r="Z206" s="120" t="s">
        <v>1389</v>
      </c>
      <c r="AA206" s="121" t="s">
        <v>1396</v>
      </c>
      <c r="AB206" s="122" t="s">
        <v>1194</v>
      </c>
      <c r="AC206" s="123">
        <v>10</v>
      </c>
      <c r="AD206" s="124">
        <v>2.57</v>
      </c>
      <c r="AE206" s="200">
        <f t="shared" si="25"/>
        <v>25.7</v>
      </c>
      <c r="AF206" s="248"/>
      <c r="AR206" s="129" t="s">
        <v>347</v>
      </c>
      <c r="AT206" s="129" t="s">
        <v>231</v>
      </c>
      <c r="AU206" s="129" t="s">
        <v>63</v>
      </c>
      <c r="AY206" s="13" t="s">
        <v>228</v>
      </c>
      <c r="BE206" s="130">
        <f t="shared" si="26"/>
        <v>0</v>
      </c>
      <c r="BF206" s="130">
        <f t="shared" si="27"/>
        <v>25.7</v>
      </c>
      <c r="BG206" s="130">
        <f t="shared" si="28"/>
        <v>0</v>
      </c>
      <c r="BH206" s="130">
        <f t="shared" si="29"/>
        <v>0</v>
      </c>
      <c r="BI206" s="130">
        <f t="shared" si="30"/>
        <v>0</v>
      </c>
      <c r="BJ206" s="13" t="s">
        <v>76</v>
      </c>
      <c r="BK206" s="130">
        <f t="shared" si="31"/>
        <v>25.7</v>
      </c>
      <c r="BL206" s="13" t="s">
        <v>347</v>
      </c>
      <c r="BM206" s="129" t="s">
        <v>497</v>
      </c>
    </row>
    <row r="207" spans="2:65" s="1" customFormat="1" ht="16.5" customHeight="1" x14ac:dyDescent="0.2">
      <c r="B207" s="118"/>
      <c r="C207" s="131" t="s">
        <v>365</v>
      </c>
      <c r="D207" s="131" t="s">
        <v>277</v>
      </c>
      <c r="E207" s="132" t="s">
        <v>1392</v>
      </c>
      <c r="F207" s="133" t="s">
        <v>1399</v>
      </c>
      <c r="G207" s="134" t="s">
        <v>1194</v>
      </c>
      <c r="H207" s="135">
        <v>10</v>
      </c>
      <c r="I207" s="136">
        <v>15.7</v>
      </c>
      <c r="J207" s="136">
        <f t="shared" si="21"/>
        <v>157</v>
      </c>
      <c r="K207" s="133" t="s">
        <v>1</v>
      </c>
      <c r="L207" s="137"/>
      <c r="M207" s="138" t="s">
        <v>1</v>
      </c>
      <c r="N207" s="139" t="s">
        <v>32</v>
      </c>
      <c r="O207" s="127">
        <v>0</v>
      </c>
      <c r="P207" s="127">
        <f t="shared" si="22"/>
        <v>0</v>
      </c>
      <c r="Q207" s="127">
        <v>0</v>
      </c>
      <c r="R207" s="127">
        <f t="shared" si="23"/>
        <v>0</v>
      </c>
      <c r="S207" s="127">
        <v>0</v>
      </c>
      <c r="T207" s="128">
        <f t="shared" si="24"/>
        <v>0</v>
      </c>
      <c r="W207" s="199"/>
      <c r="X207" s="131" t="s">
        <v>365</v>
      </c>
      <c r="Y207" s="131" t="s">
        <v>277</v>
      </c>
      <c r="Z207" s="132" t="s">
        <v>1392</v>
      </c>
      <c r="AA207" s="133" t="s">
        <v>1399</v>
      </c>
      <c r="AB207" s="134" t="s">
        <v>1194</v>
      </c>
      <c r="AC207" s="135">
        <v>10</v>
      </c>
      <c r="AD207" s="136">
        <v>15.7</v>
      </c>
      <c r="AE207" s="229">
        <f t="shared" si="25"/>
        <v>157</v>
      </c>
      <c r="AF207" s="248"/>
      <c r="AR207" s="129" t="s">
        <v>705</v>
      </c>
      <c r="AT207" s="129" t="s">
        <v>277</v>
      </c>
      <c r="AU207" s="129" t="s">
        <v>63</v>
      </c>
      <c r="AY207" s="13" t="s">
        <v>228</v>
      </c>
      <c r="BE207" s="130">
        <f t="shared" si="26"/>
        <v>0</v>
      </c>
      <c r="BF207" s="130">
        <f t="shared" si="27"/>
        <v>157</v>
      </c>
      <c r="BG207" s="130">
        <f t="shared" si="28"/>
        <v>0</v>
      </c>
      <c r="BH207" s="130">
        <f t="shared" si="29"/>
        <v>0</v>
      </c>
      <c r="BI207" s="130">
        <f t="shared" si="30"/>
        <v>0</v>
      </c>
      <c r="BJ207" s="13" t="s">
        <v>76</v>
      </c>
      <c r="BK207" s="130">
        <f t="shared" si="31"/>
        <v>157</v>
      </c>
      <c r="BL207" s="13" t="s">
        <v>347</v>
      </c>
      <c r="BM207" s="129" t="s">
        <v>500</v>
      </c>
    </row>
    <row r="208" spans="2:65" s="1" customFormat="1" ht="24" customHeight="1" x14ac:dyDescent="0.2">
      <c r="B208" s="118"/>
      <c r="C208" s="119" t="s">
        <v>501</v>
      </c>
      <c r="D208" s="119" t="s">
        <v>231</v>
      </c>
      <c r="E208" s="120" t="s">
        <v>1401</v>
      </c>
      <c r="F208" s="121" t="s">
        <v>1402</v>
      </c>
      <c r="G208" s="122" t="s">
        <v>1194</v>
      </c>
      <c r="H208" s="123">
        <v>2</v>
      </c>
      <c r="I208" s="124">
        <v>5.0999999999999996</v>
      </c>
      <c r="J208" s="124">
        <f t="shared" si="21"/>
        <v>10.199999999999999</v>
      </c>
      <c r="K208" s="121" t="s">
        <v>1</v>
      </c>
      <c r="L208" s="24"/>
      <c r="M208" s="125" t="s">
        <v>1</v>
      </c>
      <c r="N208" s="126" t="s">
        <v>32</v>
      </c>
      <c r="O208" s="127">
        <v>0</v>
      </c>
      <c r="P208" s="127">
        <f t="shared" si="22"/>
        <v>0</v>
      </c>
      <c r="Q208" s="127">
        <v>0</v>
      </c>
      <c r="R208" s="127">
        <f t="shared" si="23"/>
        <v>0</v>
      </c>
      <c r="S208" s="127">
        <v>0</v>
      </c>
      <c r="T208" s="128">
        <f t="shared" si="24"/>
        <v>0</v>
      </c>
      <c r="W208" s="199"/>
      <c r="X208" s="119" t="s">
        <v>501</v>
      </c>
      <c r="Y208" s="119" t="s">
        <v>231</v>
      </c>
      <c r="Z208" s="120" t="s">
        <v>1401</v>
      </c>
      <c r="AA208" s="121" t="s">
        <v>1402</v>
      </c>
      <c r="AB208" s="122" t="s">
        <v>1194</v>
      </c>
      <c r="AC208" s="123">
        <v>2</v>
      </c>
      <c r="AD208" s="124">
        <v>5.0999999999999996</v>
      </c>
      <c r="AE208" s="200">
        <f t="shared" si="25"/>
        <v>10.199999999999999</v>
      </c>
      <c r="AF208" s="248"/>
      <c r="AR208" s="129" t="s">
        <v>347</v>
      </c>
      <c r="AT208" s="129" t="s">
        <v>231</v>
      </c>
      <c r="AU208" s="129" t="s">
        <v>63</v>
      </c>
      <c r="AY208" s="13" t="s">
        <v>228</v>
      </c>
      <c r="BE208" s="130">
        <f t="shared" si="26"/>
        <v>0</v>
      </c>
      <c r="BF208" s="130">
        <f t="shared" si="27"/>
        <v>10.199999999999999</v>
      </c>
      <c r="BG208" s="130">
        <f t="shared" si="28"/>
        <v>0</v>
      </c>
      <c r="BH208" s="130">
        <f t="shared" si="29"/>
        <v>0</v>
      </c>
      <c r="BI208" s="130">
        <f t="shared" si="30"/>
        <v>0</v>
      </c>
      <c r="BJ208" s="13" t="s">
        <v>76</v>
      </c>
      <c r="BK208" s="130">
        <f t="shared" si="31"/>
        <v>10.199999999999999</v>
      </c>
      <c r="BL208" s="13" t="s">
        <v>347</v>
      </c>
      <c r="BM208" s="129" t="s">
        <v>504</v>
      </c>
    </row>
    <row r="209" spans="2:65" s="1" customFormat="1" ht="16.5" customHeight="1" x14ac:dyDescent="0.2">
      <c r="B209" s="118"/>
      <c r="C209" s="131" t="s">
        <v>368</v>
      </c>
      <c r="D209" s="131" t="s">
        <v>277</v>
      </c>
      <c r="E209" s="132" t="s">
        <v>1404</v>
      </c>
      <c r="F209" s="133" t="s">
        <v>3919</v>
      </c>
      <c r="G209" s="134" t="s">
        <v>1194</v>
      </c>
      <c r="H209" s="135">
        <v>2</v>
      </c>
      <c r="I209" s="136">
        <v>14.05</v>
      </c>
      <c r="J209" s="136">
        <f t="shared" si="21"/>
        <v>28.1</v>
      </c>
      <c r="K209" s="133" t="s">
        <v>1</v>
      </c>
      <c r="L209" s="137"/>
      <c r="M209" s="138" t="s">
        <v>1</v>
      </c>
      <c r="N209" s="139" t="s">
        <v>32</v>
      </c>
      <c r="O209" s="127">
        <v>0</v>
      </c>
      <c r="P209" s="127">
        <f t="shared" si="22"/>
        <v>0</v>
      </c>
      <c r="Q209" s="127">
        <v>5.0000000000000002E-5</v>
      </c>
      <c r="R209" s="127">
        <f t="shared" si="23"/>
        <v>1E-4</v>
      </c>
      <c r="S209" s="127">
        <v>0</v>
      </c>
      <c r="T209" s="128">
        <f t="shared" si="24"/>
        <v>0</v>
      </c>
      <c r="W209" s="199"/>
      <c r="X209" s="131" t="s">
        <v>368</v>
      </c>
      <c r="Y209" s="131" t="s">
        <v>277</v>
      </c>
      <c r="Z209" s="132" t="s">
        <v>1404</v>
      </c>
      <c r="AA209" s="133" t="s">
        <v>3919</v>
      </c>
      <c r="AB209" s="134" t="s">
        <v>1194</v>
      </c>
      <c r="AC209" s="135">
        <v>2</v>
      </c>
      <c r="AD209" s="136">
        <v>14.05</v>
      </c>
      <c r="AE209" s="229">
        <f t="shared" si="25"/>
        <v>28.1</v>
      </c>
      <c r="AF209" s="248"/>
      <c r="AR209" s="129" t="s">
        <v>705</v>
      </c>
      <c r="AT209" s="129" t="s">
        <v>277</v>
      </c>
      <c r="AU209" s="129" t="s">
        <v>63</v>
      </c>
      <c r="AY209" s="13" t="s">
        <v>228</v>
      </c>
      <c r="BE209" s="130">
        <f t="shared" si="26"/>
        <v>0</v>
      </c>
      <c r="BF209" s="130">
        <f t="shared" si="27"/>
        <v>28.1</v>
      </c>
      <c r="BG209" s="130">
        <f t="shared" si="28"/>
        <v>0</v>
      </c>
      <c r="BH209" s="130">
        <f t="shared" si="29"/>
        <v>0</v>
      </c>
      <c r="BI209" s="130">
        <f t="shared" si="30"/>
        <v>0</v>
      </c>
      <c r="BJ209" s="13" t="s">
        <v>76</v>
      </c>
      <c r="BK209" s="130">
        <f t="shared" si="31"/>
        <v>28.1</v>
      </c>
      <c r="BL209" s="13" t="s">
        <v>347</v>
      </c>
      <c r="BM209" s="129" t="s">
        <v>507</v>
      </c>
    </row>
    <row r="210" spans="2:65" s="1" customFormat="1" ht="24" customHeight="1" x14ac:dyDescent="0.2">
      <c r="B210" s="118"/>
      <c r="C210" s="205" t="s">
        <v>508</v>
      </c>
      <c r="D210" s="119" t="s">
        <v>231</v>
      </c>
      <c r="E210" s="120" t="s">
        <v>1407</v>
      </c>
      <c r="F210" s="121" t="s">
        <v>1408</v>
      </c>
      <c r="G210" s="122" t="s">
        <v>1194</v>
      </c>
      <c r="H210" s="206">
        <v>56</v>
      </c>
      <c r="I210" s="124">
        <v>4.2699999999999996</v>
      </c>
      <c r="J210" s="124">
        <f t="shared" si="21"/>
        <v>239.12</v>
      </c>
      <c r="K210" s="121" t="s">
        <v>1</v>
      </c>
      <c r="L210" s="24"/>
      <c r="M210" s="125" t="s">
        <v>1</v>
      </c>
      <c r="N210" s="126" t="s">
        <v>32</v>
      </c>
      <c r="O210" s="127">
        <v>0</v>
      </c>
      <c r="P210" s="127">
        <f t="shared" si="22"/>
        <v>0</v>
      </c>
      <c r="Q210" s="127">
        <v>0</v>
      </c>
      <c r="R210" s="127">
        <f t="shared" si="23"/>
        <v>0</v>
      </c>
      <c r="S210" s="127">
        <v>0</v>
      </c>
      <c r="T210" s="128">
        <f t="shared" si="24"/>
        <v>0</v>
      </c>
      <c r="W210" s="199"/>
      <c r="X210" s="205" t="s">
        <v>508</v>
      </c>
      <c r="Y210" s="119" t="s">
        <v>231</v>
      </c>
      <c r="Z210" s="120" t="s">
        <v>1407</v>
      </c>
      <c r="AA210" s="121" t="s">
        <v>1408</v>
      </c>
      <c r="AB210" s="122" t="s">
        <v>1194</v>
      </c>
      <c r="AC210" s="206">
        <f>56+45+2+15+3</f>
        <v>121</v>
      </c>
      <c r="AD210" s="124">
        <v>4.2699999999999996</v>
      </c>
      <c r="AE210" s="200">
        <f t="shared" si="25"/>
        <v>516.66999999999996</v>
      </c>
      <c r="AF210" s="248" t="s">
        <v>6743</v>
      </c>
      <c r="AR210" s="129" t="s">
        <v>347</v>
      </c>
      <c r="AT210" s="129" t="s">
        <v>231</v>
      </c>
      <c r="AU210" s="129" t="s">
        <v>63</v>
      </c>
      <c r="AY210" s="13" t="s">
        <v>228</v>
      </c>
      <c r="BE210" s="130">
        <f t="shared" si="26"/>
        <v>0</v>
      </c>
      <c r="BF210" s="130">
        <f t="shared" si="27"/>
        <v>239.12</v>
      </c>
      <c r="BG210" s="130">
        <f t="shared" si="28"/>
        <v>0</v>
      </c>
      <c r="BH210" s="130">
        <f t="shared" si="29"/>
        <v>0</v>
      </c>
      <c r="BI210" s="130">
        <f t="shared" si="30"/>
        <v>0</v>
      </c>
      <c r="BJ210" s="13" t="s">
        <v>76</v>
      </c>
      <c r="BK210" s="130">
        <f t="shared" si="31"/>
        <v>239.12</v>
      </c>
      <c r="BL210" s="13" t="s">
        <v>347</v>
      </c>
      <c r="BM210" s="129" t="s">
        <v>511</v>
      </c>
    </row>
    <row r="211" spans="2:65" s="1" customFormat="1" ht="16.5" customHeight="1" x14ac:dyDescent="0.2">
      <c r="B211" s="118"/>
      <c r="C211" s="242" t="s">
        <v>372</v>
      </c>
      <c r="D211" s="131" t="s">
        <v>277</v>
      </c>
      <c r="E211" s="132" t="s">
        <v>1410</v>
      </c>
      <c r="F211" s="133" t="s">
        <v>1411</v>
      </c>
      <c r="G211" s="134" t="s">
        <v>1194</v>
      </c>
      <c r="H211" s="241">
        <v>56</v>
      </c>
      <c r="I211" s="136">
        <v>14.64</v>
      </c>
      <c r="J211" s="136">
        <f t="shared" si="21"/>
        <v>819.84</v>
      </c>
      <c r="K211" s="133" t="s">
        <v>1</v>
      </c>
      <c r="L211" s="137"/>
      <c r="M211" s="138" t="s">
        <v>1</v>
      </c>
      <c r="N211" s="139" t="s">
        <v>32</v>
      </c>
      <c r="O211" s="127">
        <v>0</v>
      </c>
      <c r="P211" s="127">
        <f t="shared" si="22"/>
        <v>0</v>
      </c>
      <c r="Q211" s="127">
        <v>8.0000000000000007E-5</v>
      </c>
      <c r="R211" s="127">
        <f t="shared" si="23"/>
        <v>4.4800000000000005E-3</v>
      </c>
      <c r="S211" s="127">
        <v>0</v>
      </c>
      <c r="T211" s="128">
        <f t="shared" si="24"/>
        <v>0</v>
      </c>
      <c r="W211" s="199"/>
      <c r="X211" s="242" t="s">
        <v>372</v>
      </c>
      <c r="Y211" s="131" t="s">
        <v>277</v>
      </c>
      <c r="Z211" s="132" t="s">
        <v>1410</v>
      </c>
      <c r="AA211" s="133" t="s">
        <v>1411</v>
      </c>
      <c r="AB211" s="134" t="s">
        <v>1194</v>
      </c>
      <c r="AC211" s="241">
        <f>56+45+2+15+3</f>
        <v>121</v>
      </c>
      <c r="AD211" s="136">
        <v>14.64</v>
      </c>
      <c r="AE211" s="229">
        <f t="shared" si="25"/>
        <v>1771.44</v>
      </c>
      <c r="AF211" s="924" t="s">
        <v>6743</v>
      </c>
      <c r="AR211" s="129" t="s">
        <v>705</v>
      </c>
      <c r="AT211" s="129" t="s">
        <v>277</v>
      </c>
      <c r="AU211" s="129" t="s">
        <v>63</v>
      </c>
      <c r="AY211" s="13" t="s">
        <v>228</v>
      </c>
      <c r="BE211" s="130">
        <f t="shared" si="26"/>
        <v>0</v>
      </c>
      <c r="BF211" s="130">
        <f t="shared" si="27"/>
        <v>819.84</v>
      </c>
      <c r="BG211" s="130">
        <f t="shared" si="28"/>
        <v>0</v>
      </c>
      <c r="BH211" s="130">
        <f t="shared" si="29"/>
        <v>0</v>
      </c>
      <c r="BI211" s="130">
        <f t="shared" si="30"/>
        <v>0</v>
      </c>
      <c r="BJ211" s="13" t="s">
        <v>76</v>
      </c>
      <c r="BK211" s="130">
        <f t="shared" si="31"/>
        <v>819.84</v>
      </c>
      <c r="BL211" s="13" t="s">
        <v>347</v>
      </c>
      <c r="BM211" s="129" t="s">
        <v>514</v>
      </c>
    </row>
    <row r="212" spans="2:65" s="1" customFormat="1" ht="24" customHeight="1" x14ac:dyDescent="0.2">
      <c r="B212" s="118"/>
      <c r="C212" s="205" t="s">
        <v>515</v>
      </c>
      <c r="D212" s="119" t="s">
        <v>231</v>
      </c>
      <c r="E212" s="120" t="s">
        <v>1413</v>
      </c>
      <c r="F212" s="121" t="s">
        <v>1414</v>
      </c>
      <c r="G212" s="122" t="s">
        <v>1194</v>
      </c>
      <c r="H212" s="206">
        <v>20</v>
      </c>
      <c r="I212" s="124">
        <v>4.2699999999999996</v>
      </c>
      <c r="J212" s="124">
        <f t="shared" si="21"/>
        <v>85.4</v>
      </c>
      <c r="K212" s="121" t="s">
        <v>1</v>
      </c>
      <c r="L212" s="24"/>
      <c r="M212" s="125" t="s">
        <v>1</v>
      </c>
      <c r="N212" s="126" t="s">
        <v>32</v>
      </c>
      <c r="O212" s="127">
        <v>0</v>
      </c>
      <c r="P212" s="127">
        <f t="shared" si="22"/>
        <v>0</v>
      </c>
      <c r="Q212" s="127">
        <v>0</v>
      </c>
      <c r="R212" s="127">
        <f t="shared" si="23"/>
        <v>0</v>
      </c>
      <c r="S212" s="127">
        <v>0</v>
      </c>
      <c r="T212" s="128">
        <f t="shared" si="24"/>
        <v>0</v>
      </c>
      <c r="W212" s="199"/>
      <c r="X212" s="205" t="s">
        <v>515</v>
      </c>
      <c r="Y212" s="119" t="s">
        <v>231</v>
      </c>
      <c r="Z212" s="120" t="s">
        <v>1413</v>
      </c>
      <c r="AA212" s="121" t="s">
        <v>1414</v>
      </c>
      <c r="AB212" s="122" t="s">
        <v>1194</v>
      </c>
      <c r="AC212" s="206">
        <f>20-13</f>
        <v>7</v>
      </c>
      <c r="AD212" s="124">
        <v>4.2699999999999996</v>
      </c>
      <c r="AE212" s="200">
        <f t="shared" si="25"/>
        <v>29.89</v>
      </c>
      <c r="AF212" s="248">
        <v>2</v>
      </c>
      <c r="AR212" s="129" t="s">
        <v>347</v>
      </c>
      <c r="AT212" s="129" t="s">
        <v>231</v>
      </c>
      <c r="AU212" s="129" t="s">
        <v>63</v>
      </c>
      <c r="AY212" s="13" t="s">
        <v>228</v>
      </c>
      <c r="BE212" s="130">
        <f t="shared" si="26"/>
        <v>0</v>
      </c>
      <c r="BF212" s="130">
        <f t="shared" si="27"/>
        <v>85.4</v>
      </c>
      <c r="BG212" s="130">
        <f t="shared" si="28"/>
        <v>0</v>
      </c>
      <c r="BH212" s="130">
        <f t="shared" si="29"/>
        <v>0</v>
      </c>
      <c r="BI212" s="130">
        <f t="shared" si="30"/>
        <v>0</v>
      </c>
      <c r="BJ212" s="13" t="s">
        <v>76</v>
      </c>
      <c r="BK212" s="130">
        <f t="shared" si="31"/>
        <v>85.4</v>
      </c>
      <c r="BL212" s="13" t="s">
        <v>347</v>
      </c>
      <c r="BM212" s="129" t="s">
        <v>518</v>
      </c>
    </row>
    <row r="213" spans="2:65" s="1" customFormat="1" ht="16.5" customHeight="1" x14ac:dyDescent="0.2">
      <c r="B213" s="118"/>
      <c r="C213" s="242" t="s">
        <v>375</v>
      </c>
      <c r="D213" s="131" t="s">
        <v>277</v>
      </c>
      <c r="E213" s="132" t="s">
        <v>1416</v>
      </c>
      <c r="F213" s="133" t="s">
        <v>1417</v>
      </c>
      <c r="G213" s="134" t="s">
        <v>1194</v>
      </c>
      <c r="H213" s="241">
        <v>20</v>
      </c>
      <c r="I213" s="136">
        <v>43.4</v>
      </c>
      <c r="J213" s="136">
        <f t="shared" si="21"/>
        <v>868</v>
      </c>
      <c r="K213" s="133" t="s">
        <v>1</v>
      </c>
      <c r="L213" s="137"/>
      <c r="M213" s="138" t="s">
        <v>1</v>
      </c>
      <c r="N213" s="139" t="s">
        <v>32</v>
      </c>
      <c r="O213" s="127">
        <v>0</v>
      </c>
      <c r="P213" s="127">
        <f t="shared" si="22"/>
        <v>0</v>
      </c>
      <c r="Q213" s="127">
        <v>1.1E-4</v>
      </c>
      <c r="R213" s="127">
        <f t="shared" si="23"/>
        <v>2.2000000000000001E-3</v>
      </c>
      <c r="S213" s="127">
        <v>0</v>
      </c>
      <c r="T213" s="128">
        <f t="shared" si="24"/>
        <v>0</v>
      </c>
      <c r="W213" s="199"/>
      <c r="X213" s="242" t="s">
        <v>375</v>
      </c>
      <c r="Y213" s="131" t="s">
        <v>277</v>
      </c>
      <c r="Z213" s="132" t="s">
        <v>1416</v>
      </c>
      <c r="AA213" s="133" t="s">
        <v>1417</v>
      </c>
      <c r="AB213" s="134" t="s">
        <v>1194</v>
      </c>
      <c r="AC213" s="241">
        <f>20-13</f>
        <v>7</v>
      </c>
      <c r="AD213" s="136">
        <v>43.4</v>
      </c>
      <c r="AE213" s="229">
        <f t="shared" si="25"/>
        <v>303.8</v>
      </c>
      <c r="AF213" s="248">
        <v>2</v>
      </c>
      <c r="AR213" s="129" t="s">
        <v>705</v>
      </c>
      <c r="AT213" s="129" t="s">
        <v>277</v>
      </c>
      <c r="AU213" s="129" t="s">
        <v>63</v>
      </c>
      <c r="AY213" s="13" t="s">
        <v>228</v>
      </c>
      <c r="BE213" s="130">
        <f t="shared" si="26"/>
        <v>0</v>
      </c>
      <c r="BF213" s="130">
        <f t="shared" si="27"/>
        <v>868</v>
      </c>
      <c r="BG213" s="130">
        <f t="shared" si="28"/>
        <v>0</v>
      </c>
      <c r="BH213" s="130">
        <f t="shared" si="29"/>
        <v>0</v>
      </c>
      <c r="BI213" s="130">
        <f t="shared" si="30"/>
        <v>0</v>
      </c>
      <c r="BJ213" s="13" t="s">
        <v>76</v>
      </c>
      <c r="BK213" s="130">
        <f t="shared" si="31"/>
        <v>868</v>
      </c>
      <c r="BL213" s="13" t="s">
        <v>347</v>
      </c>
      <c r="BM213" s="129" t="s">
        <v>521</v>
      </c>
    </row>
    <row r="214" spans="2:65" s="1" customFormat="1" ht="24" customHeight="1" x14ac:dyDescent="0.2">
      <c r="B214" s="118"/>
      <c r="C214" s="119" t="s">
        <v>522</v>
      </c>
      <c r="D214" s="119" t="s">
        <v>231</v>
      </c>
      <c r="E214" s="120" t="s">
        <v>1600</v>
      </c>
      <c r="F214" s="121" t="s">
        <v>3835</v>
      </c>
      <c r="G214" s="122" t="s">
        <v>1194</v>
      </c>
      <c r="H214" s="123">
        <v>5</v>
      </c>
      <c r="I214" s="124">
        <v>11.48</v>
      </c>
      <c r="J214" s="124">
        <f t="shared" si="21"/>
        <v>57.4</v>
      </c>
      <c r="K214" s="121" t="s">
        <v>1</v>
      </c>
      <c r="L214" s="24"/>
      <c r="M214" s="125" t="s">
        <v>1</v>
      </c>
      <c r="N214" s="126" t="s">
        <v>32</v>
      </c>
      <c r="O214" s="127">
        <v>0</v>
      </c>
      <c r="P214" s="127">
        <f t="shared" si="22"/>
        <v>0</v>
      </c>
      <c r="Q214" s="127">
        <v>0</v>
      </c>
      <c r="R214" s="127">
        <f t="shared" si="23"/>
        <v>0</v>
      </c>
      <c r="S214" s="127">
        <v>0</v>
      </c>
      <c r="T214" s="128">
        <f t="shared" si="24"/>
        <v>0</v>
      </c>
      <c r="W214" s="199"/>
      <c r="X214" s="119" t="s">
        <v>522</v>
      </c>
      <c r="Y214" s="119" t="s">
        <v>231</v>
      </c>
      <c r="Z214" s="120" t="s">
        <v>1600</v>
      </c>
      <c r="AA214" s="121" t="s">
        <v>3835</v>
      </c>
      <c r="AB214" s="122" t="s">
        <v>1194</v>
      </c>
      <c r="AC214" s="123">
        <v>5</v>
      </c>
      <c r="AD214" s="124">
        <v>11.48</v>
      </c>
      <c r="AE214" s="200">
        <f t="shared" si="25"/>
        <v>57.4</v>
      </c>
      <c r="AF214" s="248"/>
      <c r="AR214" s="129" t="s">
        <v>347</v>
      </c>
      <c r="AT214" s="129" t="s">
        <v>231</v>
      </c>
      <c r="AU214" s="129" t="s">
        <v>63</v>
      </c>
      <c r="AY214" s="13" t="s">
        <v>228</v>
      </c>
      <c r="BE214" s="130">
        <f t="shared" si="26"/>
        <v>0</v>
      </c>
      <c r="BF214" s="130">
        <f t="shared" si="27"/>
        <v>57.4</v>
      </c>
      <c r="BG214" s="130">
        <f t="shared" si="28"/>
        <v>0</v>
      </c>
      <c r="BH214" s="130">
        <f t="shared" si="29"/>
        <v>0</v>
      </c>
      <c r="BI214" s="130">
        <f t="shared" si="30"/>
        <v>0</v>
      </c>
      <c r="BJ214" s="13" t="s">
        <v>76</v>
      </c>
      <c r="BK214" s="130">
        <f t="shared" si="31"/>
        <v>57.4</v>
      </c>
      <c r="BL214" s="13" t="s">
        <v>347</v>
      </c>
      <c r="BM214" s="129" t="s">
        <v>525</v>
      </c>
    </row>
    <row r="215" spans="2:65" s="1" customFormat="1" ht="24" customHeight="1" x14ac:dyDescent="0.2">
      <c r="B215" s="118"/>
      <c r="C215" s="131" t="s">
        <v>379</v>
      </c>
      <c r="D215" s="131" t="s">
        <v>277</v>
      </c>
      <c r="E215" s="132" t="s">
        <v>3836</v>
      </c>
      <c r="F215" s="133" t="s">
        <v>3835</v>
      </c>
      <c r="G215" s="134" t="s">
        <v>1194</v>
      </c>
      <c r="H215" s="135">
        <v>5</v>
      </c>
      <c r="I215" s="136">
        <v>38.19</v>
      </c>
      <c r="J215" s="136">
        <f t="shared" si="21"/>
        <v>190.95</v>
      </c>
      <c r="K215" s="133" t="s">
        <v>1</v>
      </c>
      <c r="L215" s="137"/>
      <c r="M215" s="138" t="s">
        <v>1</v>
      </c>
      <c r="N215" s="139" t="s">
        <v>32</v>
      </c>
      <c r="O215" s="127">
        <v>0</v>
      </c>
      <c r="P215" s="127">
        <f t="shared" si="22"/>
        <v>0</v>
      </c>
      <c r="Q215" s="127">
        <v>0</v>
      </c>
      <c r="R215" s="127">
        <f t="shared" si="23"/>
        <v>0</v>
      </c>
      <c r="S215" s="127">
        <v>0</v>
      </c>
      <c r="T215" s="128">
        <f t="shared" si="24"/>
        <v>0</v>
      </c>
      <c r="W215" s="199"/>
      <c r="X215" s="131" t="s">
        <v>379</v>
      </c>
      <c r="Y215" s="131" t="s">
        <v>277</v>
      </c>
      <c r="Z215" s="132" t="s">
        <v>3836</v>
      </c>
      <c r="AA215" s="133" t="s">
        <v>3835</v>
      </c>
      <c r="AB215" s="134" t="s">
        <v>1194</v>
      </c>
      <c r="AC215" s="135">
        <v>5</v>
      </c>
      <c r="AD215" s="136">
        <v>38.19</v>
      </c>
      <c r="AE215" s="229">
        <f t="shared" si="25"/>
        <v>190.95</v>
      </c>
      <c r="AF215" s="248"/>
      <c r="AR215" s="129" t="s">
        <v>705</v>
      </c>
      <c r="AT215" s="129" t="s">
        <v>277</v>
      </c>
      <c r="AU215" s="129" t="s">
        <v>63</v>
      </c>
      <c r="AY215" s="13" t="s">
        <v>228</v>
      </c>
      <c r="BE215" s="130">
        <f t="shared" si="26"/>
        <v>0</v>
      </c>
      <c r="BF215" s="130">
        <f t="shared" si="27"/>
        <v>190.95</v>
      </c>
      <c r="BG215" s="130">
        <f t="shared" si="28"/>
        <v>0</v>
      </c>
      <c r="BH215" s="130">
        <f t="shared" si="29"/>
        <v>0</v>
      </c>
      <c r="BI215" s="130">
        <f t="shared" si="30"/>
        <v>0</v>
      </c>
      <c r="BJ215" s="13" t="s">
        <v>76</v>
      </c>
      <c r="BK215" s="130">
        <f t="shared" si="31"/>
        <v>190.95</v>
      </c>
      <c r="BL215" s="13" t="s">
        <v>347</v>
      </c>
      <c r="BM215" s="129" t="s">
        <v>528</v>
      </c>
    </row>
    <row r="216" spans="2:65" s="1" customFormat="1" ht="27" customHeight="1" x14ac:dyDescent="0.2">
      <c r="B216" s="118"/>
      <c r="C216" s="119" t="s">
        <v>529</v>
      </c>
      <c r="D216" s="119" t="s">
        <v>231</v>
      </c>
      <c r="E216" s="120" t="s">
        <v>1310</v>
      </c>
      <c r="F216" s="121" t="s">
        <v>1311</v>
      </c>
      <c r="G216" s="122" t="s">
        <v>1194</v>
      </c>
      <c r="H216" s="123">
        <v>152</v>
      </c>
      <c r="I216" s="124">
        <v>2.54</v>
      </c>
      <c r="J216" s="124">
        <f t="shared" si="21"/>
        <v>386.08</v>
      </c>
      <c r="K216" s="121" t="s">
        <v>1</v>
      </c>
      <c r="L216" s="24"/>
      <c r="M216" s="125" t="s">
        <v>1</v>
      </c>
      <c r="N216" s="126" t="s">
        <v>32</v>
      </c>
      <c r="O216" s="127">
        <v>0</v>
      </c>
      <c r="P216" s="127">
        <f t="shared" si="22"/>
        <v>0</v>
      </c>
      <c r="Q216" s="127">
        <v>0</v>
      </c>
      <c r="R216" s="127">
        <f t="shared" si="23"/>
        <v>0</v>
      </c>
      <c r="S216" s="127">
        <v>0</v>
      </c>
      <c r="T216" s="128">
        <f t="shared" si="24"/>
        <v>0</v>
      </c>
      <c r="W216" s="199"/>
      <c r="X216" s="119" t="s">
        <v>529</v>
      </c>
      <c r="Y216" s="119" t="s">
        <v>231</v>
      </c>
      <c r="Z216" s="120" t="s">
        <v>1310</v>
      </c>
      <c r="AA216" s="121" t="s">
        <v>1311</v>
      </c>
      <c r="AB216" s="122" t="s">
        <v>1194</v>
      </c>
      <c r="AC216" s="123">
        <v>152</v>
      </c>
      <c r="AD216" s="124">
        <v>2.54</v>
      </c>
      <c r="AE216" s="200">
        <f t="shared" si="25"/>
        <v>386.08</v>
      </c>
      <c r="AF216" s="248"/>
      <c r="AR216" s="129" t="s">
        <v>347</v>
      </c>
      <c r="AT216" s="129" t="s">
        <v>231</v>
      </c>
      <c r="AU216" s="129" t="s">
        <v>63</v>
      </c>
      <c r="AY216" s="13" t="s">
        <v>228</v>
      </c>
      <c r="BE216" s="130">
        <f t="shared" si="26"/>
        <v>0</v>
      </c>
      <c r="BF216" s="130">
        <f t="shared" si="27"/>
        <v>386.08</v>
      </c>
      <c r="BG216" s="130">
        <f t="shared" si="28"/>
        <v>0</v>
      </c>
      <c r="BH216" s="130">
        <f t="shared" si="29"/>
        <v>0</v>
      </c>
      <c r="BI216" s="130">
        <f t="shared" si="30"/>
        <v>0</v>
      </c>
      <c r="BJ216" s="13" t="s">
        <v>76</v>
      </c>
      <c r="BK216" s="130">
        <f t="shared" si="31"/>
        <v>386.08</v>
      </c>
      <c r="BL216" s="13" t="s">
        <v>347</v>
      </c>
      <c r="BM216" s="129" t="s">
        <v>532</v>
      </c>
    </row>
    <row r="217" spans="2:65" s="1" customFormat="1" ht="16.5" customHeight="1" x14ac:dyDescent="0.2">
      <c r="B217" s="118"/>
      <c r="C217" s="131" t="s">
        <v>382</v>
      </c>
      <c r="D217" s="131" t="s">
        <v>277</v>
      </c>
      <c r="E217" s="132" t="s">
        <v>1313</v>
      </c>
      <c r="F217" s="133" t="s">
        <v>3912</v>
      </c>
      <c r="G217" s="134" t="s">
        <v>1194</v>
      </c>
      <c r="H217" s="135">
        <v>152</v>
      </c>
      <c r="I217" s="136">
        <v>0.53</v>
      </c>
      <c r="J217" s="136">
        <f t="shared" si="21"/>
        <v>80.56</v>
      </c>
      <c r="K217" s="133" t="s">
        <v>1</v>
      </c>
      <c r="L217" s="137"/>
      <c r="M217" s="138" t="s">
        <v>1</v>
      </c>
      <c r="N217" s="139" t="s">
        <v>32</v>
      </c>
      <c r="O217" s="127">
        <v>0</v>
      </c>
      <c r="P217" s="127">
        <f t="shared" si="22"/>
        <v>0</v>
      </c>
      <c r="Q217" s="127">
        <v>4.0000000000000003E-5</v>
      </c>
      <c r="R217" s="127">
        <f t="shared" si="23"/>
        <v>6.0800000000000003E-3</v>
      </c>
      <c r="S217" s="127">
        <v>0</v>
      </c>
      <c r="T217" s="128">
        <f t="shared" si="24"/>
        <v>0</v>
      </c>
      <c r="W217" s="199"/>
      <c r="X217" s="131" t="s">
        <v>382</v>
      </c>
      <c r="Y217" s="131" t="s">
        <v>277</v>
      </c>
      <c r="Z217" s="132" t="s">
        <v>1313</v>
      </c>
      <c r="AA217" s="133" t="s">
        <v>3912</v>
      </c>
      <c r="AB217" s="134" t="s">
        <v>1194</v>
      </c>
      <c r="AC217" s="135">
        <v>152</v>
      </c>
      <c r="AD217" s="136">
        <v>0.53</v>
      </c>
      <c r="AE217" s="229">
        <f t="shared" si="25"/>
        <v>80.56</v>
      </c>
      <c r="AF217" s="248"/>
      <c r="AR217" s="129" t="s">
        <v>705</v>
      </c>
      <c r="AT217" s="129" t="s">
        <v>277</v>
      </c>
      <c r="AU217" s="129" t="s">
        <v>63</v>
      </c>
      <c r="AY217" s="13" t="s">
        <v>228</v>
      </c>
      <c r="BE217" s="130">
        <f t="shared" si="26"/>
        <v>0</v>
      </c>
      <c r="BF217" s="130">
        <f t="shared" si="27"/>
        <v>80.56</v>
      </c>
      <c r="BG217" s="130">
        <f t="shared" si="28"/>
        <v>0</v>
      </c>
      <c r="BH217" s="130">
        <f t="shared" si="29"/>
        <v>0</v>
      </c>
      <c r="BI217" s="130">
        <f t="shared" si="30"/>
        <v>0</v>
      </c>
      <c r="BJ217" s="13" t="s">
        <v>76</v>
      </c>
      <c r="BK217" s="130">
        <f t="shared" si="31"/>
        <v>80.56</v>
      </c>
      <c r="BL217" s="13" t="s">
        <v>347</v>
      </c>
      <c r="BM217" s="129" t="s">
        <v>535</v>
      </c>
    </row>
    <row r="218" spans="2:65" s="1" customFormat="1" ht="24" customHeight="1" x14ac:dyDescent="0.2">
      <c r="B218" s="118"/>
      <c r="C218" s="119" t="s">
        <v>536</v>
      </c>
      <c r="D218" s="119" t="s">
        <v>231</v>
      </c>
      <c r="E218" s="120" t="s">
        <v>1316</v>
      </c>
      <c r="F218" s="121" t="s">
        <v>3913</v>
      </c>
      <c r="G218" s="122" t="s">
        <v>1194</v>
      </c>
      <c r="H218" s="123">
        <v>68</v>
      </c>
      <c r="I218" s="124">
        <v>3.12</v>
      </c>
      <c r="J218" s="124">
        <f t="shared" si="21"/>
        <v>212.16</v>
      </c>
      <c r="K218" s="121" t="s">
        <v>1</v>
      </c>
      <c r="L218" s="24"/>
      <c r="M218" s="125" t="s">
        <v>1</v>
      </c>
      <c r="N218" s="126" t="s">
        <v>32</v>
      </c>
      <c r="O218" s="127">
        <v>0</v>
      </c>
      <c r="P218" s="127">
        <f t="shared" si="22"/>
        <v>0</v>
      </c>
      <c r="Q218" s="127">
        <v>0</v>
      </c>
      <c r="R218" s="127">
        <f t="shared" si="23"/>
        <v>0</v>
      </c>
      <c r="S218" s="127">
        <v>0</v>
      </c>
      <c r="T218" s="128">
        <f t="shared" si="24"/>
        <v>0</v>
      </c>
      <c r="W218" s="199"/>
      <c r="X218" s="119" t="s">
        <v>536</v>
      </c>
      <c r="Y218" s="119" t="s">
        <v>231</v>
      </c>
      <c r="Z218" s="120" t="s">
        <v>1316</v>
      </c>
      <c r="AA218" s="121" t="s">
        <v>3913</v>
      </c>
      <c r="AB218" s="122" t="s">
        <v>1194</v>
      </c>
      <c r="AC218" s="123">
        <v>68</v>
      </c>
      <c r="AD218" s="124">
        <v>3.12</v>
      </c>
      <c r="AE218" s="200">
        <f t="shared" si="25"/>
        <v>212.16</v>
      </c>
      <c r="AF218" s="248"/>
      <c r="AR218" s="129" t="s">
        <v>347</v>
      </c>
      <c r="AT218" s="129" t="s">
        <v>231</v>
      </c>
      <c r="AU218" s="129" t="s">
        <v>63</v>
      </c>
      <c r="AY218" s="13" t="s">
        <v>228</v>
      </c>
      <c r="BE218" s="130">
        <f t="shared" si="26"/>
        <v>0</v>
      </c>
      <c r="BF218" s="130">
        <f t="shared" si="27"/>
        <v>212.16</v>
      </c>
      <c r="BG218" s="130">
        <f t="shared" si="28"/>
        <v>0</v>
      </c>
      <c r="BH218" s="130">
        <f t="shared" si="29"/>
        <v>0</v>
      </c>
      <c r="BI218" s="130">
        <f t="shared" si="30"/>
        <v>0</v>
      </c>
      <c r="BJ218" s="13" t="s">
        <v>76</v>
      </c>
      <c r="BK218" s="130">
        <f t="shared" si="31"/>
        <v>212.16</v>
      </c>
      <c r="BL218" s="13" t="s">
        <v>347</v>
      </c>
      <c r="BM218" s="129" t="s">
        <v>539</v>
      </c>
    </row>
    <row r="219" spans="2:65" s="1" customFormat="1" ht="16.5" customHeight="1" x14ac:dyDescent="0.2">
      <c r="B219" s="118"/>
      <c r="C219" s="131" t="s">
        <v>386</v>
      </c>
      <c r="D219" s="131" t="s">
        <v>277</v>
      </c>
      <c r="E219" s="132" t="s">
        <v>1319</v>
      </c>
      <c r="F219" s="133" t="s">
        <v>3914</v>
      </c>
      <c r="G219" s="134" t="s">
        <v>1194</v>
      </c>
      <c r="H219" s="135">
        <v>68</v>
      </c>
      <c r="I219" s="136">
        <v>1.74</v>
      </c>
      <c r="J219" s="136">
        <f t="shared" si="21"/>
        <v>118.32</v>
      </c>
      <c r="K219" s="133" t="s">
        <v>1</v>
      </c>
      <c r="L219" s="137"/>
      <c r="M219" s="138" t="s">
        <v>1</v>
      </c>
      <c r="N219" s="139" t="s">
        <v>32</v>
      </c>
      <c r="O219" s="127">
        <v>0</v>
      </c>
      <c r="P219" s="127">
        <f t="shared" si="22"/>
        <v>0</v>
      </c>
      <c r="Q219" s="127">
        <v>0</v>
      </c>
      <c r="R219" s="127">
        <f t="shared" si="23"/>
        <v>0</v>
      </c>
      <c r="S219" s="127">
        <v>0</v>
      </c>
      <c r="T219" s="128">
        <f t="shared" si="24"/>
        <v>0</v>
      </c>
      <c r="W219" s="199"/>
      <c r="X219" s="131" t="s">
        <v>386</v>
      </c>
      <c r="Y219" s="131" t="s">
        <v>277</v>
      </c>
      <c r="Z219" s="132" t="s">
        <v>1319</v>
      </c>
      <c r="AA219" s="133" t="s">
        <v>3914</v>
      </c>
      <c r="AB219" s="134" t="s">
        <v>1194</v>
      </c>
      <c r="AC219" s="135">
        <v>68</v>
      </c>
      <c r="AD219" s="136">
        <v>1.74</v>
      </c>
      <c r="AE219" s="229">
        <f t="shared" si="25"/>
        <v>118.32</v>
      </c>
      <c r="AF219" s="248"/>
      <c r="AR219" s="129" t="s">
        <v>705</v>
      </c>
      <c r="AT219" s="129" t="s">
        <v>277</v>
      </c>
      <c r="AU219" s="129" t="s">
        <v>63</v>
      </c>
      <c r="AY219" s="13" t="s">
        <v>228</v>
      </c>
      <c r="BE219" s="130">
        <f t="shared" si="26"/>
        <v>0</v>
      </c>
      <c r="BF219" s="130">
        <f t="shared" si="27"/>
        <v>118.32</v>
      </c>
      <c r="BG219" s="130">
        <f t="shared" si="28"/>
        <v>0</v>
      </c>
      <c r="BH219" s="130">
        <f t="shared" si="29"/>
        <v>0</v>
      </c>
      <c r="BI219" s="130">
        <f t="shared" si="30"/>
        <v>0</v>
      </c>
      <c r="BJ219" s="13" t="s">
        <v>76</v>
      </c>
      <c r="BK219" s="130">
        <f t="shared" si="31"/>
        <v>118.32</v>
      </c>
      <c r="BL219" s="13" t="s">
        <v>347</v>
      </c>
      <c r="BM219" s="129" t="s">
        <v>542</v>
      </c>
    </row>
    <row r="220" spans="2:65" s="1" customFormat="1" ht="24" customHeight="1" x14ac:dyDescent="0.2">
      <c r="B220" s="118"/>
      <c r="C220" s="119" t="s">
        <v>543</v>
      </c>
      <c r="D220" s="119" t="s">
        <v>231</v>
      </c>
      <c r="E220" s="120" t="s">
        <v>3827</v>
      </c>
      <c r="F220" s="121" t="s">
        <v>3828</v>
      </c>
      <c r="G220" s="122" t="s">
        <v>1194</v>
      </c>
      <c r="H220" s="123">
        <v>1</v>
      </c>
      <c r="I220" s="124">
        <v>5.61</v>
      </c>
      <c r="J220" s="124">
        <f t="shared" si="21"/>
        <v>5.61</v>
      </c>
      <c r="K220" s="121" t="s">
        <v>1</v>
      </c>
      <c r="L220" s="24"/>
      <c r="M220" s="125" t="s">
        <v>1</v>
      </c>
      <c r="N220" s="126" t="s">
        <v>32</v>
      </c>
      <c r="O220" s="127">
        <v>0</v>
      </c>
      <c r="P220" s="127">
        <f t="shared" si="22"/>
        <v>0</v>
      </c>
      <c r="Q220" s="127">
        <v>0</v>
      </c>
      <c r="R220" s="127">
        <f t="shared" si="23"/>
        <v>0</v>
      </c>
      <c r="S220" s="127">
        <v>0</v>
      </c>
      <c r="T220" s="128">
        <f t="shared" si="24"/>
        <v>0</v>
      </c>
      <c r="W220" s="199"/>
      <c r="X220" s="119" t="s">
        <v>543</v>
      </c>
      <c r="Y220" s="119" t="s">
        <v>231</v>
      </c>
      <c r="Z220" s="120" t="s">
        <v>3827</v>
      </c>
      <c r="AA220" s="121" t="s">
        <v>3828</v>
      </c>
      <c r="AB220" s="122" t="s">
        <v>1194</v>
      </c>
      <c r="AC220" s="123">
        <v>1</v>
      </c>
      <c r="AD220" s="124">
        <v>5.61</v>
      </c>
      <c r="AE220" s="200">
        <f t="shared" si="25"/>
        <v>5.61</v>
      </c>
      <c r="AF220" s="248"/>
      <c r="AR220" s="129" t="s">
        <v>347</v>
      </c>
      <c r="AT220" s="129" t="s">
        <v>231</v>
      </c>
      <c r="AU220" s="129" t="s">
        <v>63</v>
      </c>
      <c r="AY220" s="13" t="s">
        <v>228</v>
      </c>
      <c r="BE220" s="130">
        <f t="shared" si="26"/>
        <v>0</v>
      </c>
      <c r="BF220" s="130">
        <f t="shared" si="27"/>
        <v>5.61</v>
      </c>
      <c r="BG220" s="130">
        <f t="shared" si="28"/>
        <v>0</v>
      </c>
      <c r="BH220" s="130">
        <f t="shared" si="29"/>
        <v>0</v>
      </c>
      <c r="BI220" s="130">
        <f t="shared" si="30"/>
        <v>0</v>
      </c>
      <c r="BJ220" s="13" t="s">
        <v>76</v>
      </c>
      <c r="BK220" s="130">
        <f t="shared" si="31"/>
        <v>5.61</v>
      </c>
      <c r="BL220" s="13" t="s">
        <v>347</v>
      </c>
      <c r="BM220" s="129" t="s">
        <v>546</v>
      </c>
    </row>
    <row r="221" spans="2:65" s="1" customFormat="1" ht="16.5" customHeight="1" x14ac:dyDescent="0.2">
      <c r="B221" s="118"/>
      <c r="C221" s="131" t="s">
        <v>389</v>
      </c>
      <c r="D221" s="131" t="s">
        <v>277</v>
      </c>
      <c r="E221" s="132" t="s">
        <v>3829</v>
      </c>
      <c r="F221" s="133" t="s">
        <v>3830</v>
      </c>
      <c r="G221" s="134" t="s">
        <v>1194</v>
      </c>
      <c r="H221" s="135">
        <v>1</v>
      </c>
      <c r="I221" s="136">
        <v>5.21</v>
      </c>
      <c r="J221" s="136">
        <f t="shared" si="21"/>
        <v>5.21</v>
      </c>
      <c r="K221" s="133" t="s">
        <v>1</v>
      </c>
      <c r="L221" s="137"/>
      <c r="M221" s="138" t="s">
        <v>1</v>
      </c>
      <c r="N221" s="139" t="s">
        <v>32</v>
      </c>
      <c r="O221" s="127">
        <v>0</v>
      </c>
      <c r="P221" s="127">
        <f t="shared" si="22"/>
        <v>0</v>
      </c>
      <c r="Q221" s="127">
        <v>0</v>
      </c>
      <c r="R221" s="127">
        <f t="shared" si="23"/>
        <v>0</v>
      </c>
      <c r="S221" s="127">
        <v>0</v>
      </c>
      <c r="T221" s="128">
        <f t="shared" si="24"/>
        <v>0</v>
      </c>
      <c r="W221" s="199"/>
      <c r="X221" s="131" t="s">
        <v>389</v>
      </c>
      <c r="Y221" s="131" t="s">
        <v>277</v>
      </c>
      <c r="Z221" s="132" t="s">
        <v>3829</v>
      </c>
      <c r="AA221" s="133" t="s">
        <v>3830</v>
      </c>
      <c r="AB221" s="134" t="s">
        <v>1194</v>
      </c>
      <c r="AC221" s="135">
        <v>1</v>
      </c>
      <c r="AD221" s="136">
        <v>5.21</v>
      </c>
      <c r="AE221" s="229">
        <f t="shared" si="25"/>
        <v>5.21</v>
      </c>
      <c r="AF221" s="248"/>
      <c r="AR221" s="129" t="s">
        <v>705</v>
      </c>
      <c r="AT221" s="129" t="s">
        <v>277</v>
      </c>
      <c r="AU221" s="129" t="s">
        <v>63</v>
      </c>
      <c r="AY221" s="13" t="s">
        <v>228</v>
      </c>
      <c r="BE221" s="130">
        <f t="shared" si="26"/>
        <v>0</v>
      </c>
      <c r="BF221" s="130">
        <f t="shared" si="27"/>
        <v>5.21</v>
      </c>
      <c r="BG221" s="130">
        <f t="shared" si="28"/>
        <v>0</v>
      </c>
      <c r="BH221" s="130">
        <f t="shared" si="29"/>
        <v>0</v>
      </c>
      <c r="BI221" s="130">
        <f t="shared" si="30"/>
        <v>0</v>
      </c>
      <c r="BJ221" s="13" t="s">
        <v>76</v>
      </c>
      <c r="BK221" s="130">
        <f t="shared" si="31"/>
        <v>5.21</v>
      </c>
      <c r="BL221" s="13" t="s">
        <v>347</v>
      </c>
      <c r="BM221" s="129" t="s">
        <v>549</v>
      </c>
    </row>
    <row r="222" spans="2:65" s="1" customFormat="1" ht="24" customHeight="1" x14ac:dyDescent="0.2">
      <c r="B222" s="118"/>
      <c r="C222" s="119" t="s">
        <v>552</v>
      </c>
      <c r="D222" s="119" t="s">
        <v>231</v>
      </c>
      <c r="E222" s="120" t="s">
        <v>3819</v>
      </c>
      <c r="F222" s="121" t="s">
        <v>3820</v>
      </c>
      <c r="G222" s="122" t="s">
        <v>1194</v>
      </c>
      <c r="H222" s="123">
        <v>3</v>
      </c>
      <c r="I222" s="124">
        <v>4.97</v>
      </c>
      <c r="J222" s="124">
        <f t="shared" si="21"/>
        <v>14.91</v>
      </c>
      <c r="K222" s="121" t="s">
        <v>1</v>
      </c>
      <c r="L222" s="24"/>
      <c r="M222" s="125" t="s">
        <v>1</v>
      </c>
      <c r="N222" s="126" t="s">
        <v>32</v>
      </c>
      <c r="O222" s="127">
        <v>0</v>
      </c>
      <c r="P222" s="127">
        <f t="shared" si="22"/>
        <v>0</v>
      </c>
      <c r="Q222" s="127">
        <v>0</v>
      </c>
      <c r="R222" s="127">
        <f t="shared" si="23"/>
        <v>0</v>
      </c>
      <c r="S222" s="127">
        <v>0</v>
      </c>
      <c r="T222" s="128">
        <f t="shared" si="24"/>
        <v>0</v>
      </c>
      <c r="W222" s="199"/>
      <c r="X222" s="119" t="s">
        <v>552</v>
      </c>
      <c r="Y222" s="119" t="s">
        <v>231</v>
      </c>
      <c r="Z222" s="120" t="s">
        <v>3819</v>
      </c>
      <c r="AA222" s="121" t="s">
        <v>3820</v>
      </c>
      <c r="AB222" s="122" t="s">
        <v>1194</v>
      </c>
      <c r="AC222" s="123">
        <v>3</v>
      </c>
      <c r="AD222" s="124">
        <v>4.97</v>
      </c>
      <c r="AE222" s="200">
        <f t="shared" si="25"/>
        <v>14.91</v>
      </c>
      <c r="AF222" s="248"/>
      <c r="AR222" s="129" t="s">
        <v>347</v>
      </c>
      <c r="AT222" s="129" t="s">
        <v>231</v>
      </c>
      <c r="AU222" s="129" t="s">
        <v>63</v>
      </c>
      <c r="AY222" s="13" t="s">
        <v>228</v>
      </c>
      <c r="BE222" s="130">
        <f t="shared" si="26"/>
        <v>0</v>
      </c>
      <c r="BF222" s="130">
        <f t="shared" si="27"/>
        <v>14.91</v>
      </c>
      <c r="BG222" s="130">
        <f t="shared" si="28"/>
        <v>0</v>
      </c>
      <c r="BH222" s="130">
        <f t="shared" si="29"/>
        <v>0</v>
      </c>
      <c r="BI222" s="130">
        <f t="shared" si="30"/>
        <v>0</v>
      </c>
      <c r="BJ222" s="13" t="s">
        <v>76</v>
      </c>
      <c r="BK222" s="130">
        <f t="shared" si="31"/>
        <v>14.91</v>
      </c>
      <c r="BL222" s="13" t="s">
        <v>347</v>
      </c>
      <c r="BM222" s="129" t="s">
        <v>555</v>
      </c>
    </row>
    <row r="223" spans="2:65" s="1" customFormat="1" ht="16.5" customHeight="1" x14ac:dyDescent="0.2">
      <c r="B223" s="118"/>
      <c r="C223" s="131" t="s">
        <v>393</v>
      </c>
      <c r="D223" s="131" t="s">
        <v>277</v>
      </c>
      <c r="E223" s="132" t="s">
        <v>3821</v>
      </c>
      <c r="F223" s="133" t="s">
        <v>3822</v>
      </c>
      <c r="G223" s="134" t="s">
        <v>1194</v>
      </c>
      <c r="H223" s="135">
        <v>3</v>
      </c>
      <c r="I223" s="136">
        <v>14.05</v>
      </c>
      <c r="J223" s="136">
        <f t="shared" si="21"/>
        <v>42.15</v>
      </c>
      <c r="K223" s="133" t="s">
        <v>1</v>
      </c>
      <c r="L223" s="137"/>
      <c r="M223" s="138" t="s">
        <v>1</v>
      </c>
      <c r="N223" s="139" t="s">
        <v>32</v>
      </c>
      <c r="O223" s="127">
        <v>0</v>
      </c>
      <c r="P223" s="127">
        <f t="shared" si="22"/>
        <v>0</v>
      </c>
      <c r="Q223" s="127">
        <v>0</v>
      </c>
      <c r="R223" s="127">
        <f t="shared" si="23"/>
        <v>0</v>
      </c>
      <c r="S223" s="127">
        <v>0</v>
      </c>
      <c r="T223" s="128">
        <f t="shared" si="24"/>
        <v>0</v>
      </c>
      <c r="W223" s="199"/>
      <c r="X223" s="131" t="s">
        <v>393</v>
      </c>
      <c r="Y223" s="131" t="s">
        <v>277</v>
      </c>
      <c r="Z223" s="132" t="s">
        <v>3821</v>
      </c>
      <c r="AA223" s="133" t="s">
        <v>3822</v>
      </c>
      <c r="AB223" s="134" t="s">
        <v>1194</v>
      </c>
      <c r="AC223" s="135">
        <v>3</v>
      </c>
      <c r="AD223" s="136">
        <v>14.05</v>
      </c>
      <c r="AE223" s="229">
        <f t="shared" si="25"/>
        <v>42.15</v>
      </c>
      <c r="AF223" s="248"/>
      <c r="AR223" s="129" t="s">
        <v>705</v>
      </c>
      <c r="AT223" s="129" t="s">
        <v>277</v>
      </c>
      <c r="AU223" s="129" t="s">
        <v>63</v>
      </c>
      <c r="AY223" s="13" t="s">
        <v>228</v>
      </c>
      <c r="BE223" s="130">
        <f t="shared" si="26"/>
        <v>0</v>
      </c>
      <c r="BF223" s="130">
        <f t="shared" si="27"/>
        <v>42.15</v>
      </c>
      <c r="BG223" s="130">
        <f t="shared" si="28"/>
        <v>0</v>
      </c>
      <c r="BH223" s="130">
        <f t="shared" si="29"/>
        <v>0</v>
      </c>
      <c r="BI223" s="130">
        <f t="shared" si="30"/>
        <v>0</v>
      </c>
      <c r="BJ223" s="13" t="s">
        <v>76</v>
      </c>
      <c r="BK223" s="130">
        <f t="shared" si="31"/>
        <v>42.15</v>
      </c>
      <c r="BL223" s="13" t="s">
        <v>347</v>
      </c>
      <c r="BM223" s="129" t="s">
        <v>562</v>
      </c>
    </row>
    <row r="224" spans="2:65" s="1" customFormat="1" ht="24" customHeight="1" x14ac:dyDescent="0.2">
      <c r="B224" s="118"/>
      <c r="C224" s="119" t="s">
        <v>563</v>
      </c>
      <c r="D224" s="119" t="s">
        <v>231</v>
      </c>
      <c r="E224" s="120" t="s">
        <v>3823</v>
      </c>
      <c r="F224" s="121" t="s">
        <v>3824</v>
      </c>
      <c r="G224" s="122" t="s">
        <v>1194</v>
      </c>
      <c r="H224" s="123">
        <v>3</v>
      </c>
      <c r="I224" s="124">
        <v>5.04</v>
      </c>
      <c r="J224" s="124">
        <f t="shared" si="21"/>
        <v>15.12</v>
      </c>
      <c r="K224" s="121" t="s">
        <v>1</v>
      </c>
      <c r="L224" s="24"/>
      <c r="M224" s="125" t="s">
        <v>1</v>
      </c>
      <c r="N224" s="126" t="s">
        <v>32</v>
      </c>
      <c r="O224" s="127">
        <v>0</v>
      </c>
      <c r="P224" s="127">
        <f t="shared" si="22"/>
        <v>0</v>
      </c>
      <c r="Q224" s="127">
        <v>0</v>
      </c>
      <c r="R224" s="127">
        <f t="shared" si="23"/>
        <v>0</v>
      </c>
      <c r="S224" s="127">
        <v>0</v>
      </c>
      <c r="T224" s="128">
        <f t="shared" si="24"/>
        <v>0</v>
      </c>
      <c r="W224" s="199"/>
      <c r="X224" s="119" t="s">
        <v>563</v>
      </c>
      <c r="Y224" s="119" t="s">
        <v>231</v>
      </c>
      <c r="Z224" s="120" t="s">
        <v>3823</v>
      </c>
      <c r="AA224" s="121" t="s">
        <v>3824</v>
      </c>
      <c r="AB224" s="122" t="s">
        <v>1194</v>
      </c>
      <c r="AC224" s="123">
        <v>3</v>
      </c>
      <c r="AD224" s="124">
        <v>5.04</v>
      </c>
      <c r="AE224" s="200">
        <f t="shared" si="25"/>
        <v>15.12</v>
      </c>
      <c r="AF224" s="248"/>
      <c r="AR224" s="129" t="s">
        <v>347</v>
      </c>
      <c r="AT224" s="129" t="s">
        <v>231</v>
      </c>
      <c r="AU224" s="129" t="s">
        <v>63</v>
      </c>
      <c r="AY224" s="13" t="s">
        <v>228</v>
      </c>
      <c r="BE224" s="130">
        <f t="shared" si="26"/>
        <v>0</v>
      </c>
      <c r="BF224" s="130">
        <f t="shared" si="27"/>
        <v>15.12</v>
      </c>
      <c r="BG224" s="130">
        <f t="shared" si="28"/>
        <v>0</v>
      </c>
      <c r="BH224" s="130">
        <f t="shared" si="29"/>
        <v>0</v>
      </c>
      <c r="BI224" s="130">
        <f t="shared" si="30"/>
        <v>0</v>
      </c>
      <c r="BJ224" s="13" t="s">
        <v>76</v>
      </c>
      <c r="BK224" s="130">
        <f t="shared" si="31"/>
        <v>15.12</v>
      </c>
      <c r="BL224" s="13" t="s">
        <v>347</v>
      </c>
      <c r="BM224" s="129" t="s">
        <v>567</v>
      </c>
    </row>
    <row r="225" spans="2:65" s="1" customFormat="1" ht="16.5" customHeight="1" x14ac:dyDescent="0.2">
      <c r="B225" s="118"/>
      <c r="C225" s="131" t="s">
        <v>396</v>
      </c>
      <c r="D225" s="131" t="s">
        <v>277</v>
      </c>
      <c r="E225" s="132" t="s">
        <v>3825</v>
      </c>
      <c r="F225" s="133" t="s">
        <v>3826</v>
      </c>
      <c r="G225" s="134" t="s">
        <v>1194</v>
      </c>
      <c r="H225" s="135">
        <v>3</v>
      </c>
      <c r="I225" s="136">
        <v>7.35</v>
      </c>
      <c r="J225" s="136">
        <f t="shared" si="21"/>
        <v>22.05</v>
      </c>
      <c r="K225" s="133" t="s">
        <v>1</v>
      </c>
      <c r="L225" s="137"/>
      <c r="M225" s="138" t="s">
        <v>1</v>
      </c>
      <c r="N225" s="139" t="s">
        <v>32</v>
      </c>
      <c r="O225" s="127">
        <v>0</v>
      </c>
      <c r="P225" s="127">
        <f t="shared" si="22"/>
        <v>0</v>
      </c>
      <c r="Q225" s="127">
        <v>0</v>
      </c>
      <c r="R225" s="127">
        <f t="shared" si="23"/>
        <v>0</v>
      </c>
      <c r="S225" s="127">
        <v>0</v>
      </c>
      <c r="T225" s="128">
        <f t="shared" si="24"/>
        <v>0</v>
      </c>
      <c r="W225" s="199"/>
      <c r="X225" s="131" t="s">
        <v>396</v>
      </c>
      <c r="Y225" s="131" t="s">
        <v>277</v>
      </c>
      <c r="Z225" s="132" t="s">
        <v>3825</v>
      </c>
      <c r="AA225" s="133" t="s">
        <v>3826</v>
      </c>
      <c r="AB225" s="134" t="s">
        <v>1194</v>
      </c>
      <c r="AC225" s="135">
        <v>3</v>
      </c>
      <c r="AD225" s="136">
        <v>7.35</v>
      </c>
      <c r="AE225" s="229">
        <f t="shared" si="25"/>
        <v>22.05</v>
      </c>
      <c r="AF225" s="248"/>
      <c r="AR225" s="129" t="s">
        <v>705</v>
      </c>
      <c r="AT225" s="129" t="s">
        <v>277</v>
      </c>
      <c r="AU225" s="129" t="s">
        <v>63</v>
      </c>
      <c r="AY225" s="13" t="s">
        <v>228</v>
      </c>
      <c r="BE225" s="130">
        <f t="shared" si="26"/>
        <v>0</v>
      </c>
      <c r="BF225" s="130">
        <f t="shared" si="27"/>
        <v>22.05</v>
      </c>
      <c r="BG225" s="130">
        <f t="shared" si="28"/>
        <v>0</v>
      </c>
      <c r="BH225" s="130">
        <f t="shared" si="29"/>
        <v>0</v>
      </c>
      <c r="BI225" s="130">
        <f t="shared" si="30"/>
        <v>0</v>
      </c>
      <c r="BJ225" s="13" t="s">
        <v>76</v>
      </c>
      <c r="BK225" s="130">
        <f t="shared" si="31"/>
        <v>22.05</v>
      </c>
      <c r="BL225" s="13" t="s">
        <v>347</v>
      </c>
      <c r="BM225" s="129" t="s">
        <v>571</v>
      </c>
    </row>
    <row r="226" spans="2:65" s="1" customFormat="1" ht="36" customHeight="1" x14ac:dyDescent="0.2">
      <c r="B226" s="118"/>
      <c r="C226" s="119" t="s">
        <v>574</v>
      </c>
      <c r="D226" s="119" t="s">
        <v>231</v>
      </c>
      <c r="E226" s="120" t="s">
        <v>3802</v>
      </c>
      <c r="F226" s="121" t="s">
        <v>3803</v>
      </c>
      <c r="G226" s="122" t="s">
        <v>1194</v>
      </c>
      <c r="H226" s="123">
        <v>7</v>
      </c>
      <c r="I226" s="124">
        <v>9.2200000000000006</v>
      </c>
      <c r="J226" s="124">
        <f t="shared" si="21"/>
        <v>64.540000000000006</v>
      </c>
      <c r="K226" s="121" t="s">
        <v>1</v>
      </c>
      <c r="L226" s="24"/>
      <c r="M226" s="125" t="s">
        <v>1</v>
      </c>
      <c r="N226" s="126" t="s">
        <v>32</v>
      </c>
      <c r="O226" s="127">
        <v>0</v>
      </c>
      <c r="P226" s="127">
        <f t="shared" si="22"/>
        <v>0</v>
      </c>
      <c r="Q226" s="127">
        <v>0</v>
      </c>
      <c r="R226" s="127">
        <f t="shared" si="23"/>
        <v>0</v>
      </c>
      <c r="S226" s="127">
        <v>0</v>
      </c>
      <c r="T226" s="128">
        <f t="shared" si="24"/>
        <v>0</v>
      </c>
      <c r="W226" s="199"/>
      <c r="X226" s="119" t="s">
        <v>574</v>
      </c>
      <c r="Y226" s="119" t="s">
        <v>231</v>
      </c>
      <c r="Z226" s="120" t="s">
        <v>3802</v>
      </c>
      <c r="AA226" s="121" t="s">
        <v>3803</v>
      </c>
      <c r="AB226" s="122" t="s">
        <v>1194</v>
      </c>
      <c r="AC226" s="123">
        <v>7</v>
      </c>
      <c r="AD226" s="124">
        <v>9.2200000000000006</v>
      </c>
      <c r="AE226" s="200">
        <f t="shared" si="25"/>
        <v>64.540000000000006</v>
      </c>
      <c r="AF226" s="248"/>
      <c r="AR226" s="129" t="s">
        <v>347</v>
      </c>
      <c r="AT226" s="129" t="s">
        <v>231</v>
      </c>
      <c r="AU226" s="129" t="s">
        <v>63</v>
      </c>
      <c r="AY226" s="13" t="s">
        <v>228</v>
      </c>
      <c r="BE226" s="130">
        <f t="shared" si="26"/>
        <v>0</v>
      </c>
      <c r="BF226" s="130">
        <f t="shared" si="27"/>
        <v>64.540000000000006</v>
      </c>
      <c r="BG226" s="130">
        <f t="shared" si="28"/>
        <v>0</v>
      </c>
      <c r="BH226" s="130">
        <f t="shared" si="29"/>
        <v>0</v>
      </c>
      <c r="BI226" s="130">
        <f t="shared" si="30"/>
        <v>0</v>
      </c>
      <c r="BJ226" s="13" t="s">
        <v>76</v>
      </c>
      <c r="BK226" s="130">
        <f t="shared" si="31"/>
        <v>64.540000000000006</v>
      </c>
      <c r="BL226" s="13" t="s">
        <v>347</v>
      </c>
      <c r="BM226" s="129" t="s">
        <v>577</v>
      </c>
    </row>
    <row r="227" spans="2:65" s="1" customFormat="1" ht="16.5" customHeight="1" x14ac:dyDescent="0.2">
      <c r="B227" s="118"/>
      <c r="C227" s="131" t="s">
        <v>400</v>
      </c>
      <c r="D227" s="131" t="s">
        <v>277</v>
      </c>
      <c r="E227" s="132" t="s">
        <v>3804</v>
      </c>
      <c r="F227" s="133" t="s">
        <v>3805</v>
      </c>
      <c r="G227" s="134" t="s">
        <v>1194</v>
      </c>
      <c r="H227" s="135">
        <v>7</v>
      </c>
      <c r="I227" s="136">
        <v>2.54</v>
      </c>
      <c r="J227" s="136">
        <f t="shared" si="21"/>
        <v>17.78</v>
      </c>
      <c r="K227" s="133" t="s">
        <v>1</v>
      </c>
      <c r="L227" s="137"/>
      <c r="M227" s="138" t="s">
        <v>1</v>
      </c>
      <c r="N227" s="139" t="s">
        <v>32</v>
      </c>
      <c r="O227" s="127">
        <v>0</v>
      </c>
      <c r="P227" s="127">
        <f t="shared" si="22"/>
        <v>0</v>
      </c>
      <c r="Q227" s="127">
        <v>0</v>
      </c>
      <c r="R227" s="127">
        <f t="shared" si="23"/>
        <v>0</v>
      </c>
      <c r="S227" s="127">
        <v>0</v>
      </c>
      <c r="T227" s="128">
        <f t="shared" si="24"/>
        <v>0</v>
      </c>
      <c r="W227" s="199"/>
      <c r="X227" s="131" t="s">
        <v>400</v>
      </c>
      <c r="Y227" s="131" t="s">
        <v>277</v>
      </c>
      <c r="Z227" s="132" t="s">
        <v>3804</v>
      </c>
      <c r="AA227" s="133" t="s">
        <v>3805</v>
      </c>
      <c r="AB227" s="134" t="s">
        <v>1194</v>
      </c>
      <c r="AC227" s="135">
        <v>7</v>
      </c>
      <c r="AD227" s="136">
        <v>2.54</v>
      </c>
      <c r="AE227" s="229">
        <f t="shared" si="25"/>
        <v>17.78</v>
      </c>
      <c r="AF227" s="248"/>
      <c r="AR227" s="129" t="s">
        <v>705</v>
      </c>
      <c r="AT227" s="129" t="s">
        <v>277</v>
      </c>
      <c r="AU227" s="129" t="s">
        <v>63</v>
      </c>
      <c r="AY227" s="13" t="s">
        <v>228</v>
      </c>
      <c r="BE227" s="130">
        <f t="shared" si="26"/>
        <v>0</v>
      </c>
      <c r="BF227" s="130">
        <f t="shared" si="27"/>
        <v>17.78</v>
      </c>
      <c r="BG227" s="130">
        <f t="shared" si="28"/>
        <v>0</v>
      </c>
      <c r="BH227" s="130">
        <f t="shared" si="29"/>
        <v>0</v>
      </c>
      <c r="BI227" s="130">
        <f t="shared" si="30"/>
        <v>0</v>
      </c>
      <c r="BJ227" s="13" t="s">
        <v>76</v>
      </c>
      <c r="BK227" s="130">
        <f t="shared" si="31"/>
        <v>17.78</v>
      </c>
      <c r="BL227" s="13" t="s">
        <v>347</v>
      </c>
      <c r="BM227" s="129" t="s">
        <v>580</v>
      </c>
    </row>
    <row r="228" spans="2:65" s="1" customFormat="1" ht="24" customHeight="1" x14ac:dyDescent="0.2">
      <c r="B228" s="118"/>
      <c r="C228" s="205" t="s">
        <v>405</v>
      </c>
      <c r="D228" s="119" t="s">
        <v>231</v>
      </c>
      <c r="E228" s="120" t="s">
        <v>1532</v>
      </c>
      <c r="F228" s="121" t="s">
        <v>1533</v>
      </c>
      <c r="G228" s="122" t="s">
        <v>292</v>
      </c>
      <c r="H228" s="206">
        <v>160</v>
      </c>
      <c r="I228" s="124">
        <v>4.5599999999999996</v>
      </c>
      <c r="J228" s="124">
        <f t="shared" si="21"/>
        <v>729.6</v>
      </c>
      <c r="K228" s="121" t="s">
        <v>1</v>
      </c>
      <c r="L228" s="24"/>
      <c r="M228" s="125" t="s">
        <v>1</v>
      </c>
      <c r="N228" s="126" t="s">
        <v>32</v>
      </c>
      <c r="O228" s="127">
        <v>0</v>
      </c>
      <c r="P228" s="127">
        <f t="shared" si="22"/>
        <v>0</v>
      </c>
      <c r="Q228" s="127">
        <v>0</v>
      </c>
      <c r="R228" s="127">
        <f t="shared" si="23"/>
        <v>0</v>
      </c>
      <c r="S228" s="127">
        <v>0</v>
      </c>
      <c r="T228" s="128">
        <f t="shared" si="24"/>
        <v>0</v>
      </c>
      <c r="W228" s="199"/>
      <c r="X228" s="205" t="s">
        <v>405</v>
      </c>
      <c r="Y228" s="119" t="s">
        <v>231</v>
      </c>
      <c r="Z228" s="120" t="s">
        <v>1532</v>
      </c>
      <c r="AA228" s="121" t="s">
        <v>1533</v>
      </c>
      <c r="AB228" s="122" t="s">
        <v>292</v>
      </c>
      <c r="AC228" s="206">
        <f>160+60</f>
        <v>220</v>
      </c>
      <c r="AD228" s="124">
        <v>4.5599999999999996</v>
      </c>
      <c r="AE228" s="200">
        <f t="shared" si="25"/>
        <v>1003.2</v>
      </c>
      <c r="AF228" s="248">
        <v>2</v>
      </c>
      <c r="AR228" s="129" t="s">
        <v>347</v>
      </c>
      <c r="AT228" s="129" t="s">
        <v>231</v>
      </c>
      <c r="AU228" s="129" t="s">
        <v>63</v>
      </c>
      <c r="AY228" s="13" t="s">
        <v>228</v>
      </c>
      <c r="BE228" s="130">
        <f t="shared" si="26"/>
        <v>0</v>
      </c>
      <c r="BF228" s="130">
        <f t="shared" si="27"/>
        <v>729.6</v>
      </c>
      <c r="BG228" s="130">
        <f t="shared" si="28"/>
        <v>0</v>
      </c>
      <c r="BH228" s="130">
        <f t="shared" si="29"/>
        <v>0</v>
      </c>
      <c r="BI228" s="130">
        <f t="shared" si="30"/>
        <v>0</v>
      </c>
      <c r="BJ228" s="13" t="s">
        <v>76</v>
      </c>
      <c r="BK228" s="130">
        <f t="shared" si="31"/>
        <v>729.6</v>
      </c>
      <c r="BL228" s="13" t="s">
        <v>347</v>
      </c>
      <c r="BM228" s="129" t="s">
        <v>585</v>
      </c>
    </row>
    <row r="229" spans="2:65" s="1" customFormat="1" ht="24" customHeight="1" x14ac:dyDescent="0.2">
      <c r="B229" s="118"/>
      <c r="C229" s="242" t="s">
        <v>404</v>
      </c>
      <c r="D229" s="131" t="s">
        <v>277</v>
      </c>
      <c r="E229" s="132" t="s">
        <v>1535</v>
      </c>
      <c r="F229" s="133" t="s">
        <v>1536</v>
      </c>
      <c r="G229" s="134" t="s">
        <v>292</v>
      </c>
      <c r="H229" s="241">
        <v>160</v>
      </c>
      <c r="I229" s="136">
        <v>10.66</v>
      </c>
      <c r="J229" s="136">
        <f t="shared" si="21"/>
        <v>1705.6</v>
      </c>
      <c r="K229" s="133" t="s">
        <v>1</v>
      </c>
      <c r="L229" s="137"/>
      <c r="M229" s="138" t="s">
        <v>1</v>
      </c>
      <c r="N229" s="139" t="s">
        <v>32</v>
      </c>
      <c r="O229" s="127">
        <v>0</v>
      </c>
      <c r="P229" s="127">
        <f t="shared" si="22"/>
        <v>0</v>
      </c>
      <c r="Q229" s="127">
        <v>4.0000000000000001E-3</v>
      </c>
      <c r="R229" s="127">
        <f t="shared" si="23"/>
        <v>0.64</v>
      </c>
      <c r="S229" s="127">
        <v>0</v>
      </c>
      <c r="T229" s="128">
        <f t="shared" si="24"/>
        <v>0</v>
      </c>
      <c r="W229" s="199"/>
      <c r="X229" s="242" t="s">
        <v>404</v>
      </c>
      <c r="Y229" s="131" t="s">
        <v>277</v>
      </c>
      <c r="Z229" s="132" t="s">
        <v>1535</v>
      </c>
      <c r="AA229" s="133" t="s">
        <v>1536</v>
      </c>
      <c r="AB229" s="134" t="s">
        <v>292</v>
      </c>
      <c r="AC229" s="241">
        <f>160+60</f>
        <v>220</v>
      </c>
      <c r="AD229" s="136">
        <v>10.66</v>
      </c>
      <c r="AE229" s="229">
        <f t="shared" si="25"/>
        <v>2345.1999999999998</v>
      </c>
      <c r="AF229" s="248">
        <v>2</v>
      </c>
      <c r="AR229" s="129" t="s">
        <v>705</v>
      </c>
      <c r="AT229" s="129" t="s">
        <v>277</v>
      </c>
      <c r="AU229" s="129" t="s">
        <v>63</v>
      </c>
      <c r="AY229" s="13" t="s">
        <v>228</v>
      </c>
      <c r="BE229" s="130">
        <f t="shared" si="26"/>
        <v>0</v>
      </c>
      <c r="BF229" s="130">
        <f t="shared" si="27"/>
        <v>1705.6</v>
      </c>
      <c r="BG229" s="130">
        <f t="shared" si="28"/>
        <v>0</v>
      </c>
      <c r="BH229" s="130">
        <f t="shared" si="29"/>
        <v>0</v>
      </c>
      <c r="BI229" s="130">
        <f t="shared" si="30"/>
        <v>0</v>
      </c>
      <c r="BJ229" s="13" t="s">
        <v>76</v>
      </c>
      <c r="BK229" s="130">
        <f t="shared" si="31"/>
        <v>1705.6</v>
      </c>
      <c r="BL229" s="13" t="s">
        <v>347</v>
      </c>
      <c r="BM229" s="129" t="s">
        <v>588</v>
      </c>
    </row>
    <row r="230" spans="2:65" s="1" customFormat="1" ht="16.5" customHeight="1" x14ac:dyDescent="0.2">
      <c r="B230" s="118"/>
      <c r="C230" s="1070" t="s">
        <v>436</v>
      </c>
      <c r="D230" s="119" t="s">
        <v>231</v>
      </c>
      <c r="E230" s="120" t="s">
        <v>1514</v>
      </c>
      <c r="F230" s="121" t="s">
        <v>3922</v>
      </c>
      <c r="G230" s="122" t="s">
        <v>1194</v>
      </c>
      <c r="H230" s="1071">
        <v>16</v>
      </c>
      <c r="I230" s="124">
        <v>9.08</v>
      </c>
      <c r="J230" s="124">
        <f t="shared" ref="J230:J270" si="32">ROUND(I230*H230,2)</f>
        <v>145.28</v>
      </c>
      <c r="K230" s="121" t="s">
        <v>1</v>
      </c>
      <c r="L230" s="24"/>
      <c r="M230" s="125" t="s">
        <v>1</v>
      </c>
      <c r="N230" s="126" t="s">
        <v>32</v>
      </c>
      <c r="O230" s="127">
        <v>0</v>
      </c>
      <c r="P230" s="127">
        <f t="shared" ref="P230:P270" si="33">O230*H230</f>
        <v>0</v>
      </c>
      <c r="Q230" s="127">
        <v>0</v>
      </c>
      <c r="R230" s="127">
        <f t="shared" ref="R230:R270" si="34">Q230*H230</f>
        <v>0</v>
      </c>
      <c r="S230" s="127">
        <v>0</v>
      </c>
      <c r="T230" s="128">
        <f t="shared" ref="T230:T270" si="35">S230*H230</f>
        <v>0</v>
      </c>
      <c r="W230" s="199"/>
      <c r="X230" s="1070" t="s">
        <v>436</v>
      </c>
      <c r="Y230" s="119" t="s">
        <v>231</v>
      </c>
      <c r="Z230" s="120" t="s">
        <v>1514</v>
      </c>
      <c r="AA230" s="121" t="s">
        <v>3922</v>
      </c>
      <c r="AB230" s="122" t="s">
        <v>1194</v>
      </c>
      <c r="AC230" s="1071">
        <f>16+6</f>
        <v>22</v>
      </c>
      <c r="AD230" s="124">
        <v>9.08</v>
      </c>
      <c r="AE230" s="200">
        <f t="shared" si="25"/>
        <v>199.76</v>
      </c>
      <c r="AF230" s="248">
        <v>28</v>
      </c>
      <c r="AR230" s="129" t="s">
        <v>347</v>
      </c>
      <c r="AT230" s="129" t="s">
        <v>231</v>
      </c>
      <c r="AU230" s="129" t="s">
        <v>63</v>
      </c>
      <c r="AY230" s="13" t="s">
        <v>228</v>
      </c>
      <c r="BE230" s="130">
        <f t="shared" ref="BE230:BE270" si="36">IF(N230="základná",J230,0)</f>
        <v>0</v>
      </c>
      <c r="BF230" s="130">
        <f t="shared" ref="BF230:BF270" si="37">IF(N230="znížená",J230,0)</f>
        <v>145.28</v>
      </c>
      <c r="BG230" s="130">
        <f t="shared" ref="BG230:BG270" si="38">IF(N230="zákl. prenesená",J230,0)</f>
        <v>0</v>
      </c>
      <c r="BH230" s="130">
        <f t="shared" ref="BH230:BH270" si="39">IF(N230="zníž. prenesená",J230,0)</f>
        <v>0</v>
      </c>
      <c r="BI230" s="130">
        <f t="shared" ref="BI230:BI270" si="40">IF(N230="nulová",J230,0)</f>
        <v>0</v>
      </c>
      <c r="BJ230" s="13" t="s">
        <v>76</v>
      </c>
      <c r="BK230" s="130">
        <f t="shared" ref="BK230:BK270" si="41">ROUND(I230*H230,2)</f>
        <v>145.28</v>
      </c>
      <c r="BL230" s="13" t="s">
        <v>347</v>
      </c>
      <c r="BM230" s="129" t="s">
        <v>591</v>
      </c>
    </row>
    <row r="231" spans="2:65" s="1" customFormat="1" ht="24" customHeight="1" x14ac:dyDescent="0.2">
      <c r="B231" s="118"/>
      <c r="C231" s="979" t="s">
        <v>410</v>
      </c>
      <c r="D231" s="131" t="s">
        <v>277</v>
      </c>
      <c r="E231" s="132" t="s">
        <v>1517</v>
      </c>
      <c r="F231" s="133" t="s">
        <v>3923</v>
      </c>
      <c r="G231" s="134" t="s">
        <v>1194</v>
      </c>
      <c r="H231" s="978">
        <v>16</v>
      </c>
      <c r="I231" s="136">
        <v>14.02</v>
      </c>
      <c r="J231" s="136">
        <f t="shared" si="32"/>
        <v>224.32</v>
      </c>
      <c r="K231" s="133" t="s">
        <v>1</v>
      </c>
      <c r="L231" s="137"/>
      <c r="M231" s="138" t="s">
        <v>1</v>
      </c>
      <c r="N231" s="139" t="s">
        <v>32</v>
      </c>
      <c r="O231" s="127">
        <v>0</v>
      </c>
      <c r="P231" s="127">
        <f t="shared" si="33"/>
        <v>0</v>
      </c>
      <c r="Q231" s="127">
        <v>0</v>
      </c>
      <c r="R231" s="127">
        <f t="shared" si="34"/>
        <v>0</v>
      </c>
      <c r="S231" s="127">
        <v>0</v>
      </c>
      <c r="T231" s="128">
        <f t="shared" si="35"/>
        <v>0</v>
      </c>
      <c r="W231" s="199"/>
      <c r="X231" s="979" t="s">
        <v>410</v>
      </c>
      <c r="Y231" s="131" t="s">
        <v>277</v>
      </c>
      <c r="Z231" s="132" t="s">
        <v>1517</v>
      </c>
      <c r="AA231" s="133" t="s">
        <v>3923</v>
      </c>
      <c r="AB231" s="134" t="s">
        <v>1194</v>
      </c>
      <c r="AC231" s="978">
        <f>16+6</f>
        <v>22</v>
      </c>
      <c r="AD231" s="136">
        <v>14.02</v>
      </c>
      <c r="AE231" s="229">
        <f t="shared" si="25"/>
        <v>308.44</v>
      </c>
      <c r="AF231" s="248">
        <v>28</v>
      </c>
      <c r="AR231" s="129" t="s">
        <v>705</v>
      </c>
      <c r="AT231" s="129" t="s">
        <v>277</v>
      </c>
      <c r="AU231" s="129" t="s">
        <v>63</v>
      </c>
      <c r="AY231" s="13" t="s">
        <v>228</v>
      </c>
      <c r="BE231" s="130">
        <f t="shared" si="36"/>
        <v>0</v>
      </c>
      <c r="BF231" s="130">
        <f t="shared" si="37"/>
        <v>224.32</v>
      </c>
      <c r="BG231" s="130">
        <f t="shared" si="38"/>
        <v>0</v>
      </c>
      <c r="BH231" s="130">
        <f t="shared" si="39"/>
        <v>0</v>
      </c>
      <c r="BI231" s="130">
        <f t="shared" si="40"/>
        <v>0</v>
      </c>
      <c r="BJ231" s="13" t="s">
        <v>76</v>
      </c>
      <c r="BK231" s="130">
        <f t="shared" si="41"/>
        <v>224.32</v>
      </c>
      <c r="BL231" s="13" t="s">
        <v>347</v>
      </c>
      <c r="BM231" s="129" t="s">
        <v>594</v>
      </c>
    </row>
    <row r="232" spans="2:65" s="1" customFormat="1" ht="16.5" customHeight="1" x14ac:dyDescent="0.2">
      <c r="B232" s="118"/>
      <c r="C232" s="119" t="s">
        <v>595</v>
      </c>
      <c r="D232" s="119" t="s">
        <v>231</v>
      </c>
      <c r="E232" s="120" t="s">
        <v>1520</v>
      </c>
      <c r="F232" s="121" t="s">
        <v>3924</v>
      </c>
      <c r="G232" s="122" t="s">
        <v>1194</v>
      </c>
      <c r="H232" s="123">
        <v>3</v>
      </c>
      <c r="I232" s="124">
        <v>9.08</v>
      </c>
      <c r="J232" s="124">
        <f t="shared" si="32"/>
        <v>27.24</v>
      </c>
      <c r="K232" s="121" t="s">
        <v>1</v>
      </c>
      <c r="L232" s="24"/>
      <c r="M232" s="125" t="s">
        <v>1</v>
      </c>
      <c r="N232" s="126" t="s">
        <v>32</v>
      </c>
      <c r="O232" s="127">
        <v>0</v>
      </c>
      <c r="P232" s="127">
        <f t="shared" si="33"/>
        <v>0</v>
      </c>
      <c r="Q232" s="127">
        <v>0</v>
      </c>
      <c r="R232" s="127">
        <f t="shared" si="34"/>
        <v>0</v>
      </c>
      <c r="S232" s="127">
        <v>0</v>
      </c>
      <c r="T232" s="128">
        <f t="shared" si="35"/>
        <v>0</v>
      </c>
      <c r="W232" s="199"/>
      <c r="X232" s="119" t="s">
        <v>595</v>
      </c>
      <c r="Y232" s="119" t="s">
        <v>231</v>
      </c>
      <c r="Z232" s="120" t="s">
        <v>1520</v>
      </c>
      <c r="AA232" s="121" t="s">
        <v>3924</v>
      </c>
      <c r="AB232" s="122" t="s">
        <v>1194</v>
      </c>
      <c r="AC232" s="123">
        <v>3</v>
      </c>
      <c r="AD232" s="124">
        <v>9.08</v>
      </c>
      <c r="AE232" s="200">
        <f t="shared" si="25"/>
        <v>27.24</v>
      </c>
      <c r="AF232" s="248"/>
      <c r="AR232" s="129" t="s">
        <v>347</v>
      </c>
      <c r="AT232" s="129" t="s">
        <v>231</v>
      </c>
      <c r="AU232" s="129" t="s">
        <v>63</v>
      </c>
      <c r="AY232" s="13" t="s">
        <v>228</v>
      </c>
      <c r="BE232" s="130">
        <f t="shared" si="36"/>
        <v>0</v>
      </c>
      <c r="BF232" s="130">
        <f t="shared" si="37"/>
        <v>27.24</v>
      </c>
      <c r="BG232" s="130">
        <f t="shared" si="38"/>
        <v>0</v>
      </c>
      <c r="BH232" s="130">
        <f t="shared" si="39"/>
        <v>0</v>
      </c>
      <c r="BI232" s="130">
        <f t="shared" si="40"/>
        <v>0</v>
      </c>
      <c r="BJ232" s="13" t="s">
        <v>76</v>
      </c>
      <c r="BK232" s="130">
        <f t="shared" si="41"/>
        <v>27.24</v>
      </c>
      <c r="BL232" s="13" t="s">
        <v>347</v>
      </c>
      <c r="BM232" s="129" t="s">
        <v>598</v>
      </c>
    </row>
    <row r="233" spans="2:65" s="1" customFormat="1" ht="24" customHeight="1" x14ac:dyDescent="0.2">
      <c r="B233" s="118"/>
      <c r="C233" s="131" t="s">
        <v>414</v>
      </c>
      <c r="D233" s="131" t="s">
        <v>277</v>
      </c>
      <c r="E233" s="132" t="s">
        <v>1523</v>
      </c>
      <c r="F233" s="133" t="s">
        <v>4581</v>
      </c>
      <c r="G233" s="134" t="s">
        <v>1194</v>
      </c>
      <c r="H233" s="135">
        <v>3</v>
      </c>
      <c r="I233" s="136">
        <v>16.7</v>
      </c>
      <c r="J233" s="136">
        <f t="shared" si="32"/>
        <v>50.1</v>
      </c>
      <c r="K233" s="133" t="s">
        <v>1</v>
      </c>
      <c r="L233" s="137"/>
      <c r="M233" s="138" t="s">
        <v>1</v>
      </c>
      <c r="N233" s="139" t="s">
        <v>32</v>
      </c>
      <c r="O233" s="127">
        <v>0</v>
      </c>
      <c r="P233" s="127">
        <f t="shared" si="33"/>
        <v>0</v>
      </c>
      <c r="Q233" s="127">
        <v>0</v>
      </c>
      <c r="R233" s="127">
        <f t="shared" si="34"/>
        <v>0</v>
      </c>
      <c r="S233" s="127">
        <v>0</v>
      </c>
      <c r="T233" s="128">
        <f t="shared" si="35"/>
        <v>0</v>
      </c>
      <c r="W233" s="199"/>
      <c r="X233" s="131" t="s">
        <v>414</v>
      </c>
      <c r="Y233" s="131" t="s">
        <v>277</v>
      </c>
      <c r="Z233" s="132" t="s">
        <v>1523</v>
      </c>
      <c r="AA233" s="133" t="s">
        <v>4581</v>
      </c>
      <c r="AB233" s="134" t="s">
        <v>1194</v>
      </c>
      <c r="AC233" s="135">
        <v>3</v>
      </c>
      <c r="AD233" s="136">
        <v>16.7</v>
      </c>
      <c r="AE233" s="229">
        <f t="shared" si="25"/>
        <v>50.1</v>
      </c>
      <c r="AF233" s="248"/>
      <c r="AR233" s="129" t="s">
        <v>705</v>
      </c>
      <c r="AT233" s="129" t="s">
        <v>277</v>
      </c>
      <c r="AU233" s="129" t="s">
        <v>63</v>
      </c>
      <c r="AY233" s="13" t="s">
        <v>228</v>
      </c>
      <c r="BE233" s="130">
        <f t="shared" si="36"/>
        <v>0</v>
      </c>
      <c r="BF233" s="130">
        <f t="shared" si="37"/>
        <v>50.1</v>
      </c>
      <c r="BG233" s="130">
        <f t="shared" si="38"/>
        <v>0</v>
      </c>
      <c r="BH233" s="130">
        <f t="shared" si="39"/>
        <v>0</v>
      </c>
      <c r="BI233" s="130">
        <f t="shared" si="40"/>
        <v>0</v>
      </c>
      <c r="BJ233" s="13" t="s">
        <v>76</v>
      </c>
      <c r="BK233" s="130">
        <f t="shared" si="41"/>
        <v>50.1</v>
      </c>
      <c r="BL233" s="13" t="s">
        <v>347</v>
      </c>
      <c r="BM233" s="129" t="s">
        <v>601</v>
      </c>
    </row>
    <row r="234" spans="2:65" s="1" customFormat="1" ht="16.5" customHeight="1" x14ac:dyDescent="0.2">
      <c r="B234" s="118"/>
      <c r="C234" s="119" t="s">
        <v>602</v>
      </c>
      <c r="D234" s="119" t="s">
        <v>231</v>
      </c>
      <c r="E234" s="120" t="s">
        <v>1716</v>
      </c>
      <c r="F234" s="121" t="s">
        <v>4582</v>
      </c>
      <c r="G234" s="122" t="s">
        <v>1194</v>
      </c>
      <c r="H234" s="123">
        <v>2</v>
      </c>
      <c r="I234" s="124">
        <v>11.35</v>
      </c>
      <c r="J234" s="124">
        <f t="shared" si="32"/>
        <v>22.7</v>
      </c>
      <c r="K234" s="121" t="s">
        <v>1</v>
      </c>
      <c r="L234" s="24"/>
      <c r="M234" s="125" t="s">
        <v>1</v>
      </c>
      <c r="N234" s="126" t="s">
        <v>32</v>
      </c>
      <c r="O234" s="127">
        <v>0</v>
      </c>
      <c r="P234" s="127">
        <f t="shared" si="33"/>
        <v>0</v>
      </c>
      <c r="Q234" s="127">
        <v>0</v>
      </c>
      <c r="R234" s="127">
        <f t="shared" si="34"/>
        <v>0</v>
      </c>
      <c r="S234" s="127">
        <v>0</v>
      </c>
      <c r="T234" s="128">
        <f t="shared" si="35"/>
        <v>0</v>
      </c>
      <c r="W234" s="199"/>
      <c r="X234" s="119" t="s">
        <v>602</v>
      </c>
      <c r="Y234" s="119" t="s">
        <v>231</v>
      </c>
      <c r="Z234" s="120" t="s">
        <v>1716</v>
      </c>
      <c r="AA234" s="121" t="s">
        <v>4582</v>
      </c>
      <c r="AB234" s="122" t="s">
        <v>1194</v>
      </c>
      <c r="AC234" s="123">
        <v>2</v>
      </c>
      <c r="AD234" s="124">
        <v>11.35</v>
      </c>
      <c r="AE234" s="200">
        <f t="shared" si="25"/>
        <v>22.7</v>
      </c>
      <c r="AF234" s="248"/>
      <c r="AR234" s="129" t="s">
        <v>347</v>
      </c>
      <c r="AT234" s="129" t="s">
        <v>231</v>
      </c>
      <c r="AU234" s="129" t="s">
        <v>63</v>
      </c>
      <c r="AY234" s="13" t="s">
        <v>228</v>
      </c>
      <c r="BE234" s="130">
        <f t="shared" si="36"/>
        <v>0</v>
      </c>
      <c r="BF234" s="130">
        <f t="shared" si="37"/>
        <v>22.7</v>
      </c>
      <c r="BG234" s="130">
        <f t="shared" si="38"/>
        <v>0</v>
      </c>
      <c r="BH234" s="130">
        <f t="shared" si="39"/>
        <v>0</v>
      </c>
      <c r="BI234" s="130">
        <f t="shared" si="40"/>
        <v>0</v>
      </c>
      <c r="BJ234" s="13" t="s">
        <v>76</v>
      </c>
      <c r="BK234" s="130">
        <f t="shared" si="41"/>
        <v>22.7</v>
      </c>
      <c r="BL234" s="13" t="s">
        <v>347</v>
      </c>
      <c r="BM234" s="129" t="s">
        <v>605</v>
      </c>
    </row>
    <row r="235" spans="2:65" s="1" customFormat="1" ht="16.5" customHeight="1" x14ac:dyDescent="0.2">
      <c r="B235" s="118"/>
      <c r="C235" s="131" t="s">
        <v>418</v>
      </c>
      <c r="D235" s="131" t="s">
        <v>277</v>
      </c>
      <c r="E235" s="132" t="s">
        <v>4583</v>
      </c>
      <c r="F235" s="133" t="s">
        <v>4582</v>
      </c>
      <c r="G235" s="134" t="s">
        <v>1194</v>
      </c>
      <c r="H235" s="135">
        <v>2</v>
      </c>
      <c r="I235" s="136">
        <v>19.37</v>
      </c>
      <c r="J235" s="136">
        <f t="shared" si="32"/>
        <v>38.74</v>
      </c>
      <c r="K235" s="133" t="s">
        <v>1</v>
      </c>
      <c r="L235" s="137"/>
      <c r="M235" s="138" t="s">
        <v>1</v>
      </c>
      <c r="N235" s="139" t="s">
        <v>32</v>
      </c>
      <c r="O235" s="127">
        <v>0</v>
      </c>
      <c r="P235" s="127">
        <f t="shared" si="33"/>
        <v>0</v>
      </c>
      <c r="Q235" s="127">
        <v>0</v>
      </c>
      <c r="R235" s="127">
        <f t="shared" si="34"/>
        <v>0</v>
      </c>
      <c r="S235" s="127">
        <v>0</v>
      </c>
      <c r="T235" s="128">
        <f t="shared" si="35"/>
        <v>0</v>
      </c>
      <c r="W235" s="199"/>
      <c r="X235" s="131" t="s">
        <v>418</v>
      </c>
      <c r="Y235" s="131" t="s">
        <v>277</v>
      </c>
      <c r="Z235" s="132" t="s">
        <v>4583</v>
      </c>
      <c r="AA235" s="133" t="s">
        <v>4582</v>
      </c>
      <c r="AB235" s="134" t="s">
        <v>1194</v>
      </c>
      <c r="AC235" s="135">
        <v>2</v>
      </c>
      <c r="AD235" s="136">
        <v>19.37</v>
      </c>
      <c r="AE235" s="229">
        <f t="shared" si="25"/>
        <v>38.74</v>
      </c>
      <c r="AF235" s="248"/>
      <c r="AR235" s="129" t="s">
        <v>705</v>
      </c>
      <c r="AT235" s="129" t="s">
        <v>277</v>
      </c>
      <c r="AU235" s="129" t="s">
        <v>63</v>
      </c>
      <c r="AY235" s="13" t="s">
        <v>228</v>
      </c>
      <c r="BE235" s="130">
        <f t="shared" si="36"/>
        <v>0</v>
      </c>
      <c r="BF235" s="130">
        <f t="shared" si="37"/>
        <v>38.74</v>
      </c>
      <c r="BG235" s="130">
        <f t="shared" si="38"/>
        <v>0</v>
      </c>
      <c r="BH235" s="130">
        <f t="shared" si="39"/>
        <v>0</v>
      </c>
      <c r="BI235" s="130">
        <f t="shared" si="40"/>
        <v>0</v>
      </c>
      <c r="BJ235" s="13" t="s">
        <v>76</v>
      </c>
      <c r="BK235" s="130">
        <f t="shared" si="41"/>
        <v>38.74</v>
      </c>
      <c r="BL235" s="13" t="s">
        <v>347</v>
      </c>
      <c r="BM235" s="129" t="s">
        <v>610</v>
      </c>
    </row>
    <row r="236" spans="2:65" s="1092" customFormat="1" ht="21" customHeight="1" x14ac:dyDescent="0.2">
      <c r="B236" s="1028"/>
      <c r="C236" s="1234" t="s">
        <v>5205</v>
      </c>
      <c r="D236" s="1235"/>
      <c r="E236" s="1235"/>
      <c r="F236" s="1235"/>
      <c r="G236" s="1235"/>
      <c r="H236" s="1235"/>
      <c r="I236" s="1235"/>
      <c r="J236" s="1236"/>
      <c r="K236" s="133"/>
      <c r="L236" s="137"/>
      <c r="M236" s="138"/>
      <c r="N236" s="139"/>
      <c r="O236" s="1037"/>
      <c r="P236" s="1037"/>
      <c r="Q236" s="1037"/>
      <c r="R236" s="1037"/>
      <c r="S236" s="1037"/>
      <c r="T236" s="1038"/>
      <c r="W236" s="1041"/>
      <c r="X236" s="1072" t="s">
        <v>5261</v>
      </c>
      <c r="Y236" s="1072" t="s">
        <v>231</v>
      </c>
      <c r="Z236" s="1073" t="s">
        <v>6745</v>
      </c>
      <c r="AA236" s="1074" t="s">
        <v>6746</v>
      </c>
      <c r="AB236" s="1075" t="s">
        <v>292</v>
      </c>
      <c r="AC236" s="1076">
        <v>50</v>
      </c>
      <c r="AD236" s="1077">
        <v>5</v>
      </c>
      <c r="AE236" s="401">
        <f t="shared" si="25"/>
        <v>250</v>
      </c>
      <c r="AF236" s="924">
        <v>28</v>
      </c>
      <c r="AR236" s="1039"/>
      <c r="AT236" s="1039"/>
      <c r="AU236" s="1039"/>
      <c r="AY236" s="1026"/>
      <c r="BE236" s="1040"/>
      <c r="BF236" s="1040"/>
      <c r="BG236" s="1040"/>
      <c r="BH236" s="1040"/>
      <c r="BI236" s="1040"/>
      <c r="BJ236" s="1026"/>
      <c r="BK236" s="1040"/>
      <c r="BL236" s="1026"/>
      <c r="BM236" s="1039"/>
    </row>
    <row r="237" spans="2:65" s="1" customFormat="1" ht="16.5" customHeight="1" x14ac:dyDescent="0.2">
      <c r="B237" s="118"/>
      <c r="C237" s="119" t="s">
        <v>613</v>
      </c>
      <c r="D237" s="119" t="s">
        <v>231</v>
      </c>
      <c r="E237" s="120" t="s">
        <v>1674</v>
      </c>
      <c r="F237" s="121" t="s">
        <v>1709</v>
      </c>
      <c r="G237" s="122" t="s">
        <v>1194</v>
      </c>
      <c r="H237" s="123">
        <v>2</v>
      </c>
      <c r="I237" s="124">
        <v>200.27</v>
      </c>
      <c r="J237" s="124">
        <f t="shared" si="32"/>
        <v>400.54</v>
      </c>
      <c r="K237" s="121" t="s">
        <v>1</v>
      </c>
      <c r="L237" s="24"/>
      <c r="M237" s="125" t="s">
        <v>1</v>
      </c>
      <c r="N237" s="126" t="s">
        <v>32</v>
      </c>
      <c r="O237" s="127">
        <v>0</v>
      </c>
      <c r="P237" s="127">
        <f t="shared" si="33"/>
        <v>0</v>
      </c>
      <c r="Q237" s="127">
        <v>0</v>
      </c>
      <c r="R237" s="127">
        <f t="shared" si="34"/>
        <v>0</v>
      </c>
      <c r="S237" s="127">
        <v>0</v>
      </c>
      <c r="T237" s="128">
        <f t="shared" si="35"/>
        <v>0</v>
      </c>
      <c r="W237" s="199"/>
      <c r="X237" s="119" t="s">
        <v>613</v>
      </c>
      <c r="Y237" s="119" t="s">
        <v>231</v>
      </c>
      <c r="Z237" s="120" t="s">
        <v>1674</v>
      </c>
      <c r="AA237" s="121" t="s">
        <v>1709</v>
      </c>
      <c r="AB237" s="122" t="s">
        <v>1194</v>
      </c>
      <c r="AC237" s="123">
        <v>2</v>
      </c>
      <c r="AD237" s="124">
        <v>200.27</v>
      </c>
      <c r="AE237" s="200">
        <f t="shared" si="25"/>
        <v>400.54</v>
      </c>
      <c r="AF237" s="248"/>
      <c r="AR237" s="129" t="s">
        <v>347</v>
      </c>
      <c r="AT237" s="129" t="s">
        <v>231</v>
      </c>
      <c r="AU237" s="129" t="s">
        <v>63</v>
      </c>
      <c r="AY237" s="13" t="s">
        <v>228</v>
      </c>
      <c r="BE237" s="130">
        <f t="shared" si="36"/>
        <v>0</v>
      </c>
      <c r="BF237" s="130">
        <f t="shared" si="37"/>
        <v>400.54</v>
      </c>
      <c r="BG237" s="130">
        <f t="shared" si="38"/>
        <v>0</v>
      </c>
      <c r="BH237" s="130">
        <f t="shared" si="39"/>
        <v>0</v>
      </c>
      <c r="BI237" s="130">
        <f t="shared" si="40"/>
        <v>0</v>
      </c>
      <c r="BJ237" s="13" t="s">
        <v>76</v>
      </c>
      <c r="BK237" s="130">
        <f t="shared" si="41"/>
        <v>400.54</v>
      </c>
      <c r="BL237" s="13" t="s">
        <v>347</v>
      </c>
      <c r="BM237" s="129" t="s">
        <v>616</v>
      </c>
    </row>
    <row r="238" spans="2:65" s="1" customFormat="1" ht="16.5" customHeight="1" x14ac:dyDescent="0.2">
      <c r="B238" s="118"/>
      <c r="C238" s="131" t="s">
        <v>421</v>
      </c>
      <c r="D238" s="131" t="s">
        <v>277</v>
      </c>
      <c r="E238" s="132" t="s">
        <v>1674</v>
      </c>
      <c r="F238" s="133" t="s">
        <v>1709</v>
      </c>
      <c r="G238" s="134" t="s">
        <v>1194</v>
      </c>
      <c r="H238" s="135">
        <v>2</v>
      </c>
      <c r="I238" s="136">
        <v>1001.36</v>
      </c>
      <c r="J238" s="136">
        <f t="shared" si="32"/>
        <v>2002.72</v>
      </c>
      <c r="K238" s="133" t="s">
        <v>1</v>
      </c>
      <c r="L238" s="137"/>
      <c r="M238" s="138" t="s">
        <v>1</v>
      </c>
      <c r="N238" s="139" t="s">
        <v>32</v>
      </c>
      <c r="O238" s="127">
        <v>0</v>
      </c>
      <c r="P238" s="127">
        <f t="shared" si="33"/>
        <v>0</v>
      </c>
      <c r="Q238" s="127">
        <v>0</v>
      </c>
      <c r="R238" s="127">
        <f t="shared" si="34"/>
        <v>0</v>
      </c>
      <c r="S238" s="127">
        <v>0</v>
      </c>
      <c r="T238" s="128">
        <f t="shared" si="35"/>
        <v>0</v>
      </c>
      <c r="W238" s="199"/>
      <c r="X238" s="131" t="s">
        <v>421</v>
      </c>
      <c r="Y238" s="131" t="s">
        <v>277</v>
      </c>
      <c r="Z238" s="132" t="s">
        <v>1674</v>
      </c>
      <c r="AA238" s="133" t="s">
        <v>1709</v>
      </c>
      <c r="AB238" s="134" t="s">
        <v>1194</v>
      </c>
      <c r="AC238" s="135">
        <v>2</v>
      </c>
      <c r="AD238" s="136">
        <v>1001.36</v>
      </c>
      <c r="AE238" s="229">
        <f t="shared" si="25"/>
        <v>2002.72</v>
      </c>
      <c r="AF238" s="248"/>
      <c r="AR238" s="129" t="s">
        <v>705</v>
      </c>
      <c r="AT238" s="129" t="s">
        <v>277</v>
      </c>
      <c r="AU238" s="129" t="s">
        <v>63</v>
      </c>
      <c r="AY238" s="13" t="s">
        <v>228</v>
      </c>
      <c r="BE238" s="130">
        <f t="shared" si="36"/>
        <v>0</v>
      </c>
      <c r="BF238" s="130">
        <f t="shared" si="37"/>
        <v>2002.72</v>
      </c>
      <c r="BG238" s="130">
        <f t="shared" si="38"/>
        <v>0</v>
      </c>
      <c r="BH238" s="130">
        <f t="shared" si="39"/>
        <v>0</v>
      </c>
      <c r="BI238" s="130">
        <f t="shared" si="40"/>
        <v>0</v>
      </c>
      <c r="BJ238" s="13" t="s">
        <v>76</v>
      </c>
      <c r="BK238" s="130">
        <f t="shared" si="41"/>
        <v>2002.72</v>
      </c>
      <c r="BL238" s="13" t="s">
        <v>347</v>
      </c>
      <c r="BM238" s="129" t="s">
        <v>619</v>
      </c>
    </row>
    <row r="239" spans="2:65" s="1" customFormat="1" ht="16.5" customHeight="1" x14ac:dyDescent="0.2">
      <c r="B239" s="118"/>
      <c r="C239" s="119" t="s">
        <v>620</v>
      </c>
      <c r="D239" s="119" t="s">
        <v>231</v>
      </c>
      <c r="E239" s="120" t="s">
        <v>1679</v>
      </c>
      <c r="F239" s="121" t="s">
        <v>1675</v>
      </c>
      <c r="G239" s="122" t="s">
        <v>1194</v>
      </c>
      <c r="H239" s="123">
        <v>1</v>
      </c>
      <c r="I239" s="124">
        <v>93.46</v>
      </c>
      <c r="J239" s="124">
        <f t="shared" si="32"/>
        <v>93.46</v>
      </c>
      <c r="K239" s="121" t="s">
        <v>1</v>
      </c>
      <c r="L239" s="24"/>
      <c r="M239" s="125" t="s">
        <v>1</v>
      </c>
      <c r="N239" s="126" t="s">
        <v>32</v>
      </c>
      <c r="O239" s="127">
        <v>0</v>
      </c>
      <c r="P239" s="127">
        <f t="shared" si="33"/>
        <v>0</v>
      </c>
      <c r="Q239" s="127">
        <v>0</v>
      </c>
      <c r="R239" s="127">
        <f t="shared" si="34"/>
        <v>0</v>
      </c>
      <c r="S239" s="127">
        <v>0</v>
      </c>
      <c r="T239" s="128">
        <f t="shared" si="35"/>
        <v>0</v>
      </c>
      <c r="W239" s="199"/>
      <c r="X239" s="119" t="s">
        <v>620</v>
      </c>
      <c r="Y239" s="119" t="s">
        <v>231</v>
      </c>
      <c r="Z239" s="120" t="s">
        <v>1679</v>
      </c>
      <c r="AA239" s="121" t="s">
        <v>1675</v>
      </c>
      <c r="AB239" s="122" t="s">
        <v>1194</v>
      </c>
      <c r="AC239" s="123">
        <v>1</v>
      </c>
      <c r="AD239" s="124">
        <v>93.46</v>
      </c>
      <c r="AE239" s="200">
        <f t="shared" si="25"/>
        <v>93.46</v>
      </c>
      <c r="AF239" s="248"/>
      <c r="AR239" s="129" t="s">
        <v>347</v>
      </c>
      <c r="AT239" s="129" t="s">
        <v>231</v>
      </c>
      <c r="AU239" s="129" t="s">
        <v>63</v>
      </c>
      <c r="AY239" s="13" t="s">
        <v>228</v>
      </c>
      <c r="BE239" s="130">
        <f t="shared" si="36"/>
        <v>0</v>
      </c>
      <c r="BF239" s="130">
        <f t="shared" si="37"/>
        <v>93.46</v>
      </c>
      <c r="BG239" s="130">
        <f t="shared" si="38"/>
        <v>0</v>
      </c>
      <c r="BH239" s="130">
        <f t="shared" si="39"/>
        <v>0</v>
      </c>
      <c r="BI239" s="130">
        <f t="shared" si="40"/>
        <v>0</v>
      </c>
      <c r="BJ239" s="13" t="s">
        <v>76</v>
      </c>
      <c r="BK239" s="130">
        <f t="shared" si="41"/>
        <v>93.46</v>
      </c>
      <c r="BL239" s="13" t="s">
        <v>347</v>
      </c>
      <c r="BM239" s="129" t="s">
        <v>623</v>
      </c>
    </row>
    <row r="240" spans="2:65" s="1" customFormat="1" ht="16.5" customHeight="1" x14ac:dyDescent="0.2">
      <c r="B240" s="118"/>
      <c r="C240" s="131" t="s">
        <v>425</v>
      </c>
      <c r="D240" s="131" t="s">
        <v>277</v>
      </c>
      <c r="E240" s="132" t="s">
        <v>1679</v>
      </c>
      <c r="F240" s="133" t="s">
        <v>1677</v>
      </c>
      <c r="G240" s="134" t="s">
        <v>1194</v>
      </c>
      <c r="H240" s="135">
        <v>1</v>
      </c>
      <c r="I240" s="136">
        <v>514.03</v>
      </c>
      <c r="J240" s="136">
        <f t="shared" si="32"/>
        <v>514.03</v>
      </c>
      <c r="K240" s="133" t="s">
        <v>1</v>
      </c>
      <c r="L240" s="137"/>
      <c r="M240" s="138" t="s">
        <v>1</v>
      </c>
      <c r="N240" s="139" t="s">
        <v>32</v>
      </c>
      <c r="O240" s="127">
        <v>0</v>
      </c>
      <c r="P240" s="127">
        <f t="shared" si="33"/>
        <v>0</v>
      </c>
      <c r="Q240" s="127">
        <v>0</v>
      </c>
      <c r="R240" s="127">
        <f t="shared" si="34"/>
        <v>0</v>
      </c>
      <c r="S240" s="127">
        <v>0</v>
      </c>
      <c r="T240" s="128">
        <f t="shared" si="35"/>
        <v>0</v>
      </c>
      <c r="W240" s="199"/>
      <c r="X240" s="131" t="s">
        <v>425</v>
      </c>
      <c r="Y240" s="131" t="s">
        <v>277</v>
      </c>
      <c r="Z240" s="132" t="s">
        <v>1679</v>
      </c>
      <c r="AA240" s="133" t="s">
        <v>1677</v>
      </c>
      <c r="AB240" s="134" t="s">
        <v>1194</v>
      </c>
      <c r="AC240" s="135">
        <v>1</v>
      </c>
      <c r="AD240" s="136">
        <v>514.03</v>
      </c>
      <c r="AE240" s="229">
        <f t="shared" si="25"/>
        <v>514.03</v>
      </c>
      <c r="AF240" s="248"/>
      <c r="AR240" s="129" t="s">
        <v>705</v>
      </c>
      <c r="AT240" s="129" t="s">
        <v>277</v>
      </c>
      <c r="AU240" s="129" t="s">
        <v>63</v>
      </c>
      <c r="AY240" s="13" t="s">
        <v>228</v>
      </c>
      <c r="BE240" s="130">
        <f t="shared" si="36"/>
        <v>0</v>
      </c>
      <c r="BF240" s="130">
        <f t="shared" si="37"/>
        <v>514.03</v>
      </c>
      <c r="BG240" s="130">
        <f t="shared" si="38"/>
        <v>0</v>
      </c>
      <c r="BH240" s="130">
        <f t="shared" si="39"/>
        <v>0</v>
      </c>
      <c r="BI240" s="130">
        <f t="shared" si="40"/>
        <v>0</v>
      </c>
      <c r="BJ240" s="13" t="s">
        <v>76</v>
      </c>
      <c r="BK240" s="130">
        <f t="shared" si="41"/>
        <v>514.03</v>
      </c>
      <c r="BL240" s="13" t="s">
        <v>347</v>
      </c>
      <c r="BM240" s="129" t="s">
        <v>626</v>
      </c>
    </row>
    <row r="241" spans="2:65" s="1" customFormat="1" ht="36" customHeight="1" x14ac:dyDescent="0.2">
      <c r="B241" s="118"/>
      <c r="C241" s="119" t="s">
        <v>627</v>
      </c>
      <c r="D241" s="119" t="s">
        <v>231</v>
      </c>
      <c r="E241" s="120" t="s">
        <v>1560</v>
      </c>
      <c r="F241" s="121" t="s">
        <v>1570</v>
      </c>
      <c r="G241" s="122" t="s">
        <v>1194</v>
      </c>
      <c r="H241" s="123">
        <v>19</v>
      </c>
      <c r="I241" s="124">
        <v>11.35</v>
      </c>
      <c r="J241" s="124">
        <f t="shared" si="32"/>
        <v>215.65</v>
      </c>
      <c r="K241" s="121" t="s">
        <v>1</v>
      </c>
      <c r="L241" s="24"/>
      <c r="M241" s="125" t="s">
        <v>1</v>
      </c>
      <c r="N241" s="126" t="s">
        <v>32</v>
      </c>
      <c r="O241" s="127">
        <v>0</v>
      </c>
      <c r="P241" s="127">
        <f t="shared" si="33"/>
        <v>0</v>
      </c>
      <c r="Q241" s="127">
        <v>0</v>
      </c>
      <c r="R241" s="127">
        <f t="shared" si="34"/>
        <v>0</v>
      </c>
      <c r="S241" s="127">
        <v>0</v>
      </c>
      <c r="T241" s="128">
        <f t="shared" si="35"/>
        <v>0</v>
      </c>
      <c r="W241" s="199"/>
      <c r="X241" s="119" t="s">
        <v>627</v>
      </c>
      <c r="Y241" s="119" t="s">
        <v>231</v>
      </c>
      <c r="Z241" s="120" t="s">
        <v>1560</v>
      </c>
      <c r="AA241" s="121" t="s">
        <v>1570</v>
      </c>
      <c r="AB241" s="122" t="s">
        <v>1194</v>
      </c>
      <c r="AC241" s="123">
        <v>19</v>
      </c>
      <c r="AD241" s="124">
        <v>11.35</v>
      </c>
      <c r="AE241" s="200">
        <f t="shared" si="25"/>
        <v>215.65</v>
      </c>
      <c r="AF241" s="248"/>
      <c r="AR241" s="129" t="s">
        <v>347</v>
      </c>
      <c r="AT241" s="129" t="s">
        <v>231</v>
      </c>
      <c r="AU241" s="129" t="s">
        <v>63</v>
      </c>
      <c r="AY241" s="13" t="s">
        <v>228</v>
      </c>
      <c r="BE241" s="130">
        <f t="shared" si="36"/>
        <v>0</v>
      </c>
      <c r="BF241" s="130">
        <f t="shared" si="37"/>
        <v>215.65</v>
      </c>
      <c r="BG241" s="130">
        <f t="shared" si="38"/>
        <v>0</v>
      </c>
      <c r="BH241" s="130">
        <f t="shared" si="39"/>
        <v>0</v>
      </c>
      <c r="BI241" s="130">
        <f t="shared" si="40"/>
        <v>0</v>
      </c>
      <c r="BJ241" s="13" t="s">
        <v>76</v>
      </c>
      <c r="BK241" s="130">
        <f t="shared" si="41"/>
        <v>215.65</v>
      </c>
      <c r="BL241" s="13" t="s">
        <v>347</v>
      </c>
      <c r="BM241" s="129" t="s">
        <v>630</v>
      </c>
    </row>
    <row r="242" spans="2:65" s="1" customFormat="1" ht="36" customHeight="1" x14ac:dyDescent="0.2">
      <c r="B242" s="118"/>
      <c r="C242" s="979" t="s">
        <v>428</v>
      </c>
      <c r="D242" s="131" t="s">
        <v>277</v>
      </c>
      <c r="E242" s="132" t="s">
        <v>1572</v>
      </c>
      <c r="F242" s="133" t="s">
        <v>4584</v>
      </c>
      <c r="G242" s="134" t="s">
        <v>1194</v>
      </c>
      <c r="H242" s="978">
        <v>19</v>
      </c>
      <c r="I242" s="136">
        <v>150.21</v>
      </c>
      <c r="J242" s="136">
        <f t="shared" si="32"/>
        <v>2853.99</v>
      </c>
      <c r="K242" s="133" t="s">
        <v>1</v>
      </c>
      <c r="L242" s="137"/>
      <c r="M242" s="138" t="s">
        <v>1</v>
      </c>
      <c r="N242" s="139" t="s">
        <v>32</v>
      </c>
      <c r="O242" s="127">
        <v>0</v>
      </c>
      <c r="P242" s="127">
        <f t="shared" si="33"/>
        <v>0</v>
      </c>
      <c r="Q242" s="127">
        <v>5.2900000000000004E-3</v>
      </c>
      <c r="R242" s="127">
        <f t="shared" si="34"/>
        <v>0.10051</v>
      </c>
      <c r="S242" s="127">
        <v>0</v>
      </c>
      <c r="T242" s="128">
        <f t="shared" si="35"/>
        <v>0</v>
      </c>
      <c r="W242" s="199"/>
      <c r="X242" s="979" t="s">
        <v>428</v>
      </c>
      <c r="Y242" s="131" t="s">
        <v>277</v>
      </c>
      <c r="Z242" s="132" t="s">
        <v>1572</v>
      </c>
      <c r="AA242" s="454" t="s">
        <v>4584</v>
      </c>
      <c r="AB242" s="134" t="s">
        <v>1194</v>
      </c>
      <c r="AC242" s="978">
        <f>19-19</f>
        <v>0</v>
      </c>
      <c r="AD242" s="136">
        <v>150.21</v>
      </c>
      <c r="AE242" s="229">
        <f t="shared" si="25"/>
        <v>0</v>
      </c>
      <c r="AF242" s="248">
        <v>29</v>
      </c>
      <c r="AR242" s="129" t="s">
        <v>705</v>
      </c>
      <c r="AT242" s="129" t="s">
        <v>277</v>
      </c>
      <c r="AU242" s="129" t="s">
        <v>63</v>
      </c>
      <c r="AY242" s="13" t="s">
        <v>228</v>
      </c>
      <c r="BE242" s="130">
        <f t="shared" si="36"/>
        <v>0</v>
      </c>
      <c r="BF242" s="130">
        <f t="shared" si="37"/>
        <v>2853.99</v>
      </c>
      <c r="BG242" s="130">
        <f t="shared" si="38"/>
        <v>0</v>
      </c>
      <c r="BH242" s="130">
        <f t="shared" si="39"/>
        <v>0</v>
      </c>
      <c r="BI242" s="130">
        <f t="shared" si="40"/>
        <v>0</v>
      </c>
      <c r="BJ242" s="13" t="s">
        <v>76</v>
      </c>
      <c r="BK242" s="130">
        <f t="shared" si="41"/>
        <v>2853.99</v>
      </c>
      <c r="BL242" s="13" t="s">
        <v>347</v>
      </c>
      <c r="BM242" s="129" t="s">
        <v>635</v>
      </c>
    </row>
    <row r="243" spans="2:65" s="1" customFormat="1" ht="25.95" customHeight="1" x14ac:dyDescent="0.2">
      <c r="B243" s="118"/>
      <c r="C243" s="979" t="s">
        <v>636</v>
      </c>
      <c r="D243" s="131" t="s">
        <v>277</v>
      </c>
      <c r="E243" s="132" t="s">
        <v>1575</v>
      </c>
      <c r="F243" s="133" t="s">
        <v>3939</v>
      </c>
      <c r="G243" s="134" t="s">
        <v>1194</v>
      </c>
      <c r="H243" s="978">
        <v>76</v>
      </c>
      <c r="I243" s="136">
        <v>2.3199999999999998</v>
      </c>
      <c r="J243" s="136">
        <f t="shared" si="32"/>
        <v>176.32</v>
      </c>
      <c r="K243" s="133" t="s">
        <v>1</v>
      </c>
      <c r="L243" s="137"/>
      <c r="M243" s="138" t="s">
        <v>1</v>
      </c>
      <c r="N243" s="139" t="s">
        <v>32</v>
      </c>
      <c r="O243" s="127">
        <v>0</v>
      </c>
      <c r="P243" s="127">
        <f t="shared" si="33"/>
        <v>0</v>
      </c>
      <c r="Q243" s="127">
        <v>1.7000000000000001E-4</v>
      </c>
      <c r="R243" s="127">
        <f t="shared" si="34"/>
        <v>1.2920000000000001E-2</v>
      </c>
      <c r="S243" s="127">
        <v>0</v>
      </c>
      <c r="T243" s="128">
        <f t="shared" si="35"/>
        <v>0</v>
      </c>
      <c r="W243" s="199"/>
      <c r="X243" s="979" t="s">
        <v>636</v>
      </c>
      <c r="Y243" s="131" t="s">
        <v>277</v>
      </c>
      <c r="Z243" s="132" t="s">
        <v>1575</v>
      </c>
      <c r="AA243" s="454" t="s">
        <v>3939</v>
      </c>
      <c r="AB243" s="134" t="s">
        <v>1194</v>
      </c>
      <c r="AC243" s="978">
        <f>76-76</f>
        <v>0</v>
      </c>
      <c r="AD243" s="136">
        <v>2.3199999999999998</v>
      </c>
      <c r="AE243" s="229">
        <f t="shared" si="25"/>
        <v>0</v>
      </c>
      <c r="AF243" s="924">
        <v>29</v>
      </c>
      <c r="AR243" s="129" t="s">
        <v>705</v>
      </c>
      <c r="AT243" s="129" t="s">
        <v>277</v>
      </c>
      <c r="AU243" s="129" t="s">
        <v>63</v>
      </c>
      <c r="AY243" s="13" t="s">
        <v>228</v>
      </c>
      <c r="BE243" s="130">
        <f t="shared" si="36"/>
        <v>0</v>
      </c>
      <c r="BF243" s="130">
        <f t="shared" si="37"/>
        <v>176.32</v>
      </c>
      <c r="BG243" s="130">
        <f t="shared" si="38"/>
        <v>0</v>
      </c>
      <c r="BH243" s="130">
        <f t="shared" si="39"/>
        <v>0</v>
      </c>
      <c r="BI243" s="130">
        <f t="shared" si="40"/>
        <v>0</v>
      </c>
      <c r="BJ243" s="13" t="s">
        <v>76</v>
      </c>
      <c r="BK243" s="130">
        <f t="shared" si="41"/>
        <v>176.32</v>
      </c>
      <c r="BL243" s="13" t="s">
        <v>347</v>
      </c>
      <c r="BM243" s="129" t="s">
        <v>639</v>
      </c>
    </row>
    <row r="244" spans="2:65" s="1116" customFormat="1" ht="32.549999999999997" customHeight="1" x14ac:dyDescent="0.2">
      <c r="B244" s="1118"/>
      <c r="C244" s="1234" t="s">
        <v>5205</v>
      </c>
      <c r="D244" s="1235"/>
      <c r="E244" s="1235"/>
      <c r="F244" s="1235"/>
      <c r="G244" s="1235"/>
      <c r="H244" s="1235"/>
      <c r="I244" s="1235"/>
      <c r="J244" s="1236"/>
      <c r="K244" s="133"/>
      <c r="L244" s="137"/>
      <c r="M244" s="138"/>
      <c r="N244" s="139"/>
      <c r="O244" s="1037"/>
      <c r="P244" s="1037"/>
      <c r="Q244" s="1037"/>
      <c r="R244" s="1037"/>
      <c r="S244" s="1037"/>
      <c r="T244" s="1038"/>
      <c r="W244" s="1041"/>
      <c r="X244" s="348" t="s">
        <v>6510</v>
      </c>
      <c r="Y244" s="348" t="s">
        <v>277</v>
      </c>
      <c r="Z244" s="349" t="s">
        <v>6778</v>
      </c>
      <c r="AA244" s="350" t="s">
        <v>6757</v>
      </c>
      <c r="AB244" s="351" t="s">
        <v>1194</v>
      </c>
      <c r="AC244" s="352">
        <v>19</v>
      </c>
      <c r="AD244" s="353">
        <v>159.49</v>
      </c>
      <c r="AE244" s="356">
        <f t="shared" si="25"/>
        <v>3030.31</v>
      </c>
      <c r="AF244" s="924">
        <v>29</v>
      </c>
      <c r="AR244" s="1039"/>
      <c r="AT244" s="1039"/>
      <c r="AU244" s="1039"/>
      <c r="AY244" s="1117"/>
      <c r="BE244" s="1119"/>
      <c r="BF244" s="1119"/>
      <c r="BG244" s="1119"/>
      <c r="BH244" s="1119"/>
      <c r="BI244" s="1119"/>
      <c r="BJ244" s="1117"/>
      <c r="BK244" s="1119"/>
      <c r="BL244" s="1117"/>
      <c r="BM244" s="1039"/>
    </row>
    <row r="245" spans="2:65" s="1" customFormat="1" ht="24" customHeight="1" x14ac:dyDescent="0.2">
      <c r="B245" s="118"/>
      <c r="C245" s="119" t="s">
        <v>432</v>
      </c>
      <c r="D245" s="119" t="s">
        <v>231</v>
      </c>
      <c r="E245" s="120" t="s">
        <v>3940</v>
      </c>
      <c r="F245" s="121" t="s">
        <v>1561</v>
      </c>
      <c r="G245" s="122" t="s">
        <v>1194</v>
      </c>
      <c r="H245" s="123">
        <v>29</v>
      </c>
      <c r="I245" s="124">
        <v>11.35</v>
      </c>
      <c r="J245" s="124">
        <f t="shared" si="32"/>
        <v>329.15</v>
      </c>
      <c r="K245" s="121" t="s">
        <v>1</v>
      </c>
      <c r="L245" s="24"/>
      <c r="M245" s="125" t="s">
        <v>1</v>
      </c>
      <c r="N245" s="126" t="s">
        <v>32</v>
      </c>
      <c r="O245" s="127">
        <v>0</v>
      </c>
      <c r="P245" s="127">
        <f t="shared" si="33"/>
        <v>0</v>
      </c>
      <c r="Q245" s="127">
        <v>0</v>
      </c>
      <c r="R245" s="127">
        <f t="shared" si="34"/>
        <v>0</v>
      </c>
      <c r="S245" s="127">
        <v>0</v>
      </c>
      <c r="T245" s="128">
        <f t="shared" si="35"/>
        <v>0</v>
      </c>
      <c r="W245" s="199"/>
      <c r="X245" s="119" t="s">
        <v>432</v>
      </c>
      <c r="Y245" s="119" t="s">
        <v>231</v>
      </c>
      <c r="Z245" s="120" t="s">
        <v>3940</v>
      </c>
      <c r="AA245" s="121" t="s">
        <v>1561</v>
      </c>
      <c r="AB245" s="122" t="s">
        <v>1194</v>
      </c>
      <c r="AC245" s="123">
        <v>29</v>
      </c>
      <c r="AD245" s="124">
        <v>11.35</v>
      </c>
      <c r="AE245" s="200">
        <f t="shared" si="25"/>
        <v>329.15</v>
      </c>
      <c r="AF245" s="924"/>
      <c r="AR245" s="129" t="s">
        <v>347</v>
      </c>
      <c r="AT245" s="129" t="s">
        <v>231</v>
      </c>
      <c r="AU245" s="129" t="s">
        <v>63</v>
      </c>
      <c r="AY245" s="13" t="s">
        <v>228</v>
      </c>
      <c r="BE245" s="130">
        <f t="shared" si="36"/>
        <v>0</v>
      </c>
      <c r="BF245" s="130">
        <f t="shared" si="37"/>
        <v>329.15</v>
      </c>
      <c r="BG245" s="130">
        <f t="shared" si="38"/>
        <v>0</v>
      </c>
      <c r="BH245" s="130">
        <f t="shared" si="39"/>
        <v>0</v>
      </c>
      <c r="BI245" s="130">
        <f t="shared" si="40"/>
        <v>0</v>
      </c>
      <c r="BJ245" s="13" t="s">
        <v>76</v>
      </c>
      <c r="BK245" s="130">
        <f t="shared" si="41"/>
        <v>329.15</v>
      </c>
      <c r="BL245" s="13" t="s">
        <v>347</v>
      </c>
      <c r="BM245" s="129" t="s">
        <v>642</v>
      </c>
    </row>
    <row r="246" spans="2:65" s="1" customFormat="1" ht="24" customHeight="1" x14ac:dyDescent="0.2">
      <c r="B246" s="118"/>
      <c r="C246" s="979" t="s">
        <v>643</v>
      </c>
      <c r="D246" s="131" t="s">
        <v>277</v>
      </c>
      <c r="E246" s="132" t="s">
        <v>3941</v>
      </c>
      <c r="F246" s="133" t="s">
        <v>4585</v>
      </c>
      <c r="G246" s="134" t="s">
        <v>1194</v>
      </c>
      <c r="H246" s="978">
        <v>29</v>
      </c>
      <c r="I246" s="136">
        <v>90.4</v>
      </c>
      <c r="J246" s="136">
        <f t="shared" si="32"/>
        <v>2621.6</v>
      </c>
      <c r="K246" s="133" t="s">
        <v>1</v>
      </c>
      <c r="L246" s="137"/>
      <c r="M246" s="138" t="s">
        <v>1</v>
      </c>
      <c r="N246" s="139" t="s">
        <v>32</v>
      </c>
      <c r="O246" s="127">
        <v>0</v>
      </c>
      <c r="P246" s="127">
        <f t="shared" si="33"/>
        <v>0</v>
      </c>
      <c r="Q246" s="127">
        <v>0</v>
      </c>
      <c r="R246" s="127">
        <f t="shared" si="34"/>
        <v>0</v>
      </c>
      <c r="S246" s="127">
        <v>0</v>
      </c>
      <c r="T246" s="128">
        <f t="shared" si="35"/>
        <v>0</v>
      </c>
      <c r="W246" s="199"/>
      <c r="X246" s="979" t="s">
        <v>643</v>
      </c>
      <c r="Y246" s="131" t="s">
        <v>277</v>
      </c>
      <c r="Z246" s="132" t="s">
        <v>3941</v>
      </c>
      <c r="AA246" s="454" t="s">
        <v>4585</v>
      </c>
      <c r="AB246" s="134" t="s">
        <v>1194</v>
      </c>
      <c r="AC246" s="978">
        <f>29-29</f>
        <v>0</v>
      </c>
      <c r="AD246" s="136">
        <v>90.4</v>
      </c>
      <c r="AE246" s="229">
        <f t="shared" si="25"/>
        <v>0</v>
      </c>
      <c r="AF246" s="924">
        <v>29</v>
      </c>
      <c r="AR246" s="129" t="s">
        <v>705</v>
      </c>
      <c r="AT246" s="129" t="s">
        <v>277</v>
      </c>
      <c r="AU246" s="129" t="s">
        <v>63</v>
      </c>
      <c r="AY246" s="13" t="s">
        <v>228</v>
      </c>
      <c r="BE246" s="130">
        <f t="shared" si="36"/>
        <v>0</v>
      </c>
      <c r="BF246" s="130">
        <f t="shared" si="37"/>
        <v>2621.6</v>
      </c>
      <c r="BG246" s="130">
        <f t="shared" si="38"/>
        <v>0</v>
      </c>
      <c r="BH246" s="130">
        <f t="shared" si="39"/>
        <v>0</v>
      </c>
      <c r="BI246" s="130">
        <f t="shared" si="40"/>
        <v>0</v>
      </c>
      <c r="BJ246" s="13" t="s">
        <v>76</v>
      </c>
      <c r="BK246" s="130">
        <f t="shared" si="41"/>
        <v>2621.6</v>
      </c>
      <c r="BL246" s="13" t="s">
        <v>347</v>
      </c>
      <c r="BM246" s="129" t="s">
        <v>646</v>
      </c>
    </row>
    <row r="247" spans="2:65" s="1" customFormat="1" ht="28.2" customHeight="1" x14ac:dyDescent="0.2">
      <c r="B247" s="118"/>
      <c r="C247" s="979" t="s">
        <v>435</v>
      </c>
      <c r="D247" s="131" t="s">
        <v>277</v>
      </c>
      <c r="E247" s="132" t="s">
        <v>1575</v>
      </c>
      <c r="F247" s="133" t="s">
        <v>3939</v>
      </c>
      <c r="G247" s="134" t="s">
        <v>1194</v>
      </c>
      <c r="H247" s="978">
        <v>116</v>
      </c>
      <c r="I247" s="136">
        <v>2.3199999999999998</v>
      </c>
      <c r="J247" s="136">
        <f t="shared" si="32"/>
        <v>269.12</v>
      </c>
      <c r="K247" s="133" t="s">
        <v>1</v>
      </c>
      <c r="L247" s="137"/>
      <c r="M247" s="138" t="s">
        <v>1</v>
      </c>
      <c r="N247" s="139" t="s">
        <v>32</v>
      </c>
      <c r="O247" s="127">
        <v>0</v>
      </c>
      <c r="P247" s="127">
        <f t="shared" si="33"/>
        <v>0</v>
      </c>
      <c r="Q247" s="127">
        <v>1.7000000000000001E-4</v>
      </c>
      <c r="R247" s="127">
        <f t="shared" si="34"/>
        <v>1.9720000000000001E-2</v>
      </c>
      <c r="S247" s="127">
        <v>0</v>
      </c>
      <c r="T247" s="128">
        <f t="shared" si="35"/>
        <v>0</v>
      </c>
      <c r="W247" s="199"/>
      <c r="X247" s="979" t="s">
        <v>435</v>
      </c>
      <c r="Y247" s="131" t="s">
        <v>277</v>
      </c>
      <c r="Z247" s="132" t="s">
        <v>1575</v>
      </c>
      <c r="AA247" s="454" t="s">
        <v>3939</v>
      </c>
      <c r="AB247" s="134" t="s">
        <v>1194</v>
      </c>
      <c r="AC247" s="978">
        <f>116-116</f>
        <v>0</v>
      </c>
      <c r="AD247" s="136">
        <v>2.3199999999999998</v>
      </c>
      <c r="AE247" s="229">
        <f t="shared" si="25"/>
        <v>0</v>
      </c>
      <c r="AF247" s="924">
        <v>29</v>
      </c>
      <c r="AR247" s="129" t="s">
        <v>705</v>
      </c>
      <c r="AT247" s="129" t="s">
        <v>277</v>
      </c>
      <c r="AU247" s="129" t="s">
        <v>63</v>
      </c>
      <c r="AY247" s="13" t="s">
        <v>228</v>
      </c>
      <c r="BE247" s="130">
        <f t="shared" si="36"/>
        <v>0</v>
      </c>
      <c r="BF247" s="130">
        <f t="shared" si="37"/>
        <v>269.12</v>
      </c>
      <c r="BG247" s="130">
        <f t="shared" si="38"/>
        <v>0</v>
      </c>
      <c r="BH247" s="130">
        <f t="shared" si="39"/>
        <v>0</v>
      </c>
      <c r="BI247" s="130">
        <f t="shared" si="40"/>
        <v>0</v>
      </c>
      <c r="BJ247" s="13" t="s">
        <v>76</v>
      </c>
      <c r="BK247" s="130">
        <f t="shared" si="41"/>
        <v>269.12</v>
      </c>
      <c r="BL247" s="13" t="s">
        <v>347</v>
      </c>
      <c r="BM247" s="129" t="s">
        <v>649</v>
      </c>
    </row>
    <row r="248" spans="2:65" s="1116" customFormat="1" ht="28.2" customHeight="1" x14ac:dyDescent="0.2">
      <c r="B248" s="1118"/>
      <c r="C248" s="1234" t="s">
        <v>5205</v>
      </c>
      <c r="D248" s="1235"/>
      <c r="E248" s="1235"/>
      <c r="F248" s="1235"/>
      <c r="G248" s="1235"/>
      <c r="H248" s="1235"/>
      <c r="I248" s="1235"/>
      <c r="J248" s="1236"/>
      <c r="K248" s="133"/>
      <c r="L248" s="137"/>
      <c r="M248" s="138"/>
      <c r="N248" s="139"/>
      <c r="O248" s="1037"/>
      <c r="P248" s="1037"/>
      <c r="Q248" s="1037"/>
      <c r="R248" s="1037"/>
      <c r="S248" s="1037"/>
      <c r="T248" s="1038"/>
      <c r="W248" s="1041"/>
      <c r="X248" s="348" t="s">
        <v>6513</v>
      </c>
      <c r="Y248" s="348" t="s">
        <v>277</v>
      </c>
      <c r="Z248" s="349" t="s">
        <v>6779</v>
      </c>
      <c r="AA248" s="350" t="s">
        <v>6755</v>
      </c>
      <c r="AB248" s="351" t="s">
        <v>1194</v>
      </c>
      <c r="AC248" s="352">
        <v>29</v>
      </c>
      <c r="AD248" s="353">
        <v>99.68</v>
      </c>
      <c r="AE248" s="356">
        <f t="shared" si="25"/>
        <v>2890.72</v>
      </c>
      <c r="AF248" s="924">
        <v>29</v>
      </c>
      <c r="AR248" s="1039"/>
      <c r="AT248" s="1039"/>
      <c r="AU248" s="1039"/>
      <c r="AY248" s="1117"/>
      <c r="BE248" s="1119"/>
      <c r="BF248" s="1119"/>
      <c r="BG248" s="1119"/>
      <c r="BH248" s="1119"/>
      <c r="BI248" s="1119"/>
      <c r="BJ248" s="1117"/>
      <c r="BK248" s="1119"/>
      <c r="BL248" s="1117"/>
      <c r="BM248" s="1039"/>
    </row>
    <row r="249" spans="2:65" s="1" customFormat="1" ht="24" customHeight="1" x14ac:dyDescent="0.2">
      <c r="B249" s="118"/>
      <c r="C249" s="119" t="s">
        <v>650</v>
      </c>
      <c r="D249" s="119" t="s">
        <v>231</v>
      </c>
      <c r="E249" s="120" t="s">
        <v>1578</v>
      </c>
      <c r="F249" s="121" t="s">
        <v>1579</v>
      </c>
      <c r="G249" s="122" t="s">
        <v>1194</v>
      </c>
      <c r="H249" s="123">
        <v>25</v>
      </c>
      <c r="I249" s="124">
        <v>9.2200000000000006</v>
      </c>
      <c r="J249" s="124">
        <f t="shared" si="32"/>
        <v>230.5</v>
      </c>
      <c r="K249" s="121" t="s">
        <v>1</v>
      </c>
      <c r="L249" s="24"/>
      <c r="M249" s="125" t="s">
        <v>1</v>
      </c>
      <c r="N249" s="126" t="s">
        <v>32</v>
      </c>
      <c r="O249" s="127">
        <v>0</v>
      </c>
      <c r="P249" s="127">
        <f t="shared" si="33"/>
        <v>0</v>
      </c>
      <c r="Q249" s="127">
        <v>0</v>
      </c>
      <c r="R249" s="127">
        <f t="shared" si="34"/>
        <v>0</v>
      </c>
      <c r="S249" s="127">
        <v>0</v>
      </c>
      <c r="T249" s="128">
        <f t="shared" si="35"/>
        <v>0</v>
      </c>
      <c r="W249" s="199"/>
      <c r="X249" s="119" t="s">
        <v>650</v>
      </c>
      <c r="Y249" s="119" t="s">
        <v>231</v>
      </c>
      <c r="Z249" s="120" t="s">
        <v>1578</v>
      </c>
      <c r="AA249" s="121" t="s">
        <v>1579</v>
      </c>
      <c r="AB249" s="122" t="s">
        <v>1194</v>
      </c>
      <c r="AC249" s="123">
        <v>25</v>
      </c>
      <c r="AD249" s="124">
        <v>9.2200000000000006</v>
      </c>
      <c r="AE249" s="200">
        <f t="shared" si="25"/>
        <v>230.5</v>
      </c>
      <c r="AF249" s="924"/>
      <c r="AR249" s="129" t="s">
        <v>347</v>
      </c>
      <c r="AT249" s="129" t="s">
        <v>231</v>
      </c>
      <c r="AU249" s="129" t="s">
        <v>63</v>
      </c>
      <c r="AY249" s="13" t="s">
        <v>228</v>
      </c>
      <c r="BE249" s="130">
        <f t="shared" si="36"/>
        <v>0</v>
      </c>
      <c r="BF249" s="130">
        <f t="shared" si="37"/>
        <v>230.5</v>
      </c>
      <c r="BG249" s="130">
        <f t="shared" si="38"/>
        <v>0</v>
      </c>
      <c r="BH249" s="130">
        <f t="shared" si="39"/>
        <v>0</v>
      </c>
      <c r="BI249" s="130">
        <f t="shared" si="40"/>
        <v>0</v>
      </c>
      <c r="BJ249" s="13" t="s">
        <v>76</v>
      </c>
      <c r="BK249" s="130">
        <f t="shared" si="41"/>
        <v>230.5</v>
      </c>
      <c r="BL249" s="13" t="s">
        <v>347</v>
      </c>
      <c r="BM249" s="129" t="s">
        <v>653</v>
      </c>
    </row>
    <row r="250" spans="2:65" s="1" customFormat="1" ht="24.45" customHeight="1" x14ac:dyDescent="0.2">
      <c r="B250" s="118"/>
      <c r="C250" s="979" t="s">
        <v>441</v>
      </c>
      <c r="D250" s="131" t="s">
        <v>277</v>
      </c>
      <c r="E250" s="132" t="s">
        <v>3935</v>
      </c>
      <c r="F250" s="133" t="s">
        <v>4586</v>
      </c>
      <c r="G250" s="134" t="s">
        <v>1194</v>
      </c>
      <c r="H250" s="978">
        <v>25</v>
      </c>
      <c r="I250" s="136">
        <v>36.049999999999997</v>
      </c>
      <c r="J250" s="136">
        <f t="shared" si="32"/>
        <v>901.25</v>
      </c>
      <c r="K250" s="133" t="s">
        <v>1</v>
      </c>
      <c r="L250" s="137"/>
      <c r="M250" s="138" t="s">
        <v>1</v>
      </c>
      <c r="N250" s="139" t="s">
        <v>32</v>
      </c>
      <c r="O250" s="127">
        <v>0</v>
      </c>
      <c r="P250" s="127">
        <f t="shared" si="33"/>
        <v>0</v>
      </c>
      <c r="Q250" s="127">
        <v>0</v>
      </c>
      <c r="R250" s="127">
        <f t="shared" si="34"/>
        <v>0</v>
      </c>
      <c r="S250" s="127">
        <v>0</v>
      </c>
      <c r="T250" s="128">
        <f t="shared" si="35"/>
        <v>0</v>
      </c>
      <c r="W250" s="199"/>
      <c r="X250" s="979" t="s">
        <v>441</v>
      </c>
      <c r="Y250" s="131" t="s">
        <v>277</v>
      </c>
      <c r="Z250" s="132" t="s">
        <v>3935</v>
      </c>
      <c r="AA250" s="454" t="s">
        <v>4586</v>
      </c>
      <c r="AB250" s="134" t="s">
        <v>1194</v>
      </c>
      <c r="AC250" s="978">
        <f>25-25</f>
        <v>0</v>
      </c>
      <c r="AD250" s="136">
        <v>36.049999999999997</v>
      </c>
      <c r="AE250" s="229">
        <f t="shared" si="25"/>
        <v>0</v>
      </c>
      <c r="AF250" s="248">
        <v>29</v>
      </c>
      <c r="AR250" s="129" t="s">
        <v>705</v>
      </c>
      <c r="AT250" s="129" t="s">
        <v>277</v>
      </c>
      <c r="AU250" s="129" t="s">
        <v>63</v>
      </c>
      <c r="AY250" s="13" t="s">
        <v>228</v>
      </c>
      <c r="BE250" s="130">
        <f t="shared" si="36"/>
        <v>0</v>
      </c>
      <c r="BF250" s="130">
        <f t="shared" si="37"/>
        <v>901.25</v>
      </c>
      <c r="BG250" s="130">
        <f t="shared" si="38"/>
        <v>0</v>
      </c>
      <c r="BH250" s="130">
        <f t="shared" si="39"/>
        <v>0</v>
      </c>
      <c r="BI250" s="130">
        <f t="shared" si="40"/>
        <v>0</v>
      </c>
      <c r="BJ250" s="13" t="s">
        <v>76</v>
      </c>
      <c r="BK250" s="130">
        <f t="shared" si="41"/>
        <v>901.25</v>
      </c>
      <c r="BL250" s="13" t="s">
        <v>347</v>
      </c>
      <c r="BM250" s="129" t="s">
        <v>656</v>
      </c>
    </row>
    <row r="251" spans="2:65" s="1" customFormat="1" ht="24" customHeight="1" x14ac:dyDescent="0.2">
      <c r="B251" s="118"/>
      <c r="C251" s="979" t="s">
        <v>657</v>
      </c>
      <c r="D251" s="131" t="s">
        <v>277</v>
      </c>
      <c r="E251" s="132" t="s">
        <v>1584</v>
      </c>
      <c r="F251" s="133" t="s">
        <v>3937</v>
      </c>
      <c r="G251" s="134" t="s">
        <v>1194</v>
      </c>
      <c r="H251" s="978">
        <v>25</v>
      </c>
      <c r="I251" s="136">
        <v>2.3199999999999998</v>
      </c>
      <c r="J251" s="136">
        <f t="shared" si="32"/>
        <v>58</v>
      </c>
      <c r="K251" s="133" t="s">
        <v>1</v>
      </c>
      <c r="L251" s="137"/>
      <c r="M251" s="138" t="s">
        <v>1</v>
      </c>
      <c r="N251" s="139" t="s">
        <v>32</v>
      </c>
      <c r="O251" s="127">
        <v>0</v>
      </c>
      <c r="P251" s="127">
        <f t="shared" si="33"/>
        <v>0</v>
      </c>
      <c r="Q251" s="127">
        <v>1.2999999999999999E-4</v>
      </c>
      <c r="R251" s="127">
        <f t="shared" si="34"/>
        <v>3.2499999999999999E-3</v>
      </c>
      <c r="S251" s="127">
        <v>0</v>
      </c>
      <c r="T251" s="128">
        <f t="shared" si="35"/>
        <v>0</v>
      </c>
      <c r="W251" s="199"/>
      <c r="X251" s="979" t="s">
        <v>657</v>
      </c>
      <c r="Y251" s="131" t="s">
        <v>277</v>
      </c>
      <c r="Z251" s="132" t="s">
        <v>1584</v>
      </c>
      <c r="AA251" s="454" t="s">
        <v>3937</v>
      </c>
      <c r="AB251" s="134" t="s">
        <v>1194</v>
      </c>
      <c r="AC251" s="978">
        <f>25-25</f>
        <v>0</v>
      </c>
      <c r="AD251" s="136">
        <v>2.3199999999999998</v>
      </c>
      <c r="AE251" s="229">
        <f t="shared" si="25"/>
        <v>0</v>
      </c>
      <c r="AF251" s="248">
        <v>29</v>
      </c>
      <c r="AR251" s="129" t="s">
        <v>705</v>
      </c>
      <c r="AT251" s="129" t="s">
        <v>277</v>
      </c>
      <c r="AU251" s="129" t="s">
        <v>63</v>
      </c>
      <c r="AY251" s="13" t="s">
        <v>228</v>
      </c>
      <c r="BE251" s="130">
        <f t="shared" si="36"/>
        <v>0</v>
      </c>
      <c r="BF251" s="130">
        <f t="shared" si="37"/>
        <v>58</v>
      </c>
      <c r="BG251" s="130">
        <f t="shared" si="38"/>
        <v>0</v>
      </c>
      <c r="BH251" s="130">
        <f t="shared" si="39"/>
        <v>0</v>
      </c>
      <c r="BI251" s="130">
        <f t="shared" si="40"/>
        <v>0</v>
      </c>
      <c r="BJ251" s="13" t="s">
        <v>76</v>
      </c>
      <c r="BK251" s="130">
        <f t="shared" si="41"/>
        <v>58</v>
      </c>
      <c r="BL251" s="13" t="s">
        <v>347</v>
      </c>
      <c r="BM251" s="129" t="s">
        <v>660</v>
      </c>
    </row>
    <row r="252" spans="2:65" s="1116" customFormat="1" ht="37.950000000000003" customHeight="1" x14ac:dyDescent="0.2">
      <c r="B252" s="1118"/>
      <c r="C252" s="1234" t="s">
        <v>5205</v>
      </c>
      <c r="D252" s="1235"/>
      <c r="E252" s="1235"/>
      <c r="F252" s="1235"/>
      <c r="G252" s="1235"/>
      <c r="H252" s="1235"/>
      <c r="I252" s="1235"/>
      <c r="J252" s="1236"/>
      <c r="K252" s="133"/>
      <c r="L252" s="137"/>
      <c r="M252" s="138"/>
      <c r="N252" s="139"/>
      <c r="O252" s="1037"/>
      <c r="P252" s="1037"/>
      <c r="Q252" s="1037"/>
      <c r="R252" s="1037"/>
      <c r="S252" s="1037"/>
      <c r="T252" s="1038"/>
      <c r="W252" s="1041"/>
      <c r="X252" s="348" t="s">
        <v>6773</v>
      </c>
      <c r="Y252" s="348" t="s">
        <v>277</v>
      </c>
      <c r="Z252" s="349" t="s">
        <v>6780</v>
      </c>
      <c r="AA252" s="350" t="s">
        <v>6760</v>
      </c>
      <c r="AB252" s="351" t="s">
        <v>1194</v>
      </c>
      <c r="AC252" s="352">
        <v>25</v>
      </c>
      <c r="AD252" s="353">
        <v>38.369999999999997</v>
      </c>
      <c r="AE252" s="356">
        <f t="shared" si="25"/>
        <v>959.25</v>
      </c>
      <c r="AF252" s="924">
        <v>29</v>
      </c>
      <c r="AR252" s="1039"/>
      <c r="AT252" s="1039"/>
      <c r="AU252" s="1039"/>
      <c r="AY252" s="1117"/>
      <c r="BE252" s="1119"/>
      <c r="BF252" s="1119"/>
      <c r="BG252" s="1119"/>
      <c r="BH252" s="1119"/>
      <c r="BI252" s="1119"/>
      <c r="BJ252" s="1117"/>
      <c r="BK252" s="1119"/>
      <c r="BL252" s="1117"/>
      <c r="BM252" s="1039"/>
    </row>
    <row r="253" spans="2:65" s="1" customFormat="1" ht="16.5" customHeight="1" x14ac:dyDescent="0.2">
      <c r="B253" s="118"/>
      <c r="C253" s="205" t="s">
        <v>444</v>
      </c>
      <c r="D253" s="119" t="s">
        <v>231</v>
      </c>
      <c r="E253" s="120" t="s">
        <v>1597</v>
      </c>
      <c r="F253" s="121" t="s">
        <v>1588</v>
      </c>
      <c r="G253" s="122" t="s">
        <v>1194</v>
      </c>
      <c r="H253" s="206">
        <v>14</v>
      </c>
      <c r="I253" s="124">
        <v>11.35</v>
      </c>
      <c r="J253" s="124">
        <f t="shared" si="32"/>
        <v>158.9</v>
      </c>
      <c r="K253" s="121" t="s">
        <v>1</v>
      </c>
      <c r="L253" s="24"/>
      <c r="M253" s="125" t="s">
        <v>1</v>
      </c>
      <c r="N253" s="126" t="s">
        <v>32</v>
      </c>
      <c r="O253" s="127">
        <v>0</v>
      </c>
      <c r="P253" s="127">
        <f t="shared" si="33"/>
        <v>0</v>
      </c>
      <c r="Q253" s="127">
        <v>0</v>
      </c>
      <c r="R253" s="127">
        <f t="shared" si="34"/>
        <v>0</v>
      </c>
      <c r="S253" s="127">
        <v>0</v>
      </c>
      <c r="T253" s="128">
        <f t="shared" si="35"/>
        <v>0</v>
      </c>
      <c r="W253" s="199"/>
      <c r="X253" s="205" t="s">
        <v>444</v>
      </c>
      <c r="Y253" s="119" t="s">
        <v>231</v>
      </c>
      <c r="Z253" s="120" t="s">
        <v>1597</v>
      </c>
      <c r="AA253" s="121" t="s">
        <v>1588</v>
      </c>
      <c r="AB253" s="122" t="s">
        <v>1194</v>
      </c>
      <c r="AC253" s="206">
        <f>14-6</f>
        <v>8</v>
      </c>
      <c r="AD253" s="124">
        <v>11.35</v>
      </c>
      <c r="AE253" s="200">
        <f t="shared" si="25"/>
        <v>90.8</v>
      </c>
      <c r="AF253" s="248">
        <v>2</v>
      </c>
      <c r="AR253" s="129" t="s">
        <v>347</v>
      </c>
      <c r="AT253" s="129" t="s">
        <v>231</v>
      </c>
      <c r="AU253" s="129" t="s">
        <v>63</v>
      </c>
      <c r="AY253" s="13" t="s">
        <v>228</v>
      </c>
      <c r="BE253" s="130">
        <f t="shared" si="36"/>
        <v>0</v>
      </c>
      <c r="BF253" s="130">
        <f t="shared" si="37"/>
        <v>158.9</v>
      </c>
      <c r="BG253" s="130">
        <f t="shared" si="38"/>
        <v>0</v>
      </c>
      <c r="BH253" s="130">
        <f t="shared" si="39"/>
        <v>0</v>
      </c>
      <c r="BI253" s="130">
        <f t="shared" si="40"/>
        <v>0</v>
      </c>
      <c r="BJ253" s="13" t="s">
        <v>76</v>
      </c>
      <c r="BK253" s="130">
        <f t="shared" si="41"/>
        <v>158.9</v>
      </c>
      <c r="BL253" s="13" t="s">
        <v>347</v>
      </c>
      <c r="BM253" s="129" t="s">
        <v>663</v>
      </c>
    </row>
    <row r="254" spans="2:65" s="1" customFormat="1" ht="16.5" customHeight="1" x14ac:dyDescent="0.2">
      <c r="B254" s="118"/>
      <c r="C254" s="242" t="s">
        <v>664</v>
      </c>
      <c r="D254" s="131" t="s">
        <v>277</v>
      </c>
      <c r="E254" s="132" t="s">
        <v>1587</v>
      </c>
      <c r="F254" s="133" t="s">
        <v>1588</v>
      </c>
      <c r="G254" s="134" t="s">
        <v>1194</v>
      </c>
      <c r="H254" s="241">
        <v>14</v>
      </c>
      <c r="I254" s="136">
        <v>46.73</v>
      </c>
      <c r="J254" s="136">
        <f t="shared" si="32"/>
        <v>654.22</v>
      </c>
      <c r="K254" s="133" t="s">
        <v>1</v>
      </c>
      <c r="L254" s="137"/>
      <c r="M254" s="138" t="s">
        <v>1</v>
      </c>
      <c r="N254" s="139" t="s">
        <v>32</v>
      </c>
      <c r="O254" s="127">
        <v>0</v>
      </c>
      <c r="P254" s="127">
        <f t="shared" si="33"/>
        <v>0</v>
      </c>
      <c r="Q254" s="127">
        <v>0</v>
      </c>
      <c r="R254" s="127">
        <f t="shared" si="34"/>
        <v>0</v>
      </c>
      <c r="S254" s="127">
        <v>0</v>
      </c>
      <c r="T254" s="128">
        <f t="shared" si="35"/>
        <v>0</v>
      </c>
      <c r="W254" s="199"/>
      <c r="X254" s="242" t="s">
        <v>664</v>
      </c>
      <c r="Y254" s="131" t="s">
        <v>277</v>
      </c>
      <c r="Z254" s="132" t="s">
        <v>1587</v>
      </c>
      <c r="AA254" s="454" t="s">
        <v>1588</v>
      </c>
      <c r="AB254" s="134" t="s">
        <v>1194</v>
      </c>
      <c r="AC254" s="241">
        <f>8-8</f>
        <v>0</v>
      </c>
      <c r="AD254" s="136">
        <v>46.73</v>
      </c>
      <c r="AE254" s="229">
        <f t="shared" si="25"/>
        <v>0</v>
      </c>
      <c r="AF254" s="248" t="s">
        <v>6751</v>
      </c>
      <c r="AR254" s="129" t="s">
        <v>705</v>
      </c>
      <c r="AT254" s="129" t="s">
        <v>277</v>
      </c>
      <c r="AU254" s="129" t="s">
        <v>63</v>
      </c>
      <c r="AY254" s="13" t="s">
        <v>228</v>
      </c>
      <c r="BE254" s="130">
        <f t="shared" si="36"/>
        <v>0</v>
      </c>
      <c r="BF254" s="130">
        <f t="shared" si="37"/>
        <v>654.22</v>
      </c>
      <c r="BG254" s="130">
        <f t="shared" si="38"/>
        <v>0</v>
      </c>
      <c r="BH254" s="130">
        <f t="shared" si="39"/>
        <v>0</v>
      </c>
      <c r="BI254" s="130">
        <f t="shared" si="40"/>
        <v>0</v>
      </c>
      <c r="BJ254" s="13" t="s">
        <v>76</v>
      </c>
      <c r="BK254" s="130">
        <f t="shared" si="41"/>
        <v>654.22</v>
      </c>
      <c r="BL254" s="13" t="s">
        <v>347</v>
      </c>
      <c r="BM254" s="129" t="s">
        <v>667</v>
      </c>
    </row>
    <row r="255" spans="2:65" s="1116" customFormat="1" ht="36.450000000000003" customHeight="1" x14ac:dyDescent="0.2">
      <c r="B255" s="1118"/>
      <c r="C255" s="1234" t="s">
        <v>5205</v>
      </c>
      <c r="D255" s="1235"/>
      <c r="E255" s="1235"/>
      <c r="F255" s="1235"/>
      <c r="G255" s="1235"/>
      <c r="H255" s="1235"/>
      <c r="I255" s="1235"/>
      <c r="J255" s="1236"/>
      <c r="K255" s="133"/>
      <c r="L255" s="137"/>
      <c r="M255" s="138"/>
      <c r="N255" s="139"/>
      <c r="O255" s="1037"/>
      <c r="P255" s="1037"/>
      <c r="Q255" s="1037"/>
      <c r="R255" s="1037"/>
      <c r="S255" s="1037"/>
      <c r="T255" s="1038"/>
      <c r="W255" s="1041"/>
      <c r="X255" s="348" t="s">
        <v>5284</v>
      </c>
      <c r="Y255" s="348" t="s">
        <v>277</v>
      </c>
      <c r="Z255" s="349" t="s">
        <v>6781</v>
      </c>
      <c r="AA255" s="350" t="s">
        <v>6765</v>
      </c>
      <c r="AB255" s="351" t="s">
        <v>1194</v>
      </c>
      <c r="AC255" s="352">
        <v>8</v>
      </c>
      <c r="AD255" s="353">
        <v>46.73</v>
      </c>
      <c r="AE255" s="356">
        <f t="shared" si="25"/>
        <v>373.84</v>
      </c>
      <c r="AF255" s="924">
        <v>29</v>
      </c>
      <c r="AR255" s="1039"/>
      <c r="AT255" s="1039"/>
      <c r="AU255" s="1039"/>
      <c r="AY255" s="1117"/>
      <c r="BE255" s="1119"/>
      <c r="BF255" s="1119"/>
      <c r="BG255" s="1119"/>
      <c r="BH255" s="1119"/>
      <c r="BI255" s="1119"/>
      <c r="BJ255" s="1117"/>
      <c r="BK255" s="1119"/>
      <c r="BL255" s="1117"/>
      <c r="BM255" s="1039"/>
    </row>
    <row r="256" spans="2:65" s="1" customFormat="1" ht="24" customHeight="1" x14ac:dyDescent="0.2">
      <c r="B256" s="118"/>
      <c r="C256" s="205" t="s">
        <v>448</v>
      </c>
      <c r="D256" s="119" t="s">
        <v>231</v>
      </c>
      <c r="E256" s="120" t="s">
        <v>3929</v>
      </c>
      <c r="F256" s="121" t="s">
        <v>3930</v>
      </c>
      <c r="G256" s="122" t="s">
        <v>1194</v>
      </c>
      <c r="H256" s="206">
        <v>8</v>
      </c>
      <c r="I256" s="124">
        <v>11.35</v>
      </c>
      <c r="J256" s="124">
        <f t="shared" si="32"/>
        <v>90.8</v>
      </c>
      <c r="K256" s="121" t="s">
        <v>1</v>
      </c>
      <c r="L256" s="24"/>
      <c r="M256" s="125" t="s">
        <v>1</v>
      </c>
      <c r="N256" s="126" t="s">
        <v>32</v>
      </c>
      <c r="O256" s="127">
        <v>0</v>
      </c>
      <c r="P256" s="127">
        <f t="shared" si="33"/>
        <v>0</v>
      </c>
      <c r="Q256" s="127">
        <v>0</v>
      </c>
      <c r="R256" s="127">
        <f t="shared" si="34"/>
        <v>0</v>
      </c>
      <c r="S256" s="127">
        <v>0</v>
      </c>
      <c r="T256" s="128">
        <f t="shared" si="35"/>
        <v>0</v>
      </c>
      <c r="W256" s="199"/>
      <c r="X256" s="205" t="s">
        <v>448</v>
      </c>
      <c r="Y256" s="119" t="s">
        <v>231</v>
      </c>
      <c r="Z256" s="120" t="s">
        <v>3929</v>
      </c>
      <c r="AA256" s="121" t="s">
        <v>3930</v>
      </c>
      <c r="AB256" s="122" t="s">
        <v>1194</v>
      </c>
      <c r="AC256" s="206">
        <f>8+6</f>
        <v>14</v>
      </c>
      <c r="AD256" s="124">
        <v>11.35</v>
      </c>
      <c r="AE256" s="200">
        <f t="shared" si="25"/>
        <v>158.9</v>
      </c>
      <c r="AF256" s="248">
        <v>2</v>
      </c>
      <c r="AR256" s="129" t="s">
        <v>347</v>
      </c>
      <c r="AT256" s="129" t="s">
        <v>231</v>
      </c>
      <c r="AU256" s="129" t="s">
        <v>63</v>
      </c>
      <c r="AY256" s="13" t="s">
        <v>228</v>
      </c>
      <c r="BE256" s="130">
        <f t="shared" si="36"/>
        <v>0</v>
      </c>
      <c r="BF256" s="130">
        <f t="shared" si="37"/>
        <v>90.8</v>
      </c>
      <c r="BG256" s="130">
        <f t="shared" si="38"/>
        <v>0</v>
      </c>
      <c r="BH256" s="130">
        <f t="shared" si="39"/>
        <v>0</v>
      </c>
      <c r="BI256" s="130">
        <f t="shared" si="40"/>
        <v>0</v>
      </c>
      <c r="BJ256" s="13" t="s">
        <v>76</v>
      </c>
      <c r="BK256" s="130">
        <f t="shared" si="41"/>
        <v>90.8</v>
      </c>
      <c r="BL256" s="13" t="s">
        <v>347</v>
      </c>
      <c r="BM256" s="129" t="s">
        <v>670</v>
      </c>
    </row>
    <row r="257" spans="2:65" s="1" customFormat="1" ht="24" customHeight="1" x14ac:dyDescent="0.2">
      <c r="B257" s="118"/>
      <c r="C257" s="242" t="s">
        <v>671</v>
      </c>
      <c r="D257" s="131" t="s">
        <v>277</v>
      </c>
      <c r="E257" s="132" t="s">
        <v>3931</v>
      </c>
      <c r="F257" s="133" t="s">
        <v>4587</v>
      </c>
      <c r="G257" s="134" t="s">
        <v>1194</v>
      </c>
      <c r="H257" s="241">
        <v>8</v>
      </c>
      <c r="I257" s="136">
        <v>41.39</v>
      </c>
      <c r="J257" s="136">
        <f t="shared" si="32"/>
        <v>331.12</v>
      </c>
      <c r="K257" s="133" t="s">
        <v>1</v>
      </c>
      <c r="L257" s="137"/>
      <c r="M257" s="138" t="s">
        <v>1</v>
      </c>
      <c r="N257" s="139" t="s">
        <v>32</v>
      </c>
      <c r="O257" s="127">
        <v>0</v>
      </c>
      <c r="P257" s="127">
        <f t="shared" si="33"/>
        <v>0</v>
      </c>
      <c r="Q257" s="127">
        <v>0</v>
      </c>
      <c r="R257" s="127">
        <f t="shared" si="34"/>
        <v>0</v>
      </c>
      <c r="S257" s="127">
        <v>0</v>
      </c>
      <c r="T257" s="128">
        <f t="shared" si="35"/>
        <v>0</v>
      </c>
      <c r="W257" s="199"/>
      <c r="X257" s="242" t="s">
        <v>671</v>
      </c>
      <c r="Y257" s="131" t="s">
        <v>277</v>
      </c>
      <c r="Z257" s="132" t="s">
        <v>3931</v>
      </c>
      <c r="AA257" s="454" t="s">
        <v>4587</v>
      </c>
      <c r="AB257" s="134" t="s">
        <v>1194</v>
      </c>
      <c r="AC257" s="241">
        <f>8+6-14</f>
        <v>0</v>
      </c>
      <c r="AD257" s="136">
        <v>41.39</v>
      </c>
      <c r="AE257" s="229">
        <f t="shared" si="25"/>
        <v>0</v>
      </c>
      <c r="AF257" s="248" t="s">
        <v>6751</v>
      </c>
      <c r="AR257" s="129" t="s">
        <v>705</v>
      </c>
      <c r="AT257" s="129" t="s">
        <v>277</v>
      </c>
      <c r="AU257" s="129" t="s">
        <v>63</v>
      </c>
      <c r="AY257" s="13" t="s">
        <v>228</v>
      </c>
      <c r="BE257" s="130">
        <f t="shared" si="36"/>
        <v>0</v>
      </c>
      <c r="BF257" s="130">
        <f t="shared" si="37"/>
        <v>331.12</v>
      </c>
      <c r="BG257" s="130">
        <f t="shared" si="38"/>
        <v>0</v>
      </c>
      <c r="BH257" s="130">
        <f t="shared" si="39"/>
        <v>0</v>
      </c>
      <c r="BI257" s="130">
        <f t="shared" si="40"/>
        <v>0</v>
      </c>
      <c r="BJ257" s="13" t="s">
        <v>76</v>
      </c>
      <c r="BK257" s="130">
        <f t="shared" si="41"/>
        <v>331.12</v>
      </c>
      <c r="BL257" s="13" t="s">
        <v>347</v>
      </c>
      <c r="BM257" s="129" t="s">
        <v>674</v>
      </c>
    </row>
    <row r="258" spans="2:65" s="1" customFormat="1" ht="24" customHeight="1" x14ac:dyDescent="0.2">
      <c r="B258" s="118"/>
      <c r="C258" s="242" t="s">
        <v>451</v>
      </c>
      <c r="D258" s="131" t="s">
        <v>277</v>
      </c>
      <c r="E258" s="132" t="s">
        <v>3933</v>
      </c>
      <c r="F258" s="133" t="s">
        <v>3934</v>
      </c>
      <c r="G258" s="134" t="s">
        <v>1194</v>
      </c>
      <c r="H258" s="241">
        <v>8</v>
      </c>
      <c r="I258" s="136">
        <v>2.3199999999999998</v>
      </c>
      <c r="J258" s="136">
        <f t="shared" si="32"/>
        <v>18.559999999999999</v>
      </c>
      <c r="K258" s="133" t="s">
        <v>1</v>
      </c>
      <c r="L258" s="137"/>
      <c r="M258" s="138" t="s">
        <v>1</v>
      </c>
      <c r="N258" s="139" t="s">
        <v>32</v>
      </c>
      <c r="O258" s="127">
        <v>0</v>
      </c>
      <c r="P258" s="127">
        <f t="shared" si="33"/>
        <v>0</v>
      </c>
      <c r="Q258" s="127">
        <v>0</v>
      </c>
      <c r="R258" s="127">
        <f t="shared" si="34"/>
        <v>0</v>
      </c>
      <c r="S258" s="127">
        <v>0</v>
      </c>
      <c r="T258" s="128">
        <f t="shared" si="35"/>
        <v>0</v>
      </c>
      <c r="W258" s="199"/>
      <c r="X258" s="242" t="s">
        <v>451</v>
      </c>
      <c r="Y258" s="131" t="s">
        <v>277</v>
      </c>
      <c r="Z258" s="132" t="s">
        <v>3933</v>
      </c>
      <c r="AA258" s="454" t="s">
        <v>3934</v>
      </c>
      <c r="AB258" s="134" t="s">
        <v>1194</v>
      </c>
      <c r="AC258" s="241">
        <f>8+6</f>
        <v>14</v>
      </c>
      <c r="AD258" s="136">
        <v>2.3199999999999998</v>
      </c>
      <c r="AE258" s="229">
        <f t="shared" si="25"/>
        <v>32.479999999999997</v>
      </c>
      <c r="AF258" s="248">
        <v>2</v>
      </c>
      <c r="AR258" s="129" t="s">
        <v>705</v>
      </c>
      <c r="AT258" s="129" t="s">
        <v>277</v>
      </c>
      <c r="AU258" s="129" t="s">
        <v>63</v>
      </c>
      <c r="AY258" s="13" t="s">
        <v>228</v>
      </c>
      <c r="BE258" s="130">
        <f t="shared" si="36"/>
        <v>0</v>
      </c>
      <c r="BF258" s="130">
        <f t="shared" si="37"/>
        <v>18.559999999999999</v>
      </c>
      <c r="BG258" s="130">
        <f t="shared" si="38"/>
        <v>0</v>
      </c>
      <c r="BH258" s="130">
        <f t="shared" si="39"/>
        <v>0</v>
      </c>
      <c r="BI258" s="130">
        <f t="shared" si="40"/>
        <v>0</v>
      </c>
      <c r="BJ258" s="13" t="s">
        <v>76</v>
      </c>
      <c r="BK258" s="130">
        <f t="shared" si="41"/>
        <v>18.559999999999999</v>
      </c>
      <c r="BL258" s="13" t="s">
        <v>347</v>
      </c>
      <c r="BM258" s="129" t="s">
        <v>677</v>
      </c>
    </row>
    <row r="259" spans="2:65" s="1116" customFormat="1" ht="31.95" customHeight="1" x14ac:dyDescent="0.2">
      <c r="B259" s="1118"/>
      <c r="C259" s="1234" t="s">
        <v>5205</v>
      </c>
      <c r="D259" s="1235"/>
      <c r="E259" s="1235"/>
      <c r="F259" s="1235"/>
      <c r="G259" s="1235"/>
      <c r="H259" s="1235"/>
      <c r="I259" s="1235"/>
      <c r="J259" s="1236"/>
      <c r="K259" s="133"/>
      <c r="L259" s="137"/>
      <c r="M259" s="138"/>
      <c r="N259" s="139"/>
      <c r="O259" s="1037"/>
      <c r="P259" s="1037"/>
      <c r="Q259" s="1037"/>
      <c r="R259" s="1037"/>
      <c r="S259" s="1037"/>
      <c r="T259" s="1038"/>
      <c r="W259" s="1041"/>
      <c r="X259" s="348" t="s">
        <v>6788</v>
      </c>
      <c r="Y259" s="348" t="s">
        <v>277</v>
      </c>
      <c r="Z259" s="349" t="s">
        <v>6782</v>
      </c>
      <c r="AA259" s="350" t="s">
        <v>6783</v>
      </c>
      <c r="AB259" s="351" t="s">
        <v>1194</v>
      </c>
      <c r="AC259" s="352">
        <v>14</v>
      </c>
      <c r="AD259" s="353">
        <v>41.39</v>
      </c>
      <c r="AE259" s="356">
        <f t="shared" si="25"/>
        <v>579.46</v>
      </c>
      <c r="AF259" s="924">
        <v>29</v>
      </c>
      <c r="AR259" s="1039"/>
      <c r="AT259" s="1039"/>
      <c r="AU259" s="1039"/>
      <c r="AY259" s="1117"/>
      <c r="BE259" s="1119"/>
      <c r="BF259" s="1119"/>
      <c r="BG259" s="1119"/>
      <c r="BH259" s="1119"/>
      <c r="BI259" s="1119"/>
      <c r="BJ259" s="1117"/>
      <c r="BK259" s="1119"/>
      <c r="BL259" s="1117"/>
      <c r="BM259" s="1039"/>
    </row>
    <row r="260" spans="2:65" s="1" customFormat="1" ht="24" customHeight="1" x14ac:dyDescent="0.2">
      <c r="B260" s="118"/>
      <c r="C260" s="119" t="s">
        <v>678</v>
      </c>
      <c r="D260" s="119" t="s">
        <v>231</v>
      </c>
      <c r="E260" s="120" t="s">
        <v>3943</v>
      </c>
      <c r="F260" s="121" t="s">
        <v>3944</v>
      </c>
      <c r="G260" s="122" t="s">
        <v>1194</v>
      </c>
      <c r="H260" s="123">
        <v>23</v>
      </c>
      <c r="I260" s="124">
        <v>11.35</v>
      </c>
      <c r="J260" s="124">
        <f t="shared" si="32"/>
        <v>261.05</v>
      </c>
      <c r="K260" s="121" t="s">
        <v>1</v>
      </c>
      <c r="L260" s="24"/>
      <c r="M260" s="125" t="s">
        <v>1</v>
      </c>
      <c r="N260" s="126" t="s">
        <v>32</v>
      </c>
      <c r="O260" s="127">
        <v>0</v>
      </c>
      <c r="P260" s="127">
        <f t="shared" si="33"/>
        <v>0</v>
      </c>
      <c r="Q260" s="127">
        <v>0</v>
      </c>
      <c r="R260" s="127">
        <f t="shared" si="34"/>
        <v>0</v>
      </c>
      <c r="S260" s="127">
        <v>0</v>
      </c>
      <c r="T260" s="128">
        <f t="shared" si="35"/>
        <v>0</v>
      </c>
      <c r="W260" s="199"/>
      <c r="X260" s="119" t="s">
        <v>678</v>
      </c>
      <c r="Y260" s="119" t="s">
        <v>231</v>
      </c>
      <c r="Z260" s="120" t="s">
        <v>3943</v>
      </c>
      <c r="AA260" s="121" t="s">
        <v>3944</v>
      </c>
      <c r="AB260" s="122" t="s">
        <v>1194</v>
      </c>
      <c r="AC260" s="123">
        <v>23</v>
      </c>
      <c r="AD260" s="124">
        <v>11.35</v>
      </c>
      <c r="AE260" s="200">
        <f t="shared" si="25"/>
        <v>261.05</v>
      </c>
      <c r="AF260" s="248"/>
      <c r="AR260" s="129" t="s">
        <v>347</v>
      </c>
      <c r="AT260" s="129" t="s">
        <v>231</v>
      </c>
      <c r="AU260" s="129" t="s">
        <v>63</v>
      </c>
      <c r="AY260" s="13" t="s">
        <v>228</v>
      </c>
      <c r="BE260" s="130">
        <f t="shared" si="36"/>
        <v>0</v>
      </c>
      <c r="BF260" s="130">
        <f t="shared" si="37"/>
        <v>261.05</v>
      </c>
      <c r="BG260" s="130">
        <f t="shared" si="38"/>
        <v>0</v>
      </c>
      <c r="BH260" s="130">
        <f t="shared" si="39"/>
        <v>0</v>
      </c>
      <c r="BI260" s="130">
        <f t="shared" si="40"/>
        <v>0</v>
      </c>
      <c r="BJ260" s="13" t="s">
        <v>76</v>
      </c>
      <c r="BK260" s="130">
        <f t="shared" si="41"/>
        <v>261.05</v>
      </c>
      <c r="BL260" s="13" t="s">
        <v>347</v>
      </c>
      <c r="BM260" s="129" t="s">
        <v>681</v>
      </c>
    </row>
    <row r="261" spans="2:65" s="1" customFormat="1" ht="25.2" customHeight="1" x14ac:dyDescent="0.2">
      <c r="B261" s="118"/>
      <c r="C261" s="979" t="s">
        <v>455</v>
      </c>
      <c r="D261" s="131" t="s">
        <v>277</v>
      </c>
      <c r="E261" s="132" t="s">
        <v>3945</v>
      </c>
      <c r="F261" s="133" t="s">
        <v>4588</v>
      </c>
      <c r="G261" s="134" t="s">
        <v>1194</v>
      </c>
      <c r="H261" s="978">
        <v>23</v>
      </c>
      <c r="I261" s="136">
        <v>48.1</v>
      </c>
      <c r="J261" s="136">
        <f t="shared" si="32"/>
        <v>1106.3</v>
      </c>
      <c r="K261" s="133" t="s">
        <v>1</v>
      </c>
      <c r="L261" s="137"/>
      <c r="M261" s="138" t="s">
        <v>1</v>
      </c>
      <c r="N261" s="139" t="s">
        <v>32</v>
      </c>
      <c r="O261" s="127">
        <v>0</v>
      </c>
      <c r="P261" s="127">
        <f t="shared" si="33"/>
        <v>0</v>
      </c>
      <c r="Q261" s="127">
        <v>0</v>
      </c>
      <c r="R261" s="127">
        <f t="shared" si="34"/>
        <v>0</v>
      </c>
      <c r="S261" s="127">
        <v>0</v>
      </c>
      <c r="T261" s="128">
        <f t="shared" si="35"/>
        <v>0</v>
      </c>
      <c r="W261" s="199"/>
      <c r="X261" s="979" t="s">
        <v>455</v>
      </c>
      <c r="Y261" s="131" t="s">
        <v>277</v>
      </c>
      <c r="Z261" s="132" t="s">
        <v>3945</v>
      </c>
      <c r="AA261" s="454" t="s">
        <v>4588</v>
      </c>
      <c r="AB261" s="134" t="s">
        <v>1194</v>
      </c>
      <c r="AC261" s="978">
        <f>23-23</f>
        <v>0</v>
      </c>
      <c r="AD261" s="136">
        <v>48.1</v>
      </c>
      <c r="AE261" s="229">
        <f t="shared" si="25"/>
        <v>0</v>
      </c>
      <c r="AF261" s="248">
        <v>29</v>
      </c>
      <c r="AR261" s="129" t="s">
        <v>705</v>
      </c>
      <c r="AT261" s="129" t="s">
        <v>277</v>
      </c>
      <c r="AU261" s="129" t="s">
        <v>63</v>
      </c>
      <c r="AY261" s="13" t="s">
        <v>228</v>
      </c>
      <c r="BE261" s="130">
        <f t="shared" si="36"/>
        <v>0</v>
      </c>
      <c r="BF261" s="130">
        <f t="shared" si="37"/>
        <v>1106.3</v>
      </c>
      <c r="BG261" s="130">
        <f t="shared" si="38"/>
        <v>0</v>
      </c>
      <c r="BH261" s="130">
        <f t="shared" si="39"/>
        <v>0</v>
      </c>
      <c r="BI261" s="130">
        <f t="shared" si="40"/>
        <v>0</v>
      </c>
      <c r="BJ261" s="13" t="s">
        <v>76</v>
      </c>
      <c r="BK261" s="130">
        <f t="shared" si="41"/>
        <v>1106.3</v>
      </c>
      <c r="BL261" s="13" t="s">
        <v>347</v>
      </c>
      <c r="BM261" s="129" t="s">
        <v>684</v>
      </c>
    </row>
    <row r="262" spans="2:65" s="1" customFormat="1" ht="24" customHeight="1" x14ac:dyDescent="0.2">
      <c r="B262" s="118"/>
      <c r="C262" s="979" t="s">
        <v>685</v>
      </c>
      <c r="D262" s="131" t="s">
        <v>277</v>
      </c>
      <c r="E262" s="132" t="s">
        <v>3947</v>
      </c>
      <c r="F262" s="133" t="s">
        <v>3948</v>
      </c>
      <c r="G262" s="134" t="s">
        <v>1194</v>
      </c>
      <c r="H262" s="978">
        <v>46</v>
      </c>
      <c r="I262" s="136">
        <v>2.3199999999999998</v>
      </c>
      <c r="J262" s="136">
        <f t="shared" si="32"/>
        <v>106.72</v>
      </c>
      <c r="K262" s="133" t="s">
        <v>1</v>
      </c>
      <c r="L262" s="137"/>
      <c r="M262" s="138" t="s">
        <v>1</v>
      </c>
      <c r="N262" s="139" t="s">
        <v>32</v>
      </c>
      <c r="O262" s="127">
        <v>0</v>
      </c>
      <c r="P262" s="127">
        <f t="shared" si="33"/>
        <v>0</v>
      </c>
      <c r="Q262" s="127">
        <v>0</v>
      </c>
      <c r="R262" s="127">
        <f t="shared" si="34"/>
        <v>0</v>
      </c>
      <c r="S262" s="127">
        <v>0</v>
      </c>
      <c r="T262" s="128">
        <f t="shared" si="35"/>
        <v>0</v>
      </c>
      <c r="W262" s="199"/>
      <c r="X262" s="979" t="s">
        <v>685</v>
      </c>
      <c r="Y262" s="131" t="s">
        <v>277</v>
      </c>
      <c r="Z262" s="132" t="s">
        <v>3947</v>
      </c>
      <c r="AA262" s="454" t="s">
        <v>3948</v>
      </c>
      <c r="AB262" s="134" t="s">
        <v>1194</v>
      </c>
      <c r="AC262" s="978">
        <f>46-46</f>
        <v>0</v>
      </c>
      <c r="AD262" s="136">
        <v>2.3199999999999998</v>
      </c>
      <c r="AE262" s="229">
        <f t="shared" si="25"/>
        <v>0</v>
      </c>
      <c r="AF262" s="248">
        <v>29</v>
      </c>
      <c r="AR262" s="129" t="s">
        <v>705</v>
      </c>
      <c r="AT262" s="129" t="s">
        <v>277</v>
      </c>
      <c r="AU262" s="129" t="s">
        <v>63</v>
      </c>
      <c r="AY262" s="13" t="s">
        <v>228</v>
      </c>
      <c r="BE262" s="130">
        <f t="shared" si="36"/>
        <v>0</v>
      </c>
      <c r="BF262" s="130">
        <f t="shared" si="37"/>
        <v>106.72</v>
      </c>
      <c r="BG262" s="130">
        <f t="shared" si="38"/>
        <v>0</v>
      </c>
      <c r="BH262" s="130">
        <f t="shared" si="39"/>
        <v>0</v>
      </c>
      <c r="BI262" s="130">
        <f t="shared" si="40"/>
        <v>0</v>
      </c>
      <c r="BJ262" s="13" t="s">
        <v>76</v>
      </c>
      <c r="BK262" s="130">
        <f t="shared" si="41"/>
        <v>106.72</v>
      </c>
      <c r="BL262" s="13" t="s">
        <v>347</v>
      </c>
      <c r="BM262" s="129" t="s">
        <v>688</v>
      </c>
    </row>
    <row r="263" spans="2:65" s="1116" customFormat="1" ht="40.200000000000003" customHeight="1" x14ac:dyDescent="0.2">
      <c r="B263" s="1118"/>
      <c r="C263" s="1234" t="s">
        <v>5205</v>
      </c>
      <c r="D263" s="1235"/>
      <c r="E263" s="1235"/>
      <c r="F263" s="1235"/>
      <c r="G263" s="1235"/>
      <c r="H263" s="1235"/>
      <c r="I263" s="1235"/>
      <c r="J263" s="1236"/>
      <c r="K263" s="133"/>
      <c r="L263" s="137"/>
      <c r="M263" s="138"/>
      <c r="N263" s="139"/>
      <c r="O263" s="1037"/>
      <c r="P263" s="1037"/>
      <c r="Q263" s="1037"/>
      <c r="R263" s="1037"/>
      <c r="S263" s="1037"/>
      <c r="T263" s="1038"/>
      <c r="W263" s="1041"/>
      <c r="X263" s="348" t="s">
        <v>6789</v>
      </c>
      <c r="Y263" s="348" t="s">
        <v>277</v>
      </c>
      <c r="Z263" s="349" t="s">
        <v>6784</v>
      </c>
      <c r="AA263" s="350" t="s">
        <v>6785</v>
      </c>
      <c r="AB263" s="351" t="s">
        <v>1194</v>
      </c>
      <c r="AC263" s="352">
        <v>23</v>
      </c>
      <c r="AD263" s="353">
        <v>52.74</v>
      </c>
      <c r="AE263" s="356">
        <f t="shared" si="25"/>
        <v>1213.02</v>
      </c>
      <c r="AF263" s="924">
        <v>29</v>
      </c>
      <c r="AR263" s="1039"/>
      <c r="AT263" s="1039"/>
      <c r="AU263" s="1039"/>
      <c r="AY263" s="1117"/>
      <c r="BE263" s="1119"/>
      <c r="BF263" s="1119"/>
      <c r="BG263" s="1119"/>
      <c r="BH263" s="1119"/>
      <c r="BI263" s="1119"/>
      <c r="BJ263" s="1117"/>
      <c r="BK263" s="1119"/>
      <c r="BL263" s="1117"/>
      <c r="BM263" s="1039"/>
    </row>
    <row r="264" spans="2:65" s="1" customFormat="1" ht="24" customHeight="1" x14ac:dyDescent="0.2">
      <c r="B264" s="118"/>
      <c r="C264" s="119" t="s">
        <v>458</v>
      </c>
      <c r="D264" s="119" t="s">
        <v>231</v>
      </c>
      <c r="E264" s="120" t="s">
        <v>3831</v>
      </c>
      <c r="F264" s="121" t="s">
        <v>3832</v>
      </c>
      <c r="G264" s="122" t="s">
        <v>1194</v>
      </c>
      <c r="H264" s="123">
        <v>5</v>
      </c>
      <c r="I264" s="124">
        <v>9.2200000000000006</v>
      </c>
      <c r="J264" s="124">
        <f t="shared" si="32"/>
        <v>46.1</v>
      </c>
      <c r="K264" s="121" t="s">
        <v>1</v>
      </c>
      <c r="L264" s="24"/>
      <c r="M264" s="125" t="s">
        <v>1</v>
      </c>
      <c r="N264" s="126" t="s">
        <v>32</v>
      </c>
      <c r="O264" s="127">
        <v>0</v>
      </c>
      <c r="P264" s="127">
        <f t="shared" si="33"/>
        <v>0</v>
      </c>
      <c r="Q264" s="127">
        <v>0</v>
      </c>
      <c r="R264" s="127">
        <f t="shared" si="34"/>
        <v>0</v>
      </c>
      <c r="S264" s="127">
        <v>0</v>
      </c>
      <c r="T264" s="128">
        <f t="shared" si="35"/>
        <v>0</v>
      </c>
      <c r="W264" s="199"/>
      <c r="X264" s="119" t="s">
        <v>458</v>
      </c>
      <c r="Y264" s="119" t="s">
        <v>231</v>
      </c>
      <c r="Z264" s="120" t="s">
        <v>3831</v>
      </c>
      <c r="AA264" s="121" t="s">
        <v>3832</v>
      </c>
      <c r="AB264" s="122" t="s">
        <v>1194</v>
      </c>
      <c r="AC264" s="123">
        <v>5</v>
      </c>
      <c r="AD264" s="124">
        <v>9.2200000000000006</v>
      </c>
      <c r="AE264" s="200">
        <f t="shared" si="25"/>
        <v>46.1</v>
      </c>
      <c r="AF264" s="248"/>
      <c r="AR264" s="129" t="s">
        <v>347</v>
      </c>
      <c r="AT264" s="129" t="s">
        <v>231</v>
      </c>
      <c r="AU264" s="129" t="s">
        <v>63</v>
      </c>
      <c r="AY264" s="13" t="s">
        <v>228</v>
      </c>
      <c r="BE264" s="130">
        <f t="shared" si="36"/>
        <v>0</v>
      </c>
      <c r="BF264" s="130">
        <f t="shared" si="37"/>
        <v>46.1</v>
      </c>
      <c r="BG264" s="130">
        <f t="shared" si="38"/>
        <v>0</v>
      </c>
      <c r="BH264" s="130">
        <f t="shared" si="39"/>
        <v>0</v>
      </c>
      <c r="BI264" s="130">
        <f t="shared" si="40"/>
        <v>0</v>
      </c>
      <c r="BJ264" s="13" t="s">
        <v>76</v>
      </c>
      <c r="BK264" s="130">
        <f t="shared" si="41"/>
        <v>46.1</v>
      </c>
      <c r="BL264" s="13" t="s">
        <v>347</v>
      </c>
      <c r="BM264" s="129" t="s">
        <v>691</v>
      </c>
    </row>
    <row r="265" spans="2:65" s="1" customFormat="1" ht="24" customHeight="1" x14ac:dyDescent="0.2">
      <c r="B265" s="118"/>
      <c r="C265" s="131" t="s">
        <v>692</v>
      </c>
      <c r="D265" s="131" t="s">
        <v>277</v>
      </c>
      <c r="E265" s="132" t="s">
        <v>3833</v>
      </c>
      <c r="F265" s="133" t="s">
        <v>3834</v>
      </c>
      <c r="G265" s="134" t="s">
        <v>1194</v>
      </c>
      <c r="H265" s="135">
        <v>5</v>
      </c>
      <c r="I265" s="136">
        <v>36.049999999999997</v>
      </c>
      <c r="J265" s="136">
        <f t="shared" si="32"/>
        <v>180.25</v>
      </c>
      <c r="K265" s="133" t="s">
        <v>1</v>
      </c>
      <c r="L265" s="137"/>
      <c r="M265" s="138" t="s">
        <v>1</v>
      </c>
      <c r="N265" s="139" t="s">
        <v>32</v>
      </c>
      <c r="O265" s="127">
        <v>0</v>
      </c>
      <c r="P265" s="127">
        <f t="shared" si="33"/>
        <v>0</v>
      </c>
      <c r="Q265" s="127">
        <v>0</v>
      </c>
      <c r="R265" s="127">
        <f t="shared" si="34"/>
        <v>0</v>
      </c>
      <c r="S265" s="127">
        <v>0</v>
      </c>
      <c r="T265" s="128">
        <f t="shared" si="35"/>
        <v>0</v>
      </c>
      <c r="W265" s="199"/>
      <c r="X265" s="979" t="s">
        <v>692</v>
      </c>
      <c r="Y265" s="131" t="s">
        <v>277</v>
      </c>
      <c r="Z265" s="132" t="s">
        <v>3833</v>
      </c>
      <c r="AA265" s="454" t="s">
        <v>3834</v>
      </c>
      <c r="AB265" s="134" t="s">
        <v>1194</v>
      </c>
      <c r="AC265" s="978">
        <f>5-5</f>
        <v>0</v>
      </c>
      <c r="AD265" s="136">
        <v>36.049999999999997</v>
      </c>
      <c r="AE265" s="229">
        <f t="shared" si="25"/>
        <v>0</v>
      </c>
      <c r="AF265" s="248">
        <v>29</v>
      </c>
      <c r="AR265" s="129" t="s">
        <v>705</v>
      </c>
      <c r="AT265" s="129" t="s">
        <v>277</v>
      </c>
      <c r="AU265" s="129" t="s">
        <v>63</v>
      </c>
      <c r="AY265" s="13" t="s">
        <v>228</v>
      </c>
      <c r="BE265" s="130">
        <f t="shared" si="36"/>
        <v>0</v>
      </c>
      <c r="BF265" s="130">
        <f t="shared" si="37"/>
        <v>180.25</v>
      </c>
      <c r="BG265" s="130">
        <f t="shared" si="38"/>
        <v>0</v>
      </c>
      <c r="BH265" s="130">
        <f t="shared" si="39"/>
        <v>0</v>
      </c>
      <c r="BI265" s="130">
        <f t="shared" si="40"/>
        <v>0</v>
      </c>
      <c r="BJ265" s="13" t="s">
        <v>76</v>
      </c>
      <c r="BK265" s="130">
        <f t="shared" si="41"/>
        <v>180.25</v>
      </c>
      <c r="BL265" s="13" t="s">
        <v>347</v>
      </c>
      <c r="BM265" s="129" t="s">
        <v>695</v>
      </c>
    </row>
    <row r="266" spans="2:65" s="1116" customFormat="1" ht="37.200000000000003" customHeight="1" x14ac:dyDescent="0.2">
      <c r="B266" s="1118"/>
      <c r="C266" s="1234" t="s">
        <v>5205</v>
      </c>
      <c r="D266" s="1235"/>
      <c r="E266" s="1235"/>
      <c r="F266" s="1235"/>
      <c r="G266" s="1235"/>
      <c r="H266" s="1235"/>
      <c r="I266" s="1235"/>
      <c r="J266" s="1236"/>
      <c r="K266" s="133"/>
      <c r="L266" s="137"/>
      <c r="M266" s="138"/>
      <c r="N266" s="139"/>
      <c r="O266" s="1037"/>
      <c r="P266" s="1037"/>
      <c r="Q266" s="1037"/>
      <c r="R266" s="1037"/>
      <c r="S266" s="1037"/>
      <c r="T266" s="1038"/>
      <c r="W266" s="1041"/>
      <c r="X266" s="348" t="s">
        <v>6637</v>
      </c>
      <c r="Y266" s="348" t="s">
        <v>277</v>
      </c>
      <c r="Z266" s="349" t="s">
        <v>6786</v>
      </c>
      <c r="AA266" s="350" t="s">
        <v>6787</v>
      </c>
      <c r="AB266" s="351" t="s">
        <v>1194</v>
      </c>
      <c r="AC266" s="352">
        <v>5</v>
      </c>
      <c r="AD266" s="353">
        <v>36.049999999999997</v>
      </c>
      <c r="AE266" s="356">
        <f t="shared" si="25"/>
        <v>180.25</v>
      </c>
      <c r="AF266" s="924">
        <v>29</v>
      </c>
      <c r="AR266" s="1039"/>
      <c r="AT266" s="1039"/>
      <c r="AU266" s="1039"/>
      <c r="AY266" s="1117"/>
      <c r="BE266" s="1119"/>
      <c r="BF266" s="1119"/>
      <c r="BG266" s="1119"/>
      <c r="BH266" s="1119"/>
      <c r="BI266" s="1119"/>
      <c r="BJ266" s="1117"/>
      <c r="BK266" s="1119"/>
      <c r="BL266" s="1117"/>
      <c r="BM266" s="1039"/>
    </row>
    <row r="267" spans="2:65" s="1025" customFormat="1" ht="40.950000000000003" customHeight="1" x14ac:dyDescent="0.2">
      <c r="B267" s="1028"/>
      <c r="C267" s="1234" t="s">
        <v>5205</v>
      </c>
      <c r="D267" s="1235"/>
      <c r="E267" s="1235"/>
      <c r="F267" s="1235"/>
      <c r="G267" s="1235"/>
      <c r="H267" s="1235"/>
      <c r="I267" s="1235"/>
      <c r="J267" s="1236"/>
      <c r="K267" s="133"/>
      <c r="L267" s="137"/>
      <c r="M267" s="138"/>
      <c r="N267" s="139"/>
      <c r="O267" s="1037"/>
      <c r="P267" s="1037"/>
      <c r="Q267" s="1037"/>
      <c r="R267" s="1037"/>
      <c r="S267" s="1037"/>
      <c r="T267" s="1038"/>
      <c r="W267" s="1041"/>
      <c r="X267" s="1072" t="s">
        <v>6637</v>
      </c>
      <c r="Y267" s="1072" t="s">
        <v>231</v>
      </c>
      <c r="Z267" s="1073" t="s">
        <v>6638</v>
      </c>
      <c r="AA267" s="1074" t="s">
        <v>6639</v>
      </c>
      <c r="AB267" s="1075" t="s">
        <v>1194</v>
      </c>
      <c r="AC267" s="1076">
        <v>3</v>
      </c>
      <c r="AD267" s="1077">
        <v>35.75</v>
      </c>
      <c r="AE267" s="1078">
        <f>AC267*AD267</f>
        <v>107.25</v>
      </c>
      <c r="AF267" s="924" t="s">
        <v>5482</v>
      </c>
      <c r="AR267" s="1039"/>
      <c r="AT267" s="1039"/>
      <c r="AU267" s="1039"/>
      <c r="AY267" s="1026"/>
      <c r="BE267" s="1040"/>
      <c r="BF267" s="1040"/>
      <c r="BG267" s="1040"/>
      <c r="BH267" s="1040"/>
      <c r="BI267" s="1040"/>
      <c r="BJ267" s="1026"/>
      <c r="BK267" s="1040"/>
      <c r="BL267" s="1026"/>
      <c r="BM267" s="1039"/>
    </row>
    <row r="268" spans="2:65" s="1" customFormat="1" ht="24" customHeight="1" x14ac:dyDescent="0.2">
      <c r="B268" s="118"/>
      <c r="C268" s="119" t="s">
        <v>462</v>
      </c>
      <c r="D268" s="119" t="s">
        <v>231</v>
      </c>
      <c r="E268" s="120" t="s">
        <v>1684</v>
      </c>
      <c r="F268" s="121" t="s">
        <v>1705</v>
      </c>
      <c r="G268" s="122" t="s">
        <v>1194</v>
      </c>
      <c r="H268" s="123">
        <v>25</v>
      </c>
      <c r="I268" s="124">
        <v>33.380000000000003</v>
      </c>
      <c r="J268" s="124">
        <f t="shared" si="32"/>
        <v>834.5</v>
      </c>
      <c r="K268" s="121" t="s">
        <v>1</v>
      </c>
      <c r="L268" s="24"/>
      <c r="M268" s="125" t="s">
        <v>1</v>
      </c>
      <c r="N268" s="126" t="s">
        <v>32</v>
      </c>
      <c r="O268" s="127">
        <v>0</v>
      </c>
      <c r="P268" s="127">
        <f t="shared" si="33"/>
        <v>0</v>
      </c>
      <c r="Q268" s="127">
        <v>0</v>
      </c>
      <c r="R268" s="127">
        <f t="shared" si="34"/>
        <v>0</v>
      </c>
      <c r="S268" s="127">
        <v>0</v>
      </c>
      <c r="T268" s="128">
        <f t="shared" si="35"/>
        <v>0</v>
      </c>
      <c r="W268" s="199"/>
      <c r="X268" s="119" t="s">
        <v>462</v>
      </c>
      <c r="Y268" s="119" t="s">
        <v>231</v>
      </c>
      <c r="Z268" s="120" t="s">
        <v>1684</v>
      </c>
      <c r="AA268" s="121" t="s">
        <v>1705</v>
      </c>
      <c r="AB268" s="122" t="s">
        <v>1194</v>
      </c>
      <c r="AC268" s="123">
        <v>25</v>
      </c>
      <c r="AD268" s="124">
        <v>33.380000000000003</v>
      </c>
      <c r="AE268" s="200">
        <f t="shared" si="25"/>
        <v>834.5</v>
      </c>
      <c r="AF268" s="248"/>
      <c r="AR268" s="129" t="s">
        <v>347</v>
      </c>
      <c r="AT268" s="129" t="s">
        <v>231</v>
      </c>
      <c r="AU268" s="129" t="s">
        <v>63</v>
      </c>
      <c r="AY268" s="13" t="s">
        <v>228</v>
      </c>
      <c r="BE268" s="130">
        <f t="shared" si="36"/>
        <v>0</v>
      </c>
      <c r="BF268" s="130">
        <f t="shared" si="37"/>
        <v>834.5</v>
      </c>
      <c r="BG268" s="130">
        <f t="shared" si="38"/>
        <v>0</v>
      </c>
      <c r="BH268" s="130">
        <f t="shared" si="39"/>
        <v>0</v>
      </c>
      <c r="BI268" s="130">
        <f t="shared" si="40"/>
        <v>0</v>
      </c>
      <c r="BJ268" s="13" t="s">
        <v>76</v>
      </c>
      <c r="BK268" s="130">
        <f t="shared" si="41"/>
        <v>834.5</v>
      </c>
      <c r="BL268" s="13" t="s">
        <v>347</v>
      </c>
      <c r="BM268" s="129" t="s">
        <v>698</v>
      </c>
    </row>
    <row r="269" spans="2:65" s="1" customFormat="1" ht="24" customHeight="1" x14ac:dyDescent="0.2">
      <c r="B269" s="118"/>
      <c r="C269" s="131" t="s">
        <v>699</v>
      </c>
      <c r="D269" s="131" t="s">
        <v>277</v>
      </c>
      <c r="E269" s="132" t="s">
        <v>1684</v>
      </c>
      <c r="F269" s="133" t="s">
        <v>1705</v>
      </c>
      <c r="G269" s="134" t="s">
        <v>1194</v>
      </c>
      <c r="H269" s="135">
        <v>25</v>
      </c>
      <c r="I269" s="136">
        <v>373.84</v>
      </c>
      <c r="J269" s="136">
        <f t="shared" si="32"/>
        <v>9346</v>
      </c>
      <c r="K269" s="133" t="s">
        <v>1</v>
      </c>
      <c r="L269" s="137"/>
      <c r="M269" s="138" t="s">
        <v>1</v>
      </c>
      <c r="N269" s="139" t="s">
        <v>32</v>
      </c>
      <c r="O269" s="127">
        <v>0</v>
      </c>
      <c r="P269" s="127">
        <f t="shared" si="33"/>
        <v>0</v>
      </c>
      <c r="Q269" s="127">
        <v>0</v>
      </c>
      <c r="R269" s="127">
        <f t="shared" si="34"/>
        <v>0</v>
      </c>
      <c r="S269" s="127">
        <v>0</v>
      </c>
      <c r="T269" s="128">
        <f t="shared" si="35"/>
        <v>0</v>
      </c>
      <c r="W269" s="199"/>
      <c r="X269" s="131" t="s">
        <v>699</v>
      </c>
      <c r="Y269" s="131" t="s">
        <v>277</v>
      </c>
      <c r="Z269" s="132" t="s">
        <v>1684</v>
      </c>
      <c r="AA269" s="133" t="s">
        <v>1705</v>
      </c>
      <c r="AB269" s="134" t="s">
        <v>1194</v>
      </c>
      <c r="AC269" s="135">
        <v>25</v>
      </c>
      <c r="AD269" s="136">
        <v>373.84</v>
      </c>
      <c r="AE269" s="229">
        <f t="shared" si="25"/>
        <v>9346</v>
      </c>
      <c r="AF269" s="248"/>
      <c r="AR269" s="129" t="s">
        <v>705</v>
      </c>
      <c r="AT269" s="129" t="s">
        <v>277</v>
      </c>
      <c r="AU269" s="129" t="s">
        <v>63</v>
      </c>
      <c r="AY269" s="13" t="s">
        <v>228</v>
      </c>
      <c r="BE269" s="130">
        <f t="shared" si="36"/>
        <v>0</v>
      </c>
      <c r="BF269" s="130">
        <f t="shared" si="37"/>
        <v>9346</v>
      </c>
      <c r="BG269" s="130">
        <f t="shared" si="38"/>
        <v>0</v>
      </c>
      <c r="BH269" s="130">
        <f t="shared" si="39"/>
        <v>0</v>
      </c>
      <c r="BI269" s="130">
        <f t="shared" si="40"/>
        <v>0</v>
      </c>
      <c r="BJ269" s="13" t="s">
        <v>76</v>
      </c>
      <c r="BK269" s="130">
        <f t="shared" si="41"/>
        <v>9346</v>
      </c>
      <c r="BL269" s="13" t="s">
        <v>347</v>
      </c>
      <c r="BM269" s="129" t="s">
        <v>702</v>
      </c>
    </row>
    <row r="270" spans="2:65" s="1" customFormat="1" ht="16.5" customHeight="1" x14ac:dyDescent="0.2">
      <c r="B270" s="118"/>
      <c r="C270" s="205" t="s">
        <v>465</v>
      </c>
      <c r="D270" s="119" t="s">
        <v>231</v>
      </c>
      <c r="E270" s="120" t="s">
        <v>1689</v>
      </c>
      <c r="F270" s="121" t="s">
        <v>4589</v>
      </c>
      <c r="G270" s="122" t="s">
        <v>1194</v>
      </c>
      <c r="H270" s="206">
        <v>3</v>
      </c>
      <c r="I270" s="124">
        <v>200.27</v>
      </c>
      <c r="J270" s="124">
        <f t="shared" si="32"/>
        <v>600.80999999999995</v>
      </c>
      <c r="K270" s="121" t="s">
        <v>1</v>
      </c>
      <c r="L270" s="24"/>
      <c r="M270" s="125" t="s">
        <v>1</v>
      </c>
      <c r="N270" s="126" t="s">
        <v>32</v>
      </c>
      <c r="O270" s="127">
        <v>0</v>
      </c>
      <c r="P270" s="127">
        <f t="shared" si="33"/>
        <v>0</v>
      </c>
      <c r="Q270" s="127">
        <v>0</v>
      </c>
      <c r="R270" s="127">
        <f t="shared" si="34"/>
        <v>0</v>
      </c>
      <c r="S270" s="127">
        <v>0</v>
      </c>
      <c r="T270" s="128">
        <f t="shared" si="35"/>
        <v>0</v>
      </c>
      <c r="W270" s="199"/>
      <c r="X270" s="205" t="s">
        <v>465</v>
      </c>
      <c r="Y270" s="119" t="s">
        <v>231</v>
      </c>
      <c r="Z270" s="120" t="s">
        <v>1689</v>
      </c>
      <c r="AA270" s="121" t="s">
        <v>4589</v>
      </c>
      <c r="AB270" s="122" t="s">
        <v>1194</v>
      </c>
      <c r="AC270" s="206">
        <f>3+9</f>
        <v>12</v>
      </c>
      <c r="AD270" s="124">
        <v>200.27</v>
      </c>
      <c r="AE270" s="200">
        <f t="shared" si="25"/>
        <v>2403.2399999999998</v>
      </c>
      <c r="AF270" s="248">
        <v>2</v>
      </c>
      <c r="AR270" s="129" t="s">
        <v>347</v>
      </c>
      <c r="AT270" s="129" t="s">
        <v>231</v>
      </c>
      <c r="AU270" s="129" t="s">
        <v>63</v>
      </c>
      <c r="AY270" s="13" t="s">
        <v>228</v>
      </c>
      <c r="BE270" s="130">
        <f t="shared" si="36"/>
        <v>0</v>
      </c>
      <c r="BF270" s="130">
        <f t="shared" si="37"/>
        <v>600.80999999999995</v>
      </c>
      <c r="BG270" s="130">
        <f t="shared" si="38"/>
        <v>0</v>
      </c>
      <c r="BH270" s="130">
        <f t="shared" si="39"/>
        <v>0</v>
      </c>
      <c r="BI270" s="130">
        <f t="shared" si="40"/>
        <v>0</v>
      </c>
      <c r="BJ270" s="13" t="s">
        <v>76</v>
      </c>
      <c r="BK270" s="130">
        <f t="shared" si="41"/>
        <v>600.80999999999995</v>
      </c>
      <c r="BL270" s="13" t="s">
        <v>347</v>
      </c>
      <c r="BM270" s="129" t="s">
        <v>705</v>
      </c>
    </row>
    <row r="271" spans="2:65" s="1" customFormat="1" ht="16.5" customHeight="1" x14ac:dyDescent="0.2">
      <c r="B271" s="118"/>
      <c r="C271" s="242" t="s">
        <v>706</v>
      </c>
      <c r="D271" s="131" t="s">
        <v>277</v>
      </c>
      <c r="E271" s="132" t="s">
        <v>1689</v>
      </c>
      <c r="F271" s="133" t="s">
        <v>4590</v>
      </c>
      <c r="G271" s="134" t="s">
        <v>1194</v>
      </c>
      <c r="H271" s="241">
        <v>3</v>
      </c>
      <c r="I271" s="136">
        <v>1602.18</v>
      </c>
      <c r="J271" s="136">
        <f t="shared" ref="J271:J312" si="42">ROUND(I271*H271,2)</f>
        <v>4806.54</v>
      </c>
      <c r="K271" s="133" t="s">
        <v>1</v>
      </c>
      <c r="L271" s="137"/>
      <c r="M271" s="138" t="s">
        <v>1</v>
      </c>
      <c r="N271" s="139" t="s">
        <v>32</v>
      </c>
      <c r="O271" s="127">
        <v>0</v>
      </c>
      <c r="P271" s="127">
        <f t="shared" ref="P271:P312" si="43">O271*H271</f>
        <v>0</v>
      </c>
      <c r="Q271" s="127">
        <v>0</v>
      </c>
      <c r="R271" s="127">
        <f t="shared" ref="R271:R312" si="44">Q271*H271</f>
        <v>0</v>
      </c>
      <c r="S271" s="127">
        <v>0</v>
      </c>
      <c r="T271" s="128">
        <f t="shared" ref="T271:T312" si="45">S271*H271</f>
        <v>0</v>
      </c>
      <c r="W271" s="199"/>
      <c r="X271" s="242" t="s">
        <v>706</v>
      </c>
      <c r="Y271" s="131" t="s">
        <v>277</v>
      </c>
      <c r="Z271" s="132" t="s">
        <v>1689</v>
      </c>
      <c r="AA271" s="133" t="s">
        <v>4590</v>
      </c>
      <c r="AB271" s="134" t="s">
        <v>1194</v>
      </c>
      <c r="AC271" s="241">
        <f>3+9</f>
        <v>12</v>
      </c>
      <c r="AD271" s="136">
        <v>1602.18</v>
      </c>
      <c r="AE271" s="229">
        <f t="shared" ref="AE271:AE315" si="46">ROUND(AD271*AC271,2)</f>
        <v>19226.16</v>
      </c>
      <c r="AF271" s="248">
        <v>2</v>
      </c>
      <c r="AR271" s="129" t="s">
        <v>705</v>
      </c>
      <c r="AT271" s="129" t="s">
        <v>277</v>
      </c>
      <c r="AU271" s="129" t="s">
        <v>63</v>
      </c>
      <c r="AY271" s="13" t="s">
        <v>228</v>
      </c>
      <c r="BE271" s="130">
        <f t="shared" ref="BE271:BE315" si="47">IF(N271="základná",J271,0)</f>
        <v>0</v>
      </c>
      <c r="BF271" s="130">
        <f t="shared" ref="BF271:BF315" si="48">IF(N271="znížená",J271,0)</f>
        <v>4806.54</v>
      </c>
      <c r="BG271" s="130">
        <f t="shared" ref="BG271:BG315" si="49">IF(N271="zákl. prenesená",J271,0)</f>
        <v>0</v>
      </c>
      <c r="BH271" s="130">
        <f t="shared" ref="BH271:BH315" si="50">IF(N271="zníž. prenesená",J271,0)</f>
        <v>0</v>
      </c>
      <c r="BI271" s="130">
        <f t="shared" ref="BI271:BI315" si="51">IF(N271="nulová",J271,0)</f>
        <v>0</v>
      </c>
      <c r="BJ271" s="13" t="s">
        <v>76</v>
      </c>
      <c r="BK271" s="130">
        <f t="shared" ref="BK271:BK315" si="52">ROUND(I271*H271,2)</f>
        <v>4806.54</v>
      </c>
      <c r="BL271" s="13" t="s">
        <v>347</v>
      </c>
      <c r="BM271" s="129" t="s">
        <v>709</v>
      </c>
    </row>
    <row r="272" spans="2:65" s="1" customFormat="1" ht="16.5" customHeight="1" x14ac:dyDescent="0.2">
      <c r="B272" s="118"/>
      <c r="C272" s="285" t="s">
        <v>469</v>
      </c>
      <c r="D272" s="285" t="s">
        <v>231</v>
      </c>
      <c r="E272" s="120" t="s">
        <v>1693</v>
      </c>
      <c r="F272" s="121" t="s">
        <v>1685</v>
      </c>
      <c r="G272" s="122" t="s">
        <v>1194</v>
      </c>
      <c r="H272" s="288">
        <v>3</v>
      </c>
      <c r="I272" s="124">
        <v>867.85</v>
      </c>
      <c r="J272" s="124">
        <f t="shared" si="42"/>
        <v>2603.5500000000002</v>
      </c>
      <c r="K272" s="121" t="s">
        <v>1</v>
      </c>
      <c r="L272" s="24"/>
      <c r="M272" s="125" t="s">
        <v>1</v>
      </c>
      <c r="N272" s="126" t="s">
        <v>32</v>
      </c>
      <c r="O272" s="127">
        <v>0</v>
      </c>
      <c r="P272" s="127">
        <f t="shared" si="43"/>
        <v>0</v>
      </c>
      <c r="Q272" s="127">
        <v>0</v>
      </c>
      <c r="R272" s="127">
        <f t="shared" si="44"/>
        <v>0</v>
      </c>
      <c r="S272" s="127">
        <v>0</v>
      </c>
      <c r="T272" s="128">
        <f t="shared" si="45"/>
        <v>0</v>
      </c>
      <c r="W272" s="199"/>
      <c r="X272" s="285" t="s">
        <v>469</v>
      </c>
      <c r="Y272" s="119" t="s">
        <v>231</v>
      </c>
      <c r="Z272" s="120" t="s">
        <v>1693</v>
      </c>
      <c r="AA272" s="121" t="s">
        <v>1685</v>
      </c>
      <c r="AB272" s="122" t="s">
        <v>1194</v>
      </c>
      <c r="AC272" s="288">
        <v>3</v>
      </c>
      <c r="AD272" s="124">
        <v>867.85</v>
      </c>
      <c r="AE272" s="200">
        <f t="shared" si="46"/>
        <v>2603.5500000000002</v>
      </c>
      <c r="AF272" s="248"/>
      <c r="AR272" s="129" t="s">
        <v>347</v>
      </c>
      <c r="AT272" s="129" t="s">
        <v>231</v>
      </c>
      <c r="AU272" s="129" t="s">
        <v>63</v>
      </c>
      <c r="AY272" s="13" t="s">
        <v>228</v>
      </c>
      <c r="BE272" s="130">
        <f t="shared" si="47"/>
        <v>0</v>
      </c>
      <c r="BF272" s="130">
        <f t="shared" si="48"/>
        <v>2603.5500000000002</v>
      </c>
      <c r="BG272" s="130">
        <f t="shared" si="49"/>
        <v>0</v>
      </c>
      <c r="BH272" s="130">
        <f t="shared" si="50"/>
        <v>0</v>
      </c>
      <c r="BI272" s="130">
        <f t="shared" si="51"/>
        <v>0</v>
      </c>
      <c r="BJ272" s="13" t="s">
        <v>76</v>
      </c>
      <c r="BK272" s="130">
        <f t="shared" si="52"/>
        <v>2603.5500000000002</v>
      </c>
      <c r="BL272" s="13" t="s">
        <v>347</v>
      </c>
      <c r="BM272" s="129" t="s">
        <v>712</v>
      </c>
    </row>
    <row r="273" spans="2:65" s="1" customFormat="1" ht="17.25" customHeight="1" x14ac:dyDescent="0.2">
      <c r="B273" s="118"/>
      <c r="C273" s="444" t="s">
        <v>713</v>
      </c>
      <c r="D273" s="444" t="s">
        <v>277</v>
      </c>
      <c r="E273" s="132" t="s">
        <v>1693</v>
      </c>
      <c r="F273" s="133" t="s">
        <v>1685</v>
      </c>
      <c r="G273" s="134" t="s">
        <v>1194</v>
      </c>
      <c r="H273" s="443">
        <v>3</v>
      </c>
      <c r="I273" s="136">
        <v>2803.82</v>
      </c>
      <c r="J273" s="136">
        <f t="shared" si="42"/>
        <v>8411.4599999999991</v>
      </c>
      <c r="K273" s="133" t="s">
        <v>1</v>
      </c>
      <c r="L273" s="137"/>
      <c r="M273" s="138" t="s">
        <v>1</v>
      </c>
      <c r="N273" s="139" t="s">
        <v>32</v>
      </c>
      <c r="O273" s="127">
        <v>0</v>
      </c>
      <c r="P273" s="127">
        <f t="shared" si="43"/>
        <v>0</v>
      </c>
      <c r="Q273" s="127">
        <v>0</v>
      </c>
      <c r="R273" s="127">
        <f t="shared" si="44"/>
        <v>0</v>
      </c>
      <c r="S273" s="127">
        <v>0</v>
      </c>
      <c r="T273" s="128">
        <f t="shared" si="45"/>
        <v>0</v>
      </c>
      <c r="W273" s="199"/>
      <c r="X273" s="444" t="s">
        <v>713</v>
      </c>
      <c r="Y273" s="131" t="s">
        <v>277</v>
      </c>
      <c r="Z273" s="132" t="s">
        <v>1693</v>
      </c>
      <c r="AA273" s="133" t="s">
        <v>1685</v>
      </c>
      <c r="AB273" s="134" t="s">
        <v>1194</v>
      </c>
      <c r="AC273" s="443">
        <v>3</v>
      </c>
      <c r="AD273" s="136">
        <v>2803.82</v>
      </c>
      <c r="AE273" s="229">
        <f t="shared" si="46"/>
        <v>8411.4599999999991</v>
      </c>
      <c r="AF273" s="248"/>
      <c r="AR273" s="129" t="s">
        <v>705</v>
      </c>
      <c r="AT273" s="129" t="s">
        <v>277</v>
      </c>
      <c r="AU273" s="129" t="s">
        <v>63</v>
      </c>
      <c r="AY273" s="13" t="s">
        <v>228</v>
      </c>
      <c r="BE273" s="130">
        <f t="shared" si="47"/>
        <v>0</v>
      </c>
      <c r="BF273" s="130">
        <f t="shared" si="48"/>
        <v>8411.4599999999991</v>
      </c>
      <c r="BG273" s="130">
        <f t="shared" si="49"/>
        <v>0</v>
      </c>
      <c r="BH273" s="130">
        <f t="shared" si="50"/>
        <v>0</v>
      </c>
      <c r="BI273" s="130">
        <f t="shared" si="51"/>
        <v>0</v>
      </c>
      <c r="BJ273" s="13" t="s">
        <v>76</v>
      </c>
      <c r="BK273" s="130">
        <f t="shared" si="52"/>
        <v>8411.4599999999991</v>
      </c>
      <c r="BL273" s="13" t="s">
        <v>347</v>
      </c>
      <c r="BM273" s="129" t="s">
        <v>716</v>
      </c>
    </row>
    <row r="274" spans="2:65" s="1" customFormat="1" ht="16.5" customHeight="1" x14ac:dyDescent="0.2">
      <c r="B274" s="118"/>
      <c r="C274" s="285" t="s">
        <v>472</v>
      </c>
      <c r="D274" s="285" t="s">
        <v>231</v>
      </c>
      <c r="E274" s="120" t="s">
        <v>1697</v>
      </c>
      <c r="F274" s="121" t="s">
        <v>3952</v>
      </c>
      <c r="G274" s="122" t="s">
        <v>1194</v>
      </c>
      <c r="H274" s="288">
        <v>12</v>
      </c>
      <c r="I274" s="124">
        <v>46.73</v>
      </c>
      <c r="J274" s="124">
        <f t="shared" si="42"/>
        <v>560.76</v>
      </c>
      <c r="K274" s="121" t="s">
        <v>1</v>
      </c>
      <c r="L274" s="24"/>
      <c r="M274" s="125" t="s">
        <v>1</v>
      </c>
      <c r="N274" s="126" t="s">
        <v>32</v>
      </c>
      <c r="O274" s="127">
        <v>0</v>
      </c>
      <c r="P274" s="127">
        <f t="shared" si="43"/>
        <v>0</v>
      </c>
      <c r="Q274" s="127">
        <v>0</v>
      </c>
      <c r="R274" s="127">
        <f t="shared" si="44"/>
        <v>0</v>
      </c>
      <c r="S274" s="127">
        <v>0</v>
      </c>
      <c r="T274" s="128">
        <f t="shared" si="45"/>
        <v>0</v>
      </c>
      <c r="W274" s="199"/>
      <c r="X274" s="285" t="s">
        <v>472</v>
      </c>
      <c r="Y274" s="119" t="s">
        <v>231</v>
      </c>
      <c r="Z274" s="120" t="s">
        <v>1697</v>
      </c>
      <c r="AA274" s="121" t="s">
        <v>3952</v>
      </c>
      <c r="AB274" s="122" t="s">
        <v>1194</v>
      </c>
      <c r="AC274" s="288">
        <v>12</v>
      </c>
      <c r="AD274" s="124">
        <v>46.73</v>
      </c>
      <c r="AE274" s="200">
        <f t="shared" si="46"/>
        <v>560.76</v>
      </c>
      <c r="AF274" s="248"/>
      <c r="AR274" s="129" t="s">
        <v>347</v>
      </c>
      <c r="AT274" s="129" t="s">
        <v>231</v>
      </c>
      <c r="AU274" s="129" t="s">
        <v>63</v>
      </c>
      <c r="AY274" s="13" t="s">
        <v>228</v>
      </c>
      <c r="BE274" s="130">
        <f t="shared" si="47"/>
        <v>0</v>
      </c>
      <c r="BF274" s="130">
        <f t="shared" si="48"/>
        <v>560.76</v>
      </c>
      <c r="BG274" s="130">
        <f t="shared" si="49"/>
        <v>0</v>
      </c>
      <c r="BH274" s="130">
        <f t="shared" si="50"/>
        <v>0</v>
      </c>
      <c r="BI274" s="130">
        <f t="shared" si="51"/>
        <v>0</v>
      </c>
      <c r="BJ274" s="13" t="s">
        <v>76</v>
      </c>
      <c r="BK274" s="130">
        <f t="shared" si="52"/>
        <v>560.76</v>
      </c>
      <c r="BL274" s="13" t="s">
        <v>347</v>
      </c>
      <c r="BM274" s="129" t="s">
        <v>721</v>
      </c>
    </row>
    <row r="275" spans="2:65" s="1" customFormat="1" ht="16.5" customHeight="1" x14ac:dyDescent="0.2">
      <c r="B275" s="118"/>
      <c r="C275" s="444" t="s">
        <v>722</v>
      </c>
      <c r="D275" s="444" t="s">
        <v>277</v>
      </c>
      <c r="E275" s="132" t="s">
        <v>1697</v>
      </c>
      <c r="F275" s="133" t="s">
        <v>3952</v>
      </c>
      <c r="G275" s="134" t="s">
        <v>1194</v>
      </c>
      <c r="H275" s="443">
        <v>12</v>
      </c>
      <c r="I275" s="136">
        <v>747.68</v>
      </c>
      <c r="J275" s="136">
        <f t="shared" si="42"/>
        <v>8972.16</v>
      </c>
      <c r="K275" s="133" t="s">
        <v>1</v>
      </c>
      <c r="L275" s="137"/>
      <c r="M275" s="138" t="s">
        <v>1</v>
      </c>
      <c r="N275" s="139" t="s">
        <v>32</v>
      </c>
      <c r="O275" s="127">
        <v>0</v>
      </c>
      <c r="P275" s="127">
        <f t="shared" si="43"/>
        <v>0</v>
      </c>
      <c r="Q275" s="127">
        <v>0</v>
      </c>
      <c r="R275" s="127">
        <f t="shared" si="44"/>
        <v>0</v>
      </c>
      <c r="S275" s="127">
        <v>0</v>
      </c>
      <c r="T275" s="128">
        <f t="shared" si="45"/>
        <v>0</v>
      </c>
      <c r="W275" s="199"/>
      <c r="X275" s="444" t="s">
        <v>722</v>
      </c>
      <c r="Y275" s="131" t="s">
        <v>277</v>
      </c>
      <c r="Z275" s="132" t="s">
        <v>1697</v>
      </c>
      <c r="AA275" s="133" t="s">
        <v>3952</v>
      </c>
      <c r="AB275" s="134" t="s">
        <v>1194</v>
      </c>
      <c r="AC275" s="443">
        <v>12</v>
      </c>
      <c r="AD275" s="136">
        <v>747.68</v>
      </c>
      <c r="AE275" s="229">
        <f t="shared" si="46"/>
        <v>8972.16</v>
      </c>
      <c r="AF275" s="248"/>
      <c r="AR275" s="129" t="s">
        <v>705</v>
      </c>
      <c r="AT275" s="129" t="s">
        <v>277</v>
      </c>
      <c r="AU275" s="129" t="s">
        <v>63</v>
      </c>
      <c r="AY275" s="13" t="s">
        <v>228</v>
      </c>
      <c r="BE275" s="130">
        <f t="shared" si="47"/>
        <v>0</v>
      </c>
      <c r="BF275" s="130">
        <f t="shared" si="48"/>
        <v>8972.16</v>
      </c>
      <c r="BG275" s="130">
        <f t="shared" si="49"/>
        <v>0</v>
      </c>
      <c r="BH275" s="130">
        <f t="shared" si="50"/>
        <v>0</v>
      </c>
      <c r="BI275" s="130">
        <f t="shared" si="51"/>
        <v>0</v>
      </c>
      <c r="BJ275" s="13" t="s">
        <v>76</v>
      </c>
      <c r="BK275" s="130">
        <f t="shared" si="52"/>
        <v>8972.16</v>
      </c>
      <c r="BL275" s="13" t="s">
        <v>347</v>
      </c>
      <c r="BM275" s="129" t="s">
        <v>725</v>
      </c>
    </row>
    <row r="276" spans="2:65" s="1" customFormat="1" ht="16.5" customHeight="1" x14ac:dyDescent="0.2">
      <c r="B276" s="118"/>
      <c r="C276" s="285" t="s">
        <v>476</v>
      </c>
      <c r="D276" s="285" t="s">
        <v>231</v>
      </c>
      <c r="E276" s="120" t="s">
        <v>1701</v>
      </c>
      <c r="F276" s="121" t="s">
        <v>4591</v>
      </c>
      <c r="G276" s="122" t="s">
        <v>1194</v>
      </c>
      <c r="H276" s="288">
        <v>3</v>
      </c>
      <c r="I276" s="124">
        <v>53.41</v>
      </c>
      <c r="J276" s="124">
        <f t="shared" si="42"/>
        <v>160.22999999999999</v>
      </c>
      <c r="K276" s="121" t="s">
        <v>1</v>
      </c>
      <c r="L276" s="24"/>
      <c r="M276" s="125" t="s">
        <v>1</v>
      </c>
      <c r="N276" s="126" t="s">
        <v>32</v>
      </c>
      <c r="O276" s="127">
        <v>0</v>
      </c>
      <c r="P276" s="127">
        <f t="shared" si="43"/>
        <v>0</v>
      </c>
      <c r="Q276" s="127">
        <v>0</v>
      </c>
      <c r="R276" s="127">
        <f t="shared" si="44"/>
        <v>0</v>
      </c>
      <c r="S276" s="127">
        <v>0</v>
      </c>
      <c r="T276" s="128">
        <f t="shared" si="45"/>
        <v>0</v>
      </c>
      <c r="W276" s="199"/>
      <c r="X276" s="285" t="s">
        <v>476</v>
      </c>
      <c r="Y276" s="119" t="s">
        <v>231</v>
      </c>
      <c r="Z276" s="120" t="s">
        <v>1701</v>
      </c>
      <c r="AA276" s="121" t="s">
        <v>4591</v>
      </c>
      <c r="AB276" s="122" t="s">
        <v>1194</v>
      </c>
      <c r="AC276" s="288">
        <v>3</v>
      </c>
      <c r="AD276" s="124">
        <v>53.41</v>
      </c>
      <c r="AE276" s="200">
        <f t="shared" si="46"/>
        <v>160.22999999999999</v>
      </c>
      <c r="AF276" s="248"/>
      <c r="AR276" s="129" t="s">
        <v>347</v>
      </c>
      <c r="AT276" s="129" t="s">
        <v>231</v>
      </c>
      <c r="AU276" s="129" t="s">
        <v>63</v>
      </c>
      <c r="AY276" s="13" t="s">
        <v>228</v>
      </c>
      <c r="BE276" s="130">
        <f t="shared" si="47"/>
        <v>0</v>
      </c>
      <c r="BF276" s="130">
        <f t="shared" si="48"/>
        <v>160.22999999999999</v>
      </c>
      <c r="BG276" s="130">
        <f t="shared" si="49"/>
        <v>0</v>
      </c>
      <c r="BH276" s="130">
        <f t="shared" si="50"/>
        <v>0</v>
      </c>
      <c r="BI276" s="130">
        <f t="shared" si="51"/>
        <v>0</v>
      </c>
      <c r="BJ276" s="13" t="s">
        <v>76</v>
      </c>
      <c r="BK276" s="130">
        <f t="shared" si="52"/>
        <v>160.22999999999999</v>
      </c>
      <c r="BL276" s="13" t="s">
        <v>347</v>
      </c>
      <c r="BM276" s="129" t="s">
        <v>728</v>
      </c>
    </row>
    <row r="277" spans="2:65" s="1" customFormat="1" ht="16.5" customHeight="1" x14ac:dyDescent="0.2">
      <c r="B277" s="118"/>
      <c r="C277" s="444" t="s">
        <v>729</v>
      </c>
      <c r="D277" s="444" t="s">
        <v>277</v>
      </c>
      <c r="E277" s="132" t="s">
        <v>1701</v>
      </c>
      <c r="F277" s="133" t="s">
        <v>4591</v>
      </c>
      <c r="G277" s="134" t="s">
        <v>1194</v>
      </c>
      <c r="H277" s="443">
        <v>3</v>
      </c>
      <c r="I277" s="136">
        <v>961.31</v>
      </c>
      <c r="J277" s="136">
        <f t="shared" si="42"/>
        <v>2883.93</v>
      </c>
      <c r="K277" s="133" t="s">
        <v>1</v>
      </c>
      <c r="L277" s="137"/>
      <c r="M277" s="138" t="s">
        <v>1</v>
      </c>
      <c r="N277" s="139" t="s">
        <v>32</v>
      </c>
      <c r="O277" s="127">
        <v>0</v>
      </c>
      <c r="P277" s="127">
        <f t="shared" si="43"/>
        <v>0</v>
      </c>
      <c r="Q277" s="127">
        <v>0</v>
      </c>
      <c r="R277" s="127">
        <f t="shared" si="44"/>
        <v>0</v>
      </c>
      <c r="S277" s="127">
        <v>0</v>
      </c>
      <c r="T277" s="128">
        <f t="shared" si="45"/>
        <v>0</v>
      </c>
      <c r="W277" s="199"/>
      <c r="X277" s="444" t="s">
        <v>729</v>
      </c>
      <c r="Y277" s="131" t="s">
        <v>277</v>
      </c>
      <c r="Z277" s="132" t="s">
        <v>1701</v>
      </c>
      <c r="AA277" s="133" t="s">
        <v>4591</v>
      </c>
      <c r="AB277" s="134" t="s">
        <v>1194</v>
      </c>
      <c r="AC277" s="443">
        <v>3</v>
      </c>
      <c r="AD277" s="136">
        <v>961.31</v>
      </c>
      <c r="AE277" s="229">
        <f t="shared" si="46"/>
        <v>2883.93</v>
      </c>
      <c r="AF277" s="248"/>
      <c r="AR277" s="129" t="s">
        <v>705</v>
      </c>
      <c r="AT277" s="129" t="s">
        <v>277</v>
      </c>
      <c r="AU277" s="129" t="s">
        <v>63</v>
      </c>
      <c r="AY277" s="13" t="s">
        <v>228</v>
      </c>
      <c r="BE277" s="130">
        <f t="shared" si="47"/>
        <v>0</v>
      </c>
      <c r="BF277" s="130">
        <f t="shared" si="48"/>
        <v>2883.93</v>
      </c>
      <c r="BG277" s="130">
        <f t="shared" si="49"/>
        <v>0</v>
      </c>
      <c r="BH277" s="130">
        <f t="shared" si="50"/>
        <v>0</v>
      </c>
      <c r="BI277" s="130">
        <f t="shared" si="51"/>
        <v>0</v>
      </c>
      <c r="BJ277" s="13" t="s">
        <v>76</v>
      </c>
      <c r="BK277" s="130">
        <f t="shared" si="52"/>
        <v>2883.93</v>
      </c>
      <c r="BL277" s="13" t="s">
        <v>347</v>
      </c>
      <c r="BM277" s="129" t="s">
        <v>732</v>
      </c>
    </row>
    <row r="278" spans="2:65" s="1" customFormat="1" ht="16.5" customHeight="1" x14ac:dyDescent="0.2">
      <c r="B278" s="118"/>
      <c r="C278" s="205" t="s">
        <v>479</v>
      </c>
      <c r="D278" s="119" t="s">
        <v>231</v>
      </c>
      <c r="E278" s="120" t="s">
        <v>1704</v>
      </c>
      <c r="F278" s="121" t="s">
        <v>1698</v>
      </c>
      <c r="G278" s="122" t="s">
        <v>1194</v>
      </c>
      <c r="H278" s="206">
        <v>3</v>
      </c>
      <c r="I278" s="124">
        <v>53.41</v>
      </c>
      <c r="J278" s="124">
        <f t="shared" si="42"/>
        <v>160.22999999999999</v>
      </c>
      <c r="K278" s="121" t="s">
        <v>1</v>
      </c>
      <c r="L278" s="24"/>
      <c r="M278" s="125" t="s">
        <v>1</v>
      </c>
      <c r="N278" s="126" t="s">
        <v>32</v>
      </c>
      <c r="O278" s="127">
        <v>0</v>
      </c>
      <c r="P278" s="127">
        <f t="shared" si="43"/>
        <v>0</v>
      </c>
      <c r="Q278" s="127">
        <v>0</v>
      </c>
      <c r="R278" s="127">
        <f t="shared" si="44"/>
        <v>0</v>
      </c>
      <c r="S278" s="127">
        <v>0</v>
      </c>
      <c r="T278" s="128">
        <f t="shared" si="45"/>
        <v>0</v>
      </c>
      <c r="W278" s="199"/>
      <c r="X278" s="205" t="s">
        <v>479</v>
      </c>
      <c r="Y278" s="119" t="s">
        <v>231</v>
      </c>
      <c r="Z278" s="120" t="s">
        <v>1704</v>
      </c>
      <c r="AA278" s="121" t="s">
        <v>1698</v>
      </c>
      <c r="AB278" s="122" t="s">
        <v>1194</v>
      </c>
      <c r="AC278" s="206">
        <f>3+6</f>
        <v>9</v>
      </c>
      <c r="AD278" s="124">
        <v>53.41</v>
      </c>
      <c r="AE278" s="200">
        <f t="shared" si="46"/>
        <v>480.69</v>
      </c>
      <c r="AF278" s="248">
        <v>2</v>
      </c>
      <c r="AR278" s="129" t="s">
        <v>347</v>
      </c>
      <c r="AT278" s="129" t="s">
        <v>231</v>
      </c>
      <c r="AU278" s="129" t="s">
        <v>63</v>
      </c>
      <c r="AY278" s="13" t="s">
        <v>228</v>
      </c>
      <c r="BE278" s="130">
        <f t="shared" si="47"/>
        <v>0</v>
      </c>
      <c r="BF278" s="130">
        <f t="shared" si="48"/>
        <v>160.22999999999999</v>
      </c>
      <c r="BG278" s="130">
        <f t="shared" si="49"/>
        <v>0</v>
      </c>
      <c r="BH278" s="130">
        <f t="shared" si="50"/>
        <v>0</v>
      </c>
      <c r="BI278" s="130">
        <f t="shared" si="51"/>
        <v>0</v>
      </c>
      <c r="BJ278" s="13" t="s">
        <v>76</v>
      </c>
      <c r="BK278" s="130">
        <f t="shared" si="52"/>
        <v>160.22999999999999</v>
      </c>
      <c r="BL278" s="13" t="s">
        <v>347</v>
      </c>
      <c r="BM278" s="129" t="s">
        <v>735</v>
      </c>
    </row>
    <row r="279" spans="2:65" s="1" customFormat="1" ht="16.5" customHeight="1" x14ac:dyDescent="0.2">
      <c r="B279" s="118"/>
      <c r="C279" s="242" t="s">
        <v>736</v>
      </c>
      <c r="D279" s="131" t="s">
        <v>277</v>
      </c>
      <c r="E279" s="132" t="s">
        <v>1704</v>
      </c>
      <c r="F279" s="133" t="s">
        <v>1698</v>
      </c>
      <c r="G279" s="134" t="s">
        <v>1194</v>
      </c>
      <c r="H279" s="241">
        <v>3</v>
      </c>
      <c r="I279" s="136">
        <v>867.85</v>
      </c>
      <c r="J279" s="136">
        <f t="shared" si="42"/>
        <v>2603.5500000000002</v>
      </c>
      <c r="K279" s="133" t="s">
        <v>1</v>
      </c>
      <c r="L279" s="137"/>
      <c r="M279" s="138" t="s">
        <v>1</v>
      </c>
      <c r="N279" s="139" t="s">
        <v>32</v>
      </c>
      <c r="O279" s="127">
        <v>0</v>
      </c>
      <c r="P279" s="127">
        <f t="shared" si="43"/>
        <v>0</v>
      </c>
      <c r="Q279" s="127">
        <v>0</v>
      </c>
      <c r="R279" s="127">
        <f t="shared" si="44"/>
        <v>0</v>
      </c>
      <c r="S279" s="127">
        <v>0</v>
      </c>
      <c r="T279" s="128">
        <f t="shared" si="45"/>
        <v>0</v>
      </c>
      <c r="W279" s="199"/>
      <c r="X279" s="242" t="s">
        <v>736</v>
      </c>
      <c r="Y279" s="131" t="s">
        <v>277</v>
      </c>
      <c r="Z279" s="132" t="s">
        <v>1704</v>
      </c>
      <c r="AA279" s="133" t="s">
        <v>1698</v>
      </c>
      <c r="AB279" s="134" t="s">
        <v>1194</v>
      </c>
      <c r="AC279" s="241">
        <f>3+6</f>
        <v>9</v>
      </c>
      <c r="AD279" s="136">
        <v>867.85</v>
      </c>
      <c r="AE279" s="229">
        <f t="shared" si="46"/>
        <v>7810.65</v>
      </c>
      <c r="AF279" s="248">
        <v>2</v>
      </c>
      <c r="AR279" s="129" t="s">
        <v>705</v>
      </c>
      <c r="AT279" s="129" t="s">
        <v>277</v>
      </c>
      <c r="AU279" s="129" t="s">
        <v>63</v>
      </c>
      <c r="AY279" s="13" t="s">
        <v>228</v>
      </c>
      <c r="BE279" s="130">
        <f t="shared" si="47"/>
        <v>0</v>
      </c>
      <c r="BF279" s="130">
        <f t="shared" si="48"/>
        <v>2603.5500000000002</v>
      </c>
      <c r="BG279" s="130">
        <f t="shared" si="49"/>
        <v>0</v>
      </c>
      <c r="BH279" s="130">
        <f t="shared" si="50"/>
        <v>0</v>
      </c>
      <c r="BI279" s="130">
        <f t="shared" si="51"/>
        <v>0</v>
      </c>
      <c r="BJ279" s="13" t="s">
        <v>76</v>
      </c>
      <c r="BK279" s="130">
        <f t="shared" si="52"/>
        <v>2603.5500000000002</v>
      </c>
      <c r="BL279" s="13" t="s">
        <v>347</v>
      </c>
      <c r="BM279" s="129" t="s">
        <v>739</v>
      </c>
    </row>
    <row r="280" spans="2:65" s="1" customFormat="1" ht="16.5" customHeight="1" x14ac:dyDescent="0.2">
      <c r="B280" s="118"/>
      <c r="C280" s="205" t="s">
        <v>483</v>
      </c>
      <c r="D280" s="119" t="s">
        <v>231</v>
      </c>
      <c r="E280" s="120" t="s">
        <v>1708</v>
      </c>
      <c r="F280" s="121" t="s">
        <v>3953</v>
      </c>
      <c r="G280" s="122" t="s">
        <v>1194</v>
      </c>
      <c r="H280" s="206">
        <v>6</v>
      </c>
      <c r="I280" s="124">
        <v>440.6</v>
      </c>
      <c r="J280" s="124">
        <f t="shared" si="42"/>
        <v>2643.6</v>
      </c>
      <c r="K280" s="121" t="s">
        <v>1</v>
      </c>
      <c r="L280" s="24"/>
      <c r="M280" s="125" t="s">
        <v>1</v>
      </c>
      <c r="N280" s="126" t="s">
        <v>32</v>
      </c>
      <c r="O280" s="127">
        <v>0</v>
      </c>
      <c r="P280" s="127">
        <f t="shared" si="43"/>
        <v>0</v>
      </c>
      <c r="Q280" s="127">
        <v>0</v>
      </c>
      <c r="R280" s="127">
        <f t="shared" si="44"/>
        <v>0</v>
      </c>
      <c r="S280" s="127">
        <v>0</v>
      </c>
      <c r="T280" s="128">
        <f t="shared" si="45"/>
        <v>0</v>
      </c>
      <c r="W280" s="199"/>
      <c r="X280" s="205" t="s">
        <v>483</v>
      </c>
      <c r="Y280" s="119" t="s">
        <v>231</v>
      </c>
      <c r="Z280" s="120" t="s">
        <v>1708</v>
      </c>
      <c r="AA280" s="121" t="s">
        <v>3953</v>
      </c>
      <c r="AB280" s="122" t="s">
        <v>1194</v>
      </c>
      <c r="AC280" s="206">
        <f>6+6</f>
        <v>12</v>
      </c>
      <c r="AD280" s="124">
        <v>440.6</v>
      </c>
      <c r="AE280" s="200">
        <f t="shared" si="46"/>
        <v>5287.2</v>
      </c>
      <c r="AF280" s="248">
        <v>2</v>
      </c>
      <c r="AR280" s="129" t="s">
        <v>347</v>
      </c>
      <c r="AT280" s="129" t="s">
        <v>231</v>
      </c>
      <c r="AU280" s="129" t="s">
        <v>63</v>
      </c>
      <c r="AY280" s="13" t="s">
        <v>228</v>
      </c>
      <c r="BE280" s="130">
        <f t="shared" si="47"/>
        <v>0</v>
      </c>
      <c r="BF280" s="130">
        <f t="shared" si="48"/>
        <v>2643.6</v>
      </c>
      <c r="BG280" s="130">
        <f t="shared" si="49"/>
        <v>0</v>
      </c>
      <c r="BH280" s="130">
        <f t="shared" si="50"/>
        <v>0</v>
      </c>
      <c r="BI280" s="130">
        <f t="shared" si="51"/>
        <v>0</v>
      </c>
      <c r="BJ280" s="13" t="s">
        <v>76</v>
      </c>
      <c r="BK280" s="130">
        <f t="shared" si="52"/>
        <v>2643.6</v>
      </c>
      <c r="BL280" s="13" t="s">
        <v>347</v>
      </c>
      <c r="BM280" s="129" t="s">
        <v>742</v>
      </c>
    </row>
    <row r="281" spans="2:65" s="1" customFormat="1" ht="16.5" customHeight="1" x14ac:dyDescent="0.2">
      <c r="B281" s="118"/>
      <c r="C281" s="119" t="s">
        <v>743</v>
      </c>
      <c r="D281" s="119" t="s">
        <v>231</v>
      </c>
      <c r="E281" s="120" t="s">
        <v>3954</v>
      </c>
      <c r="F281" s="121" t="s">
        <v>3955</v>
      </c>
      <c r="G281" s="122" t="s">
        <v>1194</v>
      </c>
      <c r="H281" s="123">
        <v>8</v>
      </c>
      <c r="I281" s="124">
        <v>20.03</v>
      </c>
      <c r="J281" s="124">
        <f t="shared" si="42"/>
        <v>160.24</v>
      </c>
      <c r="K281" s="121" t="s">
        <v>1</v>
      </c>
      <c r="L281" s="24"/>
      <c r="M281" s="125" t="s">
        <v>1</v>
      </c>
      <c r="N281" s="126" t="s">
        <v>32</v>
      </c>
      <c r="O281" s="127">
        <v>0</v>
      </c>
      <c r="P281" s="127">
        <f t="shared" si="43"/>
        <v>0</v>
      </c>
      <c r="Q281" s="127">
        <v>0</v>
      </c>
      <c r="R281" s="127">
        <f t="shared" si="44"/>
        <v>0</v>
      </c>
      <c r="S281" s="127">
        <v>0</v>
      </c>
      <c r="T281" s="128">
        <f t="shared" si="45"/>
        <v>0</v>
      </c>
      <c r="W281" s="199"/>
      <c r="X281" s="119" t="s">
        <v>743</v>
      </c>
      <c r="Y281" s="119" t="s">
        <v>231</v>
      </c>
      <c r="Z281" s="120" t="s">
        <v>3954</v>
      </c>
      <c r="AA281" s="121" t="s">
        <v>3955</v>
      </c>
      <c r="AB281" s="122" t="s">
        <v>1194</v>
      </c>
      <c r="AC281" s="123">
        <v>8</v>
      </c>
      <c r="AD281" s="124">
        <v>20.03</v>
      </c>
      <c r="AE281" s="200">
        <f t="shared" si="46"/>
        <v>160.24</v>
      </c>
      <c r="AF281" s="248"/>
      <c r="AR281" s="129" t="s">
        <v>347</v>
      </c>
      <c r="AT281" s="129" t="s">
        <v>231</v>
      </c>
      <c r="AU281" s="129" t="s">
        <v>63</v>
      </c>
      <c r="AY281" s="13" t="s">
        <v>228</v>
      </c>
      <c r="BE281" s="130">
        <f t="shared" si="47"/>
        <v>0</v>
      </c>
      <c r="BF281" s="130">
        <f t="shared" si="48"/>
        <v>160.24</v>
      </c>
      <c r="BG281" s="130">
        <f t="shared" si="49"/>
        <v>0</v>
      </c>
      <c r="BH281" s="130">
        <f t="shared" si="50"/>
        <v>0</v>
      </c>
      <c r="BI281" s="130">
        <f t="shared" si="51"/>
        <v>0</v>
      </c>
      <c r="BJ281" s="13" t="s">
        <v>76</v>
      </c>
      <c r="BK281" s="130">
        <f t="shared" si="52"/>
        <v>160.24</v>
      </c>
      <c r="BL281" s="13" t="s">
        <v>347</v>
      </c>
      <c r="BM281" s="129" t="s">
        <v>746</v>
      </c>
    </row>
    <row r="282" spans="2:65" s="1" customFormat="1" ht="24" customHeight="1" x14ac:dyDescent="0.2">
      <c r="B282" s="118"/>
      <c r="C282" s="131" t="s">
        <v>486</v>
      </c>
      <c r="D282" s="131" t="s">
        <v>277</v>
      </c>
      <c r="E282" s="132" t="s">
        <v>1732</v>
      </c>
      <c r="F282" s="133" t="s">
        <v>4592</v>
      </c>
      <c r="G282" s="134" t="s">
        <v>292</v>
      </c>
      <c r="H282" s="135">
        <v>200</v>
      </c>
      <c r="I282" s="136">
        <v>24.71</v>
      </c>
      <c r="J282" s="136">
        <f t="shared" si="42"/>
        <v>4942</v>
      </c>
      <c r="K282" s="133" t="s">
        <v>1</v>
      </c>
      <c r="L282" s="137"/>
      <c r="M282" s="138" t="s">
        <v>1</v>
      </c>
      <c r="N282" s="139" t="s">
        <v>32</v>
      </c>
      <c r="O282" s="127">
        <v>0</v>
      </c>
      <c r="P282" s="127">
        <f t="shared" si="43"/>
        <v>0</v>
      </c>
      <c r="Q282" s="127">
        <v>0</v>
      </c>
      <c r="R282" s="127">
        <f t="shared" si="44"/>
        <v>0</v>
      </c>
      <c r="S282" s="127">
        <v>0</v>
      </c>
      <c r="T282" s="128">
        <f t="shared" si="45"/>
        <v>0</v>
      </c>
      <c r="W282" s="199"/>
      <c r="X282" s="131" t="s">
        <v>486</v>
      </c>
      <c r="Y282" s="131" t="s">
        <v>277</v>
      </c>
      <c r="Z282" s="132" t="s">
        <v>1732</v>
      </c>
      <c r="AA282" s="133" t="s">
        <v>4592</v>
      </c>
      <c r="AB282" s="134" t="s">
        <v>292</v>
      </c>
      <c r="AC282" s="135">
        <v>200</v>
      </c>
      <c r="AD282" s="136">
        <v>24.71</v>
      </c>
      <c r="AE282" s="229">
        <f t="shared" si="46"/>
        <v>4942</v>
      </c>
      <c r="AF282" s="248"/>
      <c r="AR282" s="129" t="s">
        <v>705</v>
      </c>
      <c r="AT282" s="129" t="s">
        <v>277</v>
      </c>
      <c r="AU282" s="129" t="s">
        <v>63</v>
      </c>
      <c r="AY282" s="13" t="s">
        <v>228</v>
      </c>
      <c r="BE282" s="130">
        <f t="shared" si="47"/>
        <v>0</v>
      </c>
      <c r="BF282" s="130">
        <f t="shared" si="48"/>
        <v>4942</v>
      </c>
      <c r="BG282" s="130">
        <f t="shared" si="49"/>
        <v>0</v>
      </c>
      <c r="BH282" s="130">
        <f t="shared" si="50"/>
        <v>0</v>
      </c>
      <c r="BI282" s="130">
        <f t="shared" si="51"/>
        <v>0</v>
      </c>
      <c r="BJ282" s="13" t="s">
        <v>76</v>
      </c>
      <c r="BK282" s="130">
        <f t="shared" si="52"/>
        <v>4942</v>
      </c>
      <c r="BL282" s="13" t="s">
        <v>347</v>
      </c>
      <c r="BM282" s="129" t="s">
        <v>749</v>
      </c>
    </row>
    <row r="283" spans="2:65" s="1" customFormat="1" ht="24" customHeight="1" x14ac:dyDescent="0.2">
      <c r="B283" s="118"/>
      <c r="C283" s="119" t="s">
        <v>750</v>
      </c>
      <c r="D283" s="119" t="s">
        <v>231</v>
      </c>
      <c r="E283" s="120" t="s">
        <v>1669</v>
      </c>
      <c r="F283" s="121" t="s">
        <v>1726</v>
      </c>
      <c r="G283" s="122" t="s">
        <v>292</v>
      </c>
      <c r="H283" s="123">
        <v>200</v>
      </c>
      <c r="I283" s="124">
        <v>8.7899999999999991</v>
      </c>
      <c r="J283" s="124">
        <f t="shared" si="42"/>
        <v>1758</v>
      </c>
      <c r="K283" s="121" t="s">
        <v>1</v>
      </c>
      <c r="L283" s="24"/>
      <c r="M283" s="125" t="s">
        <v>1</v>
      </c>
      <c r="N283" s="126" t="s">
        <v>32</v>
      </c>
      <c r="O283" s="127">
        <v>0</v>
      </c>
      <c r="P283" s="127">
        <f t="shared" si="43"/>
        <v>0</v>
      </c>
      <c r="Q283" s="127">
        <v>0</v>
      </c>
      <c r="R283" s="127">
        <f t="shared" si="44"/>
        <v>0</v>
      </c>
      <c r="S283" s="127">
        <v>0</v>
      </c>
      <c r="T283" s="128">
        <f t="shared" si="45"/>
        <v>0</v>
      </c>
      <c r="W283" s="199"/>
      <c r="X283" s="119" t="s">
        <v>750</v>
      </c>
      <c r="Y283" s="119" t="s">
        <v>231</v>
      </c>
      <c r="Z283" s="120" t="s">
        <v>1669</v>
      </c>
      <c r="AA283" s="121" t="s">
        <v>1726</v>
      </c>
      <c r="AB283" s="122" t="s">
        <v>292</v>
      </c>
      <c r="AC283" s="123">
        <v>200</v>
      </c>
      <c r="AD283" s="124">
        <v>8.7899999999999991</v>
      </c>
      <c r="AE283" s="200">
        <f t="shared" si="46"/>
        <v>1758</v>
      </c>
      <c r="AF283" s="248"/>
      <c r="AR283" s="129" t="s">
        <v>347</v>
      </c>
      <c r="AT283" s="129" t="s">
        <v>231</v>
      </c>
      <c r="AU283" s="129" t="s">
        <v>63</v>
      </c>
      <c r="AY283" s="13" t="s">
        <v>228</v>
      </c>
      <c r="BE283" s="130">
        <f t="shared" si="47"/>
        <v>0</v>
      </c>
      <c r="BF283" s="130">
        <f t="shared" si="48"/>
        <v>1758</v>
      </c>
      <c r="BG283" s="130">
        <f t="shared" si="49"/>
        <v>0</v>
      </c>
      <c r="BH283" s="130">
        <f t="shared" si="50"/>
        <v>0</v>
      </c>
      <c r="BI283" s="130">
        <f t="shared" si="51"/>
        <v>0</v>
      </c>
      <c r="BJ283" s="13" t="s">
        <v>76</v>
      </c>
      <c r="BK283" s="130">
        <f t="shared" si="52"/>
        <v>1758</v>
      </c>
      <c r="BL283" s="13" t="s">
        <v>347</v>
      </c>
      <c r="BM283" s="129" t="s">
        <v>753</v>
      </c>
    </row>
    <row r="284" spans="2:65" s="1" customFormat="1" ht="24" customHeight="1" x14ac:dyDescent="0.2">
      <c r="B284" s="118"/>
      <c r="C284" s="205" t="s">
        <v>490</v>
      </c>
      <c r="D284" s="119" t="s">
        <v>231</v>
      </c>
      <c r="E284" s="120" t="s">
        <v>1304</v>
      </c>
      <c r="F284" s="121" t="s">
        <v>1305</v>
      </c>
      <c r="G284" s="122" t="s">
        <v>292</v>
      </c>
      <c r="H284" s="206">
        <v>900</v>
      </c>
      <c r="I284" s="124">
        <v>1.21</v>
      </c>
      <c r="J284" s="124">
        <f t="shared" si="42"/>
        <v>1089</v>
      </c>
      <c r="K284" s="121" t="s">
        <v>1</v>
      </c>
      <c r="L284" s="24"/>
      <c r="M284" s="125" t="s">
        <v>1</v>
      </c>
      <c r="N284" s="126" t="s">
        <v>32</v>
      </c>
      <c r="O284" s="127">
        <v>0</v>
      </c>
      <c r="P284" s="127">
        <f t="shared" si="43"/>
        <v>0</v>
      </c>
      <c r="Q284" s="127">
        <v>0</v>
      </c>
      <c r="R284" s="127">
        <f t="shared" si="44"/>
        <v>0</v>
      </c>
      <c r="S284" s="127">
        <v>0</v>
      </c>
      <c r="T284" s="128">
        <f t="shared" si="45"/>
        <v>0</v>
      </c>
      <c r="W284" s="199"/>
      <c r="X284" s="205" t="s">
        <v>490</v>
      </c>
      <c r="Y284" s="119" t="s">
        <v>231</v>
      </c>
      <c r="Z284" s="120" t="s">
        <v>1304</v>
      </c>
      <c r="AA284" s="121" t="s">
        <v>1305</v>
      </c>
      <c r="AB284" s="122" t="s">
        <v>292</v>
      </c>
      <c r="AC284" s="206">
        <f>900+100</f>
        <v>1000</v>
      </c>
      <c r="AD284" s="124">
        <v>1.21</v>
      </c>
      <c r="AE284" s="200">
        <f t="shared" si="46"/>
        <v>1210</v>
      </c>
      <c r="AF284" s="248">
        <v>2</v>
      </c>
      <c r="AR284" s="129" t="s">
        <v>347</v>
      </c>
      <c r="AT284" s="129" t="s">
        <v>231</v>
      </c>
      <c r="AU284" s="129" t="s">
        <v>63</v>
      </c>
      <c r="AY284" s="13" t="s">
        <v>228</v>
      </c>
      <c r="BE284" s="130">
        <f t="shared" si="47"/>
        <v>0</v>
      </c>
      <c r="BF284" s="130">
        <f t="shared" si="48"/>
        <v>1089</v>
      </c>
      <c r="BG284" s="130">
        <f t="shared" si="49"/>
        <v>0</v>
      </c>
      <c r="BH284" s="130">
        <f t="shared" si="50"/>
        <v>0</v>
      </c>
      <c r="BI284" s="130">
        <f t="shared" si="51"/>
        <v>0</v>
      </c>
      <c r="BJ284" s="13" t="s">
        <v>76</v>
      </c>
      <c r="BK284" s="130">
        <f t="shared" si="52"/>
        <v>1089</v>
      </c>
      <c r="BL284" s="13" t="s">
        <v>347</v>
      </c>
      <c r="BM284" s="129" t="s">
        <v>756</v>
      </c>
    </row>
    <row r="285" spans="2:65" s="1" customFormat="1" ht="16.5" customHeight="1" x14ac:dyDescent="0.2">
      <c r="B285" s="118"/>
      <c r="C285" s="242" t="s">
        <v>757</v>
      </c>
      <c r="D285" s="131" t="s">
        <v>277</v>
      </c>
      <c r="E285" s="132" t="s">
        <v>1307</v>
      </c>
      <c r="F285" s="133" t="s">
        <v>1308</v>
      </c>
      <c r="G285" s="134" t="s">
        <v>277</v>
      </c>
      <c r="H285" s="241">
        <v>900</v>
      </c>
      <c r="I285" s="136">
        <v>2.14</v>
      </c>
      <c r="J285" s="136">
        <f t="shared" si="42"/>
        <v>1926</v>
      </c>
      <c r="K285" s="133" t="s">
        <v>1</v>
      </c>
      <c r="L285" s="137"/>
      <c r="M285" s="138" t="s">
        <v>1</v>
      </c>
      <c r="N285" s="139" t="s">
        <v>32</v>
      </c>
      <c r="O285" s="127">
        <v>0</v>
      </c>
      <c r="P285" s="127">
        <f t="shared" si="43"/>
        <v>0</v>
      </c>
      <c r="Q285" s="127">
        <v>0</v>
      </c>
      <c r="R285" s="127">
        <f t="shared" si="44"/>
        <v>0</v>
      </c>
      <c r="S285" s="127">
        <v>0</v>
      </c>
      <c r="T285" s="128">
        <f t="shared" si="45"/>
        <v>0</v>
      </c>
      <c r="W285" s="199"/>
      <c r="X285" s="242" t="s">
        <v>757</v>
      </c>
      <c r="Y285" s="131" t="s">
        <v>277</v>
      </c>
      <c r="Z285" s="132" t="s">
        <v>1307</v>
      </c>
      <c r="AA285" s="133" t="s">
        <v>1308</v>
      </c>
      <c r="AB285" s="134" t="s">
        <v>277</v>
      </c>
      <c r="AC285" s="241">
        <f>900+100</f>
        <v>1000</v>
      </c>
      <c r="AD285" s="136">
        <v>2.14</v>
      </c>
      <c r="AE285" s="229">
        <f t="shared" si="46"/>
        <v>2140</v>
      </c>
      <c r="AF285" s="248">
        <v>2</v>
      </c>
      <c r="AR285" s="129" t="s">
        <v>705</v>
      </c>
      <c r="AT285" s="129" t="s">
        <v>277</v>
      </c>
      <c r="AU285" s="129" t="s">
        <v>63</v>
      </c>
      <c r="AY285" s="13" t="s">
        <v>228</v>
      </c>
      <c r="BE285" s="130">
        <f t="shared" si="47"/>
        <v>0</v>
      </c>
      <c r="BF285" s="130">
        <f t="shared" si="48"/>
        <v>1926</v>
      </c>
      <c r="BG285" s="130">
        <f t="shared" si="49"/>
        <v>0</v>
      </c>
      <c r="BH285" s="130">
        <f t="shared" si="50"/>
        <v>0</v>
      </c>
      <c r="BI285" s="130">
        <f t="shared" si="51"/>
        <v>0</v>
      </c>
      <c r="BJ285" s="13" t="s">
        <v>76</v>
      </c>
      <c r="BK285" s="130">
        <f t="shared" si="52"/>
        <v>1926</v>
      </c>
      <c r="BL285" s="13" t="s">
        <v>347</v>
      </c>
      <c r="BM285" s="129" t="s">
        <v>760</v>
      </c>
    </row>
    <row r="286" spans="2:65" s="1" customFormat="1" ht="24" customHeight="1" x14ac:dyDescent="0.2">
      <c r="B286" s="118"/>
      <c r="C286" s="285" t="s">
        <v>493</v>
      </c>
      <c r="D286" s="285" t="s">
        <v>231</v>
      </c>
      <c r="E286" s="286" t="s">
        <v>3926</v>
      </c>
      <c r="F286" s="240" t="s">
        <v>1323</v>
      </c>
      <c r="G286" s="287" t="s">
        <v>1194</v>
      </c>
      <c r="H286" s="288">
        <v>48</v>
      </c>
      <c r="I286" s="124">
        <v>3.12</v>
      </c>
      <c r="J286" s="124">
        <f t="shared" si="42"/>
        <v>149.76</v>
      </c>
      <c r="K286" s="121" t="s">
        <v>1</v>
      </c>
      <c r="L286" s="24"/>
      <c r="M286" s="125" t="s">
        <v>1</v>
      </c>
      <c r="N286" s="126" t="s">
        <v>32</v>
      </c>
      <c r="O286" s="127">
        <v>0</v>
      </c>
      <c r="P286" s="127">
        <f t="shared" si="43"/>
        <v>0</v>
      </c>
      <c r="Q286" s="127">
        <v>0</v>
      </c>
      <c r="R286" s="127">
        <f t="shared" si="44"/>
        <v>0</v>
      </c>
      <c r="S286" s="127">
        <v>0</v>
      </c>
      <c r="T286" s="128">
        <f t="shared" si="45"/>
        <v>0</v>
      </c>
      <c r="W286" s="199"/>
      <c r="X286" s="285" t="s">
        <v>493</v>
      </c>
      <c r="Y286" s="285" t="s">
        <v>231</v>
      </c>
      <c r="Z286" s="286" t="s">
        <v>3926</v>
      </c>
      <c r="AA286" s="240" t="s">
        <v>1323</v>
      </c>
      <c r="AB286" s="287" t="s">
        <v>1194</v>
      </c>
      <c r="AC286" s="288">
        <v>48</v>
      </c>
      <c r="AD286" s="124">
        <v>3.12</v>
      </c>
      <c r="AE286" s="200">
        <f t="shared" si="46"/>
        <v>149.76</v>
      </c>
      <c r="AF286" s="248"/>
      <c r="AR286" s="129" t="s">
        <v>347</v>
      </c>
      <c r="AT286" s="129" t="s">
        <v>231</v>
      </c>
      <c r="AU286" s="129" t="s">
        <v>63</v>
      </c>
      <c r="AY286" s="13" t="s">
        <v>228</v>
      </c>
      <c r="BE286" s="130">
        <f t="shared" si="47"/>
        <v>0</v>
      </c>
      <c r="BF286" s="130">
        <f t="shared" si="48"/>
        <v>149.76</v>
      </c>
      <c r="BG286" s="130">
        <f t="shared" si="49"/>
        <v>0</v>
      </c>
      <c r="BH286" s="130">
        <f t="shared" si="50"/>
        <v>0</v>
      </c>
      <c r="BI286" s="130">
        <f t="shared" si="51"/>
        <v>0</v>
      </c>
      <c r="BJ286" s="13" t="s">
        <v>76</v>
      </c>
      <c r="BK286" s="130">
        <f t="shared" si="52"/>
        <v>149.76</v>
      </c>
      <c r="BL286" s="13" t="s">
        <v>347</v>
      </c>
      <c r="BM286" s="129" t="s">
        <v>763</v>
      </c>
    </row>
    <row r="287" spans="2:65" s="1" customFormat="1" ht="16.5" customHeight="1" x14ac:dyDescent="0.2">
      <c r="B287" s="118"/>
      <c r="C287" s="444" t="s">
        <v>764</v>
      </c>
      <c r="D287" s="444" t="s">
        <v>277</v>
      </c>
      <c r="E287" s="453" t="s">
        <v>3927</v>
      </c>
      <c r="F287" s="454" t="s">
        <v>1326</v>
      </c>
      <c r="G287" s="455" t="s">
        <v>1194</v>
      </c>
      <c r="H287" s="443">
        <v>48</v>
      </c>
      <c r="I287" s="136">
        <v>2.6</v>
      </c>
      <c r="J287" s="136">
        <f t="shared" si="42"/>
        <v>124.8</v>
      </c>
      <c r="K287" s="133" t="s">
        <v>1</v>
      </c>
      <c r="L287" s="137"/>
      <c r="M287" s="138" t="s">
        <v>1</v>
      </c>
      <c r="N287" s="139" t="s">
        <v>32</v>
      </c>
      <c r="O287" s="127">
        <v>0</v>
      </c>
      <c r="P287" s="127">
        <f t="shared" si="43"/>
        <v>0</v>
      </c>
      <c r="Q287" s="127">
        <v>0</v>
      </c>
      <c r="R287" s="127">
        <f t="shared" si="44"/>
        <v>0</v>
      </c>
      <c r="S287" s="127">
        <v>0</v>
      </c>
      <c r="T287" s="128">
        <f t="shared" si="45"/>
        <v>0</v>
      </c>
      <c r="W287" s="199"/>
      <c r="X287" s="444" t="s">
        <v>764</v>
      </c>
      <c r="Y287" s="444" t="s">
        <v>277</v>
      </c>
      <c r="Z287" s="453" t="s">
        <v>3927</v>
      </c>
      <c r="AA287" s="454" t="s">
        <v>1326</v>
      </c>
      <c r="AB287" s="455" t="s">
        <v>1194</v>
      </c>
      <c r="AC287" s="443">
        <v>48</v>
      </c>
      <c r="AD287" s="136">
        <v>2.6</v>
      </c>
      <c r="AE287" s="229">
        <f t="shared" si="46"/>
        <v>124.8</v>
      </c>
      <c r="AF287" s="248"/>
      <c r="AR287" s="129" t="s">
        <v>705</v>
      </c>
      <c r="AT287" s="129" t="s">
        <v>277</v>
      </c>
      <c r="AU287" s="129" t="s">
        <v>63</v>
      </c>
      <c r="AY287" s="13" t="s">
        <v>228</v>
      </c>
      <c r="BE287" s="130">
        <f t="shared" si="47"/>
        <v>0</v>
      </c>
      <c r="BF287" s="130">
        <f t="shared" si="48"/>
        <v>124.8</v>
      </c>
      <c r="BG287" s="130">
        <f t="shared" si="49"/>
        <v>0</v>
      </c>
      <c r="BH287" s="130">
        <f t="shared" si="50"/>
        <v>0</v>
      </c>
      <c r="BI287" s="130">
        <f t="shared" si="51"/>
        <v>0</v>
      </c>
      <c r="BJ287" s="13" t="s">
        <v>76</v>
      </c>
      <c r="BK287" s="130">
        <f t="shared" si="52"/>
        <v>124.8</v>
      </c>
      <c r="BL287" s="13" t="s">
        <v>347</v>
      </c>
      <c r="BM287" s="129" t="s">
        <v>767</v>
      </c>
    </row>
    <row r="288" spans="2:65" s="1" customFormat="1" ht="36" customHeight="1" x14ac:dyDescent="0.2">
      <c r="B288" s="118"/>
      <c r="C288" s="205" t="s">
        <v>497</v>
      </c>
      <c r="D288" s="119" t="s">
        <v>231</v>
      </c>
      <c r="E288" s="120" t="s">
        <v>1659</v>
      </c>
      <c r="F288" s="121" t="s">
        <v>1660</v>
      </c>
      <c r="G288" s="122" t="s">
        <v>1194</v>
      </c>
      <c r="H288" s="206">
        <v>48</v>
      </c>
      <c r="I288" s="124">
        <v>7.88</v>
      </c>
      <c r="J288" s="124">
        <f t="shared" si="42"/>
        <v>378.24</v>
      </c>
      <c r="K288" s="121" t="s">
        <v>1</v>
      </c>
      <c r="L288" s="24"/>
      <c r="M288" s="125" t="s">
        <v>1</v>
      </c>
      <c r="N288" s="126" t="s">
        <v>32</v>
      </c>
      <c r="O288" s="127">
        <v>0</v>
      </c>
      <c r="P288" s="127">
        <f t="shared" si="43"/>
        <v>0</v>
      </c>
      <c r="Q288" s="127">
        <v>0</v>
      </c>
      <c r="R288" s="127">
        <f t="shared" si="44"/>
        <v>0</v>
      </c>
      <c r="S288" s="127">
        <v>0</v>
      </c>
      <c r="T288" s="128">
        <f t="shared" si="45"/>
        <v>0</v>
      </c>
      <c r="W288" s="199"/>
      <c r="X288" s="205" t="s">
        <v>497</v>
      </c>
      <c r="Y288" s="119" t="s">
        <v>231</v>
      </c>
      <c r="Z288" s="120" t="s">
        <v>1659</v>
      </c>
      <c r="AA288" s="121" t="s">
        <v>1660</v>
      </c>
      <c r="AB288" s="122" t="s">
        <v>1194</v>
      </c>
      <c r="AC288" s="206">
        <f>48-9</f>
        <v>39</v>
      </c>
      <c r="AD288" s="124">
        <v>7.88</v>
      </c>
      <c r="AE288" s="200">
        <f t="shared" si="46"/>
        <v>307.32</v>
      </c>
      <c r="AF288" s="248">
        <v>2</v>
      </c>
      <c r="AR288" s="129" t="s">
        <v>347</v>
      </c>
      <c r="AT288" s="129" t="s">
        <v>231</v>
      </c>
      <c r="AU288" s="129" t="s">
        <v>63</v>
      </c>
      <c r="AY288" s="13" t="s">
        <v>228</v>
      </c>
      <c r="BE288" s="130">
        <f t="shared" si="47"/>
        <v>0</v>
      </c>
      <c r="BF288" s="130">
        <f t="shared" si="48"/>
        <v>378.24</v>
      </c>
      <c r="BG288" s="130">
        <f t="shared" si="49"/>
        <v>0</v>
      </c>
      <c r="BH288" s="130">
        <f t="shared" si="50"/>
        <v>0</v>
      </c>
      <c r="BI288" s="130">
        <f t="shared" si="51"/>
        <v>0</v>
      </c>
      <c r="BJ288" s="13" t="s">
        <v>76</v>
      </c>
      <c r="BK288" s="130">
        <f t="shared" si="52"/>
        <v>378.24</v>
      </c>
      <c r="BL288" s="13" t="s">
        <v>347</v>
      </c>
      <c r="BM288" s="129" t="s">
        <v>770</v>
      </c>
    </row>
    <row r="289" spans="2:65" s="1" customFormat="1" ht="24" customHeight="1" x14ac:dyDescent="0.2">
      <c r="B289" s="118"/>
      <c r="C289" s="242" t="s">
        <v>771</v>
      </c>
      <c r="D289" s="131" t="s">
        <v>277</v>
      </c>
      <c r="E289" s="132" t="s">
        <v>1659</v>
      </c>
      <c r="F289" s="133" t="s">
        <v>4593</v>
      </c>
      <c r="G289" s="134" t="s">
        <v>1194</v>
      </c>
      <c r="H289" s="241">
        <v>16</v>
      </c>
      <c r="I289" s="136">
        <v>22.04</v>
      </c>
      <c r="J289" s="136">
        <f t="shared" si="42"/>
        <v>352.64</v>
      </c>
      <c r="K289" s="133" t="s">
        <v>1</v>
      </c>
      <c r="L289" s="137"/>
      <c r="M289" s="138" t="s">
        <v>1</v>
      </c>
      <c r="N289" s="139" t="s">
        <v>32</v>
      </c>
      <c r="O289" s="127">
        <v>0</v>
      </c>
      <c r="P289" s="127">
        <f t="shared" si="43"/>
        <v>0</v>
      </c>
      <c r="Q289" s="127">
        <v>0</v>
      </c>
      <c r="R289" s="127">
        <f t="shared" si="44"/>
        <v>0</v>
      </c>
      <c r="S289" s="127">
        <v>0</v>
      </c>
      <c r="T289" s="128">
        <f t="shared" si="45"/>
        <v>0</v>
      </c>
      <c r="W289" s="199"/>
      <c r="X289" s="242" t="s">
        <v>771</v>
      </c>
      <c r="Y289" s="131" t="s">
        <v>277</v>
      </c>
      <c r="Z289" s="132" t="s">
        <v>1659</v>
      </c>
      <c r="AA289" s="133" t="s">
        <v>4593</v>
      </c>
      <c r="AB289" s="134" t="s">
        <v>1194</v>
      </c>
      <c r="AC289" s="241">
        <f>16+23+12</f>
        <v>51</v>
      </c>
      <c r="AD289" s="136">
        <v>22.04</v>
      </c>
      <c r="AE289" s="229">
        <f t="shared" si="46"/>
        <v>1124.04</v>
      </c>
      <c r="AF289" s="248" t="s">
        <v>6750</v>
      </c>
      <c r="AR289" s="129" t="s">
        <v>705</v>
      </c>
      <c r="AT289" s="129" t="s">
        <v>277</v>
      </c>
      <c r="AU289" s="129" t="s">
        <v>63</v>
      </c>
      <c r="AY289" s="13" t="s">
        <v>228</v>
      </c>
      <c r="BE289" s="130">
        <f t="shared" si="47"/>
        <v>0</v>
      </c>
      <c r="BF289" s="130">
        <f t="shared" si="48"/>
        <v>352.64</v>
      </c>
      <c r="BG289" s="130">
        <f t="shared" si="49"/>
        <v>0</v>
      </c>
      <c r="BH289" s="130">
        <f t="shared" si="50"/>
        <v>0</v>
      </c>
      <c r="BI289" s="130">
        <f t="shared" si="51"/>
        <v>0</v>
      </c>
      <c r="BJ289" s="13" t="s">
        <v>76</v>
      </c>
      <c r="BK289" s="130">
        <f t="shared" si="52"/>
        <v>352.64</v>
      </c>
      <c r="BL289" s="13" t="s">
        <v>347</v>
      </c>
      <c r="BM289" s="129" t="s">
        <v>774</v>
      </c>
    </row>
    <row r="290" spans="2:65" s="392" customFormat="1" ht="23.55" customHeight="1" x14ac:dyDescent="0.2">
      <c r="B290" s="118"/>
      <c r="C290" s="1234" t="s">
        <v>5205</v>
      </c>
      <c r="D290" s="1235"/>
      <c r="E290" s="1235"/>
      <c r="F290" s="1235"/>
      <c r="G290" s="1235"/>
      <c r="H290" s="1235"/>
      <c r="I290" s="1235"/>
      <c r="J290" s="1236"/>
      <c r="K290" s="133"/>
      <c r="L290" s="137"/>
      <c r="M290" s="138"/>
      <c r="N290" s="139"/>
      <c r="O290" s="127"/>
      <c r="P290" s="127"/>
      <c r="Q290" s="127"/>
      <c r="R290" s="127"/>
      <c r="S290" s="127"/>
      <c r="T290" s="128"/>
      <c r="W290" s="199"/>
      <c r="X290" s="341" t="s">
        <v>5972</v>
      </c>
      <c r="Y290" s="341" t="s">
        <v>231</v>
      </c>
      <c r="Z290" s="342" t="s">
        <v>1310</v>
      </c>
      <c r="AA290" s="343" t="s">
        <v>1311</v>
      </c>
      <c r="AB290" s="344" t="s">
        <v>1194</v>
      </c>
      <c r="AC290" s="345">
        <v>335</v>
      </c>
      <c r="AD290" s="346">
        <v>2.54</v>
      </c>
      <c r="AE290" s="355">
        <f>ROUND(AD290*AC290,2)</f>
        <v>850.9</v>
      </c>
      <c r="AF290" s="248">
        <v>2</v>
      </c>
      <c r="AR290" s="129"/>
      <c r="AT290" s="129"/>
      <c r="AU290" s="129"/>
      <c r="AY290" s="13"/>
      <c r="BE290" s="130"/>
      <c r="BF290" s="130"/>
      <c r="BG290" s="130"/>
      <c r="BH290" s="130"/>
      <c r="BI290" s="130"/>
      <c r="BJ290" s="13"/>
      <c r="BK290" s="130"/>
      <c r="BL290" s="13"/>
      <c r="BM290" s="129"/>
    </row>
    <row r="291" spans="2:65" s="392" customFormat="1" ht="17.25" customHeight="1" x14ac:dyDescent="0.2">
      <c r="B291" s="118"/>
      <c r="C291" s="1234" t="s">
        <v>5205</v>
      </c>
      <c r="D291" s="1235"/>
      <c r="E291" s="1235"/>
      <c r="F291" s="1235"/>
      <c r="G291" s="1235"/>
      <c r="H291" s="1235"/>
      <c r="I291" s="1235"/>
      <c r="J291" s="1236"/>
      <c r="K291" s="133"/>
      <c r="L291" s="137"/>
      <c r="M291" s="138"/>
      <c r="N291" s="139"/>
      <c r="O291" s="127"/>
      <c r="P291" s="127"/>
      <c r="Q291" s="127"/>
      <c r="R291" s="127"/>
      <c r="S291" s="127"/>
      <c r="T291" s="128"/>
      <c r="W291" s="199"/>
      <c r="X291" s="348" t="s">
        <v>5973</v>
      </c>
      <c r="Y291" s="348" t="s">
        <v>277</v>
      </c>
      <c r="Z291" s="349" t="s">
        <v>1313</v>
      </c>
      <c r="AA291" s="350" t="s">
        <v>3912</v>
      </c>
      <c r="AB291" s="351" t="s">
        <v>1194</v>
      </c>
      <c r="AC291" s="352">
        <v>335</v>
      </c>
      <c r="AD291" s="353">
        <v>0.53</v>
      </c>
      <c r="AE291" s="356">
        <f>ROUND(AD291*AC291,2)</f>
        <v>177.55</v>
      </c>
      <c r="AF291" s="248">
        <v>2</v>
      </c>
      <c r="AR291" s="129"/>
      <c r="AT291" s="129"/>
      <c r="AU291" s="129"/>
      <c r="AY291" s="13"/>
      <c r="BE291" s="130"/>
      <c r="BF291" s="130"/>
      <c r="BG291" s="130"/>
      <c r="BH291" s="130"/>
      <c r="BI291" s="130"/>
      <c r="BJ291" s="13"/>
      <c r="BK291" s="130"/>
      <c r="BL291" s="13"/>
      <c r="BM291" s="129"/>
    </row>
    <row r="292" spans="2:65" s="392" customFormat="1" ht="17.25" customHeight="1" x14ac:dyDescent="0.2">
      <c r="B292" s="118"/>
      <c r="C292" s="1234" t="s">
        <v>5205</v>
      </c>
      <c r="D292" s="1235"/>
      <c r="E292" s="1235"/>
      <c r="F292" s="1235"/>
      <c r="G292" s="1235"/>
      <c r="H292" s="1235"/>
      <c r="I292" s="1235"/>
      <c r="J292" s="1236"/>
      <c r="K292" s="133"/>
      <c r="L292" s="137"/>
      <c r="M292" s="138"/>
      <c r="N292" s="139"/>
      <c r="O292" s="127"/>
      <c r="P292" s="127"/>
      <c r="Q292" s="127"/>
      <c r="R292" s="127"/>
      <c r="S292" s="127"/>
      <c r="T292" s="128"/>
      <c r="W292" s="199"/>
      <c r="X292" s="341" t="s">
        <v>5974</v>
      </c>
      <c r="Y292" s="341" t="s">
        <v>231</v>
      </c>
      <c r="Z292" s="342" t="s">
        <v>5893</v>
      </c>
      <c r="AA292" s="343" t="s">
        <v>5894</v>
      </c>
      <c r="AB292" s="344" t="s">
        <v>1194</v>
      </c>
      <c r="AC292" s="345">
        <v>4</v>
      </c>
      <c r="AD292" s="346">
        <v>2.9</v>
      </c>
      <c r="AE292" s="355">
        <f t="shared" ref="AE292:AE295" si="53">ROUND(AD292*AC292,2)</f>
        <v>11.6</v>
      </c>
      <c r="AF292" s="248">
        <v>2</v>
      </c>
      <c r="AR292" s="129"/>
      <c r="AT292" s="129"/>
      <c r="AU292" s="129"/>
      <c r="AY292" s="13"/>
      <c r="BE292" s="130"/>
      <c r="BF292" s="130"/>
      <c r="BG292" s="130"/>
      <c r="BH292" s="130"/>
      <c r="BI292" s="130"/>
      <c r="BJ292" s="13"/>
      <c r="BK292" s="130"/>
      <c r="BL292" s="13"/>
      <c r="BM292" s="129"/>
    </row>
    <row r="293" spans="2:65" s="392" customFormat="1" ht="17.25" customHeight="1" x14ac:dyDescent="0.2">
      <c r="B293" s="118"/>
      <c r="C293" s="1234" t="s">
        <v>5205</v>
      </c>
      <c r="D293" s="1235"/>
      <c r="E293" s="1235"/>
      <c r="F293" s="1235"/>
      <c r="G293" s="1235"/>
      <c r="H293" s="1235"/>
      <c r="I293" s="1235"/>
      <c r="J293" s="1236"/>
      <c r="K293" s="133"/>
      <c r="L293" s="137"/>
      <c r="M293" s="138"/>
      <c r="N293" s="139"/>
      <c r="O293" s="127"/>
      <c r="P293" s="127"/>
      <c r="Q293" s="127"/>
      <c r="R293" s="127"/>
      <c r="S293" s="127"/>
      <c r="T293" s="128"/>
      <c r="W293" s="199"/>
      <c r="X293" s="348" t="s">
        <v>5975</v>
      </c>
      <c r="Y293" s="348" t="s">
        <v>277</v>
      </c>
      <c r="Z293" s="349" t="s">
        <v>5895</v>
      </c>
      <c r="AA293" s="350" t="s">
        <v>5894</v>
      </c>
      <c r="AB293" s="351" t="s">
        <v>1194</v>
      </c>
      <c r="AC293" s="352">
        <v>4</v>
      </c>
      <c r="AD293" s="353">
        <v>0.66</v>
      </c>
      <c r="AE293" s="356">
        <f t="shared" si="53"/>
        <v>2.64</v>
      </c>
      <c r="AF293" s="248">
        <v>2</v>
      </c>
      <c r="AR293" s="129"/>
      <c r="AT293" s="129"/>
      <c r="AU293" s="129"/>
      <c r="AY293" s="13"/>
      <c r="BE293" s="130"/>
      <c r="BF293" s="130"/>
      <c r="BG293" s="130"/>
      <c r="BH293" s="130"/>
      <c r="BI293" s="130"/>
      <c r="BJ293" s="13"/>
      <c r="BK293" s="130"/>
      <c r="BL293" s="13"/>
      <c r="BM293" s="129"/>
    </row>
    <row r="294" spans="2:65" s="392" customFormat="1" ht="17.25" customHeight="1" x14ac:dyDescent="0.2">
      <c r="B294" s="118"/>
      <c r="C294" s="1234" t="s">
        <v>5205</v>
      </c>
      <c r="D294" s="1235"/>
      <c r="E294" s="1235"/>
      <c r="F294" s="1235"/>
      <c r="G294" s="1235"/>
      <c r="H294" s="1235"/>
      <c r="I294" s="1235"/>
      <c r="J294" s="1236"/>
      <c r="K294" s="133"/>
      <c r="L294" s="137"/>
      <c r="M294" s="138"/>
      <c r="N294" s="139"/>
      <c r="O294" s="127"/>
      <c r="P294" s="127"/>
      <c r="Q294" s="127"/>
      <c r="R294" s="127"/>
      <c r="S294" s="127"/>
      <c r="T294" s="128"/>
      <c r="W294" s="199"/>
      <c r="X294" s="341" t="s">
        <v>5976</v>
      </c>
      <c r="Y294" s="341" t="s">
        <v>231</v>
      </c>
      <c r="Z294" s="342" t="s">
        <v>5890</v>
      </c>
      <c r="AA294" s="343" t="s">
        <v>5891</v>
      </c>
      <c r="AB294" s="344" t="s">
        <v>1194</v>
      </c>
      <c r="AC294" s="345">
        <v>1</v>
      </c>
      <c r="AD294" s="346">
        <v>3.7</v>
      </c>
      <c r="AE294" s="355">
        <f t="shared" si="53"/>
        <v>3.7</v>
      </c>
      <c r="AF294" s="248">
        <v>2</v>
      </c>
      <c r="AR294" s="129"/>
      <c r="AT294" s="129"/>
      <c r="AU294" s="129"/>
      <c r="AY294" s="13"/>
      <c r="BE294" s="130"/>
      <c r="BF294" s="130"/>
      <c r="BG294" s="130"/>
      <c r="BH294" s="130"/>
      <c r="BI294" s="130"/>
      <c r="BJ294" s="13"/>
      <c r="BK294" s="130"/>
      <c r="BL294" s="13"/>
      <c r="BM294" s="129"/>
    </row>
    <row r="295" spans="2:65" s="392" customFormat="1" ht="17.25" customHeight="1" x14ac:dyDescent="0.2">
      <c r="B295" s="118"/>
      <c r="C295" s="1234" t="s">
        <v>5205</v>
      </c>
      <c r="D295" s="1235"/>
      <c r="E295" s="1235"/>
      <c r="F295" s="1235"/>
      <c r="G295" s="1235"/>
      <c r="H295" s="1235"/>
      <c r="I295" s="1235"/>
      <c r="J295" s="1236"/>
      <c r="K295" s="133"/>
      <c r="L295" s="137"/>
      <c r="M295" s="138"/>
      <c r="N295" s="139"/>
      <c r="O295" s="127"/>
      <c r="P295" s="127"/>
      <c r="Q295" s="127"/>
      <c r="R295" s="127"/>
      <c r="S295" s="127"/>
      <c r="T295" s="128"/>
      <c r="W295" s="199"/>
      <c r="X295" s="348" t="s">
        <v>5977</v>
      </c>
      <c r="Y295" s="348" t="s">
        <v>277</v>
      </c>
      <c r="Z295" s="349" t="s">
        <v>5892</v>
      </c>
      <c r="AA295" s="350" t="s">
        <v>5891</v>
      </c>
      <c r="AB295" s="351" t="s">
        <v>1194</v>
      </c>
      <c r="AC295" s="352">
        <v>1</v>
      </c>
      <c r="AD295" s="353">
        <v>8.4499999999999993</v>
      </c>
      <c r="AE295" s="356">
        <f t="shared" si="53"/>
        <v>8.4499999999999993</v>
      </c>
      <c r="AF295" s="248">
        <v>2</v>
      </c>
      <c r="AR295" s="129"/>
      <c r="AT295" s="129"/>
      <c r="AU295" s="129"/>
      <c r="AY295" s="13"/>
      <c r="BE295" s="130"/>
      <c r="BF295" s="130"/>
      <c r="BG295" s="130"/>
      <c r="BH295" s="130"/>
      <c r="BI295" s="130"/>
      <c r="BJ295" s="13"/>
      <c r="BK295" s="130"/>
      <c r="BL295" s="13"/>
      <c r="BM295" s="129"/>
    </row>
    <row r="296" spans="2:65" s="1" customFormat="1" ht="16.5" customHeight="1" x14ac:dyDescent="0.2">
      <c r="B296" s="118"/>
      <c r="C296" s="205" t="s">
        <v>500</v>
      </c>
      <c r="D296" s="119" t="s">
        <v>231</v>
      </c>
      <c r="E296" s="120" t="s">
        <v>1720</v>
      </c>
      <c r="F296" s="121" t="s">
        <v>4594</v>
      </c>
      <c r="G296" s="122" t="s">
        <v>1194</v>
      </c>
      <c r="H296" s="206">
        <v>1</v>
      </c>
      <c r="I296" s="124">
        <v>801.09</v>
      </c>
      <c r="J296" s="124">
        <f t="shared" si="42"/>
        <v>801.09</v>
      </c>
      <c r="K296" s="121" t="s">
        <v>1</v>
      </c>
      <c r="L296" s="24"/>
      <c r="M296" s="125" t="s">
        <v>1</v>
      </c>
      <c r="N296" s="126" t="s">
        <v>32</v>
      </c>
      <c r="O296" s="127">
        <v>0</v>
      </c>
      <c r="P296" s="127">
        <f t="shared" si="43"/>
        <v>0</v>
      </c>
      <c r="Q296" s="127">
        <v>0</v>
      </c>
      <c r="R296" s="127">
        <f t="shared" si="44"/>
        <v>0</v>
      </c>
      <c r="S296" s="127">
        <v>0</v>
      </c>
      <c r="T296" s="128">
        <f t="shared" si="45"/>
        <v>0</v>
      </c>
      <c r="W296" s="199"/>
      <c r="X296" s="205" t="s">
        <v>500</v>
      </c>
      <c r="Y296" s="119" t="s">
        <v>231</v>
      </c>
      <c r="Z296" s="120" t="s">
        <v>1720</v>
      </c>
      <c r="AA296" s="121" t="s">
        <v>4594</v>
      </c>
      <c r="AB296" s="122" t="s">
        <v>1194</v>
      </c>
      <c r="AC296" s="206">
        <f>1-1</f>
        <v>0</v>
      </c>
      <c r="AD296" s="124">
        <v>801.09</v>
      </c>
      <c r="AE296" s="200">
        <f t="shared" si="46"/>
        <v>0</v>
      </c>
      <c r="AF296" s="248">
        <v>2</v>
      </c>
      <c r="AR296" s="129" t="s">
        <v>347</v>
      </c>
      <c r="AT296" s="129" t="s">
        <v>231</v>
      </c>
      <c r="AU296" s="129" t="s">
        <v>63</v>
      </c>
      <c r="AY296" s="13" t="s">
        <v>228</v>
      </c>
      <c r="BE296" s="130">
        <f t="shared" si="47"/>
        <v>0</v>
      </c>
      <c r="BF296" s="130">
        <f t="shared" si="48"/>
        <v>801.09</v>
      </c>
      <c r="BG296" s="130">
        <f t="shared" si="49"/>
        <v>0</v>
      </c>
      <c r="BH296" s="130">
        <f t="shared" si="50"/>
        <v>0</v>
      </c>
      <c r="BI296" s="130">
        <f t="shared" si="51"/>
        <v>0</v>
      </c>
      <c r="BJ296" s="13" t="s">
        <v>76</v>
      </c>
      <c r="BK296" s="130">
        <f t="shared" si="52"/>
        <v>801.09</v>
      </c>
      <c r="BL296" s="13" t="s">
        <v>347</v>
      </c>
      <c r="BM296" s="129" t="s">
        <v>777</v>
      </c>
    </row>
    <row r="297" spans="2:65" s="1" customFormat="1" ht="16.5" customHeight="1" x14ac:dyDescent="0.2">
      <c r="B297" s="118"/>
      <c r="C297" s="131" t="s">
        <v>778</v>
      </c>
      <c r="D297" s="131" t="s">
        <v>277</v>
      </c>
      <c r="E297" s="132" t="s">
        <v>1708</v>
      </c>
      <c r="F297" s="133" t="s">
        <v>4595</v>
      </c>
      <c r="G297" s="134" t="s">
        <v>1194</v>
      </c>
      <c r="H297" s="135">
        <v>1</v>
      </c>
      <c r="I297" s="136">
        <v>3591.55</v>
      </c>
      <c r="J297" s="136">
        <f t="shared" si="42"/>
        <v>3591.55</v>
      </c>
      <c r="K297" s="133" t="s">
        <v>1</v>
      </c>
      <c r="L297" s="137"/>
      <c r="M297" s="138" t="s">
        <v>1</v>
      </c>
      <c r="N297" s="139" t="s">
        <v>32</v>
      </c>
      <c r="O297" s="127">
        <v>0</v>
      </c>
      <c r="P297" s="127">
        <f t="shared" si="43"/>
        <v>0</v>
      </c>
      <c r="Q297" s="127">
        <v>0</v>
      </c>
      <c r="R297" s="127">
        <f t="shared" si="44"/>
        <v>0</v>
      </c>
      <c r="S297" s="127">
        <v>0</v>
      </c>
      <c r="T297" s="128">
        <f t="shared" si="45"/>
        <v>0</v>
      </c>
      <c r="W297" s="199"/>
      <c r="X297" s="131" t="s">
        <v>778</v>
      </c>
      <c r="Y297" s="131" t="s">
        <v>277</v>
      </c>
      <c r="Z297" s="132" t="s">
        <v>1708</v>
      </c>
      <c r="AA297" s="133" t="s">
        <v>4595</v>
      </c>
      <c r="AB297" s="134" t="s">
        <v>1194</v>
      </c>
      <c r="AC297" s="135">
        <v>1</v>
      </c>
      <c r="AD297" s="136">
        <v>3591.55</v>
      </c>
      <c r="AE297" s="229">
        <f t="shared" si="46"/>
        <v>3591.55</v>
      </c>
      <c r="AF297" s="248"/>
      <c r="AR297" s="129" t="s">
        <v>705</v>
      </c>
      <c r="AT297" s="129" t="s">
        <v>277</v>
      </c>
      <c r="AU297" s="129" t="s">
        <v>63</v>
      </c>
      <c r="AY297" s="13" t="s">
        <v>228</v>
      </c>
      <c r="BE297" s="130">
        <f t="shared" si="47"/>
        <v>0</v>
      </c>
      <c r="BF297" s="130">
        <f t="shared" si="48"/>
        <v>3591.55</v>
      </c>
      <c r="BG297" s="130">
        <f t="shared" si="49"/>
        <v>0</v>
      </c>
      <c r="BH297" s="130">
        <f t="shared" si="50"/>
        <v>0</v>
      </c>
      <c r="BI297" s="130">
        <f t="shared" si="51"/>
        <v>0</v>
      </c>
      <c r="BJ297" s="13" t="s">
        <v>76</v>
      </c>
      <c r="BK297" s="130">
        <f t="shared" si="52"/>
        <v>3591.55</v>
      </c>
      <c r="BL297" s="13" t="s">
        <v>347</v>
      </c>
      <c r="BM297" s="129" t="s">
        <v>781</v>
      </c>
    </row>
    <row r="298" spans="2:65" s="1" customFormat="1" ht="16.5" customHeight="1" x14ac:dyDescent="0.2">
      <c r="B298" s="118"/>
      <c r="C298" s="444" t="s">
        <v>504</v>
      </c>
      <c r="D298" s="444" t="s">
        <v>277</v>
      </c>
      <c r="E298" s="453" t="s">
        <v>1720</v>
      </c>
      <c r="F298" s="454" t="s">
        <v>4596</v>
      </c>
      <c r="G298" s="455" t="s">
        <v>1194</v>
      </c>
      <c r="H298" s="443">
        <v>1</v>
      </c>
      <c r="I298" s="456">
        <v>1722.34</v>
      </c>
      <c r="J298" s="136">
        <f t="shared" si="42"/>
        <v>1722.34</v>
      </c>
      <c r="K298" s="133" t="s">
        <v>1</v>
      </c>
      <c r="L298" s="137"/>
      <c r="M298" s="138" t="s">
        <v>1</v>
      </c>
      <c r="N298" s="139" t="s">
        <v>32</v>
      </c>
      <c r="O298" s="127">
        <v>0</v>
      </c>
      <c r="P298" s="127">
        <f t="shared" si="43"/>
        <v>0</v>
      </c>
      <c r="Q298" s="127">
        <v>0</v>
      </c>
      <c r="R298" s="127">
        <f t="shared" si="44"/>
        <v>0</v>
      </c>
      <c r="S298" s="127">
        <v>0</v>
      </c>
      <c r="T298" s="128">
        <f t="shared" si="45"/>
        <v>0</v>
      </c>
      <c r="W298" s="199"/>
      <c r="X298" s="444" t="s">
        <v>504</v>
      </c>
      <c r="Y298" s="444" t="s">
        <v>277</v>
      </c>
      <c r="Z298" s="453" t="s">
        <v>1720</v>
      </c>
      <c r="AA298" s="454" t="s">
        <v>4596</v>
      </c>
      <c r="AB298" s="455" t="s">
        <v>1194</v>
      </c>
      <c r="AC298" s="443">
        <v>1</v>
      </c>
      <c r="AD298" s="136">
        <v>1722.34</v>
      </c>
      <c r="AE298" s="229">
        <f t="shared" si="46"/>
        <v>1722.34</v>
      </c>
      <c r="AF298" s="248"/>
      <c r="AR298" s="129" t="s">
        <v>705</v>
      </c>
      <c r="AT298" s="129" t="s">
        <v>277</v>
      </c>
      <c r="AU298" s="129" t="s">
        <v>63</v>
      </c>
      <c r="AY298" s="13" t="s">
        <v>228</v>
      </c>
      <c r="BE298" s="130">
        <f t="shared" si="47"/>
        <v>0</v>
      </c>
      <c r="BF298" s="130">
        <f t="shared" si="48"/>
        <v>1722.34</v>
      </c>
      <c r="BG298" s="130">
        <f t="shared" si="49"/>
        <v>0</v>
      </c>
      <c r="BH298" s="130">
        <f t="shared" si="50"/>
        <v>0</v>
      </c>
      <c r="BI298" s="130">
        <f t="shared" si="51"/>
        <v>0</v>
      </c>
      <c r="BJ298" s="13" t="s">
        <v>76</v>
      </c>
      <c r="BK298" s="130">
        <f t="shared" si="52"/>
        <v>1722.34</v>
      </c>
      <c r="BL298" s="13" t="s">
        <v>347</v>
      </c>
      <c r="BM298" s="129" t="s">
        <v>784</v>
      </c>
    </row>
    <row r="299" spans="2:65" s="1" customFormat="1" ht="16.5" customHeight="1" x14ac:dyDescent="0.2">
      <c r="B299" s="118"/>
      <c r="C299" s="131" t="s">
        <v>787</v>
      </c>
      <c r="D299" s="131" t="s">
        <v>277</v>
      </c>
      <c r="E299" s="132" t="s">
        <v>1729</v>
      </c>
      <c r="F299" s="133" t="s">
        <v>4597</v>
      </c>
      <c r="G299" s="134" t="s">
        <v>1194</v>
      </c>
      <c r="H299" s="135">
        <v>1</v>
      </c>
      <c r="I299" s="136">
        <v>8892.1</v>
      </c>
      <c r="J299" s="136">
        <f t="shared" si="42"/>
        <v>8892.1</v>
      </c>
      <c r="K299" s="133" t="s">
        <v>1</v>
      </c>
      <c r="L299" s="137"/>
      <c r="M299" s="138" t="s">
        <v>1</v>
      </c>
      <c r="N299" s="139" t="s">
        <v>32</v>
      </c>
      <c r="O299" s="127">
        <v>0</v>
      </c>
      <c r="P299" s="127">
        <f t="shared" si="43"/>
        <v>0</v>
      </c>
      <c r="Q299" s="127">
        <v>0</v>
      </c>
      <c r="R299" s="127">
        <f t="shared" si="44"/>
        <v>0</v>
      </c>
      <c r="S299" s="127">
        <v>0</v>
      </c>
      <c r="T299" s="128">
        <f t="shared" si="45"/>
        <v>0</v>
      </c>
      <c r="W299" s="199"/>
      <c r="X299" s="131" t="s">
        <v>787</v>
      </c>
      <c r="Y299" s="131" t="s">
        <v>277</v>
      </c>
      <c r="Z299" s="132" t="s">
        <v>1729</v>
      </c>
      <c r="AA299" s="133" t="s">
        <v>4597</v>
      </c>
      <c r="AB299" s="134" t="s">
        <v>1194</v>
      </c>
      <c r="AC299" s="135">
        <v>1</v>
      </c>
      <c r="AD299" s="136">
        <v>8892.1</v>
      </c>
      <c r="AE299" s="229">
        <f t="shared" si="46"/>
        <v>8892.1</v>
      </c>
      <c r="AF299" s="248"/>
      <c r="AR299" s="129" t="s">
        <v>705</v>
      </c>
      <c r="AT299" s="129" t="s">
        <v>277</v>
      </c>
      <c r="AU299" s="129" t="s">
        <v>63</v>
      </c>
      <c r="AY299" s="13" t="s">
        <v>228</v>
      </c>
      <c r="BE299" s="130">
        <f t="shared" si="47"/>
        <v>0</v>
      </c>
      <c r="BF299" s="130">
        <f t="shared" si="48"/>
        <v>8892.1</v>
      </c>
      <c r="BG299" s="130">
        <f t="shared" si="49"/>
        <v>0</v>
      </c>
      <c r="BH299" s="130">
        <f t="shared" si="50"/>
        <v>0</v>
      </c>
      <c r="BI299" s="130">
        <f t="shared" si="51"/>
        <v>0</v>
      </c>
      <c r="BJ299" s="13" t="s">
        <v>76</v>
      </c>
      <c r="BK299" s="130">
        <f t="shared" si="52"/>
        <v>8892.1</v>
      </c>
      <c r="BL299" s="13" t="s">
        <v>347</v>
      </c>
      <c r="BM299" s="129" t="s">
        <v>790</v>
      </c>
    </row>
    <row r="300" spans="2:65" s="392" customFormat="1" ht="16.5" customHeight="1" x14ac:dyDescent="0.2">
      <c r="B300" s="118"/>
      <c r="C300" s="1234" t="s">
        <v>5205</v>
      </c>
      <c r="D300" s="1235"/>
      <c r="E300" s="1235"/>
      <c r="F300" s="1235"/>
      <c r="G300" s="1235"/>
      <c r="H300" s="1235"/>
      <c r="I300" s="1235"/>
      <c r="J300" s="1236"/>
      <c r="K300" s="133"/>
      <c r="L300" s="137"/>
      <c r="M300" s="138"/>
      <c r="N300" s="139"/>
      <c r="O300" s="127"/>
      <c r="P300" s="127"/>
      <c r="Q300" s="127"/>
      <c r="R300" s="127"/>
      <c r="S300" s="127"/>
      <c r="T300" s="128"/>
      <c r="W300" s="199"/>
      <c r="X300" s="341" t="s">
        <v>5978</v>
      </c>
      <c r="Y300" s="341" t="s">
        <v>231</v>
      </c>
      <c r="Z300" s="342" t="s">
        <v>5961</v>
      </c>
      <c r="AA300" s="343" t="s">
        <v>5962</v>
      </c>
      <c r="AB300" s="344" t="s">
        <v>1194</v>
      </c>
      <c r="AC300" s="345">
        <v>1</v>
      </c>
      <c r="AD300" s="346">
        <v>66</v>
      </c>
      <c r="AE300" s="355">
        <f>ROUND(AD300*AC300,2)</f>
        <v>66</v>
      </c>
      <c r="AF300" s="248">
        <v>2</v>
      </c>
      <c r="AR300" s="129"/>
      <c r="AT300" s="129"/>
      <c r="AU300" s="129"/>
      <c r="AY300" s="13"/>
      <c r="BE300" s="130"/>
      <c r="BF300" s="130"/>
      <c r="BG300" s="130"/>
      <c r="BH300" s="130"/>
      <c r="BI300" s="130"/>
      <c r="BJ300" s="13"/>
      <c r="BK300" s="130"/>
      <c r="BL300" s="13"/>
      <c r="BM300" s="129"/>
    </row>
    <row r="301" spans="2:65" s="392" customFormat="1" ht="16.5" customHeight="1" x14ac:dyDescent="0.2">
      <c r="B301" s="118"/>
      <c r="C301" s="1234" t="s">
        <v>5205</v>
      </c>
      <c r="D301" s="1235"/>
      <c r="E301" s="1235"/>
      <c r="F301" s="1235"/>
      <c r="G301" s="1235"/>
      <c r="H301" s="1235"/>
      <c r="I301" s="1235"/>
      <c r="J301" s="1236"/>
      <c r="K301" s="133"/>
      <c r="L301" s="137"/>
      <c r="M301" s="138"/>
      <c r="N301" s="139"/>
      <c r="O301" s="127"/>
      <c r="P301" s="127"/>
      <c r="Q301" s="127"/>
      <c r="R301" s="127"/>
      <c r="S301" s="127"/>
      <c r="T301" s="128"/>
      <c r="W301" s="199"/>
      <c r="X301" s="348" t="s">
        <v>5979</v>
      </c>
      <c r="Y301" s="348" t="s">
        <v>277</v>
      </c>
      <c r="Z301" s="349" t="s">
        <v>5963</v>
      </c>
      <c r="AA301" s="350" t="s">
        <v>5962</v>
      </c>
      <c r="AB301" s="351" t="s">
        <v>1194</v>
      </c>
      <c r="AC301" s="352">
        <v>1</v>
      </c>
      <c r="AD301" s="353">
        <v>105.6</v>
      </c>
      <c r="AE301" s="356">
        <f>ROUND(AD301*AC301,2)</f>
        <v>105.6</v>
      </c>
      <c r="AF301" s="248">
        <v>2</v>
      </c>
      <c r="AR301" s="129"/>
      <c r="AT301" s="129"/>
      <c r="AU301" s="129"/>
      <c r="AY301" s="13"/>
      <c r="BE301" s="130"/>
      <c r="BF301" s="130"/>
      <c r="BG301" s="130"/>
      <c r="BH301" s="130"/>
      <c r="BI301" s="130"/>
      <c r="BJ301" s="13"/>
      <c r="BK301" s="130"/>
      <c r="BL301" s="13"/>
      <c r="BM301" s="129"/>
    </row>
    <row r="302" spans="2:65" s="1" customFormat="1" ht="16.5" customHeight="1" x14ac:dyDescent="0.2">
      <c r="B302" s="118"/>
      <c r="C302" s="119" t="s">
        <v>507</v>
      </c>
      <c r="D302" s="119" t="s">
        <v>231</v>
      </c>
      <c r="E302" s="120" t="s">
        <v>1729</v>
      </c>
      <c r="F302" s="121" t="s">
        <v>4598</v>
      </c>
      <c r="G302" s="122" t="s">
        <v>1194</v>
      </c>
      <c r="H302" s="123">
        <v>3</v>
      </c>
      <c r="I302" s="124">
        <v>267.02999999999997</v>
      </c>
      <c r="J302" s="124">
        <f t="shared" si="42"/>
        <v>801.09</v>
      </c>
      <c r="K302" s="121" t="s">
        <v>1</v>
      </c>
      <c r="L302" s="24"/>
      <c r="M302" s="125" t="s">
        <v>1</v>
      </c>
      <c r="N302" s="126" t="s">
        <v>32</v>
      </c>
      <c r="O302" s="127">
        <v>0</v>
      </c>
      <c r="P302" s="127">
        <f t="shared" si="43"/>
        <v>0</v>
      </c>
      <c r="Q302" s="127">
        <v>0</v>
      </c>
      <c r="R302" s="127">
        <f t="shared" si="44"/>
        <v>0</v>
      </c>
      <c r="S302" s="127">
        <v>0</v>
      </c>
      <c r="T302" s="128">
        <f t="shared" si="45"/>
        <v>0</v>
      </c>
      <c r="W302" s="199"/>
      <c r="X302" s="119" t="s">
        <v>507</v>
      </c>
      <c r="Y302" s="119" t="s">
        <v>231</v>
      </c>
      <c r="Z302" s="120" t="s">
        <v>1729</v>
      </c>
      <c r="AA302" s="121" t="s">
        <v>4598</v>
      </c>
      <c r="AB302" s="122" t="s">
        <v>1194</v>
      </c>
      <c r="AC302" s="123">
        <v>3</v>
      </c>
      <c r="AD302" s="124">
        <v>267.02999999999997</v>
      </c>
      <c r="AE302" s="200">
        <f t="shared" si="46"/>
        <v>801.09</v>
      </c>
      <c r="AF302" s="248"/>
      <c r="AR302" s="129" t="s">
        <v>347</v>
      </c>
      <c r="AT302" s="129" t="s">
        <v>231</v>
      </c>
      <c r="AU302" s="129" t="s">
        <v>63</v>
      </c>
      <c r="AY302" s="13" t="s">
        <v>228</v>
      </c>
      <c r="BE302" s="130">
        <f t="shared" si="47"/>
        <v>0</v>
      </c>
      <c r="BF302" s="130">
        <f t="shared" si="48"/>
        <v>801.09</v>
      </c>
      <c r="BG302" s="130">
        <f t="shared" si="49"/>
        <v>0</v>
      </c>
      <c r="BH302" s="130">
        <f t="shared" si="50"/>
        <v>0</v>
      </c>
      <c r="BI302" s="130">
        <f t="shared" si="51"/>
        <v>0</v>
      </c>
      <c r="BJ302" s="13" t="s">
        <v>76</v>
      </c>
      <c r="BK302" s="130">
        <f t="shared" si="52"/>
        <v>801.09</v>
      </c>
      <c r="BL302" s="13" t="s">
        <v>347</v>
      </c>
      <c r="BM302" s="129" t="s">
        <v>793</v>
      </c>
    </row>
    <row r="303" spans="2:65" s="1" customFormat="1" ht="16.5" customHeight="1" x14ac:dyDescent="0.2">
      <c r="B303" s="118"/>
      <c r="C303" s="131" t="s">
        <v>794</v>
      </c>
      <c r="D303" s="131" t="s">
        <v>277</v>
      </c>
      <c r="E303" s="132" t="s">
        <v>1758</v>
      </c>
      <c r="F303" s="133" t="s">
        <v>4598</v>
      </c>
      <c r="G303" s="134" t="s">
        <v>1194</v>
      </c>
      <c r="H303" s="135">
        <v>3</v>
      </c>
      <c r="I303" s="136">
        <v>3004.09</v>
      </c>
      <c r="J303" s="136">
        <f t="shared" si="42"/>
        <v>9012.27</v>
      </c>
      <c r="K303" s="133" t="s">
        <v>1</v>
      </c>
      <c r="L303" s="137"/>
      <c r="M303" s="138" t="s">
        <v>1</v>
      </c>
      <c r="N303" s="139" t="s">
        <v>32</v>
      </c>
      <c r="O303" s="127">
        <v>0</v>
      </c>
      <c r="P303" s="127">
        <f t="shared" si="43"/>
        <v>0</v>
      </c>
      <c r="Q303" s="127">
        <v>0</v>
      </c>
      <c r="R303" s="127">
        <f t="shared" si="44"/>
        <v>0</v>
      </c>
      <c r="S303" s="127">
        <v>0</v>
      </c>
      <c r="T303" s="128">
        <f t="shared" si="45"/>
        <v>0</v>
      </c>
      <c r="W303" s="199"/>
      <c r="X303" s="131" t="s">
        <v>794</v>
      </c>
      <c r="Y303" s="131" t="s">
        <v>277</v>
      </c>
      <c r="Z303" s="132" t="s">
        <v>1758</v>
      </c>
      <c r="AA303" s="133" t="s">
        <v>4598</v>
      </c>
      <c r="AB303" s="134" t="s">
        <v>1194</v>
      </c>
      <c r="AC303" s="135">
        <v>3</v>
      </c>
      <c r="AD303" s="136">
        <v>3004.09</v>
      </c>
      <c r="AE303" s="229">
        <f t="shared" si="46"/>
        <v>9012.27</v>
      </c>
      <c r="AF303" s="248"/>
      <c r="AR303" s="129" t="s">
        <v>705</v>
      </c>
      <c r="AT303" s="129" t="s">
        <v>277</v>
      </c>
      <c r="AU303" s="129" t="s">
        <v>63</v>
      </c>
      <c r="AY303" s="13" t="s">
        <v>228</v>
      </c>
      <c r="BE303" s="130">
        <f t="shared" si="47"/>
        <v>0</v>
      </c>
      <c r="BF303" s="130">
        <f t="shared" si="48"/>
        <v>9012.27</v>
      </c>
      <c r="BG303" s="130">
        <f t="shared" si="49"/>
        <v>0</v>
      </c>
      <c r="BH303" s="130">
        <f t="shared" si="50"/>
        <v>0</v>
      </c>
      <c r="BI303" s="130">
        <f t="shared" si="51"/>
        <v>0</v>
      </c>
      <c r="BJ303" s="13" t="s">
        <v>76</v>
      </c>
      <c r="BK303" s="130">
        <f t="shared" si="52"/>
        <v>9012.27</v>
      </c>
      <c r="BL303" s="13" t="s">
        <v>347</v>
      </c>
      <c r="BM303" s="129" t="s">
        <v>797</v>
      </c>
    </row>
    <row r="304" spans="2:65" s="392" customFormat="1" ht="16.5" customHeight="1" x14ac:dyDescent="0.2">
      <c r="B304" s="118"/>
      <c r="C304" s="1234" t="s">
        <v>5205</v>
      </c>
      <c r="D304" s="1235"/>
      <c r="E304" s="1235"/>
      <c r="F304" s="1235"/>
      <c r="G304" s="1235"/>
      <c r="H304" s="1235"/>
      <c r="I304" s="1235"/>
      <c r="J304" s="1236"/>
      <c r="K304" s="133"/>
      <c r="L304" s="137"/>
      <c r="M304" s="138"/>
      <c r="N304" s="139"/>
      <c r="O304" s="127"/>
      <c r="P304" s="127"/>
      <c r="Q304" s="127"/>
      <c r="R304" s="127"/>
      <c r="S304" s="127"/>
      <c r="T304" s="128"/>
      <c r="W304" s="199"/>
      <c r="X304" s="341" t="s">
        <v>5980</v>
      </c>
      <c r="Y304" s="341" t="s">
        <v>231</v>
      </c>
      <c r="Z304" s="342" t="s">
        <v>1735</v>
      </c>
      <c r="AA304" s="343" t="s">
        <v>1736</v>
      </c>
      <c r="AB304" s="344" t="s">
        <v>284</v>
      </c>
      <c r="AC304" s="345">
        <v>195</v>
      </c>
      <c r="AD304" s="346">
        <v>1.34</v>
      </c>
      <c r="AE304" s="355">
        <f>ROUND(AD304*AC304,2)</f>
        <v>261.3</v>
      </c>
      <c r="AF304" s="248">
        <v>2</v>
      </c>
      <c r="AR304" s="129"/>
      <c r="AT304" s="129"/>
      <c r="AU304" s="129"/>
      <c r="AY304" s="13"/>
      <c r="BE304" s="130"/>
      <c r="BF304" s="130"/>
      <c r="BG304" s="130"/>
      <c r="BH304" s="130"/>
      <c r="BI304" s="130"/>
      <c r="BJ304" s="13"/>
      <c r="BK304" s="130"/>
      <c r="BL304" s="13"/>
      <c r="BM304" s="129"/>
    </row>
    <row r="305" spans="2:65" s="392" customFormat="1" ht="16.5" customHeight="1" x14ac:dyDescent="0.2">
      <c r="B305" s="118"/>
      <c r="C305" s="1234" t="s">
        <v>5205</v>
      </c>
      <c r="D305" s="1235"/>
      <c r="E305" s="1235"/>
      <c r="F305" s="1235"/>
      <c r="G305" s="1235"/>
      <c r="H305" s="1235"/>
      <c r="I305" s="1235"/>
      <c r="J305" s="1236"/>
      <c r="K305" s="133"/>
      <c r="L305" s="137"/>
      <c r="M305" s="138"/>
      <c r="N305" s="139"/>
      <c r="O305" s="127"/>
      <c r="P305" s="127"/>
      <c r="Q305" s="127"/>
      <c r="R305" s="127"/>
      <c r="S305" s="127"/>
      <c r="T305" s="128"/>
      <c r="W305" s="199"/>
      <c r="X305" s="348" t="s">
        <v>5981</v>
      </c>
      <c r="Y305" s="348" t="s">
        <v>277</v>
      </c>
      <c r="Z305" s="349" t="s">
        <v>1735</v>
      </c>
      <c r="AA305" s="350" t="s">
        <v>1738</v>
      </c>
      <c r="AB305" s="351" t="s">
        <v>284</v>
      </c>
      <c r="AC305" s="352">
        <v>195</v>
      </c>
      <c r="AD305" s="353">
        <v>3.34</v>
      </c>
      <c r="AE305" s="356">
        <f>ROUND(AD305*AC305,2)</f>
        <v>651.29999999999995</v>
      </c>
      <c r="AF305" s="248">
        <v>2</v>
      </c>
      <c r="AR305" s="129"/>
      <c r="AT305" s="129"/>
      <c r="AU305" s="129"/>
      <c r="AY305" s="13"/>
      <c r="BE305" s="130"/>
      <c r="BF305" s="130"/>
      <c r="BG305" s="130"/>
      <c r="BH305" s="130"/>
      <c r="BI305" s="130"/>
      <c r="BJ305" s="13"/>
      <c r="BK305" s="130"/>
      <c r="BL305" s="13"/>
      <c r="BM305" s="129"/>
    </row>
    <row r="306" spans="2:65" s="1" customFormat="1" ht="24" customHeight="1" x14ac:dyDescent="0.2">
      <c r="B306" s="118"/>
      <c r="C306" s="119" t="s">
        <v>511</v>
      </c>
      <c r="D306" s="119" t="s">
        <v>231</v>
      </c>
      <c r="E306" s="120" t="s">
        <v>1374</v>
      </c>
      <c r="F306" s="121" t="s">
        <v>1375</v>
      </c>
      <c r="G306" s="122" t="s">
        <v>1194</v>
      </c>
      <c r="H306" s="123">
        <v>4</v>
      </c>
      <c r="I306" s="124">
        <v>29.11</v>
      </c>
      <c r="J306" s="124">
        <f t="shared" si="42"/>
        <v>116.44</v>
      </c>
      <c r="K306" s="121" t="s">
        <v>1</v>
      </c>
      <c r="L306" s="24"/>
      <c r="M306" s="125" t="s">
        <v>1</v>
      </c>
      <c r="N306" s="126" t="s">
        <v>32</v>
      </c>
      <c r="O306" s="127">
        <v>0</v>
      </c>
      <c r="P306" s="127">
        <f t="shared" si="43"/>
        <v>0</v>
      </c>
      <c r="Q306" s="127">
        <v>0</v>
      </c>
      <c r="R306" s="127">
        <f t="shared" si="44"/>
        <v>0</v>
      </c>
      <c r="S306" s="127">
        <v>0</v>
      </c>
      <c r="T306" s="128">
        <f t="shared" si="45"/>
        <v>0</v>
      </c>
      <c r="W306" s="199"/>
      <c r="X306" s="119" t="s">
        <v>511</v>
      </c>
      <c r="Y306" s="119" t="s">
        <v>231</v>
      </c>
      <c r="Z306" s="120" t="s">
        <v>1374</v>
      </c>
      <c r="AA306" s="121" t="s">
        <v>1375</v>
      </c>
      <c r="AB306" s="122" t="s">
        <v>1194</v>
      </c>
      <c r="AC306" s="123">
        <v>4</v>
      </c>
      <c r="AD306" s="124">
        <v>29.11</v>
      </c>
      <c r="AE306" s="200">
        <f t="shared" si="46"/>
        <v>116.44</v>
      </c>
      <c r="AF306" s="248"/>
      <c r="AR306" s="129" t="s">
        <v>347</v>
      </c>
      <c r="AT306" s="129" t="s">
        <v>231</v>
      </c>
      <c r="AU306" s="129" t="s">
        <v>63</v>
      </c>
      <c r="AY306" s="13" t="s">
        <v>228</v>
      </c>
      <c r="BE306" s="130">
        <f t="shared" si="47"/>
        <v>0</v>
      </c>
      <c r="BF306" s="130">
        <f t="shared" si="48"/>
        <v>116.44</v>
      </c>
      <c r="BG306" s="130">
        <f t="shared" si="49"/>
        <v>0</v>
      </c>
      <c r="BH306" s="130">
        <f t="shared" si="50"/>
        <v>0</v>
      </c>
      <c r="BI306" s="130">
        <f t="shared" si="51"/>
        <v>0</v>
      </c>
      <c r="BJ306" s="13" t="s">
        <v>76</v>
      </c>
      <c r="BK306" s="130">
        <f t="shared" si="52"/>
        <v>116.44</v>
      </c>
      <c r="BL306" s="13" t="s">
        <v>347</v>
      </c>
      <c r="BM306" s="129" t="s">
        <v>800</v>
      </c>
    </row>
    <row r="307" spans="2:65" s="1" customFormat="1" ht="24" customHeight="1" x14ac:dyDescent="0.2">
      <c r="B307" s="118"/>
      <c r="C307" s="119" t="s">
        <v>801</v>
      </c>
      <c r="D307" s="119" t="s">
        <v>231</v>
      </c>
      <c r="E307" s="120" t="s">
        <v>1359</v>
      </c>
      <c r="F307" s="121" t="s">
        <v>1360</v>
      </c>
      <c r="G307" s="122" t="s">
        <v>1194</v>
      </c>
      <c r="H307" s="123">
        <v>12</v>
      </c>
      <c r="I307" s="124">
        <v>7.67</v>
      </c>
      <c r="J307" s="124">
        <f t="shared" si="42"/>
        <v>92.04</v>
      </c>
      <c r="K307" s="121" t="s">
        <v>1</v>
      </c>
      <c r="L307" s="24"/>
      <c r="M307" s="125" t="s">
        <v>1</v>
      </c>
      <c r="N307" s="126" t="s">
        <v>32</v>
      </c>
      <c r="O307" s="127">
        <v>0</v>
      </c>
      <c r="P307" s="127">
        <f t="shared" si="43"/>
        <v>0</v>
      </c>
      <c r="Q307" s="127">
        <v>0</v>
      </c>
      <c r="R307" s="127">
        <f t="shared" si="44"/>
        <v>0</v>
      </c>
      <c r="S307" s="127">
        <v>0</v>
      </c>
      <c r="T307" s="128">
        <f t="shared" si="45"/>
        <v>0</v>
      </c>
      <c r="W307" s="199"/>
      <c r="X307" s="119" t="s">
        <v>801</v>
      </c>
      <c r="Y307" s="119" t="s">
        <v>231</v>
      </c>
      <c r="Z307" s="120" t="s">
        <v>1359</v>
      </c>
      <c r="AA307" s="121" t="s">
        <v>1360</v>
      </c>
      <c r="AB307" s="122" t="s">
        <v>1194</v>
      </c>
      <c r="AC307" s="123">
        <v>12</v>
      </c>
      <c r="AD307" s="124">
        <v>7.67</v>
      </c>
      <c r="AE307" s="200">
        <f t="shared" si="46"/>
        <v>92.04</v>
      </c>
      <c r="AF307" s="248"/>
      <c r="AR307" s="129" t="s">
        <v>347</v>
      </c>
      <c r="AT307" s="129" t="s">
        <v>231</v>
      </c>
      <c r="AU307" s="129" t="s">
        <v>63</v>
      </c>
      <c r="AY307" s="13" t="s">
        <v>228</v>
      </c>
      <c r="BE307" s="130">
        <f t="shared" si="47"/>
        <v>0</v>
      </c>
      <c r="BF307" s="130">
        <f t="shared" si="48"/>
        <v>92.04</v>
      </c>
      <c r="BG307" s="130">
        <f t="shared" si="49"/>
        <v>0</v>
      </c>
      <c r="BH307" s="130">
        <f t="shared" si="50"/>
        <v>0</v>
      </c>
      <c r="BI307" s="130">
        <f t="shared" si="51"/>
        <v>0</v>
      </c>
      <c r="BJ307" s="13" t="s">
        <v>76</v>
      </c>
      <c r="BK307" s="130">
        <f t="shared" si="52"/>
        <v>92.04</v>
      </c>
      <c r="BL307" s="13" t="s">
        <v>347</v>
      </c>
      <c r="BM307" s="129" t="s">
        <v>804</v>
      </c>
    </row>
    <row r="308" spans="2:65" s="1" customFormat="1" ht="16.5" customHeight="1" x14ac:dyDescent="0.2">
      <c r="B308" s="118"/>
      <c r="C308" s="131" t="s">
        <v>514</v>
      </c>
      <c r="D308" s="131" t="s">
        <v>277</v>
      </c>
      <c r="E308" s="132" t="s">
        <v>1362</v>
      </c>
      <c r="F308" s="133" t="s">
        <v>1363</v>
      </c>
      <c r="G308" s="134" t="s">
        <v>1194</v>
      </c>
      <c r="H308" s="135">
        <v>12</v>
      </c>
      <c r="I308" s="136">
        <v>5.21</v>
      </c>
      <c r="J308" s="136">
        <f t="shared" si="42"/>
        <v>62.52</v>
      </c>
      <c r="K308" s="133" t="s">
        <v>1</v>
      </c>
      <c r="L308" s="137"/>
      <c r="M308" s="138" t="s">
        <v>1</v>
      </c>
      <c r="N308" s="139" t="s">
        <v>32</v>
      </c>
      <c r="O308" s="127">
        <v>0</v>
      </c>
      <c r="P308" s="127">
        <f t="shared" si="43"/>
        <v>0</v>
      </c>
      <c r="Q308" s="127">
        <v>2.7E-4</v>
      </c>
      <c r="R308" s="127">
        <f t="shared" si="44"/>
        <v>3.2399999999999998E-3</v>
      </c>
      <c r="S308" s="127">
        <v>0</v>
      </c>
      <c r="T308" s="128">
        <f t="shared" si="45"/>
        <v>0</v>
      </c>
      <c r="W308" s="199"/>
      <c r="X308" s="131" t="s">
        <v>514</v>
      </c>
      <c r="Y308" s="131" t="s">
        <v>277</v>
      </c>
      <c r="Z308" s="132" t="s">
        <v>1362</v>
      </c>
      <c r="AA308" s="133" t="s">
        <v>1363</v>
      </c>
      <c r="AB308" s="134" t="s">
        <v>1194</v>
      </c>
      <c r="AC308" s="135">
        <v>12</v>
      </c>
      <c r="AD308" s="136">
        <v>5.21</v>
      </c>
      <c r="AE308" s="229">
        <f t="shared" si="46"/>
        <v>62.52</v>
      </c>
      <c r="AF308" s="248"/>
      <c r="AR308" s="129" t="s">
        <v>705</v>
      </c>
      <c r="AT308" s="129" t="s">
        <v>277</v>
      </c>
      <c r="AU308" s="129" t="s">
        <v>63</v>
      </c>
      <c r="AY308" s="13" t="s">
        <v>228</v>
      </c>
      <c r="BE308" s="130">
        <f t="shared" si="47"/>
        <v>0</v>
      </c>
      <c r="BF308" s="130">
        <f t="shared" si="48"/>
        <v>62.52</v>
      </c>
      <c r="BG308" s="130">
        <f t="shared" si="49"/>
        <v>0</v>
      </c>
      <c r="BH308" s="130">
        <f t="shared" si="50"/>
        <v>0</v>
      </c>
      <c r="BI308" s="130">
        <f t="shared" si="51"/>
        <v>0</v>
      </c>
      <c r="BJ308" s="13" t="s">
        <v>76</v>
      </c>
      <c r="BK308" s="130">
        <f t="shared" si="52"/>
        <v>62.52</v>
      </c>
      <c r="BL308" s="13" t="s">
        <v>347</v>
      </c>
      <c r="BM308" s="129" t="s">
        <v>807</v>
      </c>
    </row>
    <row r="309" spans="2:65" s="1" customFormat="1" ht="24" customHeight="1" x14ac:dyDescent="0.2">
      <c r="B309" s="118"/>
      <c r="C309" s="119" t="s">
        <v>808</v>
      </c>
      <c r="D309" s="119" t="s">
        <v>231</v>
      </c>
      <c r="E309" s="120" t="s">
        <v>1349</v>
      </c>
      <c r="F309" s="121" t="s">
        <v>1350</v>
      </c>
      <c r="G309" s="122" t="s">
        <v>1194</v>
      </c>
      <c r="H309" s="123">
        <v>4</v>
      </c>
      <c r="I309" s="124">
        <v>5.1100000000000003</v>
      </c>
      <c r="J309" s="124">
        <f t="shared" si="42"/>
        <v>20.440000000000001</v>
      </c>
      <c r="K309" s="121" t="s">
        <v>1</v>
      </c>
      <c r="L309" s="24"/>
      <c r="M309" s="125" t="s">
        <v>1</v>
      </c>
      <c r="N309" s="126" t="s">
        <v>32</v>
      </c>
      <c r="O309" s="127">
        <v>0</v>
      </c>
      <c r="P309" s="127">
        <f t="shared" si="43"/>
        <v>0</v>
      </c>
      <c r="Q309" s="127">
        <v>0</v>
      </c>
      <c r="R309" s="127">
        <f t="shared" si="44"/>
        <v>0</v>
      </c>
      <c r="S309" s="127">
        <v>0</v>
      </c>
      <c r="T309" s="128">
        <f t="shared" si="45"/>
        <v>0</v>
      </c>
      <c r="W309" s="199"/>
      <c r="X309" s="119" t="s">
        <v>808</v>
      </c>
      <c r="Y309" s="119" t="s">
        <v>231</v>
      </c>
      <c r="Z309" s="120" t="s">
        <v>1349</v>
      </c>
      <c r="AA309" s="121" t="s">
        <v>1350</v>
      </c>
      <c r="AB309" s="122" t="s">
        <v>1194</v>
      </c>
      <c r="AC309" s="123">
        <v>4</v>
      </c>
      <c r="AD309" s="124">
        <v>5.1100000000000003</v>
      </c>
      <c r="AE309" s="200">
        <f t="shared" si="46"/>
        <v>20.440000000000001</v>
      </c>
      <c r="AF309" s="248"/>
      <c r="AR309" s="129" t="s">
        <v>347</v>
      </c>
      <c r="AT309" s="129" t="s">
        <v>231</v>
      </c>
      <c r="AU309" s="129" t="s">
        <v>63</v>
      </c>
      <c r="AY309" s="13" t="s">
        <v>228</v>
      </c>
      <c r="BE309" s="130">
        <f t="shared" si="47"/>
        <v>0</v>
      </c>
      <c r="BF309" s="130">
        <f t="shared" si="48"/>
        <v>20.440000000000001</v>
      </c>
      <c r="BG309" s="130">
        <f t="shared" si="49"/>
        <v>0</v>
      </c>
      <c r="BH309" s="130">
        <f t="shared" si="50"/>
        <v>0</v>
      </c>
      <c r="BI309" s="130">
        <f t="shared" si="51"/>
        <v>0</v>
      </c>
      <c r="BJ309" s="13" t="s">
        <v>76</v>
      </c>
      <c r="BK309" s="130">
        <f t="shared" si="52"/>
        <v>20.440000000000001</v>
      </c>
      <c r="BL309" s="13" t="s">
        <v>347</v>
      </c>
      <c r="BM309" s="129" t="s">
        <v>811</v>
      </c>
    </row>
    <row r="310" spans="2:65" s="1" customFormat="1" ht="16.5" customHeight="1" x14ac:dyDescent="0.2">
      <c r="B310" s="118"/>
      <c r="C310" s="131" t="s">
        <v>518</v>
      </c>
      <c r="D310" s="131" t="s">
        <v>277</v>
      </c>
      <c r="E310" s="132" t="s">
        <v>1352</v>
      </c>
      <c r="F310" s="133" t="s">
        <v>1353</v>
      </c>
      <c r="G310" s="134" t="s">
        <v>1194</v>
      </c>
      <c r="H310" s="135">
        <v>4</v>
      </c>
      <c r="I310" s="136">
        <v>2.74</v>
      </c>
      <c r="J310" s="136">
        <f t="shared" si="42"/>
        <v>10.96</v>
      </c>
      <c r="K310" s="133" t="s">
        <v>1</v>
      </c>
      <c r="L310" s="137"/>
      <c r="M310" s="138" t="s">
        <v>1</v>
      </c>
      <c r="N310" s="139" t="s">
        <v>32</v>
      </c>
      <c r="O310" s="127">
        <v>0</v>
      </c>
      <c r="P310" s="127">
        <f t="shared" si="43"/>
        <v>0</v>
      </c>
      <c r="Q310" s="127">
        <v>1.1E-4</v>
      </c>
      <c r="R310" s="127">
        <f t="shared" si="44"/>
        <v>4.4000000000000002E-4</v>
      </c>
      <c r="S310" s="127">
        <v>0</v>
      </c>
      <c r="T310" s="128">
        <f t="shared" si="45"/>
        <v>0</v>
      </c>
      <c r="W310" s="199"/>
      <c r="X310" s="131" t="s">
        <v>518</v>
      </c>
      <c r="Y310" s="131" t="s">
        <v>277</v>
      </c>
      <c r="Z310" s="132" t="s">
        <v>1352</v>
      </c>
      <c r="AA310" s="133" t="s">
        <v>1353</v>
      </c>
      <c r="AB310" s="134" t="s">
        <v>1194</v>
      </c>
      <c r="AC310" s="135">
        <v>4</v>
      </c>
      <c r="AD310" s="136">
        <v>2.74</v>
      </c>
      <c r="AE310" s="229">
        <f t="shared" si="46"/>
        <v>10.96</v>
      </c>
      <c r="AF310" s="248"/>
      <c r="AR310" s="129" t="s">
        <v>705</v>
      </c>
      <c r="AT310" s="129" t="s">
        <v>277</v>
      </c>
      <c r="AU310" s="129" t="s">
        <v>63</v>
      </c>
      <c r="AY310" s="13" t="s">
        <v>228</v>
      </c>
      <c r="BE310" s="130">
        <f t="shared" si="47"/>
        <v>0</v>
      </c>
      <c r="BF310" s="130">
        <f t="shared" si="48"/>
        <v>10.96</v>
      </c>
      <c r="BG310" s="130">
        <f t="shared" si="49"/>
        <v>0</v>
      </c>
      <c r="BH310" s="130">
        <f t="shared" si="50"/>
        <v>0</v>
      </c>
      <c r="BI310" s="130">
        <f t="shared" si="51"/>
        <v>0</v>
      </c>
      <c r="BJ310" s="13" t="s">
        <v>76</v>
      </c>
      <c r="BK310" s="130">
        <f t="shared" si="52"/>
        <v>10.96</v>
      </c>
      <c r="BL310" s="13" t="s">
        <v>347</v>
      </c>
      <c r="BM310" s="129" t="s">
        <v>814</v>
      </c>
    </row>
    <row r="311" spans="2:65" s="1" customFormat="1" ht="24" customHeight="1" x14ac:dyDescent="0.2">
      <c r="B311" s="118"/>
      <c r="C311" s="119" t="s">
        <v>815</v>
      </c>
      <c r="D311" s="119" t="s">
        <v>231</v>
      </c>
      <c r="E311" s="120" t="s">
        <v>1371</v>
      </c>
      <c r="F311" s="121" t="s">
        <v>1372</v>
      </c>
      <c r="G311" s="122" t="s">
        <v>1194</v>
      </c>
      <c r="H311" s="123">
        <v>4</v>
      </c>
      <c r="I311" s="124">
        <v>20.47</v>
      </c>
      <c r="J311" s="124">
        <f t="shared" si="42"/>
        <v>81.88</v>
      </c>
      <c r="K311" s="121" t="s">
        <v>1</v>
      </c>
      <c r="L311" s="24"/>
      <c r="M311" s="125" t="s">
        <v>1</v>
      </c>
      <c r="N311" s="126" t="s">
        <v>32</v>
      </c>
      <c r="O311" s="127">
        <v>0</v>
      </c>
      <c r="P311" s="127">
        <f t="shared" si="43"/>
        <v>0</v>
      </c>
      <c r="Q311" s="127">
        <v>0</v>
      </c>
      <c r="R311" s="127">
        <f t="shared" si="44"/>
        <v>0</v>
      </c>
      <c r="S311" s="127">
        <v>0</v>
      </c>
      <c r="T311" s="128">
        <f t="shared" si="45"/>
        <v>0</v>
      </c>
      <c r="W311" s="199"/>
      <c r="X311" s="119" t="s">
        <v>815</v>
      </c>
      <c r="Y311" s="119" t="s">
        <v>231</v>
      </c>
      <c r="Z311" s="120" t="s">
        <v>1371</v>
      </c>
      <c r="AA311" s="121" t="s">
        <v>1372</v>
      </c>
      <c r="AB311" s="122" t="s">
        <v>1194</v>
      </c>
      <c r="AC311" s="123">
        <v>4</v>
      </c>
      <c r="AD311" s="124">
        <v>20.47</v>
      </c>
      <c r="AE311" s="200">
        <f t="shared" si="46"/>
        <v>81.88</v>
      </c>
      <c r="AF311" s="248"/>
      <c r="AR311" s="129" t="s">
        <v>347</v>
      </c>
      <c r="AT311" s="129" t="s">
        <v>231</v>
      </c>
      <c r="AU311" s="129" t="s">
        <v>63</v>
      </c>
      <c r="AY311" s="13" t="s">
        <v>228</v>
      </c>
      <c r="BE311" s="130">
        <f t="shared" si="47"/>
        <v>0</v>
      </c>
      <c r="BF311" s="130">
        <f t="shared" si="48"/>
        <v>81.88</v>
      </c>
      <c r="BG311" s="130">
        <f t="shared" si="49"/>
        <v>0</v>
      </c>
      <c r="BH311" s="130">
        <f t="shared" si="50"/>
        <v>0</v>
      </c>
      <c r="BI311" s="130">
        <f t="shared" si="51"/>
        <v>0</v>
      </c>
      <c r="BJ311" s="13" t="s">
        <v>76</v>
      </c>
      <c r="BK311" s="130">
        <f t="shared" si="52"/>
        <v>81.88</v>
      </c>
      <c r="BL311" s="13" t="s">
        <v>347</v>
      </c>
      <c r="BM311" s="129" t="s">
        <v>818</v>
      </c>
    </row>
    <row r="312" spans="2:65" s="1" customFormat="1" ht="24" customHeight="1" x14ac:dyDescent="0.2">
      <c r="B312" s="118"/>
      <c r="C312" s="119" t="s">
        <v>521</v>
      </c>
      <c r="D312" s="119" t="s">
        <v>231</v>
      </c>
      <c r="E312" s="120" t="s">
        <v>1346</v>
      </c>
      <c r="F312" s="121" t="s">
        <v>1347</v>
      </c>
      <c r="G312" s="122" t="s">
        <v>1194</v>
      </c>
      <c r="H312" s="123">
        <v>24</v>
      </c>
      <c r="I312" s="124">
        <v>4.32</v>
      </c>
      <c r="J312" s="124">
        <f t="shared" si="42"/>
        <v>103.68</v>
      </c>
      <c r="K312" s="121" t="s">
        <v>1</v>
      </c>
      <c r="L312" s="24"/>
      <c r="M312" s="125" t="s">
        <v>1</v>
      </c>
      <c r="N312" s="126" t="s">
        <v>32</v>
      </c>
      <c r="O312" s="127">
        <v>0</v>
      </c>
      <c r="P312" s="127">
        <f t="shared" si="43"/>
        <v>0</v>
      </c>
      <c r="Q312" s="127">
        <v>0</v>
      </c>
      <c r="R312" s="127">
        <f t="shared" si="44"/>
        <v>0</v>
      </c>
      <c r="S312" s="127">
        <v>0</v>
      </c>
      <c r="T312" s="128">
        <f t="shared" si="45"/>
        <v>0</v>
      </c>
      <c r="W312" s="199"/>
      <c r="X312" s="119" t="s">
        <v>521</v>
      </c>
      <c r="Y312" s="119" t="s">
        <v>231</v>
      </c>
      <c r="Z312" s="120" t="s">
        <v>1346</v>
      </c>
      <c r="AA312" s="121" t="s">
        <v>1347</v>
      </c>
      <c r="AB312" s="122" t="s">
        <v>1194</v>
      </c>
      <c r="AC312" s="123">
        <v>24</v>
      </c>
      <c r="AD312" s="124">
        <v>4.32</v>
      </c>
      <c r="AE312" s="200">
        <f t="shared" si="46"/>
        <v>103.68</v>
      </c>
      <c r="AF312" s="248"/>
      <c r="AR312" s="129" t="s">
        <v>347</v>
      </c>
      <c r="AT312" s="129" t="s">
        <v>231</v>
      </c>
      <c r="AU312" s="129" t="s">
        <v>63</v>
      </c>
      <c r="AY312" s="13" t="s">
        <v>228</v>
      </c>
      <c r="BE312" s="130">
        <f t="shared" si="47"/>
        <v>0</v>
      </c>
      <c r="BF312" s="130">
        <f t="shared" si="48"/>
        <v>103.68</v>
      </c>
      <c r="BG312" s="130">
        <f t="shared" si="49"/>
        <v>0</v>
      </c>
      <c r="BH312" s="130">
        <f t="shared" si="50"/>
        <v>0</v>
      </c>
      <c r="BI312" s="130">
        <f t="shared" si="51"/>
        <v>0</v>
      </c>
      <c r="BJ312" s="13" t="s">
        <v>76</v>
      </c>
      <c r="BK312" s="130">
        <f t="shared" si="52"/>
        <v>103.68</v>
      </c>
      <c r="BL312" s="13" t="s">
        <v>347</v>
      </c>
      <c r="BM312" s="129" t="s">
        <v>821</v>
      </c>
    </row>
    <row r="313" spans="2:65" s="1" customFormat="1" ht="24" customHeight="1" x14ac:dyDescent="0.2">
      <c r="B313" s="118"/>
      <c r="C313" s="119" t="s">
        <v>824</v>
      </c>
      <c r="D313" s="119" t="s">
        <v>231</v>
      </c>
      <c r="E313" s="120" t="s">
        <v>1365</v>
      </c>
      <c r="F313" s="121" t="s">
        <v>1366</v>
      </c>
      <c r="G313" s="122" t="s">
        <v>1194</v>
      </c>
      <c r="H313" s="123">
        <v>97</v>
      </c>
      <c r="I313" s="124">
        <v>4.74</v>
      </c>
      <c r="J313" s="124">
        <f t="shared" ref="J313:J315" si="54">ROUND(I313*H313,2)</f>
        <v>459.78</v>
      </c>
      <c r="K313" s="121" t="s">
        <v>1</v>
      </c>
      <c r="L313" s="24"/>
      <c r="M313" s="125" t="s">
        <v>1</v>
      </c>
      <c r="N313" s="126" t="s">
        <v>32</v>
      </c>
      <c r="O313" s="127">
        <v>0</v>
      </c>
      <c r="P313" s="127">
        <f t="shared" ref="P313:P315" si="55">O313*H313</f>
        <v>0</v>
      </c>
      <c r="Q313" s="127">
        <v>0</v>
      </c>
      <c r="R313" s="127">
        <f t="shared" ref="R313:R315" si="56">Q313*H313</f>
        <v>0</v>
      </c>
      <c r="S313" s="127">
        <v>0</v>
      </c>
      <c r="T313" s="128">
        <f t="shared" ref="T313:T315" si="57">S313*H313</f>
        <v>0</v>
      </c>
      <c r="W313" s="199"/>
      <c r="X313" s="119" t="s">
        <v>824</v>
      </c>
      <c r="Y313" s="119" t="s">
        <v>231</v>
      </c>
      <c r="Z313" s="120" t="s">
        <v>1365</v>
      </c>
      <c r="AA313" s="121" t="s">
        <v>1366</v>
      </c>
      <c r="AB313" s="122" t="s">
        <v>1194</v>
      </c>
      <c r="AC313" s="123">
        <v>97</v>
      </c>
      <c r="AD313" s="124">
        <v>4.74</v>
      </c>
      <c r="AE313" s="200">
        <f t="shared" si="46"/>
        <v>459.78</v>
      </c>
      <c r="AF313" s="248"/>
      <c r="AR313" s="129" t="s">
        <v>347</v>
      </c>
      <c r="AT313" s="129" t="s">
        <v>231</v>
      </c>
      <c r="AU313" s="129" t="s">
        <v>63</v>
      </c>
      <c r="AY313" s="13" t="s">
        <v>228</v>
      </c>
      <c r="BE313" s="130">
        <f t="shared" si="47"/>
        <v>0</v>
      </c>
      <c r="BF313" s="130">
        <f t="shared" si="48"/>
        <v>459.78</v>
      </c>
      <c r="BG313" s="130">
        <f t="shared" si="49"/>
        <v>0</v>
      </c>
      <c r="BH313" s="130">
        <f t="shared" si="50"/>
        <v>0</v>
      </c>
      <c r="BI313" s="130">
        <f t="shared" si="51"/>
        <v>0</v>
      </c>
      <c r="BJ313" s="13" t="s">
        <v>76</v>
      </c>
      <c r="BK313" s="130">
        <f t="shared" si="52"/>
        <v>459.78</v>
      </c>
      <c r="BL313" s="13" t="s">
        <v>347</v>
      </c>
      <c r="BM313" s="129" t="s">
        <v>827</v>
      </c>
    </row>
    <row r="314" spans="2:65" s="1" customFormat="1" ht="24" customHeight="1" x14ac:dyDescent="0.2">
      <c r="B314" s="118"/>
      <c r="C314" s="119" t="s">
        <v>525</v>
      </c>
      <c r="D314" s="119" t="s">
        <v>231</v>
      </c>
      <c r="E314" s="120" t="s">
        <v>1331</v>
      </c>
      <c r="F314" s="121" t="s">
        <v>1332</v>
      </c>
      <c r="G314" s="122" t="s">
        <v>1194</v>
      </c>
      <c r="H314" s="123">
        <v>6</v>
      </c>
      <c r="I314" s="124">
        <v>1.24</v>
      </c>
      <c r="J314" s="124">
        <f t="shared" si="54"/>
        <v>7.44</v>
      </c>
      <c r="K314" s="121" t="s">
        <v>1</v>
      </c>
      <c r="L314" s="24"/>
      <c r="M314" s="125" t="s">
        <v>1</v>
      </c>
      <c r="N314" s="126" t="s">
        <v>32</v>
      </c>
      <c r="O314" s="127">
        <v>0</v>
      </c>
      <c r="P314" s="127">
        <f t="shared" si="55"/>
        <v>0</v>
      </c>
      <c r="Q314" s="127">
        <v>0</v>
      </c>
      <c r="R314" s="127">
        <f t="shared" si="56"/>
        <v>0</v>
      </c>
      <c r="S314" s="127">
        <v>0</v>
      </c>
      <c r="T314" s="128">
        <f t="shared" si="57"/>
        <v>0</v>
      </c>
      <c r="W314" s="199"/>
      <c r="X314" s="119" t="s">
        <v>525</v>
      </c>
      <c r="Y314" s="119" t="s">
        <v>231</v>
      </c>
      <c r="Z314" s="120" t="s">
        <v>1331</v>
      </c>
      <c r="AA314" s="121" t="s">
        <v>1332</v>
      </c>
      <c r="AB314" s="122" t="s">
        <v>1194</v>
      </c>
      <c r="AC314" s="123">
        <v>6</v>
      </c>
      <c r="AD314" s="124">
        <v>1.24</v>
      </c>
      <c r="AE314" s="200">
        <f t="shared" si="46"/>
        <v>7.44</v>
      </c>
      <c r="AF314" s="248"/>
      <c r="AR314" s="129" t="s">
        <v>347</v>
      </c>
      <c r="AT314" s="129" t="s">
        <v>231</v>
      </c>
      <c r="AU314" s="129" t="s">
        <v>63</v>
      </c>
      <c r="AY314" s="13" t="s">
        <v>228</v>
      </c>
      <c r="BE314" s="130">
        <f t="shared" si="47"/>
        <v>0</v>
      </c>
      <c r="BF314" s="130">
        <f t="shared" si="48"/>
        <v>7.44</v>
      </c>
      <c r="BG314" s="130">
        <f t="shared" si="49"/>
        <v>0</v>
      </c>
      <c r="BH314" s="130">
        <f t="shared" si="50"/>
        <v>0</v>
      </c>
      <c r="BI314" s="130">
        <f t="shared" si="51"/>
        <v>0</v>
      </c>
      <c r="BJ314" s="13" t="s">
        <v>76</v>
      </c>
      <c r="BK314" s="130">
        <f t="shared" si="52"/>
        <v>7.44</v>
      </c>
      <c r="BL314" s="13" t="s">
        <v>347</v>
      </c>
      <c r="BM314" s="129" t="s">
        <v>830</v>
      </c>
    </row>
    <row r="315" spans="2:65" s="1" customFormat="1" ht="24" customHeight="1" x14ac:dyDescent="0.2">
      <c r="B315" s="118"/>
      <c r="C315" s="119" t="s">
        <v>831</v>
      </c>
      <c r="D315" s="119" t="s">
        <v>231</v>
      </c>
      <c r="E315" s="120" t="s">
        <v>1328</v>
      </c>
      <c r="F315" s="121" t="s">
        <v>1329</v>
      </c>
      <c r="G315" s="122" t="s">
        <v>1194</v>
      </c>
      <c r="H315" s="123">
        <v>405</v>
      </c>
      <c r="I315" s="124">
        <v>0.87</v>
      </c>
      <c r="J315" s="124">
        <f t="shared" si="54"/>
        <v>352.35</v>
      </c>
      <c r="K315" s="121" t="s">
        <v>1</v>
      </c>
      <c r="L315" s="24"/>
      <c r="M315" s="125" t="s">
        <v>1</v>
      </c>
      <c r="N315" s="126" t="s">
        <v>32</v>
      </c>
      <c r="O315" s="127">
        <v>0</v>
      </c>
      <c r="P315" s="127">
        <f t="shared" si="55"/>
        <v>0</v>
      </c>
      <c r="Q315" s="127">
        <v>0</v>
      </c>
      <c r="R315" s="127">
        <f t="shared" si="56"/>
        <v>0</v>
      </c>
      <c r="S315" s="127">
        <v>0</v>
      </c>
      <c r="T315" s="128">
        <f t="shared" si="57"/>
        <v>0</v>
      </c>
      <c r="W315" s="199"/>
      <c r="X315" s="119" t="s">
        <v>831</v>
      </c>
      <c r="Y315" s="119" t="s">
        <v>231</v>
      </c>
      <c r="Z315" s="120" t="s">
        <v>1328</v>
      </c>
      <c r="AA315" s="121" t="s">
        <v>1329</v>
      </c>
      <c r="AB315" s="122" t="s">
        <v>1194</v>
      </c>
      <c r="AC315" s="123">
        <v>405</v>
      </c>
      <c r="AD315" s="124">
        <v>0.87</v>
      </c>
      <c r="AE315" s="200">
        <f t="shared" si="46"/>
        <v>352.35</v>
      </c>
      <c r="AF315" s="248"/>
      <c r="AR315" s="129" t="s">
        <v>347</v>
      </c>
      <c r="AT315" s="129" t="s">
        <v>231</v>
      </c>
      <c r="AU315" s="129" t="s">
        <v>63</v>
      </c>
      <c r="AY315" s="13" t="s">
        <v>228</v>
      </c>
      <c r="BE315" s="130">
        <f t="shared" si="47"/>
        <v>0</v>
      </c>
      <c r="BF315" s="130">
        <f t="shared" si="48"/>
        <v>352.35</v>
      </c>
      <c r="BG315" s="130">
        <f t="shared" si="49"/>
        <v>0</v>
      </c>
      <c r="BH315" s="130">
        <f t="shared" si="50"/>
        <v>0</v>
      </c>
      <c r="BI315" s="130">
        <f t="shared" si="51"/>
        <v>0</v>
      </c>
      <c r="BJ315" s="13" t="s">
        <v>76</v>
      </c>
      <c r="BK315" s="130">
        <f t="shared" si="52"/>
        <v>352.35</v>
      </c>
      <c r="BL315" s="13" t="s">
        <v>347</v>
      </c>
      <c r="BM315" s="129" t="s">
        <v>834</v>
      </c>
    </row>
    <row r="316" spans="2:65" s="11" customFormat="1" ht="25.95" customHeight="1" x14ac:dyDescent="0.25">
      <c r="B316" s="106"/>
      <c r="D316" s="107" t="s">
        <v>57</v>
      </c>
      <c r="E316" s="108" t="s">
        <v>3978</v>
      </c>
      <c r="F316" s="108" t="s">
        <v>3979</v>
      </c>
      <c r="J316" s="109">
        <f>BK316</f>
        <v>15543.29</v>
      </c>
      <c r="L316" s="106"/>
      <c r="M316" s="110"/>
      <c r="N316" s="111"/>
      <c r="O316" s="111"/>
      <c r="P316" s="112">
        <f>SUM(P317:P324)</f>
        <v>0</v>
      </c>
      <c r="Q316" s="111"/>
      <c r="R316" s="112">
        <f>SUM(R317:R324)</f>
        <v>0</v>
      </c>
      <c r="S316" s="111"/>
      <c r="T316" s="113">
        <f>SUM(T317:T324)</f>
        <v>0</v>
      </c>
      <c r="W316" s="195"/>
      <c r="X316" s="111"/>
      <c r="Y316" s="196" t="s">
        <v>57</v>
      </c>
      <c r="Z316" s="197" t="s">
        <v>3978</v>
      </c>
      <c r="AA316" s="197" t="s">
        <v>3979</v>
      </c>
      <c r="AB316" s="111"/>
      <c r="AC316" s="111"/>
      <c r="AD316" s="111"/>
      <c r="AE316" s="198">
        <f>SUM(AE317:AE324)</f>
        <v>10345.43</v>
      </c>
      <c r="AF316" s="248"/>
      <c r="AR316" s="107" t="s">
        <v>229</v>
      </c>
      <c r="AT316" s="114" t="s">
        <v>57</v>
      </c>
      <c r="AU316" s="114" t="s">
        <v>58</v>
      </c>
      <c r="AY316" s="107" t="s">
        <v>228</v>
      </c>
      <c r="BK316" s="115">
        <f>SUM(BK317:BK324)</f>
        <v>15543.29</v>
      </c>
    </row>
    <row r="317" spans="2:65" s="1" customFormat="1" ht="24" customHeight="1" x14ac:dyDescent="0.2">
      <c r="B317" s="118"/>
      <c r="C317" s="205" t="s">
        <v>528</v>
      </c>
      <c r="D317" s="119" t="s">
        <v>231</v>
      </c>
      <c r="E317" s="120" t="s">
        <v>3980</v>
      </c>
      <c r="F317" s="121" t="s">
        <v>3981</v>
      </c>
      <c r="G317" s="122" t="s">
        <v>1194</v>
      </c>
      <c r="H317" s="206">
        <v>9</v>
      </c>
      <c r="I317" s="124">
        <v>230.98</v>
      </c>
      <c r="J317" s="124">
        <f t="shared" ref="J317:J324" si="58">ROUND(I317*H317,2)</f>
        <v>2078.8200000000002</v>
      </c>
      <c r="K317" s="121" t="s">
        <v>1</v>
      </c>
      <c r="L317" s="24"/>
      <c r="M317" s="125" t="s">
        <v>1</v>
      </c>
      <c r="N317" s="126" t="s">
        <v>32</v>
      </c>
      <c r="O317" s="127">
        <v>0</v>
      </c>
      <c r="P317" s="127">
        <f t="shared" ref="P317:P324" si="59">O317*H317</f>
        <v>0</v>
      </c>
      <c r="Q317" s="127">
        <v>0</v>
      </c>
      <c r="R317" s="127">
        <f t="shared" ref="R317:R324" si="60">Q317*H317</f>
        <v>0</v>
      </c>
      <c r="S317" s="127">
        <v>0</v>
      </c>
      <c r="T317" s="128">
        <f t="shared" ref="T317:T324" si="61">S317*H317</f>
        <v>0</v>
      </c>
      <c r="W317" s="199"/>
      <c r="X317" s="205" t="s">
        <v>528</v>
      </c>
      <c r="Y317" s="119" t="s">
        <v>231</v>
      </c>
      <c r="Z317" s="120" t="s">
        <v>3980</v>
      </c>
      <c r="AA317" s="121" t="s">
        <v>3981</v>
      </c>
      <c r="AB317" s="122" t="s">
        <v>1194</v>
      </c>
      <c r="AC317" s="206">
        <f>9+1</f>
        <v>10</v>
      </c>
      <c r="AD317" s="124">
        <v>230.98</v>
      </c>
      <c r="AE317" s="200">
        <f t="shared" ref="AE317:AE324" si="62">ROUND(AD317*AC317,2)</f>
        <v>2309.8000000000002</v>
      </c>
      <c r="AF317" s="248">
        <v>2</v>
      </c>
      <c r="AR317" s="129" t="s">
        <v>347</v>
      </c>
      <c r="AT317" s="129" t="s">
        <v>231</v>
      </c>
      <c r="AU317" s="129" t="s">
        <v>63</v>
      </c>
      <c r="AY317" s="13" t="s">
        <v>228</v>
      </c>
      <c r="BE317" s="130">
        <f t="shared" ref="BE317:BE324" si="63">IF(N317="základná",J317,0)</f>
        <v>0</v>
      </c>
      <c r="BF317" s="130">
        <f t="shared" ref="BF317:BF324" si="64">IF(N317="znížená",J317,0)</f>
        <v>2078.8200000000002</v>
      </c>
      <c r="BG317" s="130">
        <f t="shared" ref="BG317:BG324" si="65">IF(N317="zákl. prenesená",J317,0)</f>
        <v>0</v>
      </c>
      <c r="BH317" s="130">
        <f t="shared" ref="BH317:BH324" si="66">IF(N317="zníž. prenesená",J317,0)</f>
        <v>0</v>
      </c>
      <c r="BI317" s="130">
        <f t="shared" ref="BI317:BI324" si="67">IF(N317="nulová",J317,0)</f>
        <v>0</v>
      </c>
      <c r="BJ317" s="13" t="s">
        <v>76</v>
      </c>
      <c r="BK317" s="130">
        <f t="shared" ref="BK317:BK324" si="68">ROUND(I317*H317,2)</f>
        <v>2078.8200000000002</v>
      </c>
      <c r="BL317" s="13" t="s">
        <v>347</v>
      </c>
      <c r="BM317" s="129" t="s">
        <v>837</v>
      </c>
    </row>
    <row r="318" spans="2:65" s="1" customFormat="1" ht="24" customHeight="1" x14ac:dyDescent="0.2">
      <c r="B318" s="118"/>
      <c r="C318" s="119" t="s">
        <v>838</v>
      </c>
      <c r="D318" s="119" t="s">
        <v>231</v>
      </c>
      <c r="E318" s="120" t="s">
        <v>3982</v>
      </c>
      <c r="F318" s="121" t="s">
        <v>3983</v>
      </c>
      <c r="G318" s="122" t="s">
        <v>234</v>
      </c>
      <c r="H318" s="123">
        <v>3.35</v>
      </c>
      <c r="I318" s="124">
        <v>10.74</v>
      </c>
      <c r="J318" s="124">
        <f t="shared" si="58"/>
        <v>35.979999999999997</v>
      </c>
      <c r="K318" s="121" t="s">
        <v>1</v>
      </c>
      <c r="L318" s="24"/>
      <c r="M318" s="125" t="s">
        <v>1</v>
      </c>
      <c r="N318" s="126" t="s">
        <v>32</v>
      </c>
      <c r="O318" s="127">
        <v>0</v>
      </c>
      <c r="P318" s="127">
        <f t="shared" si="59"/>
        <v>0</v>
      </c>
      <c r="Q318" s="127">
        <v>0</v>
      </c>
      <c r="R318" s="127">
        <f t="shared" si="60"/>
        <v>0</v>
      </c>
      <c r="S318" s="127">
        <v>0</v>
      </c>
      <c r="T318" s="128">
        <f t="shared" si="61"/>
        <v>0</v>
      </c>
      <c r="W318" s="199"/>
      <c r="X318" s="119" t="s">
        <v>838</v>
      </c>
      <c r="Y318" s="119" t="s">
        <v>231</v>
      </c>
      <c r="Z318" s="120" t="s">
        <v>3982</v>
      </c>
      <c r="AA318" s="121" t="s">
        <v>3983</v>
      </c>
      <c r="AB318" s="122" t="s">
        <v>234</v>
      </c>
      <c r="AC318" s="123">
        <v>3.35</v>
      </c>
      <c r="AD318" s="124">
        <v>10.74</v>
      </c>
      <c r="AE318" s="200">
        <f t="shared" si="62"/>
        <v>35.979999999999997</v>
      </c>
      <c r="AF318" s="248"/>
      <c r="AR318" s="129" t="s">
        <v>347</v>
      </c>
      <c r="AT318" s="129" t="s">
        <v>231</v>
      </c>
      <c r="AU318" s="129" t="s">
        <v>63</v>
      </c>
      <c r="AY318" s="13" t="s">
        <v>228</v>
      </c>
      <c r="BE318" s="130">
        <f t="shared" si="63"/>
        <v>0</v>
      </c>
      <c r="BF318" s="130">
        <f t="shared" si="64"/>
        <v>35.979999999999997</v>
      </c>
      <c r="BG318" s="130">
        <f t="shared" si="65"/>
        <v>0</v>
      </c>
      <c r="BH318" s="130">
        <f t="shared" si="66"/>
        <v>0</v>
      </c>
      <c r="BI318" s="130">
        <f t="shared" si="67"/>
        <v>0</v>
      </c>
      <c r="BJ318" s="13" t="s">
        <v>76</v>
      </c>
      <c r="BK318" s="130">
        <f t="shared" si="68"/>
        <v>35.979999999999997</v>
      </c>
      <c r="BL318" s="13" t="s">
        <v>347</v>
      </c>
      <c r="BM318" s="129" t="s">
        <v>841</v>
      </c>
    </row>
    <row r="319" spans="2:65" s="1" customFormat="1" ht="24" customHeight="1" x14ac:dyDescent="0.2">
      <c r="B319" s="118"/>
      <c r="C319" s="119" t="s">
        <v>532</v>
      </c>
      <c r="D319" s="119" t="s">
        <v>231</v>
      </c>
      <c r="E319" s="120" t="s">
        <v>3965</v>
      </c>
      <c r="F319" s="121" t="s">
        <v>3985</v>
      </c>
      <c r="G319" s="122" t="s">
        <v>292</v>
      </c>
      <c r="H319" s="123">
        <v>90</v>
      </c>
      <c r="I319" s="124">
        <v>5.83</v>
      </c>
      <c r="J319" s="124">
        <f t="shared" si="58"/>
        <v>524.70000000000005</v>
      </c>
      <c r="K319" s="121" t="s">
        <v>1</v>
      </c>
      <c r="L319" s="24"/>
      <c r="M319" s="125" t="s">
        <v>1</v>
      </c>
      <c r="N319" s="126" t="s">
        <v>32</v>
      </c>
      <c r="O319" s="127">
        <v>0</v>
      </c>
      <c r="P319" s="127">
        <f t="shared" si="59"/>
        <v>0</v>
      </c>
      <c r="Q319" s="127">
        <v>0</v>
      </c>
      <c r="R319" s="127">
        <f t="shared" si="60"/>
        <v>0</v>
      </c>
      <c r="S319" s="127">
        <v>0</v>
      </c>
      <c r="T319" s="128">
        <f t="shared" si="61"/>
        <v>0</v>
      </c>
      <c r="W319" s="199"/>
      <c r="X319" s="119" t="s">
        <v>532</v>
      </c>
      <c r="Y319" s="119" t="s">
        <v>231</v>
      </c>
      <c r="Z319" s="120" t="s">
        <v>3965</v>
      </c>
      <c r="AA319" s="121" t="s">
        <v>3985</v>
      </c>
      <c r="AB319" s="122" t="s">
        <v>292</v>
      </c>
      <c r="AC319" s="123">
        <v>90</v>
      </c>
      <c r="AD319" s="124">
        <v>5.83</v>
      </c>
      <c r="AE319" s="200">
        <f t="shared" si="62"/>
        <v>524.70000000000005</v>
      </c>
      <c r="AF319" s="248"/>
      <c r="AR319" s="129" t="s">
        <v>347</v>
      </c>
      <c r="AT319" s="129" t="s">
        <v>231</v>
      </c>
      <c r="AU319" s="129" t="s">
        <v>63</v>
      </c>
      <c r="AY319" s="13" t="s">
        <v>228</v>
      </c>
      <c r="BE319" s="130">
        <f t="shared" si="63"/>
        <v>0</v>
      </c>
      <c r="BF319" s="130">
        <f t="shared" si="64"/>
        <v>524.70000000000005</v>
      </c>
      <c r="BG319" s="130">
        <f t="shared" si="65"/>
        <v>0</v>
      </c>
      <c r="BH319" s="130">
        <f t="shared" si="66"/>
        <v>0</v>
      </c>
      <c r="BI319" s="130">
        <f t="shared" si="67"/>
        <v>0</v>
      </c>
      <c r="BJ319" s="13" t="s">
        <v>76</v>
      </c>
      <c r="BK319" s="130">
        <f t="shared" si="68"/>
        <v>524.70000000000005</v>
      </c>
      <c r="BL319" s="13" t="s">
        <v>347</v>
      </c>
      <c r="BM319" s="129" t="s">
        <v>844</v>
      </c>
    </row>
    <row r="320" spans="2:65" s="1" customFormat="1" ht="24" customHeight="1" x14ac:dyDescent="0.2">
      <c r="B320" s="118"/>
      <c r="C320" s="119" t="s">
        <v>845</v>
      </c>
      <c r="D320" s="119" t="s">
        <v>231</v>
      </c>
      <c r="E320" s="120" t="s">
        <v>3986</v>
      </c>
      <c r="F320" s="121" t="s">
        <v>3970</v>
      </c>
      <c r="G320" s="122" t="s">
        <v>284</v>
      </c>
      <c r="H320" s="123">
        <v>31.5</v>
      </c>
      <c r="I320" s="124">
        <v>1.93</v>
      </c>
      <c r="J320" s="124">
        <f t="shared" si="58"/>
        <v>60.8</v>
      </c>
      <c r="K320" s="121" t="s">
        <v>1</v>
      </c>
      <c r="L320" s="24"/>
      <c r="M320" s="125" t="s">
        <v>1</v>
      </c>
      <c r="N320" s="126" t="s">
        <v>32</v>
      </c>
      <c r="O320" s="127">
        <v>0</v>
      </c>
      <c r="P320" s="127">
        <f t="shared" si="59"/>
        <v>0</v>
      </c>
      <c r="Q320" s="127">
        <v>0</v>
      </c>
      <c r="R320" s="127">
        <f t="shared" si="60"/>
        <v>0</v>
      </c>
      <c r="S320" s="127">
        <v>0</v>
      </c>
      <c r="T320" s="128">
        <f t="shared" si="61"/>
        <v>0</v>
      </c>
      <c r="W320" s="199"/>
      <c r="X320" s="119" t="s">
        <v>845</v>
      </c>
      <c r="Y320" s="119" t="s">
        <v>231</v>
      </c>
      <c r="Z320" s="120" t="s">
        <v>3986</v>
      </c>
      <c r="AA320" s="121" t="s">
        <v>3970</v>
      </c>
      <c r="AB320" s="122" t="s">
        <v>284</v>
      </c>
      <c r="AC320" s="123">
        <v>31.5</v>
      </c>
      <c r="AD320" s="124">
        <v>1.93</v>
      </c>
      <c r="AE320" s="200">
        <f t="shared" si="62"/>
        <v>60.8</v>
      </c>
      <c r="AF320" s="248"/>
      <c r="AR320" s="129" t="s">
        <v>347</v>
      </c>
      <c r="AT320" s="129" t="s">
        <v>231</v>
      </c>
      <c r="AU320" s="129" t="s">
        <v>63</v>
      </c>
      <c r="AY320" s="13" t="s">
        <v>228</v>
      </c>
      <c r="BE320" s="130">
        <f t="shared" si="63"/>
        <v>0</v>
      </c>
      <c r="BF320" s="130">
        <f t="shared" si="64"/>
        <v>60.8</v>
      </c>
      <c r="BG320" s="130">
        <f t="shared" si="65"/>
        <v>0</v>
      </c>
      <c r="BH320" s="130">
        <f t="shared" si="66"/>
        <v>0</v>
      </c>
      <c r="BI320" s="130">
        <f t="shared" si="67"/>
        <v>0</v>
      </c>
      <c r="BJ320" s="13" t="s">
        <v>76</v>
      </c>
      <c r="BK320" s="130">
        <f t="shared" si="68"/>
        <v>60.8</v>
      </c>
      <c r="BL320" s="13" t="s">
        <v>347</v>
      </c>
      <c r="BM320" s="129" t="s">
        <v>848</v>
      </c>
    </row>
    <row r="321" spans="2:65" s="1" customFormat="1" ht="16.5" customHeight="1" x14ac:dyDescent="0.2">
      <c r="B321" s="118"/>
      <c r="C321" s="119" t="s">
        <v>535</v>
      </c>
      <c r="D321" s="119" t="s">
        <v>231</v>
      </c>
      <c r="E321" s="120" t="s">
        <v>1758</v>
      </c>
      <c r="F321" s="121" t="s">
        <v>1759</v>
      </c>
      <c r="G321" s="122" t="s">
        <v>1194</v>
      </c>
      <c r="H321" s="123">
        <v>1</v>
      </c>
      <c r="I321" s="124">
        <v>2005.05</v>
      </c>
      <c r="J321" s="124">
        <f t="shared" si="58"/>
        <v>2005.05</v>
      </c>
      <c r="K321" s="121" t="s">
        <v>1</v>
      </c>
      <c r="L321" s="24"/>
      <c r="M321" s="125" t="s">
        <v>1</v>
      </c>
      <c r="N321" s="126" t="s">
        <v>32</v>
      </c>
      <c r="O321" s="127">
        <v>0</v>
      </c>
      <c r="P321" s="127">
        <f t="shared" si="59"/>
        <v>0</v>
      </c>
      <c r="Q321" s="127">
        <v>0</v>
      </c>
      <c r="R321" s="127">
        <f t="shared" si="60"/>
        <v>0</v>
      </c>
      <c r="S321" s="127">
        <v>0</v>
      </c>
      <c r="T321" s="128">
        <f t="shared" si="61"/>
        <v>0</v>
      </c>
      <c r="W321" s="199"/>
      <c r="X321" s="119" t="s">
        <v>535</v>
      </c>
      <c r="Y321" s="119" t="s">
        <v>231</v>
      </c>
      <c r="Z321" s="120" t="s">
        <v>1758</v>
      </c>
      <c r="AA321" s="121" t="s">
        <v>1759</v>
      </c>
      <c r="AB321" s="122" t="s">
        <v>1194</v>
      </c>
      <c r="AC321" s="123">
        <v>1</v>
      </c>
      <c r="AD321" s="124">
        <v>2005.05</v>
      </c>
      <c r="AE321" s="200">
        <f t="shared" si="62"/>
        <v>2005.05</v>
      </c>
      <c r="AF321" s="248"/>
      <c r="AR321" s="129" t="s">
        <v>347</v>
      </c>
      <c r="AT321" s="129" t="s">
        <v>231</v>
      </c>
      <c r="AU321" s="129" t="s">
        <v>63</v>
      </c>
      <c r="AY321" s="13" t="s">
        <v>228</v>
      </c>
      <c r="BE321" s="130">
        <f t="shared" si="63"/>
        <v>0</v>
      </c>
      <c r="BF321" s="130">
        <f t="shared" si="64"/>
        <v>2005.05</v>
      </c>
      <c r="BG321" s="130">
        <f t="shared" si="65"/>
        <v>0</v>
      </c>
      <c r="BH321" s="130">
        <f t="shared" si="66"/>
        <v>0</v>
      </c>
      <c r="BI321" s="130">
        <f t="shared" si="67"/>
        <v>0</v>
      </c>
      <c r="BJ321" s="13" t="s">
        <v>76</v>
      </c>
      <c r="BK321" s="130">
        <f t="shared" si="68"/>
        <v>2005.05</v>
      </c>
      <c r="BL321" s="13" t="s">
        <v>347</v>
      </c>
      <c r="BM321" s="129" t="s">
        <v>851</v>
      </c>
    </row>
    <row r="322" spans="2:65" s="1" customFormat="1" ht="24" customHeight="1" x14ac:dyDescent="0.2">
      <c r="B322" s="118"/>
      <c r="C322" s="119" t="s">
        <v>852</v>
      </c>
      <c r="D322" s="119" t="s">
        <v>231</v>
      </c>
      <c r="E322" s="120" t="s">
        <v>1761</v>
      </c>
      <c r="F322" s="121" t="s">
        <v>4599</v>
      </c>
      <c r="G322" s="122" t="s">
        <v>1194</v>
      </c>
      <c r="H322" s="123">
        <v>1</v>
      </c>
      <c r="I322" s="124">
        <v>5409.1</v>
      </c>
      <c r="J322" s="124">
        <f t="shared" si="58"/>
        <v>5409.1</v>
      </c>
      <c r="K322" s="121" t="s">
        <v>1</v>
      </c>
      <c r="L322" s="24"/>
      <c r="M322" s="125" t="s">
        <v>1</v>
      </c>
      <c r="N322" s="126" t="s">
        <v>32</v>
      </c>
      <c r="O322" s="127">
        <v>0</v>
      </c>
      <c r="P322" s="127">
        <f t="shared" si="59"/>
        <v>0</v>
      </c>
      <c r="Q322" s="127">
        <v>0</v>
      </c>
      <c r="R322" s="127">
        <f t="shared" si="60"/>
        <v>0</v>
      </c>
      <c r="S322" s="127">
        <v>0</v>
      </c>
      <c r="T322" s="128">
        <f t="shared" si="61"/>
        <v>0</v>
      </c>
      <c r="W322" s="199"/>
      <c r="X322" s="119" t="s">
        <v>852</v>
      </c>
      <c r="Y322" s="119" t="s">
        <v>231</v>
      </c>
      <c r="Z322" s="120" t="s">
        <v>1761</v>
      </c>
      <c r="AA322" s="121" t="s">
        <v>4599</v>
      </c>
      <c r="AB322" s="122" t="s">
        <v>1194</v>
      </c>
      <c r="AC322" s="123">
        <v>1</v>
      </c>
      <c r="AD322" s="124">
        <v>5409.1</v>
      </c>
      <c r="AE322" s="200">
        <f t="shared" si="62"/>
        <v>5409.1</v>
      </c>
      <c r="AF322" s="248"/>
      <c r="AR322" s="129" t="s">
        <v>347</v>
      </c>
      <c r="AT322" s="129" t="s">
        <v>231</v>
      </c>
      <c r="AU322" s="129" t="s">
        <v>63</v>
      </c>
      <c r="AY322" s="13" t="s">
        <v>228</v>
      </c>
      <c r="BE322" s="130">
        <f t="shared" si="63"/>
        <v>0</v>
      </c>
      <c r="BF322" s="130">
        <f t="shared" si="64"/>
        <v>5409.1</v>
      </c>
      <c r="BG322" s="130">
        <f t="shared" si="65"/>
        <v>0</v>
      </c>
      <c r="BH322" s="130">
        <f t="shared" si="66"/>
        <v>0</v>
      </c>
      <c r="BI322" s="130">
        <f t="shared" si="67"/>
        <v>0</v>
      </c>
      <c r="BJ322" s="13" t="s">
        <v>76</v>
      </c>
      <c r="BK322" s="130">
        <f t="shared" si="68"/>
        <v>5409.1</v>
      </c>
      <c r="BL322" s="13" t="s">
        <v>347</v>
      </c>
      <c r="BM322" s="129" t="s">
        <v>855</v>
      </c>
    </row>
    <row r="323" spans="2:65" s="1" customFormat="1" ht="16.5" customHeight="1" x14ac:dyDescent="0.2">
      <c r="B323" s="118"/>
      <c r="C323" s="1070" t="s">
        <v>539</v>
      </c>
      <c r="D323" s="119" t="s">
        <v>231</v>
      </c>
      <c r="E323" s="120" t="s">
        <v>1764</v>
      </c>
      <c r="F323" s="121" t="s">
        <v>3988</v>
      </c>
      <c r="G323" s="122" t="s">
        <v>1194</v>
      </c>
      <c r="H323" s="1071">
        <v>1</v>
      </c>
      <c r="I323" s="124">
        <v>964.79</v>
      </c>
      <c r="J323" s="124">
        <f t="shared" si="58"/>
        <v>964.79</v>
      </c>
      <c r="K323" s="121" t="s">
        <v>1</v>
      </c>
      <c r="L323" s="24"/>
      <c r="M323" s="125" t="s">
        <v>1</v>
      </c>
      <c r="N323" s="126" t="s">
        <v>32</v>
      </c>
      <c r="O323" s="127">
        <v>0</v>
      </c>
      <c r="P323" s="127">
        <f t="shared" si="59"/>
        <v>0</v>
      </c>
      <c r="Q323" s="127">
        <v>0</v>
      </c>
      <c r="R323" s="127">
        <f t="shared" si="60"/>
        <v>0</v>
      </c>
      <c r="S323" s="127">
        <v>0</v>
      </c>
      <c r="T323" s="128">
        <f t="shared" si="61"/>
        <v>0</v>
      </c>
      <c r="W323" s="199"/>
      <c r="X323" s="1070">
        <v>170</v>
      </c>
      <c r="Y323" s="119" t="s">
        <v>231</v>
      </c>
      <c r="Z323" s="120" t="s">
        <v>1764</v>
      </c>
      <c r="AA323" s="121" t="s">
        <v>3988</v>
      </c>
      <c r="AB323" s="122" t="s">
        <v>1194</v>
      </c>
      <c r="AC323" s="1071">
        <v>0</v>
      </c>
      <c r="AD323" s="124">
        <v>964.79</v>
      </c>
      <c r="AE323" s="200">
        <f t="shared" si="62"/>
        <v>0</v>
      </c>
      <c r="AF323" s="248" t="s">
        <v>5478</v>
      </c>
      <c r="AR323" s="129" t="s">
        <v>347</v>
      </c>
      <c r="AT323" s="129" t="s">
        <v>231</v>
      </c>
      <c r="AU323" s="129" t="s">
        <v>63</v>
      </c>
      <c r="AY323" s="13" t="s">
        <v>228</v>
      </c>
      <c r="BE323" s="130">
        <f t="shared" si="63"/>
        <v>0</v>
      </c>
      <c r="BF323" s="130">
        <f t="shared" si="64"/>
        <v>964.79</v>
      </c>
      <c r="BG323" s="130">
        <f t="shared" si="65"/>
        <v>0</v>
      </c>
      <c r="BH323" s="130">
        <f t="shared" si="66"/>
        <v>0</v>
      </c>
      <c r="BI323" s="130">
        <f t="shared" si="67"/>
        <v>0</v>
      </c>
      <c r="BJ323" s="13" t="s">
        <v>76</v>
      </c>
      <c r="BK323" s="130">
        <f t="shared" si="68"/>
        <v>964.79</v>
      </c>
      <c r="BL323" s="13" t="s">
        <v>347</v>
      </c>
      <c r="BM323" s="129" t="s">
        <v>858</v>
      </c>
    </row>
    <row r="324" spans="2:65" s="1" customFormat="1" ht="16.5" customHeight="1" x14ac:dyDescent="0.2">
      <c r="B324" s="118"/>
      <c r="C324" s="1070" t="s">
        <v>859</v>
      </c>
      <c r="D324" s="119" t="s">
        <v>231</v>
      </c>
      <c r="E324" s="120" t="s">
        <v>1767</v>
      </c>
      <c r="F324" s="121" t="s">
        <v>1768</v>
      </c>
      <c r="G324" s="122" t="s">
        <v>1194</v>
      </c>
      <c r="H324" s="1071">
        <v>1</v>
      </c>
      <c r="I324" s="124">
        <v>4464.05</v>
      </c>
      <c r="J324" s="124">
        <f t="shared" si="58"/>
        <v>4464.05</v>
      </c>
      <c r="K324" s="121" t="s">
        <v>1</v>
      </c>
      <c r="L324" s="24"/>
      <c r="M324" s="140" t="s">
        <v>1</v>
      </c>
      <c r="N324" s="141" t="s">
        <v>32</v>
      </c>
      <c r="O324" s="142">
        <v>0</v>
      </c>
      <c r="P324" s="142">
        <f t="shared" si="59"/>
        <v>0</v>
      </c>
      <c r="Q324" s="142">
        <v>0</v>
      </c>
      <c r="R324" s="142">
        <f t="shared" si="60"/>
        <v>0</v>
      </c>
      <c r="S324" s="142">
        <v>0</v>
      </c>
      <c r="T324" s="143">
        <f t="shared" si="61"/>
        <v>0</v>
      </c>
      <c r="W324" s="199"/>
      <c r="X324" s="1070" t="s">
        <v>859</v>
      </c>
      <c r="Y324" s="119" t="s">
        <v>231</v>
      </c>
      <c r="Z324" s="120" t="s">
        <v>1767</v>
      </c>
      <c r="AA324" s="121" t="s">
        <v>1768</v>
      </c>
      <c r="AB324" s="122" t="s">
        <v>1194</v>
      </c>
      <c r="AC324" s="1071">
        <v>0</v>
      </c>
      <c r="AD324" s="124">
        <v>4464.05</v>
      </c>
      <c r="AE324" s="200">
        <f t="shared" si="62"/>
        <v>0</v>
      </c>
      <c r="AF324" s="248" t="s">
        <v>5478</v>
      </c>
      <c r="AR324" s="129" t="s">
        <v>347</v>
      </c>
      <c r="AT324" s="129" t="s">
        <v>231</v>
      </c>
      <c r="AU324" s="129" t="s">
        <v>63</v>
      </c>
      <c r="AY324" s="13" t="s">
        <v>228</v>
      </c>
      <c r="BE324" s="130">
        <f t="shared" si="63"/>
        <v>0</v>
      </c>
      <c r="BF324" s="130">
        <f t="shared" si="64"/>
        <v>4464.05</v>
      </c>
      <c r="BG324" s="130">
        <f t="shared" si="65"/>
        <v>0</v>
      </c>
      <c r="BH324" s="130">
        <f t="shared" si="66"/>
        <v>0</v>
      </c>
      <c r="BI324" s="130">
        <f t="shared" si="67"/>
        <v>0</v>
      </c>
      <c r="BJ324" s="13" t="s">
        <v>76</v>
      </c>
      <c r="BK324" s="130">
        <f t="shared" si="68"/>
        <v>4464.05</v>
      </c>
      <c r="BL324" s="13" t="s">
        <v>347</v>
      </c>
      <c r="BM324" s="129" t="s">
        <v>862</v>
      </c>
    </row>
    <row r="325" spans="2:65" s="1" customFormat="1" ht="7.05" customHeight="1" x14ac:dyDescent="0.2">
      <c r="B325" s="33"/>
      <c r="C325" s="34"/>
      <c r="D325" s="34"/>
      <c r="E325" s="34"/>
      <c r="F325" s="34"/>
      <c r="G325" s="34"/>
      <c r="H325" s="34"/>
      <c r="I325" s="34"/>
      <c r="J325" s="34"/>
      <c r="K325" s="34"/>
      <c r="L325" s="24"/>
      <c r="W325" s="175"/>
      <c r="X325" s="176"/>
      <c r="Y325" s="176"/>
      <c r="Z325" s="176"/>
      <c r="AA325" s="176"/>
      <c r="AB325" s="176"/>
      <c r="AC325" s="176"/>
      <c r="AD325" s="176"/>
      <c r="AE325" s="177"/>
    </row>
  </sheetData>
  <autoFilter ref="C117:K324" xr:uid="{00000000-0009-0000-0000-000022000000}"/>
  <mergeCells count="60">
    <mergeCell ref="Z87:AC87"/>
    <mergeCell ref="Z108:AC108"/>
    <mergeCell ref="Z110:AC110"/>
    <mergeCell ref="Z9:AC9"/>
    <mergeCell ref="Z18:AC18"/>
    <mergeCell ref="Z27:AC27"/>
    <mergeCell ref="Z85:AC85"/>
    <mergeCell ref="X105:AE105"/>
    <mergeCell ref="Z107:AE107"/>
    <mergeCell ref="L2:V2"/>
    <mergeCell ref="E9:H9"/>
    <mergeCell ref="E18:H18"/>
    <mergeCell ref="E27:H27"/>
    <mergeCell ref="E85:H85"/>
    <mergeCell ref="C4:J4"/>
    <mergeCell ref="F6:J7"/>
    <mergeCell ref="C120:J120"/>
    <mergeCell ref="C121:J121"/>
    <mergeCell ref="C128:J128"/>
    <mergeCell ref="C248:J248"/>
    <mergeCell ref="C192:J192"/>
    <mergeCell ref="C193:J193"/>
    <mergeCell ref="C187:J187"/>
    <mergeCell ref="C190:J190"/>
    <mergeCell ref="C191:J191"/>
    <mergeCell ref="C236:J236"/>
    <mergeCell ref="C244:J244"/>
    <mergeCell ref="C129:J129"/>
    <mergeCell ref="C156:J156"/>
    <mergeCell ref="C157:J157"/>
    <mergeCell ref="C165:J165"/>
    <mergeCell ref="C186:J186"/>
    <mergeCell ref="E87:H87"/>
    <mergeCell ref="E108:H108"/>
    <mergeCell ref="E110:H110"/>
    <mergeCell ref="C105:J105"/>
    <mergeCell ref="E107:J107"/>
    <mergeCell ref="X4:AE4"/>
    <mergeCell ref="AA6:AE7"/>
    <mergeCell ref="X82:AE82"/>
    <mergeCell ref="Z84:AE84"/>
    <mergeCell ref="C82:J82"/>
    <mergeCell ref="E84:J84"/>
    <mergeCell ref="C304:J304"/>
    <mergeCell ref="C305:J305"/>
    <mergeCell ref="C293:J293"/>
    <mergeCell ref="C294:J294"/>
    <mergeCell ref="C295:J295"/>
    <mergeCell ref="C300:J300"/>
    <mergeCell ref="C301:J301"/>
    <mergeCell ref="C164:J164"/>
    <mergeCell ref="C290:J290"/>
    <mergeCell ref="C291:J291"/>
    <mergeCell ref="C292:J292"/>
    <mergeCell ref="C252:J252"/>
    <mergeCell ref="C255:J255"/>
    <mergeCell ref="C259:J259"/>
    <mergeCell ref="C263:J263"/>
    <mergeCell ref="C266:J266"/>
    <mergeCell ref="C267:J267"/>
  </mergeCells>
  <phoneticPr fontId="0" type="noConversion"/>
  <pageMargins left="0.39374999999999999" right="0.39374999999999999" top="0.39374999999999999" bottom="0.39374999999999999" header="0" footer="0"/>
  <pageSetup paperSize="9" scale="89" fitToHeight="100" orientation="portrait" blackAndWhite="1" r:id="rId1"/>
  <headerFooter>
    <oddFooter>&amp;CStrana &amp;P z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7030A0"/>
    <pageSetUpPr fitToPage="1"/>
  </sheetPr>
  <dimension ref="A1:BM158"/>
  <sheetViews>
    <sheetView showGridLines="0" topLeftCell="F96" zoomScale="80" zoomScaleNormal="80" workbookViewId="0">
      <selection activeCell="AP106" sqref="AP106"/>
    </sheetView>
  </sheetViews>
  <sheetFormatPr defaultColWidth="8.7109375" defaultRowHeight="10.199999999999999" x14ac:dyDescent="0.2"/>
  <cols>
    <col min="1" max="1" width="8.28515625" customWidth="1"/>
    <col min="2" max="2" width="1.7109375" customWidth="1"/>
    <col min="3" max="4" width="4.28515625" customWidth="1"/>
    <col min="5" max="5" width="17.28515625" customWidth="1"/>
    <col min="6" max="6" width="50.7109375" customWidth="1"/>
    <col min="7" max="7" width="7" customWidth="1"/>
    <col min="8" max="8" width="11.42578125" customWidth="1"/>
    <col min="9" max="10" width="20.28515625" customWidth="1"/>
    <col min="11" max="11" width="20.28515625" hidden="1" customWidth="1"/>
    <col min="12" max="12" width="9.28515625" customWidth="1"/>
    <col min="13" max="13" width="10.7109375" hidden="1" customWidth="1"/>
    <col min="14" max="14" width="9.28515625" hidden="1"/>
    <col min="15" max="20" width="14.28515625" hidden="1" customWidth="1"/>
    <col min="21" max="21" width="16.28515625" hidden="1" customWidth="1"/>
    <col min="22" max="22" width="12.28515625" customWidth="1"/>
    <col min="23" max="23" width="1.7109375" style="426" customWidth="1"/>
    <col min="24" max="25" width="4.28515625" style="426" customWidth="1"/>
    <col min="26" max="26" width="17.28515625" style="426" customWidth="1"/>
    <col min="27" max="27" width="50.7109375" style="426" customWidth="1"/>
    <col min="28" max="28" width="7" style="426" customWidth="1"/>
    <col min="29" max="29" width="11.42578125" style="426" customWidth="1"/>
    <col min="30" max="31" width="20.28515625" style="426" customWidth="1"/>
    <col min="44" max="65" width="9.28515625" hidden="1"/>
  </cols>
  <sheetData>
    <row r="1" spans="1:46" x14ac:dyDescent="0.2">
      <c r="A1" s="73"/>
    </row>
    <row r="2" spans="1:46" ht="37.049999999999997" customHeight="1" x14ac:dyDescent="0.2">
      <c r="L2" s="1227" t="s">
        <v>5</v>
      </c>
      <c r="M2" s="1225"/>
      <c r="N2" s="1225"/>
      <c r="O2" s="1225"/>
      <c r="P2" s="1225"/>
      <c r="Q2" s="1225"/>
      <c r="R2" s="1225"/>
      <c r="S2" s="1225"/>
      <c r="T2" s="1225"/>
      <c r="U2" s="1225"/>
      <c r="V2" s="1225"/>
      <c r="AT2" s="13" t="s">
        <v>164</v>
      </c>
    </row>
    <row r="3" spans="1:46" ht="7.05" customHeight="1" x14ac:dyDescent="0.2">
      <c r="B3" s="14"/>
      <c r="C3" s="15"/>
      <c r="D3" s="15"/>
      <c r="E3" s="15"/>
      <c r="F3" s="15"/>
      <c r="G3" s="15"/>
      <c r="H3" s="15"/>
      <c r="I3" s="15"/>
      <c r="J3" s="15"/>
      <c r="K3" s="15"/>
      <c r="L3" s="16"/>
      <c r="W3" s="152"/>
      <c r="X3" s="153"/>
      <c r="Y3" s="153"/>
      <c r="Z3" s="153"/>
      <c r="AA3" s="153"/>
      <c r="AB3" s="153"/>
      <c r="AC3" s="153"/>
      <c r="AD3" s="153"/>
      <c r="AE3" s="154"/>
      <c r="AT3" s="13" t="s">
        <v>58</v>
      </c>
    </row>
    <row r="4" spans="1:46" ht="25.05" customHeight="1" x14ac:dyDescent="0.2">
      <c r="B4" s="16"/>
      <c r="D4" s="1165" t="s">
        <v>185</v>
      </c>
      <c r="E4" s="1165"/>
      <c r="F4" s="1165"/>
      <c r="G4" s="1165"/>
      <c r="H4" s="1165"/>
      <c r="I4" s="1165"/>
      <c r="J4" s="1165"/>
      <c r="L4" s="16"/>
      <c r="M4" s="74" t="s">
        <v>9</v>
      </c>
      <c r="W4" s="155"/>
      <c r="X4" s="1237" t="s">
        <v>185</v>
      </c>
      <c r="Y4" s="1237"/>
      <c r="Z4" s="1237"/>
      <c r="AA4" s="1237"/>
      <c r="AB4" s="1237"/>
      <c r="AC4" s="1237"/>
      <c r="AD4" s="1237"/>
      <c r="AE4" s="1238"/>
      <c r="AT4" s="13" t="s">
        <v>3</v>
      </c>
    </row>
    <row r="5" spans="1:46" ht="7.05" customHeight="1" x14ac:dyDescent="0.2">
      <c r="B5" s="16"/>
      <c r="L5" s="16"/>
      <c r="W5" s="155"/>
      <c r="X5" s="156"/>
      <c r="Y5" s="156"/>
      <c r="Z5" s="156"/>
      <c r="AA5" s="156"/>
      <c r="AB5" s="156"/>
      <c r="AC5" s="156"/>
      <c r="AD5" s="156"/>
      <c r="AE5" s="157"/>
    </row>
    <row r="6" spans="1:46" ht="12" customHeight="1" x14ac:dyDescent="0.2">
      <c r="B6" s="16"/>
      <c r="D6" s="548" t="s">
        <v>12</v>
      </c>
      <c r="F6" s="1254" t="s">
        <v>6176</v>
      </c>
      <c r="G6" s="1254"/>
      <c r="H6" s="1254"/>
      <c r="I6" s="1254"/>
      <c r="J6" s="1254"/>
      <c r="L6" s="16"/>
      <c r="W6" s="155"/>
      <c r="X6" s="156"/>
      <c r="Y6" s="541" t="s">
        <v>12</v>
      </c>
      <c r="Z6" s="156"/>
      <c r="AA6" s="1239" t="s">
        <v>6176</v>
      </c>
      <c r="AB6" s="1239"/>
      <c r="AC6" s="1239"/>
      <c r="AD6" s="1239"/>
      <c r="AE6" s="1240"/>
    </row>
    <row r="7" spans="1:46" ht="23.55" customHeight="1" x14ac:dyDescent="0.2">
      <c r="B7" s="16"/>
      <c r="D7" s="527"/>
      <c r="E7" s="531"/>
      <c r="F7" s="1254"/>
      <c r="G7" s="1254"/>
      <c r="H7" s="1254"/>
      <c r="I7" s="1254"/>
      <c r="J7" s="1254"/>
      <c r="L7" s="16"/>
      <c r="W7" s="155"/>
      <c r="X7" s="156"/>
      <c r="Y7" s="539"/>
      <c r="Z7" s="245"/>
      <c r="AA7" s="1239"/>
      <c r="AB7" s="1239"/>
      <c r="AC7" s="1239"/>
      <c r="AD7" s="1239"/>
      <c r="AE7" s="1240"/>
    </row>
    <row r="8" spans="1:46" s="1" customFormat="1" ht="12" customHeight="1" x14ac:dyDescent="0.2">
      <c r="B8" s="24"/>
      <c r="D8" s="549" t="s">
        <v>186</v>
      </c>
      <c r="F8" s="555" t="s">
        <v>4600</v>
      </c>
      <c r="G8" s="523"/>
      <c r="H8" s="523"/>
      <c r="I8" s="523"/>
      <c r="J8" s="159"/>
      <c r="L8" s="24"/>
      <c r="W8" s="158"/>
      <c r="X8" s="557"/>
      <c r="Y8" s="550" t="s">
        <v>186</v>
      </c>
      <c r="Z8" s="557"/>
      <c r="AA8" s="555" t="s">
        <v>4600</v>
      </c>
      <c r="AB8" s="557"/>
      <c r="AC8" s="557"/>
      <c r="AD8" s="557"/>
      <c r="AE8" s="159"/>
    </row>
    <row r="9" spans="1:46" s="1" customFormat="1" ht="37.049999999999997" customHeight="1" x14ac:dyDescent="0.2">
      <c r="B9" s="24"/>
      <c r="D9" s="521"/>
      <c r="E9" s="1251"/>
      <c r="F9" s="1252"/>
      <c r="G9" s="1252"/>
      <c r="H9" s="1252"/>
      <c r="L9" s="24"/>
      <c r="W9" s="158"/>
      <c r="X9" s="557"/>
      <c r="Y9" s="557"/>
      <c r="Z9" s="1245"/>
      <c r="AA9" s="1246"/>
      <c r="AB9" s="1246"/>
      <c r="AC9" s="1246"/>
      <c r="AD9" s="557"/>
      <c r="AE9" s="159"/>
    </row>
    <row r="10" spans="1:46" s="1" customFormat="1" x14ac:dyDescent="0.2">
      <c r="B10" s="24"/>
      <c r="D10" s="521"/>
      <c r="L10" s="24"/>
      <c r="W10" s="158"/>
      <c r="X10" s="557"/>
      <c r="Y10" s="557"/>
      <c r="Z10" s="557"/>
      <c r="AA10" s="557"/>
      <c r="AB10" s="557"/>
      <c r="AC10" s="557"/>
      <c r="AD10" s="557"/>
      <c r="AE10" s="159"/>
    </row>
    <row r="11" spans="1:46" s="1" customFormat="1" ht="12" customHeight="1" x14ac:dyDescent="0.2">
      <c r="B11" s="24"/>
      <c r="D11" s="528" t="s">
        <v>13</v>
      </c>
      <c r="F11" s="19" t="s">
        <v>1</v>
      </c>
      <c r="I11" s="528" t="s">
        <v>14</v>
      </c>
      <c r="J11" s="19" t="s">
        <v>1</v>
      </c>
      <c r="L11" s="24"/>
      <c r="W11" s="158"/>
      <c r="X11" s="557"/>
      <c r="Y11" s="538" t="s">
        <v>13</v>
      </c>
      <c r="Z11" s="557"/>
      <c r="AA11" s="558" t="s">
        <v>1</v>
      </c>
      <c r="AB11" s="557"/>
      <c r="AC11" s="557"/>
      <c r="AD11" s="538" t="s">
        <v>14</v>
      </c>
      <c r="AE11" s="161" t="s">
        <v>1</v>
      </c>
    </row>
    <row r="12" spans="1:46" s="1" customFormat="1" ht="12" customHeight="1" x14ac:dyDescent="0.2">
      <c r="B12" s="24"/>
      <c r="D12" s="528" t="s">
        <v>15</v>
      </c>
      <c r="F12" s="520" t="s">
        <v>6173</v>
      </c>
      <c r="I12" s="528" t="s">
        <v>17</v>
      </c>
      <c r="J12" s="39"/>
      <c r="L12" s="24"/>
      <c r="W12" s="158"/>
      <c r="X12" s="557"/>
      <c r="Y12" s="538" t="s">
        <v>15</v>
      </c>
      <c r="Z12" s="557"/>
      <c r="AA12" s="558" t="s">
        <v>6173</v>
      </c>
      <c r="AB12" s="557"/>
      <c r="AC12" s="557"/>
      <c r="AD12" s="538" t="s">
        <v>17</v>
      </c>
      <c r="AE12" s="162"/>
    </row>
    <row r="13" spans="1:46" s="1" customFormat="1" ht="10.95" customHeight="1" x14ac:dyDescent="0.2">
      <c r="B13" s="24"/>
      <c r="D13" s="521"/>
      <c r="F13" s="521"/>
      <c r="I13" s="521"/>
      <c r="L13" s="24"/>
      <c r="W13" s="158"/>
      <c r="X13" s="557"/>
      <c r="Y13" s="557"/>
      <c r="Z13" s="557"/>
      <c r="AA13" s="557"/>
      <c r="AB13" s="557"/>
      <c r="AC13" s="557"/>
      <c r="AD13" s="557"/>
      <c r="AE13" s="159"/>
    </row>
    <row r="14" spans="1:46" s="1" customFormat="1" ht="12" customHeight="1" x14ac:dyDescent="0.2">
      <c r="B14" s="24"/>
      <c r="D14" s="528" t="s">
        <v>18</v>
      </c>
      <c r="F14" s="529" t="s">
        <v>6175</v>
      </c>
      <c r="I14" s="528" t="s">
        <v>19</v>
      </c>
      <c r="J14" s="19" t="str">
        <f>IF('Rekapitulácia stavby'!AN10="","",'Rekapitulácia stavby'!AN10)</f>
        <v/>
      </c>
      <c r="L14" s="24"/>
      <c r="W14" s="158"/>
      <c r="X14" s="557"/>
      <c r="Y14" s="538" t="s">
        <v>18</v>
      </c>
      <c r="Z14" s="557"/>
      <c r="AA14" s="576" t="s">
        <v>6175</v>
      </c>
      <c r="AB14" s="557"/>
      <c r="AC14" s="557"/>
      <c r="AD14" s="538" t="s">
        <v>19</v>
      </c>
      <c r="AE14" s="161" t="str">
        <f>IF('Rekapitulácia stavby'!BI10="","",'Rekapitulácia stavby'!BI10)</f>
        <v/>
      </c>
    </row>
    <row r="15" spans="1:46" s="1" customFormat="1" ht="18" customHeight="1" x14ac:dyDescent="0.2">
      <c r="B15" s="24"/>
      <c r="D15" s="521"/>
      <c r="E15" s="19" t="str">
        <f>IF('Rekapitulácia stavby'!E11="","",'Rekapitulácia stavby'!E11)</f>
        <v/>
      </c>
      <c r="F15" s="521"/>
      <c r="I15" s="528" t="s">
        <v>20</v>
      </c>
      <c r="J15" s="19" t="str">
        <f>IF('Rekapitulácia stavby'!AN11="","",'Rekapitulácia stavby'!AN11)</f>
        <v/>
      </c>
      <c r="L15" s="24"/>
      <c r="W15" s="158"/>
      <c r="X15" s="557"/>
      <c r="Y15" s="557"/>
      <c r="Z15" s="558" t="str">
        <f>IF('Rekapitulácia stavby'!Z11="","",'Rekapitulácia stavby'!Z11)</f>
        <v/>
      </c>
      <c r="AA15" s="557"/>
      <c r="AB15" s="557"/>
      <c r="AC15" s="557"/>
      <c r="AD15" s="538" t="s">
        <v>20</v>
      </c>
      <c r="AE15" s="161" t="str">
        <f>IF('Rekapitulácia stavby'!BI11="","",'Rekapitulácia stavby'!BI11)</f>
        <v/>
      </c>
    </row>
    <row r="16" spans="1:46" s="1" customFormat="1" ht="7.05" customHeight="1" x14ac:dyDescent="0.2">
      <c r="B16" s="24"/>
      <c r="D16" s="521"/>
      <c r="F16" s="521"/>
      <c r="I16" s="521"/>
      <c r="L16" s="24"/>
      <c r="W16" s="158"/>
      <c r="X16" s="557"/>
      <c r="Y16" s="557"/>
      <c r="Z16" s="557"/>
      <c r="AA16" s="557"/>
      <c r="AB16" s="557"/>
      <c r="AC16" s="557"/>
      <c r="AD16" s="557"/>
      <c r="AE16" s="159"/>
    </row>
    <row r="17" spans="2:31" s="1" customFormat="1" ht="12" customHeight="1" x14ac:dyDescent="0.2">
      <c r="B17" s="24"/>
      <c r="D17" s="528" t="s">
        <v>21</v>
      </c>
      <c r="F17" s="529" t="s">
        <v>5202</v>
      </c>
      <c r="I17" s="528" t="s">
        <v>19</v>
      </c>
      <c r="J17" s="19"/>
      <c r="L17" s="24"/>
      <c r="W17" s="158"/>
      <c r="X17" s="557"/>
      <c r="Y17" s="538" t="s">
        <v>21</v>
      </c>
      <c r="Z17" s="557"/>
      <c r="AA17" s="576" t="s">
        <v>5202</v>
      </c>
      <c r="AB17" s="557"/>
      <c r="AC17" s="557"/>
      <c r="AD17" s="538" t="s">
        <v>19</v>
      </c>
      <c r="AE17" s="161"/>
    </row>
    <row r="18" spans="2:31" s="1" customFormat="1" ht="18" customHeight="1" x14ac:dyDescent="0.2">
      <c r="B18" s="24"/>
      <c r="D18" s="521"/>
      <c r="E18" s="1161"/>
      <c r="F18" s="1161"/>
      <c r="G18" s="1161"/>
      <c r="H18" s="1161"/>
      <c r="I18" s="528" t="s">
        <v>20</v>
      </c>
      <c r="J18" s="19" t="str">
        <f>'Rekapitulácia stavby'!AN14</f>
        <v/>
      </c>
      <c r="L18" s="24"/>
      <c r="W18" s="158"/>
      <c r="X18" s="557"/>
      <c r="Y18" s="557"/>
      <c r="Z18" s="1247"/>
      <c r="AA18" s="1247"/>
      <c r="AB18" s="1247"/>
      <c r="AC18" s="1247"/>
      <c r="AD18" s="538" t="s">
        <v>20</v>
      </c>
      <c r="AE18" s="161">
        <f>'Rekapitulácia stavby'!BI14</f>
        <v>0</v>
      </c>
    </row>
    <row r="19" spans="2:31" s="1" customFormat="1" ht="7.05" customHeight="1" x14ac:dyDescent="0.2">
      <c r="B19" s="24"/>
      <c r="D19" s="521"/>
      <c r="I19" s="521"/>
      <c r="L19" s="24"/>
      <c r="W19" s="158"/>
      <c r="X19" s="557"/>
      <c r="Y19" s="557"/>
      <c r="Z19" s="557"/>
      <c r="AA19" s="557"/>
      <c r="AB19" s="557"/>
      <c r="AC19" s="557"/>
      <c r="AD19" s="557"/>
      <c r="AE19" s="159"/>
    </row>
    <row r="20" spans="2:31" s="1" customFormat="1" ht="12" customHeight="1" x14ac:dyDescent="0.2">
      <c r="B20" s="24"/>
      <c r="D20" s="528" t="s">
        <v>22</v>
      </c>
      <c r="I20" s="528" t="s">
        <v>19</v>
      </c>
      <c r="J20" s="19" t="str">
        <f>IF('Rekapitulácia stavby'!AN16="","",'Rekapitulácia stavby'!AN16)</f>
        <v/>
      </c>
      <c r="L20" s="24"/>
      <c r="W20" s="158"/>
      <c r="X20" s="557"/>
      <c r="Y20" s="538" t="s">
        <v>22</v>
      </c>
      <c r="Z20" s="557"/>
      <c r="AA20" s="557"/>
      <c r="AB20" s="557"/>
      <c r="AC20" s="557"/>
      <c r="AD20" s="538" t="s">
        <v>19</v>
      </c>
      <c r="AE20" s="161" t="str">
        <f>IF('Rekapitulácia stavby'!BI16="","",'Rekapitulácia stavby'!BI16)</f>
        <v/>
      </c>
    </row>
    <row r="21" spans="2:31" s="1" customFormat="1" ht="18" customHeight="1" x14ac:dyDescent="0.2">
      <c r="B21" s="24"/>
      <c r="D21" s="521"/>
      <c r="E21" s="19" t="str">
        <f>IF('Rekapitulácia stavby'!E17="","",'Rekapitulácia stavby'!E17)</f>
        <v xml:space="preserve"> </v>
      </c>
      <c r="I21" s="528" t="s">
        <v>20</v>
      </c>
      <c r="J21" s="19" t="str">
        <f>IF('Rekapitulácia stavby'!AN17="","",'Rekapitulácia stavby'!AN17)</f>
        <v/>
      </c>
      <c r="L21" s="24"/>
      <c r="W21" s="158"/>
      <c r="X21" s="557"/>
      <c r="Y21" s="557"/>
      <c r="Z21" s="558" t="str">
        <f>IF('Rekapitulácia stavby'!Z17="","",'Rekapitulácia stavby'!Z17)</f>
        <v/>
      </c>
      <c r="AA21" s="557"/>
      <c r="AB21" s="557"/>
      <c r="AC21" s="557"/>
      <c r="AD21" s="538" t="s">
        <v>20</v>
      </c>
      <c r="AE21" s="161" t="str">
        <f>IF('Rekapitulácia stavby'!BI17="","",'Rekapitulácia stavby'!BI17)</f>
        <v/>
      </c>
    </row>
    <row r="22" spans="2:31" s="1" customFormat="1" ht="7.05" customHeight="1" x14ac:dyDescent="0.2">
      <c r="B22" s="24"/>
      <c r="D22" s="521"/>
      <c r="I22" s="521"/>
      <c r="L22" s="24"/>
      <c r="W22" s="158"/>
      <c r="X22" s="557"/>
      <c r="Y22" s="557"/>
      <c r="Z22" s="557"/>
      <c r="AA22" s="557"/>
      <c r="AB22" s="557"/>
      <c r="AC22" s="557"/>
      <c r="AD22" s="557"/>
      <c r="AE22" s="159"/>
    </row>
    <row r="23" spans="2:31" s="1" customFormat="1" ht="12" customHeight="1" x14ac:dyDescent="0.2">
      <c r="B23" s="24"/>
      <c r="D23" s="528" t="s">
        <v>24</v>
      </c>
      <c r="I23" s="528" t="s">
        <v>19</v>
      </c>
      <c r="J23" s="19" t="str">
        <f>IF('Rekapitulácia stavby'!AN19="","",'Rekapitulácia stavby'!AN19)</f>
        <v/>
      </c>
      <c r="L23" s="24"/>
      <c r="W23" s="158"/>
      <c r="X23" s="557"/>
      <c r="Y23" s="538" t="s">
        <v>24</v>
      </c>
      <c r="Z23" s="557"/>
      <c r="AA23" s="557"/>
      <c r="AB23" s="557"/>
      <c r="AC23" s="557"/>
      <c r="AD23" s="538" t="s">
        <v>19</v>
      </c>
      <c r="AE23" s="161" t="str">
        <f>IF('Rekapitulácia stavby'!BI19="","",'Rekapitulácia stavby'!BI19)</f>
        <v/>
      </c>
    </row>
    <row r="24" spans="2:31" s="1" customFormat="1" ht="18" customHeight="1" x14ac:dyDescent="0.2">
      <c r="B24" s="24"/>
      <c r="D24" s="521"/>
      <c r="E24" s="19" t="str">
        <f>IF('Rekapitulácia stavby'!E20="","",'Rekapitulácia stavby'!E20)</f>
        <v xml:space="preserve"> </v>
      </c>
      <c r="I24" s="528" t="s">
        <v>20</v>
      </c>
      <c r="J24" s="19" t="str">
        <f>IF('Rekapitulácia stavby'!AN20="","",'Rekapitulácia stavby'!AN20)</f>
        <v/>
      </c>
      <c r="L24" s="24"/>
      <c r="W24" s="158"/>
      <c r="X24" s="557"/>
      <c r="Y24" s="557"/>
      <c r="Z24" s="558" t="str">
        <f>IF('Rekapitulácia stavby'!Z20="","",'Rekapitulácia stavby'!Z20)</f>
        <v/>
      </c>
      <c r="AA24" s="557"/>
      <c r="AB24" s="557"/>
      <c r="AC24" s="557"/>
      <c r="AD24" s="538" t="s">
        <v>20</v>
      </c>
      <c r="AE24" s="161" t="str">
        <f>IF('Rekapitulácia stavby'!BI20="","",'Rekapitulácia stavby'!BI20)</f>
        <v/>
      </c>
    </row>
    <row r="25" spans="2:31" s="1" customFormat="1" ht="7.05" customHeight="1" x14ac:dyDescent="0.2">
      <c r="B25" s="24"/>
      <c r="D25" s="521"/>
      <c r="L25" s="24"/>
      <c r="W25" s="158"/>
      <c r="X25" s="557"/>
      <c r="Y25" s="557"/>
      <c r="Z25" s="557"/>
      <c r="AA25" s="557"/>
      <c r="AB25" s="557"/>
      <c r="AC25" s="557"/>
      <c r="AD25" s="557"/>
      <c r="AE25" s="159"/>
    </row>
    <row r="26" spans="2:31" s="1" customFormat="1" ht="12" customHeight="1" x14ac:dyDescent="0.2">
      <c r="B26" s="24"/>
      <c r="D26" s="528" t="s">
        <v>25</v>
      </c>
      <c r="L26" s="24"/>
      <c r="W26" s="158"/>
      <c r="X26" s="557"/>
      <c r="Y26" s="538" t="s">
        <v>25</v>
      </c>
      <c r="Z26" s="557"/>
      <c r="AA26" s="557"/>
      <c r="AB26" s="557"/>
      <c r="AC26" s="557"/>
      <c r="AD26" s="557"/>
      <c r="AE26" s="159"/>
    </row>
    <row r="27" spans="2:31" s="7" customFormat="1" ht="16.5" customHeight="1" x14ac:dyDescent="0.2">
      <c r="B27" s="75"/>
      <c r="E27" s="1228" t="s">
        <v>1</v>
      </c>
      <c r="F27" s="1228"/>
      <c r="G27" s="1228"/>
      <c r="H27" s="1228"/>
      <c r="L27" s="75"/>
      <c r="W27" s="163"/>
      <c r="X27" s="164"/>
      <c r="Y27" s="164"/>
      <c r="Z27" s="1248" t="s">
        <v>1</v>
      </c>
      <c r="AA27" s="1248"/>
      <c r="AB27" s="1248"/>
      <c r="AC27" s="1248"/>
      <c r="AD27" s="164"/>
      <c r="AE27" s="165"/>
    </row>
    <row r="28" spans="2:31" s="1" customFormat="1" ht="7.05" customHeight="1" x14ac:dyDescent="0.2">
      <c r="B28" s="24"/>
      <c r="L28" s="24"/>
      <c r="W28" s="158"/>
      <c r="X28" s="557"/>
      <c r="Y28" s="557"/>
      <c r="Z28" s="557"/>
      <c r="AA28" s="557"/>
      <c r="AB28" s="557"/>
      <c r="AC28" s="557"/>
      <c r="AD28" s="557"/>
      <c r="AE28" s="159"/>
    </row>
    <row r="29" spans="2:31" s="1" customFormat="1" ht="7.05" customHeight="1" x14ac:dyDescent="0.2">
      <c r="B29" s="24"/>
      <c r="D29" s="40"/>
      <c r="E29" s="40"/>
      <c r="F29" s="40"/>
      <c r="G29" s="40"/>
      <c r="H29" s="40"/>
      <c r="I29" s="40"/>
      <c r="J29" s="40"/>
      <c r="K29" s="40"/>
      <c r="L29" s="24"/>
      <c r="W29" s="158"/>
      <c r="X29" s="557"/>
      <c r="Y29" s="40"/>
      <c r="Z29" s="40"/>
      <c r="AA29" s="40"/>
      <c r="AB29" s="40"/>
      <c r="AC29" s="40"/>
      <c r="AD29" s="40"/>
      <c r="AE29" s="166"/>
    </row>
    <row r="30" spans="2:31" s="1" customFormat="1" ht="25.2" customHeight="1" x14ac:dyDescent="0.2">
      <c r="B30" s="24"/>
      <c r="D30" s="76" t="s">
        <v>26</v>
      </c>
      <c r="J30" s="53">
        <f>ROUND(J124, 2)</f>
        <v>1753.04</v>
      </c>
      <c r="L30" s="24"/>
      <c r="W30" s="158"/>
      <c r="X30" s="557"/>
      <c r="Y30" s="167" t="s">
        <v>26</v>
      </c>
      <c r="Z30" s="557"/>
      <c r="AA30" s="557"/>
      <c r="AB30" s="557"/>
      <c r="AC30" s="557"/>
      <c r="AD30" s="557"/>
      <c r="AE30" s="168">
        <f>ROUND(AE124, 2)</f>
        <v>6772.03</v>
      </c>
    </row>
    <row r="31" spans="2:31" s="1" customFormat="1" ht="7.05" customHeight="1" x14ac:dyDescent="0.2">
      <c r="B31" s="24"/>
      <c r="D31" s="40"/>
      <c r="E31" s="40"/>
      <c r="F31" s="40"/>
      <c r="G31" s="40"/>
      <c r="H31" s="40"/>
      <c r="I31" s="40"/>
      <c r="J31" s="40"/>
      <c r="K31" s="40"/>
      <c r="L31" s="24"/>
      <c r="W31" s="158"/>
      <c r="X31" s="557"/>
      <c r="Y31" s="40"/>
      <c r="Z31" s="40"/>
      <c r="AA31" s="40"/>
      <c r="AB31" s="40"/>
      <c r="AC31" s="40"/>
      <c r="AD31" s="40"/>
      <c r="AE31" s="166"/>
    </row>
    <row r="32" spans="2:31" s="1" customFormat="1" ht="14.55" customHeight="1" x14ac:dyDescent="0.2">
      <c r="B32" s="24"/>
      <c r="D32" s="521"/>
      <c r="E32" s="521"/>
      <c r="F32" s="534" t="s">
        <v>28</v>
      </c>
      <c r="G32" s="521"/>
      <c r="H32" s="521"/>
      <c r="I32" s="534" t="s">
        <v>27</v>
      </c>
      <c r="J32" s="534" t="s">
        <v>29</v>
      </c>
      <c r="L32" s="24"/>
      <c r="W32" s="158"/>
      <c r="X32" s="557"/>
      <c r="Y32" s="557"/>
      <c r="Z32" s="557"/>
      <c r="AA32" s="542" t="s">
        <v>28</v>
      </c>
      <c r="AB32" s="557"/>
      <c r="AC32" s="557"/>
      <c r="AD32" s="542" t="s">
        <v>27</v>
      </c>
      <c r="AE32" s="543" t="s">
        <v>29</v>
      </c>
    </row>
    <row r="33" spans="2:31" s="1" customFormat="1" ht="14.55" customHeight="1" x14ac:dyDescent="0.2">
      <c r="B33" s="24"/>
      <c r="D33" s="13" t="s">
        <v>30</v>
      </c>
      <c r="E33" s="528" t="s">
        <v>31</v>
      </c>
      <c r="F33" s="398">
        <f>ROUND((SUM(BE124:BE152)),  2)</f>
        <v>0</v>
      </c>
      <c r="G33" s="521"/>
      <c r="H33" s="521"/>
      <c r="I33" s="535">
        <v>0.2</v>
      </c>
      <c r="J33" s="398">
        <f>ROUND(((SUM(BE124:BE152))*I33),  2)</f>
        <v>0</v>
      </c>
      <c r="L33" s="24"/>
      <c r="W33" s="158"/>
      <c r="X33" s="557"/>
      <c r="Y33" s="544" t="s">
        <v>30</v>
      </c>
      <c r="Z33" s="538" t="s">
        <v>31</v>
      </c>
      <c r="AA33" s="545">
        <f>ROUND((SUM(BZ124:BZ152)),  2)</f>
        <v>0</v>
      </c>
      <c r="AB33" s="557"/>
      <c r="AC33" s="557"/>
      <c r="AD33" s="546">
        <v>0.2</v>
      </c>
      <c r="AE33" s="547">
        <f>ROUND(((SUM(BZ124:BZ152))*AD33),  2)</f>
        <v>0</v>
      </c>
    </row>
    <row r="34" spans="2:31" s="1" customFormat="1" ht="14.55" customHeight="1" x14ac:dyDescent="0.2">
      <c r="B34" s="24"/>
      <c r="D34" s="521"/>
      <c r="E34" s="528" t="s">
        <v>32</v>
      </c>
      <c r="F34" s="398">
        <f>J30</f>
        <v>1753.04</v>
      </c>
      <c r="G34" s="521"/>
      <c r="H34" s="521"/>
      <c r="I34" s="535">
        <v>0.2</v>
      </c>
      <c r="J34" s="398">
        <f>F34*0.2</f>
        <v>350.608</v>
      </c>
      <c r="L34" s="24"/>
      <c r="W34" s="158"/>
      <c r="X34" s="557"/>
      <c r="Y34" s="557"/>
      <c r="Z34" s="538" t="s">
        <v>32</v>
      </c>
      <c r="AA34" s="545">
        <f>AE30</f>
        <v>6772.03</v>
      </c>
      <c r="AB34" s="557"/>
      <c r="AC34" s="557"/>
      <c r="AD34" s="546">
        <v>0.2</v>
      </c>
      <c r="AE34" s="547">
        <f>AE30*0.2</f>
        <v>1354.4059999999999</v>
      </c>
    </row>
    <row r="35" spans="2:31" s="1" customFormat="1" ht="14.55" hidden="1" customHeight="1" x14ac:dyDescent="0.2">
      <c r="B35" s="24"/>
      <c r="E35" s="21" t="s">
        <v>33</v>
      </c>
      <c r="F35" s="78">
        <f>ROUND((SUM(BG124:BG152)),  2)</f>
        <v>0</v>
      </c>
      <c r="I35" s="79">
        <v>0.2</v>
      </c>
      <c r="J35" s="78">
        <f>0</f>
        <v>0</v>
      </c>
      <c r="L35" s="24"/>
      <c r="W35" s="158"/>
      <c r="X35" s="557"/>
      <c r="Y35" s="557"/>
      <c r="Z35" s="559" t="s">
        <v>33</v>
      </c>
      <c r="AA35" s="170">
        <f>ROUND((SUM(CB124:CB152)),  2)</f>
        <v>0</v>
      </c>
      <c r="AB35" s="557"/>
      <c r="AC35" s="557"/>
      <c r="AD35" s="171">
        <v>0.2</v>
      </c>
      <c r="AE35" s="172">
        <f>0</f>
        <v>0</v>
      </c>
    </row>
    <row r="36" spans="2:31" s="1" customFormat="1" ht="14.55" hidden="1" customHeight="1" x14ac:dyDescent="0.2">
      <c r="B36" s="24"/>
      <c r="E36" s="21" t="s">
        <v>34</v>
      </c>
      <c r="F36" s="78">
        <f>ROUND((SUM(BH124:BH152)),  2)</f>
        <v>0</v>
      </c>
      <c r="I36" s="79">
        <v>0.2</v>
      </c>
      <c r="J36" s="78">
        <f>0</f>
        <v>0</v>
      </c>
      <c r="L36" s="24"/>
      <c r="W36" s="158"/>
      <c r="X36" s="557"/>
      <c r="Y36" s="557"/>
      <c r="Z36" s="559" t="s">
        <v>34</v>
      </c>
      <c r="AA36" s="170">
        <f>ROUND((SUM(CC124:CC152)),  2)</f>
        <v>0</v>
      </c>
      <c r="AB36" s="557"/>
      <c r="AC36" s="557"/>
      <c r="AD36" s="171">
        <v>0.2</v>
      </c>
      <c r="AE36" s="172">
        <f>0</f>
        <v>0</v>
      </c>
    </row>
    <row r="37" spans="2:31" s="1" customFormat="1" ht="14.55" hidden="1" customHeight="1" x14ac:dyDescent="0.2">
      <c r="B37" s="24"/>
      <c r="E37" s="21" t="s">
        <v>35</v>
      </c>
      <c r="F37" s="78">
        <f>ROUND((SUM(BI124:BI152)),  2)</f>
        <v>0</v>
      </c>
      <c r="I37" s="79">
        <v>0</v>
      </c>
      <c r="J37" s="78">
        <f>0</f>
        <v>0</v>
      </c>
      <c r="L37" s="24"/>
      <c r="W37" s="158"/>
      <c r="X37" s="557"/>
      <c r="Y37" s="557"/>
      <c r="Z37" s="559" t="s">
        <v>35</v>
      </c>
      <c r="AA37" s="170">
        <f>ROUND((SUM(CD124:CD152)),  2)</f>
        <v>0</v>
      </c>
      <c r="AB37" s="557"/>
      <c r="AC37" s="557"/>
      <c r="AD37" s="171">
        <v>0</v>
      </c>
      <c r="AE37" s="172">
        <f>0</f>
        <v>0</v>
      </c>
    </row>
    <row r="38" spans="2:31" s="1" customFormat="1" ht="7.05" customHeight="1" x14ac:dyDescent="0.2">
      <c r="B38" s="24"/>
      <c r="L38" s="24"/>
      <c r="W38" s="158"/>
      <c r="X38" s="557"/>
      <c r="Y38" s="557"/>
      <c r="Z38" s="557"/>
      <c r="AA38" s="557"/>
      <c r="AB38" s="557"/>
      <c r="AC38" s="557"/>
      <c r="AD38" s="557"/>
      <c r="AE38" s="159"/>
    </row>
    <row r="39" spans="2:31" s="1" customFormat="1" ht="25.2" customHeight="1" x14ac:dyDescent="0.2">
      <c r="B39" s="24"/>
      <c r="C39" s="80"/>
      <c r="D39" s="81" t="s">
        <v>36</v>
      </c>
      <c r="E39" s="44"/>
      <c r="F39" s="44"/>
      <c r="G39" s="82" t="s">
        <v>37</v>
      </c>
      <c r="H39" s="83" t="s">
        <v>38</v>
      </c>
      <c r="I39" s="44"/>
      <c r="J39" s="84">
        <f>SUM(J30:J37)</f>
        <v>2103.6480000000001</v>
      </c>
      <c r="K39" s="85"/>
      <c r="L39" s="24"/>
      <c r="W39" s="158"/>
      <c r="X39" s="173"/>
      <c r="Y39" s="81" t="s">
        <v>36</v>
      </c>
      <c r="Z39" s="44"/>
      <c r="AA39" s="44"/>
      <c r="AB39" s="82" t="s">
        <v>37</v>
      </c>
      <c r="AC39" s="83" t="s">
        <v>38</v>
      </c>
      <c r="AD39" s="44"/>
      <c r="AE39" s="174">
        <f>SUM(AE30:AE37)</f>
        <v>8126.4359999999997</v>
      </c>
    </row>
    <row r="40" spans="2:31" s="1" customFormat="1" ht="14.55" customHeight="1" x14ac:dyDescent="0.2">
      <c r="B40" s="24"/>
      <c r="L40" s="24"/>
      <c r="W40" s="158"/>
      <c r="X40" s="557"/>
      <c r="Y40" s="557"/>
      <c r="Z40" s="557"/>
      <c r="AA40" s="557"/>
      <c r="AB40" s="557"/>
      <c r="AC40" s="557"/>
      <c r="AD40" s="557"/>
      <c r="AE40" s="159"/>
    </row>
    <row r="41" spans="2:31" ht="14.55" customHeight="1" x14ac:dyDescent="0.2">
      <c r="B41" s="16"/>
      <c r="L41" s="16"/>
      <c r="W41" s="155"/>
      <c r="X41" s="156"/>
      <c r="Y41" s="156"/>
      <c r="Z41" s="156"/>
      <c r="AA41" s="156"/>
      <c r="AB41" s="156"/>
      <c r="AC41" s="156"/>
      <c r="AD41" s="156"/>
      <c r="AE41" s="157"/>
    </row>
    <row r="42" spans="2:31" ht="14.55" customHeight="1" x14ac:dyDescent="0.2">
      <c r="B42" s="16"/>
      <c r="L42" s="16"/>
      <c r="W42" s="155"/>
      <c r="X42" s="156"/>
      <c r="Y42" s="156"/>
      <c r="Z42" s="156"/>
      <c r="AA42" s="156"/>
      <c r="AB42" s="156"/>
      <c r="AC42" s="156"/>
      <c r="AD42" s="156"/>
      <c r="AE42" s="157"/>
    </row>
    <row r="43" spans="2:31" ht="14.55" customHeight="1" x14ac:dyDescent="0.2">
      <c r="B43" s="16"/>
      <c r="L43" s="16"/>
      <c r="W43" s="155"/>
      <c r="X43" s="156"/>
      <c r="Y43" s="156"/>
      <c r="Z43" s="156"/>
      <c r="AA43" s="156"/>
      <c r="AB43" s="156"/>
      <c r="AC43" s="156"/>
      <c r="AD43" s="156"/>
      <c r="AE43" s="157"/>
    </row>
    <row r="44" spans="2:31" ht="14.55" customHeight="1" x14ac:dyDescent="0.2">
      <c r="B44" s="16"/>
      <c r="L44" s="16"/>
      <c r="W44" s="155"/>
      <c r="X44" s="156"/>
      <c r="Y44" s="156"/>
      <c r="Z44" s="156"/>
      <c r="AA44" s="156"/>
      <c r="AB44" s="156"/>
      <c r="AC44" s="156"/>
      <c r="AD44" s="156"/>
      <c r="AE44" s="157"/>
    </row>
    <row r="45" spans="2:31" ht="14.55" customHeight="1" x14ac:dyDescent="0.2">
      <c r="B45" s="16"/>
      <c r="L45" s="16"/>
      <c r="W45" s="155"/>
      <c r="X45" s="156"/>
      <c r="Y45" s="156"/>
      <c r="Z45" s="156"/>
      <c r="AA45" s="156"/>
      <c r="AB45" s="156"/>
      <c r="AC45" s="156"/>
      <c r="AD45" s="156"/>
      <c r="AE45" s="157"/>
    </row>
    <row r="46" spans="2:31" ht="14.55" customHeight="1" x14ac:dyDescent="0.2">
      <c r="B46" s="16"/>
      <c r="L46" s="16"/>
      <c r="W46" s="155"/>
      <c r="X46" s="156"/>
      <c r="Y46" s="156"/>
      <c r="Z46" s="156"/>
      <c r="AA46" s="156"/>
      <c r="AB46" s="156"/>
      <c r="AC46" s="156"/>
      <c r="AD46" s="156"/>
      <c r="AE46" s="157"/>
    </row>
    <row r="47" spans="2:31" ht="14.55" customHeight="1" x14ac:dyDescent="0.2">
      <c r="B47" s="16"/>
      <c r="L47" s="16"/>
      <c r="W47" s="155"/>
      <c r="X47" s="156"/>
      <c r="Y47" s="156"/>
      <c r="Z47" s="156"/>
      <c r="AA47" s="156"/>
      <c r="AB47" s="156"/>
      <c r="AC47" s="156"/>
      <c r="AD47" s="156"/>
      <c r="AE47" s="157"/>
    </row>
    <row r="48" spans="2:31" ht="14.55" customHeight="1" x14ac:dyDescent="0.2">
      <c r="B48" s="16"/>
      <c r="L48" s="16"/>
      <c r="W48" s="155"/>
      <c r="X48" s="156"/>
      <c r="Y48" s="156"/>
      <c r="Z48" s="156"/>
      <c r="AA48" s="156"/>
      <c r="AB48" s="156"/>
      <c r="AC48" s="156"/>
      <c r="AD48" s="156"/>
      <c r="AE48" s="157"/>
    </row>
    <row r="49" spans="2:31" ht="14.55" customHeight="1" x14ac:dyDescent="0.2">
      <c r="B49" s="16"/>
      <c r="D49" s="156"/>
      <c r="E49" s="156"/>
      <c r="F49" s="156"/>
      <c r="G49" s="156"/>
      <c r="H49" s="156"/>
      <c r="I49" s="156"/>
      <c r="J49" s="156"/>
      <c r="L49" s="16"/>
      <c r="W49" s="155"/>
      <c r="X49" s="156"/>
      <c r="Y49" s="156"/>
      <c r="Z49" s="156"/>
      <c r="AA49" s="156"/>
      <c r="AB49" s="156"/>
      <c r="AC49" s="156"/>
      <c r="AD49" s="156"/>
      <c r="AE49" s="157"/>
    </row>
    <row r="50" spans="2:31" s="1" customFormat="1" ht="14.55" customHeight="1" x14ac:dyDescent="0.2">
      <c r="B50" s="24"/>
      <c r="D50" s="530"/>
      <c r="E50" s="523"/>
      <c r="F50" s="523"/>
      <c r="G50" s="530"/>
      <c r="H50" s="523"/>
      <c r="I50" s="523"/>
      <c r="J50" s="523"/>
      <c r="K50" s="32"/>
      <c r="L50" s="24"/>
      <c r="W50" s="158"/>
      <c r="X50" s="557"/>
      <c r="Y50" s="530"/>
      <c r="Z50" s="557"/>
      <c r="AA50" s="557"/>
      <c r="AB50" s="530"/>
      <c r="AC50" s="557"/>
      <c r="AD50" s="557"/>
      <c r="AE50" s="159"/>
    </row>
    <row r="51" spans="2:31" x14ac:dyDescent="0.2">
      <c r="B51" s="16"/>
      <c r="D51" s="156"/>
      <c r="E51" s="156"/>
      <c r="F51" s="156"/>
      <c r="G51" s="156"/>
      <c r="H51" s="156"/>
      <c r="I51" s="156"/>
      <c r="J51" s="156"/>
      <c r="L51" s="16"/>
      <c r="W51" s="155"/>
      <c r="X51" s="156"/>
      <c r="Y51" s="156"/>
      <c r="Z51" s="156"/>
      <c r="AA51" s="156"/>
      <c r="AB51" s="156"/>
      <c r="AC51" s="156"/>
      <c r="AD51" s="156"/>
      <c r="AE51" s="157"/>
    </row>
    <row r="52" spans="2:31" x14ac:dyDescent="0.2">
      <c r="B52" s="16"/>
      <c r="D52" s="156"/>
      <c r="E52" s="156"/>
      <c r="F52" s="156"/>
      <c r="G52" s="156"/>
      <c r="H52" s="156"/>
      <c r="I52" s="156"/>
      <c r="J52" s="156"/>
      <c r="L52" s="16"/>
      <c r="W52" s="155"/>
      <c r="X52" s="156"/>
      <c r="Y52" s="156"/>
      <c r="Z52" s="156"/>
      <c r="AA52" s="156"/>
      <c r="AB52" s="156"/>
      <c r="AC52" s="156"/>
      <c r="AD52" s="156"/>
      <c r="AE52" s="157"/>
    </row>
    <row r="53" spans="2:31" x14ac:dyDescent="0.2">
      <c r="B53" s="16"/>
      <c r="D53" s="156"/>
      <c r="E53" s="156"/>
      <c r="F53" s="156"/>
      <c r="G53" s="156"/>
      <c r="H53" s="156"/>
      <c r="I53" s="156"/>
      <c r="J53" s="156"/>
      <c r="L53" s="16"/>
      <c r="W53" s="155"/>
      <c r="X53" s="156"/>
      <c r="Y53" s="156"/>
      <c r="Z53" s="156"/>
      <c r="AA53" s="156"/>
      <c r="AB53" s="156"/>
      <c r="AC53" s="156"/>
      <c r="AD53" s="156"/>
      <c r="AE53" s="157"/>
    </row>
    <row r="54" spans="2:31" x14ac:dyDescent="0.2">
      <c r="B54" s="16"/>
      <c r="D54" s="156"/>
      <c r="E54" s="156"/>
      <c r="F54" s="156"/>
      <c r="G54" s="156"/>
      <c r="H54" s="156"/>
      <c r="I54" s="156"/>
      <c r="J54" s="156"/>
      <c r="L54" s="16"/>
      <c r="W54" s="155"/>
      <c r="X54" s="156"/>
      <c r="Y54" s="156"/>
      <c r="Z54" s="156"/>
      <c r="AA54" s="156"/>
      <c r="AB54" s="156"/>
      <c r="AC54" s="156"/>
      <c r="AD54" s="156"/>
      <c r="AE54" s="157"/>
    </row>
    <row r="55" spans="2:31" x14ac:dyDescent="0.2">
      <c r="B55" s="16"/>
      <c r="D55" s="156"/>
      <c r="E55" s="156"/>
      <c r="F55" s="156"/>
      <c r="G55" s="156"/>
      <c r="H55" s="156"/>
      <c r="I55" s="156"/>
      <c r="J55" s="156"/>
      <c r="L55" s="16"/>
      <c r="W55" s="155"/>
      <c r="X55" s="156"/>
      <c r="Y55" s="156"/>
      <c r="Z55" s="156"/>
      <c r="AA55" s="156"/>
      <c r="AB55" s="156"/>
      <c r="AC55" s="156"/>
      <c r="AD55" s="156"/>
      <c r="AE55" s="157"/>
    </row>
    <row r="56" spans="2:31" x14ac:dyDescent="0.2">
      <c r="B56" s="16"/>
      <c r="D56" s="156"/>
      <c r="E56" s="156"/>
      <c r="F56" s="156"/>
      <c r="G56" s="156"/>
      <c r="H56" s="156"/>
      <c r="I56" s="156"/>
      <c r="J56" s="156"/>
      <c r="L56" s="16"/>
      <c r="W56" s="155"/>
      <c r="X56" s="156"/>
      <c r="Y56" s="156"/>
      <c r="Z56" s="156"/>
      <c r="AA56" s="156"/>
      <c r="AB56" s="156"/>
      <c r="AC56" s="156"/>
      <c r="AD56" s="156"/>
      <c r="AE56" s="157"/>
    </row>
    <row r="57" spans="2:31" x14ac:dyDescent="0.2">
      <c r="B57" s="16"/>
      <c r="D57" s="156"/>
      <c r="E57" s="156"/>
      <c r="F57" s="156"/>
      <c r="G57" s="156"/>
      <c r="H57" s="156"/>
      <c r="I57" s="156"/>
      <c r="J57" s="156"/>
      <c r="L57" s="16"/>
      <c r="W57" s="155"/>
      <c r="X57" s="156"/>
      <c r="Y57" s="156"/>
      <c r="Z57" s="156"/>
      <c r="AA57" s="156"/>
      <c r="AB57" s="156"/>
      <c r="AC57" s="156"/>
      <c r="AD57" s="156"/>
      <c r="AE57" s="157"/>
    </row>
    <row r="58" spans="2:31" x14ac:dyDescent="0.2">
      <c r="B58" s="16"/>
      <c r="D58" s="156"/>
      <c r="E58" s="156"/>
      <c r="F58" s="156"/>
      <c r="G58" s="156"/>
      <c r="H58" s="156"/>
      <c r="I58" s="156"/>
      <c r="J58" s="156"/>
      <c r="L58" s="16"/>
      <c r="W58" s="155"/>
      <c r="X58" s="156"/>
      <c r="Y58" s="156"/>
      <c r="Z58" s="156"/>
      <c r="AA58" s="156"/>
      <c r="AB58" s="156"/>
      <c r="AC58" s="156"/>
      <c r="AD58" s="156"/>
      <c r="AE58" s="157"/>
    </row>
    <row r="59" spans="2:31" x14ac:dyDescent="0.2">
      <c r="B59" s="16"/>
      <c r="D59" s="156"/>
      <c r="E59" s="156"/>
      <c r="F59" s="156"/>
      <c r="G59" s="156"/>
      <c r="H59" s="156"/>
      <c r="I59" s="156"/>
      <c r="J59" s="156"/>
      <c r="L59" s="16"/>
      <c r="W59" s="155"/>
      <c r="X59" s="156"/>
      <c r="Y59" s="156"/>
      <c r="Z59" s="156"/>
      <c r="AA59" s="156"/>
      <c r="AB59" s="156"/>
      <c r="AC59" s="156"/>
      <c r="AD59" s="156"/>
      <c r="AE59" s="157"/>
    </row>
    <row r="60" spans="2:31" x14ac:dyDescent="0.2">
      <c r="B60" s="16"/>
      <c r="D60" s="156"/>
      <c r="E60" s="156"/>
      <c r="F60" s="156"/>
      <c r="G60" s="156"/>
      <c r="H60" s="156"/>
      <c r="I60" s="156"/>
      <c r="J60" s="156"/>
      <c r="L60" s="16"/>
      <c r="W60" s="155"/>
      <c r="X60" s="156"/>
      <c r="Y60" s="156"/>
      <c r="Z60" s="156"/>
      <c r="AA60" s="156"/>
      <c r="AB60" s="156"/>
      <c r="AC60" s="156"/>
      <c r="AD60" s="156"/>
      <c r="AE60" s="157"/>
    </row>
    <row r="61" spans="2:31" s="1" customFormat="1" ht="13.2" x14ac:dyDescent="0.2">
      <c r="B61" s="24"/>
      <c r="D61" s="522"/>
      <c r="E61" s="523"/>
      <c r="F61" s="536"/>
      <c r="G61" s="522"/>
      <c r="H61" s="523"/>
      <c r="I61" s="523"/>
      <c r="J61" s="169"/>
      <c r="K61" s="26"/>
      <c r="L61" s="24"/>
      <c r="W61" s="158"/>
      <c r="X61" s="557"/>
      <c r="Y61" s="559"/>
      <c r="Z61" s="557"/>
      <c r="AA61" s="536"/>
      <c r="AB61" s="559"/>
      <c r="AC61" s="557"/>
      <c r="AD61" s="557"/>
      <c r="AE61" s="577"/>
    </row>
    <row r="62" spans="2:31" x14ac:dyDescent="0.2">
      <c r="B62" s="16"/>
      <c r="D62" s="156"/>
      <c r="E62" s="156"/>
      <c r="F62" s="156"/>
      <c r="G62" s="156"/>
      <c r="H62" s="156"/>
      <c r="I62" s="156"/>
      <c r="J62" s="156"/>
      <c r="L62" s="16"/>
      <c r="W62" s="155"/>
      <c r="X62" s="156"/>
      <c r="Y62" s="156"/>
      <c r="Z62" s="156"/>
      <c r="AA62" s="156"/>
      <c r="AB62" s="156"/>
      <c r="AC62" s="156"/>
      <c r="AD62" s="156"/>
      <c r="AE62" s="157"/>
    </row>
    <row r="63" spans="2:31" x14ac:dyDescent="0.2">
      <c r="B63" s="16"/>
      <c r="D63" s="156"/>
      <c r="E63" s="156"/>
      <c r="F63" s="156"/>
      <c r="G63" s="156"/>
      <c r="H63" s="156"/>
      <c r="I63" s="156"/>
      <c r="J63" s="156"/>
      <c r="L63" s="16"/>
      <c r="W63" s="155"/>
      <c r="X63" s="156"/>
      <c r="Y63" s="156"/>
      <c r="Z63" s="156"/>
      <c r="AA63" s="156"/>
      <c r="AB63" s="156"/>
      <c r="AC63" s="156"/>
      <c r="AD63" s="156"/>
      <c r="AE63" s="157"/>
    </row>
    <row r="64" spans="2:31" x14ac:dyDescent="0.2">
      <c r="B64" s="16"/>
      <c r="D64" s="156"/>
      <c r="E64" s="156"/>
      <c r="F64" s="156"/>
      <c r="G64" s="156"/>
      <c r="H64" s="156"/>
      <c r="I64" s="156"/>
      <c r="J64" s="156"/>
      <c r="L64" s="16"/>
      <c r="W64" s="155"/>
      <c r="X64" s="156"/>
      <c r="Y64" s="156"/>
      <c r="Z64" s="156"/>
      <c r="AA64" s="156"/>
      <c r="AB64" s="156"/>
      <c r="AC64" s="156"/>
      <c r="AD64" s="156"/>
      <c r="AE64" s="157"/>
    </row>
    <row r="65" spans="2:31" s="1" customFormat="1" ht="13.2" x14ac:dyDescent="0.2">
      <c r="B65" s="24"/>
      <c r="D65" s="530"/>
      <c r="E65" s="523"/>
      <c r="F65" s="523"/>
      <c r="G65" s="530"/>
      <c r="H65" s="523"/>
      <c r="I65" s="523"/>
      <c r="J65" s="523"/>
      <c r="K65" s="32"/>
      <c r="L65" s="24"/>
      <c r="W65" s="158"/>
      <c r="X65" s="557"/>
      <c r="Y65" s="530"/>
      <c r="Z65" s="557"/>
      <c r="AA65" s="557"/>
      <c r="AB65" s="530"/>
      <c r="AC65" s="557"/>
      <c r="AD65" s="557"/>
      <c r="AE65" s="159"/>
    </row>
    <row r="66" spans="2:31" x14ac:dyDescent="0.2">
      <c r="B66" s="16"/>
      <c r="D66" s="156"/>
      <c r="E66" s="156"/>
      <c r="F66" s="156"/>
      <c r="G66" s="156"/>
      <c r="H66" s="156"/>
      <c r="I66" s="156"/>
      <c r="J66" s="156"/>
      <c r="L66" s="16"/>
      <c r="W66" s="155"/>
      <c r="X66" s="156"/>
      <c r="Y66" s="156"/>
      <c r="Z66" s="156"/>
      <c r="AA66" s="156"/>
      <c r="AB66" s="156"/>
      <c r="AC66" s="156"/>
      <c r="AD66" s="156"/>
      <c r="AE66" s="157"/>
    </row>
    <row r="67" spans="2:31" x14ac:dyDescent="0.2">
      <c r="B67" s="16"/>
      <c r="D67" s="156"/>
      <c r="E67" s="156"/>
      <c r="F67" s="156"/>
      <c r="G67" s="156"/>
      <c r="H67" s="156"/>
      <c r="I67" s="156"/>
      <c r="J67" s="156"/>
      <c r="L67" s="16"/>
      <c r="W67" s="155"/>
      <c r="X67" s="156"/>
      <c r="Y67" s="156"/>
      <c r="Z67" s="156"/>
      <c r="AA67" s="156"/>
      <c r="AB67" s="156"/>
      <c r="AC67" s="156"/>
      <c r="AD67" s="156"/>
      <c r="AE67" s="157"/>
    </row>
    <row r="68" spans="2:31" x14ac:dyDescent="0.2">
      <c r="B68" s="16"/>
      <c r="D68" s="156"/>
      <c r="E68" s="156"/>
      <c r="F68" s="156"/>
      <c r="G68" s="156"/>
      <c r="H68" s="156"/>
      <c r="I68" s="156"/>
      <c r="J68" s="156"/>
      <c r="L68" s="16"/>
      <c r="W68" s="155"/>
      <c r="X68" s="156"/>
      <c r="Y68" s="156"/>
      <c r="Z68" s="156"/>
      <c r="AA68" s="156"/>
      <c r="AB68" s="156"/>
      <c r="AC68" s="156"/>
      <c r="AD68" s="156"/>
      <c r="AE68" s="157"/>
    </row>
    <row r="69" spans="2:31" x14ac:dyDescent="0.2">
      <c r="B69" s="16"/>
      <c r="D69" s="156"/>
      <c r="E69" s="156"/>
      <c r="F69" s="156"/>
      <c r="G69" s="156"/>
      <c r="H69" s="156"/>
      <c r="I69" s="156"/>
      <c r="J69" s="156"/>
      <c r="L69" s="16"/>
      <c r="W69" s="155"/>
      <c r="X69" s="156"/>
      <c r="Y69" s="156"/>
      <c r="Z69" s="156"/>
      <c r="AA69" s="156"/>
      <c r="AB69" s="156"/>
      <c r="AC69" s="156"/>
      <c r="AD69" s="156"/>
      <c r="AE69" s="157"/>
    </row>
    <row r="70" spans="2:31" x14ac:dyDescent="0.2">
      <c r="B70" s="16"/>
      <c r="D70" s="156"/>
      <c r="E70" s="156"/>
      <c r="F70" s="156"/>
      <c r="G70" s="156"/>
      <c r="H70" s="156"/>
      <c r="I70" s="156"/>
      <c r="J70" s="156"/>
      <c r="L70" s="16"/>
      <c r="W70" s="155"/>
      <c r="X70" s="156"/>
      <c r="Y70" s="156"/>
      <c r="Z70" s="156"/>
      <c r="AA70" s="156"/>
      <c r="AB70" s="156"/>
      <c r="AC70" s="156"/>
      <c r="AD70" s="156"/>
      <c r="AE70" s="157"/>
    </row>
    <row r="71" spans="2:31" x14ac:dyDescent="0.2">
      <c r="B71" s="16"/>
      <c r="D71" s="156"/>
      <c r="E71" s="156"/>
      <c r="F71" s="156"/>
      <c r="G71" s="156"/>
      <c r="H71" s="156"/>
      <c r="I71" s="156"/>
      <c r="J71" s="156"/>
      <c r="L71" s="16"/>
      <c r="W71" s="155"/>
      <c r="X71" s="156"/>
      <c r="Y71" s="156"/>
      <c r="Z71" s="156"/>
      <c r="AA71" s="156"/>
      <c r="AB71" s="156"/>
      <c r="AC71" s="156"/>
      <c r="AD71" s="156"/>
      <c r="AE71" s="157"/>
    </row>
    <row r="72" spans="2:31" x14ac:dyDescent="0.2">
      <c r="B72" s="16"/>
      <c r="D72" s="156"/>
      <c r="E72" s="156"/>
      <c r="F72" s="156"/>
      <c r="G72" s="156"/>
      <c r="H72" s="156"/>
      <c r="I72" s="156"/>
      <c r="J72" s="156"/>
      <c r="L72" s="16"/>
      <c r="W72" s="155"/>
      <c r="X72" s="156"/>
      <c r="Y72" s="156"/>
      <c r="Z72" s="156"/>
      <c r="AA72" s="156"/>
      <c r="AB72" s="156"/>
      <c r="AC72" s="156"/>
      <c r="AD72" s="156"/>
      <c r="AE72" s="157"/>
    </row>
    <row r="73" spans="2:31" x14ac:dyDescent="0.2">
      <c r="B73" s="16"/>
      <c r="D73" s="156"/>
      <c r="E73" s="156"/>
      <c r="F73" s="156"/>
      <c r="G73" s="156"/>
      <c r="H73" s="156"/>
      <c r="I73" s="156"/>
      <c r="J73" s="156"/>
      <c r="L73" s="16"/>
      <c r="W73" s="155"/>
      <c r="X73" s="156"/>
      <c r="Y73" s="156"/>
      <c r="Z73" s="156"/>
      <c r="AA73" s="156"/>
      <c r="AB73" s="156"/>
      <c r="AC73" s="156"/>
      <c r="AD73" s="156"/>
      <c r="AE73" s="157"/>
    </row>
    <row r="74" spans="2:31" x14ac:dyDescent="0.2">
      <c r="B74" s="16"/>
      <c r="D74" s="156"/>
      <c r="E74" s="156"/>
      <c r="F74" s="156"/>
      <c r="G74" s="156"/>
      <c r="H74" s="156"/>
      <c r="I74" s="156"/>
      <c r="J74" s="156"/>
      <c r="L74" s="16"/>
      <c r="W74" s="155"/>
      <c r="X74" s="156"/>
      <c r="Y74" s="156"/>
      <c r="Z74" s="156"/>
      <c r="AA74" s="156"/>
      <c r="AB74" s="156"/>
      <c r="AC74" s="156"/>
      <c r="AD74" s="156"/>
      <c r="AE74" s="157"/>
    </row>
    <row r="75" spans="2:31" x14ac:dyDescent="0.2">
      <c r="B75" s="16"/>
      <c r="D75" s="156"/>
      <c r="E75" s="156"/>
      <c r="F75" s="156"/>
      <c r="G75" s="156"/>
      <c r="H75" s="156"/>
      <c r="I75" s="156"/>
      <c r="J75" s="156"/>
      <c r="L75" s="16"/>
      <c r="W75" s="155"/>
      <c r="X75" s="156"/>
      <c r="Y75" s="156"/>
      <c r="Z75" s="156"/>
      <c r="AA75" s="156"/>
      <c r="AB75" s="156"/>
      <c r="AC75" s="156"/>
      <c r="AD75" s="156"/>
      <c r="AE75" s="157"/>
    </row>
    <row r="76" spans="2:31" s="1" customFormat="1" ht="13.2" x14ac:dyDescent="0.2">
      <c r="B76" s="24"/>
      <c r="D76" s="522"/>
      <c r="E76" s="523"/>
      <c r="F76" s="536"/>
      <c r="G76" s="522"/>
      <c r="H76" s="523"/>
      <c r="I76" s="523"/>
      <c r="J76" s="169"/>
      <c r="K76" s="26"/>
      <c r="L76" s="24"/>
      <c r="W76" s="158"/>
      <c r="X76" s="557"/>
      <c r="Y76" s="559"/>
      <c r="Z76" s="557"/>
      <c r="AA76" s="536"/>
      <c r="AB76" s="559"/>
      <c r="AC76" s="557"/>
      <c r="AD76" s="557"/>
      <c r="AE76" s="577"/>
    </row>
    <row r="77" spans="2:31" s="1" customFormat="1" ht="14.55" customHeight="1" x14ac:dyDescent="0.2">
      <c r="B77" s="33"/>
      <c r="C77" s="34"/>
      <c r="D77" s="34"/>
      <c r="E77" s="34"/>
      <c r="F77" s="34"/>
      <c r="G77" s="34"/>
      <c r="H77" s="34"/>
      <c r="I77" s="34"/>
      <c r="J77" s="34"/>
      <c r="K77" s="34"/>
      <c r="L77" s="24"/>
      <c r="W77" s="175"/>
      <c r="X77" s="176"/>
      <c r="Y77" s="176"/>
      <c r="Z77" s="176"/>
      <c r="AA77" s="176"/>
      <c r="AB77" s="176"/>
      <c r="AC77" s="176"/>
      <c r="AD77" s="176"/>
      <c r="AE77" s="177"/>
    </row>
    <row r="81" spans="2:47" s="1" customFormat="1" ht="7.05" customHeight="1" x14ac:dyDescent="0.2">
      <c r="B81" s="35"/>
      <c r="C81" s="36"/>
      <c r="D81" s="36"/>
      <c r="E81" s="36"/>
      <c r="F81" s="36"/>
      <c r="G81" s="36"/>
      <c r="H81" s="36"/>
      <c r="I81" s="36"/>
      <c r="J81" s="36"/>
      <c r="K81" s="36"/>
      <c r="L81" s="24"/>
      <c r="W81" s="178"/>
      <c r="X81" s="179"/>
      <c r="Y81" s="179"/>
      <c r="Z81" s="179"/>
      <c r="AA81" s="179"/>
      <c r="AB81" s="179"/>
      <c r="AC81" s="179"/>
      <c r="AD81" s="179"/>
      <c r="AE81" s="180"/>
    </row>
    <row r="82" spans="2:47" s="1" customFormat="1" ht="25.05" customHeight="1" x14ac:dyDescent="0.2">
      <c r="B82" s="24"/>
      <c r="C82" s="1165" t="s">
        <v>188</v>
      </c>
      <c r="D82" s="1165"/>
      <c r="E82" s="1165"/>
      <c r="F82" s="1165"/>
      <c r="G82" s="1165"/>
      <c r="H82" s="1165"/>
      <c r="I82" s="1165"/>
      <c r="J82" s="1165"/>
      <c r="L82" s="24"/>
      <c r="W82" s="158"/>
      <c r="X82" s="1237" t="s">
        <v>188</v>
      </c>
      <c r="Y82" s="1237"/>
      <c r="Z82" s="1237"/>
      <c r="AA82" s="1237"/>
      <c r="AB82" s="1237"/>
      <c r="AC82" s="1237"/>
      <c r="AD82" s="1237"/>
      <c r="AE82" s="1238"/>
    </row>
    <row r="83" spans="2:47" s="1" customFormat="1" ht="7.05" customHeight="1" x14ac:dyDescent="0.2">
      <c r="B83" s="24"/>
      <c r="L83" s="24"/>
      <c r="W83" s="158"/>
      <c r="X83" s="557"/>
      <c r="Y83" s="557"/>
      <c r="Z83" s="557"/>
      <c r="AA83" s="557"/>
      <c r="AB83" s="557"/>
      <c r="AC83" s="557"/>
      <c r="AD83" s="557"/>
      <c r="AE83" s="159"/>
    </row>
    <row r="84" spans="2:47" s="1" customFormat="1" ht="12" customHeight="1" x14ac:dyDescent="0.2">
      <c r="B84" s="24"/>
      <c r="C84" s="528" t="s">
        <v>12</v>
      </c>
      <c r="E84" s="1242" t="s">
        <v>6177</v>
      </c>
      <c r="F84" s="1242"/>
      <c r="G84" s="1242"/>
      <c r="H84" s="1242"/>
      <c r="I84" s="1242"/>
      <c r="J84" s="1242"/>
      <c r="L84" s="24"/>
      <c r="W84" s="158"/>
      <c r="X84" s="538" t="s">
        <v>12</v>
      </c>
      <c r="Y84" s="557"/>
      <c r="Z84" s="1163" t="s">
        <v>6177</v>
      </c>
      <c r="AA84" s="1163"/>
      <c r="AB84" s="1163"/>
      <c r="AC84" s="1163"/>
      <c r="AD84" s="1163"/>
      <c r="AE84" s="1241"/>
    </row>
    <row r="85" spans="2:47" s="1" customFormat="1" ht="21.45" customHeight="1" x14ac:dyDescent="0.2">
      <c r="B85" s="24"/>
      <c r="C85" s="521"/>
      <c r="E85" s="1243"/>
      <c r="F85" s="1244"/>
      <c r="G85" s="1244"/>
      <c r="H85" s="1244"/>
      <c r="L85" s="24"/>
      <c r="W85" s="158"/>
      <c r="X85" s="557"/>
      <c r="Y85" s="557"/>
      <c r="Z85" s="1249"/>
      <c r="AA85" s="1250"/>
      <c r="AB85" s="1250"/>
      <c r="AC85" s="1250"/>
      <c r="AD85" s="557"/>
      <c r="AE85" s="159"/>
    </row>
    <row r="86" spans="2:47" s="1" customFormat="1" ht="12" customHeight="1" x14ac:dyDescent="0.2">
      <c r="B86" s="24"/>
      <c r="C86" s="528" t="s">
        <v>186</v>
      </c>
      <c r="F86" s="555" t="s">
        <v>4600</v>
      </c>
      <c r="L86" s="24"/>
      <c r="W86" s="158"/>
      <c r="X86" s="538" t="s">
        <v>186</v>
      </c>
      <c r="Y86" s="557"/>
      <c r="Z86" s="557"/>
      <c r="AA86" s="555" t="s">
        <v>4600</v>
      </c>
      <c r="AB86" s="557"/>
      <c r="AC86" s="557"/>
      <c r="AD86" s="557"/>
      <c r="AE86" s="159"/>
    </row>
    <row r="87" spans="2:47" s="1" customFormat="1" ht="16.5" customHeight="1" x14ac:dyDescent="0.2">
      <c r="B87" s="24"/>
      <c r="C87" s="521"/>
      <c r="E87" s="1251"/>
      <c r="F87" s="1252"/>
      <c r="G87" s="1252"/>
      <c r="H87" s="1252"/>
      <c r="L87" s="24"/>
      <c r="W87" s="158"/>
      <c r="X87" s="557"/>
      <c r="Y87" s="557"/>
      <c r="Z87" s="1245"/>
      <c r="AA87" s="1246"/>
      <c r="AB87" s="1246"/>
      <c r="AC87" s="1246"/>
      <c r="AD87" s="557"/>
      <c r="AE87" s="159"/>
    </row>
    <row r="88" spans="2:47" s="1" customFormat="1" ht="7.05" customHeight="1" x14ac:dyDescent="0.2">
      <c r="B88" s="24"/>
      <c r="C88" s="521"/>
      <c r="L88" s="24"/>
      <c r="W88" s="158"/>
      <c r="X88" s="557"/>
      <c r="Y88" s="557"/>
      <c r="Z88" s="557"/>
      <c r="AA88" s="557"/>
      <c r="AB88" s="557"/>
      <c r="AC88" s="557"/>
      <c r="AD88" s="557"/>
      <c r="AE88" s="159"/>
    </row>
    <row r="89" spans="2:47" s="1" customFormat="1" ht="12" customHeight="1" x14ac:dyDescent="0.2">
      <c r="B89" s="24"/>
      <c r="C89" s="528" t="s">
        <v>15</v>
      </c>
      <c r="F89" s="19" t="str">
        <f>F12</f>
        <v>Kuzmányho nábrežie 28, 960 01 Zvolen</v>
      </c>
      <c r="I89" s="528" t="s">
        <v>17</v>
      </c>
      <c r="J89" s="39" t="str">
        <f>IF(J12="","",J12)</f>
        <v/>
      </c>
      <c r="L89" s="24"/>
      <c r="W89" s="158"/>
      <c r="X89" s="538" t="s">
        <v>15</v>
      </c>
      <c r="Y89" s="557"/>
      <c r="Z89" s="557"/>
      <c r="AA89" s="558" t="str">
        <f>AA12</f>
        <v>Kuzmányho nábrežie 28, 960 01 Zvolen</v>
      </c>
      <c r="AB89" s="557"/>
      <c r="AC89" s="557"/>
      <c r="AD89" s="538" t="s">
        <v>17</v>
      </c>
      <c r="AE89" s="162" t="str">
        <f>IF(AE12="","",AE12)</f>
        <v/>
      </c>
    </row>
    <row r="90" spans="2:47" s="1" customFormat="1" ht="7.05" customHeight="1" x14ac:dyDescent="0.2">
      <c r="B90" s="24"/>
      <c r="C90" s="521"/>
      <c r="I90" s="521"/>
      <c r="L90" s="24"/>
      <c r="W90" s="158"/>
      <c r="X90" s="557"/>
      <c r="Y90" s="557"/>
      <c r="Z90" s="557"/>
      <c r="AA90" s="557"/>
      <c r="AB90" s="557"/>
      <c r="AC90" s="557"/>
      <c r="AD90" s="557"/>
      <c r="AE90" s="159"/>
    </row>
    <row r="91" spans="2:47" s="1" customFormat="1" ht="15.3" customHeight="1" x14ac:dyDescent="0.2">
      <c r="B91" s="24"/>
      <c r="C91" s="528" t="s">
        <v>18</v>
      </c>
      <c r="F91" s="529" t="s">
        <v>6175</v>
      </c>
      <c r="I91" s="528" t="s">
        <v>22</v>
      </c>
      <c r="J91" s="22" t="str">
        <f>E21</f>
        <v xml:space="preserve"> </v>
      </c>
      <c r="L91" s="24"/>
      <c r="W91" s="158"/>
      <c r="X91" s="538" t="s">
        <v>18</v>
      </c>
      <c r="Y91" s="557"/>
      <c r="Z91" s="557"/>
      <c r="AA91" s="576" t="s">
        <v>6175</v>
      </c>
      <c r="AB91" s="557"/>
      <c r="AC91" s="557"/>
      <c r="AD91" s="538" t="s">
        <v>22</v>
      </c>
      <c r="AE91" s="181" t="str">
        <f>Z21</f>
        <v/>
      </c>
    </row>
    <row r="92" spans="2:47" s="1" customFormat="1" ht="15.3" customHeight="1" x14ac:dyDescent="0.2">
      <c r="B92" s="24"/>
      <c r="C92" s="528" t="s">
        <v>21</v>
      </c>
      <c r="F92" s="529" t="s">
        <v>5202</v>
      </c>
      <c r="I92" s="528" t="s">
        <v>24</v>
      </c>
      <c r="J92" s="22" t="str">
        <f>E24</f>
        <v xml:space="preserve"> </v>
      </c>
      <c r="L92" s="24"/>
      <c r="W92" s="158"/>
      <c r="X92" s="538" t="s">
        <v>21</v>
      </c>
      <c r="Y92" s="557"/>
      <c r="Z92" s="557"/>
      <c r="AA92" s="576" t="s">
        <v>5202</v>
      </c>
      <c r="AB92" s="557"/>
      <c r="AC92" s="557"/>
      <c r="AD92" s="538" t="s">
        <v>24</v>
      </c>
      <c r="AE92" s="181" t="str">
        <f>Z24</f>
        <v/>
      </c>
    </row>
    <row r="93" spans="2:47" s="1" customFormat="1" ht="10.199999999999999" customHeight="1" x14ac:dyDescent="0.2">
      <c r="B93" s="24"/>
      <c r="L93" s="24"/>
      <c r="W93" s="158"/>
      <c r="X93" s="557"/>
      <c r="Y93" s="557"/>
      <c r="Z93" s="557"/>
      <c r="AA93" s="557"/>
      <c r="AB93" s="557"/>
      <c r="AC93" s="557"/>
      <c r="AD93" s="557"/>
      <c r="AE93" s="159"/>
    </row>
    <row r="94" spans="2:47" s="1" customFormat="1" ht="29.25" customHeight="1" x14ac:dyDescent="0.2">
      <c r="B94" s="24"/>
      <c r="C94" s="86" t="s">
        <v>189</v>
      </c>
      <c r="D94" s="80"/>
      <c r="E94" s="80"/>
      <c r="F94" s="80"/>
      <c r="G94" s="80"/>
      <c r="H94" s="80"/>
      <c r="I94" s="80"/>
      <c r="J94" s="87" t="s">
        <v>190</v>
      </c>
      <c r="K94" s="80"/>
      <c r="L94" s="24"/>
      <c r="W94" s="158"/>
      <c r="X94" s="182" t="s">
        <v>189</v>
      </c>
      <c r="Y94" s="173"/>
      <c r="Z94" s="173"/>
      <c r="AA94" s="173"/>
      <c r="AB94" s="173"/>
      <c r="AC94" s="173"/>
      <c r="AD94" s="173"/>
      <c r="AE94" s="183" t="s">
        <v>190</v>
      </c>
    </row>
    <row r="95" spans="2:47" s="1" customFormat="1" ht="10.199999999999999" customHeight="1" x14ac:dyDescent="0.2">
      <c r="B95" s="24"/>
      <c r="L95" s="24"/>
      <c r="W95" s="158"/>
      <c r="X95" s="557"/>
      <c r="Y95" s="557"/>
      <c r="Z95" s="557"/>
      <c r="AA95" s="557"/>
      <c r="AB95" s="557"/>
      <c r="AC95" s="557"/>
      <c r="AD95" s="557"/>
      <c r="AE95" s="159"/>
    </row>
    <row r="96" spans="2:47" s="1" customFormat="1" ht="22.95" customHeight="1" x14ac:dyDescent="0.2">
      <c r="B96" s="24"/>
      <c r="C96" s="88" t="s">
        <v>191</v>
      </c>
      <c r="J96" s="53">
        <f>J124</f>
        <v>1753.04</v>
      </c>
      <c r="L96" s="24"/>
      <c r="W96" s="158"/>
      <c r="X96" s="184" t="s">
        <v>191</v>
      </c>
      <c r="Y96" s="557"/>
      <c r="Z96" s="557"/>
      <c r="AA96" s="557"/>
      <c r="AB96" s="557"/>
      <c r="AC96" s="557"/>
      <c r="AD96" s="557"/>
      <c r="AE96" s="168">
        <f>AE124</f>
        <v>6772.0300000000007</v>
      </c>
      <c r="AU96" s="13" t="s">
        <v>192</v>
      </c>
    </row>
    <row r="97" spans="2:31" s="8" customFormat="1" ht="25.05" customHeight="1" x14ac:dyDescent="0.2">
      <c r="B97" s="89"/>
      <c r="D97" s="90" t="s">
        <v>4601</v>
      </c>
      <c r="E97" s="91"/>
      <c r="F97" s="91"/>
      <c r="G97" s="91"/>
      <c r="H97" s="91"/>
      <c r="I97" s="91"/>
      <c r="J97" s="92">
        <f>J125</f>
        <v>1053.26</v>
      </c>
      <c r="L97" s="89"/>
      <c r="W97" s="185"/>
      <c r="X97" s="186"/>
      <c r="Y97" s="90" t="s">
        <v>4601</v>
      </c>
      <c r="Z97" s="91"/>
      <c r="AA97" s="91"/>
      <c r="AB97" s="91"/>
      <c r="AC97" s="91"/>
      <c r="AD97" s="91"/>
      <c r="AE97" s="187">
        <f>AE125</f>
        <v>1614.1599999999999</v>
      </c>
    </row>
    <row r="98" spans="2:31" s="8" customFormat="1" ht="25.05" customHeight="1" x14ac:dyDescent="0.2">
      <c r="B98" s="89"/>
      <c r="D98" s="90" t="s">
        <v>4602</v>
      </c>
      <c r="E98" s="91"/>
      <c r="F98" s="91"/>
      <c r="G98" s="91"/>
      <c r="H98" s="91"/>
      <c r="I98" s="91"/>
      <c r="J98" s="92">
        <f>J130</f>
        <v>137.79</v>
      </c>
      <c r="L98" s="89"/>
      <c r="W98" s="185"/>
      <c r="X98" s="186"/>
      <c r="Y98" s="90" t="s">
        <v>4602</v>
      </c>
      <c r="Z98" s="91"/>
      <c r="AA98" s="91"/>
      <c r="AB98" s="91"/>
      <c r="AC98" s="91"/>
      <c r="AD98" s="91"/>
      <c r="AE98" s="187">
        <f>AE130</f>
        <v>137.79</v>
      </c>
    </row>
    <row r="99" spans="2:31" s="9" customFormat="1" ht="19.95" customHeight="1" x14ac:dyDescent="0.2">
      <c r="B99" s="93"/>
      <c r="D99" s="94" t="s">
        <v>4603</v>
      </c>
      <c r="E99" s="95"/>
      <c r="F99" s="95"/>
      <c r="G99" s="95"/>
      <c r="H99" s="95"/>
      <c r="I99" s="95"/>
      <c r="J99" s="96">
        <f>J133</f>
        <v>49.459999999999994</v>
      </c>
      <c r="L99" s="93"/>
      <c r="W99" s="188"/>
      <c r="X99" s="189"/>
      <c r="Y99" s="94" t="s">
        <v>4603</v>
      </c>
      <c r="Z99" s="95"/>
      <c r="AA99" s="95"/>
      <c r="AB99" s="95"/>
      <c r="AC99" s="95"/>
      <c r="AD99" s="95"/>
      <c r="AE99" s="190">
        <f>AE133</f>
        <v>49.459999999999994</v>
      </c>
    </row>
    <row r="100" spans="2:31" s="8" customFormat="1" ht="25.05" customHeight="1" x14ac:dyDescent="0.2">
      <c r="B100" s="89"/>
      <c r="D100" s="90" t="s">
        <v>4604</v>
      </c>
      <c r="E100" s="91"/>
      <c r="F100" s="91"/>
      <c r="G100" s="91"/>
      <c r="H100" s="91"/>
      <c r="I100" s="91"/>
      <c r="J100" s="92">
        <f>J137</f>
        <v>89.429999999999993</v>
      </c>
      <c r="L100" s="89"/>
      <c r="W100" s="185"/>
      <c r="X100" s="186"/>
      <c r="Y100" s="90" t="s">
        <v>4604</v>
      </c>
      <c r="Z100" s="91"/>
      <c r="AA100" s="91"/>
      <c r="AB100" s="91"/>
      <c r="AC100" s="91"/>
      <c r="AD100" s="91"/>
      <c r="AE100" s="187">
        <f>AE137</f>
        <v>89.429999999999993</v>
      </c>
    </row>
    <row r="101" spans="2:31" s="9" customFormat="1" ht="19.95" customHeight="1" x14ac:dyDescent="0.2">
      <c r="B101" s="93"/>
      <c r="D101" s="94" t="s">
        <v>4603</v>
      </c>
      <c r="E101" s="95"/>
      <c r="F101" s="95"/>
      <c r="G101" s="95"/>
      <c r="H101" s="95"/>
      <c r="I101" s="95"/>
      <c r="J101" s="96">
        <f>J140</f>
        <v>11.55</v>
      </c>
      <c r="L101" s="93"/>
      <c r="W101" s="188"/>
      <c r="X101" s="189"/>
      <c r="Y101" s="94" t="s">
        <v>4603</v>
      </c>
      <c r="Z101" s="95"/>
      <c r="AA101" s="95"/>
      <c r="AB101" s="95"/>
      <c r="AC101" s="95"/>
      <c r="AD101" s="95"/>
      <c r="AE101" s="190">
        <f>AE140</f>
        <v>11.55</v>
      </c>
    </row>
    <row r="102" spans="2:31" s="8" customFormat="1" ht="25.05" customHeight="1" x14ac:dyDescent="0.2">
      <c r="B102" s="89"/>
      <c r="D102" s="90" t="s">
        <v>4605</v>
      </c>
      <c r="E102" s="91"/>
      <c r="F102" s="91"/>
      <c r="G102" s="91"/>
      <c r="H102" s="91"/>
      <c r="I102" s="91"/>
      <c r="J102" s="92">
        <f>J143</f>
        <v>472.55999999999995</v>
      </c>
      <c r="L102" s="89"/>
      <c r="W102" s="185"/>
      <c r="X102" s="186"/>
      <c r="Y102" s="90" t="s">
        <v>4605</v>
      </c>
      <c r="Z102" s="91"/>
      <c r="AA102" s="91"/>
      <c r="AB102" s="91"/>
      <c r="AC102" s="91"/>
      <c r="AD102" s="91"/>
      <c r="AE102" s="187">
        <f>AE143</f>
        <v>472.55999999999995</v>
      </c>
    </row>
    <row r="103" spans="2:31" s="9" customFormat="1" ht="19.95" customHeight="1" x14ac:dyDescent="0.2">
      <c r="B103" s="93"/>
      <c r="D103" s="94" t="s">
        <v>4606</v>
      </c>
      <c r="E103" s="95"/>
      <c r="F103" s="95"/>
      <c r="G103" s="95"/>
      <c r="H103" s="95"/>
      <c r="I103" s="95"/>
      <c r="J103" s="96">
        <f>J146</f>
        <v>394.67999999999995</v>
      </c>
      <c r="L103" s="93"/>
      <c r="W103" s="188"/>
      <c r="X103" s="189"/>
      <c r="Y103" s="94" t="s">
        <v>4606</v>
      </c>
      <c r="Z103" s="95"/>
      <c r="AA103" s="95"/>
      <c r="AB103" s="95"/>
      <c r="AC103" s="95"/>
      <c r="AD103" s="95"/>
      <c r="AE103" s="190">
        <f>AE146</f>
        <v>394.67999999999995</v>
      </c>
    </row>
    <row r="104" spans="2:31" s="8" customFormat="1" ht="25.05" customHeight="1" x14ac:dyDescent="0.25">
      <c r="B104" s="89"/>
      <c r="D104" s="90"/>
      <c r="E104" s="91"/>
      <c r="F104" s="91"/>
      <c r="G104" s="91"/>
      <c r="H104" s="91"/>
      <c r="I104" s="91"/>
      <c r="J104" s="92"/>
      <c r="L104" s="89"/>
      <c r="W104" s="185"/>
      <c r="X104" s="186"/>
      <c r="Y104" s="507" t="s">
        <v>6721</v>
      </c>
      <c r="Z104" s="95"/>
      <c r="AA104" s="95"/>
      <c r="AB104" s="95"/>
      <c r="AC104" s="95"/>
      <c r="AD104" s="95"/>
      <c r="AE104" s="190">
        <f>AE153</f>
        <v>4458.0900000000011</v>
      </c>
    </row>
    <row r="105" spans="2:31" s="1" customFormat="1" ht="21.75" customHeight="1" x14ac:dyDescent="0.2">
      <c r="B105" s="24"/>
      <c r="L105" s="24"/>
      <c r="W105" s="158"/>
      <c r="X105" s="557"/>
      <c r="Y105" s="557"/>
      <c r="Z105" s="557"/>
      <c r="AA105" s="557"/>
      <c r="AB105" s="557"/>
      <c r="AC105" s="557"/>
      <c r="AD105" s="557"/>
      <c r="AE105" s="159"/>
    </row>
    <row r="106" spans="2:31" s="1" customFormat="1" ht="7.05" customHeight="1" x14ac:dyDescent="0.2">
      <c r="B106" s="33"/>
      <c r="C106" s="34"/>
      <c r="D106" s="34"/>
      <c r="E106" s="34"/>
      <c r="F106" s="34"/>
      <c r="G106" s="34"/>
      <c r="H106" s="34"/>
      <c r="I106" s="34"/>
      <c r="J106" s="34"/>
      <c r="K106" s="34"/>
      <c r="L106" s="24"/>
      <c r="W106" s="175"/>
      <c r="X106" s="176"/>
      <c r="Y106" s="176"/>
      <c r="Z106" s="176"/>
      <c r="AA106" s="176"/>
      <c r="AB106" s="176"/>
      <c r="AC106" s="176"/>
      <c r="AD106" s="176"/>
      <c r="AE106" s="177"/>
    </row>
    <row r="110" spans="2:31" s="1" customFormat="1" ht="7.05" customHeight="1" x14ac:dyDescent="0.2">
      <c r="B110" s="35"/>
      <c r="C110" s="36"/>
      <c r="D110" s="36"/>
      <c r="E110" s="36"/>
      <c r="F110" s="36"/>
      <c r="G110" s="36"/>
      <c r="H110" s="36"/>
      <c r="I110" s="36"/>
      <c r="J110" s="36"/>
      <c r="K110" s="36"/>
      <c r="L110" s="24"/>
      <c r="W110" s="178"/>
      <c r="X110" s="179"/>
      <c r="Y110" s="179"/>
      <c r="Z110" s="179"/>
      <c r="AA110" s="179"/>
      <c r="AB110" s="179"/>
      <c r="AC110" s="179"/>
      <c r="AD110" s="179"/>
      <c r="AE110" s="180"/>
    </row>
    <row r="111" spans="2:31" s="1" customFormat="1" ht="25.05" customHeight="1" x14ac:dyDescent="0.2">
      <c r="B111" s="24"/>
      <c r="C111" s="1165" t="s">
        <v>214</v>
      </c>
      <c r="D111" s="1165"/>
      <c r="E111" s="1165"/>
      <c r="F111" s="1165"/>
      <c r="G111" s="1165"/>
      <c r="H111" s="1165"/>
      <c r="I111" s="1165"/>
      <c r="J111" s="1165"/>
      <c r="L111" s="24"/>
      <c r="W111" s="158"/>
      <c r="X111" s="1237" t="s">
        <v>214</v>
      </c>
      <c r="Y111" s="1237"/>
      <c r="Z111" s="1237"/>
      <c r="AA111" s="1237"/>
      <c r="AB111" s="1237"/>
      <c r="AC111" s="1237"/>
      <c r="AD111" s="1237"/>
      <c r="AE111" s="1238"/>
    </row>
    <row r="112" spans="2:31" s="1" customFormat="1" ht="7.05" customHeight="1" x14ac:dyDescent="0.2">
      <c r="B112" s="24"/>
      <c r="L112" s="24"/>
      <c r="W112" s="158"/>
      <c r="X112" s="557"/>
      <c r="Y112" s="557"/>
      <c r="Z112" s="557"/>
      <c r="AA112" s="557"/>
      <c r="AB112" s="557"/>
      <c r="AC112" s="557"/>
      <c r="AD112" s="557"/>
      <c r="AE112" s="159"/>
    </row>
    <row r="113" spans="2:65" s="1" customFormat="1" ht="12" customHeight="1" x14ac:dyDescent="0.2">
      <c r="B113" s="24"/>
      <c r="C113" s="528" t="s">
        <v>12</v>
      </c>
      <c r="E113" s="1242" t="s">
        <v>6177</v>
      </c>
      <c r="F113" s="1242"/>
      <c r="G113" s="1242"/>
      <c r="H113" s="1242"/>
      <c r="I113" s="1242"/>
      <c r="J113" s="1242"/>
      <c r="L113" s="24"/>
      <c r="W113" s="158"/>
      <c r="X113" s="538" t="s">
        <v>12</v>
      </c>
      <c r="Y113" s="557"/>
      <c r="Z113" s="1163" t="s">
        <v>6177</v>
      </c>
      <c r="AA113" s="1163"/>
      <c r="AB113" s="1163"/>
      <c r="AC113" s="1163"/>
      <c r="AD113" s="1163"/>
      <c r="AE113" s="1241"/>
    </row>
    <row r="114" spans="2:65" s="1" customFormat="1" ht="22.95" customHeight="1" x14ac:dyDescent="0.2">
      <c r="B114" s="24"/>
      <c r="C114" s="521"/>
      <c r="E114" s="1243"/>
      <c r="F114" s="1244"/>
      <c r="G114" s="1244"/>
      <c r="H114" s="1244"/>
      <c r="L114" s="24"/>
      <c r="W114" s="158"/>
      <c r="X114" s="557"/>
      <c r="Y114" s="557"/>
      <c r="Z114" s="1249"/>
      <c r="AA114" s="1250"/>
      <c r="AB114" s="1250"/>
      <c r="AC114" s="1250"/>
      <c r="AD114" s="557"/>
      <c r="AE114" s="159"/>
    </row>
    <row r="115" spans="2:65" s="1" customFormat="1" ht="12" customHeight="1" x14ac:dyDescent="0.2">
      <c r="B115" s="24"/>
      <c r="C115" s="528" t="s">
        <v>186</v>
      </c>
      <c r="F115" s="555" t="s">
        <v>4600</v>
      </c>
      <c r="L115" s="24"/>
      <c r="W115" s="158"/>
      <c r="X115" s="538" t="s">
        <v>186</v>
      </c>
      <c r="Y115" s="557"/>
      <c r="Z115" s="557"/>
      <c r="AA115" s="555" t="s">
        <v>4600</v>
      </c>
      <c r="AB115" s="557"/>
      <c r="AC115" s="557"/>
      <c r="AD115" s="557"/>
      <c r="AE115" s="159"/>
    </row>
    <row r="116" spans="2:65" s="1" customFormat="1" ht="16.5" customHeight="1" x14ac:dyDescent="0.2">
      <c r="B116" s="24"/>
      <c r="C116" s="521"/>
      <c r="E116" s="1251"/>
      <c r="F116" s="1252"/>
      <c r="G116" s="1252"/>
      <c r="H116" s="1252"/>
      <c r="L116" s="24"/>
      <c r="W116" s="158"/>
      <c r="X116" s="557"/>
      <c r="Y116" s="557"/>
      <c r="Z116" s="1245"/>
      <c r="AA116" s="1246"/>
      <c r="AB116" s="1246"/>
      <c r="AC116" s="1246"/>
      <c r="AD116" s="557"/>
      <c r="AE116" s="159"/>
    </row>
    <row r="117" spans="2:65" s="1" customFormat="1" ht="7.05" customHeight="1" x14ac:dyDescent="0.2">
      <c r="B117" s="24"/>
      <c r="C117" s="521"/>
      <c r="L117" s="24"/>
      <c r="W117" s="158"/>
      <c r="X117" s="557"/>
      <c r="Y117" s="557"/>
      <c r="Z117" s="557"/>
      <c r="AA117" s="557"/>
      <c r="AB117" s="557"/>
      <c r="AC117" s="557"/>
      <c r="AD117" s="557"/>
      <c r="AE117" s="159"/>
    </row>
    <row r="118" spans="2:65" s="1" customFormat="1" ht="12" customHeight="1" x14ac:dyDescent="0.2">
      <c r="B118" s="24"/>
      <c r="C118" s="528" t="s">
        <v>15</v>
      </c>
      <c r="F118" s="19" t="str">
        <f>F12</f>
        <v>Kuzmányho nábrežie 28, 960 01 Zvolen</v>
      </c>
      <c r="I118" s="528" t="s">
        <v>17</v>
      </c>
      <c r="J118" s="39" t="str">
        <f>IF(J12="","",J12)</f>
        <v/>
      </c>
      <c r="L118" s="24"/>
      <c r="W118" s="158"/>
      <c r="X118" s="538" t="s">
        <v>15</v>
      </c>
      <c r="Y118" s="557"/>
      <c r="Z118" s="557"/>
      <c r="AA118" s="558" t="str">
        <f>AA12</f>
        <v>Kuzmányho nábrežie 28, 960 01 Zvolen</v>
      </c>
      <c r="AB118" s="557"/>
      <c r="AC118" s="557"/>
      <c r="AD118" s="538" t="s">
        <v>17</v>
      </c>
      <c r="AE118" s="162" t="str">
        <f>IF(AE12="","",AE12)</f>
        <v/>
      </c>
    </row>
    <row r="119" spans="2:65" s="1" customFormat="1" ht="7.05" customHeight="1" x14ac:dyDescent="0.2">
      <c r="B119" s="24"/>
      <c r="C119" s="521"/>
      <c r="I119" s="521"/>
      <c r="L119" s="24"/>
      <c r="W119" s="158"/>
      <c r="X119" s="557"/>
      <c r="Y119" s="557"/>
      <c r="Z119" s="557"/>
      <c r="AA119" s="557"/>
      <c r="AB119" s="557"/>
      <c r="AC119" s="557"/>
      <c r="AD119" s="557"/>
      <c r="AE119" s="159"/>
    </row>
    <row r="120" spans="2:65" s="1" customFormat="1" ht="15.3" customHeight="1" x14ac:dyDescent="0.2">
      <c r="B120" s="24"/>
      <c r="C120" s="528" t="s">
        <v>18</v>
      </c>
      <c r="F120" s="529" t="s">
        <v>6175</v>
      </c>
      <c r="I120" s="528" t="s">
        <v>22</v>
      </c>
      <c r="J120" s="22" t="str">
        <f>E21</f>
        <v xml:space="preserve"> </v>
      </c>
      <c r="L120" s="24"/>
      <c r="W120" s="158"/>
      <c r="X120" s="538" t="s">
        <v>18</v>
      </c>
      <c r="Y120" s="557"/>
      <c r="Z120" s="557"/>
      <c r="AA120" s="576" t="s">
        <v>6175</v>
      </c>
      <c r="AB120" s="557"/>
      <c r="AC120" s="557"/>
      <c r="AD120" s="538" t="s">
        <v>22</v>
      </c>
      <c r="AE120" s="181" t="str">
        <f>Z21</f>
        <v/>
      </c>
    </row>
    <row r="121" spans="2:65" s="1" customFormat="1" ht="15.3" customHeight="1" x14ac:dyDescent="0.2">
      <c r="B121" s="24"/>
      <c r="C121" s="528" t="s">
        <v>21</v>
      </c>
      <c r="F121" s="529" t="s">
        <v>5202</v>
      </c>
      <c r="I121" s="528" t="s">
        <v>24</v>
      </c>
      <c r="J121" s="22" t="str">
        <f>E24</f>
        <v xml:space="preserve"> </v>
      </c>
      <c r="L121" s="24"/>
      <c r="W121" s="158"/>
      <c r="X121" s="538" t="s">
        <v>21</v>
      </c>
      <c r="Y121" s="557"/>
      <c r="Z121" s="557"/>
      <c r="AA121" s="576" t="s">
        <v>5202</v>
      </c>
      <c r="AB121" s="557"/>
      <c r="AC121" s="557"/>
      <c r="AD121" s="538" t="s">
        <v>24</v>
      </c>
      <c r="AE121" s="181" t="str">
        <f>Z24</f>
        <v/>
      </c>
    </row>
    <row r="122" spans="2:65" s="1" customFormat="1" ht="10.199999999999999" customHeight="1" x14ac:dyDescent="0.2">
      <c r="B122" s="24"/>
      <c r="L122" s="24"/>
      <c r="W122" s="158"/>
      <c r="X122" s="557"/>
      <c r="Y122" s="557"/>
      <c r="Z122" s="557"/>
      <c r="AA122" s="557"/>
      <c r="AB122" s="557"/>
      <c r="AC122" s="557"/>
      <c r="AD122" s="557"/>
      <c r="AE122" s="159"/>
    </row>
    <row r="123" spans="2:65" s="10" customFormat="1" ht="29.25" customHeight="1" x14ac:dyDescent="0.2">
      <c r="B123" s="97"/>
      <c r="C123" s="98" t="s">
        <v>215</v>
      </c>
      <c r="D123" s="99" t="s">
        <v>43</v>
      </c>
      <c r="E123" s="99" t="s">
        <v>41</v>
      </c>
      <c r="F123" s="99" t="s">
        <v>42</v>
      </c>
      <c r="G123" s="99" t="s">
        <v>216</v>
      </c>
      <c r="H123" s="99" t="s">
        <v>217</v>
      </c>
      <c r="I123" s="99" t="s">
        <v>218</v>
      </c>
      <c r="J123" s="100" t="s">
        <v>190</v>
      </c>
      <c r="K123" s="101" t="s">
        <v>219</v>
      </c>
      <c r="L123" s="97"/>
      <c r="M123" s="46" t="s">
        <v>1</v>
      </c>
      <c r="N123" s="47" t="s">
        <v>30</v>
      </c>
      <c r="O123" s="47" t="s">
        <v>220</v>
      </c>
      <c r="P123" s="47" t="s">
        <v>221</v>
      </c>
      <c r="Q123" s="47" t="s">
        <v>222</v>
      </c>
      <c r="R123" s="47" t="s">
        <v>223</v>
      </c>
      <c r="S123" s="47" t="s">
        <v>224</v>
      </c>
      <c r="T123" s="48" t="s">
        <v>225</v>
      </c>
      <c r="W123" s="191"/>
      <c r="X123" s="98" t="s">
        <v>215</v>
      </c>
      <c r="Y123" s="99" t="s">
        <v>43</v>
      </c>
      <c r="Z123" s="99" t="s">
        <v>41</v>
      </c>
      <c r="AA123" s="99" t="s">
        <v>42</v>
      </c>
      <c r="AB123" s="99" t="s">
        <v>216</v>
      </c>
      <c r="AC123" s="99" t="s">
        <v>217</v>
      </c>
      <c r="AD123" s="99" t="s">
        <v>218</v>
      </c>
      <c r="AE123" s="192" t="s">
        <v>190</v>
      </c>
      <c r="AF123" s="99" t="s">
        <v>5220</v>
      </c>
    </row>
    <row r="124" spans="2:65" s="1" customFormat="1" ht="22.95" customHeight="1" x14ac:dyDescent="0.3">
      <c r="B124" s="24"/>
      <c r="C124" s="51" t="s">
        <v>191</v>
      </c>
      <c r="J124" s="102">
        <f>J125+J130+J137+J143</f>
        <v>1753.04</v>
      </c>
      <c r="L124" s="24"/>
      <c r="M124" s="49"/>
      <c r="N124" s="40"/>
      <c r="O124" s="40"/>
      <c r="P124" s="103" t="e">
        <f>P125+P130+P137+P143+#REF!</f>
        <v>#REF!</v>
      </c>
      <c r="Q124" s="40"/>
      <c r="R124" s="103" t="e">
        <f>R125+R130+R137+R143+#REF!</f>
        <v>#REF!</v>
      </c>
      <c r="S124" s="40"/>
      <c r="T124" s="104" t="e">
        <f>T125+T130+T137+T143+#REF!</f>
        <v>#REF!</v>
      </c>
      <c r="W124" s="158"/>
      <c r="X124" s="193" t="s">
        <v>191</v>
      </c>
      <c r="Y124" s="557"/>
      <c r="Z124" s="557"/>
      <c r="AA124" s="557"/>
      <c r="AB124" s="557"/>
      <c r="AC124" s="557"/>
      <c r="AD124" s="557"/>
      <c r="AE124" s="194">
        <f>AE125+AE130+AE137+AE143+AE153</f>
        <v>6772.0300000000007</v>
      </c>
      <c r="AF124" s="248"/>
      <c r="AT124" s="13" t="s">
        <v>57</v>
      </c>
      <c r="AU124" s="13" t="s">
        <v>192</v>
      </c>
      <c r="BK124" s="105" t="e">
        <f>BK125+BK130+BK137+BK143+#REF!</f>
        <v>#REF!</v>
      </c>
    </row>
    <row r="125" spans="2:65" s="11" customFormat="1" ht="25.95" customHeight="1" x14ac:dyDescent="0.25">
      <c r="B125" s="106"/>
      <c r="D125" s="107" t="s">
        <v>57</v>
      </c>
      <c r="E125" s="108" t="s">
        <v>4607</v>
      </c>
      <c r="F125" s="108" t="s">
        <v>2219</v>
      </c>
      <c r="J125" s="109">
        <f>BK125</f>
        <v>1053.26</v>
      </c>
      <c r="L125" s="106"/>
      <c r="M125" s="110"/>
      <c r="N125" s="111"/>
      <c r="O125" s="111"/>
      <c r="P125" s="112"/>
      <c r="Q125" s="111"/>
      <c r="R125" s="112"/>
      <c r="S125" s="111"/>
      <c r="T125" s="113"/>
      <c r="W125" s="195"/>
      <c r="X125" s="111"/>
      <c r="Y125" s="196" t="s">
        <v>57</v>
      </c>
      <c r="Z125" s="197" t="s">
        <v>4607</v>
      </c>
      <c r="AA125" s="197" t="s">
        <v>2219</v>
      </c>
      <c r="AB125" s="111"/>
      <c r="AC125" s="111"/>
      <c r="AD125" s="111"/>
      <c r="AE125" s="198">
        <f>AE126+AE128</f>
        <v>1614.1599999999999</v>
      </c>
      <c r="AF125" s="248"/>
      <c r="AR125" s="107" t="s">
        <v>63</v>
      </c>
      <c r="AT125" s="114" t="s">
        <v>57</v>
      </c>
      <c r="AU125" s="114" t="s">
        <v>58</v>
      </c>
      <c r="AY125" s="107" t="s">
        <v>228</v>
      </c>
      <c r="BK125" s="115">
        <f>SUM(BK126:BK129)</f>
        <v>1053.26</v>
      </c>
    </row>
    <row r="126" spans="2:65" s="1" customFormat="1" ht="16.5" customHeight="1" x14ac:dyDescent="0.2">
      <c r="B126" s="118"/>
      <c r="C126" s="205" t="s">
        <v>63</v>
      </c>
      <c r="D126" s="119" t="s">
        <v>231</v>
      </c>
      <c r="E126" s="120" t="s">
        <v>63</v>
      </c>
      <c r="F126" s="240" t="s">
        <v>4608</v>
      </c>
      <c r="G126" s="122" t="s">
        <v>1194</v>
      </c>
      <c r="H126" s="206">
        <v>1</v>
      </c>
      <c r="I126" s="124">
        <v>560.9</v>
      </c>
      <c r="J126" s="124">
        <f>ROUND(I126*H126,2)</f>
        <v>560.9</v>
      </c>
      <c r="K126" s="121" t="s">
        <v>1</v>
      </c>
      <c r="L126" s="465"/>
      <c r="M126" s="125"/>
      <c r="N126" s="126"/>
      <c r="O126" s="127"/>
      <c r="P126" s="127"/>
      <c r="Q126" s="127"/>
      <c r="R126" s="127"/>
      <c r="S126" s="127"/>
      <c r="T126" s="128"/>
      <c r="U126" s="461"/>
      <c r="V126" s="470"/>
      <c r="W126" s="199"/>
      <c r="X126" s="205" t="s">
        <v>63</v>
      </c>
      <c r="Y126" s="119" t="s">
        <v>231</v>
      </c>
      <c r="Z126" s="120" t="s">
        <v>63</v>
      </c>
      <c r="AA126" s="240" t="s">
        <v>4608</v>
      </c>
      <c r="AB126" s="122" t="s">
        <v>1194</v>
      </c>
      <c r="AC126" s="206">
        <v>2</v>
      </c>
      <c r="AD126" s="124">
        <v>560.9</v>
      </c>
      <c r="AE126" s="200">
        <f>ROUND(AD126*AC126,2)</f>
        <v>1121.8</v>
      </c>
      <c r="AF126" s="248">
        <v>6</v>
      </c>
      <c r="AI126" s="130"/>
      <c r="AR126" s="129" t="s">
        <v>235</v>
      </c>
      <c r="AT126" s="129" t="s">
        <v>231</v>
      </c>
      <c r="AU126" s="129" t="s">
        <v>63</v>
      </c>
      <c r="AY126" s="13" t="s">
        <v>228</v>
      </c>
      <c r="BE126" s="130">
        <f>IF(N126="základná",J126,0)</f>
        <v>0</v>
      </c>
      <c r="BF126" s="130">
        <f>IF(N126="znížená",J126,0)</f>
        <v>0</v>
      </c>
      <c r="BG126" s="130">
        <f>IF(N126="zákl. prenesená",J126,0)</f>
        <v>0</v>
      </c>
      <c r="BH126" s="130">
        <f>IF(N126="zníž. prenesená",J126,0)</f>
        <v>0</v>
      </c>
      <c r="BI126" s="130">
        <f>IF(N126="nulová",J126,0)</f>
        <v>0</v>
      </c>
      <c r="BJ126" s="13" t="s">
        <v>76</v>
      </c>
      <c r="BK126" s="130">
        <f>ROUND(I126*H126,2)</f>
        <v>560.9</v>
      </c>
      <c r="BL126" s="13" t="s">
        <v>235</v>
      </c>
      <c r="BM126" s="129" t="s">
        <v>76</v>
      </c>
    </row>
    <row r="127" spans="2:65" s="1" customFormat="1" ht="40.799999999999997" x14ac:dyDescent="0.2">
      <c r="B127" s="24"/>
      <c r="C127" s="407"/>
      <c r="D127" s="492" t="s">
        <v>1259</v>
      </c>
      <c r="E127" s="407"/>
      <c r="F127" s="503" t="s">
        <v>4609</v>
      </c>
      <c r="G127" s="407"/>
      <c r="H127" s="407"/>
      <c r="I127" s="407"/>
      <c r="J127" s="407"/>
      <c r="L127" s="24"/>
      <c r="M127" s="146"/>
      <c r="N127" s="42"/>
      <c r="O127" s="42"/>
      <c r="P127" s="42"/>
      <c r="Q127" s="42"/>
      <c r="R127" s="42"/>
      <c r="S127" s="42"/>
      <c r="T127" s="43"/>
      <c r="W127" s="158"/>
      <c r="X127" s="427"/>
      <c r="Y127" s="511" t="s">
        <v>1259</v>
      </c>
      <c r="Z127" s="427"/>
      <c r="AA127" s="514" t="s">
        <v>4609</v>
      </c>
      <c r="AB127" s="427"/>
      <c r="AC127" s="427"/>
      <c r="AD127" s="427"/>
      <c r="AE127" s="512"/>
      <c r="AF127" s="248"/>
      <c r="AT127" s="13" t="s">
        <v>1259</v>
      </c>
      <c r="AU127" s="13" t="s">
        <v>63</v>
      </c>
    </row>
    <row r="128" spans="2:65" s="1" customFormat="1" ht="16.5" customHeight="1" x14ac:dyDescent="0.2">
      <c r="B128" s="118"/>
      <c r="C128" s="285" t="s">
        <v>76</v>
      </c>
      <c r="D128" s="285" t="s">
        <v>231</v>
      </c>
      <c r="E128" s="286" t="s">
        <v>76</v>
      </c>
      <c r="F128" s="240" t="s">
        <v>4610</v>
      </c>
      <c r="G128" s="287" t="s">
        <v>1194</v>
      </c>
      <c r="H128" s="288">
        <v>1</v>
      </c>
      <c r="I128" s="289">
        <v>492.36</v>
      </c>
      <c r="J128" s="289">
        <f>ROUND(I128*H128,2)</f>
        <v>492.36</v>
      </c>
      <c r="K128" s="121" t="s">
        <v>1</v>
      </c>
      <c r="L128" s="465"/>
      <c r="M128" s="125"/>
      <c r="N128" s="126"/>
      <c r="O128" s="127"/>
      <c r="P128" s="127"/>
      <c r="Q128" s="127"/>
      <c r="R128" s="127"/>
      <c r="S128" s="127"/>
      <c r="T128" s="128"/>
      <c r="U128" s="461"/>
      <c r="V128" s="464"/>
      <c r="W128" s="199"/>
      <c r="X128" s="285" t="s">
        <v>76</v>
      </c>
      <c r="Y128" s="285" t="s">
        <v>231</v>
      </c>
      <c r="Z128" s="286" t="s">
        <v>76</v>
      </c>
      <c r="AA128" s="240" t="s">
        <v>4610</v>
      </c>
      <c r="AB128" s="287" t="s">
        <v>1194</v>
      </c>
      <c r="AC128" s="288">
        <v>1</v>
      </c>
      <c r="AD128" s="289">
        <v>492.36</v>
      </c>
      <c r="AE128" s="290">
        <f>ROUND(AD128*AC128,2)</f>
        <v>492.36</v>
      </c>
      <c r="AF128" s="248"/>
      <c r="AR128" s="129" t="s">
        <v>235</v>
      </c>
      <c r="AT128" s="129" t="s">
        <v>231</v>
      </c>
      <c r="AU128" s="129" t="s">
        <v>63</v>
      </c>
      <c r="AY128" s="13" t="s">
        <v>228</v>
      </c>
      <c r="BE128" s="130">
        <f>IF(N128="základná",J128,0)</f>
        <v>0</v>
      </c>
      <c r="BF128" s="130">
        <f>IF(N128="znížená",J128,0)</f>
        <v>0</v>
      </c>
      <c r="BG128" s="130">
        <f>IF(N128="zákl. prenesená",J128,0)</f>
        <v>0</v>
      </c>
      <c r="BH128" s="130">
        <f>IF(N128="zníž. prenesená",J128,0)</f>
        <v>0</v>
      </c>
      <c r="BI128" s="130">
        <f>IF(N128="nulová",J128,0)</f>
        <v>0</v>
      </c>
      <c r="BJ128" s="13" t="s">
        <v>76</v>
      </c>
      <c r="BK128" s="130">
        <f>ROUND(I128*H128,2)</f>
        <v>492.36</v>
      </c>
      <c r="BL128" s="13" t="s">
        <v>235</v>
      </c>
      <c r="BM128" s="129" t="s">
        <v>235</v>
      </c>
    </row>
    <row r="129" spans="2:65" s="1" customFormat="1" ht="40.799999999999997" x14ac:dyDescent="0.2">
      <c r="B129" s="24"/>
      <c r="C129" s="407"/>
      <c r="D129" s="492" t="s">
        <v>1259</v>
      </c>
      <c r="E129" s="407"/>
      <c r="F129" s="503" t="s">
        <v>4611</v>
      </c>
      <c r="G129" s="407"/>
      <c r="H129" s="407"/>
      <c r="I129" s="407"/>
      <c r="J129" s="407"/>
      <c r="L129" s="24"/>
      <c r="M129" s="146"/>
      <c r="N129" s="42"/>
      <c r="O129" s="42"/>
      <c r="P129" s="42"/>
      <c r="Q129" s="42"/>
      <c r="R129" s="42"/>
      <c r="S129" s="42"/>
      <c r="T129" s="43"/>
      <c r="W129" s="158"/>
      <c r="X129" s="427"/>
      <c r="Y129" s="511" t="s">
        <v>1259</v>
      </c>
      <c r="Z129" s="427"/>
      <c r="AA129" s="514" t="s">
        <v>4611</v>
      </c>
      <c r="AB129" s="427"/>
      <c r="AC129" s="427"/>
      <c r="AD129" s="427"/>
      <c r="AE129" s="512"/>
      <c r="AF129" s="248"/>
      <c r="AT129" s="13" t="s">
        <v>1259</v>
      </c>
      <c r="AU129" s="13" t="s">
        <v>63</v>
      </c>
    </row>
    <row r="130" spans="2:65" s="11" customFormat="1" ht="25.95" customHeight="1" x14ac:dyDescent="0.25">
      <c r="B130" s="106"/>
      <c r="C130" s="292"/>
      <c r="D130" s="489" t="s">
        <v>57</v>
      </c>
      <c r="E130" s="501" t="s">
        <v>4612</v>
      </c>
      <c r="F130" s="429" t="s">
        <v>4613</v>
      </c>
      <c r="G130" s="292"/>
      <c r="H130" s="292"/>
      <c r="I130" s="292"/>
      <c r="J130" s="502">
        <f>BK130</f>
        <v>137.79</v>
      </c>
      <c r="L130" s="106"/>
      <c r="M130" s="110"/>
      <c r="N130" s="111"/>
      <c r="O130" s="111"/>
      <c r="P130" s="112"/>
      <c r="Q130" s="111"/>
      <c r="R130" s="112"/>
      <c r="S130" s="111"/>
      <c r="T130" s="113"/>
      <c r="W130" s="195"/>
      <c r="X130" s="347"/>
      <c r="Y130" s="506" t="s">
        <v>57</v>
      </c>
      <c r="Z130" s="429" t="s">
        <v>4612</v>
      </c>
      <c r="AA130" s="429" t="s">
        <v>4613</v>
      </c>
      <c r="AB130" s="347"/>
      <c r="AC130" s="347"/>
      <c r="AD130" s="347"/>
      <c r="AE130" s="513">
        <f>AE131+AE133</f>
        <v>137.79</v>
      </c>
      <c r="AF130" s="248"/>
      <c r="AR130" s="107" t="s">
        <v>63</v>
      </c>
      <c r="AT130" s="114" t="s">
        <v>57</v>
      </c>
      <c r="AU130" s="114" t="s">
        <v>58</v>
      </c>
      <c r="AY130" s="107" t="s">
        <v>228</v>
      </c>
      <c r="BK130" s="115">
        <f>BK131+BK132+BK133</f>
        <v>137.79</v>
      </c>
    </row>
    <row r="131" spans="2:65" s="1" customFormat="1" ht="16.5" customHeight="1" x14ac:dyDescent="0.2">
      <c r="B131" s="118"/>
      <c r="C131" s="285" t="s">
        <v>229</v>
      </c>
      <c r="D131" s="285" t="s">
        <v>231</v>
      </c>
      <c r="E131" s="286" t="s">
        <v>4614</v>
      </c>
      <c r="F131" s="504" t="s">
        <v>2442</v>
      </c>
      <c r="G131" s="287" t="s">
        <v>1194</v>
      </c>
      <c r="H131" s="288">
        <v>1</v>
      </c>
      <c r="I131" s="289">
        <v>88.33</v>
      </c>
      <c r="J131" s="289">
        <f>ROUND(I131*H131,2)</f>
        <v>88.33</v>
      </c>
      <c r="K131" s="121" t="s">
        <v>1</v>
      </c>
      <c r="L131" s="465"/>
      <c r="M131" s="125"/>
      <c r="N131" s="126"/>
      <c r="O131" s="127"/>
      <c r="P131" s="127"/>
      <c r="Q131" s="127"/>
      <c r="R131" s="127"/>
      <c r="S131" s="127"/>
      <c r="T131" s="128"/>
      <c r="U131" s="461"/>
      <c r="V131" s="464"/>
      <c r="W131" s="199"/>
      <c r="X131" s="285" t="s">
        <v>229</v>
      </c>
      <c r="Y131" s="285" t="s">
        <v>231</v>
      </c>
      <c r="Z131" s="286" t="s">
        <v>4614</v>
      </c>
      <c r="AA131" s="504" t="s">
        <v>2442</v>
      </c>
      <c r="AB131" s="287" t="s">
        <v>1194</v>
      </c>
      <c r="AC131" s="288">
        <v>1</v>
      </c>
      <c r="AD131" s="289">
        <v>88.33</v>
      </c>
      <c r="AE131" s="290">
        <f>ROUND(AD131*AC131,2)</f>
        <v>88.33</v>
      </c>
      <c r="AF131" s="248"/>
      <c r="AR131" s="129" t="s">
        <v>235</v>
      </c>
      <c r="AT131" s="129" t="s">
        <v>231</v>
      </c>
      <c r="AU131" s="129" t="s">
        <v>63</v>
      </c>
      <c r="AY131" s="13" t="s">
        <v>228</v>
      </c>
      <c r="BE131" s="130">
        <f>IF(N131="základná",J131,0)</f>
        <v>0</v>
      </c>
      <c r="BF131" s="130">
        <f>IF(N131="znížená",J131,0)</f>
        <v>0</v>
      </c>
      <c r="BG131" s="130">
        <f>IF(N131="zákl. prenesená",J131,0)</f>
        <v>0</v>
      </c>
      <c r="BH131" s="130">
        <f>IF(N131="zníž. prenesená",J131,0)</f>
        <v>0</v>
      </c>
      <c r="BI131" s="130">
        <f>IF(N131="nulová",J131,0)</f>
        <v>0</v>
      </c>
      <c r="BJ131" s="13" t="s">
        <v>76</v>
      </c>
      <c r="BK131" s="130">
        <f>ROUND(I131*H131,2)</f>
        <v>88.33</v>
      </c>
      <c r="BL131" s="13" t="s">
        <v>235</v>
      </c>
      <c r="BM131" s="129" t="s">
        <v>240</v>
      </c>
    </row>
    <row r="132" spans="2:65" s="1" customFormat="1" ht="19.2" x14ac:dyDescent="0.2">
      <c r="B132" s="24"/>
      <c r="C132" s="407"/>
      <c r="D132" s="492" t="s">
        <v>1259</v>
      </c>
      <c r="E132" s="407"/>
      <c r="F132" s="428" t="s">
        <v>4615</v>
      </c>
      <c r="G132" s="407"/>
      <c r="H132" s="407"/>
      <c r="I132" s="407"/>
      <c r="J132" s="407"/>
      <c r="L132" s="24"/>
      <c r="M132" s="146"/>
      <c r="N132" s="42"/>
      <c r="O132" s="42"/>
      <c r="P132" s="42"/>
      <c r="Q132" s="42"/>
      <c r="R132" s="42"/>
      <c r="S132" s="42"/>
      <c r="T132" s="43"/>
      <c r="W132" s="158"/>
      <c r="X132" s="427"/>
      <c r="Y132" s="511" t="s">
        <v>1259</v>
      </c>
      <c r="Z132" s="427"/>
      <c r="AA132" s="505" t="s">
        <v>4615</v>
      </c>
      <c r="AB132" s="427"/>
      <c r="AC132" s="427"/>
      <c r="AD132" s="427"/>
      <c r="AE132" s="512"/>
      <c r="AF132" s="248"/>
      <c r="AT132" s="13" t="s">
        <v>1259</v>
      </c>
      <c r="AU132" s="13" t="s">
        <v>63</v>
      </c>
    </row>
    <row r="133" spans="2:65" s="11" customFormat="1" ht="22.95" customHeight="1" x14ac:dyDescent="0.25">
      <c r="B133" s="106"/>
      <c r="C133" s="292"/>
      <c r="D133" s="489" t="s">
        <v>57</v>
      </c>
      <c r="E133" s="490" t="s">
        <v>76</v>
      </c>
      <c r="F133" s="490" t="s">
        <v>4616</v>
      </c>
      <c r="G133" s="292"/>
      <c r="H133" s="292"/>
      <c r="I133" s="292"/>
      <c r="J133" s="491">
        <f>BK133</f>
        <v>49.459999999999994</v>
      </c>
      <c r="L133" s="106"/>
      <c r="M133" s="110"/>
      <c r="N133" s="111"/>
      <c r="O133" s="111"/>
      <c r="P133" s="112"/>
      <c r="Q133" s="111"/>
      <c r="R133" s="112"/>
      <c r="S133" s="111"/>
      <c r="T133" s="113"/>
      <c r="W133" s="195"/>
      <c r="X133" s="347"/>
      <c r="Y133" s="506" t="s">
        <v>57</v>
      </c>
      <c r="Z133" s="507" t="s">
        <v>76</v>
      </c>
      <c r="AA133" s="507" t="s">
        <v>4616</v>
      </c>
      <c r="AB133" s="347"/>
      <c r="AC133" s="347"/>
      <c r="AD133" s="347"/>
      <c r="AE133" s="510">
        <f>SUM(AE134:AE136)</f>
        <v>49.459999999999994</v>
      </c>
      <c r="AF133" s="248"/>
      <c r="AR133" s="107" t="s">
        <v>63</v>
      </c>
      <c r="AT133" s="114" t="s">
        <v>57</v>
      </c>
      <c r="AU133" s="114" t="s">
        <v>63</v>
      </c>
      <c r="AY133" s="107" t="s">
        <v>228</v>
      </c>
      <c r="BK133" s="115">
        <f>SUM(BK134:BK136)</f>
        <v>49.459999999999994</v>
      </c>
    </row>
    <row r="134" spans="2:65" s="1" customFormat="1" ht="16.5" customHeight="1" x14ac:dyDescent="0.2">
      <c r="B134" s="118"/>
      <c r="C134" s="285" t="s">
        <v>235</v>
      </c>
      <c r="D134" s="285" t="s">
        <v>231</v>
      </c>
      <c r="E134" s="286" t="s">
        <v>4617</v>
      </c>
      <c r="F134" s="240" t="s">
        <v>2232</v>
      </c>
      <c r="G134" s="287" t="s">
        <v>292</v>
      </c>
      <c r="H134" s="288">
        <v>7</v>
      </c>
      <c r="I134" s="289">
        <v>5.14</v>
      </c>
      <c r="J134" s="289">
        <f>ROUND(I134*H134,2)</f>
        <v>35.979999999999997</v>
      </c>
      <c r="K134" s="121" t="s">
        <v>1</v>
      </c>
      <c r="L134" s="465"/>
      <c r="M134" s="125"/>
      <c r="N134" s="126"/>
      <c r="O134" s="127"/>
      <c r="P134" s="127"/>
      <c r="Q134" s="127"/>
      <c r="R134" s="127"/>
      <c r="S134" s="127"/>
      <c r="T134" s="128"/>
      <c r="W134" s="199"/>
      <c r="X134" s="285" t="s">
        <v>235</v>
      </c>
      <c r="Y134" s="285" t="s">
        <v>231</v>
      </c>
      <c r="Z134" s="286" t="s">
        <v>4617</v>
      </c>
      <c r="AA134" s="240" t="s">
        <v>2232</v>
      </c>
      <c r="AB134" s="287" t="s">
        <v>292</v>
      </c>
      <c r="AC134" s="288">
        <v>7</v>
      </c>
      <c r="AD134" s="289">
        <v>5.14</v>
      </c>
      <c r="AE134" s="290">
        <f>ROUND(AD134*AC134,2)</f>
        <v>35.979999999999997</v>
      </c>
      <c r="AF134" s="248"/>
      <c r="AR134" s="129" t="s">
        <v>235</v>
      </c>
      <c r="AT134" s="129" t="s">
        <v>231</v>
      </c>
      <c r="AU134" s="129" t="s">
        <v>76</v>
      </c>
      <c r="AY134" s="13" t="s">
        <v>228</v>
      </c>
      <c r="BE134" s="130">
        <f>IF(N134="základná",J134,0)</f>
        <v>0</v>
      </c>
      <c r="BF134" s="130">
        <f>IF(N134="znížená",J134,0)</f>
        <v>0</v>
      </c>
      <c r="BG134" s="130">
        <f>IF(N134="zákl. prenesená",J134,0)</f>
        <v>0</v>
      </c>
      <c r="BH134" s="130">
        <f>IF(N134="zníž. prenesená",J134,0)</f>
        <v>0</v>
      </c>
      <c r="BI134" s="130">
        <f>IF(N134="nulová",J134,0)</f>
        <v>0</v>
      </c>
      <c r="BJ134" s="13" t="s">
        <v>76</v>
      </c>
      <c r="BK134" s="130">
        <f>ROUND(I134*H134,2)</f>
        <v>35.979999999999997</v>
      </c>
      <c r="BL134" s="13" t="s">
        <v>235</v>
      </c>
      <c r="BM134" s="129" t="s">
        <v>244</v>
      </c>
    </row>
    <row r="135" spans="2:65" s="1" customFormat="1" ht="16.5" customHeight="1" x14ac:dyDescent="0.2">
      <c r="B135" s="118"/>
      <c r="C135" s="285" t="s">
        <v>245</v>
      </c>
      <c r="D135" s="285" t="s">
        <v>231</v>
      </c>
      <c r="E135" s="286" t="s">
        <v>4618</v>
      </c>
      <c r="F135" s="240" t="s">
        <v>2147</v>
      </c>
      <c r="G135" s="287" t="s">
        <v>1194</v>
      </c>
      <c r="H135" s="288">
        <v>1</v>
      </c>
      <c r="I135" s="289">
        <v>7.07</v>
      </c>
      <c r="J135" s="289">
        <f>ROUND(I135*H135,2)</f>
        <v>7.07</v>
      </c>
      <c r="K135" s="121" t="s">
        <v>1</v>
      </c>
      <c r="L135" s="465"/>
      <c r="M135" s="125"/>
      <c r="N135" s="126"/>
      <c r="O135" s="127"/>
      <c r="P135" s="127"/>
      <c r="Q135" s="127"/>
      <c r="R135" s="127"/>
      <c r="S135" s="127"/>
      <c r="T135" s="128"/>
      <c r="W135" s="199"/>
      <c r="X135" s="285" t="s">
        <v>245</v>
      </c>
      <c r="Y135" s="285" t="s">
        <v>231</v>
      </c>
      <c r="Z135" s="286" t="s">
        <v>4618</v>
      </c>
      <c r="AA135" s="240" t="s">
        <v>2147</v>
      </c>
      <c r="AB135" s="287" t="s">
        <v>1194</v>
      </c>
      <c r="AC135" s="288">
        <v>1</v>
      </c>
      <c r="AD135" s="289">
        <v>7.07</v>
      </c>
      <c r="AE135" s="290">
        <f>ROUND(AD135*AC135,2)</f>
        <v>7.07</v>
      </c>
      <c r="AF135" s="248"/>
      <c r="AR135" s="129" t="s">
        <v>235</v>
      </c>
      <c r="AT135" s="129" t="s">
        <v>231</v>
      </c>
      <c r="AU135" s="129" t="s">
        <v>76</v>
      </c>
      <c r="AY135" s="13" t="s">
        <v>228</v>
      </c>
      <c r="BE135" s="130">
        <f>IF(N135="základná",J135,0)</f>
        <v>0</v>
      </c>
      <c r="BF135" s="130">
        <f>IF(N135="znížená",J135,0)</f>
        <v>0</v>
      </c>
      <c r="BG135" s="130">
        <f>IF(N135="zákl. prenesená",J135,0)</f>
        <v>0</v>
      </c>
      <c r="BH135" s="130">
        <f>IF(N135="zníž. prenesená",J135,0)</f>
        <v>0</v>
      </c>
      <c r="BI135" s="130">
        <f>IF(N135="nulová",J135,0)</f>
        <v>0</v>
      </c>
      <c r="BJ135" s="13" t="s">
        <v>76</v>
      </c>
      <c r="BK135" s="130">
        <f>ROUND(I135*H135,2)</f>
        <v>7.07</v>
      </c>
      <c r="BL135" s="13" t="s">
        <v>235</v>
      </c>
      <c r="BM135" s="129" t="s">
        <v>248</v>
      </c>
    </row>
    <row r="136" spans="2:65" s="1" customFormat="1" ht="16.5" customHeight="1" x14ac:dyDescent="0.2">
      <c r="B136" s="118"/>
      <c r="C136" s="285" t="s">
        <v>240</v>
      </c>
      <c r="D136" s="285" t="s">
        <v>231</v>
      </c>
      <c r="E136" s="286" t="s">
        <v>229</v>
      </c>
      <c r="F136" s="240" t="s">
        <v>2396</v>
      </c>
      <c r="G136" s="287" t="s">
        <v>1194</v>
      </c>
      <c r="H136" s="288">
        <v>1</v>
      </c>
      <c r="I136" s="289">
        <v>6.41</v>
      </c>
      <c r="J136" s="289">
        <f>ROUND(I136*H136,2)</f>
        <v>6.41</v>
      </c>
      <c r="K136" s="121" t="s">
        <v>1</v>
      </c>
      <c r="L136" s="465"/>
      <c r="M136" s="125"/>
      <c r="N136" s="126"/>
      <c r="O136" s="127"/>
      <c r="P136" s="127"/>
      <c r="Q136" s="127"/>
      <c r="R136" s="127"/>
      <c r="S136" s="127"/>
      <c r="T136" s="128"/>
      <c r="W136" s="199"/>
      <c r="X136" s="285" t="s">
        <v>240</v>
      </c>
      <c r="Y136" s="285" t="s">
        <v>231</v>
      </c>
      <c r="Z136" s="286" t="s">
        <v>229</v>
      </c>
      <c r="AA136" s="240" t="s">
        <v>2396</v>
      </c>
      <c r="AB136" s="287" t="s">
        <v>1194</v>
      </c>
      <c r="AC136" s="288">
        <v>1</v>
      </c>
      <c r="AD136" s="289">
        <v>6.41</v>
      </c>
      <c r="AE136" s="290">
        <f>ROUND(AD136*AC136,2)</f>
        <v>6.41</v>
      </c>
      <c r="AF136" s="248"/>
      <c r="AR136" s="129" t="s">
        <v>235</v>
      </c>
      <c r="AT136" s="129" t="s">
        <v>231</v>
      </c>
      <c r="AU136" s="129" t="s">
        <v>76</v>
      </c>
      <c r="AY136" s="13" t="s">
        <v>228</v>
      </c>
      <c r="BE136" s="130">
        <f>IF(N136="základná",J136,0)</f>
        <v>0</v>
      </c>
      <c r="BF136" s="130">
        <f>IF(N136="znížená",J136,0)</f>
        <v>0</v>
      </c>
      <c r="BG136" s="130">
        <f>IF(N136="zákl. prenesená",J136,0)</f>
        <v>0</v>
      </c>
      <c r="BH136" s="130">
        <f>IF(N136="zníž. prenesená",J136,0)</f>
        <v>0</v>
      </c>
      <c r="BI136" s="130">
        <f>IF(N136="nulová",J136,0)</f>
        <v>0</v>
      </c>
      <c r="BJ136" s="13" t="s">
        <v>76</v>
      </c>
      <c r="BK136" s="130">
        <f>ROUND(I136*H136,2)</f>
        <v>6.41</v>
      </c>
      <c r="BL136" s="13" t="s">
        <v>235</v>
      </c>
      <c r="BM136" s="129" t="s">
        <v>251</v>
      </c>
    </row>
    <row r="137" spans="2:65" s="11" customFormat="1" ht="25.95" customHeight="1" x14ac:dyDescent="0.25">
      <c r="B137" s="106"/>
      <c r="C137" s="292"/>
      <c r="D137" s="489" t="s">
        <v>57</v>
      </c>
      <c r="E137" s="501" t="s">
        <v>4619</v>
      </c>
      <c r="F137" s="501" t="s">
        <v>4620</v>
      </c>
      <c r="G137" s="292"/>
      <c r="H137" s="292"/>
      <c r="I137" s="292"/>
      <c r="J137" s="502">
        <f>BK137</f>
        <v>89.429999999999993</v>
      </c>
      <c r="L137" s="106"/>
      <c r="M137" s="110"/>
      <c r="N137" s="111"/>
      <c r="O137" s="111"/>
      <c r="P137" s="112"/>
      <c r="Q137" s="111"/>
      <c r="R137" s="112"/>
      <c r="S137" s="111"/>
      <c r="T137" s="113"/>
      <c r="W137" s="195"/>
      <c r="X137" s="347"/>
      <c r="Y137" s="506" t="s">
        <v>57</v>
      </c>
      <c r="Z137" s="429" t="s">
        <v>4619</v>
      </c>
      <c r="AA137" s="429" t="s">
        <v>4620</v>
      </c>
      <c r="AB137" s="347"/>
      <c r="AC137" s="347"/>
      <c r="AD137" s="347"/>
      <c r="AE137" s="513">
        <f>AE138+AE140</f>
        <v>89.429999999999993</v>
      </c>
      <c r="AF137" s="248"/>
      <c r="AR137" s="107" t="s">
        <v>63</v>
      </c>
      <c r="AT137" s="114" t="s">
        <v>57</v>
      </c>
      <c r="AU137" s="114" t="s">
        <v>58</v>
      </c>
      <c r="AY137" s="107" t="s">
        <v>228</v>
      </c>
      <c r="BK137" s="115">
        <f>BK138+BK139+BK140</f>
        <v>89.429999999999993</v>
      </c>
    </row>
    <row r="138" spans="2:65" s="1" customFormat="1" ht="16.5" customHeight="1" x14ac:dyDescent="0.2">
      <c r="B138" s="118"/>
      <c r="C138" s="285" t="s">
        <v>252</v>
      </c>
      <c r="D138" s="285" t="s">
        <v>231</v>
      </c>
      <c r="E138" s="286" t="s">
        <v>4621</v>
      </c>
      <c r="F138" s="240" t="s">
        <v>2226</v>
      </c>
      <c r="G138" s="287" t="s">
        <v>1194</v>
      </c>
      <c r="H138" s="288">
        <v>1</v>
      </c>
      <c r="I138" s="289">
        <v>77.88</v>
      </c>
      <c r="J138" s="289">
        <f>ROUND(I138*H138,2)</f>
        <v>77.88</v>
      </c>
      <c r="K138" s="121" t="s">
        <v>1</v>
      </c>
      <c r="L138" s="465"/>
      <c r="M138" s="125"/>
      <c r="N138" s="126"/>
      <c r="O138" s="127"/>
      <c r="P138" s="127"/>
      <c r="Q138" s="127"/>
      <c r="R138" s="127"/>
      <c r="S138" s="127"/>
      <c r="T138" s="128"/>
      <c r="U138" s="461"/>
      <c r="V138" s="464"/>
      <c r="W138" s="199"/>
      <c r="X138" s="285" t="s">
        <v>252</v>
      </c>
      <c r="Y138" s="285" t="s">
        <v>231</v>
      </c>
      <c r="Z138" s="286" t="s">
        <v>4621</v>
      </c>
      <c r="AA138" s="240" t="s">
        <v>2226</v>
      </c>
      <c r="AB138" s="287" t="s">
        <v>1194</v>
      </c>
      <c r="AC138" s="288">
        <v>1</v>
      </c>
      <c r="AD138" s="289">
        <v>77.88</v>
      </c>
      <c r="AE138" s="290">
        <f>ROUND(AD138*AC138,2)</f>
        <v>77.88</v>
      </c>
      <c r="AF138" s="248"/>
      <c r="AR138" s="129" t="s">
        <v>235</v>
      </c>
      <c r="AT138" s="129" t="s">
        <v>231</v>
      </c>
      <c r="AU138" s="129" t="s">
        <v>63</v>
      </c>
      <c r="AY138" s="13" t="s">
        <v>228</v>
      </c>
      <c r="BE138" s="130">
        <f>IF(N138="základná",J138,0)</f>
        <v>0</v>
      </c>
      <c r="BF138" s="130">
        <f>IF(N138="znížená",J138,0)</f>
        <v>0</v>
      </c>
      <c r="BG138" s="130">
        <f>IF(N138="zákl. prenesená",J138,0)</f>
        <v>0</v>
      </c>
      <c r="BH138" s="130">
        <f>IF(N138="zníž. prenesená",J138,0)</f>
        <v>0</v>
      </c>
      <c r="BI138" s="130">
        <f>IF(N138="nulová",J138,0)</f>
        <v>0</v>
      </c>
      <c r="BJ138" s="13" t="s">
        <v>76</v>
      </c>
      <c r="BK138" s="130">
        <f>ROUND(I138*H138,2)</f>
        <v>77.88</v>
      </c>
      <c r="BL138" s="13" t="s">
        <v>235</v>
      </c>
      <c r="BM138" s="129" t="s">
        <v>255</v>
      </c>
    </row>
    <row r="139" spans="2:65" s="1" customFormat="1" ht="19.2" x14ac:dyDescent="0.2">
      <c r="B139" s="24"/>
      <c r="C139" s="407"/>
      <c r="D139" s="492" t="s">
        <v>1259</v>
      </c>
      <c r="E139" s="407"/>
      <c r="F139" s="428" t="s">
        <v>4622</v>
      </c>
      <c r="G139" s="407"/>
      <c r="H139" s="407"/>
      <c r="I139" s="407"/>
      <c r="J139" s="407"/>
      <c r="L139" s="24"/>
      <c r="M139" s="146"/>
      <c r="N139" s="42"/>
      <c r="O139" s="42"/>
      <c r="P139" s="42"/>
      <c r="Q139" s="42"/>
      <c r="R139" s="42"/>
      <c r="S139" s="42"/>
      <c r="T139" s="43"/>
      <c r="W139" s="158"/>
      <c r="X139" s="427"/>
      <c r="Y139" s="511" t="s">
        <v>1259</v>
      </c>
      <c r="Z139" s="427"/>
      <c r="AA139" s="505" t="s">
        <v>4622</v>
      </c>
      <c r="AB139" s="427"/>
      <c r="AC139" s="427"/>
      <c r="AD139" s="427"/>
      <c r="AE139" s="512"/>
      <c r="AF139" s="248"/>
      <c r="AT139" s="13" t="s">
        <v>1259</v>
      </c>
      <c r="AU139" s="13" t="s">
        <v>63</v>
      </c>
    </row>
    <row r="140" spans="2:65" s="11" customFormat="1" ht="22.95" customHeight="1" x14ac:dyDescent="0.25">
      <c r="B140" s="106"/>
      <c r="C140" s="292"/>
      <c r="D140" s="489" t="s">
        <v>57</v>
      </c>
      <c r="E140" s="490" t="s">
        <v>76</v>
      </c>
      <c r="F140" s="490" t="s">
        <v>4616</v>
      </c>
      <c r="G140" s="292"/>
      <c r="H140" s="292"/>
      <c r="I140" s="292"/>
      <c r="J140" s="491">
        <f>BK140</f>
        <v>11.55</v>
      </c>
      <c r="L140" s="106"/>
      <c r="M140" s="110"/>
      <c r="N140" s="111"/>
      <c r="O140" s="111"/>
      <c r="P140" s="112"/>
      <c r="Q140" s="111"/>
      <c r="R140" s="112"/>
      <c r="S140" s="111"/>
      <c r="T140" s="113"/>
      <c r="W140" s="195"/>
      <c r="X140" s="347"/>
      <c r="Y140" s="506" t="s">
        <v>57</v>
      </c>
      <c r="Z140" s="507" t="s">
        <v>76</v>
      </c>
      <c r="AA140" s="507" t="s">
        <v>4616</v>
      </c>
      <c r="AB140" s="347"/>
      <c r="AC140" s="347"/>
      <c r="AD140" s="347"/>
      <c r="AE140" s="510">
        <f>SUM(AE141:AE142)</f>
        <v>11.55</v>
      </c>
      <c r="AF140" s="248"/>
      <c r="AR140" s="107" t="s">
        <v>63</v>
      </c>
      <c r="AT140" s="114" t="s">
        <v>57</v>
      </c>
      <c r="AU140" s="114" t="s">
        <v>63</v>
      </c>
      <c r="AY140" s="107" t="s">
        <v>228</v>
      </c>
      <c r="BK140" s="115">
        <f>SUM(BK141:BK142)</f>
        <v>11.55</v>
      </c>
    </row>
    <row r="141" spans="2:65" s="1" customFormat="1" ht="16.5" customHeight="1" x14ac:dyDescent="0.2">
      <c r="B141" s="118"/>
      <c r="C141" s="285" t="s">
        <v>244</v>
      </c>
      <c r="D141" s="285" t="s">
        <v>231</v>
      </c>
      <c r="E141" s="286" t="s">
        <v>4617</v>
      </c>
      <c r="F141" s="240" t="s">
        <v>2232</v>
      </c>
      <c r="G141" s="287" t="s">
        <v>292</v>
      </c>
      <c r="H141" s="288">
        <v>1</v>
      </c>
      <c r="I141" s="289">
        <v>5.14</v>
      </c>
      <c r="J141" s="289">
        <f>ROUND(I141*H141,2)</f>
        <v>5.14</v>
      </c>
      <c r="K141" s="121" t="s">
        <v>1</v>
      </c>
      <c r="L141" s="465"/>
      <c r="M141" s="125"/>
      <c r="N141" s="126"/>
      <c r="O141" s="127"/>
      <c r="P141" s="127"/>
      <c r="Q141" s="127"/>
      <c r="R141" s="127"/>
      <c r="S141" s="127"/>
      <c r="T141" s="128"/>
      <c r="U141" s="461"/>
      <c r="V141" s="464"/>
      <c r="W141" s="199"/>
      <c r="X141" s="285" t="s">
        <v>244</v>
      </c>
      <c r="Y141" s="285" t="s">
        <v>231</v>
      </c>
      <c r="Z141" s="286" t="s">
        <v>4617</v>
      </c>
      <c r="AA141" s="240" t="s">
        <v>2232</v>
      </c>
      <c r="AB141" s="287" t="s">
        <v>292</v>
      </c>
      <c r="AC141" s="288">
        <v>1</v>
      </c>
      <c r="AD141" s="289">
        <v>5.14</v>
      </c>
      <c r="AE141" s="290">
        <f>ROUND(AD141*AC141,2)</f>
        <v>5.14</v>
      </c>
      <c r="AF141" s="248"/>
      <c r="AR141" s="129" t="s">
        <v>235</v>
      </c>
      <c r="AT141" s="129" t="s">
        <v>231</v>
      </c>
      <c r="AU141" s="129" t="s">
        <v>76</v>
      </c>
      <c r="AY141" s="13" t="s">
        <v>228</v>
      </c>
      <c r="BE141" s="130">
        <f>IF(N141="základná",J141,0)</f>
        <v>0</v>
      </c>
      <c r="BF141" s="130">
        <f>IF(N141="znížená",J141,0)</f>
        <v>0</v>
      </c>
      <c r="BG141" s="130">
        <f>IF(N141="zákl. prenesená",J141,0)</f>
        <v>0</v>
      </c>
      <c r="BH141" s="130">
        <f>IF(N141="zníž. prenesená",J141,0)</f>
        <v>0</v>
      </c>
      <c r="BI141" s="130">
        <f>IF(N141="nulová",J141,0)</f>
        <v>0</v>
      </c>
      <c r="BJ141" s="13" t="s">
        <v>76</v>
      </c>
      <c r="BK141" s="130">
        <f>ROUND(I141*H141,2)</f>
        <v>5.14</v>
      </c>
      <c r="BL141" s="13" t="s">
        <v>235</v>
      </c>
      <c r="BM141" s="129" t="s">
        <v>4623</v>
      </c>
    </row>
    <row r="142" spans="2:65" s="1" customFormat="1" ht="16.5" customHeight="1" x14ac:dyDescent="0.2">
      <c r="B142" s="118"/>
      <c r="C142" s="285" t="s">
        <v>259</v>
      </c>
      <c r="D142" s="285" t="s">
        <v>231</v>
      </c>
      <c r="E142" s="286" t="s">
        <v>229</v>
      </c>
      <c r="F142" s="240" t="s">
        <v>2396</v>
      </c>
      <c r="G142" s="287" t="s">
        <v>1194</v>
      </c>
      <c r="H142" s="288">
        <v>1</v>
      </c>
      <c r="I142" s="289">
        <v>6.41</v>
      </c>
      <c r="J142" s="289">
        <f>ROUND(I142*H142,2)</f>
        <v>6.41</v>
      </c>
      <c r="K142" s="121" t="s">
        <v>1</v>
      </c>
      <c r="L142" s="465"/>
      <c r="M142" s="125"/>
      <c r="N142" s="126"/>
      <c r="O142" s="127"/>
      <c r="P142" s="127"/>
      <c r="Q142" s="127"/>
      <c r="R142" s="127"/>
      <c r="S142" s="127"/>
      <c r="T142" s="128"/>
      <c r="U142" s="461"/>
      <c r="V142" s="464"/>
      <c r="W142" s="199"/>
      <c r="X142" s="285" t="s">
        <v>259</v>
      </c>
      <c r="Y142" s="285" t="s">
        <v>231</v>
      </c>
      <c r="Z142" s="286" t="s">
        <v>229</v>
      </c>
      <c r="AA142" s="240" t="s">
        <v>2396</v>
      </c>
      <c r="AB142" s="287" t="s">
        <v>1194</v>
      </c>
      <c r="AC142" s="288">
        <v>1</v>
      </c>
      <c r="AD142" s="289">
        <v>6.41</v>
      </c>
      <c r="AE142" s="290">
        <f>ROUND(AD142*AC142,2)</f>
        <v>6.41</v>
      </c>
      <c r="AF142" s="248"/>
      <c r="AR142" s="129" t="s">
        <v>235</v>
      </c>
      <c r="AT142" s="129" t="s">
        <v>231</v>
      </c>
      <c r="AU142" s="129" t="s">
        <v>76</v>
      </c>
      <c r="AY142" s="13" t="s">
        <v>228</v>
      </c>
      <c r="BE142" s="130">
        <f>IF(N142="základná",J142,0)</f>
        <v>0</v>
      </c>
      <c r="BF142" s="130">
        <f>IF(N142="znížená",J142,0)</f>
        <v>0</v>
      </c>
      <c r="BG142" s="130">
        <f>IF(N142="zákl. prenesená",J142,0)</f>
        <v>0</v>
      </c>
      <c r="BH142" s="130">
        <f>IF(N142="zníž. prenesená",J142,0)</f>
        <v>0</v>
      </c>
      <c r="BI142" s="130">
        <f>IF(N142="nulová",J142,0)</f>
        <v>0</v>
      </c>
      <c r="BJ142" s="13" t="s">
        <v>76</v>
      </c>
      <c r="BK142" s="130">
        <f>ROUND(I142*H142,2)</f>
        <v>6.41</v>
      </c>
      <c r="BL142" s="13" t="s">
        <v>235</v>
      </c>
      <c r="BM142" s="129" t="s">
        <v>4624</v>
      </c>
    </row>
    <row r="143" spans="2:65" s="11" customFormat="1" ht="25.95" customHeight="1" x14ac:dyDescent="0.25">
      <c r="B143" s="106"/>
      <c r="C143" s="292"/>
      <c r="D143" s="489" t="s">
        <v>57</v>
      </c>
      <c r="E143" s="501" t="s">
        <v>4625</v>
      </c>
      <c r="F143" s="501" t="s">
        <v>4626</v>
      </c>
      <c r="G143" s="292"/>
      <c r="H143" s="292"/>
      <c r="I143" s="292"/>
      <c r="J143" s="502">
        <f>BK143</f>
        <v>472.55999999999995</v>
      </c>
      <c r="L143" s="106"/>
      <c r="M143" s="110"/>
      <c r="N143" s="111"/>
      <c r="O143" s="111"/>
      <c r="P143" s="112"/>
      <c r="Q143" s="111"/>
      <c r="R143" s="112"/>
      <c r="S143" s="111"/>
      <c r="T143" s="113"/>
      <c r="W143" s="195"/>
      <c r="X143" s="347"/>
      <c r="Y143" s="506" t="s">
        <v>57</v>
      </c>
      <c r="Z143" s="429" t="s">
        <v>4625</v>
      </c>
      <c r="AA143" s="429" t="s">
        <v>4626</v>
      </c>
      <c r="AB143" s="347"/>
      <c r="AC143" s="347"/>
      <c r="AD143" s="347"/>
      <c r="AE143" s="513">
        <f>AE144+AE146</f>
        <v>472.55999999999995</v>
      </c>
      <c r="AF143" s="248"/>
      <c r="AR143" s="107" t="s">
        <v>63</v>
      </c>
      <c r="AT143" s="114" t="s">
        <v>57</v>
      </c>
      <c r="AU143" s="114" t="s">
        <v>58</v>
      </c>
      <c r="AY143" s="107" t="s">
        <v>228</v>
      </c>
      <c r="BK143" s="115">
        <f>BK144+BK145+BK146</f>
        <v>472.55999999999995</v>
      </c>
    </row>
    <row r="144" spans="2:65" s="1" customFormat="1" ht="16.5" customHeight="1" x14ac:dyDescent="0.2">
      <c r="B144" s="118"/>
      <c r="C144" s="285" t="s">
        <v>248</v>
      </c>
      <c r="D144" s="285" t="s">
        <v>231</v>
      </c>
      <c r="E144" s="286" t="s">
        <v>4627</v>
      </c>
      <c r="F144" s="240" t="s">
        <v>2221</v>
      </c>
      <c r="G144" s="287" t="s">
        <v>1194</v>
      </c>
      <c r="H144" s="288">
        <v>1</v>
      </c>
      <c r="I144" s="289">
        <v>77.88</v>
      </c>
      <c r="J144" s="289">
        <f>ROUND(I144*H144,2)</f>
        <v>77.88</v>
      </c>
      <c r="K144" s="121" t="s">
        <v>1</v>
      </c>
      <c r="L144" s="465"/>
      <c r="M144" s="125"/>
      <c r="N144" s="126"/>
      <c r="O144" s="127"/>
      <c r="P144" s="127"/>
      <c r="Q144" s="127"/>
      <c r="R144" s="127"/>
      <c r="S144" s="127"/>
      <c r="T144" s="128"/>
      <c r="U144" s="461"/>
      <c r="V144" s="464"/>
      <c r="W144" s="199"/>
      <c r="X144" s="285" t="s">
        <v>248</v>
      </c>
      <c r="Y144" s="285" t="s">
        <v>231</v>
      </c>
      <c r="Z144" s="286" t="s">
        <v>4627</v>
      </c>
      <c r="AA144" s="240" t="s">
        <v>2221</v>
      </c>
      <c r="AB144" s="287" t="s">
        <v>1194</v>
      </c>
      <c r="AC144" s="288">
        <v>1</v>
      </c>
      <c r="AD144" s="289">
        <v>77.88</v>
      </c>
      <c r="AE144" s="290">
        <f>ROUND(AD144*AC144,2)</f>
        <v>77.88</v>
      </c>
      <c r="AF144" s="248"/>
      <c r="AR144" s="129" t="s">
        <v>235</v>
      </c>
      <c r="AT144" s="129" t="s">
        <v>231</v>
      </c>
      <c r="AU144" s="129" t="s">
        <v>63</v>
      </c>
      <c r="AY144" s="13" t="s">
        <v>228</v>
      </c>
      <c r="BE144" s="130">
        <f>IF(N144="základná",J144,0)</f>
        <v>0</v>
      </c>
      <c r="BF144" s="130">
        <f>IF(N144="znížená",J144,0)</f>
        <v>0</v>
      </c>
      <c r="BG144" s="130">
        <f>IF(N144="zákl. prenesená",J144,0)</f>
        <v>0</v>
      </c>
      <c r="BH144" s="130">
        <f>IF(N144="zníž. prenesená",J144,0)</f>
        <v>0</v>
      </c>
      <c r="BI144" s="130">
        <f>IF(N144="nulová",J144,0)</f>
        <v>0</v>
      </c>
      <c r="BJ144" s="13" t="s">
        <v>76</v>
      </c>
      <c r="BK144" s="130">
        <f>ROUND(I144*H144,2)</f>
        <v>77.88</v>
      </c>
      <c r="BL144" s="13" t="s">
        <v>235</v>
      </c>
      <c r="BM144" s="129" t="s">
        <v>258</v>
      </c>
    </row>
    <row r="145" spans="2:65" s="1" customFormat="1" ht="19.2" x14ac:dyDescent="0.2">
      <c r="B145" s="24"/>
      <c r="C145" s="407"/>
      <c r="D145" s="492" t="s">
        <v>1259</v>
      </c>
      <c r="E145" s="407"/>
      <c r="F145" s="428" t="s">
        <v>2223</v>
      </c>
      <c r="G145" s="407"/>
      <c r="H145" s="407"/>
      <c r="I145" s="407"/>
      <c r="J145" s="407"/>
      <c r="L145" s="24"/>
      <c r="M145" s="146"/>
      <c r="N145" s="42"/>
      <c r="O145" s="42"/>
      <c r="P145" s="42"/>
      <c r="Q145" s="42"/>
      <c r="R145" s="42"/>
      <c r="S145" s="42"/>
      <c r="T145" s="43"/>
      <c r="W145" s="158"/>
      <c r="X145" s="427"/>
      <c r="Y145" s="511" t="s">
        <v>1259</v>
      </c>
      <c r="Z145" s="427"/>
      <c r="AA145" s="505" t="s">
        <v>2223</v>
      </c>
      <c r="AB145" s="427"/>
      <c r="AC145" s="427"/>
      <c r="AD145" s="427"/>
      <c r="AE145" s="512"/>
      <c r="AF145" s="248"/>
      <c r="AT145" s="13" t="s">
        <v>1259</v>
      </c>
      <c r="AU145" s="13" t="s">
        <v>63</v>
      </c>
    </row>
    <row r="146" spans="2:65" s="11" customFormat="1" ht="22.95" customHeight="1" x14ac:dyDescent="0.25">
      <c r="B146" s="106"/>
      <c r="C146" s="292"/>
      <c r="D146" s="489" t="s">
        <v>57</v>
      </c>
      <c r="E146" s="490" t="s">
        <v>1201</v>
      </c>
      <c r="F146" s="490" t="s">
        <v>2474</v>
      </c>
      <c r="G146" s="292"/>
      <c r="H146" s="292"/>
      <c r="I146" s="292"/>
      <c r="J146" s="491">
        <f>BK146</f>
        <v>394.67999999999995</v>
      </c>
      <c r="L146" s="106"/>
      <c r="M146" s="110"/>
      <c r="N146" s="111"/>
      <c r="O146" s="111"/>
      <c r="P146" s="112"/>
      <c r="Q146" s="111"/>
      <c r="R146" s="112"/>
      <c r="S146" s="111"/>
      <c r="T146" s="113"/>
      <c r="W146" s="195"/>
      <c r="X146" s="347"/>
      <c r="Y146" s="506" t="s">
        <v>57</v>
      </c>
      <c r="Z146" s="507" t="s">
        <v>1201</v>
      </c>
      <c r="AA146" s="507" t="s">
        <v>2474</v>
      </c>
      <c r="AB146" s="347"/>
      <c r="AC146" s="347"/>
      <c r="AD146" s="347"/>
      <c r="AE146" s="510">
        <f>SUM(AE147:AE152)</f>
        <v>394.67999999999995</v>
      </c>
      <c r="AF146" s="248"/>
      <c r="AR146" s="107" t="s">
        <v>63</v>
      </c>
      <c r="AT146" s="114" t="s">
        <v>57</v>
      </c>
      <c r="AU146" s="114" t="s">
        <v>63</v>
      </c>
      <c r="AY146" s="107" t="s">
        <v>228</v>
      </c>
      <c r="BK146" s="115">
        <f>SUM(BK147:BK152)</f>
        <v>394.67999999999995</v>
      </c>
    </row>
    <row r="147" spans="2:65" s="1" customFormat="1" ht="16.5" customHeight="1" x14ac:dyDescent="0.2">
      <c r="B147" s="118"/>
      <c r="C147" s="285" t="s">
        <v>265</v>
      </c>
      <c r="D147" s="285" t="s">
        <v>231</v>
      </c>
      <c r="E147" s="286" t="s">
        <v>4617</v>
      </c>
      <c r="F147" s="240" t="s">
        <v>2232</v>
      </c>
      <c r="G147" s="287" t="s">
        <v>292</v>
      </c>
      <c r="H147" s="288">
        <v>1</v>
      </c>
      <c r="I147" s="289">
        <v>5.14</v>
      </c>
      <c r="J147" s="289">
        <f>ROUND(I147*H147,2)</f>
        <v>5.14</v>
      </c>
      <c r="K147" s="121" t="s">
        <v>1</v>
      </c>
      <c r="L147" s="465"/>
      <c r="M147" s="125"/>
      <c r="N147" s="126"/>
      <c r="O147" s="127"/>
      <c r="P147" s="127"/>
      <c r="Q147" s="127"/>
      <c r="R147" s="127"/>
      <c r="S147" s="127"/>
      <c r="T147" s="128"/>
      <c r="U147" s="461"/>
      <c r="V147" s="464"/>
      <c r="W147" s="199"/>
      <c r="X147" s="285" t="s">
        <v>265</v>
      </c>
      <c r="Y147" s="285" t="s">
        <v>231</v>
      </c>
      <c r="Z147" s="286" t="s">
        <v>4617</v>
      </c>
      <c r="AA147" s="240" t="s">
        <v>2232</v>
      </c>
      <c r="AB147" s="287" t="s">
        <v>292</v>
      </c>
      <c r="AC147" s="288">
        <v>1</v>
      </c>
      <c r="AD147" s="289">
        <v>5.14</v>
      </c>
      <c r="AE147" s="290">
        <f>ROUND(AD147*AC147,2)</f>
        <v>5.14</v>
      </c>
      <c r="AF147" s="248"/>
      <c r="AR147" s="129" t="s">
        <v>235</v>
      </c>
      <c r="AT147" s="129" t="s">
        <v>231</v>
      </c>
      <c r="AU147" s="129" t="s">
        <v>76</v>
      </c>
      <c r="AY147" s="13" t="s">
        <v>228</v>
      </c>
      <c r="BE147" s="130">
        <f>IF(N147="základná",J147,0)</f>
        <v>0</v>
      </c>
      <c r="BF147" s="130">
        <f>IF(N147="znížená",J147,0)</f>
        <v>0</v>
      </c>
      <c r="BG147" s="130">
        <f>IF(N147="zákl. prenesená",J147,0)</f>
        <v>0</v>
      </c>
      <c r="BH147" s="130">
        <f>IF(N147="zníž. prenesená",J147,0)</f>
        <v>0</v>
      </c>
      <c r="BI147" s="130">
        <f>IF(N147="nulová",J147,0)</f>
        <v>0</v>
      </c>
      <c r="BJ147" s="13" t="s">
        <v>76</v>
      </c>
      <c r="BK147" s="130">
        <f>ROUND(I147*H147,2)</f>
        <v>5.14</v>
      </c>
      <c r="BL147" s="13" t="s">
        <v>235</v>
      </c>
      <c r="BM147" s="129" t="s">
        <v>262</v>
      </c>
    </row>
    <row r="148" spans="2:65" s="1" customFormat="1" ht="16.5" customHeight="1" x14ac:dyDescent="0.2">
      <c r="B148" s="118"/>
      <c r="C148" s="285" t="s">
        <v>251</v>
      </c>
      <c r="D148" s="285" t="s">
        <v>231</v>
      </c>
      <c r="E148" s="286" t="s">
        <v>4628</v>
      </c>
      <c r="F148" s="240" t="s">
        <v>2396</v>
      </c>
      <c r="G148" s="287" t="s">
        <v>1194</v>
      </c>
      <c r="H148" s="288">
        <v>1</v>
      </c>
      <c r="I148" s="289">
        <v>6.41</v>
      </c>
      <c r="J148" s="289">
        <f>ROUND(I148*H148,2)</f>
        <v>6.41</v>
      </c>
      <c r="K148" s="121" t="s">
        <v>1</v>
      </c>
      <c r="L148" s="465"/>
      <c r="M148" s="125"/>
      <c r="N148" s="126"/>
      <c r="O148" s="127"/>
      <c r="P148" s="127"/>
      <c r="Q148" s="127"/>
      <c r="R148" s="127"/>
      <c r="S148" s="127"/>
      <c r="T148" s="128"/>
      <c r="U148" s="461"/>
      <c r="V148" s="464"/>
      <c r="W148" s="199"/>
      <c r="X148" s="285" t="s">
        <v>251</v>
      </c>
      <c r="Y148" s="285" t="s">
        <v>231</v>
      </c>
      <c r="Z148" s="286" t="s">
        <v>4628</v>
      </c>
      <c r="AA148" s="240" t="s">
        <v>2396</v>
      </c>
      <c r="AB148" s="287" t="s">
        <v>1194</v>
      </c>
      <c r="AC148" s="288">
        <v>1</v>
      </c>
      <c r="AD148" s="289">
        <v>6.41</v>
      </c>
      <c r="AE148" s="290">
        <f>ROUND(AD148*AC148,2)</f>
        <v>6.41</v>
      </c>
      <c r="AF148" s="248"/>
      <c r="AR148" s="129" t="s">
        <v>235</v>
      </c>
      <c r="AT148" s="129" t="s">
        <v>231</v>
      </c>
      <c r="AU148" s="129" t="s">
        <v>76</v>
      </c>
      <c r="AY148" s="13" t="s">
        <v>228</v>
      </c>
      <c r="BE148" s="130">
        <f>IF(N148="základná",J148,0)</f>
        <v>0</v>
      </c>
      <c r="BF148" s="130">
        <f>IF(N148="znížená",J148,0)</f>
        <v>0</v>
      </c>
      <c r="BG148" s="130">
        <f>IF(N148="zákl. prenesená",J148,0)</f>
        <v>0</v>
      </c>
      <c r="BH148" s="130">
        <f>IF(N148="zníž. prenesená",J148,0)</f>
        <v>0</v>
      </c>
      <c r="BI148" s="130">
        <f>IF(N148="nulová",J148,0)</f>
        <v>0</v>
      </c>
      <c r="BJ148" s="13" t="s">
        <v>76</v>
      </c>
      <c r="BK148" s="130">
        <f>ROUND(I148*H148,2)</f>
        <v>6.41</v>
      </c>
      <c r="BL148" s="13" t="s">
        <v>235</v>
      </c>
      <c r="BM148" s="129" t="s">
        <v>7</v>
      </c>
    </row>
    <row r="149" spans="2:65" s="1" customFormat="1" ht="16.5" customHeight="1" x14ac:dyDescent="0.2">
      <c r="B149" s="118"/>
      <c r="C149" s="285" t="s">
        <v>273</v>
      </c>
      <c r="D149" s="285" t="s">
        <v>231</v>
      </c>
      <c r="E149" s="286" t="s">
        <v>245</v>
      </c>
      <c r="F149" s="240" t="s">
        <v>2521</v>
      </c>
      <c r="G149" s="287" t="s">
        <v>243</v>
      </c>
      <c r="H149" s="288">
        <v>1</v>
      </c>
      <c r="I149" s="289">
        <v>69.66</v>
      </c>
      <c r="J149" s="289">
        <f>ROUND(I149*H149,2)</f>
        <v>69.66</v>
      </c>
      <c r="K149" s="121" t="s">
        <v>1</v>
      </c>
      <c r="L149" s="465"/>
      <c r="M149" s="125"/>
      <c r="N149" s="126"/>
      <c r="O149" s="127"/>
      <c r="P149" s="127"/>
      <c r="Q149" s="127"/>
      <c r="R149" s="127"/>
      <c r="S149" s="127"/>
      <c r="T149" s="128"/>
      <c r="U149" s="461"/>
      <c r="V149" s="464"/>
      <c r="W149" s="199"/>
      <c r="X149" s="285" t="s">
        <v>273</v>
      </c>
      <c r="Y149" s="285" t="s">
        <v>231</v>
      </c>
      <c r="Z149" s="286" t="s">
        <v>245</v>
      </c>
      <c r="AA149" s="240" t="s">
        <v>2521</v>
      </c>
      <c r="AB149" s="287" t="s">
        <v>243</v>
      </c>
      <c r="AC149" s="288">
        <v>1</v>
      </c>
      <c r="AD149" s="289">
        <v>69.66</v>
      </c>
      <c r="AE149" s="290">
        <f>ROUND(AD149*AC149,2)</f>
        <v>69.66</v>
      </c>
      <c r="AF149" s="248"/>
      <c r="AR149" s="129" t="s">
        <v>235</v>
      </c>
      <c r="AT149" s="129" t="s">
        <v>231</v>
      </c>
      <c r="AU149" s="129" t="s">
        <v>76</v>
      </c>
      <c r="AY149" s="13" t="s">
        <v>228</v>
      </c>
      <c r="BE149" s="130">
        <f>IF(N149="základná",J149,0)</f>
        <v>0</v>
      </c>
      <c r="BF149" s="130">
        <f>IF(N149="znížená",J149,0)</f>
        <v>0</v>
      </c>
      <c r="BG149" s="130">
        <f>IF(N149="zákl. prenesená",J149,0)</f>
        <v>0</v>
      </c>
      <c r="BH149" s="130">
        <f>IF(N149="zníž. prenesená",J149,0)</f>
        <v>0</v>
      </c>
      <c r="BI149" s="130">
        <f>IF(N149="nulová",J149,0)</f>
        <v>0</v>
      </c>
      <c r="BJ149" s="13" t="s">
        <v>76</v>
      </c>
      <c r="BK149" s="130">
        <f>ROUND(I149*H149,2)</f>
        <v>69.66</v>
      </c>
      <c r="BL149" s="13" t="s">
        <v>235</v>
      </c>
      <c r="BM149" s="129" t="s">
        <v>268</v>
      </c>
    </row>
    <row r="150" spans="2:65" s="1" customFormat="1" ht="19.2" x14ac:dyDescent="0.2">
      <c r="B150" s="24"/>
      <c r="C150" s="407"/>
      <c r="D150" s="492" t="s">
        <v>1259</v>
      </c>
      <c r="E150" s="407"/>
      <c r="F150" s="428" t="s">
        <v>4629</v>
      </c>
      <c r="G150" s="407"/>
      <c r="H150" s="407"/>
      <c r="I150" s="407"/>
      <c r="J150" s="407"/>
      <c r="L150" s="24"/>
      <c r="M150" s="146"/>
      <c r="N150" s="42"/>
      <c r="O150" s="42"/>
      <c r="P150" s="42"/>
      <c r="Q150" s="42"/>
      <c r="R150" s="42"/>
      <c r="S150" s="42"/>
      <c r="T150" s="43"/>
      <c r="W150" s="158"/>
      <c r="X150" s="427"/>
      <c r="Y150" s="511" t="s">
        <v>1259</v>
      </c>
      <c r="Z150" s="427"/>
      <c r="AA150" s="505" t="s">
        <v>4629</v>
      </c>
      <c r="AB150" s="427"/>
      <c r="AC150" s="427"/>
      <c r="AD150" s="427"/>
      <c r="AE150" s="512"/>
      <c r="AF150" s="248"/>
      <c r="AT150" s="13" t="s">
        <v>1259</v>
      </c>
      <c r="AU150" s="13" t="s">
        <v>76</v>
      </c>
    </row>
    <row r="151" spans="2:65" s="1" customFormat="1" ht="16.5" customHeight="1" x14ac:dyDescent="0.2">
      <c r="B151" s="118"/>
      <c r="C151" s="285" t="s">
        <v>255</v>
      </c>
      <c r="D151" s="285" t="s">
        <v>231</v>
      </c>
      <c r="E151" s="286" t="s">
        <v>240</v>
      </c>
      <c r="F151" s="240" t="s">
        <v>2526</v>
      </c>
      <c r="G151" s="287" t="s">
        <v>243</v>
      </c>
      <c r="H151" s="288">
        <v>1</v>
      </c>
      <c r="I151" s="289">
        <v>34.83</v>
      </c>
      <c r="J151" s="289">
        <f>ROUND(I151*H151,2)</f>
        <v>34.83</v>
      </c>
      <c r="K151" s="121" t="s">
        <v>1</v>
      </c>
      <c r="L151" s="465"/>
      <c r="M151" s="125"/>
      <c r="N151" s="126"/>
      <c r="O151" s="127"/>
      <c r="P151" s="127"/>
      <c r="Q151" s="127"/>
      <c r="R151" s="127"/>
      <c r="S151" s="127"/>
      <c r="T151" s="128"/>
      <c r="U151" s="461"/>
      <c r="V151" s="464"/>
      <c r="W151" s="199"/>
      <c r="X151" s="285" t="s">
        <v>255</v>
      </c>
      <c r="Y151" s="285" t="s">
        <v>231</v>
      </c>
      <c r="Z151" s="286" t="s">
        <v>240</v>
      </c>
      <c r="AA151" s="240" t="s">
        <v>2526</v>
      </c>
      <c r="AB151" s="287" t="s">
        <v>243</v>
      </c>
      <c r="AC151" s="288">
        <v>1</v>
      </c>
      <c r="AD151" s="289">
        <v>34.83</v>
      </c>
      <c r="AE151" s="290">
        <f>ROUND(AD151*AC151,2)</f>
        <v>34.83</v>
      </c>
      <c r="AF151" s="248"/>
      <c r="AR151" s="129" t="s">
        <v>235</v>
      </c>
      <c r="AT151" s="129" t="s">
        <v>231</v>
      </c>
      <c r="AU151" s="129" t="s">
        <v>76</v>
      </c>
      <c r="AY151" s="13" t="s">
        <v>228</v>
      </c>
      <c r="BE151" s="130">
        <f>IF(N151="základná",J151,0)</f>
        <v>0</v>
      </c>
      <c r="BF151" s="130">
        <f>IF(N151="znížená",J151,0)</f>
        <v>0</v>
      </c>
      <c r="BG151" s="130">
        <f>IF(N151="zákl. prenesená",J151,0)</f>
        <v>0</v>
      </c>
      <c r="BH151" s="130">
        <f>IF(N151="zníž. prenesená",J151,0)</f>
        <v>0</v>
      </c>
      <c r="BI151" s="130">
        <f>IF(N151="nulová",J151,0)</f>
        <v>0</v>
      </c>
      <c r="BJ151" s="13" t="s">
        <v>76</v>
      </c>
      <c r="BK151" s="130">
        <f>ROUND(I151*H151,2)</f>
        <v>34.83</v>
      </c>
      <c r="BL151" s="13" t="s">
        <v>235</v>
      </c>
      <c r="BM151" s="129" t="s">
        <v>272</v>
      </c>
    </row>
    <row r="152" spans="2:65" s="1" customFormat="1" ht="16.5" customHeight="1" x14ac:dyDescent="0.2">
      <c r="B152" s="118"/>
      <c r="C152" s="285" t="s">
        <v>281</v>
      </c>
      <c r="D152" s="285" t="s">
        <v>231</v>
      </c>
      <c r="E152" s="286" t="s">
        <v>252</v>
      </c>
      <c r="F152" s="240" t="s">
        <v>2530</v>
      </c>
      <c r="G152" s="287" t="s">
        <v>1112</v>
      </c>
      <c r="H152" s="288">
        <v>4</v>
      </c>
      <c r="I152" s="289">
        <v>69.66</v>
      </c>
      <c r="J152" s="289">
        <f>ROUND(I152*H152,2)</f>
        <v>278.64</v>
      </c>
      <c r="K152" s="121" t="s">
        <v>1</v>
      </c>
      <c r="L152" s="465"/>
      <c r="M152" s="125"/>
      <c r="N152" s="126"/>
      <c r="O152" s="127"/>
      <c r="P152" s="127"/>
      <c r="Q152" s="127"/>
      <c r="R152" s="127"/>
      <c r="S152" s="127"/>
      <c r="T152" s="128"/>
      <c r="U152" s="461"/>
      <c r="V152" s="464"/>
      <c r="W152" s="199"/>
      <c r="X152" s="285" t="s">
        <v>281</v>
      </c>
      <c r="Y152" s="285" t="s">
        <v>231</v>
      </c>
      <c r="Z152" s="286" t="s">
        <v>252</v>
      </c>
      <c r="AA152" s="240" t="s">
        <v>2530</v>
      </c>
      <c r="AB152" s="287" t="s">
        <v>1112</v>
      </c>
      <c r="AC152" s="288">
        <v>4</v>
      </c>
      <c r="AD152" s="289">
        <v>69.66</v>
      </c>
      <c r="AE152" s="290">
        <f>ROUND(AD152*AC152,2)</f>
        <v>278.64</v>
      </c>
      <c r="AF152" s="248"/>
      <c r="AR152" s="129" t="s">
        <v>235</v>
      </c>
      <c r="AT152" s="129" t="s">
        <v>231</v>
      </c>
      <c r="AU152" s="129" t="s">
        <v>76</v>
      </c>
      <c r="AY152" s="13" t="s">
        <v>228</v>
      </c>
      <c r="BE152" s="130">
        <f>IF(N152="základná",J152,0)</f>
        <v>0</v>
      </c>
      <c r="BF152" s="130">
        <f>IF(N152="znížená",J152,0)</f>
        <v>0</v>
      </c>
      <c r="BG152" s="130">
        <f>IF(N152="zákl. prenesená",J152,0)</f>
        <v>0</v>
      </c>
      <c r="BH152" s="130">
        <f>IF(N152="zníž. prenesená",J152,0)</f>
        <v>0</v>
      </c>
      <c r="BI152" s="130">
        <f>IF(N152="nulová",J152,0)</f>
        <v>0</v>
      </c>
      <c r="BJ152" s="13" t="s">
        <v>76</v>
      </c>
      <c r="BK152" s="130">
        <f>ROUND(I152*H152,2)</f>
        <v>278.64</v>
      </c>
      <c r="BL152" s="13" t="s">
        <v>235</v>
      </c>
      <c r="BM152" s="129" t="s">
        <v>276</v>
      </c>
    </row>
    <row r="153" spans="2:65" s="1092" customFormat="1" ht="25.95" customHeight="1" x14ac:dyDescent="0.25">
      <c r="B153" s="1028"/>
      <c r="C153" s="284"/>
      <c r="D153" s="284"/>
      <c r="E153" s="663"/>
      <c r="F153" s="1104"/>
      <c r="G153" s="1105"/>
      <c r="H153" s="1106"/>
      <c r="I153" s="1107"/>
      <c r="J153" s="1107"/>
      <c r="K153" s="1000"/>
      <c r="L153" s="465"/>
      <c r="M153" s="662"/>
      <c r="N153" s="1036"/>
      <c r="O153" s="1037"/>
      <c r="P153" s="1037"/>
      <c r="Q153" s="1037"/>
      <c r="R153" s="1037"/>
      <c r="S153" s="1037"/>
      <c r="T153" s="1037"/>
      <c r="V153" s="464"/>
      <c r="W153" s="1041"/>
      <c r="X153" s="284"/>
      <c r="Y153" s="284"/>
      <c r="Z153" s="507" t="s">
        <v>1201</v>
      </c>
      <c r="AA153" s="507" t="s">
        <v>6716</v>
      </c>
      <c r="AB153" s="1108"/>
      <c r="AC153" s="1109"/>
      <c r="AD153" s="1110"/>
      <c r="AE153" s="510">
        <f>SUM(AE154:AE157)</f>
        <v>4458.0900000000011</v>
      </c>
      <c r="AF153" s="924"/>
      <c r="AR153" s="1039"/>
      <c r="AT153" s="1039"/>
      <c r="AU153" s="1039"/>
      <c r="AY153" s="1026"/>
      <c r="BE153" s="1040"/>
      <c r="BF153" s="1040"/>
      <c r="BG153" s="1040"/>
      <c r="BH153" s="1040"/>
      <c r="BI153" s="1040"/>
      <c r="BJ153" s="1026"/>
      <c r="BK153" s="1040"/>
      <c r="BL153" s="1026"/>
      <c r="BM153" s="1039"/>
    </row>
    <row r="154" spans="2:65" s="1092" customFormat="1" ht="16.5" customHeight="1" x14ac:dyDescent="0.2">
      <c r="B154" s="1028"/>
      <c r="C154" s="1234" t="s">
        <v>5205</v>
      </c>
      <c r="D154" s="1235"/>
      <c r="E154" s="1235"/>
      <c r="F154" s="1235"/>
      <c r="G154" s="1235"/>
      <c r="H154" s="1235"/>
      <c r="I154" s="1235"/>
      <c r="J154" s="1236"/>
      <c r="K154" s="1000"/>
      <c r="L154" s="465"/>
      <c r="M154" s="662"/>
      <c r="N154" s="1036"/>
      <c r="O154" s="1037"/>
      <c r="P154" s="1037"/>
      <c r="Q154" s="1037"/>
      <c r="R154" s="1037"/>
      <c r="S154" s="1037"/>
      <c r="T154" s="1037"/>
      <c r="V154" s="464"/>
      <c r="W154" s="1041"/>
      <c r="X154" s="1072" t="s">
        <v>5477</v>
      </c>
      <c r="Y154" s="1072"/>
      <c r="Z154" s="1073" t="s">
        <v>240</v>
      </c>
      <c r="AA154" s="1074" t="s">
        <v>6716</v>
      </c>
      <c r="AB154" s="1075" t="s">
        <v>1112</v>
      </c>
      <c r="AC154" s="1076">
        <v>228</v>
      </c>
      <c r="AD154" s="1077">
        <v>18.690000000000001</v>
      </c>
      <c r="AE154" s="1078">
        <f>AC154*AD154</f>
        <v>4261.3200000000006</v>
      </c>
      <c r="AF154" s="924">
        <v>28</v>
      </c>
      <c r="AR154" s="1039"/>
      <c r="AT154" s="1039"/>
      <c r="AU154" s="1039"/>
      <c r="AY154" s="1026"/>
      <c r="BE154" s="1040"/>
      <c r="BF154" s="1040"/>
      <c r="BG154" s="1040"/>
      <c r="BH154" s="1040"/>
      <c r="BI154" s="1040"/>
      <c r="BJ154" s="1026"/>
      <c r="BK154" s="1040"/>
      <c r="BL154" s="1026"/>
      <c r="BM154" s="1039"/>
    </row>
    <row r="155" spans="2:65" s="1092" customFormat="1" ht="16.5" customHeight="1" x14ac:dyDescent="0.2">
      <c r="B155" s="1028"/>
      <c r="C155" s="1234" t="s">
        <v>5205</v>
      </c>
      <c r="D155" s="1235"/>
      <c r="E155" s="1235"/>
      <c r="F155" s="1235"/>
      <c r="G155" s="1235"/>
      <c r="H155" s="1235"/>
      <c r="I155" s="1235"/>
      <c r="J155" s="1236"/>
      <c r="K155" s="1000"/>
      <c r="L155" s="465"/>
      <c r="M155" s="662"/>
      <c r="N155" s="1036"/>
      <c r="O155" s="1037"/>
      <c r="P155" s="1037"/>
      <c r="Q155" s="1037"/>
      <c r="R155" s="1037"/>
      <c r="S155" s="1037"/>
      <c r="T155" s="1037"/>
      <c r="V155" s="464"/>
      <c r="W155" s="1041"/>
      <c r="X155" s="1072" t="s">
        <v>5478</v>
      </c>
      <c r="Y155" s="1072"/>
      <c r="Z155" s="1073" t="s">
        <v>5964</v>
      </c>
      <c r="AA155" s="1074" t="s">
        <v>6717</v>
      </c>
      <c r="AB155" s="1075" t="s">
        <v>284</v>
      </c>
      <c r="AC155" s="1076">
        <v>4.5</v>
      </c>
      <c r="AD155" s="1077">
        <v>26.52</v>
      </c>
      <c r="AE155" s="1078">
        <f t="shared" ref="AE155:AE157" si="0">AC155*AD155</f>
        <v>119.34</v>
      </c>
      <c r="AF155" s="924">
        <v>28</v>
      </c>
      <c r="AR155" s="1039"/>
      <c r="AT155" s="1039"/>
      <c r="AU155" s="1039"/>
      <c r="AY155" s="1026"/>
      <c r="BE155" s="1040"/>
      <c r="BF155" s="1040"/>
      <c r="BG155" s="1040"/>
      <c r="BH155" s="1040"/>
      <c r="BI155" s="1040"/>
      <c r="BJ155" s="1026"/>
      <c r="BK155" s="1040"/>
      <c r="BL155" s="1026"/>
      <c r="BM155" s="1039"/>
    </row>
    <row r="156" spans="2:65" s="1092" customFormat="1" ht="16.5" customHeight="1" x14ac:dyDescent="0.2">
      <c r="B156" s="1028"/>
      <c r="C156" s="1234" t="s">
        <v>5205</v>
      </c>
      <c r="D156" s="1235"/>
      <c r="E156" s="1235"/>
      <c r="F156" s="1235"/>
      <c r="G156" s="1235"/>
      <c r="H156" s="1235"/>
      <c r="I156" s="1235"/>
      <c r="J156" s="1236"/>
      <c r="K156" s="1000"/>
      <c r="L156" s="465"/>
      <c r="M156" s="662"/>
      <c r="N156" s="1036"/>
      <c r="O156" s="1037"/>
      <c r="P156" s="1037"/>
      <c r="Q156" s="1037"/>
      <c r="R156" s="1037"/>
      <c r="S156" s="1037"/>
      <c r="T156" s="1037"/>
      <c r="V156" s="464"/>
      <c r="W156" s="1041"/>
      <c r="X156" s="1072" t="s">
        <v>5482</v>
      </c>
      <c r="Y156" s="1072"/>
      <c r="Z156" s="1073" t="s">
        <v>5965</v>
      </c>
      <c r="AA156" s="1074" t="s">
        <v>6718</v>
      </c>
      <c r="AB156" s="1075" t="s">
        <v>284</v>
      </c>
      <c r="AC156" s="1076">
        <v>4.5</v>
      </c>
      <c r="AD156" s="1077">
        <v>8.14</v>
      </c>
      <c r="AE156" s="1078">
        <f t="shared" si="0"/>
        <v>36.630000000000003</v>
      </c>
      <c r="AF156" s="924">
        <v>28</v>
      </c>
      <c r="AR156" s="1039"/>
      <c r="AT156" s="1039"/>
      <c r="AU156" s="1039"/>
      <c r="AY156" s="1026"/>
      <c r="BE156" s="1040"/>
      <c r="BF156" s="1040"/>
      <c r="BG156" s="1040"/>
      <c r="BH156" s="1040"/>
      <c r="BI156" s="1040"/>
      <c r="BJ156" s="1026"/>
      <c r="BK156" s="1040"/>
      <c r="BL156" s="1026"/>
      <c r="BM156" s="1039"/>
    </row>
    <row r="157" spans="2:65" s="1092" customFormat="1" ht="16.5" customHeight="1" x14ac:dyDescent="0.2">
      <c r="B157" s="1028"/>
      <c r="C157" s="1234" t="s">
        <v>5205</v>
      </c>
      <c r="D157" s="1235"/>
      <c r="E157" s="1235"/>
      <c r="F157" s="1235"/>
      <c r="G157" s="1235"/>
      <c r="H157" s="1235"/>
      <c r="I157" s="1235"/>
      <c r="J157" s="1236"/>
      <c r="K157" s="1000"/>
      <c r="L157" s="465"/>
      <c r="M157" s="662"/>
      <c r="N157" s="1036"/>
      <c r="O157" s="1037"/>
      <c r="P157" s="1037"/>
      <c r="Q157" s="1037"/>
      <c r="R157" s="1037"/>
      <c r="S157" s="1037"/>
      <c r="T157" s="1037"/>
      <c r="V157" s="464"/>
      <c r="W157" s="1041"/>
      <c r="X157" s="1072" t="s">
        <v>6652</v>
      </c>
      <c r="Y157" s="1072"/>
      <c r="Z157" s="1073" t="s">
        <v>6719</v>
      </c>
      <c r="AA157" s="1074" t="s">
        <v>6720</v>
      </c>
      <c r="AB157" s="1075" t="s">
        <v>1172</v>
      </c>
      <c r="AC157" s="1076">
        <v>1</v>
      </c>
      <c r="AD157" s="1077">
        <v>40.799999999999997</v>
      </c>
      <c r="AE157" s="1078">
        <f t="shared" si="0"/>
        <v>40.799999999999997</v>
      </c>
      <c r="AF157" s="924">
        <v>28</v>
      </c>
      <c r="AR157" s="1039"/>
      <c r="AT157" s="1039"/>
      <c r="AU157" s="1039"/>
      <c r="AY157" s="1026"/>
      <c r="BE157" s="1040"/>
      <c r="BF157" s="1040"/>
      <c r="BG157" s="1040"/>
      <c r="BH157" s="1040"/>
      <c r="BI157" s="1040"/>
      <c r="BJ157" s="1026"/>
      <c r="BK157" s="1040"/>
      <c r="BL157" s="1026"/>
      <c r="BM157" s="1039"/>
    </row>
    <row r="158" spans="2:65" s="1" customFormat="1" ht="7.05" customHeight="1" x14ac:dyDescent="0.2">
      <c r="B158" s="33"/>
      <c r="C158" s="485"/>
      <c r="D158" s="485"/>
      <c r="E158" s="485"/>
      <c r="F158" s="485"/>
      <c r="G158" s="485"/>
      <c r="H158" s="485"/>
      <c r="I158" s="485"/>
      <c r="J158" s="485"/>
      <c r="K158" s="34"/>
      <c r="L158" s="24"/>
      <c r="W158" s="175"/>
      <c r="X158" s="487"/>
      <c r="Y158" s="487"/>
      <c r="Z158" s="487"/>
      <c r="AA158" s="487"/>
      <c r="AB158" s="487"/>
      <c r="AC158" s="487"/>
      <c r="AD158" s="487"/>
      <c r="AE158" s="516"/>
    </row>
  </sheetData>
  <autoFilter ref="C123:K152" xr:uid="{00000000-0009-0000-0000-000023000000}"/>
  <mergeCells count="31">
    <mergeCell ref="Z116:AC116"/>
    <mergeCell ref="E113:J113"/>
    <mergeCell ref="C111:J111"/>
    <mergeCell ref="Z87:AC87"/>
    <mergeCell ref="E87:H87"/>
    <mergeCell ref="Z84:AE84"/>
    <mergeCell ref="E84:J84"/>
    <mergeCell ref="X111:AE111"/>
    <mergeCell ref="Z113:AE113"/>
    <mergeCell ref="Z114:AC114"/>
    <mergeCell ref="E85:H85"/>
    <mergeCell ref="Z85:AC85"/>
    <mergeCell ref="X82:AE82"/>
    <mergeCell ref="C82:J82"/>
    <mergeCell ref="L2:V2"/>
    <mergeCell ref="X4:AE4"/>
    <mergeCell ref="AA6:AE7"/>
    <mergeCell ref="Z9:AC9"/>
    <mergeCell ref="Z18:AC18"/>
    <mergeCell ref="Z27:AC27"/>
    <mergeCell ref="E9:H9"/>
    <mergeCell ref="E18:H18"/>
    <mergeCell ref="E27:H27"/>
    <mergeCell ref="C155:J155"/>
    <mergeCell ref="C156:J156"/>
    <mergeCell ref="C157:J157"/>
    <mergeCell ref="C154:J154"/>
    <mergeCell ref="D4:J4"/>
    <mergeCell ref="F6:J7"/>
    <mergeCell ref="E114:H114"/>
    <mergeCell ref="E116:H116"/>
  </mergeCells>
  <pageMargins left="0.39370078740157483" right="0.39370078740157483" top="0.39370078740157483" bottom="0.39370078740157483" header="0" footer="0"/>
  <pageSetup paperSize="9" fitToHeight="100" orientation="landscape" r:id="rId1"/>
  <headerFooter>
    <oddFooter>&amp;CStrana &amp;P z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BM124"/>
  <sheetViews>
    <sheetView showGridLines="0" topLeftCell="A106" zoomScale="80" zoomScaleNormal="80" workbookViewId="0">
      <selection activeCell="W122" sqref="W122"/>
    </sheetView>
  </sheetViews>
  <sheetFormatPr defaultColWidth="8.7109375" defaultRowHeight="10.199999999999999" x14ac:dyDescent="0.2"/>
  <cols>
    <col min="1" max="1" width="8.28515625" customWidth="1"/>
    <col min="2" max="2" width="1.7109375" customWidth="1"/>
    <col min="3" max="4" width="4.28515625" customWidth="1"/>
    <col min="5" max="5" width="17.28515625" customWidth="1"/>
    <col min="6" max="6" width="50.7109375" customWidth="1"/>
    <col min="7" max="7" width="7" customWidth="1"/>
    <col min="8" max="8" width="11.42578125" customWidth="1"/>
    <col min="9" max="10" width="20.28515625" customWidth="1"/>
    <col min="11" max="11" width="20.28515625" hidden="1" customWidth="1"/>
    <col min="12" max="12" width="9.28515625" customWidth="1"/>
    <col min="13" max="13" width="10.7109375" hidden="1" customWidth="1"/>
    <col min="14" max="14" width="9.28515625" hidden="1"/>
    <col min="15" max="20" width="14.28515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1" spans="1:46" x14ac:dyDescent="0.2">
      <c r="A1" s="73"/>
    </row>
    <row r="2" spans="1:46" ht="37.049999999999997" customHeight="1" x14ac:dyDescent="0.2">
      <c r="L2" s="1227" t="s">
        <v>5</v>
      </c>
      <c r="M2" s="1225"/>
      <c r="N2" s="1225"/>
      <c r="O2" s="1225"/>
      <c r="P2" s="1225"/>
      <c r="Q2" s="1225"/>
      <c r="R2" s="1225"/>
      <c r="S2" s="1225"/>
      <c r="T2" s="1225"/>
      <c r="U2" s="1225"/>
      <c r="V2" s="1225"/>
      <c r="AT2" s="13" t="s">
        <v>167</v>
      </c>
    </row>
    <row r="3" spans="1:46" ht="7.05" customHeight="1" x14ac:dyDescent="0.2">
      <c r="B3" s="14"/>
      <c r="C3" s="15"/>
      <c r="D3" s="15"/>
      <c r="E3" s="15"/>
      <c r="F3" s="15"/>
      <c r="G3" s="15"/>
      <c r="H3" s="15"/>
      <c r="I3" s="15"/>
      <c r="J3" s="15"/>
      <c r="K3" s="15"/>
      <c r="L3" s="16"/>
      <c r="AT3" s="13" t="s">
        <v>58</v>
      </c>
    </row>
    <row r="4" spans="1:46" ht="25.05" customHeight="1" x14ac:dyDescent="0.2">
      <c r="B4" s="16"/>
      <c r="C4" s="1165" t="s">
        <v>185</v>
      </c>
      <c r="D4" s="1165"/>
      <c r="E4" s="1165"/>
      <c r="F4" s="1165"/>
      <c r="G4" s="1165"/>
      <c r="H4" s="1165"/>
      <c r="I4" s="1165"/>
      <c r="J4" s="1165"/>
      <c r="L4" s="16"/>
      <c r="M4" s="74" t="s">
        <v>9</v>
      </c>
      <c r="AT4" s="13" t="s">
        <v>3</v>
      </c>
    </row>
    <row r="5" spans="1:46" ht="7.05" customHeight="1" x14ac:dyDescent="0.2">
      <c r="B5" s="16"/>
      <c r="L5" s="16"/>
    </row>
    <row r="6" spans="1:46" ht="12" customHeight="1" x14ac:dyDescent="0.2">
      <c r="B6" s="16"/>
      <c r="D6" s="548" t="s">
        <v>12</v>
      </c>
      <c r="F6" s="1254" t="s">
        <v>6176</v>
      </c>
      <c r="G6" s="1254"/>
      <c r="H6" s="1254"/>
      <c r="I6" s="1254"/>
      <c r="J6" s="1254"/>
      <c r="L6" s="16"/>
    </row>
    <row r="7" spans="1:46" ht="24" customHeight="1" x14ac:dyDescent="0.2">
      <c r="B7" s="16"/>
      <c r="D7" s="527"/>
      <c r="E7" s="531"/>
      <c r="F7" s="1254"/>
      <c r="G7" s="1254"/>
      <c r="H7" s="1254"/>
      <c r="I7" s="1254"/>
      <c r="J7" s="1254"/>
      <c r="L7" s="16"/>
    </row>
    <row r="8" spans="1:46" s="1" customFormat="1" ht="12" customHeight="1" x14ac:dyDescent="0.2">
      <c r="B8" s="24"/>
      <c r="D8" s="549" t="s">
        <v>186</v>
      </c>
      <c r="F8" s="532" t="s">
        <v>4630</v>
      </c>
      <c r="L8" s="24"/>
    </row>
    <row r="9" spans="1:46" s="1" customFormat="1" ht="37.049999999999997" customHeight="1" x14ac:dyDescent="0.2">
      <c r="B9" s="24"/>
      <c r="D9" s="521"/>
      <c r="E9" s="1251"/>
      <c r="F9" s="1252"/>
      <c r="G9" s="1252"/>
      <c r="H9" s="1252"/>
      <c r="L9" s="24"/>
    </row>
    <row r="10" spans="1:46" s="1" customFormat="1" x14ac:dyDescent="0.2">
      <c r="B10" s="24"/>
      <c r="D10" s="521"/>
      <c r="L10" s="24"/>
    </row>
    <row r="11" spans="1:46" s="1" customFormat="1" ht="12" customHeight="1" x14ac:dyDescent="0.2">
      <c r="B11" s="24"/>
      <c r="D11" s="528" t="s">
        <v>13</v>
      </c>
      <c r="F11" s="19" t="s">
        <v>1</v>
      </c>
      <c r="I11" s="528" t="s">
        <v>14</v>
      </c>
      <c r="J11" s="19" t="s">
        <v>1</v>
      </c>
      <c r="L11" s="24"/>
    </row>
    <row r="12" spans="1:46" s="1" customFormat="1" ht="12" customHeight="1" x14ac:dyDescent="0.2">
      <c r="B12" s="24"/>
      <c r="D12" s="528" t="s">
        <v>15</v>
      </c>
      <c r="F12" s="520" t="s">
        <v>6173</v>
      </c>
      <c r="I12" s="528" t="s">
        <v>17</v>
      </c>
      <c r="J12" s="39"/>
      <c r="L12" s="24"/>
    </row>
    <row r="13" spans="1:46" s="1" customFormat="1" ht="10.95" customHeight="1" x14ac:dyDescent="0.2">
      <c r="B13" s="24"/>
      <c r="D13" s="521"/>
      <c r="F13" s="521"/>
      <c r="I13" s="521"/>
      <c r="L13" s="24"/>
    </row>
    <row r="14" spans="1:46" s="1" customFormat="1" ht="12" customHeight="1" x14ac:dyDescent="0.2">
      <c r="B14" s="24"/>
      <c r="D14" s="528" t="s">
        <v>18</v>
      </c>
      <c r="F14" s="529" t="s">
        <v>6175</v>
      </c>
      <c r="I14" s="528" t="s">
        <v>19</v>
      </c>
      <c r="J14" s="19" t="str">
        <f>IF('Rekapitulácia stavby'!AN10="","",'Rekapitulácia stavby'!AN10)</f>
        <v/>
      </c>
      <c r="L14" s="24"/>
    </row>
    <row r="15" spans="1:46" s="1" customFormat="1" ht="18" customHeight="1" x14ac:dyDescent="0.2">
      <c r="B15" s="24"/>
      <c r="D15" s="521"/>
      <c r="E15" s="19" t="str">
        <f>IF('Rekapitulácia stavby'!E11="","",'Rekapitulácia stavby'!E11)</f>
        <v/>
      </c>
      <c r="F15" s="521"/>
      <c r="I15" s="528" t="s">
        <v>20</v>
      </c>
      <c r="J15" s="19" t="str">
        <f>IF('Rekapitulácia stavby'!AN11="","",'Rekapitulácia stavby'!AN11)</f>
        <v/>
      </c>
      <c r="L15" s="24"/>
    </row>
    <row r="16" spans="1:46" s="1" customFormat="1" ht="7.05" customHeight="1" x14ac:dyDescent="0.2">
      <c r="B16" s="24"/>
      <c r="D16" s="521"/>
      <c r="F16" s="521"/>
      <c r="I16" s="521"/>
      <c r="L16" s="24"/>
    </row>
    <row r="17" spans="2:12" s="1" customFormat="1" ht="12" customHeight="1" x14ac:dyDescent="0.2">
      <c r="B17" s="24"/>
      <c r="D17" s="528" t="s">
        <v>21</v>
      </c>
      <c r="F17" s="529" t="s">
        <v>5202</v>
      </c>
      <c r="I17" s="528" t="s">
        <v>19</v>
      </c>
      <c r="J17" s="19"/>
      <c r="L17" s="24"/>
    </row>
    <row r="18" spans="2:12" s="1" customFormat="1" ht="18" customHeight="1" x14ac:dyDescent="0.2">
      <c r="B18" s="24"/>
      <c r="D18" s="521"/>
      <c r="E18" s="1161"/>
      <c r="F18" s="1161"/>
      <c r="G18" s="1161"/>
      <c r="H18" s="1161"/>
      <c r="I18" s="528" t="s">
        <v>20</v>
      </c>
      <c r="J18" s="19" t="str">
        <f>'Rekapitulácia stavby'!AN14</f>
        <v/>
      </c>
      <c r="L18" s="24"/>
    </row>
    <row r="19" spans="2:12" s="1" customFormat="1" ht="7.05" customHeight="1" x14ac:dyDescent="0.2">
      <c r="B19" s="24"/>
      <c r="D19" s="521"/>
      <c r="I19" s="521"/>
      <c r="L19" s="24"/>
    </row>
    <row r="20" spans="2:12" s="1" customFormat="1" ht="12" customHeight="1" x14ac:dyDescent="0.2">
      <c r="B20" s="24"/>
      <c r="D20" s="528" t="s">
        <v>22</v>
      </c>
      <c r="I20" s="528" t="s">
        <v>19</v>
      </c>
      <c r="J20" s="19" t="str">
        <f>IF('Rekapitulácia stavby'!AN16="","",'Rekapitulácia stavby'!AN16)</f>
        <v/>
      </c>
      <c r="L20" s="24"/>
    </row>
    <row r="21" spans="2:12" s="1" customFormat="1" ht="18" customHeight="1" x14ac:dyDescent="0.2">
      <c r="B21" s="24"/>
      <c r="D21" s="521"/>
      <c r="E21" s="19" t="str">
        <f>IF('Rekapitulácia stavby'!E17="","",'Rekapitulácia stavby'!E17)</f>
        <v xml:space="preserve"> </v>
      </c>
      <c r="I21" s="528" t="s">
        <v>20</v>
      </c>
      <c r="J21" s="19" t="str">
        <f>IF('Rekapitulácia stavby'!AN17="","",'Rekapitulácia stavby'!AN17)</f>
        <v/>
      </c>
      <c r="L21" s="24"/>
    </row>
    <row r="22" spans="2:12" s="1" customFormat="1" ht="7.05" customHeight="1" x14ac:dyDescent="0.2">
      <c r="B22" s="24"/>
      <c r="D22" s="521"/>
      <c r="I22" s="521"/>
      <c r="L22" s="24"/>
    </row>
    <row r="23" spans="2:12" s="1" customFormat="1" ht="12" customHeight="1" x14ac:dyDescent="0.2">
      <c r="B23" s="24"/>
      <c r="D23" s="528" t="s">
        <v>24</v>
      </c>
      <c r="I23" s="528" t="s">
        <v>19</v>
      </c>
      <c r="J23" s="19" t="str">
        <f>IF('Rekapitulácia stavby'!AN19="","",'Rekapitulácia stavby'!AN19)</f>
        <v/>
      </c>
      <c r="L23" s="24"/>
    </row>
    <row r="24" spans="2:12" s="1" customFormat="1" ht="18" customHeight="1" x14ac:dyDescent="0.2">
      <c r="B24" s="24"/>
      <c r="D24" s="521"/>
      <c r="E24" s="19" t="str">
        <f>IF('Rekapitulácia stavby'!E20="","",'Rekapitulácia stavby'!E20)</f>
        <v xml:space="preserve"> </v>
      </c>
      <c r="I24" s="528" t="s">
        <v>20</v>
      </c>
      <c r="J24" s="19" t="str">
        <f>IF('Rekapitulácia stavby'!AN20="","",'Rekapitulácia stavby'!AN20)</f>
        <v/>
      </c>
      <c r="L24" s="24"/>
    </row>
    <row r="25" spans="2:12" s="1" customFormat="1" ht="7.05" customHeight="1" x14ac:dyDescent="0.2">
      <c r="B25" s="24"/>
      <c r="D25" s="521"/>
      <c r="L25" s="24"/>
    </row>
    <row r="26" spans="2:12" s="1" customFormat="1" ht="12" customHeight="1" x14ac:dyDescent="0.2">
      <c r="B26" s="24"/>
      <c r="D26" s="528" t="s">
        <v>25</v>
      </c>
      <c r="L26" s="24"/>
    </row>
    <row r="27" spans="2:12" s="7" customFormat="1" ht="16.5" customHeight="1" x14ac:dyDescent="0.2">
      <c r="B27" s="75"/>
      <c r="E27" s="1228" t="s">
        <v>1</v>
      </c>
      <c r="F27" s="1228"/>
      <c r="G27" s="1228"/>
      <c r="H27" s="1228"/>
      <c r="L27" s="75"/>
    </row>
    <row r="28" spans="2:12" s="1" customFormat="1" ht="7.05" customHeight="1" x14ac:dyDescent="0.2">
      <c r="B28" s="24"/>
      <c r="L28" s="24"/>
    </row>
    <row r="29" spans="2:12" s="1" customFormat="1" ht="7.05" customHeight="1" x14ac:dyDescent="0.2">
      <c r="B29" s="24"/>
      <c r="D29" s="40"/>
      <c r="E29" s="40"/>
      <c r="F29" s="40"/>
      <c r="G29" s="40"/>
      <c r="H29" s="40"/>
      <c r="I29" s="40"/>
      <c r="J29" s="40"/>
      <c r="K29" s="40"/>
      <c r="L29" s="24"/>
    </row>
    <row r="30" spans="2:12" s="1" customFormat="1" ht="25.2" customHeight="1" x14ac:dyDescent="0.2">
      <c r="B30" s="24"/>
      <c r="D30" s="76" t="s">
        <v>26</v>
      </c>
      <c r="J30" s="53">
        <f>ROUND(J117, 2)</f>
        <v>2500</v>
      </c>
      <c r="L30" s="24"/>
    </row>
    <row r="31" spans="2:12" s="1" customFormat="1" ht="7.05" customHeight="1" x14ac:dyDescent="0.2">
      <c r="B31" s="24"/>
      <c r="D31" s="40"/>
      <c r="E31" s="40"/>
      <c r="F31" s="40"/>
      <c r="G31" s="40"/>
      <c r="H31" s="40"/>
      <c r="I31" s="40"/>
      <c r="J31" s="40"/>
      <c r="K31" s="40"/>
      <c r="L31" s="24"/>
    </row>
    <row r="32" spans="2:12" s="1" customFormat="1" ht="14.55" customHeight="1" x14ac:dyDescent="0.2">
      <c r="B32" s="24"/>
      <c r="D32" s="521"/>
      <c r="E32" s="521"/>
      <c r="F32" s="534" t="s">
        <v>28</v>
      </c>
      <c r="G32" s="521"/>
      <c r="H32" s="521"/>
      <c r="I32" s="534" t="s">
        <v>27</v>
      </c>
      <c r="J32" s="534" t="s">
        <v>29</v>
      </c>
      <c r="L32" s="24"/>
    </row>
    <row r="33" spans="2:12" s="1" customFormat="1" ht="14.55" customHeight="1" x14ac:dyDescent="0.2">
      <c r="B33" s="24"/>
      <c r="D33" s="13" t="s">
        <v>30</v>
      </c>
      <c r="E33" s="528" t="s">
        <v>31</v>
      </c>
      <c r="F33" s="398">
        <f>ROUND((SUM(BE117:BE123)),  2)</f>
        <v>0</v>
      </c>
      <c r="G33" s="521"/>
      <c r="H33" s="521"/>
      <c r="I33" s="535">
        <v>0.2</v>
      </c>
      <c r="J33" s="398">
        <f>ROUND(((SUM(BE117:BE123))*I33),  2)</f>
        <v>0</v>
      </c>
      <c r="L33" s="24"/>
    </row>
    <row r="34" spans="2:12" s="1" customFormat="1" ht="14.55" customHeight="1" x14ac:dyDescent="0.2">
      <c r="B34" s="24"/>
      <c r="D34" s="521"/>
      <c r="E34" s="528" t="s">
        <v>32</v>
      </c>
      <c r="F34" s="398">
        <f>ROUND((SUM(BF117:BF123)),  2)</f>
        <v>2500</v>
      </c>
      <c r="G34" s="521"/>
      <c r="H34" s="521"/>
      <c r="I34" s="535">
        <v>0.2</v>
      </c>
      <c r="J34" s="398">
        <f>ROUND(((SUM(BF117:BF123))*I34),  2)</f>
        <v>500</v>
      </c>
      <c r="L34" s="24"/>
    </row>
    <row r="35" spans="2:12" s="1" customFormat="1" ht="14.55" hidden="1" customHeight="1" x14ac:dyDescent="0.2">
      <c r="B35" s="24"/>
      <c r="E35" s="21" t="s">
        <v>33</v>
      </c>
      <c r="F35" s="78">
        <f>ROUND((SUM(BG117:BG123)),  2)</f>
        <v>0</v>
      </c>
      <c r="I35" s="79">
        <v>0.2</v>
      </c>
      <c r="J35" s="78">
        <f>0</f>
        <v>0</v>
      </c>
      <c r="L35" s="24"/>
    </row>
    <row r="36" spans="2:12" s="1" customFormat="1" ht="14.55" hidden="1" customHeight="1" x14ac:dyDescent="0.2">
      <c r="B36" s="24"/>
      <c r="E36" s="21" t="s">
        <v>34</v>
      </c>
      <c r="F36" s="78">
        <f>ROUND((SUM(BH117:BH123)),  2)</f>
        <v>0</v>
      </c>
      <c r="I36" s="79">
        <v>0.2</v>
      </c>
      <c r="J36" s="78">
        <f>0</f>
        <v>0</v>
      </c>
      <c r="L36" s="24"/>
    </row>
    <row r="37" spans="2:12" s="1" customFormat="1" ht="14.55" hidden="1" customHeight="1" x14ac:dyDescent="0.2">
      <c r="B37" s="24"/>
      <c r="E37" s="21" t="s">
        <v>35</v>
      </c>
      <c r="F37" s="78">
        <f>ROUND((SUM(BI117:BI123)),  2)</f>
        <v>0</v>
      </c>
      <c r="I37" s="79">
        <v>0</v>
      </c>
      <c r="J37" s="78">
        <f>0</f>
        <v>0</v>
      </c>
      <c r="L37" s="24"/>
    </row>
    <row r="38" spans="2:12" s="1" customFormat="1" ht="7.05" customHeight="1" x14ac:dyDescent="0.2">
      <c r="B38" s="24"/>
      <c r="L38" s="24"/>
    </row>
    <row r="39" spans="2:12" s="1" customFormat="1" ht="25.2" customHeight="1" x14ac:dyDescent="0.2">
      <c r="B39" s="24"/>
      <c r="C39" s="80"/>
      <c r="D39" s="81" t="s">
        <v>36</v>
      </c>
      <c r="E39" s="44"/>
      <c r="F39" s="44"/>
      <c r="G39" s="82" t="s">
        <v>37</v>
      </c>
      <c r="H39" s="83" t="s">
        <v>38</v>
      </c>
      <c r="I39" s="44"/>
      <c r="J39" s="84">
        <f>SUM(J30:J37)</f>
        <v>3000</v>
      </c>
      <c r="K39" s="85"/>
      <c r="L39" s="24"/>
    </row>
    <row r="40" spans="2:12" s="1" customFormat="1" ht="14.55" customHeight="1" x14ac:dyDescent="0.2">
      <c r="B40" s="24"/>
      <c r="L40" s="24"/>
    </row>
    <row r="41" spans="2:12" ht="14.55" customHeight="1" x14ac:dyDescent="0.2">
      <c r="B41" s="16"/>
      <c r="L41" s="16"/>
    </row>
    <row r="42" spans="2:12" ht="14.55" customHeight="1" x14ac:dyDescent="0.2">
      <c r="B42" s="16"/>
      <c r="L42" s="16"/>
    </row>
    <row r="43" spans="2:12" ht="14.55" customHeight="1" x14ac:dyDescent="0.2">
      <c r="B43" s="16"/>
      <c r="L43" s="16"/>
    </row>
    <row r="44" spans="2:12" ht="14.55" customHeight="1" x14ac:dyDescent="0.2">
      <c r="B44" s="16"/>
      <c r="L44" s="16"/>
    </row>
    <row r="45" spans="2:12" ht="14.55" customHeight="1" x14ac:dyDescent="0.2">
      <c r="B45" s="16"/>
      <c r="L45" s="16"/>
    </row>
    <row r="46" spans="2:12" ht="14.55" customHeight="1" x14ac:dyDescent="0.2">
      <c r="B46" s="16"/>
      <c r="L46" s="16"/>
    </row>
    <row r="47" spans="2:12" ht="14.55" customHeight="1" x14ac:dyDescent="0.2">
      <c r="B47" s="16"/>
      <c r="L47" s="16"/>
    </row>
    <row r="48" spans="2:12" ht="14.55" customHeight="1" x14ac:dyDescent="0.2">
      <c r="B48" s="16"/>
      <c r="L48" s="16"/>
    </row>
    <row r="49" spans="2:12" ht="14.55" customHeight="1" x14ac:dyDescent="0.2">
      <c r="B49" s="16"/>
      <c r="D49" s="156"/>
      <c r="E49" s="156"/>
      <c r="F49" s="156"/>
      <c r="G49" s="156"/>
      <c r="H49" s="156"/>
      <c r="I49" s="156"/>
      <c r="J49" s="156"/>
      <c r="L49" s="16"/>
    </row>
    <row r="50" spans="2:12" s="1" customFormat="1" ht="14.55" customHeight="1" x14ac:dyDescent="0.2">
      <c r="B50" s="24"/>
      <c r="D50" s="530"/>
      <c r="E50" s="523"/>
      <c r="F50" s="523"/>
      <c r="G50" s="530"/>
      <c r="H50" s="523"/>
      <c r="I50" s="523"/>
      <c r="J50" s="523"/>
      <c r="K50" s="32"/>
      <c r="L50" s="24"/>
    </row>
    <row r="51" spans="2:12" x14ac:dyDescent="0.2">
      <c r="B51" s="16"/>
      <c r="D51" s="156"/>
      <c r="E51" s="156"/>
      <c r="F51" s="156"/>
      <c r="G51" s="156"/>
      <c r="H51" s="156"/>
      <c r="I51" s="156"/>
      <c r="J51" s="156"/>
      <c r="L51" s="16"/>
    </row>
    <row r="52" spans="2:12" x14ac:dyDescent="0.2">
      <c r="B52" s="16"/>
      <c r="D52" s="156"/>
      <c r="E52" s="156"/>
      <c r="F52" s="156"/>
      <c r="G52" s="156"/>
      <c r="H52" s="156"/>
      <c r="I52" s="156"/>
      <c r="J52" s="156"/>
      <c r="L52" s="16"/>
    </row>
    <row r="53" spans="2:12" x14ac:dyDescent="0.2">
      <c r="B53" s="16"/>
      <c r="D53" s="156"/>
      <c r="E53" s="156"/>
      <c r="F53" s="156"/>
      <c r="G53" s="156"/>
      <c r="H53" s="156"/>
      <c r="I53" s="156"/>
      <c r="J53" s="156"/>
      <c r="L53" s="16"/>
    </row>
    <row r="54" spans="2:12" x14ac:dyDescent="0.2">
      <c r="B54" s="16"/>
      <c r="D54" s="156"/>
      <c r="E54" s="156"/>
      <c r="F54" s="156"/>
      <c r="G54" s="156"/>
      <c r="H54" s="156"/>
      <c r="I54" s="156"/>
      <c r="J54" s="156"/>
      <c r="L54" s="16"/>
    </row>
    <row r="55" spans="2:12" x14ac:dyDescent="0.2">
      <c r="B55" s="16"/>
      <c r="D55" s="156"/>
      <c r="E55" s="156"/>
      <c r="F55" s="156"/>
      <c r="G55" s="156"/>
      <c r="H55" s="156"/>
      <c r="I55" s="156"/>
      <c r="J55" s="156"/>
      <c r="L55" s="16"/>
    </row>
    <row r="56" spans="2:12" x14ac:dyDescent="0.2">
      <c r="B56" s="16"/>
      <c r="D56" s="156"/>
      <c r="E56" s="156"/>
      <c r="F56" s="156"/>
      <c r="G56" s="156"/>
      <c r="H56" s="156"/>
      <c r="I56" s="156"/>
      <c r="J56" s="156"/>
      <c r="L56" s="16"/>
    </row>
    <row r="57" spans="2:12" x14ac:dyDescent="0.2">
      <c r="B57" s="16"/>
      <c r="D57" s="156"/>
      <c r="E57" s="156"/>
      <c r="F57" s="156"/>
      <c r="G57" s="156"/>
      <c r="H57" s="156"/>
      <c r="I57" s="156"/>
      <c r="J57" s="156"/>
      <c r="L57" s="16"/>
    </row>
    <row r="58" spans="2:12" x14ac:dyDescent="0.2">
      <c r="B58" s="16"/>
      <c r="D58" s="156"/>
      <c r="E58" s="156"/>
      <c r="F58" s="156"/>
      <c r="G58" s="156"/>
      <c r="H58" s="156"/>
      <c r="I58" s="156"/>
      <c r="J58" s="156"/>
      <c r="L58" s="16"/>
    </row>
    <row r="59" spans="2:12" x14ac:dyDescent="0.2">
      <c r="B59" s="16"/>
      <c r="D59" s="156"/>
      <c r="E59" s="156"/>
      <c r="F59" s="156"/>
      <c r="G59" s="156"/>
      <c r="H59" s="156"/>
      <c r="I59" s="156"/>
      <c r="J59" s="156"/>
      <c r="L59" s="16"/>
    </row>
    <row r="60" spans="2:12" x14ac:dyDescent="0.2">
      <c r="B60" s="16"/>
      <c r="D60" s="156"/>
      <c r="E60" s="156"/>
      <c r="F60" s="156"/>
      <c r="G60" s="156"/>
      <c r="H60" s="156"/>
      <c r="I60" s="156"/>
      <c r="J60" s="156"/>
      <c r="L60" s="16"/>
    </row>
    <row r="61" spans="2:12" s="1" customFormat="1" ht="13.2" x14ac:dyDescent="0.2">
      <c r="B61" s="24"/>
      <c r="D61" s="522"/>
      <c r="E61" s="523"/>
      <c r="F61" s="536"/>
      <c r="G61" s="522"/>
      <c r="H61" s="523"/>
      <c r="I61" s="523"/>
      <c r="J61" s="169"/>
      <c r="K61" s="26"/>
      <c r="L61" s="24"/>
    </row>
    <row r="62" spans="2:12" x14ac:dyDescent="0.2">
      <c r="B62" s="16"/>
      <c r="D62" s="156"/>
      <c r="E62" s="156"/>
      <c r="F62" s="156"/>
      <c r="G62" s="156"/>
      <c r="H62" s="156"/>
      <c r="I62" s="156"/>
      <c r="J62" s="156"/>
      <c r="L62" s="16"/>
    </row>
    <row r="63" spans="2:12" x14ac:dyDescent="0.2">
      <c r="B63" s="16"/>
      <c r="D63" s="156"/>
      <c r="E63" s="156"/>
      <c r="F63" s="156"/>
      <c r="G63" s="156"/>
      <c r="H63" s="156"/>
      <c r="I63" s="156"/>
      <c r="J63" s="156"/>
      <c r="L63" s="16"/>
    </row>
    <row r="64" spans="2:12" x14ac:dyDescent="0.2">
      <c r="B64" s="16"/>
      <c r="D64" s="156"/>
      <c r="E64" s="156"/>
      <c r="F64" s="156"/>
      <c r="G64" s="156"/>
      <c r="H64" s="156"/>
      <c r="I64" s="156"/>
      <c r="J64" s="156"/>
      <c r="L64" s="16"/>
    </row>
    <row r="65" spans="2:12" s="1" customFormat="1" ht="13.2" x14ac:dyDescent="0.2">
      <c r="B65" s="24"/>
      <c r="D65" s="530"/>
      <c r="E65" s="523"/>
      <c r="F65" s="523"/>
      <c r="G65" s="530"/>
      <c r="H65" s="523"/>
      <c r="I65" s="523"/>
      <c r="J65" s="523"/>
      <c r="K65" s="32"/>
      <c r="L65" s="24"/>
    </row>
    <row r="66" spans="2:12" x14ac:dyDescent="0.2">
      <c r="B66" s="16"/>
      <c r="D66" s="156"/>
      <c r="E66" s="156"/>
      <c r="F66" s="156"/>
      <c r="G66" s="156"/>
      <c r="H66" s="156"/>
      <c r="I66" s="156"/>
      <c r="J66" s="156"/>
      <c r="L66" s="16"/>
    </row>
    <row r="67" spans="2:12" x14ac:dyDescent="0.2">
      <c r="B67" s="16"/>
      <c r="D67" s="156"/>
      <c r="E67" s="156"/>
      <c r="F67" s="156"/>
      <c r="G67" s="156"/>
      <c r="H67" s="156"/>
      <c r="I67" s="156"/>
      <c r="J67" s="156"/>
      <c r="L67" s="16"/>
    </row>
    <row r="68" spans="2:12" x14ac:dyDescent="0.2">
      <c r="B68" s="16"/>
      <c r="D68" s="156"/>
      <c r="E68" s="156"/>
      <c r="F68" s="156"/>
      <c r="G68" s="156"/>
      <c r="H68" s="156"/>
      <c r="I68" s="156"/>
      <c r="J68" s="156"/>
      <c r="L68" s="16"/>
    </row>
    <row r="69" spans="2:12" x14ac:dyDescent="0.2">
      <c r="B69" s="16"/>
      <c r="D69" s="156"/>
      <c r="E69" s="156"/>
      <c r="F69" s="156"/>
      <c r="G69" s="156"/>
      <c r="H69" s="156"/>
      <c r="I69" s="156"/>
      <c r="J69" s="156"/>
      <c r="L69" s="16"/>
    </row>
    <row r="70" spans="2:12" x14ac:dyDescent="0.2">
      <c r="B70" s="16"/>
      <c r="D70" s="156"/>
      <c r="E70" s="156"/>
      <c r="F70" s="156"/>
      <c r="G70" s="156"/>
      <c r="H70" s="156"/>
      <c r="I70" s="156"/>
      <c r="J70" s="156"/>
      <c r="L70" s="16"/>
    </row>
    <row r="71" spans="2:12" x14ac:dyDescent="0.2">
      <c r="B71" s="16"/>
      <c r="D71" s="156"/>
      <c r="E71" s="156"/>
      <c r="F71" s="156"/>
      <c r="G71" s="156"/>
      <c r="H71" s="156"/>
      <c r="I71" s="156"/>
      <c r="J71" s="156"/>
      <c r="L71" s="16"/>
    </row>
    <row r="72" spans="2:12" x14ac:dyDescent="0.2">
      <c r="B72" s="16"/>
      <c r="D72" s="156"/>
      <c r="E72" s="156"/>
      <c r="F72" s="156"/>
      <c r="G72" s="156"/>
      <c r="H72" s="156"/>
      <c r="I72" s="156"/>
      <c r="J72" s="156"/>
      <c r="L72" s="16"/>
    </row>
    <row r="73" spans="2:12" x14ac:dyDescent="0.2">
      <c r="B73" s="16"/>
      <c r="D73" s="156"/>
      <c r="E73" s="156"/>
      <c r="F73" s="156"/>
      <c r="G73" s="156"/>
      <c r="H73" s="156"/>
      <c r="I73" s="156"/>
      <c r="J73" s="156"/>
      <c r="L73" s="16"/>
    </row>
    <row r="74" spans="2:12" x14ac:dyDescent="0.2">
      <c r="B74" s="16"/>
      <c r="D74" s="156"/>
      <c r="E74" s="156"/>
      <c r="F74" s="156"/>
      <c r="G74" s="156"/>
      <c r="H74" s="156"/>
      <c r="I74" s="156"/>
      <c r="J74" s="156"/>
      <c r="L74" s="16"/>
    </row>
    <row r="75" spans="2:12" x14ac:dyDescent="0.2">
      <c r="B75" s="16"/>
      <c r="D75" s="156"/>
      <c r="E75" s="156"/>
      <c r="F75" s="156"/>
      <c r="G75" s="156"/>
      <c r="H75" s="156"/>
      <c r="I75" s="156"/>
      <c r="J75" s="156"/>
      <c r="L75" s="16"/>
    </row>
    <row r="76" spans="2:12" s="1" customFormat="1" ht="13.2" x14ac:dyDescent="0.2">
      <c r="B76" s="24"/>
      <c r="D76" s="522"/>
      <c r="E76" s="523"/>
      <c r="F76" s="536"/>
      <c r="G76" s="522"/>
      <c r="H76" s="523"/>
      <c r="I76" s="523"/>
      <c r="J76" s="169"/>
      <c r="K76" s="26"/>
      <c r="L76" s="24"/>
    </row>
    <row r="77" spans="2:12" s="1" customFormat="1" ht="14.55" customHeight="1" x14ac:dyDescent="0.2">
      <c r="B77" s="33"/>
      <c r="C77" s="34"/>
      <c r="D77" s="34"/>
      <c r="E77" s="34"/>
      <c r="F77" s="34"/>
      <c r="G77" s="34"/>
      <c r="H77" s="34"/>
      <c r="I77" s="34"/>
      <c r="J77" s="34"/>
      <c r="K77" s="34"/>
      <c r="L77" s="24"/>
    </row>
    <row r="81" spans="2:47" s="1" customFormat="1" ht="7.05" customHeight="1" x14ac:dyDescent="0.2">
      <c r="B81" s="35"/>
      <c r="C81" s="36"/>
      <c r="D81" s="36"/>
      <c r="E81" s="36"/>
      <c r="F81" s="36"/>
      <c r="G81" s="36"/>
      <c r="H81" s="36"/>
      <c r="I81" s="36"/>
      <c r="J81" s="36"/>
      <c r="K81" s="36"/>
      <c r="L81" s="24"/>
    </row>
    <row r="82" spans="2:47" s="1" customFormat="1" ht="25.05" customHeight="1" x14ac:dyDescent="0.2">
      <c r="B82" s="24"/>
      <c r="C82" s="1165" t="s">
        <v>188</v>
      </c>
      <c r="D82" s="1165"/>
      <c r="E82" s="1165"/>
      <c r="F82" s="1165"/>
      <c r="G82" s="1165"/>
      <c r="H82" s="1165"/>
      <c r="I82" s="1165"/>
      <c r="J82" s="1165"/>
      <c r="L82" s="24"/>
    </row>
    <row r="83" spans="2:47" s="1" customFormat="1" ht="7.05" customHeight="1" x14ac:dyDescent="0.2">
      <c r="B83" s="24"/>
      <c r="L83" s="24"/>
    </row>
    <row r="84" spans="2:47" s="1" customFormat="1" ht="12" customHeight="1" x14ac:dyDescent="0.2">
      <c r="B84" s="24"/>
      <c r="C84" s="528" t="s">
        <v>12</v>
      </c>
      <c r="E84" s="1242" t="s">
        <v>6177</v>
      </c>
      <c r="F84" s="1242"/>
      <c r="G84" s="1242"/>
      <c r="H84" s="1242"/>
      <c r="I84" s="1242"/>
      <c r="J84" s="1242"/>
      <c r="L84" s="24"/>
    </row>
    <row r="85" spans="2:47" s="1" customFormat="1" ht="22.95" customHeight="1" x14ac:dyDescent="0.2">
      <c r="B85" s="24"/>
      <c r="C85" s="521"/>
      <c r="E85" s="1243"/>
      <c r="F85" s="1244"/>
      <c r="G85" s="1244"/>
      <c r="H85" s="1244"/>
      <c r="L85" s="24"/>
    </row>
    <row r="86" spans="2:47" s="1" customFormat="1" ht="12" customHeight="1" x14ac:dyDescent="0.2">
      <c r="B86" s="24"/>
      <c r="C86" s="528" t="s">
        <v>186</v>
      </c>
      <c r="F86" s="532" t="s">
        <v>4630</v>
      </c>
      <c r="L86" s="24"/>
    </row>
    <row r="87" spans="2:47" s="1" customFormat="1" ht="16.5" customHeight="1" x14ac:dyDescent="0.2">
      <c r="B87" s="24"/>
      <c r="C87" s="521"/>
      <c r="E87" s="1251"/>
      <c r="F87" s="1252"/>
      <c r="G87" s="1252"/>
      <c r="H87" s="1252"/>
      <c r="L87" s="24"/>
    </row>
    <row r="88" spans="2:47" s="1" customFormat="1" ht="7.05" customHeight="1" x14ac:dyDescent="0.2">
      <c r="B88" s="24"/>
      <c r="C88" s="521"/>
      <c r="L88" s="24"/>
    </row>
    <row r="89" spans="2:47" s="1" customFormat="1" ht="12" customHeight="1" x14ac:dyDescent="0.2">
      <c r="B89" s="24"/>
      <c r="C89" s="528" t="s">
        <v>15</v>
      </c>
      <c r="F89" s="19" t="str">
        <f>F12</f>
        <v>Kuzmányho nábrežie 28, 960 01 Zvolen</v>
      </c>
      <c r="I89" s="528" t="s">
        <v>17</v>
      </c>
      <c r="J89" s="39" t="str">
        <f>IF(J12="","",J12)</f>
        <v/>
      </c>
      <c r="L89" s="24"/>
    </row>
    <row r="90" spans="2:47" s="1" customFormat="1" ht="7.05" customHeight="1" x14ac:dyDescent="0.2">
      <c r="B90" s="24"/>
      <c r="C90" s="521"/>
      <c r="I90" s="521"/>
      <c r="L90" s="24"/>
    </row>
    <row r="91" spans="2:47" s="1" customFormat="1" ht="15.3" customHeight="1" x14ac:dyDescent="0.2">
      <c r="B91" s="24"/>
      <c r="C91" s="528" t="s">
        <v>18</v>
      </c>
      <c r="F91" s="529" t="s">
        <v>6175</v>
      </c>
      <c r="I91" s="528" t="s">
        <v>22</v>
      </c>
      <c r="J91" s="22" t="str">
        <f>E21</f>
        <v xml:space="preserve"> </v>
      </c>
      <c r="L91" s="24"/>
    </row>
    <row r="92" spans="2:47" s="1" customFormat="1" ht="15.3" customHeight="1" x14ac:dyDescent="0.2">
      <c r="B92" s="24"/>
      <c r="C92" s="528" t="s">
        <v>21</v>
      </c>
      <c r="F92" s="529" t="s">
        <v>5202</v>
      </c>
      <c r="I92" s="528" t="s">
        <v>24</v>
      </c>
      <c r="J92" s="22" t="str">
        <f>E24</f>
        <v xml:space="preserve"> </v>
      </c>
      <c r="L92" s="24"/>
    </row>
    <row r="93" spans="2:47" s="1" customFormat="1" ht="10.199999999999999" customHeight="1" x14ac:dyDescent="0.2">
      <c r="B93" s="24"/>
      <c r="L93" s="24"/>
    </row>
    <row r="94" spans="2:47" s="1" customFormat="1" ht="29.25" customHeight="1" x14ac:dyDescent="0.2">
      <c r="B94" s="24"/>
      <c r="C94" s="86" t="s">
        <v>189</v>
      </c>
      <c r="D94" s="80"/>
      <c r="E94" s="80"/>
      <c r="F94" s="80"/>
      <c r="G94" s="80"/>
      <c r="H94" s="80"/>
      <c r="I94" s="80"/>
      <c r="J94" s="87" t="s">
        <v>190</v>
      </c>
      <c r="K94" s="80"/>
      <c r="L94" s="24"/>
    </row>
    <row r="95" spans="2:47" s="1" customFormat="1" ht="10.199999999999999" customHeight="1" x14ac:dyDescent="0.2">
      <c r="B95" s="24"/>
      <c r="L95" s="24"/>
    </row>
    <row r="96" spans="2:47" s="1" customFormat="1" ht="22.95" customHeight="1" x14ac:dyDescent="0.2">
      <c r="B96" s="24"/>
      <c r="C96" s="88" t="s">
        <v>191</v>
      </c>
      <c r="J96" s="53">
        <f>J117</f>
        <v>2500</v>
      </c>
      <c r="L96" s="24"/>
      <c r="AU96" s="13" t="s">
        <v>192</v>
      </c>
    </row>
    <row r="97" spans="2:12" s="8" customFormat="1" ht="25.05" customHeight="1" x14ac:dyDescent="0.2">
      <c r="B97" s="89"/>
      <c r="D97" s="90" t="s">
        <v>1189</v>
      </c>
      <c r="E97" s="91"/>
      <c r="F97" s="91"/>
      <c r="G97" s="91"/>
      <c r="H97" s="91"/>
      <c r="I97" s="91"/>
      <c r="J97" s="92">
        <f>J118</f>
        <v>2500</v>
      </c>
      <c r="L97" s="89"/>
    </row>
    <row r="98" spans="2:12" s="1" customFormat="1" ht="21.75" customHeight="1" x14ac:dyDescent="0.2">
      <c r="B98" s="24"/>
      <c r="L98" s="24"/>
    </row>
    <row r="99" spans="2:12" s="1" customFormat="1" ht="7.05" customHeight="1" x14ac:dyDescent="0.2">
      <c r="B99" s="33"/>
      <c r="C99" s="34"/>
      <c r="D99" s="34"/>
      <c r="E99" s="34"/>
      <c r="F99" s="34"/>
      <c r="G99" s="34"/>
      <c r="H99" s="34"/>
      <c r="I99" s="34"/>
      <c r="J99" s="34"/>
      <c r="K99" s="34"/>
      <c r="L99" s="24"/>
    </row>
    <row r="103" spans="2:12" s="1" customFormat="1" ht="7.05" customHeight="1" x14ac:dyDescent="0.2">
      <c r="B103" s="35"/>
      <c r="C103" s="36"/>
      <c r="D103" s="36"/>
      <c r="E103" s="36"/>
      <c r="F103" s="36"/>
      <c r="G103" s="36"/>
      <c r="H103" s="36"/>
      <c r="I103" s="36"/>
      <c r="J103" s="36"/>
      <c r="K103" s="36"/>
      <c r="L103" s="24"/>
    </row>
    <row r="104" spans="2:12" s="1" customFormat="1" ht="25.05" customHeight="1" x14ac:dyDescent="0.2">
      <c r="B104" s="24"/>
      <c r="C104" s="1165" t="s">
        <v>214</v>
      </c>
      <c r="D104" s="1165"/>
      <c r="E104" s="1165"/>
      <c r="F104" s="1165"/>
      <c r="G104" s="1165"/>
      <c r="H104" s="1165"/>
      <c r="I104" s="1165"/>
      <c r="J104" s="1165"/>
      <c r="L104" s="24"/>
    </row>
    <row r="105" spans="2:12" s="1" customFormat="1" ht="7.05" customHeight="1" x14ac:dyDescent="0.2">
      <c r="B105" s="24"/>
      <c r="L105" s="24"/>
    </row>
    <row r="106" spans="2:12" s="1" customFormat="1" ht="12" customHeight="1" x14ac:dyDescent="0.2">
      <c r="B106" s="24"/>
      <c r="C106" s="528" t="s">
        <v>12</v>
      </c>
      <c r="E106" s="1242" t="s">
        <v>6177</v>
      </c>
      <c r="F106" s="1242"/>
      <c r="G106" s="1242"/>
      <c r="H106" s="1242"/>
      <c r="I106" s="1242"/>
      <c r="J106" s="1242"/>
      <c r="L106" s="24"/>
    </row>
    <row r="107" spans="2:12" s="1" customFormat="1" ht="22.95" customHeight="1" x14ac:dyDescent="0.2">
      <c r="B107" s="24"/>
      <c r="C107" s="521"/>
      <c r="E107" s="1243"/>
      <c r="F107" s="1244"/>
      <c r="G107" s="1244"/>
      <c r="H107" s="1244"/>
      <c r="L107" s="24"/>
    </row>
    <row r="108" spans="2:12" s="1" customFormat="1" ht="12" customHeight="1" x14ac:dyDescent="0.2">
      <c r="B108" s="24"/>
      <c r="C108" s="528" t="s">
        <v>186</v>
      </c>
      <c r="F108" s="532" t="s">
        <v>4630</v>
      </c>
      <c r="L108" s="24"/>
    </row>
    <row r="109" spans="2:12" s="1" customFormat="1" ht="16.5" customHeight="1" x14ac:dyDescent="0.2">
      <c r="B109" s="24"/>
      <c r="C109" s="521"/>
      <c r="E109" s="1251"/>
      <c r="F109" s="1252"/>
      <c r="G109" s="1252"/>
      <c r="H109" s="1252"/>
      <c r="L109" s="24"/>
    </row>
    <row r="110" spans="2:12" s="1" customFormat="1" ht="7.05" customHeight="1" x14ac:dyDescent="0.2">
      <c r="B110" s="24"/>
      <c r="C110" s="521"/>
      <c r="L110" s="24"/>
    </row>
    <row r="111" spans="2:12" s="1" customFormat="1" ht="12" customHeight="1" x14ac:dyDescent="0.2">
      <c r="B111" s="24"/>
      <c r="C111" s="528" t="s">
        <v>15</v>
      </c>
      <c r="F111" s="19" t="str">
        <f>F12</f>
        <v>Kuzmányho nábrežie 28, 960 01 Zvolen</v>
      </c>
      <c r="I111" s="528" t="s">
        <v>17</v>
      </c>
      <c r="J111" s="39" t="str">
        <f>IF(J12="","",J12)</f>
        <v/>
      </c>
      <c r="L111" s="24"/>
    </row>
    <row r="112" spans="2:12" s="1" customFormat="1" ht="7.05" customHeight="1" x14ac:dyDescent="0.2">
      <c r="B112" s="24"/>
      <c r="C112" s="521"/>
      <c r="I112" s="521"/>
      <c r="L112" s="24"/>
    </row>
    <row r="113" spans="2:65" s="1" customFormat="1" ht="15.3" customHeight="1" x14ac:dyDescent="0.2">
      <c r="B113" s="24"/>
      <c r="C113" s="528" t="s">
        <v>18</v>
      </c>
      <c r="F113" s="529" t="s">
        <v>6175</v>
      </c>
      <c r="I113" s="528" t="s">
        <v>22</v>
      </c>
      <c r="J113" s="22" t="str">
        <f>E21</f>
        <v xml:space="preserve"> </v>
      </c>
      <c r="L113" s="24"/>
    </row>
    <row r="114" spans="2:65" s="1" customFormat="1" ht="15.3" customHeight="1" x14ac:dyDescent="0.2">
      <c r="B114" s="24"/>
      <c r="C114" s="528" t="s">
        <v>21</v>
      </c>
      <c r="F114" s="529" t="s">
        <v>5202</v>
      </c>
      <c r="I114" s="528" t="s">
        <v>24</v>
      </c>
      <c r="J114" s="22" t="str">
        <f>E24</f>
        <v xml:space="preserve"> </v>
      </c>
      <c r="L114" s="24"/>
    </row>
    <row r="115" spans="2:65" s="1" customFormat="1" ht="10.199999999999999" customHeight="1" x14ac:dyDescent="0.2">
      <c r="B115" s="24"/>
      <c r="L115" s="24"/>
    </row>
    <row r="116" spans="2:65" s="10" customFormat="1" ht="29.25" customHeight="1" x14ac:dyDescent="0.2">
      <c r="B116" s="97"/>
      <c r="C116" s="98" t="s">
        <v>215</v>
      </c>
      <c r="D116" s="99" t="s">
        <v>43</v>
      </c>
      <c r="E116" s="99" t="s">
        <v>41</v>
      </c>
      <c r="F116" s="99" t="s">
        <v>42</v>
      </c>
      <c r="G116" s="99" t="s">
        <v>216</v>
      </c>
      <c r="H116" s="99" t="s">
        <v>217</v>
      </c>
      <c r="I116" s="99" t="s">
        <v>218</v>
      </c>
      <c r="J116" s="100" t="s">
        <v>190</v>
      </c>
      <c r="K116" s="101" t="s">
        <v>219</v>
      </c>
      <c r="L116" s="97"/>
      <c r="M116" s="46" t="s">
        <v>1</v>
      </c>
      <c r="N116" s="47" t="s">
        <v>30</v>
      </c>
      <c r="O116" s="47" t="s">
        <v>220</v>
      </c>
      <c r="P116" s="47" t="s">
        <v>221</v>
      </c>
      <c r="Q116" s="47" t="s">
        <v>222</v>
      </c>
      <c r="R116" s="47" t="s">
        <v>223</v>
      </c>
      <c r="S116" s="47" t="s">
        <v>224</v>
      </c>
      <c r="T116" s="48" t="s">
        <v>225</v>
      </c>
    </row>
    <row r="117" spans="2:65" s="1" customFormat="1" ht="22.95" customHeight="1" x14ac:dyDescent="0.3">
      <c r="B117" s="24"/>
      <c r="C117" s="51" t="s">
        <v>191</v>
      </c>
      <c r="J117" s="102">
        <f>BK117</f>
        <v>2500</v>
      </c>
      <c r="L117" s="24"/>
      <c r="M117" s="49"/>
      <c r="N117" s="40"/>
      <c r="O117" s="40"/>
      <c r="P117" s="103">
        <f>P118</f>
        <v>0</v>
      </c>
      <c r="Q117" s="40"/>
      <c r="R117" s="103">
        <f>R118</f>
        <v>0</v>
      </c>
      <c r="S117" s="40"/>
      <c r="T117" s="104">
        <f>T118</f>
        <v>0</v>
      </c>
      <c r="AT117" s="13" t="s">
        <v>57</v>
      </c>
      <c r="AU117" s="13" t="s">
        <v>192</v>
      </c>
      <c r="BK117" s="105">
        <f>BK118</f>
        <v>2500</v>
      </c>
    </row>
    <row r="118" spans="2:65" s="11" customFormat="1" ht="25.95" customHeight="1" x14ac:dyDescent="0.25">
      <c r="B118" s="106"/>
      <c r="D118" s="107" t="s">
        <v>57</v>
      </c>
      <c r="E118" s="108" t="s">
        <v>1292</v>
      </c>
      <c r="F118" s="108" t="s">
        <v>1293</v>
      </c>
      <c r="J118" s="109">
        <f>BK118</f>
        <v>2500</v>
      </c>
      <c r="L118" s="106"/>
      <c r="M118" s="110"/>
      <c r="N118" s="111"/>
      <c r="O118" s="111"/>
      <c r="P118" s="112">
        <f>SUM(P119:P123)</f>
        <v>0</v>
      </c>
      <c r="Q118" s="111"/>
      <c r="R118" s="112">
        <f>SUM(R119:R123)</f>
        <v>0</v>
      </c>
      <c r="S118" s="111"/>
      <c r="T118" s="113">
        <f>SUM(T119:T123)</f>
        <v>0</v>
      </c>
      <c r="AR118" s="107" t="s">
        <v>235</v>
      </c>
      <c r="AT118" s="114" t="s">
        <v>57</v>
      </c>
      <c r="AU118" s="114" t="s">
        <v>58</v>
      </c>
      <c r="AY118" s="107" t="s">
        <v>228</v>
      </c>
      <c r="BK118" s="115">
        <f>SUM(BK119:BK123)</f>
        <v>2500</v>
      </c>
    </row>
    <row r="119" spans="2:65" s="1" customFormat="1" ht="60" customHeight="1" x14ac:dyDescent="0.2">
      <c r="B119" s="118"/>
      <c r="C119" s="119" t="s">
        <v>63</v>
      </c>
      <c r="D119" s="119" t="s">
        <v>231</v>
      </c>
      <c r="E119" s="120" t="s">
        <v>63</v>
      </c>
      <c r="F119" s="121" t="s">
        <v>2548</v>
      </c>
      <c r="G119" s="122" t="s">
        <v>1172</v>
      </c>
      <c r="H119" s="123">
        <v>1</v>
      </c>
      <c r="I119" s="124">
        <v>500</v>
      </c>
      <c r="J119" s="124">
        <f>ROUND(I119*H119,2)</f>
        <v>500</v>
      </c>
      <c r="K119" s="121" t="s">
        <v>1</v>
      </c>
      <c r="L119" s="24"/>
      <c r="M119" s="125" t="s">
        <v>1</v>
      </c>
      <c r="N119" s="126" t="s">
        <v>32</v>
      </c>
      <c r="O119" s="127">
        <v>0</v>
      </c>
      <c r="P119" s="127">
        <f>O119*H119</f>
        <v>0</v>
      </c>
      <c r="Q119" s="127">
        <v>0</v>
      </c>
      <c r="R119" s="127">
        <f>Q119*H119</f>
        <v>0</v>
      </c>
      <c r="S119" s="127">
        <v>0</v>
      </c>
      <c r="T119" s="128">
        <f>S119*H119</f>
        <v>0</v>
      </c>
      <c r="AR119" s="129" t="s">
        <v>1173</v>
      </c>
      <c r="AT119" s="129" t="s">
        <v>231</v>
      </c>
      <c r="AU119" s="129" t="s">
        <v>63</v>
      </c>
      <c r="AY119" s="13" t="s">
        <v>228</v>
      </c>
      <c r="BE119" s="130">
        <f>IF(N119="základná",J119,0)</f>
        <v>0</v>
      </c>
      <c r="BF119" s="130">
        <f>IF(N119="znížená",J119,0)</f>
        <v>500</v>
      </c>
      <c r="BG119" s="130">
        <f>IF(N119="zákl. prenesená",J119,0)</f>
        <v>0</v>
      </c>
      <c r="BH119" s="130">
        <f>IF(N119="zníž. prenesená",J119,0)</f>
        <v>0</v>
      </c>
      <c r="BI119" s="130">
        <f>IF(N119="nulová",J119,0)</f>
        <v>0</v>
      </c>
      <c r="BJ119" s="13" t="s">
        <v>76</v>
      </c>
      <c r="BK119" s="130">
        <f>ROUND(I119*H119,2)</f>
        <v>500</v>
      </c>
      <c r="BL119" s="13" t="s">
        <v>1173</v>
      </c>
      <c r="BM119" s="129" t="s">
        <v>2549</v>
      </c>
    </row>
    <row r="120" spans="2:65" s="1" customFormat="1" ht="36" customHeight="1" x14ac:dyDescent="0.2">
      <c r="B120" s="118"/>
      <c r="C120" s="119" t="s">
        <v>76</v>
      </c>
      <c r="D120" s="119" t="s">
        <v>231</v>
      </c>
      <c r="E120" s="120" t="s">
        <v>76</v>
      </c>
      <c r="F120" s="121" t="s">
        <v>2550</v>
      </c>
      <c r="G120" s="122" t="s">
        <v>1172</v>
      </c>
      <c r="H120" s="123">
        <v>1</v>
      </c>
      <c r="I120" s="124">
        <v>500</v>
      </c>
      <c r="J120" s="124">
        <f>ROUND(I120*H120,2)</f>
        <v>500</v>
      </c>
      <c r="K120" s="121" t="s">
        <v>1</v>
      </c>
      <c r="L120" s="24"/>
      <c r="M120" s="125" t="s">
        <v>1</v>
      </c>
      <c r="N120" s="126" t="s">
        <v>32</v>
      </c>
      <c r="O120" s="127">
        <v>0</v>
      </c>
      <c r="P120" s="127">
        <f>O120*H120</f>
        <v>0</v>
      </c>
      <c r="Q120" s="127">
        <v>0</v>
      </c>
      <c r="R120" s="127">
        <f>Q120*H120</f>
        <v>0</v>
      </c>
      <c r="S120" s="127">
        <v>0</v>
      </c>
      <c r="T120" s="128">
        <f>S120*H120</f>
        <v>0</v>
      </c>
      <c r="AR120" s="129" t="s">
        <v>1173</v>
      </c>
      <c r="AT120" s="129" t="s">
        <v>231</v>
      </c>
      <c r="AU120" s="129" t="s">
        <v>63</v>
      </c>
      <c r="AY120" s="13" t="s">
        <v>228</v>
      </c>
      <c r="BE120" s="130">
        <f>IF(N120="základná",J120,0)</f>
        <v>0</v>
      </c>
      <c r="BF120" s="130">
        <f>IF(N120="znížená",J120,0)</f>
        <v>500</v>
      </c>
      <c r="BG120" s="130">
        <f>IF(N120="zákl. prenesená",J120,0)</f>
        <v>0</v>
      </c>
      <c r="BH120" s="130">
        <f>IF(N120="zníž. prenesená",J120,0)</f>
        <v>0</v>
      </c>
      <c r="BI120" s="130">
        <f>IF(N120="nulová",J120,0)</f>
        <v>0</v>
      </c>
      <c r="BJ120" s="13" t="s">
        <v>76</v>
      </c>
      <c r="BK120" s="130">
        <f>ROUND(I120*H120,2)</f>
        <v>500</v>
      </c>
      <c r="BL120" s="13" t="s">
        <v>1173</v>
      </c>
      <c r="BM120" s="129" t="s">
        <v>2551</v>
      </c>
    </row>
    <row r="121" spans="2:65" s="1" customFormat="1" ht="48" customHeight="1" x14ac:dyDescent="0.2">
      <c r="B121" s="118"/>
      <c r="C121" s="119" t="s">
        <v>229</v>
      </c>
      <c r="D121" s="119" t="s">
        <v>231</v>
      </c>
      <c r="E121" s="120" t="s">
        <v>229</v>
      </c>
      <c r="F121" s="121" t="s">
        <v>2552</v>
      </c>
      <c r="G121" s="122" t="s">
        <v>1172</v>
      </c>
      <c r="H121" s="123">
        <v>1</v>
      </c>
      <c r="I121" s="124">
        <v>900</v>
      </c>
      <c r="J121" s="124">
        <f>ROUND(I121*H121,2)</f>
        <v>900</v>
      </c>
      <c r="K121" s="121" t="s">
        <v>1</v>
      </c>
      <c r="L121" s="24"/>
      <c r="M121" s="125" t="s">
        <v>1</v>
      </c>
      <c r="N121" s="126" t="s">
        <v>32</v>
      </c>
      <c r="O121" s="127">
        <v>0</v>
      </c>
      <c r="P121" s="127">
        <f>O121*H121</f>
        <v>0</v>
      </c>
      <c r="Q121" s="127">
        <v>0</v>
      </c>
      <c r="R121" s="127">
        <f>Q121*H121</f>
        <v>0</v>
      </c>
      <c r="S121" s="127">
        <v>0</v>
      </c>
      <c r="T121" s="128">
        <f>S121*H121</f>
        <v>0</v>
      </c>
      <c r="AR121" s="129" t="s">
        <v>1173</v>
      </c>
      <c r="AT121" s="129" t="s">
        <v>231</v>
      </c>
      <c r="AU121" s="129" t="s">
        <v>63</v>
      </c>
      <c r="AY121" s="13" t="s">
        <v>228</v>
      </c>
      <c r="BE121" s="130">
        <f>IF(N121="základná",J121,0)</f>
        <v>0</v>
      </c>
      <c r="BF121" s="130">
        <f>IF(N121="znížená",J121,0)</f>
        <v>900</v>
      </c>
      <c r="BG121" s="130">
        <f>IF(N121="zákl. prenesená",J121,0)</f>
        <v>0</v>
      </c>
      <c r="BH121" s="130">
        <f>IF(N121="zníž. prenesená",J121,0)</f>
        <v>0</v>
      </c>
      <c r="BI121" s="130">
        <f>IF(N121="nulová",J121,0)</f>
        <v>0</v>
      </c>
      <c r="BJ121" s="13" t="s">
        <v>76</v>
      </c>
      <c r="BK121" s="130">
        <f>ROUND(I121*H121,2)</f>
        <v>900</v>
      </c>
      <c r="BL121" s="13" t="s">
        <v>1173</v>
      </c>
      <c r="BM121" s="129" t="s">
        <v>2553</v>
      </c>
    </row>
    <row r="122" spans="2:65" s="1" customFormat="1" ht="36" customHeight="1" x14ac:dyDescent="0.2">
      <c r="B122" s="118"/>
      <c r="C122" s="119" t="s">
        <v>235</v>
      </c>
      <c r="D122" s="119" t="s">
        <v>231</v>
      </c>
      <c r="E122" s="120" t="s">
        <v>235</v>
      </c>
      <c r="F122" s="121" t="s">
        <v>2554</v>
      </c>
      <c r="G122" s="122" t="s">
        <v>1172</v>
      </c>
      <c r="H122" s="123">
        <v>1</v>
      </c>
      <c r="I122" s="124">
        <v>300</v>
      </c>
      <c r="J122" s="124">
        <f>ROUND(I122*H122,2)</f>
        <v>300</v>
      </c>
      <c r="K122" s="121" t="s">
        <v>1</v>
      </c>
      <c r="L122" s="24"/>
      <c r="M122" s="125" t="s">
        <v>1</v>
      </c>
      <c r="N122" s="126" t="s">
        <v>32</v>
      </c>
      <c r="O122" s="127">
        <v>0</v>
      </c>
      <c r="P122" s="127">
        <f>O122*H122</f>
        <v>0</v>
      </c>
      <c r="Q122" s="127">
        <v>0</v>
      </c>
      <c r="R122" s="127">
        <f>Q122*H122</f>
        <v>0</v>
      </c>
      <c r="S122" s="127">
        <v>0</v>
      </c>
      <c r="T122" s="128">
        <f>S122*H122</f>
        <v>0</v>
      </c>
      <c r="AR122" s="129" t="s">
        <v>1173</v>
      </c>
      <c r="AT122" s="129" t="s">
        <v>231</v>
      </c>
      <c r="AU122" s="129" t="s">
        <v>63</v>
      </c>
      <c r="AY122" s="13" t="s">
        <v>228</v>
      </c>
      <c r="BE122" s="130">
        <f>IF(N122="základná",J122,0)</f>
        <v>0</v>
      </c>
      <c r="BF122" s="130">
        <f>IF(N122="znížená",J122,0)</f>
        <v>300</v>
      </c>
      <c r="BG122" s="130">
        <f>IF(N122="zákl. prenesená",J122,0)</f>
        <v>0</v>
      </c>
      <c r="BH122" s="130">
        <f>IF(N122="zníž. prenesená",J122,0)</f>
        <v>0</v>
      </c>
      <c r="BI122" s="130">
        <f>IF(N122="nulová",J122,0)</f>
        <v>0</v>
      </c>
      <c r="BJ122" s="13" t="s">
        <v>76</v>
      </c>
      <c r="BK122" s="130">
        <f>ROUND(I122*H122,2)</f>
        <v>300</v>
      </c>
      <c r="BL122" s="13" t="s">
        <v>1173</v>
      </c>
      <c r="BM122" s="129" t="s">
        <v>2555</v>
      </c>
    </row>
    <row r="123" spans="2:65" s="1" customFormat="1" ht="24" customHeight="1" x14ac:dyDescent="0.2">
      <c r="B123" s="118"/>
      <c r="C123" s="119" t="s">
        <v>245</v>
      </c>
      <c r="D123" s="119" t="s">
        <v>231</v>
      </c>
      <c r="E123" s="120" t="s">
        <v>245</v>
      </c>
      <c r="F123" s="121" t="s">
        <v>2556</v>
      </c>
      <c r="G123" s="122" t="s">
        <v>1172</v>
      </c>
      <c r="H123" s="123">
        <v>1</v>
      </c>
      <c r="I123" s="124">
        <v>300</v>
      </c>
      <c r="J123" s="124">
        <f>ROUND(I123*H123,2)</f>
        <v>300</v>
      </c>
      <c r="K123" s="121" t="s">
        <v>1</v>
      </c>
      <c r="L123" s="24"/>
      <c r="M123" s="140" t="s">
        <v>1</v>
      </c>
      <c r="N123" s="141" t="s">
        <v>32</v>
      </c>
      <c r="O123" s="142">
        <v>0</v>
      </c>
      <c r="P123" s="142">
        <f>O123*H123</f>
        <v>0</v>
      </c>
      <c r="Q123" s="142">
        <v>0</v>
      </c>
      <c r="R123" s="142">
        <f>Q123*H123</f>
        <v>0</v>
      </c>
      <c r="S123" s="142">
        <v>0</v>
      </c>
      <c r="T123" s="143">
        <f>S123*H123</f>
        <v>0</v>
      </c>
      <c r="AR123" s="129" t="s">
        <v>1173</v>
      </c>
      <c r="AT123" s="129" t="s">
        <v>231</v>
      </c>
      <c r="AU123" s="129" t="s">
        <v>63</v>
      </c>
      <c r="AY123" s="13" t="s">
        <v>228</v>
      </c>
      <c r="BE123" s="130">
        <f>IF(N123="základná",J123,0)</f>
        <v>0</v>
      </c>
      <c r="BF123" s="130">
        <f>IF(N123="znížená",J123,0)</f>
        <v>300</v>
      </c>
      <c r="BG123" s="130">
        <f>IF(N123="zákl. prenesená",J123,0)</f>
        <v>0</v>
      </c>
      <c r="BH123" s="130">
        <f>IF(N123="zníž. prenesená",J123,0)</f>
        <v>0</v>
      </c>
      <c r="BI123" s="130">
        <f>IF(N123="nulová",J123,0)</f>
        <v>0</v>
      </c>
      <c r="BJ123" s="13" t="s">
        <v>76</v>
      </c>
      <c r="BK123" s="130">
        <f>ROUND(I123*H123,2)</f>
        <v>300</v>
      </c>
      <c r="BL123" s="13" t="s">
        <v>1173</v>
      </c>
      <c r="BM123" s="129" t="s">
        <v>2557</v>
      </c>
    </row>
    <row r="124" spans="2:65" s="1" customFormat="1" ht="7.05" customHeight="1" x14ac:dyDescent="0.2">
      <c r="B124" s="33"/>
      <c r="C124" s="34"/>
      <c r="D124" s="34"/>
      <c r="E124" s="34"/>
      <c r="F124" s="34"/>
      <c r="G124" s="34"/>
      <c r="H124" s="34"/>
      <c r="I124" s="34"/>
      <c r="J124" s="34"/>
      <c r="K124" s="34"/>
      <c r="L124" s="24"/>
    </row>
  </sheetData>
  <autoFilter ref="C116:K123" xr:uid="{00000000-0009-0000-0000-000024000000}"/>
  <mergeCells count="14">
    <mergeCell ref="E87:H87"/>
    <mergeCell ref="E107:H107"/>
    <mergeCell ref="E109:H109"/>
    <mergeCell ref="L2:V2"/>
    <mergeCell ref="E9:H9"/>
    <mergeCell ref="E18:H18"/>
    <mergeCell ref="E27:H27"/>
    <mergeCell ref="E85:H85"/>
    <mergeCell ref="C4:J4"/>
    <mergeCell ref="F6:J7"/>
    <mergeCell ref="C82:J82"/>
    <mergeCell ref="E84:J84"/>
    <mergeCell ref="C104:J104"/>
    <mergeCell ref="E106:J106"/>
  </mergeCells>
  <pageMargins left="0.39374999999999999" right="0.39374999999999999" top="0.39374999999999999" bottom="0.39374999999999999" header="0" footer="0"/>
  <pageSetup paperSize="9" scale="89" fitToHeight="100" orientation="portrait" blackAndWhite="1" r:id="rId1"/>
  <headerFooter>
    <oddFooter>&amp;CStrana &amp;P z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0000"/>
    <pageSetUpPr fitToPage="1"/>
  </sheetPr>
  <dimension ref="A1:BM201"/>
  <sheetViews>
    <sheetView showGridLines="0" topLeftCell="E215" zoomScale="80" zoomScaleNormal="80" workbookViewId="0">
      <selection activeCell="Z113" sqref="Z113:AC113"/>
    </sheetView>
  </sheetViews>
  <sheetFormatPr defaultColWidth="8.7109375" defaultRowHeight="10.199999999999999" x14ac:dyDescent="0.2"/>
  <cols>
    <col min="1" max="1" width="8.28515625" customWidth="1"/>
    <col min="2" max="2" width="1.7109375" customWidth="1"/>
    <col min="3" max="4" width="4.28515625" customWidth="1"/>
    <col min="5" max="5" width="17.28515625" customWidth="1"/>
    <col min="6" max="6" width="50.7109375" customWidth="1"/>
    <col min="7" max="7" width="7" customWidth="1"/>
    <col min="8" max="8" width="11.42578125" customWidth="1"/>
    <col min="9" max="10" width="20.28515625" customWidth="1"/>
    <col min="11" max="11" width="20.28515625" hidden="1" customWidth="1"/>
    <col min="12" max="12" width="9.28515625" customWidth="1"/>
    <col min="13" max="13" width="10.7109375" hidden="1" customWidth="1"/>
    <col min="14" max="14" width="9.28515625" hidden="1"/>
    <col min="15" max="20" width="14.28515625" hidden="1" customWidth="1"/>
    <col min="21" max="21" width="16.28515625" hidden="1" customWidth="1"/>
    <col min="22" max="22" width="12.28515625" customWidth="1"/>
    <col min="23" max="23" width="1.7109375" style="656" customWidth="1"/>
    <col min="24" max="24" width="5.42578125" style="656" customWidth="1"/>
    <col min="25" max="25" width="4.28515625" style="656" customWidth="1"/>
    <col min="26" max="26" width="17.28515625" style="656" customWidth="1"/>
    <col min="27" max="27" width="50.7109375" style="656" customWidth="1"/>
    <col min="28" max="28" width="7" style="656" customWidth="1"/>
    <col min="29" max="29" width="11.42578125" style="656" customWidth="1"/>
    <col min="30" max="31" width="20.28515625" style="656" customWidth="1"/>
    <col min="32" max="32" width="16.28515625" customWidth="1"/>
    <col min="33" max="33" width="11" customWidth="1"/>
    <col min="44" max="65" width="9.28515625" hidden="1"/>
  </cols>
  <sheetData>
    <row r="1" spans="1:46" x14ac:dyDescent="0.2">
      <c r="A1" s="73"/>
    </row>
    <row r="2" spans="1:46" ht="37.049999999999997" customHeight="1" x14ac:dyDescent="0.2">
      <c r="L2" s="1227" t="s">
        <v>5</v>
      </c>
      <c r="M2" s="1225"/>
      <c r="N2" s="1225"/>
      <c r="O2" s="1225"/>
      <c r="P2" s="1225"/>
      <c r="Q2" s="1225"/>
      <c r="R2" s="1225"/>
      <c r="S2" s="1225"/>
      <c r="T2" s="1225"/>
      <c r="U2" s="1225"/>
      <c r="V2" s="1225"/>
      <c r="AT2" s="13" t="s">
        <v>170</v>
      </c>
    </row>
    <row r="3" spans="1:46" ht="7.05" customHeight="1" x14ac:dyDescent="0.2">
      <c r="B3" s="14"/>
      <c r="C3" s="15"/>
      <c r="D3" s="15"/>
      <c r="E3" s="15"/>
      <c r="F3" s="15"/>
      <c r="G3" s="15"/>
      <c r="H3" s="15"/>
      <c r="I3" s="15"/>
      <c r="J3" s="15"/>
      <c r="K3" s="15"/>
      <c r="L3" s="16"/>
      <c r="W3" s="152"/>
      <c r="X3" s="153"/>
      <c r="Y3" s="153"/>
      <c r="Z3" s="153"/>
      <c r="AA3" s="153"/>
      <c r="AB3" s="153"/>
      <c r="AC3" s="153"/>
      <c r="AD3" s="153"/>
      <c r="AE3" s="154"/>
      <c r="AT3" s="13" t="s">
        <v>58</v>
      </c>
    </row>
    <row r="4" spans="1:46" ht="25.05" customHeight="1" x14ac:dyDescent="0.2">
      <c r="B4" s="1256" t="s">
        <v>185</v>
      </c>
      <c r="C4" s="1165"/>
      <c r="D4" s="1165"/>
      <c r="E4" s="1165"/>
      <c r="F4" s="1165"/>
      <c r="G4" s="1165"/>
      <c r="H4" s="1165"/>
      <c r="I4" s="1165"/>
      <c r="J4" s="1165"/>
      <c r="L4" s="16"/>
      <c r="M4" s="74" t="s">
        <v>9</v>
      </c>
      <c r="W4" s="1255" t="s">
        <v>185</v>
      </c>
      <c r="X4" s="1237"/>
      <c r="Y4" s="1237"/>
      <c r="Z4" s="1237"/>
      <c r="AA4" s="1237"/>
      <c r="AB4" s="1237"/>
      <c r="AC4" s="1237"/>
      <c r="AD4" s="1237"/>
      <c r="AE4" s="1238"/>
      <c r="AT4" s="13" t="s">
        <v>3</v>
      </c>
    </row>
    <row r="5" spans="1:46" ht="7.05" customHeight="1" x14ac:dyDescent="0.2">
      <c r="B5" s="16"/>
      <c r="L5" s="16"/>
      <c r="W5" s="155"/>
      <c r="X5" s="156"/>
      <c r="Y5" s="156"/>
      <c r="Z5" s="156"/>
      <c r="AA5" s="156"/>
      <c r="AB5" s="156"/>
      <c r="AC5" s="156"/>
      <c r="AD5" s="156"/>
      <c r="AE5" s="157"/>
    </row>
    <row r="6" spans="1:46" ht="12" customHeight="1" x14ac:dyDescent="0.2">
      <c r="B6" s="16"/>
      <c r="D6" s="548" t="s">
        <v>12</v>
      </c>
      <c r="F6" s="1254" t="s">
        <v>6176</v>
      </c>
      <c r="G6" s="1254"/>
      <c r="H6" s="1254"/>
      <c r="I6" s="1254"/>
      <c r="J6" s="1254"/>
      <c r="L6" s="16"/>
      <c r="W6" s="155"/>
      <c r="X6" s="156"/>
      <c r="Y6" s="541" t="s">
        <v>12</v>
      </c>
      <c r="Z6" s="156"/>
      <c r="AA6" s="1239" t="s">
        <v>6176</v>
      </c>
      <c r="AB6" s="1239"/>
      <c r="AC6" s="1239"/>
      <c r="AD6" s="1239"/>
      <c r="AE6" s="1240"/>
    </row>
    <row r="7" spans="1:46" ht="24.45" customHeight="1" x14ac:dyDescent="0.2">
      <c r="B7" s="16"/>
      <c r="D7" s="527"/>
      <c r="E7" s="531"/>
      <c r="F7" s="1254"/>
      <c r="G7" s="1254"/>
      <c r="H7" s="1254"/>
      <c r="I7" s="1254"/>
      <c r="J7" s="1254"/>
      <c r="L7" s="16"/>
      <c r="W7" s="155"/>
      <c r="X7" s="156"/>
      <c r="Y7" s="539"/>
      <c r="Z7" s="245"/>
      <c r="AA7" s="1239"/>
      <c r="AB7" s="1239"/>
      <c r="AC7" s="1239"/>
      <c r="AD7" s="1239"/>
      <c r="AE7" s="1240"/>
    </row>
    <row r="8" spans="1:46" s="1" customFormat="1" ht="12" customHeight="1" x14ac:dyDescent="0.2">
      <c r="B8" s="24"/>
      <c r="D8" s="549" t="s">
        <v>186</v>
      </c>
      <c r="F8" s="532" t="s">
        <v>4631</v>
      </c>
      <c r="L8" s="24"/>
      <c r="W8" s="158"/>
      <c r="X8" s="658"/>
      <c r="Y8" s="550" t="s">
        <v>186</v>
      </c>
      <c r="Z8" s="658"/>
      <c r="AA8" s="555" t="s">
        <v>4631</v>
      </c>
      <c r="AB8" s="658"/>
      <c r="AC8" s="658"/>
      <c r="AD8" s="658"/>
      <c r="AE8" s="159"/>
    </row>
    <row r="9" spans="1:46" s="1" customFormat="1" ht="37.049999999999997" customHeight="1" x14ac:dyDescent="0.2">
      <c r="B9" s="24"/>
      <c r="D9" s="521"/>
      <c r="E9" s="1251"/>
      <c r="F9" s="1252"/>
      <c r="G9" s="1252"/>
      <c r="H9" s="1252"/>
      <c r="L9" s="24"/>
      <c r="W9" s="158"/>
      <c r="X9" s="658"/>
      <c r="Y9" s="658"/>
      <c r="Z9" s="1245"/>
      <c r="AA9" s="1246"/>
      <c r="AB9" s="1246"/>
      <c r="AC9" s="1246"/>
      <c r="AD9" s="658"/>
      <c r="AE9" s="159"/>
    </row>
    <row r="10" spans="1:46" s="1" customFormat="1" x14ac:dyDescent="0.2">
      <c r="B10" s="24"/>
      <c r="D10" s="521"/>
      <c r="L10" s="24"/>
      <c r="W10" s="158"/>
      <c r="X10" s="658"/>
      <c r="Y10" s="658"/>
      <c r="Z10" s="658"/>
      <c r="AA10" s="658"/>
      <c r="AB10" s="658"/>
      <c r="AC10" s="658"/>
      <c r="AD10" s="658"/>
      <c r="AE10" s="159"/>
    </row>
    <row r="11" spans="1:46" s="1" customFormat="1" ht="12" customHeight="1" x14ac:dyDescent="0.2">
      <c r="B11" s="24"/>
      <c r="D11" s="528" t="s">
        <v>13</v>
      </c>
      <c r="F11" s="19" t="s">
        <v>1</v>
      </c>
      <c r="I11" s="528" t="s">
        <v>14</v>
      </c>
      <c r="J11" s="19" t="s">
        <v>1</v>
      </c>
      <c r="L11" s="24"/>
      <c r="W11" s="158"/>
      <c r="X11" s="658"/>
      <c r="Y11" s="657" t="s">
        <v>13</v>
      </c>
      <c r="Z11" s="658"/>
      <c r="AA11" s="655" t="s">
        <v>1</v>
      </c>
      <c r="AB11" s="658"/>
      <c r="AC11" s="658"/>
      <c r="AD11" s="657" t="s">
        <v>14</v>
      </c>
      <c r="AE11" s="161" t="s">
        <v>1</v>
      </c>
    </row>
    <row r="12" spans="1:46" s="1" customFormat="1" ht="12" customHeight="1" x14ac:dyDescent="0.2">
      <c r="B12" s="24"/>
      <c r="D12" s="528" t="s">
        <v>15</v>
      </c>
      <c r="F12" s="520" t="s">
        <v>6173</v>
      </c>
      <c r="I12" s="528" t="s">
        <v>17</v>
      </c>
      <c r="J12" s="39"/>
      <c r="L12" s="24"/>
      <c r="W12" s="158"/>
      <c r="X12" s="658"/>
      <c r="Y12" s="657" t="s">
        <v>15</v>
      </c>
      <c r="Z12" s="658"/>
      <c r="AA12" s="655" t="s">
        <v>6173</v>
      </c>
      <c r="AB12" s="658"/>
      <c r="AC12" s="658"/>
      <c r="AD12" s="657" t="s">
        <v>17</v>
      </c>
      <c r="AE12" s="162"/>
    </row>
    <row r="13" spans="1:46" s="1" customFormat="1" ht="10.95" customHeight="1" x14ac:dyDescent="0.2">
      <c r="B13" s="24"/>
      <c r="D13" s="521"/>
      <c r="F13" s="521"/>
      <c r="I13" s="521"/>
      <c r="L13" s="24"/>
      <c r="W13" s="158"/>
      <c r="X13" s="658"/>
      <c r="Y13" s="658"/>
      <c r="Z13" s="658"/>
      <c r="AA13" s="658"/>
      <c r="AB13" s="658"/>
      <c r="AC13" s="658"/>
      <c r="AD13" s="658"/>
      <c r="AE13" s="159"/>
    </row>
    <row r="14" spans="1:46" s="1" customFormat="1" ht="12" customHeight="1" x14ac:dyDescent="0.2">
      <c r="B14" s="24"/>
      <c r="D14" s="528" t="s">
        <v>18</v>
      </c>
      <c r="F14" s="529" t="s">
        <v>6175</v>
      </c>
      <c r="I14" s="528" t="s">
        <v>19</v>
      </c>
      <c r="J14" s="19" t="str">
        <f>IF('Rekapitulácia stavby'!AN10="","",'Rekapitulácia stavby'!AN10)</f>
        <v/>
      </c>
      <c r="L14" s="24"/>
      <c r="W14" s="158"/>
      <c r="X14" s="658"/>
      <c r="Y14" s="657" t="s">
        <v>18</v>
      </c>
      <c r="Z14" s="658"/>
      <c r="AA14" s="576" t="s">
        <v>6175</v>
      </c>
      <c r="AB14" s="658"/>
      <c r="AC14" s="658"/>
      <c r="AD14" s="657" t="s">
        <v>19</v>
      </c>
      <c r="AE14" s="161" t="str">
        <f>IF('Rekapitulácia stavby'!BI10="","",'Rekapitulácia stavby'!BI10)</f>
        <v/>
      </c>
    </row>
    <row r="15" spans="1:46" s="1" customFormat="1" ht="18" customHeight="1" x14ac:dyDescent="0.2">
      <c r="B15" s="24"/>
      <c r="D15" s="521"/>
      <c r="E15" s="19" t="str">
        <f>IF('Rekapitulácia stavby'!E11="","",'Rekapitulácia stavby'!E11)</f>
        <v/>
      </c>
      <c r="F15" s="521"/>
      <c r="I15" s="528" t="s">
        <v>20</v>
      </c>
      <c r="J15" s="19" t="str">
        <f>IF('Rekapitulácia stavby'!AN11="","",'Rekapitulácia stavby'!AN11)</f>
        <v/>
      </c>
      <c r="L15" s="24"/>
      <c r="W15" s="158"/>
      <c r="X15" s="658"/>
      <c r="Y15" s="658"/>
      <c r="Z15" s="655" t="str">
        <f>IF('Rekapitulácia stavby'!Z11="","",'Rekapitulácia stavby'!Z11)</f>
        <v/>
      </c>
      <c r="AA15" s="658"/>
      <c r="AB15" s="658"/>
      <c r="AC15" s="658"/>
      <c r="AD15" s="657" t="s">
        <v>20</v>
      </c>
      <c r="AE15" s="161"/>
    </row>
    <row r="16" spans="1:46" s="1" customFormat="1" ht="7.05" customHeight="1" x14ac:dyDescent="0.2">
      <c r="B16" s="24"/>
      <c r="D16" s="521"/>
      <c r="F16" s="521"/>
      <c r="I16" s="521"/>
      <c r="L16" s="24"/>
      <c r="W16" s="158"/>
      <c r="X16" s="658"/>
      <c r="Y16" s="658"/>
      <c r="Z16" s="658"/>
      <c r="AA16" s="658"/>
      <c r="AB16" s="658"/>
      <c r="AC16" s="658"/>
      <c r="AD16" s="658"/>
      <c r="AE16" s="159"/>
    </row>
    <row r="17" spans="2:31" s="1" customFormat="1" ht="12" customHeight="1" x14ac:dyDescent="0.2">
      <c r="B17" s="24"/>
      <c r="D17" s="528" t="s">
        <v>21</v>
      </c>
      <c r="F17" s="529" t="s">
        <v>5202</v>
      </c>
      <c r="I17" s="528" t="s">
        <v>19</v>
      </c>
      <c r="J17" s="19"/>
      <c r="L17" s="24"/>
      <c r="W17" s="158"/>
      <c r="X17" s="658"/>
      <c r="Y17" s="657" t="s">
        <v>21</v>
      </c>
      <c r="Z17" s="658"/>
      <c r="AA17" s="576" t="s">
        <v>5202</v>
      </c>
      <c r="AB17" s="658"/>
      <c r="AC17" s="658"/>
      <c r="AD17" s="657" t="s">
        <v>19</v>
      </c>
      <c r="AE17" s="161"/>
    </row>
    <row r="18" spans="2:31" s="1" customFormat="1" ht="18" customHeight="1" x14ac:dyDescent="0.2">
      <c r="B18" s="24"/>
      <c r="D18" s="521"/>
      <c r="E18" s="1161"/>
      <c r="F18" s="1161"/>
      <c r="G18" s="1161"/>
      <c r="H18" s="1161"/>
      <c r="I18" s="528" t="s">
        <v>20</v>
      </c>
      <c r="J18" s="19" t="str">
        <f>'Rekapitulácia stavby'!AN14</f>
        <v/>
      </c>
      <c r="L18" s="24"/>
      <c r="W18" s="158"/>
      <c r="X18" s="658"/>
      <c r="Y18" s="658"/>
      <c r="Z18" s="1247"/>
      <c r="AA18" s="1247"/>
      <c r="AB18" s="1247"/>
      <c r="AC18" s="1247"/>
      <c r="AD18" s="657" t="s">
        <v>20</v>
      </c>
      <c r="AE18" s="161"/>
    </row>
    <row r="19" spans="2:31" s="1" customFormat="1" ht="7.05" customHeight="1" x14ac:dyDescent="0.2">
      <c r="B19" s="24"/>
      <c r="D19" s="521"/>
      <c r="I19" s="521"/>
      <c r="L19" s="24"/>
      <c r="W19" s="158"/>
      <c r="X19" s="658"/>
      <c r="Y19" s="658"/>
      <c r="Z19" s="658"/>
      <c r="AA19" s="658"/>
      <c r="AB19" s="658"/>
      <c r="AC19" s="658"/>
      <c r="AD19" s="658"/>
      <c r="AE19" s="159"/>
    </row>
    <row r="20" spans="2:31" s="1" customFormat="1" ht="12" customHeight="1" x14ac:dyDescent="0.2">
      <c r="B20" s="24"/>
      <c r="D20" s="528" t="s">
        <v>22</v>
      </c>
      <c r="I20" s="528" t="s">
        <v>19</v>
      </c>
      <c r="J20" s="19" t="str">
        <f>IF('Rekapitulácia stavby'!AN16="","",'Rekapitulácia stavby'!AN16)</f>
        <v/>
      </c>
      <c r="L20" s="24"/>
      <c r="W20" s="158"/>
      <c r="X20" s="658"/>
      <c r="Y20" s="657" t="s">
        <v>22</v>
      </c>
      <c r="Z20" s="658"/>
      <c r="AA20" s="658"/>
      <c r="AB20" s="658"/>
      <c r="AC20" s="658"/>
      <c r="AD20" s="657" t="s">
        <v>19</v>
      </c>
      <c r="AE20" s="161"/>
    </row>
    <row r="21" spans="2:31" s="1" customFormat="1" ht="18" customHeight="1" x14ac:dyDescent="0.2">
      <c r="B21" s="24"/>
      <c r="D21" s="521"/>
      <c r="E21" s="19" t="str">
        <f>IF('Rekapitulácia stavby'!E17="","",'Rekapitulácia stavby'!E17)</f>
        <v xml:space="preserve"> </v>
      </c>
      <c r="I21" s="528" t="s">
        <v>20</v>
      </c>
      <c r="J21" s="19" t="str">
        <f>IF('Rekapitulácia stavby'!AN17="","",'Rekapitulácia stavby'!AN17)</f>
        <v/>
      </c>
      <c r="L21" s="24"/>
      <c r="W21" s="158"/>
      <c r="X21" s="658"/>
      <c r="Y21" s="658"/>
      <c r="Z21" s="655" t="str">
        <f>IF('Rekapitulácia stavby'!Z17="","",'Rekapitulácia stavby'!Z17)</f>
        <v/>
      </c>
      <c r="AA21" s="658"/>
      <c r="AB21" s="658"/>
      <c r="AC21" s="658"/>
      <c r="AD21" s="657" t="s">
        <v>20</v>
      </c>
      <c r="AE21" s="161" t="str">
        <f>IF('Rekapitulácia stavby'!BI17="","",'Rekapitulácia stavby'!BI17)</f>
        <v/>
      </c>
    </row>
    <row r="22" spans="2:31" s="1" customFormat="1" ht="7.05" customHeight="1" x14ac:dyDescent="0.2">
      <c r="B22" s="24"/>
      <c r="D22" s="521"/>
      <c r="I22" s="521"/>
      <c r="L22" s="24"/>
      <c r="W22" s="158"/>
      <c r="X22" s="658"/>
      <c r="Y22" s="658"/>
      <c r="Z22" s="658"/>
      <c r="AA22" s="658"/>
      <c r="AB22" s="658"/>
      <c r="AC22" s="658"/>
      <c r="AD22" s="658"/>
      <c r="AE22" s="159"/>
    </row>
    <row r="23" spans="2:31" s="1" customFormat="1" ht="12" customHeight="1" x14ac:dyDescent="0.2">
      <c r="B23" s="24"/>
      <c r="D23" s="528" t="s">
        <v>24</v>
      </c>
      <c r="I23" s="528" t="s">
        <v>19</v>
      </c>
      <c r="J23" s="19" t="str">
        <f>IF('Rekapitulácia stavby'!AN19="","",'Rekapitulácia stavby'!AN19)</f>
        <v/>
      </c>
      <c r="L23" s="24"/>
      <c r="W23" s="158"/>
      <c r="X23" s="658"/>
      <c r="Y23" s="657" t="s">
        <v>24</v>
      </c>
      <c r="Z23" s="658"/>
      <c r="AA23" s="658"/>
      <c r="AB23" s="658"/>
      <c r="AC23" s="658"/>
      <c r="AD23" s="657" t="s">
        <v>19</v>
      </c>
      <c r="AE23" s="161" t="str">
        <f>IF('Rekapitulácia stavby'!BI19="","",'Rekapitulácia stavby'!BI19)</f>
        <v/>
      </c>
    </row>
    <row r="24" spans="2:31" s="1" customFormat="1" ht="18" customHeight="1" x14ac:dyDescent="0.2">
      <c r="B24" s="24"/>
      <c r="D24" s="521"/>
      <c r="E24" s="19" t="str">
        <f>IF('Rekapitulácia stavby'!E20="","",'Rekapitulácia stavby'!E20)</f>
        <v xml:space="preserve"> </v>
      </c>
      <c r="I24" s="528" t="s">
        <v>20</v>
      </c>
      <c r="J24" s="19" t="str">
        <f>IF('Rekapitulácia stavby'!AN20="","",'Rekapitulácia stavby'!AN20)</f>
        <v/>
      </c>
      <c r="L24" s="24"/>
      <c r="W24" s="158"/>
      <c r="X24" s="658"/>
      <c r="Y24" s="658"/>
      <c r="Z24" s="655" t="str">
        <f>IF('Rekapitulácia stavby'!Z20="","",'Rekapitulácia stavby'!Z20)</f>
        <v/>
      </c>
      <c r="AA24" s="658"/>
      <c r="AB24" s="658"/>
      <c r="AC24" s="658"/>
      <c r="AD24" s="657" t="s">
        <v>20</v>
      </c>
      <c r="AE24" s="161" t="str">
        <f>IF('Rekapitulácia stavby'!BI20="","",'Rekapitulácia stavby'!BI20)</f>
        <v/>
      </c>
    </row>
    <row r="25" spans="2:31" s="1" customFormat="1" ht="7.05" customHeight="1" x14ac:dyDescent="0.2">
      <c r="B25" s="24"/>
      <c r="D25" s="521"/>
      <c r="L25" s="24"/>
      <c r="W25" s="158"/>
      <c r="X25" s="658"/>
      <c r="Y25" s="658"/>
      <c r="Z25" s="658"/>
      <c r="AA25" s="658"/>
      <c r="AB25" s="658"/>
      <c r="AC25" s="658"/>
      <c r="AD25" s="658"/>
      <c r="AE25" s="159"/>
    </row>
    <row r="26" spans="2:31" s="1" customFormat="1" ht="12" customHeight="1" x14ac:dyDescent="0.2">
      <c r="B26" s="24"/>
      <c r="D26" s="528" t="s">
        <v>25</v>
      </c>
      <c r="L26" s="24"/>
      <c r="W26" s="158"/>
      <c r="X26" s="658"/>
      <c r="Y26" s="657" t="s">
        <v>25</v>
      </c>
      <c r="Z26" s="658"/>
      <c r="AA26" s="658"/>
      <c r="AB26" s="658"/>
      <c r="AC26" s="658"/>
      <c r="AD26" s="658"/>
      <c r="AE26" s="159"/>
    </row>
    <row r="27" spans="2:31" s="7" customFormat="1" ht="16.5" customHeight="1" x14ac:dyDescent="0.2">
      <c r="B27" s="75"/>
      <c r="E27" s="1228" t="s">
        <v>1</v>
      </c>
      <c r="F27" s="1228"/>
      <c r="G27" s="1228"/>
      <c r="H27" s="1228"/>
      <c r="L27" s="75"/>
      <c r="W27" s="163"/>
      <c r="X27" s="164"/>
      <c r="Y27" s="164"/>
      <c r="Z27" s="1248" t="s">
        <v>1</v>
      </c>
      <c r="AA27" s="1248"/>
      <c r="AB27" s="1248"/>
      <c r="AC27" s="1248"/>
      <c r="AD27" s="164"/>
      <c r="AE27" s="165"/>
    </row>
    <row r="28" spans="2:31" s="1" customFormat="1" ht="7.05" customHeight="1" x14ac:dyDescent="0.2">
      <c r="B28" s="24"/>
      <c r="L28" s="24"/>
      <c r="W28" s="158"/>
      <c r="X28" s="658"/>
      <c r="Y28" s="658"/>
      <c r="Z28" s="658"/>
      <c r="AA28" s="658"/>
      <c r="AB28" s="658"/>
      <c r="AC28" s="658"/>
      <c r="AD28" s="658"/>
      <c r="AE28" s="159"/>
    </row>
    <row r="29" spans="2:31" s="1" customFormat="1" ht="7.05" customHeight="1" x14ac:dyDescent="0.2">
      <c r="B29" s="24"/>
      <c r="D29" s="40"/>
      <c r="E29" s="40"/>
      <c r="F29" s="40"/>
      <c r="G29" s="40"/>
      <c r="H29" s="40"/>
      <c r="I29" s="40"/>
      <c r="J29" s="40"/>
      <c r="K29" s="40"/>
      <c r="L29" s="24"/>
      <c r="W29" s="158"/>
      <c r="X29" s="658"/>
      <c r="Y29" s="40"/>
      <c r="Z29" s="40"/>
      <c r="AA29" s="40"/>
      <c r="AB29" s="40"/>
      <c r="AC29" s="40"/>
      <c r="AD29" s="40"/>
      <c r="AE29" s="166"/>
    </row>
    <row r="30" spans="2:31" s="1" customFormat="1" ht="25.2" customHeight="1" x14ac:dyDescent="0.2">
      <c r="B30" s="24"/>
      <c r="D30" s="76" t="s">
        <v>26</v>
      </c>
      <c r="J30" s="53">
        <f>ROUND(J121, 2)</f>
        <v>326088.57</v>
      </c>
      <c r="L30" s="24"/>
      <c r="W30" s="158"/>
      <c r="X30" s="658"/>
      <c r="Y30" s="167" t="s">
        <v>26</v>
      </c>
      <c r="Z30" s="658"/>
      <c r="AA30" s="658"/>
      <c r="AB30" s="658"/>
      <c r="AC30" s="658"/>
      <c r="AD30" s="658"/>
      <c r="AE30" s="168">
        <f>ROUND(AE121, 2)</f>
        <v>316741.40000000002</v>
      </c>
    </row>
    <row r="31" spans="2:31" s="1" customFormat="1" ht="7.05" customHeight="1" x14ac:dyDescent="0.2">
      <c r="B31" s="24"/>
      <c r="D31" s="40"/>
      <c r="E31" s="40"/>
      <c r="F31" s="40"/>
      <c r="G31" s="40"/>
      <c r="H31" s="40"/>
      <c r="I31" s="40"/>
      <c r="J31" s="40"/>
      <c r="K31" s="40"/>
      <c r="L31" s="24"/>
      <c r="W31" s="158"/>
      <c r="X31" s="658"/>
      <c r="Y31" s="40"/>
      <c r="Z31" s="40"/>
      <c r="AA31" s="40"/>
      <c r="AB31" s="40"/>
      <c r="AC31" s="40"/>
      <c r="AD31" s="40"/>
      <c r="AE31" s="166"/>
    </row>
    <row r="32" spans="2:31" s="1" customFormat="1" ht="14.55" customHeight="1" x14ac:dyDescent="0.2">
      <c r="B32" s="24"/>
      <c r="D32" s="521"/>
      <c r="E32" s="521"/>
      <c r="F32" s="534" t="s">
        <v>28</v>
      </c>
      <c r="G32" s="521"/>
      <c r="H32" s="521"/>
      <c r="I32" s="534" t="s">
        <v>27</v>
      </c>
      <c r="J32" s="534" t="s">
        <v>29</v>
      </c>
      <c r="L32" s="24"/>
      <c r="W32" s="158"/>
      <c r="X32" s="658"/>
      <c r="Y32" s="658"/>
      <c r="Z32" s="658"/>
      <c r="AA32" s="542" t="s">
        <v>28</v>
      </c>
      <c r="AB32" s="658"/>
      <c r="AC32" s="658"/>
      <c r="AD32" s="542" t="s">
        <v>27</v>
      </c>
      <c r="AE32" s="543" t="s">
        <v>29</v>
      </c>
    </row>
    <row r="33" spans="2:31" s="1" customFormat="1" ht="14.55" customHeight="1" x14ac:dyDescent="0.2">
      <c r="B33" s="24"/>
      <c r="D33" s="13" t="s">
        <v>30</v>
      </c>
      <c r="E33" s="528" t="s">
        <v>31</v>
      </c>
      <c r="F33" s="398">
        <f>ROUND((SUM(BE121:BE178)),  2)</f>
        <v>0</v>
      </c>
      <c r="G33" s="521"/>
      <c r="H33" s="521"/>
      <c r="I33" s="535">
        <v>0.2</v>
      </c>
      <c r="J33" s="398">
        <f>ROUND(((SUM(BE121:BE178))*I33),  2)</f>
        <v>0</v>
      </c>
      <c r="L33" s="24"/>
      <c r="W33" s="158"/>
      <c r="X33" s="658"/>
      <c r="Y33" s="544" t="s">
        <v>30</v>
      </c>
      <c r="Z33" s="657" t="s">
        <v>31</v>
      </c>
      <c r="AA33" s="545">
        <f>ROUND((SUM(BZ121:BZ178)),  2)</f>
        <v>0</v>
      </c>
      <c r="AB33" s="658"/>
      <c r="AC33" s="658"/>
      <c r="AD33" s="546">
        <v>0.2</v>
      </c>
      <c r="AE33" s="547">
        <f>ROUND(((SUM(BZ121:BZ178))*AD33),  2)</f>
        <v>0</v>
      </c>
    </row>
    <row r="34" spans="2:31" s="1" customFormat="1" ht="14.55" customHeight="1" x14ac:dyDescent="0.2">
      <c r="B34" s="24"/>
      <c r="D34" s="521"/>
      <c r="E34" s="528" t="s">
        <v>32</v>
      </c>
      <c r="F34" s="398">
        <f>ROUND((SUM(BF121:BF178)),  2)</f>
        <v>326088.57</v>
      </c>
      <c r="G34" s="521"/>
      <c r="H34" s="521"/>
      <c r="I34" s="535">
        <v>0.2</v>
      </c>
      <c r="J34" s="398">
        <f>ROUND(((SUM(BF121:BF178))*I34),  2)</f>
        <v>65217.71</v>
      </c>
      <c r="L34" s="24"/>
      <c r="W34" s="158"/>
      <c r="X34" s="658"/>
      <c r="Y34" s="658"/>
      <c r="Z34" s="657" t="s">
        <v>32</v>
      </c>
      <c r="AA34" s="545">
        <f>AE30</f>
        <v>316741.40000000002</v>
      </c>
      <c r="AB34" s="658"/>
      <c r="AC34" s="658"/>
      <c r="AD34" s="546">
        <v>0.2</v>
      </c>
      <c r="AE34" s="547">
        <f>AA34*0.2</f>
        <v>63348.280000000006</v>
      </c>
    </row>
    <row r="35" spans="2:31" s="1" customFormat="1" ht="14.55" hidden="1" customHeight="1" x14ac:dyDescent="0.2">
      <c r="B35" s="24"/>
      <c r="E35" s="21" t="s">
        <v>33</v>
      </c>
      <c r="F35" s="78">
        <f>ROUND((SUM(BG121:BG178)),  2)</f>
        <v>0</v>
      </c>
      <c r="I35" s="79">
        <v>0.2</v>
      </c>
      <c r="J35" s="78">
        <f>0</f>
        <v>0</v>
      </c>
      <c r="L35" s="24"/>
      <c r="W35" s="158"/>
      <c r="X35" s="658"/>
      <c r="Y35" s="658"/>
      <c r="Z35" s="659" t="s">
        <v>33</v>
      </c>
      <c r="AA35" s="170">
        <f>ROUND((SUM(CB121:CB178)),  2)</f>
        <v>0</v>
      </c>
      <c r="AB35" s="658"/>
      <c r="AC35" s="658"/>
      <c r="AD35" s="171">
        <v>0.2</v>
      </c>
      <c r="AE35" s="172">
        <f>0</f>
        <v>0</v>
      </c>
    </row>
    <row r="36" spans="2:31" s="1" customFormat="1" ht="14.55" hidden="1" customHeight="1" x14ac:dyDescent="0.2">
      <c r="B36" s="24"/>
      <c r="E36" s="21" t="s">
        <v>34</v>
      </c>
      <c r="F36" s="78">
        <f>ROUND((SUM(BH121:BH178)),  2)</f>
        <v>0</v>
      </c>
      <c r="I36" s="79">
        <v>0.2</v>
      </c>
      <c r="J36" s="78">
        <f>0</f>
        <v>0</v>
      </c>
      <c r="L36" s="24"/>
      <c r="W36" s="158"/>
      <c r="X36" s="658"/>
      <c r="Y36" s="658"/>
      <c r="Z36" s="659" t="s">
        <v>34</v>
      </c>
      <c r="AA36" s="170">
        <f>ROUND((SUM(CC121:CC178)),  2)</f>
        <v>0</v>
      </c>
      <c r="AB36" s="658"/>
      <c r="AC36" s="658"/>
      <c r="AD36" s="171">
        <v>0.2</v>
      </c>
      <c r="AE36" s="172">
        <f>0</f>
        <v>0</v>
      </c>
    </row>
    <row r="37" spans="2:31" s="1" customFormat="1" ht="14.55" hidden="1" customHeight="1" x14ac:dyDescent="0.2">
      <c r="B37" s="24"/>
      <c r="E37" s="21" t="s">
        <v>35</v>
      </c>
      <c r="F37" s="78">
        <f>ROUND((SUM(BI121:BI178)),  2)</f>
        <v>0</v>
      </c>
      <c r="I37" s="79">
        <v>0</v>
      </c>
      <c r="J37" s="78">
        <f>0</f>
        <v>0</v>
      </c>
      <c r="L37" s="24"/>
      <c r="W37" s="158"/>
      <c r="X37" s="658"/>
      <c r="Y37" s="658"/>
      <c r="Z37" s="659" t="s">
        <v>35</v>
      </c>
      <c r="AA37" s="170">
        <f>ROUND((SUM(CD121:CD178)),  2)</f>
        <v>0</v>
      </c>
      <c r="AB37" s="658"/>
      <c r="AC37" s="658"/>
      <c r="AD37" s="171">
        <v>0</v>
      </c>
      <c r="AE37" s="172">
        <f>0</f>
        <v>0</v>
      </c>
    </row>
    <row r="38" spans="2:31" s="1" customFormat="1" ht="7.05" customHeight="1" x14ac:dyDescent="0.2">
      <c r="B38" s="24"/>
      <c r="L38" s="24"/>
      <c r="W38" s="158"/>
      <c r="X38" s="658"/>
      <c r="Y38" s="658"/>
      <c r="Z38" s="658"/>
      <c r="AA38" s="658"/>
      <c r="AB38" s="658"/>
      <c r="AC38" s="658"/>
      <c r="AD38" s="658"/>
      <c r="AE38" s="159"/>
    </row>
    <row r="39" spans="2:31" s="1" customFormat="1" ht="25.2" customHeight="1" x14ac:dyDescent="0.2">
      <c r="B39" s="24"/>
      <c r="C39" s="80"/>
      <c r="D39" s="81" t="s">
        <v>36</v>
      </c>
      <c r="E39" s="44"/>
      <c r="F39" s="44"/>
      <c r="G39" s="82" t="s">
        <v>37</v>
      </c>
      <c r="H39" s="83" t="s">
        <v>38</v>
      </c>
      <c r="I39" s="44"/>
      <c r="J39" s="84">
        <f>SUM(J30:J37)</f>
        <v>391306.28</v>
      </c>
      <c r="K39" s="85"/>
      <c r="L39" s="24"/>
      <c r="W39" s="158"/>
      <c r="X39" s="173"/>
      <c r="Y39" s="81" t="s">
        <v>36</v>
      </c>
      <c r="Z39" s="44"/>
      <c r="AA39" s="44"/>
      <c r="AB39" s="82" t="s">
        <v>37</v>
      </c>
      <c r="AC39" s="83" t="s">
        <v>38</v>
      </c>
      <c r="AD39" s="44"/>
      <c r="AE39" s="174">
        <f>SUM(AE30:AE37)</f>
        <v>380089.68000000005</v>
      </c>
    </row>
    <row r="40" spans="2:31" s="1" customFormat="1" ht="14.55" customHeight="1" x14ac:dyDescent="0.2">
      <c r="B40" s="24"/>
      <c r="L40" s="24"/>
      <c r="W40" s="158"/>
      <c r="X40" s="658"/>
      <c r="Y40" s="658"/>
      <c r="Z40" s="658"/>
      <c r="AA40" s="658"/>
      <c r="AB40" s="658"/>
      <c r="AC40" s="658"/>
      <c r="AD40" s="658"/>
      <c r="AE40" s="159"/>
    </row>
    <row r="41" spans="2:31" ht="14.55" customHeight="1" x14ac:dyDescent="0.2">
      <c r="B41" s="16"/>
      <c r="L41" s="16"/>
      <c r="W41" s="155"/>
      <c r="X41" s="156"/>
      <c r="Y41" s="156"/>
      <c r="Z41" s="156"/>
      <c r="AA41" s="156"/>
      <c r="AB41" s="156"/>
      <c r="AC41" s="156"/>
      <c r="AD41" s="156"/>
      <c r="AE41" s="157"/>
    </row>
    <row r="42" spans="2:31" ht="14.55" customHeight="1" x14ac:dyDescent="0.2">
      <c r="B42" s="16"/>
      <c r="L42" s="16"/>
      <c r="W42" s="155"/>
      <c r="X42" s="156"/>
      <c r="Y42" s="156"/>
      <c r="Z42" s="156"/>
      <c r="AA42" s="156"/>
      <c r="AB42" s="156"/>
      <c r="AC42" s="156"/>
      <c r="AD42" s="156"/>
      <c r="AE42" s="157"/>
    </row>
    <row r="43" spans="2:31" ht="14.55" customHeight="1" x14ac:dyDescent="0.2">
      <c r="B43" s="16"/>
      <c r="L43" s="16"/>
      <c r="W43" s="155"/>
      <c r="X43" s="156"/>
      <c r="Y43" s="156"/>
      <c r="Z43" s="156"/>
      <c r="AA43" s="156"/>
      <c r="AB43" s="156"/>
      <c r="AC43" s="156"/>
      <c r="AD43" s="156"/>
      <c r="AE43" s="157"/>
    </row>
    <row r="44" spans="2:31" ht="14.55" customHeight="1" x14ac:dyDescent="0.2">
      <c r="B44" s="16"/>
      <c r="L44" s="16"/>
      <c r="W44" s="155"/>
      <c r="X44" s="156"/>
      <c r="Y44" s="156"/>
      <c r="Z44" s="156"/>
      <c r="AA44" s="156"/>
      <c r="AB44" s="156"/>
      <c r="AC44" s="156"/>
      <c r="AD44" s="156"/>
      <c r="AE44" s="157"/>
    </row>
    <row r="45" spans="2:31" ht="14.55" customHeight="1" x14ac:dyDescent="0.2">
      <c r="B45" s="16"/>
      <c r="L45" s="16"/>
      <c r="W45" s="155"/>
      <c r="X45" s="156"/>
      <c r="Y45" s="156"/>
      <c r="Z45" s="156"/>
      <c r="AA45" s="156"/>
      <c r="AB45" s="156"/>
      <c r="AC45" s="156"/>
      <c r="AD45" s="156"/>
      <c r="AE45" s="157"/>
    </row>
    <row r="46" spans="2:31" ht="14.55" customHeight="1" x14ac:dyDescent="0.2">
      <c r="B46" s="16"/>
      <c r="L46" s="16"/>
      <c r="W46" s="155"/>
      <c r="X46" s="156"/>
      <c r="Y46" s="156"/>
      <c r="Z46" s="156"/>
      <c r="AA46" s="156"/>
      <c r="AB46" s="156"/>
      <c r="AC46" s="156"/>
      <c r="AD46" s="156"/>
      <c r="AE46" s="157"/>
    </row>
    <row r="47" spans="2:31" ht="14.55" customHeight="1" x14ac:dyDescent="0.2">
      <c r="B47" s="16"/>
      <c r="L47" s="16"/>
      <c r="W47" s="155"/>
      <c r="X47" s="156"/>
      <c r="Y47" s="156"/>
      <c r="Z47" s="156"/>
      <c r="AA47" s="156"/>
      <c r="AB47" s="156"/>
      <c r="AC47" s="156"/>
      <c r="AD47" s="156"/>
      <c r="AE47" s="157"/>
    </row>
    <row r="48" spans="2:31" ht="14.55" customHeight="1" x14ac:dyDescent="0.2">
      <c r="B48" s="16"/>
      <c r="L48" s="16"/>
      <c r="W48" s="155"/>
      <c r="X48" s="156"/>
      <c r="Y48" s="156"/>
      <c r="Z48" s="156"/>
      <c r="AA48" s="156"/>
      <c r="AB48" s="156"/>
      <c r="AC48" s="156"/>
      <c r="AD48" s="156"/>
      <c r="AE48" s="157"/>
    </row>
    <row r="49" spans="2:31" ht="14.55" customHeight="1" x14ac:dyDescent="0.2">
      <c r="B49" s="16"/>
      <c r="D49" s="156"/>
      <c r="E49" s="156"/>
      <c r="F49" s="156"/>
      <c r="G49" s="156"/>
      <c r="H49" s="156"/>
      <c r="I49" s="156"/>
      <c r="J49" s="156"/>
      <c r="L49" s="16"/>
      <c r="W49" s="155"/>
      <c r="X49" s="156"/>
      <c r="Y49" s="156"/>
      <c r="Z49" s="156"/>
      <c r="AA49" s="156"/>
      <c r="AB49" s="156"/>
      <c r="AC49" s="156"/>
      <c r="AD49" s="156"/>
      <c r="AE49" s="157"/>
    </row>
    <row r="50" spans="2:31" s="1" customFormat="1" ht="14.55" customHeight="1" x14ac:dyDescent="0.2">
      <c r="B50" s="24"/>
      <c r="D50" s="530"/>
      <c r="E50" s="523"/>
      <c r="F50" s="523"/>
      <c r="G50" s="530"/>
      <c r="H50" s="523"/>
      <c r="I50" s="523"/>
      <c r="J50" s="523"/>
      <c r="K50" s="32"/>
      <c r="L50" s="24"/>
      <c r="W50" s="158"/>
      <c r="X50" s="658"/>
      <c r="Y50" s="530"/>
      <c r="Z50" s="658"/>
      <c r="AA50" s="658"/>
      <c r="AB50" s="530"/>
      <c r="AC50" s="658"/>
      <c r="AD50" s="658"/>
      <c r="AE50" s="159"/>
    </row>
    <row r="51" spans="2:31" x14ac:dyDescent="0.2">
      <c r="B51" s="16"/>
      <c r="D51" s="156"/>
      <c r="E51" s="156"/>
      <c r="F51" s="156"/>
      <c r="G51" s="156"/>
      <c r="H51" s="156"/>
      <c r="I51" s="156"/>
      <c r="J51" s="156"/>
      <c r="L51" s="16"/>
      <c r="W51" s="155"/>
      <c r="X51" s="156"/>
      <c r="Y51" s="156"/>
      <c r="Z51" s="156"/>
      <c r="AA51" s="156"/>
      <c r="AB51" s="156"/>
      <c r="AC51" s="156"/>
      <c r="AD51" s="156"/>
      <c r="AE51" s="157"/>
    </row>
    <row r="52" spans="2:31" x14ac:dyDescent="0.2">
      <c r="B52" s="16"/>
      <c r="D52" s="156"/>
      <c r="E52" s="156"/>
      <c r="F52" s="156"/>
      <c r="G52" s="156"/>
      <c r="H52" s="156"/>
      <c r="I52" s="156"/>
      <c r="J52" s="156"/>
      <c r="L52" s="16"/>
      <c r="W52" s="155"/>
      <c r="X52" s="156"/>
      <c r="Y52" s="156"/>
      <c r="Z52" s="156"/>
      <c r="AA52" s="156"/>
      <c r="AB52" s="156"/>
      <c r="AC52" s="156"/>
      <c r="AD52" s="156"/>
      <c r="AE52" s="157"/>
    </row>
    <row r="53" spans="2:31" x14ac:dyDescent="0.2">
      <c r="B53" s="16"/>
      <c r="D53" s="156"/>
      <c r="E53" s="156"/>
      <c r="F53" s="156"/>
      <c r="G53" s="156"/>
      <c r="H53" s="156"/>
      <c r="I53" s="156"/>
      <c r="J53" s="156"/>
      <c r="L53" s="16"/>
      <c r="W53" s="155"/>
      <c r="X53" s="156"/>
      <c r="Y53" s="156"/>
      <c r="Z53" s="156"/>
      <c r="AA53" s="156"/>
      <c r="AB53" s="156"/>
      <c r="AC53" s="156"/>
      <c r="AD53" s="156"/>
      <c r="AE53" s="157"/>
    </row>
    <row r="54" spans="2:31" x14ac:dyDescent="0.2">
      <c r="B54" s="16"/>
      <c r="D54" s="156"/>
      <c r="E54" s="156"/>
      <c r="F54" s="156"/>
      <c r="G54" s="156"/>
      <c r="H54" s="156"/>
      <c r="I54" s="156"/>
      <c r="J54" s="156"/>
      <c r="L54" s="16"/>
      <c r="W54" s="155"/>
      <c r="X54" s="156"/>
      <c r="Y54" s="156"/>
      <c r="Z54" s="156"/>
      <c r="AA54" s="156"/>
      <c r="AB54" s="156"/>
      <c r="AC54" s="156"/>
      <c r="AD54" s="156"/>
      <c r="AE54" s="157"/>
    </row>
    <row r="55" spans="2:31" x14ac:dyDescent="0.2">
      <c r="B55" s="16"/>
      <c r="D55" s="156"/>
      <c r="E55" s="156"/>
      <c r="F55" s="156"/>
      <c r="G55" s="156"/>
      <c r="H55" s="156"/>
      <c r="I55" s="156"/>
      <c r="J55" s="156"/>
      <c r="L55" s="16"/>
      <c r="W55" s="155"/>
      <c r="X55" s="156"/>
      <c r="Y55" s="156"/>
      <c r="Z55" s="156"/>
      <c r="AA55" s="156"/>
      <c r="AB55" s="156"/>
      <c r="AC55" s="156"/>
      <c r="AD55" s="156"/>
      <c r="AE55" s="157"/>
    </row>
    <row r="56" spans="2:31" x14ac:dyDescent="0.2">
      <c r="B56" s="16"/>
      <c r="D56" s="156"/>
      <c r="E56" s="156"/>
      <c r="F56" s="156"/>
      <c r="G56" s="156"/>
      <c r="H56" s="156"/>
      <c r="I56" s="156"/>
      <c r="J56" s="156"/>
      <c r="L56" s="16"/>
      <c r="W56" s="155"/>
      <c r="X56" s="156"/>
      <c r="Y56" s="156"/>
      <c r="Z56" s="156"/>
      <c r="AA56" s="156"/>
      <c r="AB56" s="156"/>
      <c r="AC56" s="156"/>
      <c r="AD56" s="156"/>
      <c r="AE56" s="157"/>
    </row>
    <row r="57" spans="2:31" x14ac:dyDescent="0.2">
      <c r="B57" s="16"/>
      <c r="D57" s="156"/>
      <c r="E57" s="156"/>
      <c r="F57" s="156"/>
      <c r="G57" s="156"/>
      <c r="H57" s="156"/>
      <c r="I57" s="156"/>
      <c r="J57" s="156"/>
      <c r="L57" s="16"/>
      <c r="W57" s="155"/>
      <c r="X57" s="156"/>
      <c r="Y57" s="156"/>
      <c r="Z57" s="156"/>
      <c r="AA57" s="156"/>
      <c r="AB57" s="156"/>
      <c r="AC57" s="156"/>
      <c r="AD57" s="156"/>
      <c r="AE57" s="157"/>
    </row>
    <row r="58" spans="2:31" x14ac:dyDescent="0.2">
      <c r="B58" s="16"/>
      <c r="D58" s="156"/>
      <c r="E58" s="156"/>
      <c r="F58" s="156"/>
      <c r="G58" s="156"/>
      <c r="H58" s="156"/>
      <c r="I58" s="156"/>
      <c r="J58" s="156"/>
      <c r="L58" s="16"/>
      <c r="W58" s="155"/>
      <c r="X58" s="156"/>
      <c r="Y58" s="156"/>
      <c r="Z58" s="156"/>
      <c r="AA58" s="156"/>
      <c r="AB58" s="156"/>
      <c r="AC58" s="156"/>
      <c r="AD58" s="156"/>
      <c r="AE58" s="157"/>
    </row>
    <row r="59" spans="2:31" x14ac:dyDescent="0.2">
      <c r="B59" s="16"/>
      <c r="D59" s="156"/>
      <c r="E59" s="156"/>
      <c r="F59" s="156"/>
      <c r="G59" s="156"/>
      <c r="H59" s="156"/>
      <c r="I59" s="156"/>
      <c r="J59" s="156"/>
      <c r="L59" s="16"/>
      <c r="W59" s="155"/>
      <c r="X59" s="156"/>
      <c r="Y59" s="156"/>
      <c r="Z59" s="156"/>
      <c r="AA59" s="156"/>
      <c r="AB59" s="156"/>
      <c r="AC59" s="156"/>
      <c r="AD59" s="156"/>
      <c r="AE59" s="157"/>
    </row>
    <row r="60" spans="2:31" x14ac:dyDescent="0.2">
      <c r="B60" s="16"/>
      <c r="D60" s="156"/>
      <c r="E60" s="156"/>
      <c r="F60" s="156"/>
      <c r="G60" s="156"/>
      <c r="H60" s="156"/>
      <c r="I60" s="156"/>
      <c r="J60" s="156"/>
      <c r="L60" s="16"/>
      <c r="W60" s="155"/>
      <c r="X60" s="156"/>
      <c r="Y60" s="156"/>
      <c r="Z60" s="156"/>
      <c r="AA60" s="156"/>
      <c r="AB60" s="156"/>
      <c r="AC60" s="156"/>
      <c r="AD60" s="156"/>
      <c r="AE60" s="157"/>
    </row>
    <row r="61" spans="2:31" s="1" customFormat="1" ht="13.2" x14ac:dyDescent="0.2">
      <c r="B61" s="24"/>
      <c r="D61" s="522"/>
      <c r="E61" s="523"/>
      <c r="F61" s="536"/>
      <c r="G61" s="522"/>
      <c r="H61" s="523"/>
      <c r="I61" s="523"/>
      <c r="J61" s="169"/>
      <c r="K61" s="26"/>
      <c r="L61" s="24"/>
      <c r="W61" s="158"/>
      <c r="X61" s="658"/>
      <c r="Y61" s="659"/>
      <c r="Z61" s="658"/>
      <c r="AA61" s="536"/>
      <c r="AB61" s="659"/>
      <c r="AC61" s="658"/>
      <c r="AD61" s="658"/>
      <c r="AE61" s="577"/>
    </row>
    <row r="62" spans="2:31" x14ac:dyDescent="0.2">
      <c r="B62" s="16"/>
      <c r="D62" s="156"/>
      <c r="E62" s="156"/>
      <c r="F62" s="156"/>
      <c r="G62" s="156"/>
      <c r="H62" s="156"/>
      <c r="I62" s="156"/>
      <c r="J62" s="156"/>
      <c r="L62" s="16"/>
      <c r="W62" s="155"/>
      <c r="X62" s="156"/>
      <c r="Y62" s="156"/>
      <c r="Z62" s="156"/>
      <c r="AA62" s="156"/>
      <c r="AB62" s="156"/>
      <c r="AC62" s="156"/>
      <c r="AD62" s="156"/>
      <c r="AE62" s="157"/>
    </row>
    <row r="63" spans="2:31" x14ac:dyDescent="0.2">
      <c r="B63" s="16"/>
      <c r="D63" s="156"/>
      <c r="E63" s="156"/>
      <c r="F63" s="156"/>
      <c r="G63" s="156"/>
      <c r="H63" s="156"/>
      <c r="I63" s="156"/>
      <c r="J63" s="156"/>
      <c r="L63" s="16"/>
      <c r="W63" s="155"/>
      <c r="X63" s="156"/>
      <c r="Y63" s="156"/>
      <c r="Z63" s="156"/>
      <c r="AA63" s="156"/>
      <c r="AB63" s="156"/>
      <c r="AC63" s="156"/>
      <c r="AD63" s="156"/>
      <c r="AE63" s="157"/>
    </row>
    <row r="64" spans="2:31" x14ac:dyDescent="0.2">
      <c r="B64" s="16"/>
      <c r="D64" s="156"/>
      <c r="E64" s="156"/>
      <c r="F64" s="156"/>
      <c r="G64" s="156"/>
      <c r="H64" s="156"/>
      <c r="I64" s="156"/>
      <c r="J64" s="156"/>
      <c r="L64" s="16"/>
      <c r="W64" s="155"/>
      <c r="X64" s="156"/>
      <c r="Y64" s="156"/>
      <c r="Z64" s="156"/>
      <c r="AA64" s="156"/>
      <c r="AB64" s="156"/>
      <c r="AC64" s="156"/>
      <c r="AD64" s="156"/>
      <c r="AE64" s="157"/>
    </row>
    <row r="65" spans="2:31" s="1" customFormat="1" ht="13.2" x14ac:dyDescent="0.2">
      <c r="B65" s="24"/>
      <c r="D65" s="530"/>
      <c r="E65" s="523"/>
      <c r="F65" s="523"/>
      <c r="G65" s="530"/>
      <c r="H65" s="523"/>
      <c r="I65" s="523"/>
      <c r="J65" s="523"/>
      <c r="K65" s="32"/>
      <c r="L65" s="24"/>
      <c r="W65" s="158"/>
      <c r="X65" s="658"/>
      <c r="Y65" s="530"/>
      <c r="Z65" s="658"/>
      <c r="AA65" s="658"/>
      <c r="AB65" s="530"/>
      <c r="AC65" s="658"/>
      <c r="AD65" s="658"/>
      <c r="AE65" s="159"/>
    </row>
    <row r="66" spans="2:31" x14ac:dyDescent="0.2">
      <c r="B66" s="16"/>
      <c r="D66" s="156"/>
      <c r="E66" s="156"/>
      <c r="F66" s="156"/>
      <c r="G66" s="156"/>
      <c r="H66" s="156"/>
      <c r="I66" s="156"/>
      <c r="J66" s="156"/>
      <c r="L66" s="16"/>
      <c r="W66" s="155"/>
      <c r="X66" s="156"/>
      <c r="Y66" s="156"/>
      <c r="Z66" s="156"/>
      <c r="AA66" s="156"/>
      <c r="AB66" s="156"/>
      <c r="AC66" s="156"/>
      <c r="AD66" s="156"/>
      <c r="AE66" s="157"/>
    </row>
    <row r="67" spans="2:31" x14ac:dyDescent="0.2">
      <c r="B67" s="16"/>
      <c r="D67" s="156"/>
      <c r="E67" s="156"/>
      <c r="F67" s="156"/>
      <c r="G67" s="156"/>
      <c r="H67" s="156"/>
      <c r="I67" s="156"/>
      <c r="J67" s="156"/>
      <c r="L67" s="16"/>
      <c r="W67" s="155"/>
      <c r="X67" s="156"/>
      <c r="Y67" s="156"/>
      <c r="Z67" s="156"/>
      <c r="AA67" s="156"/>
      <c r="AB67" s="156"/>
      <c r="AC67" s="156"/>
      <c r="AD67" s="156"/>
      <c r="AE67" s="157"/>
    </row>
    <row r="68" spans="2:31" x14ac:dyDescent="0.2">
      <c r="B68" s="16"/>
      <c r="D68" s="156"/>
      <c r="E68" s="156"/>
      <c r="F68" s="156"/>
      <c r="G68" s="156"/>
      <c r="H68" s="156"/>
      <c r="I68" s="156"/>
      <c r="J68" s="156"/>
      <c r="L68" s="16"/>
      <c r="W68" s="155"/>
      <c r="X68" s="156"/>
      <c r="Y68" s="156"/>
      <c r="Z68" s="156"/>
      <c r="AA68" s="156"/>
      <c r="AB68" s="156"/>
      <c r="AC68" s="156"/>
      <c r="AD68" s="156"/>
      <c r="AE68" s="157"/>
    </row>
    <row r="69" spans="2:31" x14ac:dyDescent="0.2">
      <c r="B69" s="16"/>
      <c r="D69" s="156"/>
      <c r="E69" s="156"/>
      <c r="F69" s="156"/>
      <c r="G69" s="156"/>
      <c r="H69" s="156"/>
      <c r="I69" s="156"/>
      <c r="J69" s="156"/>
      <c r="L69" s="16"/>
      <c r="W69" s="155"/>
      <c r="X69" s="156"/>
      <c r="Y69" s="156"/>
      <c r="Z69" s="156"/>
      <c r="AA69" s="156"/>
      <c r="AB69" s="156"/>
      <c r="AC69" s="156"/>
      <c r="AD69" s="156"/>
      <c r="AE69" s="157"/>
    </row>
    <row r="70" spans="2:31" x14ac:dyDescent="0.2">
      <c r="B70" s="16"/>
      <c r="D70" s="156"/>
      <c r="E70" s="156"/>
      <c r="F70" s="156"/>
      <c r="G70" s="156"/>
      <c r="H70" s="156"/>
      <c r="I70" s="156"/>
      <c r="J70" s="156"/>
      <c r="L70" s="16"/>
      <c r="W70" s="155"/>
      <c r="X70" s="156"/>
      <c r="Y70" s="156"/>
      <c r="Z70" s="156"/>
      <c r="AA70" s="156"/>
      <c r="AB70" s="156"/>
      <c r="AC70" s="156"/>
      <c r="AD70" s="156"/>
      <c r="AE70" s="157"/>
    </row>
    <row r="71" spans="2:31" x14ac:dyDescent="0.2">
      <c r="B71" s="16"/>
      <c r="D71" s="156"/>
      <c r="E71" s="156"/>
      <c r="F71" s="156"/>
      <c r="G71" s="156"/>
      <c r="H71" s="156"/>
      <c r="I71" s="156"/>
      <c r="J71" s="156"/>
      <c r="L71" s="16"/>
      <c r="W71" s="155"/>
      <c r="X71" s="156"/>
      <c r="Y71" s="156"/>
      <c r="Z71" s="156"/>
      <c r="AA71" s="156"/>
      <c r="AB71" s="156"/>
      <c r="AC71" s="156"/>
      <c r="AD71" s="156"/>
      <c r="AE71" s="157"/>
    </row>
    <row r="72" spans="2:31" x14ac:dyDescent="0.2">
      <c r="B72" s="16"/>
      <c r="D72" s="156"/>
      <c r="E72" s="156"/>
      <c r="F72" s="156"/>
      <c r="G72" s="156"/>
      <c r="H72" s="156"/>
      <c r="I72" s="156"/>
      <c r="J72" s="156"/>
      <c r="L72" s="16"/>
      <c r="W72" s="155"/>
      <c r="X72" s="156"/>
      <c r="Y72" s="156"/>
      <c r="Z72" s="156"/>
      <c r="AA72" s="156"/>
      <c r="AB72" s="156"/>
      <c r="AC72" s="156"/>
      <c r="AD72" s="156"/>
      <c r="AE72" s="157"/>
    </row>
    <row r="73" spans="2:31" x14ac:dyDescent="0.2">
      <c r="B73" s="16"/>
      <c r="D73" s="156"/>
      <c r="E73" s="156"/>
      <c r="F73" s="156"/>
      <c r="G73" s="156"/>
      <c r="H73" s="156"/>
      <c r="I73" s="156"/>
      <c r="J73" s="156"/>
      <c r="L73" s="16"/>
      <c r="W73" s="155"/>
      <c r="X73" s="156"/>
      <c r="Y73" s="156"/>
      <c r="Z73" s="156"/>
      <c r="AA73" s="156"/>
      <c r="AB73" s="156"/>
      <c r="AC73" s="156"/>
      <c r="AD73" s="156"/>
      <c r="AE73" s="157"/>
    </row>
    <row r="74" spans="2:31" x14ac:dyDescent="0.2">
      <c r="B74" s="16"/>
      <c r="D74" s="156"/>
      <c r="E74" s="156"/>
      <c r="F74" s="156"/>
      <c r="G74" s="156"/>
      <c r="H74" s="156"/>
      <c r="I74" s="156"/>
      <c r="J74" s="156"/>
      <c r="L74" s="16"/>
      <c r="W74" s="155"/>
      <c r="X74" s="156"/>
      <c r="Y74" s="156"/>
      <c r="Z74" s="156"/>
      <c r="AA74" s="156"/>
      <c r="AB74" s="156"/>
      <c r="AC74" s="156"/>
      <c r="AD74" s="156"/>
      <c r="AE74" s="157"/>
    </row>
    <row r="75" spans="2:31" x14ac:dyDescent="0.2">
      <c r="B75" s="16"/>
      <c r="D75" s="156"/>
      <c r="E75" s="156"/>
      <c r="F75" s="156"/>
      <c r="G75" s="156"/>
      <c r="H75" s="156"/>
      <c r="I75" s="156"/>
      <c r="J75" s="156"/>
      <c r="L75" s="16"/>
      <c r="W75" s="155"/>
      <c r="X75" s="156"/>
      <c r="Y75" s="156"/>
      <c r="Z75" s="156"/>
      <c r="AA75" s="156"/>
      <c r="AB75" s="156"/>
      <c r="AC75" s="156"/>
      <c r="AD75" s="156"/>
      <c r="AE75" s="157"/>
    </row>
    <row r="76" spans="2:31" s="1" customFormat="1" ht="13.2" x14ac:dyDescent="0.2">
      <c r="B76" s="24"/>
      <c r="D76" s="522"/>
      <c r="E76" s="523"/>
      <c r="F76" s="536"/>
      <c r="G76" s="522"/>
      <c r="H76" s="523"/>
      <c r="I76" s="523"/>
      <c r="J76" s="169"/>
      <c r="K76" s="26"/>
      <c r="L76" s="24"/>
      <c r="W76" s="158"/>
      <c r="X76" s="658"/>
      <c r="Y76" s="659"/>
      <c r="Z76" s="658"/>
      <c r="AA76" s="536"/>
      <c r="AB76" s="659"/>
      <c r="AC76" s="658"/>
      <c r="AD76" s="658"/>
      <c r="AE76" s="577"/>
    </row>
    <row r="77" spans="2:31" s="1" customFormat="1" ht="14.55" customHeight="1" x14ac:dyDescent="0.2">
      <c r="B77" s="33"/>
      <c r="C77" s="34"/>
      <c r="D77" s="34"/>
      <c r="E77" s="34"/>
      <c r="F77" s="34"/>
      <c r="G77" s="34"/>
      <c r="H77" s="34"/>
      <c r="I77" s="34"/>
      <c r="J77" s="34"/>
      <c r="K77" s="34"/>
      <c r="L77" s="24"/>
      <c r="W77" s="175"/>
      <c r="X77" s="176"/>
      <c r="Y77" s="176"/>
      <c r="Z77" s="176"/>
      <c r="AA77" s="176"/>
      <c r="AB77" s="176"/>
      <c r="AC77" s="176"/>
      <c r="AD77" s="176"/>
      <c r="AE77" s="177"/>
    </row>
    <row r="81" spans="2:47" s="1" customFormat="1" ht="7.05" customHeight="1" x14ac:dyDescent="0.2">
      <c r="B81" s="35"/>
      <c r="C81" s="36"/>
      <c r="D81" s="36"/>
      <c r="E81" s="36"/>
      <c r="F81" s="36"/>
      <c r="G81" s="36"/>
      <c r="H81" s="36"/>
      <c r="I81" s="36"/>
      <c r="J81" s="36"/>
      <c r="K81" s="36"/>
      <c r="L81" s="24"/>
      <c r="W81" s="178"/>
      <c r="X81" s="179"/>
      <c r="Y81" s="179"/>
      <c r="Z81" s="179"/>
      <c r="AA81" s="179"/>
      <c r="AB81" s="179"/>
      <c r="AC81" s="179"/>
      <c r="AD81" s="179"/>
      <c r="AE81" s="180"/>
    </row>
    <row r="82" spans="2:47" s="1" customFormat="1" ht="25.05" customHeight="1" x14ac:dyDescent="0.2">
      <c r="B82" s="24"/>
      <c r="C82" s="1165" t="s">
        <v>188</v>
      </c>
      <c r="D82" s="1165"/>
      <c r="E82" s="1165"/>
      <c r="F82" s="1165"/>
      <c r="G82" s="1165"/>
      <c r="H82" s="1165"/>
      <c r="I82" s="1165"/>
      <c r="J82" s="1165"/>
      <c r="L82" s="24"/>
      <c r="W82" s="158"/>
      <c r="X82" s="1237" t="s">
        <v>188</v>
      </c>
      <c r="Y82" s="1237"/>
      <c r="Z82" s="1237"/>
      <c r="AA82" s="1237"/>
      <c r="AB82" s="1237"/>
      <c r="AC82" s="1237"/>
      <c r="AD82" s="1237"/>
      <c r="AE82" s="1238"/>
    </row>
    <row r="83" spans="2:47" s="1" customFormat="1" ht="7.05" customHeight="1" x14ac:dyDescent="0.2">
      <c r="B83" s="24"/>
      <c r="L83" s="24"/>
      <c r="W83" s="158"/>
      <c r="X83" s="658"/>
      <c r="Y83" s="658"/>
      <c r="Z83" s="658"/>
      <c r="AA83" s="658"/>
      <c r="AB83" s="658"/>
      <c r="AC83" s="658"/>
      <c r="AD83" s="658"/>
      <c r="AE83" s="159"/>
    </row>
    <row r="84" spans="2:47" s="1" customFormat="1" ht="12" customHeight="1" x14ac:dyDescent="0.2">
      <c r="B84" s="24"/>
      <c r="C84" s="528" t="s">
        <v>12</v>
      </c>
      <c r="E84" s="1242" t="s">
        <v>6177</v>
      </c>
      <c r="F84" s="1242"/>
      <c r="G84" s="1242"/>
      <c r="H84" s="1242"/>
      <c r="I84" s="1242"/>
      <c r="J84" s="1242"/>
      <c r="L84" s="24"/>
      <c r="W84" s="158"/>
      <c r="X84" s="657" t="s">
        <v>12</v>
      </c>
      <c r="Y84" s="658"/>
      <c r="Z84" s="1163" t="s">
        <v>6177</v>
      </c>
      <c r="AA84" s="1163"/>
      <c r="AB84" s="1163"/>
      <c r="AC84" s="1163"/>
      <c r="AD84" s="1163"/>
      <c r="AE84" s="1241"/>
    </row>
    <row r="85" spans="2:47" s="1" customFormat="1" ht="23.55" customHeight="1" x14ac:dyDescent="0.2">
      <c r="B85" s="24"/>
      <c r="C85" s="521"/>
      <c r="E85" s="1243"/>
      <c r="F85" s="1244"/>
      <c r="G85" s="1244"/>
      <c r="H85" s="1244"/>
      <c r="L85" s="24"/>
      <c r="W85" s="158"/>
      <c r="X85" s="658"/>
      <c r="Y85" s="658"/>
      <c r="Z85" s="1249"/>
      <c r="AA85" s="1250"/>
      <c r="AB85" s="1250"/>
      <c r="AC85" s="1250"/>
      <c r="AD85" s="658"/>
      <c r="AE85" s="159"/>
    </row>
    <row r="86" spans="2:47" s="1" customFormat="1" ht="12" customHeight="1" x14ac:dyDescent="0.2">
      <c r="B86" s="24"/>
      <c r="C86" s="528" t="s">
        <v>186</v>
      </c>
      <c r="F86" s="532" t="s">
        <v>4631</v>
      </c>
      <c r="L86" s="24"/>
      <c r="W86" s="158"/>
      <c r="X86" s="657" t="s">
        <v>186</v>
      </c>
      <c r="Y86" s="658"/>
      <c r="Z86" s="658"/>
      <c r="AA86" s="555" t="s">
        <v>4631</v>
      </c>
      <c r="AB86" s="658"/>
      <c r="AC86" s="658"/>
      <c r="AD86" s="658"/>
      <c r="AE86" s="159"/>
    </row>
    <row r="87" spans="2:47" s="1" customFormat="1" ht="16.5" customHeight="1" x14ac:dyDescent="0.2">
      <c r="B87" s="24"/>
      <c r="C87" s="521"/>
      <c r="E87" s="1251"/>
      <c r="F87" s="1252"/>
      <c r="G87" s="1252"/>
      <c r="H87" s="1252"/>
      <c r="L87" s="24"/>
      <c r="W87" s="158"/>
      <c r="X87" s="658"/>
      <c r="Y87" s="658"/>
      <c r="Z87" s="1245"/>
      <c r="AA87" s="1246"/>
      <c r="AB87" s="1246"/>
      <c r="AC87" s="1246"/>
      <c r="AD87" s="658"/>
      <c r="AE87" s="159"/>
    </row>
    <row r="88" spans="2:47" s="1" customFormat="1" ht="7.05" customHeight="1" x14ac:dyDescent="0.2">
      <c r="B88" s="24"/>
      <c r="C88" s="521"/>
      <c r="L88" s="24"/>
      <c r="W88" s="158"/>
      <c r="X88" s="658"/>
      <c r="Y88" s="658"/>
      <c r="Z88" s="658"/>
      <c r="AA88" s="658"/>
      <c r="AB88" s="658"/>
      <c r="AC88" s="658"/>
      <c r="AD88" s="658"/>
      <c r="AE88" s="159"/>
    </row>
    <row r="89" spans="2:47" s="1" customFormat="1" ht="12" customHeight="1" x14ac:dyDescent="0.2">
      <c r="B89" s="24"/>
      <c r="C89" s="528" t="s">
        <v>15</v>
      </c>
      <c r="F89" s="19" t="str">
        <f>F12</f>
        <v>Kuzmányho nábrežie 28, 960 01 Zvolen</v>
      </c>
      <c r="I89" s="528" t="s">
        <v>17</v>
      </c>
      <c r="J89" s="39" t="str">
        <f>IF(J12="","",J12)</f>
        <v/>
      </c>
      <c r="L89" s="24"/>
      <c r="W89" s="158"/>
      <c r="X89" s="657" t="s">
        <v>15</v>
      </c>
      <c r="Y89" s="658"/>
      <c r="Z89" s="658"/>
      <c r="AA89" s="655" t="str">
        <f>AA12</f>
        <v>Kuzmányho nábrežie 28, 960 01 Zvolen</v>
      </c>
      <c r="AB89" s="658"/>
      <c r="AC89" s="658"/>
      <c r="AD89" s="657" t="s">
        <v>17</v>
      </c>
      <c r="AE89" s="162" t="str">
        <f>IF(AE12="","",AE12)</f>
        <v/>
      </c>
    </row>
    <row r="90" spans="2:47" s="1" customFormat="1" ht="7.05" customHeight="1" x14ac:dyDescent="0.2">
      <c r="B90" s="24"/>
      <c r="C90" s="521"/>
      <c r="I90" s="521"/>
      <c r="L90" s="24"/>
      <c r="W90" s="158"/>
      <c r="X90" s="658"/>
      <c r="Y90" s="658"/>
      <c r="Z90" s="658"/>
      <c r="AA90" s="658"/>
      <c r="AB90" s="658"/>
      <c r="AC90" s="658"/>
      <c r="AD90" s="658"/>
      <c r="AE90" s="159"/>
    </row>
    <row r="91" spans="2:47" s="1" customFormat="1" ht="15.3" customHeight="1" x14ac:dyDescent="0.2">
      <c r="B91" s="24"/>
      <c r="C91" s="528" t="s">
        <v>18</v>
      </c>
      <c r="F91" s="529" t="s">
        <v>6175</v>
      </c>
      <c r="I91" s="528" t="s">
        <v>22</v>
      </c>
      <c r="J91" s="22" t="str">
        <f>E21</f>
        <v xml:space="preserve"> </v>
      </c>
      <c r="L91" s="24"/>
      <c r="W91" s="158"/>
      <c r="X91" s="657" t="s">
        <v>18</v>
      </c>
      <c r="Y91" s="658"/>
      <c r="Z91" s="658"/>
      <c r="AA91" s="576" t="s">
        <v>6175</v>
      </c>
      <c r="AB91" s="658"/>
      <c r="AC91" s="658"/>
      <c r="AD91" s="657" t="s">
        <v>22</v>
      </c>
      <c r="AE91" s="181" t="str">
        <f>Z21</f>
        <v/>
      </c>
    </row>
    <row r="92" spans="2:47" s="1" customFormat="1" ht="15.3" customHeight="1" x14ac:dyDescent="0.2">
      <c r="B92" s="24"/>
      <c r="C92" s="528" t="s">
        <v>21</v>
      </c>
      <c r="F92" s="529" t="s">
        <v>5202</v>
      </c>
      <c r="I92" s="528" t="s">
        <v>24</v>
      </c>
      <c r="J92" s="22" t="str">
        <f>E24</f>
        <v xml:space="preserve"> </v>
      </c>
      <c r="L92" s="24"/>
      <c r="W92" s="158"/>
      <c r="X92" s="657" t="s">
        <v>21</v>
      </c>
      <c r="Y92" s="658"/>
      <c r="Z92" s="658"/>
      <c r="AA92" s="576" t="s">
        <v>5202</v>
      </c>
      <c r="AB92" s="658"/>
      <c r="AC92" s="658"/>
      <c r="AD92" s="657" t="s">
        <v>24</v>
      </c>
      <c r="AE92" s="181" t="str">
        <f>Z24</f>
        <v/>
      </c>
    </row>
    <row r="93" spans="2:47" s="1" customFormat="1" ht="10.199999999999999" customHeight="1" x14ac:dyDescent="0.2">
      <c r="B93" s="24"/>
      <c r="L93" s="24"/>
      <c r="W93" s="158"/>
      <c r="X93" s="658"/>
      <c r="Y93" s="658"/>
      <c r="Z93" s="658"/>
      <c r="AA93" s="658"/>
      <c r="AB93" s="658"/>
      <c r="AC93" s="658"/>
      <c r="AD93" s="658"/>
      <c r="AE93" s="159"/>
    </row>
    <row r="94" spans="2:47" s="1" customFormat="1" ht="29.25" customHeight="1" x14ac:dyDescent="0.2">
      <c r="B94" s="24"/>
      <c r="C94" s="86" t="s">
        <v>189</v>
      </c>
      <c r="D94" s="80"/>
      <c r="E94" s="80"/>
      <c r="F94" s="80"/>
      <c r="G94" s="80"/>
      <c r="H94" s="80"/>
      <c r="I94" s="80"/>
      <c r="J94" s="87" t="s">
        <v>190</v>
      </c>
      <c r="K94" s="80"/>
      <c r="L94" s="24"/>
      <c r="W94" s="158"/>
      <c r="X94" s="182" t="s">
        <v>189</v>
      </c>
      <c r="Y94" s="173"/>
      <c r="Z94" s="173"/>
      <c r="AA94" s="173"/>
      <c r="AB94" s="173"/>
      <c r="AC94" s="173"/>
      <c r="AD94" s="173"/>
      <c r="AE94" s="183" t="s">
        <v>190</v>
      </c>
    </row>
    <row r="95" spans="2:47" s="1" customFormat="1" ht="10.199999999999999" customHeight="1" x14ac:dyDescent="0.2">
      <c r="B95" s="24"/>
      <c r="L95" s="24"/>
      <c r="W95" s="158"/>
      <c r="X95" s="658"/>
      <c r="Y95" s="658"/>
      <c r="Z95" s="658"/>
      <c r="AA95" s="658"/>
      <c r="AB95" s="658"/>
      <c r="AC95" s="658"/>
      <c r="AD95" s="658"/>
      <c r="AE95" s="159"/>
    </row>
    <row r="96" spans="2:47" s="1" customFormat="1" ht="22.95" customHeight="1" x14ac:dyDescent="0.2">
      <c r="B96" s="24"/>
      <c r="C96" s="88" t="s">
        <v>191</v>
      </c>
      <c r="J96" s="53">
        <f>J121</f>
        <v>326088.56999999995</v>
      </c>
      <c r="L96" s="24"/>
      <c r="W96" s="158"/>
      <c r="X96" s="184" t="s">
        <v>191</v>
      </c>
      <c r="Y96" s="658"/>
      <c r="Z96" s="658"/>
      <c r="AA96" s="658"/>
      <c r="AB96" s="658"/>
      <c r="AC96" s="658"/>
      <c r="AD96" s="658"/>
      <c r="AE96" s="168">
        <f>AE121</f>
        <v>316741.39999999991</v>
      </c>
      <c r="AF96" s="1119"/>
      <c r="AU96" s="13" t="s">
        <v>192</v>
      </c>
    </row>
    <row r="97" spans="2:32" s="8" customFormat="1" ht="25.05" customHeight="1" x14ac:dyDescent="0.2">
      <c r="B97" s="89"/>
      <c r="D97" s="90" t="s">
        <v>4632</v>
      </c>
      <c r="E97" s="91"/>
      <c r="F97" s="91"/>
      <c r="G97" s="91"/>
      <c r="H97" s="91"/>
      <c r="I97" s="91"/>
      <c r="J97" s="92">
        <f>J122</f>
        <v>267783.19999999995</v>
      </c>
      <c r="L97" s="89"/>
      <c r="W97" s="185"/>
      <c r="X97" s="186"/>
      <c r="Y97" s="90" t="s">
        <v>4632</v>
      </c>
      <c r="Z97" s="91"/>
      <c r="AA97" s="91"/>
      <c r="AB97" s="91"/>
      <c r="AC97" s="91"/>
      <c r="AD97" s="91"/>
      <c r="AE97" s="1154">
        <f>AE122</f>
        <v>255111.12999999995</v>
      </c>
      <c r="AF97" s="328"/>
    </row>
    <row r="98" spans="2:32" s="9" customFormat="1" ht="19.95" customHeight="1" x14ac:dyDescent="0.2">
      <c r="B98" s="93"/>
      <c r="D98" s="94" t="s">
        <v>3996</v>
      </c>
      <c r="E98" s="95"/>
      <c r="F98" s="95"/>
      <c r="G98" s="95"/>
      <c r="H98" s="95"/>
      <c r="I98" s="95"/>
      <c r="J98" s="96">
        <f>J160</f>
        <v>22399.5</v>
      </c>
      <c r="L98" s="93"/>
      <c r="W98" s="188"/>
      <c r="X98" s="189"/>
      <c r="Y98" s="94" t="s">
        <v>3996</v>
      </c>
      <c r="Z98" s="95"/>
      <c r="AA98" s="95"/>
      <c r="AB98" s="95"/>
      <c r="AC98" s="95"/>
      <c r="AD98" s="95"/>
      <c r="AE98" s="1156">
        <f>AE160</f>
        <v>22399.5</v>
      </c>
    </row>
    <row r="99" spans="2:32" s="9" customFormat="1" ht="19.95" customHeight="1" x14ac:dyDescent="0.2">
      <c r="B99" s="93"/>
      <c r="D99" s="94" t="s">
        <v>3997</v>
      </c>
      <c r="E99" s="95"/>
      <c r="F99" s="95"/>
      <c r="G99" s="95"/>
      <c r="H99" s="95"/>
      <c r="I99" s="95"/>
      <c r="J99" s="96">
        <f>J167</f>
        <v>0</v>
      </c>
      <c r="L99" s="93"/>
      <c r="W99" s="188"/>
      <c r="X99" s="189"/>
      <c r="Y99" s="94" t="s">
        <v>3997</v>
      </c>
      <c r="Z99" s="95"/>
      <c r="AA99" s="95"/>
      <c r="AB99" s="95"/>
      <c r="AC99" s="95"/>
      <c r="AD99" s="95"/>
      <c r="AE99" s="1156">
        <f>AE167</f>
        <v>0</v>
      </c>
    </row>
    <row r="100" spans="2:32" s="9" customFormat="1" ht="19.95" customHeight="1" x14ac:dyDescent="0.2">
      <c r="B100" s="93"/>
      <c r="D100" s="94" t="s">
        <v>4633</v>
      </c>
      <c r="E100" s="95"/>
      <c r="F100" s="95"/>
      <c r="G100" s="95"/>
      <c r="H100" s="95"/>
      <c r="I100" s="95"/>
      <c r="J100" s="96">
        <f>J168</f>
        <v>24526.789999999997</v>
      </c>
      <c r="L100" s="93"/>
      <c r="W100" s="188"/>
      <c r="X100" s="189"/>
      <c r="Y100" s="94" t="s">
        <v>4633</v>
      </c>
      <c r="Z100" s="95"/>
      <c r="AA100" s="95"/>
      <c r="AB100" s="95"/>
      <c r="AC100" s="95"/>
      <c r="AD100" s="95"/>
      <c r="AE100" s="1156">
        <f>AE168</f>
        <v>22369.05</v>
      </c>
    </row>
    <row r="101" spans="2:32" s="9" customFormat="1" ht="19.95" customHeight="1" x14ac:dyDescent="0.2">
      <c r="B101" s="93"/>
      <c r="D101" s="94" t="s">
        <v>4634</v>
      </c>
      <c r="E101" s="95"/>
      <c r="F101" s="95"/>
      <c r="G101" s="95"/>
      <c r="H101" s="95"/>
      <c r="I101" s="95"/>
      <c r="J101" s="96">
        <f>J174</f>
        <v>11379.08</v>
      </c>
      <c r="L101" s="93"/>
      <c r="W101" s="188"/>
      <c r="X101" s="189"/>
      <c r="Y101" s="94" t="s">
        <v>4634</v>
      </c>
      <c r="Z101" s="95"/>
      <c r="AA101" s="95"/>
      <c r="AB101" s="95"/>
      <c r="AC101" s="95"/>
      <c r="AD101" s="95"/>
      <c r="AE101" s="1156">
        <f>AE174</f>
        <v>16861.72</v>
      </c>
    </row>
    <row r="102" spans="2:32" s="1" customFormat="1" ht="21.75" customHeight="1" x14ac:dyDescent="0.2">
      <c r="B102" s="24"/>
      <c r="L102" s="24"/>
      <c r="W102" s="158"/>
      <c r="X102" s="658"/>
      <c r="Y102" s="658"/>
      <c r="Z102" s="658"/>
      <c r="AA102" s="658"/>
      <c r="AB102" s="658"/>
      <c r="AC102" s="658"/>
      <c r="AD102" s="658"/>
      <c r="AE102" s="1157"/>
    </row>
    <row r="103" spans="2:32" s="1" customFormat="1" ht="7.05" customHeight="1" x14ac:dyDescent="0.2">
      <c r="B103" s="33"/>
      <c r="C103" s="34"/>
      <c r="D103" s="34"/>
      <c r="E103" s="34"/>
      <c r="F103" s="34"/>
      <c r="G103" s="34"/>
      <c r="H103" s="34"/>
      <c r="I103" s="34"/>
      <c r="J103" s="34"/>
      <c r="K103" s="34"/>
      <c r="L103" s="24"/>
      <c r="W103" s="175"/>
      <c r="X103" s="176"/>
      <c r="Y103" s="176"/>
      <c r="Z103" s="176"/>
      <c r="AA103" s="176"/>
      <c r="AB103" s="176"/>
      <c r="AC103" s="176"/>
      <c r="AD103" s="176"/>
      <c r="AE103" s="177"/>
    </row>
    <row r="107" spans="2:32" s="1" customFormat="1" ht="7.05" customHeight="1" x14ac:dyDescent="0.2">
      <c r="B107" s="35"/>
      <c r="C107" s="36"/>
      <c r="D107" s="36"/>
      <c r="E107" s="36"/>
      <c r="F107" s="36"/>
      <c r="G107" s="36"/>
      <c r="H107" s="36"/>
      <c r="I107" s="36"/>
      <c r="J107" s="36"/>
      <c r="K107" s="36"/>
      <c r="L107" s="24"/>
      <c r="W107" s="178"/>
      <c r="X107" s="179"/>
      <c r="Y107" s="179"/>
      <c r="Z107" s="179"/>
      <c r="AA107" s="179"/>
      <c r="AB107" s="179"/>
      <c r="AC107" s="179"/>
      <c r="AD107" s="179"/>
      <c r="AE107" s="180"/>
    </row>
    <row r="108" spans="2:32" s="1" customFormat="1" ht="25.05" customHeight="1" x14ac:dyDescent="0.2">
      <c r="B108" s="24"/>
      <c r="C108" s="1165" t="s">
        <v>214</v>
      </c>
      <c r="D108" s="1165"/>
      <c r="E108" s="1165"/>
      <c r="F108" s="1165"/>
      <c r="G108" s="1165"/>
      <c r="H108" s="1165"/>
      <c r="I108" s="1165"/>
      <c r="J108" s="1165"/>
      <c r="L108" s="24"/>
      <c r="W108" s="158"/>
      <c r="X108" s="1237" t="s">
        <v>214</v>
      </c>
      <c r="Y108" s="1237"/>
      <c r="Z108" s="1237"/>
      <c r="AA108" s="1237"/>
      <c r="AB108" s="1237"/>
      <c r="AC108" s="1237"/>
      <c r="AD108" s="1237"/>
      <c r="AE108" s="1238"/>
    </row>
    <row r="109" spans="2:32" s="1" customFormat="1" ht="7.05" customHeight="1" x14ac:dyDescent="0.2">
      <c r="B109" s="24"/>
      <c r="L109" s="24"/>
      <c r="W109" s="158"/>
      <c r="X109" s="658"/>
      <c r="Y109" s="658"/>
      <c r="Z109" s="658"/>
      <c r="AA109" s="658"/>
      <c r="AB109" s="658"/>
      <c r="AC109" s="658"/>
      <c r="AD109" s="658"/>
      <c r="AE109" s="159"/>
    </row>
    <row r="110" spans="2:32" s="1" customFormat="1" ht="12" customHeight="1" x14ac:dyDescent="0.2">
      <c r="B110" s="24"/>
      <c r="C110" s="528" t="s">
        <v>12</v>
      </c>
      <c r="E110" s="1242" t="s">
        <v>6177</v>
      </c>
      <c r="F110" s="1242"/>
      <c r="G110" s="1242"/>
      <c r="H110" s="1242"/>
      <c r="I110" s="1242"/>
      <c r="J110" s="1242"/>
      <c r="L110" s="24"/>
      <c r="W110" s="158"/>
      <c r="X110" s="657" t="s">
        <v>12</v>
      </c>
      <c r="Y110" s="658"/>
      <c r="Z110" s="1163" t="s">
        <v>6177</v>
      </c>
      <c r="AA110" s="1163"/>
      <c r="AB110" s="1163"/>
      <c r="AC110" s="1163"/>
      <c r="AD110" s="1163"/>
      <c r="AE110" s="1241"/>
    </row>
    <row r="111" spans="2:32" s="1" customFormat="1" ht="23.55" customHeight="1" x14ac:dyDescent="0.2">
      <c r="B111" s="24"/>
      <c r="C111" s="521"/>
      <c r="E111" s="1243"/>
      <c r="F111" s="1244"/>
      <c r="G111" s="1244"/>
      <c r="H111" s="1244"/>
      <c r="L111" s="24"/>
      <c r="W111" s="158"/>
      <c r="X111" s="658"/>
      <c r="Y111" s="658"/>
      <c r="Z111" s="1249"/>
      <c r="AA111" s="1250"/>
      <c r="AB111" s="1250"/>
      <c r="AC111" s="1250"/>
      <c r="AD111" s="658"/>
      <c r="AE111" s="159"/>
    </row>
    <row r="112" spans="2:32" s="1" customFormat="1" ht="12" customHeight="1" x14ac:dyDescent="0.2">
      <c r="B112" s="24"/>
      <c r="C112" s="528" t="s">
        <v>186</v>
      </c>
      <c r="F112" s="532" t="s">
        <v>4631</v>
      </c>
      <c r="L112" s="24"/>
      <c r="W112" s="158"/>
      <c r="X112" s="657" t="s">
        <v>186</v>
      </c>
      <c r="Y112" s="658"/>
      <c r="Z112" s="658"/>
      <c r="AA112" s="555" t="s">
        <v>4631</v>
      </c>
      <c r="AB112" s="658"/>
      <c r="AC112" s="658"/>
      <c r="AD112" s="658"/>
      <c r="AE112" s="159"/>
    </row>
    <row r="113" spans="2:65" s="1" customFormat="1" ht="16.5" customHeight="1" x14ac:dyDescent="0.2">
      <c r="B113" s="24"/>
      <c r="C113" s="521"/>
      <c r="E113" s="1251"/>
      <c r="F113" s="1252"/>
      <c r="G113" s="1252"/>
      <c r="H113" s="1252"/>
      <c r="L113" s="24"/>
      <c r="W113" s="158"/>
      <c r="X113" s="658"/>
      <c r="Y113" s="658"/>
      <c r="Z113" s="1245"/>
      <c r="AA113" s="1246"/>
      <c r="AB113" s="1246"/>
      <c r="AC113" s="1246"/>
      <c r="AD113" s="658"/>
      <c r="AE113" s="159"/>
    </row>
    <row r="114" spans="2:65" s="1" customFormat="1" ht="7.05" customHeight="1" x14ac:dyDescent="0.2">
      <c r="B114" s="24"/>
      <c r="C114" s="521"/>
      <c r="L114" s="24"/>
      <c r="W114" s="158"/>
      <c r="X114" s="658"/>
      <c r="Y114" s="658"/>
      <c r="Z114" s="658"/>
      <c r="AA114" s="658"/>
      <c r="AB114" s="658"/>
      <c r="AC114" s="658"/>
      <c r="AD114" s="658"/>
      <c r="AE114" s="159"/>
    </row>
    <row r="115" spans="2:65" s="1" customFormat="1" ht="12" customHeight="1" x14ac:dyDescent="0.2">
      <c r="B115" s="24"/>
      <c r="C115" s="528" t="s">
        <v>15</v>
      </c>
      <c r="F115" s="19" t="str">
        <f>F12</f>
        <v>Kuzmányho nábrežie 28, 960 01 Zvolen</v>
      </c>
      <c r="I115" s="528" t="s">
        <v>17</v>
      </c>
      <c r="J115" s="39" t="str">
        <f>IF(J12="","",J12)</f>
        <v/>
      </c>
      <c r="L115" s="24"/>
      <c r="W115" s="158"/>
      <c r="X115" s="657" t="s">
        <v>15</v>
      </c>
      <c r="Y115" s="658"/>
      <c r="Z115" s="658"/>
      <c r="AA115" s="655" t="str">
        <f>AA12</f>
        <v>Kuzmányho nábrežie 28, 960 01 Zvolen</v>
      </c>
      <c r="AB115" s="658"/>
      <c r="AC115" s="658"/>
      <c r="AD115" s="657" t="s">
        <v>17</v>
      </c>
      <c r="AE115" s="162" t="str">
        <f>IF(AE12="","",AE12)</f>
        <v/>
      </c>
    </row>
    <row r="116" spans="2:65" s="1" customFormat="1" ht="7.05" customHeight="1" x14ac:dyDescent="0.2">
      <c r="B116" s="24"/>
      <c r="C116" s="521"/>
      <c r="I116" s="521"/>
      <c r="L116" s="24"/>
      <c r="W116" s="158"/>
      <c r="X116" s="658"/>
      <c r="Y116" s="658"/>
      <c r="Z116" s="658"/>
      <c r="AA116" s="658"/>
      <c r="AB116" s="658"/>
      <c r="AC116" s="658"/>
      <c r="AD116" s="658"/>
      <c r="AE116" s="159"/>
    </row>
    <row r="117" spans="2:65" s="1" customFormat="1" ht="15.3" customHeight="1" x14ac:dyDescent="0.2">
      <c r="B117" s="24"/>
      <c r="C117" s="528" t="s">
        <v>18</v>
      </c>
      <c r="F117" s="529" t="s">
        <v>6175</v>
      </c>
      <c r="I117" s="528" t="s">
        <v>22</v>
      </c>
      <c r="J117" s="22" t="str">
        <f>E21</f>
        <v xml:space="preserve"> </v>
      </c>
      <c r="L117" s="24"/>
      <c r="W117" s="158"/>
      <c r="X117" s="657" t="s">
        <v>18</v>
      </c>
      <c r="Y117" s="658"/>
      <c r="Z117" s="658"/>
      <c r="AA117" s="576" t="s">
        <v>6175</v>
      </c>
      <c r="AB117" s="658"/>
      <c r="AC117" s="658"/>
      <c r="AD117" s="657" t="s">
        <v>22</v>
      </c>
      <c r="AE117" s="181" t="str">
        <f>Z21</f>
        <v/>
      </c>
    </row>
    <row r="118" spans="2:65" s="1" customFormat="1" ht="15.3" customHeight="1" x14ac:dyDescent="0.2">
      <c r="B118" s="24"/>
      <c r="C118" s="528" t="s">
        <v>21</v>
      </c>
      <c r="F118" s="529" t="s">
        <v>5202</v>
      </c>
      <c r="I118" s="528" t="s">
        <v>24</v>
      </c>
      <c r="J118" s="22" t="str">
        <f>E24</f>
        <v xml:space="preserve"> </v>
      </c>
      <c r="L118" s="24"/>
      <c r="W118" s="158"/>
      <c r="X118" s="657" t="s">
        <v>21</v>
      </c>
      <c r="Y118" s="658"/>
      <c r="Z118" s="658"/>
      <c r="AA118" s="576" t="s">
        <v>5202</v>
      </c>
      <c r="AB118" s="658"/>
      <c r="AC118" s="658"/>
      <c r="AD118" s="657" t="s">
        <v>24</v>
      </c>
      <c r="AE118" s="181" t="str">
        <f>Z24</f>
        <v/>
      </c>
    </row>
    <row r="119" spans="2:65" s="1" customFormat="1" ht="10.199999999999999" customHeight="1" x14ac:dyDescent="0.2">
      <c r="B119" s="24"/>
      <c r="L119" s="24"/>
      <c r="W119" s="158"/>
      <c r="X119" s="658"/>
      <c r="Y119" s="658"/>
      <c r="Z119" s="658"/>
      <c r="AA119" s="658"/>
      <c r="AB119" s="658"/>
      <c r="AC119" s="658"/>
      <c r="AD119" s="658"/>
      <c r="AE119" s="159"/>
    </row>
    <row r="120" spans="2:65" s="10" customFormat="1" ht="29.25" customHeight="1" x14ac:dyDescent="0.2">
      <c r="B120" s="97"/>
      <c r="C120" s="98" t="s">
        <v>215</v>
      </c>
      <c r="D120" s="99" t="s">
        <v>43</v>
      </c>
      <c r="E120" s="99" t="s">
        <v>41</v>
      </c>
      <c r="F120" s="99" t="s">
        <v>42</v>
      </c>
      <c r="G120" s="99" t="s">
        <v>216</v>
      </c>
      <c r="H120" s="99" t="s">
        <v>217</v>
      </c>
      <c r="I120" s="99" t="s">
        <v>218</v>
      </c>
      <c r="J120" s="100" t="s">
        <v>190</v>
      </c>
      <c r="K120" s="101" t="s">
        <v>219</v>
      </c>
      <c r="L120" s="97"/>
      <c r="M120" s="46" t="s">
        <v>1</v>
      </c>
      <c r="N120" s="47" t="s">
        <v>30</v>
      </c>
      <c r="O120" s="47" t="s">
        <v>220</v>
      </c>
      <c r="P120" s="47" t="s">
        <v>221</v>
      </c>
      <c r="Q120" s="47" t="s">
        <v>222</v>
      </c>
      <c r="R120" s="47" t="s">
        <v>223</v>
      </c>
      <c r="S120" s="47" t="s">
        <v>224</v>
      </c>
      <c r="T120" s="48" t="s">
        <v>225</v>
      </c>
      <c r="W120" s="191"/>
      <c r="X120" s="98" t="s">
        <v>215</v>
      </c>
      <c r="Y120" s="99" t="s">
        <v>43</v>
      </c>
      <c r="Z120" s="99" t="s">
        <v>41</v>
      </c>
      <c r="AA120" s="99" t="s">
        <v>42</v>
      </c>
      <c r="AB120" s="99" t="s">
        <v>216</v>
      </c>
      <c r="AC120" s="99" t="s">
        <v>217</v>
      </c>
      <c r="AD120" s="99" t="s">
        <v>218</v>
      </c>
      <c r="AE120" s="192" t="s">
        <v>190</v>
      </c>
      <c r="AF120" s="99" t="s">
        <v>5220</v>
      </c>
    </row>
    <row r="121" spans="2:65" s="1" customFormat="1" ht="22.95" customHeight="1" x14ac:dyDescent="0.3">
      <c r="B121" s="24"/>
      <c r="C121" s="51" t="s">
        <v>191</v>
      </c>
      <c r="J121" s="102">
        <f>BK121</f>
        <v>326088.56999999995</v>
      </c>
      <c r="L121" s="24"/>
      <c r="M121" s="49"/>
      <c r="N121" s="40"/>
      <c r="O121" s="40"/>
      <c r="P121" s="103">
        <f>P122</f>
        <v>0</v>
      </c>
      <c r="Q121" s="40"/>
      <c r="R121" s="103">
        <f>R122</f>
        <v>0</v>
      </c>
      <c r="S121" s="40"/>
      <c r="T121" s="104">
        <f>T122</f>
        <v>0</v>
      </c>
      <c r="W121" s="158"/>
      <c r="X121" s="193" t="s">
        <v>191</v>
      </c>
      <c r="Y121" s="658"/>
      <c r="Z121" s="658"/>
      <c r="AA121" s="658"/>
      <c r="AB121" s="658"/>
      <c r="AC121" s="658"/>
      <c r="AD121" s="658"/>
      <c r="AE121" s="194">
        <f>AE122+AE160+AE168+AE174</f>
        <v>316741.39999999991</v>
      </c>
      <c r="AF121" s="248"/>
      <c r="AG121" s="130"/>
      <c r="AT121" s="13" t="s">
        <v>57</v>
      </c>
      <c r="AU121" s="13" t="s">
        <v>192</v>
      </c>
      <c r="BK121" s="105">
        <f>BK122</f>
        <v>326088.56999999995</v>
      </c>
    </row>
    <row r="122" spans="2:65" s="11" customFormat="1" ht="25.95" customHeight="1" x14ac:dyDescent="0.25">
      <c r="B122" s="106"/>
      <c r="D122" s="107" t="s">
        <v>57</v>
      </c>
      <c r="E122" s="108" t="s">
        <v>4635</v>
      </c>
      <c r="F122" s="108" t="s">
        <v>2564</v>
      </c>
      <c r="J122" s="109">
        <f>SUM(J123:J159)</f>
        <v>267783.19999999995</v>
      </c>
      <c r="L122" s="106"/>
      <c r="M122" s="110"/>
      <c r="N122" s="111"/>
      <c r="O122" s="111"/>
      <c r="P122" s="112">
        <f>P123+SUM(P124:P160)+P167+P168+P174</f>
        <v>0</v>
      </c>
      <c r="Q122" s="111"/>
      <c r="R122" s="112">
        <f>R123+SUM(R124:R160)+R167+R168+R174</f>
        <v>0</v>
      </c>
      <c r="S122" s="111"/>
      <c r="T122" s="113">
        <f>T123+SUM(T124:T160)+T167+T168+T174</f>
        <v>0</v>
      </c>
      <c r="W122" s="195"/>
      <c r="X122" s="111"/>
      <c r="Y122" s="196" t="s">
        <v>57</v>
      </c>
      <c r="Z122" s="197" t="s">
        <v>4635</v>
      </c>
      <c r="AA122" s="197" t="s">
        <v>2564</v>
      </c>
      <c r="AB122" s="111"/>
      <c r="AC122" s="111"/>
      <c r="AD122" s="111"/>
      <c r="AE122" s="198">
        <f>SUM(AE123:AE159)</f>
        <v>255111.12999999995</v>
      </c>
      <c r="AF122" s="248"/>
      <c r="AR122" s="107" t="s">
        <v>63</v>
      </c>
      <c r="AT122" s="114" t="s">
        <v>57</v>
      </c>
      <c r="AU122" s="114" t="s">
        <v>58</v>
      </c>
      <c r="AY122" s="107" t="s">
        <v>228</v>
      </c>
      <c r="BK122" s="115">
        <f>BK123+SUM(BK124:BK160)+BK167+BK168+BK174</f>
        <v>326088.56999999995</v>
      </c>
    </row>
    <row r="123" spans="2:65" s="1" customFormat="1" ht="42.45" customHeight="1" x14ac:dyDescent="0.2">
      <c r="B123" s="118"/>
      <c r="C123" s="119" t="s">
        <v>63</v>
      </c>
      <c r="D123" s="119" t="s">
        <v>231</v>
      </c>
      <c r="E123" s="120" t="s">
        <v>63</v>
      </c>
      <c r="F123" s="121" t="s">
        <v>2565</v>
      </c>
      <c r="G123" s="122" t="s">
        <v>284</v>
      </c>
      <c r="H123" s="123">
        <v>233</v>
      </c>
      <c r="I123" s="124">
        <v>2.74</v>
      </c>
      <c r="J123" s="124">
        <f t="shared" ref="J123:J159" si="0">ROUND(I123*H123,2)</f>
        <v>638.41999999999996</v>
      </c>
      <c r="K123" s="121" t="s">
        <v>1</v>
      </c>
      <c r="L123" s="24"/>
      <c r="M123" s="125" t="s">
        <v>1</v>
      </c>
      <c r="N123" s="126" t="s">
        <v>32</v>
      </c>
      <c r="O123" s="127">
        <v>0</v>
      </c>
      <c r="P123" s="127">
        <f t="shared" ref="P123:P159" si="1">O123*H123</f>
        <v>0</v>
      </c>
      <c r="Q123" s="127">
        <v>0</v>
      </c>
      <c r="R123" s="127">
        <f t="shared" ref="R123:R159" si="2">Q123*H123</f>
        <v>0</v>
      </c>
      <c r="S123" s="127">
        <v>0</v>
      </c>
      <c r="T123" s="128">
        <f t="shared" ref="T123:T159" si="3">S123*H123</f>
        <v>0</v>
      </c>
      <c r="W123" s="199"/>
      <c r="X123" s="119" t="s">
        <v>63</v>
      </c>
      <c r="Y123" s="119" t="s">
        <v>231</v>
      </c>
      <c r="Z123" s="120" t="s">
        <v>63</v>
      </c>
      <c r="AA123" s="121" t="s">
        <v>2565</v>
      </c>
      <c r="AB123" s="122" t="s">
        <v>284</v>
      </c>
      <c r="AC123" s="123">
        <v>233</v>
      </c>
      <c r="AD123" s="124">
        <v>2.74</v>
      </c>
      <c r="AE123" s="200">
        <f t="shared" ref="AE123:AE159" si="4">ROUND(AD123*AC123,2)</f>
        <v>638.41999999999996</v>
      </c>
      <c r="AF123" s="248"/>
      <c r="AG123" s="130"/>
      <c r="AR123" s="129" t="s">
        <v>235</v>
      </c>
      <c r="AT123" s="129" t="s">
        <v>231</v>
      </c>
      <c r="AU123" s="129" t="s">
        <v>63</v>
      </c>
      <c r="AY123" s="13" t="s">
        <v>228</v>
      </c>
      <c r="BE123" s="130">
        <f t="shared" ref="BE123:BE159" si="5">IF(N123="základná",J123,0)</f>
        <v>0</v>
      </c>
      <c r="BF123" s="130">
        <f t="shared" ref="BF123:BF159" si="6">IF(N123="znížená",J123,0)</f>
        <v>638.41999999999996</v>
      </c>
      <c r="BG123" s="130">
        <f t="shared" ref="BG123:BG159" si="7">IF(N123="zákl. prenesená",J123,0)</f>
        <v>0</v>
      </c>
      <c r="BH123" s="130">
        <f t="shared" ref="BH123:BH159" si="8">IF(N123="zníž. prenesená",J123,0)</f>
        <v>0</v>
      </c>
      <c r="BI123" s="130">
        <f t="shared" ref="BI123:BI159" si="9">IF(N123="nulová",J123,0)</f>
        <v>0</v>
      </c>
      <c r="BJ123" s="13" t="s">
        <v>76</v>
      </c>
      <c r="BK123" s="130">
        <f t="shared" ref="BK123:BK159" si="10">ROUND(I123*H123,2)</f>
        <v>638.41999999999996</v>
      </c>
      <c r="BL123" s="13" t="s">
        <v>235</v>
      </c>
      <c r="BM123" s="129" t="s">
        <v>76</v>
      </c>
    </row>
    <row r="124" spans="2:65" s="1" customFormat="1" ht="60" customHeight="1" x14ac:dyDescent="0.2">
      <c r="B124" s="118"/>
      <c r="C124" s="205" t="s">
        <v>76</v>
      </c>
      <c r="D124" s="119" t="s">
        <v>231</v>
      </c>
      <c r="E124" s="120" t="s">
        <v>76</v>
      </c>
      <c r="F124" s="121" t="s">
        <v>2566</v>
      </c>
      <c r="G124" s="122" t="s">
        <v>284</v>
      </c>
      <c r="H124" s="206">
        <v>108</v>
      </c>
      <c r="I124" s="124">
        <v>128.78</v>
      </c>
      <c r="J124" s="124">
        <f t="shared" si="0"/>
        <v>13908.24</v>
      </c>
      <c r="K124" s="121" t="s">
        <v>1</v>
      </c>
      <c r="L124" s="24"/>
      <c r="M124" s="125" t="s">
        <v>1</v>
      </c>
      <c r="N124" s="126" t="s">
        <v>32</v>
      </c>
      <c r="O124" s="127">
        <v>0</v>
      </c>
      <c r="P124" s="127">
        <f t="shared" si="1"/>
        <v>0</v>
      </c>
      <c r="Q124" s="127">
        <v>0</v>
      </c>
      <c r="R124" s="127">
        <f t="shared" si="2"/>
        <v>0</v>
      </c>
      <c r="S124" s="127">
        <v>0</v>
      </c>
      <c r="T124" s="128">
        <f t="shared" si="3"/>
        <v>0</v>
      </c>
      <c r="W124" s="199"/>
      <c r="X124" s="205" t="s">
        <v>76</v>
      </c>
      <c r="Y124" s="119" t="s">
        <v>231</v>
      </c>
      <c r="Z124" s="120" t="s">
        <v>76</v>
      </c>
      <c r="AA124" s="121" t="s">
        <v>2566</v>
      </c>
      <c r="AB124" s="122" t="s">
        <v>284</v>
      </c>
      <c r="AC124" s="206">
        <f>108+5</f>
        <v>113</v>
      </c>
      <c r="AD124" s="124">
        <v>128.78</v>
      </c>
      <c r="AE124" s="200">
        <f t="shared" si="4"/>
        <v>14552.14</v>
      </c>
      <c r="AF124" s="248" t="s">
        <v>6371</v>
      </c>
      <c r="AG124" s="130"/>
      <c r="AR124" s="129" t="s">
        <v>235</v>
      </c>
      <c r="AT124" s="129" t="s">
        <v>231</v>
      </c>
      <c r="AU124" s="129" t="s">
        <v>63</v>
      </c>
      <c r="AY124" s="13" t="s">
        <v>228</v>
      </c>
      <c r="BE124" s="130">
        <f t="shared" si="5"/>
        <v>0</v>
      </c>
      <c r="BF124" s="130">
        <f t="shared" si="6"/>
        <v>13908.24</v>
      </c>
      <c r="BG124" s="130">
        <f t="shared" si="7"/>
        <v>0</v>
      </c>
      <c r="BH124" s="130">
        <f t="shared" si="8"/>
        <v>0</v>
      </c>
      <c r="BI124" s="130">
        <f t="shared" si="9"/>
        <v>0</v>
      </c>
      <c r="BJ124" s="13" t="s">
        <v>76</v>
      </c>
      <c r="BK124" s="130">
        <f t="shared" si="10"/>
        <v>13908.24</v>
      </c>
      <c r="BL124" s="13" t="s">
        <v>235</v>
      </c>
      <c r="BM124" s="129" t="s">
        <v>235</v>
      </c>
    </row>
    <row r="125" spans="2:65" s="1" customFormat="1" ht="76.95" customHeight="1" x14ac:dyDescent="0.2">
      <c r="B125" s="118"/>
      <c r="C125" s="205" t="s">
        <v>229</v>
      </c>
      <c r="D125" s="119" t="s">
        <v>231</v>
      </c>
      <c r="E125" s="120" t="s">
        <v>229</v>
      </c>
      <c r="F125" s="121" t="s">
        <v>2568</v>
      </c>
      <c r="G125" s="122" t="s">
        <v>284</v>
      </c>
      <c r="H125" s="206">
        <v>338</v>
      </c>
      <c r="I125" s="124">
        <v>130.15</v>
      </c>
      <c r="J125" s="124">
        <f t="shared" si="0"/>
        <v>43990.7</v>
      </c>
      <c r="K125" s="121" t="s">
        <v>1</v>
      </c>
      <c r="L125" s="24"/>
      <c r="M125" s="125" t="s">
        <v>1</v>
      </c>
      <c r="N125" s="126" t="s">
        <v>32</v>
      </c>
      <c r="O125" s="127">
        <v>0</v>
      </c>
      <c r="P125" s="127">
        <f t="shared" si="1"/>
        <v>0</v>
      </c>
      <c r="Q125" s="127">
        <v>0</v>
      </c>
      <c r="R125" s="127">
        <f t="shared" si="2"/>
        <v>0</v>
      </c>
      <c r="S125" s="127">
        <v>0</v>
      </c>
      <c r="T125" s="128">
        <f t="shared" si="3"/>
        <v>0</v>
      </c>
      <c r="W125" s="199"/>
      <c r="X125" s="205" t="s">
        <v>229</v>
      </c>
      <c r="Y125" s="119" t="s">
        <v>231</v>
      </c>
      <c r="Z125" s="120" t="s">
        <v>229</v>
      </c>
      <c r="AA125" s="121" t="s">
        <v>2568</v>
      </c>
      <c r="AB125" s="122" t="s">
        <v>284</v>
      </c>
      <c r="AC125" s="206">
        <f>338-1</f>
        <v>337</v>
      </c>
      <c r="AD125" s="124">
        <v>130.15</v>
      </c>
      <c r="AE125" s="200">
        <f t="shared" si="4"/>
        <v>43860.55</v>
      </c>
      <c r="AF125" s="248" t="s">
        <v>6371</v>
      </c>
      <c r="AG125" s="130"/>
      <c r="AR125" s="129" t="s">
        <v>235</v>
      </c>
      <c r="AT125" s="129" t="s">
        <v>231</v>
      </c>
      <c r="AU125" s="129" t="s">
        <v>63</v>
      </c>
      <c r="AY125" s="13" t="s">
        <v>228</v>
      </c>
      <c r="BE125" s="130">
        <f t="shared" si="5"/>
        <v>0</v>
      </c>
      <c r="BF125" s="130">
        <f t="shared" si="6"/>
        <v>43990.7</v>
      </c>
      <c r="BG125" s="130">
        <f t="shared" si="7"/>
        <v>0</v>
      </c>
      <c r="BH125" s="130">
        <f t="shared" si="8"/>
        <v>0</v>
      </c>
      <c r="BI125" s="130">
        <f t="shared" si="9"/>
        <v>0</v>
      </c>
      <c r="BJ125" s="13" t="s">
        <v>76</v>
      </c>
      <c r="BK125" s="130">
        <f t="shared" si="10"/>
        <v>43990.7</v>
      </c>
      <c r="BL125" s="13" t="s">
        <v>235</v>
      </c>
      <c r="BM125" s="129" t="s">
        <v>240</v>
      </c>
    </row>
    <row r="126" spans="2:65" s="1" customFormat="1" ht="48" customHeight="1" x14ac:dyDescent="0.2">
      <c r="B126" s="118"/>
      <c r="C126" s="119" t="s">
        <v>235</v>
      </c>
      <c r="D126" s="119" t="s">
        <v>231</v>
      </c>
      <c r="E126" s="120" t="s">
        <v>235</v>
      </c>
      <c r="F126" s="121" t="s">
        <v>2569</v>
      </c>
      <c r="G126" s="122" t="s">
        <v>284</v>
      </c>
      <c r="H126" s="123">
        <v>15</v>
      </c>
      <c r="I126" s="124">
        <v>116.45</v>
      </c>
      <c r="J126" s="124">
        <f t="shared" si="0"/>
        <v>1746.75</v>
      </c>
      <c r="K126" s="121" t="s">
        <v>1</v>
      </c>
      <c r="L126" s="24"/>
      <c r="M126" s="125" t="s">
        <v>1</v>
      </c>
      <c r="N126" s="126" t="s">
        <v>32</v>
      </c>
      <c r="O126" s="127">
        <v>0</v>
      </c>
      <c r="P126" s="127">
        <f t="shared" si="1"/>
        <v>0</v>
      </c>
      <c r="Q126" s="127">
        <v>0</v>
      </c>
      <c r="R126" s="127">
        <f t="shared" si="2"/>
        <v>0</v>
      </c>
      <c r="S126" s="127">
        <v>0</v>
      </c>
      <c r="T126" s="128">
        <f t="shared" si="3"/>
        <v>0</v>
      </c>
      <c r="W126" s="199"/>
      <c r="X126" s="119" t="s">
        <v>235</v>
      </c>
      <c r="Y126" s="119" t="s">
        <v>231</v>
      </c>
      <c r="Z126" s="120" t="s">
        <v>235</v>
      </c>
      <c r="AA126" s="121" t="s">
        <v>2569</v>
      </c>
      <c r="AB126" s="122" t="s">
        <v>284</v>
      </c>
      <c r="AC126" s="123">
        <v>15</v>
      </c>
      <c r="AD126" s="124">
        <v>116.45</v>
      </c>
      <c r="AE126" s="200">
        <f t="shared" si="4"/>
        <v>1746.75</v>
      </c>
      <c r="AF126" s="248"/>
      <c r="AG126" s="130"/>
      <c r="AR126" s="129" t="s">
        <v>235</v>
      </c>
      <c r="AT126" s="129" t="s">
        <v>231</v>
      </c>
      <c r="AU126" s="129" t="s">
        <v>63</v>
      </c>
      <c r="AY126" s="13" t="s">
        <v>228</v>
      </c>
      <c r="BE126" s="130">
        <f t="shared" si="5"/>
        <v>0</v>
      </c>
      <c r="BF126" s="130">
        <f t="shared" si="6"/>
        <v>1746.75</v>
      </c>
      <c r="BG126" s="130">
        <f t="shared" si="7"/>
        <v>0</v>
      </c>
      <c r="BH126" s="130">
        <f t="shared" si="8"/>
        <v>0</v>
      </c>
      <c r="BI126" s="130">
        <f t="shared" si="9"/>
        <v>0</v>
      </c>
      <c r="BJ126" s="13" t="s">
        <v>76</v>
      </c>
      <c r="BK126" s="130">
        <f t="shared" si="10"/>
        <v>1746.75</v>
      </c>
      <c r="BL126" s="13" t="s">
        <v>235</v>
      </c>
      <c r="BM126" s="129" t="s">
        <v>244</v>
      </c>
    </row>
    <row r="127" spans="2:65" s="1" customFormat="1" ht="72" customHeight="1" x14ac:dyDescent="0.2">
      <c r="B127" s="118"/>
      <c r="C127" s="205" t="s">
        <v>245</v>
      </c>
      <c r="D127" s="119" t="s">
        <v>231</v>
      </c>
      <c r="E127" s="120" t="s">
        <v>245</v>
      </c>
      <c r="F127" s="121" t="s">
        <v>4636</v>
      </c>
      <c r="G127" s="122" t="s">
        <v>284</v>
      </c>
      <c r="H127" s="206">
        <v>220</v>
      </c>
      <c r="I127" s="124">
        <v>123.3</v>
      </c>
      <c r="J127" s="124">
        <f t="shared" si="0"/>
        <v>27126</v>
      </c>
      <c r="K127" s="121" t="s">
        <v>1</v>
      </c>
      <c r="L127" s="24"/>
      <c r="M127" s="125" t="s">
        <v>1</v>
      </c>
      <c r="N127" s="126" t="s">
        <v>32</v>
      </c>
      <c r="O127" s="127">
        <v>0</v>
      </c>
      <c r="P127" s="127">
        <f t="shared" si="1"/>
        <v>0</v>
      </c>
      <c r="Q127" s="127">
        <v>0</v>
      </c>
      <c r="R127" s="127">
        <f t="shared" si="2"/>
        <v>0</v>
      </c>
      <c r="S127" s="127">
        <v>0</v>
      </c>
      <c r="T127" s="128">
        <f t="shared" si="3"/>
        <v>0</v>
      </c>
      <c r="W127" s="199"/>
      <c r="X127" s="205" t="s">
        <v>245</v>
      </c>
      <c r="Y127" s="119" t="s">
        <v>231</v>
      </c>
      <c r="Z127" s="120" t="s">
        <v>245</v>
      </c>
      <c r="AA127" s="121" t="s">
        <v>4636</v>
      </c>
      <c r="AB127" s="122" t="s">
        <v>284</v>
      </c>
      <c r="AC127" s="206">
        <f>220+4</f>
        <v>224</v>
      </c>
      <c r="AD127" s="124">
        <v>123.3</v>
      </c>
      <c r="AE127" s="200">
        <f t="shared" si="4"/>
        <v>27619.200000000001</v>
      </c>
      <c r="AF127" s="248" t="s">
        <v>6371</v>
      </c>
      <c r="AG127" s="130"/>
      <c r="AR127" s="129" t="s">
        <v>235</v>
      </c>
      <c r="AT127" s="129" t="s">
        <v>231</v>
      </c>
      <c r="AU127" s="129" t="s">
        <v>63</v>
      </c>
      <c r="AY127" s="13" t="s">
        <v>228</v>
      </c>
      <c r="BE127" s="130">
        <f t="shared" si="5"/>
        <v>0</v>
      </c>
      <c r="BF127" s="130">
        <f t="shared" si="6"/>
        <v>27126</v>
      </c>
      <c r="BG127" s="130">
        <f t="shared" si="7"/>
        <v>0</v>
      </c>
      <c r="BH127" s="130">
        <f t="shared" si="8"/>
        <v>0</v>
      </c>
      <c r="BI127" s="130">
        <f t="shared" si="9"/>
        <v>0</v>
      </c>
      <c r="BJ127" s="13" t="s">
        <v>76</v>
      </c>
      <c r="BK127" s="130">
        <f t="shared" si="10"/>
        <v>27126</v>
      </c>
      <c r="BL127" s="13" t="s">
        <v>235</v>
      </c>
      <c r="BM127" s="129" t="s">
        <v>248</v>
      </c>
    </row>
    <row r="128" spans="2:65" s="1" customFormat="1" ht="60" customHeight="1" x14ac:dyDescent="0.2">
      <c r="B128" s="118"/>
      <c r="C128" s="119" t="s">
        <v>240</v>
      </c>
      <c r="D128" s="119" t="s">
        <v>231</v>
      </c>
      <c r="E128" s="120" t="s">
        <v>240</v>
      </c>
      <c r="F128" s="121" t="s">
        <v>4637</v>
      </c>
      <c r="G128" s="122" t="s">
        <v>284</v>
      </c>
      <c r="H128" s="123">
        <v>8</v>
      </c>
      <c r="I128" s="124">
        <v>239.75</v>
      </c>
      <c r="J128" s="124">
        <f t="shared" si="0"/>
        <v>1918</v>
      </c>
      <c r="K128" s="121" t="s">
        <v>1</v>
      </c>
      <c r="L128" s="24"/>
      <c r="M128" s="125" t="s">
        <v>1</v>
      </c>
      <c r="N128" s="126" t="s">
        <v>32</v>
      </c>
      <c r="O128" s="127">
        <v>0</v>
      </c>
      <c r="P128" s="127">
        <f t="shared" si="1"/>
        <v>0</v>
      </c>
      <c r="Q128" s="127">
        <v>0</v>
      </c>
      <c r="R128" s="127">
        <f t="shared" si="2"/>
        <v>0</v>
      </c>
      <c r="S128" s="127">
        <v>0</v>
      </c>
      <c r="T128" s="128">
        <f t="shared" si="3"/>
        <v>0</v>
      </c>
      <c r="W128" s="199"/>
      <c r="X128" s="119" t="s">
        <v>240</v>
      </c>
      <c r="Y128" s="119" t="s">
        <v>231</v>
      </c>
      <c r="Z128" s="120" t="s">
        <v>240</v>
      </c>
      <c r="AA128" s="121" t="s">
        <v>4637</v>
      </c>
      <c r="AB128" s="122" t="s">
        <v>284</v>
      </c>
      <c r="AC128" s="123">
        <v>8</v>
      </c>
      <c r="AD128" s="124">
        <v>239.75</v>
      </c>
      <c r="AE128" s="200">
        <f t="shared" si="4"/>
        <v>1918</v>
      </c>
      <c r="AF128" s="248"/>
      <c r="AG128" s="130"/>
      <c r="AR128" s="129" t="s">
        <v>235</v>
      </c>
      <c r="AT128" s="129" t="s">
        <v>231</v>
      </c>
      <c r="AU128" s="129" t="s">
        <v>63</v>
      </c>
      <c r="AY128" s="13" t="s">
        <v>228</v>
      </c>
      <c r="BE128" s="130">
        <f t="shared" si="5"/>
        <v>0</v>
      </c>
      <c r="BF128" s="130">
        <f t="shared" si="6"/>
        <v>1918</v>
      </c>
      <c r="BG128" s="130">
        <f t="shared" si="7"/>
        <v>0</v>
      </c>
      <c r="BH128" s="130">
        <f t="shared" si="8"/>
        <v>0</v>
      </c>
      <c r="BI128" s="130">
        <f t="shared" si="9"/>
        <v>0</v>
      </c>
      <c r="BJ128" s="13" t="s">
        <v>76</v>
      </c>
      <c r="BK128" s="130">
        <f t="shared" si="10"/>
        <v>1918</v>
      </c>
      <c r="BL128" s="13" t="s">
        <v>235</v>
      </c>
      <c r="BM128" s="129" t="s">
        <v>251</v>
      </c>
    </row>
    <row r="129" spans="2:65" s="1" customFormat="1" ht="36" customHeight="1" x14ac:dyDescent="0.2">
      <c r="B129" s="118"/>
      <c r="C129" s="119" t="s">
        <v>252</v>
      </c>
      <c r="D129" s="119" t="s">
        <v>231</v>
      </c>
      <c r="E129" s="120" t="s">
        <v>252</v>
      </c>
      <c r="F129" s="121" t="s">
        <v>2570</v>
      </c>
      <c r="G129" s="122" t="s">
        <v>284</v>
      </c>
      <c r="H129" s="123">
        <v>233</v>
      </c>
      <c r="I129" s="124">
        <v>8.82</v>
      </c>
      <c r="J129" s="124">
        <f t="shared" si="0"/>
        <v>2055.06</v>
      </c>
      <c r="K129" s="121" t="s">
        <v>1</v>
      </c>
      <c r="L129" s="24"/>
      <c r="M129" s="125" t="s">
        <v>1</v>
      </c>
      <c r="N129" s="126" t="s">
        <v>32</v>
      </c>
      <c r="O129" s="127">
        <v>0</v>
      </c>
      <c r="P129" s="127">
        <f t="shared" si="1"/>
        <v>0</v>
      </c>
      <c r="Q129" s="127">
        <v>0</v>
      </c>
      <c r="R129" s="127">
        <f t="shared" si="2"/>
        <v>0</v>
      </c>
      <c r="S129" s="127">
        <v>0</v>
      </c>
      <c r="T129" s="128">
        <f t="shared" si="3"/>
        <v>0</v>
      </c>
      <c r="W129" s="199"/>
      <c r="X129" s="119" t="s">
        <v>252</v>
      </c>
      <c r="Y129" s="119" t="s">
        <v>231</v>
      </c>
      <c r="Z129" s="120" t="s">
        <v>252</v>
      </c>
      <c r="AA129" s="121" t="s">
        <v>2570</v>
      </c>
      <c r="AB129" s="122" t="s">
        <v>284</v>
      </c>
      <c r="AC129" s="123">
        <v>233</v>
      </c>
      <c r="AD129" s="124">
        <v>8.82</v>
      </c>
      <c r="AE129" s="200">
        <f t="shared" si="4"/>
        <v>2055.06</v>
      </c>
      <c r="AF129" s="248"/>
      <c r="AG129" s="130"/>
      <c r="AR129" s="129" t="s">
        <v>235</v>
      </c>
      <c r="AT129" s="129" t="s">
        <v>231</v>
      </c>
      <c r="AU129" s="129" t="s">
        <v>63</v>
      </c>
      <c r="AY129" s="13" t="s">
        <v>228</v>
      </c>
      <c r="BE129" s="130">
        <f t="shared" si="5"/>
        <v>0</v>
      </c>
      <c r="BF129" s="130">
        <f t="shared" si="6"/>
        <v>2055.06</v>
      </c>
      <c r="BG129" s="130">
        <f t="shared" si="7"/>
        <v>0</v>
      </c>
      <c r="BH129" s="130">
        <f t="shared" si="8"/>
        <v>0</v>
      </c>
      <c r="BI129" s="130">
        <f t="shared" si="9"/>
        <v>0</v>
      </c>
      <c r="BJ129" s="13" t="s">
        <v>76</v>
      </c>
      <c r="BK129" s="130">
        <f t="shared" si="10"/>
        <v>2055.06</v>
      </c>
      <c r="BL129" s="13" t="s">
        <v>235</v>
      </c>
      <c r="BM129" s="129" t="s">
        <v>255</v>
      </c>
    </row>
    <row r="130" spans="2:65" s="1" customFormat="1" ht="36" customHeight="1" x14ac:dyDescent="0.2">
      <c r="B130" s="118"/>
      <c r="C130" s="119" t="s">
        <v>244</v>
      </c>
      <c r="D130" s="119" t="s">
        <v>231</v>
      </c>
      <c r="E130" s="120" t="s">
        <v>244</v>
      </c>
      <c r="F130" s="121" t="s">
        <v>2571</v>
      </c>
      <c r="G130" s="122" t="s">
        <v>284</v>
      </c>
      <c r="H130" s="123">
        <v>175</v>
      </c>
      <c r="I130" s="124">
        <v>46.44</v>
      </c>
      <c r="J130" s="124">
        <f t="shared" si="0"/>
        <v>8127</v>
      </c>
      <c r="K130" s="121" t="s">
        <v>1</v>
      </c>
      <c r="L130" s="24"/>
      <c r="M130" s="125" t="s">
        <v>1</v>
      </c>
      <c r="N130" s="126" t="s">
        <v>32</v>
      </c>
      <c r="O130" s="127">
        <v>0</v>
      </c>
      <c r="P130" s="127">
        <f t="shared" si="1"/>
        <v>0</v>
      </c>
      <c r="Q130" s="127">
        <v>0</v>
      </c>
      <c r="R130" s="127">
        <f t="shared" si="2"/>
        <v>0</v>
      </c>
      <c r="S130" s="127">
        <v>0</v>
      </c>
      <c r="T130" s="128">
        <f t="shared" si="3"/>
        <v>0</v>
      </c>
      <c r="W130" s="199"/>
      <c r="X130" s="119" t="s">
        <v>244</v>
      </c>
      <c r="Y130" s="119" t="s">
        <v>231</v>
      </c>
      <c r="Z130" s="120" t="s">
        <v>244</v>
      </c>
      <c r="AA130" s="121" t="s">
        <v>2571</v>
      </c>
      <c r="AB130" s="122" t="s">
        <v>284</v>
      </c>
      <c r="AC130" s="123">
        <v>175</v>
      </c>
      <c r="AD130" s="124">
        <v>46.44</v>
      </c>
      <c r="AE130" s="200">
        <f t="shared" si="4"/>
        <v>8127</v>
      </c>
      <c r="AF130" s="248"/>
      <c r="AG130" s="130"/>
      <c r="AR130" s="129" t="s">
        <v>235</v>
      </c>
      <c r="AT130" s="129" t="s">
        <v>231</v>
      </c>
      <c r="AU130" s="129" t="s">
        <v>63</v>
      </c>
      <c r="AY130" s="13" t="s">
        <v>228</v>
      </c>
      <c r="BE130" s="130">
        <f t="shared" si="5"/>
        <v>0</v>
      </c>
      <c r="BF130" s="130">
        <f t="shared" si="6"/>
        <v>8127</v>
      </c>
      <c r="BG130" s="130">
        <f t="shared" si="7"/>
        <v>0</v>
      </c>
      <c r="BH130" s="130">
        <f t="shared" si="8"/>
        <v>0</v>
      </c>
      <c r="BI130" s="130">
        <f t="shared" si="9"/>
        <v>0</v>
      </c>
      <c r="BJ130" s="13" t="s">
        <v>76</v>
      </c>
      <c r="BK130" s="130">
        <f t="shared" si="10"/>
        <v>8127</v>
      </c>
      <c r="BL130" s="13" t="s">
        <v>235</v>
      </c>
      <c r="BM130" s="129" t="s">
        <v>258</v>
      </c>
    </row>
    <row r="131" spans="2:65" s="1" customFormat="1" ht="16.5" customHeight="1" x14ac:dyDescent="0.2">
      <c r="B131" s="118"/>
      <c r="C131" s="119" t="s">
        <v>259</v>
      </c>
      <c r="D131" s="119" t="s">
        <v>231</v>
      </c>
      <c r="E131" s="120" t="s">
        <v>259</v>
      </c>
      <c r="F131" s="121" t="s">
        <v>2572</v>
      </c>
      <c r="G131" s="122" t="s">
        <v>4638</v>
      </c>
      <c r="H131" s="123">
        <v>145</v>
      </c>
      <c r="I131" s="124">
        <v>6.62</v>
      </c>
      <c r="J131" s="124">
        <f t="shared" si="0"/>
        <v>959.9</v>
      </c>
      <c r="K131" s="121" t="s">
        <v>1</v>
      </c>
      <c r="L131" s="24"/>
      <c r="M131" s="125" t="s">
        <v>1</v>
      </c>
      <c r="N131" s="126" t="s">
        <v>32</v>
      </c>
      <c r="O131" s="127">
        <v>0</v>
      </c>
      <c r="P131" s="127">
        <f t="shared" si="1"/>
        <v>0</v>
      </c>
      <c r="Q131" s="127">
        <v>0</v>
      </c>
      <c r="R131" s="127">
        <f t="shared" si="2"/>
        <v>0</v>
      </c>
      <c r="S131" s="127">
        <v>0</v>
      </c>
      <c r="T131" s="128">
        <f t="shared" si="3"/>
        <v>0</v>
      </c>
      <c r="W131" s="199"/>
      <c r="X131" s="119" t="s">
        <v>259</v>
      </c>
      <c r="Y131" s="119" t="s">
        <v>231</v>
      </c>
      <c r="Z131" s="120" t="s">
        <v>259</v>
      </c>
      <c r="AA131" s="121" t="s">
        <v>2572</v>
      </c>
      <c r="AB131" s="122" t="s">
        <v>4638</v>
      </c>
      <c r="AC131" s="123">
        <v>145</v>
      </c>
      <c r="AD131" s="124">
        <v>6.62</v>
      </c>
      <c r="AE131" s="200">
        <f t="shared" si="4"/>
        <v>959.9</v>
      </c>
      <c r="AF131" s="248"/>
      <c r="AG131" s="130"/>
      <c r="AR131" s="129" t="s">
        <v>235</v>
      </c>
      <c r="AT131" s="129" t="s">
        <v>231</v>
      </c>
      <c r="AU131" s="129" t="s">
        <v>63</v>
      </c>
      <c r="AY131" s="13" t="s">
        <v>228</v>
      </c>
      <c r="BE131" s="130">
        <f t="shared" si="5"/>
        <v>0</v>
      </c>
      <c r="BF131" s="130">
        <f t="shared" si="6"/>
        <v>959.9</v>
      </c>
      <c r="BG131" s="130">
        <f t="shared" si="7"/>
        <v>0</v>
      </c>
      <c r="BH131" s="130">
        <f t="shared" si="8"/>
        <v>0</v>
      </c>
      <c r="BI131" s="130">
        <f t="shared" si="9"/>
        <v>0</v>
      </c>
      <c r="BJ131" s="13" t="s">
        <v>76</v>
      </c>
      <c r="BK131" s="130">
        <f t="shared" si="10"/>
        <v>959.9</v>
      </c>
      <c r="BL131" s="13" t="s">
        <v>235</v>
      </c>
      <c r="BM131" s="129" t="s">
        <v>262</v>
      </c>
    </row>
    <row r="132" spans="2:65" s="1" customFormat="1" ht="24" customHeight="1" x14ac:dyDescent="0.2">
      <c r="B132" s="118"/>
      <c r="C132" s="119" t="s">
        <v>248</v>
      </c>
      <c r="D132" s="119" t="s">
        <v>231</v>
      </c>
      <c r="E132" s="120" t="s">
        <v>248</v>
      </c>
      <c r="F132" s="121" t="s">
        <v>4002</v>
      </c>
      <c r="G132" s="122" t="s">
        <v>1194</v>
      </c>
      <c r="H132" s="123">
        <v>36</v>
      </c>
      <c r="I132" s="124">
        <v>1.1599999999999999</v>
      </c>
      <c r="J132" s="124">
        <f t="shared" si="0"/>
        <v>41.76</v>
      </c>
      <c r="K132" s="121" t="s">
        <v>1</v>
      </c>
      <c r="L132" s="24"/>
      <c r="M132" s="125" t="s">
        <v>1</v>
      </c>
      <c r="N132" s="126" t="s">
        <v>32</v>
      </c>
      <c r="O132" s="127">
        <v>0</v>
      </c>
      <c r="P132" s="127">
        <f t="shared" si="1"/>
        <v>0</v>
      </c>
      <c r="Q132" s="127">
        <v>0</v>
      </c>
      <c r="R132" s="127">
        <f t="shared" si="2"/>
        <v>0</v>
      </c>
      <c r="S132" s="127">
        <v>0</v>
      </c>
      <c r="T132" s="128">
        <f t="shared" si="3"/>
        <v>0</v>
      </c>
      <c r="W132" s="199"/>
      <c r="X132" s="119" t="s">
        <v>248</v>
      </c>
      <c r="Y132" s="119" t="s">
        <v>231</v>
      </c>
      <c r="Z132" s="120" t="s">
        <v>248</v>
      </c>
      <c r="AA132" s="121" t="s">
        <v>4002</v>
      </c>
      <c r="AB132" s="122" t="s">
        <v>1194</v>
      </c>
      <c r="AC132" s="123">
        <v>36</v>
      </c>
      <c r="AD132" s="124">
        <v>1.1599999999999999</v>
      </c>
      <c r="AE132" s="200">
        <f t="shared" si="4"/>
        <v>41.76</v>
      </c>
      <c r="AF132" s="248"/>
      <c r="AG132" s="130"/>
      <c r="AR132" s="129" t="s">
        <v>235</v>
      </c>
      <c r="AT132" s="129" t="s">
        <v>231</v>
      </c>
      <c r="AU132" s="129" t="s">
        <v>63</v>
      </c>
      <c r="AY132" s="13" t="s">
        <v>228</v>
      </c>
      <c r="BE132" s="130">
        <f t="shared" si="5"/>
        <v>0</v>
      </c>
      <c r="BF132" s="130">
        <f t="shared" si="6"/>
        <v>41.76</v>
      </c>
      <c r="BG132" s="130">
        <f t="shared" si="7"/>
        <v>0</v>
      </c>
      <c r="BH132" s="130">
        <f t="shared" si="8"/>
        <v>0</v>
      </c>
      <c r="BI132" s="130">
        <f t="shared" si="9"/>
        <v>0</v>
      </c>
      <c r="BJ132" s="13" t="s">
        <v>76</v>
      </c>
      <c r="BK132" s="130">
        <f t="shared" si="10"/>
        <v>41.76</v>
      </c>
      <c r="BL132" s="13" t="s">
        <v>235</v>
      </c>
      <c r="BM132" s="129" t="s">
        <v>7</v>
      </c>
    </row>
    <row r="133" spans="2:65" s="1" customFormat="1" ht="36" customHeight="1" x14ac:dyDescent="0.2">
      <c r="B133" s="118"/>
      <c r="C133" s="119" t="s">
        <v>265</v>
      </c>
      <c r="D133" s="119" t="s">
        <v>231</v>
      </c>
      <c r="E133" s="120" t="s">
        <v>265</v>
      </c>
      <c r="F133" s="121" t="s">
        <v>2573</v>
      </c>
      <c r="G133" s="122" t="s">
        <v>284</v>
      </c>
      <c r="H133" s="123">
        <v>55</v>
      </c>
      <c r="I133" s="124">
        <v>34.479999999999997</v>
      </c>
      <c r="J133" s="124">
        <f t="shared" si="0"/>
        <v>1896.4</v>
      </c>
      <c r="K133" s="121" t="s">
        <v>1</v>
      </c>
      <c r="L133" s="24"/>
      <c r="M133" s="125" t="s">
        <v>1</v>
      </c>
      <c r="N133" s="126" t="s">
        <v>32</v>
      </c>
      <c r="O133" s="127">
        <v>0</v>
      </c>
      <c r="P133" s="127">
        <f t="shared" si="1"/>
        <v>0</v>
      </c>
      <c r="Q133" s="127">
        <v>0</v>
      </c>
      <c r="R133" s="127">
        <f t="shared" si="2"/>
        <v>0</v>
      </c>
      <c r="S133" s="127">
        <v>0</v>
      </c>
      <c r="T133" s="128">
        <f t="shared" si="3"/>
        <v>0</v>
      </c>
      <c r="W133" s="199"/>
      <c r="X133" s="119" t="s">
        <v>265</v>
      </c>
      <c r="Y133" s="119" t="s">
        <v>231</v>
      </c>
      <c r="Z133" s="120" t="s">
        <v>265</v>
      </c>
      <c r="AA133" s="121" t="s">
        <v>2573</v>
      </c>
      <c r="AB133" s="122" t="s">
        <v>284</v>
      </c>
      <c r="AC133" s="123">
        <v>55</v>
      </c>
      <c r="AD133" s="124">
        <v>34.479999999999997</v>
      </c>
      <c r="AE133" s="200">
        <f t="shared" si="4"/>
        <v>1896.4</v>
      </c>
      <c r="AF133" s="248"/>
      <c r="AG133" s="130"/>
      <c r="AR133" s="129" t="s">
        <v>235</v>
      </c>
      <c r="AT133" s="129" t="s">
        <v>231</v>
      </c>
      <c r="AU133" s="129" t="s">
        <v>63</v>
      </c>
      <c r="AY133" s="13" t="s">
        <v>228</v>
      </c>
      <c r="BE133" s="130">
        <f t="shared" si="5"/>
        <v>0</v>
      </c>
      <c r="BF133" s="130">
        <f t="shared" si="6"/>
        <v>1896.4</v>
      </c>
      <c r="BG133" s="130">
        <f t="shared" si="7"/>
        <v>0</v>
      </c>
      <c r="BH133" s="130">
        <f t="shared" si="8"/>
        <v>0</v>
      </c>
      <c r="BI133" s="130">
        <f t="shared" si="9"/>
        <v>0</v>
      </c>
      <c r="BJ133" s="13" t="s">
        <v>76</v>
      </c>
      <c r="BK133" s="130">
        <f t="shared" si="10"/>
        <v>1896.4</v>
      </c>
      <c r="BL133" s="13" t="s">
        <v>235</v>
      </c>
      <c r="BM133" s="129" t="s">
        <v>268</v>
      </c>
    </row>
    <row r="134" spans="2:65" s="1" customFormat="1" ht="16.5" customHeight="1" x14ac:dyDescent="0.2">
      <c r="B134" s="118"/>
      <c r="C134" s="119" t="s">
        <v>251</v>
      </c>
      <c r="D134" s="119" t="s">
        <v>231</v>
      </c>
      <c r="E134" s="120" t="s">
        <v>251</v>
      </c>
      <c r="F134" s="121" t="s">
        <v>2574</v>
      </c>
      <c r="G134" s="122" t="s">
        <v>292</v>
      </c>
      <c r="H134" s="123">
        <v>93</v>
      </c>
      <c r="I134" s="124">
        <v>5.81</v>
      </c>
      <c r="J134" s="124">
        <f t="shared" si="0"/>
        <v>540.33000000000004</v>
      </c>
      <c r="K134" s="121" t="s">
        <v>1</v>
      </c>
      <c r="L134" s="24"/>
      <c r="M134" s="125" t="s">
        <v>1</v>
      </c>
      <c r="N134" s="126" t="s">
        <v>32</v>
      </c>
      <c r="O134" s="127">
        <v>0</v>
      </c>
      <c r="P134" s="127">
        <f t="shared" si="1"/>
        <v>0</v>
      </c>
      <c r="Q134" s="127">
        <v>0</v>
      </c>
      <c r="R134" s="127">
        <f t="shared" si="2"/>
        <v>0</v>
      </c>
      <c r="S134" s="127">
        <v>0</v>
      </c>
      <c r="T134" s="128">
        <f t="shared" si="3"/>
        <v>0</v>
      </c>
      <c r="W134" s="199"/>
      <c r="X134" s="119" t="s">
        <v>251</v>
      </c>
      <c r="Y134" s="119" t="s">
        <v>231</v>
      </c>
      <c r="Z134" s="120" t="s">
        <v>251</v>
      </c>
      <c r="AA134" s="121" t="s">
        <v>2574</v>
      </c>
      <c r="AB134" s="122" t="s">
        <v>292</v>
      </c>
      <c r="AC134" s="123">
        <v>93</v>
      </c>
      <c r="AD134" s="124">
        <v>5.81</v>
      </c>
      <c r="AE134" s="200">
        <f t="shared" si="4"/>
        <v>540.33000000000004</v>
      </c>
      <c r="AF134" s="248"/>
      <c r="AG134" s="130"/>
      <c r="AR134" s="129" t="s">
        <v>235</v>
      </c>
      <c r="AT134" s="129" t="s">
        <v>231</v>
      </c>
      <c r="AU134" s="129" t="s">
        <v>63</v>
      </c>
      <c r="AY134" s="13" t="s">
        <v>228</v>
      </c>
      <c r="BE134" s="130">
        <f t="shared" si="5"/>
        <v>0</v>
      </c>
      <c r="BF134" s="130">
        <f t="shared" si="6"/>
        <v>540.33000000000004</v>
      </c>
      <c r="BG134" s="130">
        <f t="shared" si="7"/>
        <v>0</v>
      </c>
      <c r="BH134" s="130">
        <f t="shared" si="8"/>
        <v>0</v>
      </c>
      <c r="BI134" s="130">
        <f t="shared" si="9"/>
        <v>0</v>
      </c>
      <c r="BJ134" s="13" t="s">
        <v>76</v>
      </c>
      <c r="BK134" s="130">
        <f t="shared" si="10"/>
        <v>540.33000000000004</v>
      </c>
      <c r="BL134" s="13" t="s">
        <v>235</v>
      </c>
      <c r="BM134" s="129" t="s">
        <v>272</v>
      </c>
    </row>
    <row r="135" spans="2:65" s="1" customFormat="1" ht="24" customHeight="1" x14ac:dyDescent="0.2">
      <c r="B135" s="118"/>
      <c r="C135" s="119" t="s">
        <v>273</v>
      </c>
      <c r="D135" s="119" t="s">
        <v>231</v>
      </c>
      <c r="E135" s="120" t="s">
        <v>273</v>
      </c>
      <c r="F135" s="121" t="s">
        <v>2575</v>
      </c>
      <c r="G135" s="122" t="s">
        <v>1194</v>
      </c>
      <c r="H135" s="123">
        <v>58</v>
      </c>
      <c r="I135" s="124">
        <v>1.1599999999999999</v>
      </c>
      <c r="J135" s="124">
        <f t="shared" si="0"/>
        <v>67.28</v>
      </c>
      <c r="K135" s="121" t="s">
        <v>1</v>
      </c>
      <c r="L135" s="24"/>
      <c r="M135" s="125" t="s">
        <v>1</v>
      </c>
      <c r="N135" s="126" t="s">
        <v>32</v>
      </c>
      <c r="O135" s="127">
        <v>0</v>
      </c>
      <c r="P135" s="127">
        <f t="shared" si="1"/>
        <v>0</v>
      </c>
      <c r="Q135" s="127">
        <v>0</v>
      </c>
      <c r="R135" s="127">
        <f t="shared" si="2"/>
        <v>0</v>
      </c>
      <c r="S135" s="127">
        <v>0</v>
      </c>
      <c r="T135" s="128">
        <f t="shared" si="3"/>
        <v>0</v>
      </c>
      <c r="W135" s="199"/>
      <c r="X135" s="119" t="s">
        <v>273</v>
      </c>
      <c r="Y135" s="119" t="s">
        <v>231</v>
      </c>
      <c r="Z135" s="120" t="s">
        <v>273</v>
      </c>
      <c r="AA135" s="121" t="s">
        <v>2575</v>
      </c>
      <c r="AB135" s="122" t="s">
        <v>1194</v>
      </c>
      <c r="AC135" s="123">
        <v>58</v>
      </c>
      <c r="AD135" s="124">
        <v>1.1599999999999999</v>
      </c>
      <c r="AE135" s="200">
        <f t="shared" si="4"/>
        <v>67.28</v>
      </c>
      <c r="AF135" s="248"/>
      <c r="AG135" s="130"/>
      <c r="AR135" s="129" t="s">
        <v>235</v>
      </c>
      <c r="AT135" s="129" t="s">
        <v>231</v>
      </c>
      <c r="AU135" s="129" t="s">
        <v>63</v>
      </c>
      <c r="AY135" s="13" t="s">
        <v>228</v>
      </c>
      <c r="BE135" s="130">
        <f t="shared" si="5"/>
        <v>0</v>
      </c>
      <c r="BF135" s="130">
        <f t="shared" si="6"/>
        <v>67.28</v>
      </c>
      <c r="BG135" s="130">
        <f t="shared" si="7"/>
        <v>0</v>
      </c>
      <c r="BH135" s="130">
        <f t="shared" si="8"/>
        <v>0</v>
      </c>
      <c r="BI135" s="130">
        <f t="shared" si="9"/>
        <v>0</v>
      </c>
      <c r="BJ135" s="13" t="s">
        <v>76</v>
      </c>
      <c r="BK135" s="130">
        <f t="shared" si="10"/>
        <v>67.28</v>
      </c>
      <c r="BL135" s="13" t="s">
        <v>235</v>
      </c>
      <c r="BM135" s="129" t="s">
        <v>276</v>
      </c>
    </row>
    <row r="136" spans="2:65" s="1" customFormat="1" ht="24" customHeight="1" x14ac:dyDescent="0.2">
      <c r="B136" s="118"/>
      <c r="C136" s="119" t="s">
        <v>255</v>
      </c>
      <c r="D136" s="119" t="s">
        <v>231</v>
      </c>
      <c r="E136" s="120" t="s">
        <v>255</v>
      </c>
      <c r="F136" s="121" t="s">
        <v>2577</v>
      </c>
      <c r="G136" s="122" t="s">
        <v>292</v>
      </c>
      <c r="H136" s="123">
        <v>238</v>
      </c>
      <c r="I136" s="124">
        <v>0.57999999999999996</v>
      </c>
      <c r="J136" s="124">
        <f t="shared" si="0"/>
        <v>138.04</v>
      </c>
      <c r="K136" s="121" t="s">
        <v>1</v>
      </c>
      <c r="L136" s="24"/>
      <c r="M136" s="125" t="s">
        <v>1</v>
      </c>
      <c r="N136" s="126" t="s">
        <v>32</v>
      </c>
      <c r="O136" s="127">
        <v>0</v>
      </c>
      <c r="P136" s="127">
        <f t="shared" si="1"/>
        <v>0</v>
      </c>
      <c r="Q136" s="127">
        <v>0</v>
      </c>
      <c r="R136" s="127">
        <f t="shared" si="2"/>
        <v>0</v>
      </c>
      <c r="S136" s="127">
        <v>0</v>
      </c>
      <c r="T136" s="128">
        <f t="shared" si="3"/>
        <v>0</v>
      </c>
      <c r="W136" s="199"/>
      <c r="X136" s="119" t="s">
        <v>255</v>
      </c>
      <c r="Y136" s="119" t="s">
        <v>231</v>
      </c>
      <c r="Z136" s="120" t="s">
        <v>255</v>
      </c>
      <c r="AA136" s="121" t="s">
        <v>2577</v>
      </c>
      <c r="AB136" s="122" t="s">
        <v>292</v>
      </c>
      <c r="AC136" s="123">
        <v>238</v>
      </c>
      <c r="AD136" s="124">
        <v>0.57999999999999996</v>
      </c>
      <c r="AE136" s="200">
        <f t="shared" si="4"/>
        <v>138.04</v>
      </c>
      <c r="AF136" s="248"/>
      <c r="AG136" s="130"/>
      <c r="AR136" s="129" t="s">
        <v>235</v>
      </c>
      <c r="AT136" s="129" t="s">
        <v>231</v>
      </c>
      <c r="AU136" s="129" t="s">
        <v>63</v>
      </c>
      <c r="AY136" s="13" t="s">
        <v>228</v>
      </c>
      <c r="BE136" s="130">
        <f t="shared" si="5"/>
        <v>0</v>
      </c>
      <c r="BF136" s="130">
        <f t="shared" si="6"/>
        <v>138.04</v>
      </c>
      <c r="BG136" s="130">
        <f t="shared" si="7"/>
        <v>0</v>
      </c>
      <c r="BH136" s="130">
        <f t="shared" si="8"/>
        <v>0</v>
      </c>
      <c r="BI136" s="130">
        <f t="shared" si="9"/>
        <v>0</v>
      </c>
      <c r="BJ136" s="13" t="s">
        <v>76</v>
      </c>
      <c r="BK136" s="130">
        <f t="shared" si="10"/>
        <v>138.04</v>
      </c>
      <c r="BL136" s="13" t="s">
        <v>235</v>
      </c>
      <c r="BM136" s="129" t="s">
        <v>280</v>
      </c>
    </row>
    <row r="137" spans="2:65" s="1" customFormat="1" ht="71.55" customHeight="1" x14ac:dyDescent="0.2">
      <c r="B137" s="118"/>
      <c r="C137" s="205" t="s">
        <v>281</v>
      </c>
      <c r="D137" s="119" t="s">
        <v>231</v>
      </c>
      <c r="E137" s="120" t="s">
        <v>281</v>
      </c>
      <c r="F137" s="121" t="s">
        <v>2578</v>
      </c>
      <c r="G137" s="122" t="s">
        <v>284</v>
      </c>
      <c r="H137" s="206">
        <v>109</v>
      </c>
      <c r="I137" s="124">
        <v>43.84</v>
      </c>
      <c r="J137" s="124">
        <f t="shared" si="0"/>
        <v>4778.5600000000004</v>
      </c>
      <c r="K137" s="121" t="s">
        <v>1</v>
      </c>
      <c r="L137" s="24"/>
      <c r="M137" s="125" t="s">
        <v>1</v>
      </c>
      <c r="N137" s="126" t="s">
        <v>32</v>
      </c>
      <c r="O137" s="127">
        <v>0</v>
      </c>
      <c r="P137" s="127">
        <f t="shared" si="1"/>
        <v>0</v>
      </c>
      <c r="Q137" s="127">
        <v>0</v>
      </c>
      <c r="R137" s="127">
        <f t="shared" si="2"/>
        <v>0</v>
      </c>
      <c r="S137" s="127">
        <v>0</v>
      </c>
      <c r="T137" s="128">
        <f t="shared" si="3"/>
        <v>0</v>
      </c>
      <c r="W137" s="199"/>
      <c r="X137" s="205" t="s">
        <v>281</v>
      </c>
      <c r="Y137" s="119" t="s">
        <v>231</v>
      </c>
      <c r="Z137" s="120" t="s">
        <v>281</v>
      </c>
      <c r="AA137" s="121" t="s">
        <v>2578</v>
      </c>
      <c r="AB137" s="122" t="s">
        <v>284</v>
      </c>
      <c r="AC137" s="206">
        <f>109-15</f>
        <v>94</v>
      </c>
      <c r="AD137" s="124">
        <v>43.84</v>
      </c>
      <c r="AE137" s="200">
        <f t="shared" si="4"/>
        <v>4120.96</v>
      </c>
      <c r="AF137" s="248" t="s">
        <v>6371</v>
      </c>
      <c r="AG137" s="130"/>
      <c r="AR137" s="129" t="s">
        <v>235</v>
      </c>
      <c r="AT137" s="129" t="s">
        <v>231</v>
      </c>
      <c r="AU137" s="129" t="s">
        <v>63</v>
      </c>
      <c r="AY137" s="13" t="s">
        <v>228</v>
      </c>
      <c r="BE137" s="130">
        <f t="shared" si="5"/>
        <v>0</v>
      </c>
      <c r="BF137" s="130">
        <f t="shared" si="6"/>
        <v>4778.5600000000004</v>
      </c>
      <c r="BG137" s="130">
        <f t="shared" si="7"/>
        <v>0</v>
      </c>
      <c r="BH137" s="130">
        <f t="shared" si="8"/>
        <v>0</v>
      </c>
      <c r="BI137" s="130">
        <f t="shared" si="9"/>
        <v>0</v>
      </c>
      <c r="BJ137" s="13" t="s">
        <v>76</v>
      </c>
      <c r="BK137" s="130">
        <f t="shared" si="10"/>
        <v>4778.5600000000004</v>
      </c>
      <c r="BL137" s="13" t="s">
        <v>235</v>
      </c>
      <c r="BM137" s="129" t="s">
        <v>285</v>
      </c>
    </row>
    <row r="138" spans="2:65" s="1" customFormat="1" ht="78" customHeight="1" x14ac:dyDescent="0.2">
      <c r="B138" s="118"/>
      <c r="C138" s="205" t="s">
        <v>258</v>
      </c>
      <c r="D138" s="119" t="s">
        <v>231</v>
      </c>
      <c r="E138" s="120" t="s">
        <v>258</v>
      </c>
      <c r="F138" s="121" t="s">
        <v>4639</v>
      </c>
      <c r="G138" s="122" t="s">
        <v>284</v>
      </c>
      <c r="H138" s="206">
        <v>109</v>
      </c>
      <c r="I138" s="124">
        <v>43.84</v>
      </c>
      <c r="J138" s="124">
        <f t="shared" si="0"/>
        <v>4778.5600000000004</v>
      </c>
      <c r="K138" s="121" t="s">
        <v>1</v>
      </c>
      <c r="L138" s="24"/>
      <c r="M138" s="125" t="s">
        <v>1</v>
      </c>
      <c r="N138" s="126" t="s">
        <v>32</v>
      </c>
      <c r="O138" s="127">
        <v>0</v>
      </c>
      <c r="P138" s="127">
        <f t="shared" si="1"/>
        <v>0</v>
      </c>
      <c r="Q138" s="127">
        <v>0</v>
      </c>
      <c r="R138" s="127">
        <f t="shared" si="2"/>
        <v>0</v>
      </c>
      <c r="S138" s="127">
        <v>0</v>
      </c>
      <c r="T138" s="128">
        <f t="shared" si="3"/>
        <v>0</v>
      </c>
      <c r="W138" s="199"/>
      <c r="X138" s="205" t="s">
        <v>258</v>
      </c>
      <c r="Y138" s="119" t="s">
        <v>231</v>
      </c>
      <c r="Z138" s="120" t="s">
        <v>258</v>
      </c>
      <c r="AA138" s="121" t="s">
        <v>4639</v>
      </c>
      <c r="AB138" s="122" t="s">
        <v>284</v>
      </c>
      <c r="AC138" s="206">
        <f>109-4</f>
        <v>105</v>
      </c>
      <c r="AD138" s="124">
        <v>43.84</v>
      </c>
      <c r="AE138" s="200">
        <f t="shared" si="4"/>
        <v>4603.2</v>
      </c>
      <c r="AF138" s="248" t="s">
        <v>6371</v>
      </c>
      <c r="AG138" s="130"/>
      <c r="AR138" s="129" t="s">
        <v>235</v>
      </c>
      <c r="AT138" s="129" t="s">
        <v>231</v>
      </c>
      <c r="AU138" s="129" t="s">
        <v>63</v>
      </c>
      <c r="AY138" s="13" t="s">
        <v>228</v>
      </c>
      <c r="BE138" s="130">
        <f t="shared" si="5"/>
        <v>0</v>
      </c>
      <c r="BF138" s="130">
        <f t="shared" si="6"/>
        <v>4778.5600000000004</v>
      </c>
      <c r="BG138" s="130">
        <f t="shared" si="7"/>
        <v>0</v>
      </c>
      <c r="BH138" s="130">
        <f t="shared" si="8"/>
        <v>0</v>
      </c>
      <c r="BI138" s="130">
        <f t="shared" si="9"/>
        <v>0</v>
      </c>
      <c r="BJ138" s="13" t="s">
        <v>76</v>
      </c>
      <c r="BK138" s="130">
        <f t="shared" si="10"/>
        <v>4778.5600000000004</v>
      </c>
      <c r="BL138" s="13" t="s">
        <v>235</v>
      </c>
      <c r="BM138" s="129" t="s">
        <v>288</v>
      </c>
    </row>
    <row r="139" spans="2:65" s="1" customFormat="1" ht="36" customHeight="1" x14ac:dyDescent="0.2">
      <c r="B139" s="118"/>
      <c r="C139" s="119" t="s">
        <v>289</v>
      </c>
      <c r="D139" s="119" t="s">
        <v>231</v>
      </c>
      <c r="E139" s="120" t="s">
        <v>289</v>
      </c>
      <c r="F139" s="121" t="s">
        <v>2579</v>
      </c>
      <c r="G139" s="122" t="s">
        <v>292</v>
      </c>
      <c r="H139" s="123">
        <v>235</v>
      </c>
      <c r="I139" s="124">
        <v>9.59</v>
      </c>
      <c r="J139" s="124">
        <f t="shared" si="0"/>
        <v>2253.65</v>
      </c>
      <c r="K139" s="121" t="s">
        <v>1</v>
      </c>
      <c r="L139" s="24"/>
      <c r="M139" s="125" t="s">
        <v>1</v>
      </c>
      <c r="N139" s="126" t="s">
        <v>32</v>
      </c>
      <c r="O139" s="127">
        <v>0</v>
      </c>
      <c r="P139" s="127">
        <f t="shared" si="1"/>
        <v>0</v>
      </c>
      <c r="Q139" s="127">
        <v>0</v>
      </c>
      <c r="R139" s="127">
        <f t="shared" si="2"/>
        <v>0</v>
      </c>
      <c r="S139" s="127">
        <v>0</v>
      </c>
      <c r="T139" s="128">
        <f t="shared" si="3"/>
        <v>0</v>
      </c>
      <c r="W139" s="199"/>
      <c r="X139" s="119" t="s">
        <v>289</v>
      </c>
      <c r="Y139" s="119" t="s">
        <v>231</v>
      </c>
      <c r="Z139" s="120" t="s">
        <v>289</v>
      </c>
      <c r="AA139" s="121" t="s">
        <v>2579</v>
      </c>
      <c r="AB139" s="122" t="s">
        <v>292</v>
      </c>
      <c r="AC139" s="123">
        <v>235</v>
      </c>
      <c r="AD139" s="124">
        <v>9.59</v>
      </c>
      <c r="AE139" s="200">
        <f t="shared" si="4"/>
        <v>2253.65</v>
      </c>
      <c r="AF139" s="248"/>
      <c r="AG139" s="130"/>
      <c r="AR139" s="129" t="s">
        <v>235</v>
      </c>
      <c r="AT139" s="129" t="s">
        <v>231</v>
      </c>
      <c r="AU139" s="129" t="s">
        <v>63</v>
      </c>
      <c r="AY139" s="13" t="s">
        <v>228</v>
      </c>
      <c r="BE139" s="130">
        <f t="shared" si="5"/>
        <v>0</v>
      </c>
      <c r="BF139" s="130">
        <f t="shared" si="6"/>
        <v>2253.65</v>
      </c>
      <c r="BG139" s="130">
        <f t="shared" si="7"/>
        <v>0</v>
      </c>
      <c r="BH139" s="130">
        <f t="shared" si="8"/>
        <v>0</v>
      </c>
      <c r="BI139" s="130">
        <f t="shared" si="9"/>
        <v>0</v>
      </c>
      <c r="BJ139" s="13" t="s">
        <v>76</v>
      </c>
      <c r="BK139" s="130">
        <f t="shared" si="10"/>
        <v>2253.65</v>
      </c>
      <c r="BL139" s="13" t="s">
        <v>235</v>
      </c>
      <c r="BM139" s="129" t="s">
        <v>293</v>
      </c>
    </row>
    <row r="140" spans="2:65" s="1" customFormat="1" ht="36" customHeight="1" x14ac:dyDescent="0.2">
      <c r="B140" s="118"/>
      <c r="C140" s="119" t="s">
        <v>262</v>
      </c>
      <c r="D140" s="119" t="s">
        <v>231</v>
      </c>
      <c r="E140" s="120" t="s">
        <v>262</v>
      </c>
      <c r="F140" s="121" t="s">
        <v>4003</v>
      </c>
      <c r="G140" s="122" t="s">
        <v>292</v>
      </c>
      <c r="H140" s="123">
        <v>40</v>
      </c>
      <c r="I140" s="124">
        <v>9.59</v>
      </c>
      <c r="J140" s="124">
        <f t="shared" si="0"/>
        <v>383.6</v>
      </c>
      <c r="K140" s="121" t="s">
        <v>1</v>
      </c>
      <c r="L140" s="24"/>
      <c r="M140" s="125" t="s">
        <v>1</v>
      </c>
      <c r="N140" s="126" t="s">
        <v>32</v>
      </c>
      <c r="O140" s="127">
        <v>0</v>
      </c>
      <c r="P140" s="127">
        <f t="shared" si="1"/>
        <v>0</v>
      </c>
      <c r="Q140" s="127">
        <v>0</v>
      </c>
      <c r="R140" s="127">
        <f t="shared" si="2"/>
        <v>0</v>
      </c>
      <c r="S140" s="127">
        <v>0</v>
      </c>
      <c r="T140" s="128">
        <f t="shared" si="3"/>
        <v>0</v>
      </c>
      <c r="W140" s="199"/>
      <c r="X140" s="119" t="s">
        <v>262</v>
      </c>
      <c r="Y140" s="119" t="s">
        <v>231</v>
      </c>
      <c r="Z140" s="120" t="s">
        <v>262</v>
      </c>
      <c r="AA140" s="121" t="s">
        <v>4003</v>
      </c>
      <c r="AB140" s="122" t="s">
        <v>292</v>
      </c>
      <c r="AC140" s="123">
        <v>40</v>
      </c>
      <c r="AD140" s="124">
        <v>9.59</v>
      </c>
      <c r="AE140" s="200">
        <f t="shared" si="4"/>
        <v>383.6</v>
      </c>
      <c r="AF140" s="248"/>
      <c r="AG140" s="130"/>
      <c r="AR140" s="129" t="s">
        <v>235</v>
      </c>
      <c r="AT140" s="129" t="s">
        <v>231</v>
      </c>
      <c r="AU140" s="129" t="s">
        <v>63</v>
      </c>
      <c r="AY140" s="13" t="s">
        <v>228</v>
      </c>
      <c r="BE140" s="130">
        <f t="shared" si="5"/>
        <v>0</v>
      </c>
      <c r="BF140" s="130">
        <f t="shared" si="6"/>
        <v>383.6</v>
      </c>
      <c r="BG140" s="130">
        <f t="shared" si="7"/>
        <v>0</v>
      </c>
      <c r="BH140" s="130">
        <f t="shared" si="8"/>
        <v>0</v>
      </c>
      <c r="BI140" s="130">
        <f t="shared" si="9"/>
        <v>0</v>
      </c>
      <c r="BJ140" s="13" t="s">
        <v>76</v>
      </c>
      <c r="BK140" s="130">
        <f t="shared" si="10"/>
        <v>383.6</v>
      </c>
      <c r="BL140" s="13" t="s">
        <v>235</v>
      </c>
      <c r="BM140" s="129" t="s">
        <v>296</v>
      </c>
    </row>
    <row r="141" spans="2:65" s="1" customFormat="1" ht="72" customHeight="1" x14ac:dyDescent="0.2">
      <c r="B141" s="118"/>
      <c r="C141" s="119" t="s">
        <v>297</v>
      </c>
      <c r="D141" s="119" t="s">
        <v>231</v>
      </c>
      <c r="E141" s="120" t="s">
        <v>297</v>
      </c>
      <c r="F141" s="121" t="s">
        <v>4640</v>
      </c>
      <c r="G141" s="122" t="s">
        <v>1194</v>
      </c>
      <c r="H141" s="123">
        <v>1</v>
      </c>
      <c r="I141" s="124">
        <v>5118.25</v>
      </c>
      <c r="J141" s="124">
        <f t="shared" si="0"/>
        <v>5118.25</v>
      </c>
      <c r="K141" s="121" t="s">
        <v>1</v>
      </c>
      <c r="L141" s="24"/>
      <c r="M141" s="125" t="s">
        <v>1</v>
      </c>
      <c r="N141" s="126" t="s">
        <v>32</v>
      </c>
      <c r="O141" s="127">
        <v>0</v>
      </c>
      <c r="P141" s="127">
        <f t="shared" si="1"/>
        <v>0</v>
      </c>
      <c r="Q141" s="127">
        <v>0</v>
      </c>
      <c r="R141" s="127">
        <f t="shared" si="2"/>
        <v>0</v>
      </c>
      <c r="S141" s="127">
        <v>0</v>
      </c>
      <c r="T141" s="128">
        <f t="shared" si="3"/>
        <v>0</v>
      </c>
      <c r="W141" s="199"/>
      <c r="X141" s="119" t="s">
        <v>297</v>
      </c>
      <c r="Y141" s="119" t="s">
        <v>231</v>
      </c>
      <c r="Z141" s="120" t="s">
        <v>297</v>
      </c>
      <c r="AA141" s="121" t="s">
        <v>4640</v>
      </c>
      <c r="AB141" s="122" t="s">
        <v>1194</v>
      </c>
      <c r="AC141" s="123">
        <v>1</v>
      </c>
      <c r="AD141" s="124">
        <v>5118.25</v>
      </c>
      <c r="AE141" s="200">
        <f t="shared" si="4"/>
        <v>5118.25</v>
      </c>
      <c r="AF141" s="248"/>
      <c r="AG141" s="130"/>
      <c r="AR141" s="129" t="s">
        <v>235</v>
      </c>
      <c r="AT141" s="129" t="s">
        <v>231</v>
      </c>
      <c r="AU141" s="129" t="s">
        <v>63</v>
      </c>
      <c r="AY141" s="13" t="s">
        <v>228</v>
      </c>
      <c r="BE141" s="130">
        <f t="shared" si="5"/>
        <v>0</v>
      </c>
      <c r="BF141" s="130">
        <f t="shared" si="6"/>
        <v>5118.25</v>
      </c>
      <c r="BG141" s="130">
        <f t="shared" si="7"/>
        <v>0</v>
      </c>
      <c r="BH141" s="130">
        <f t="shared" si="8"/>
        <v>0</v>
      </c>
      <c r="BI141" s="130">
        <f t="shared" si="9"/>
        <v>0</v>
      </c>
      <c r="BJ141" s="13" t="s">
        <v>76</v>
      </c>
      <c r="BK141" s="130">
        <f t="shared" si="10"/>
        <v>5118.25</v>
      </c>
      <c r="BL141" s="13" t="s">
        <v>235</v>
      </c>
      <c r="BM141" s="129" t="s">
        <v>300</v>
      </c>
    </row>
    <row r="142" spans="2:65" s="1" customFormat="1" ht="72" customHeight="1" x14ac:dyDescent="0.2">
      <c r="B142" s="118"/>
      <c r="C142" s="119" t="s">
        <v>7</v>
      </c>
      <c r="D142" s="119" t="s">
        <v>231</v>
      </c>
      <c r="E142" s="120" t="s">
        <v>7</v>
      </c>
      <c r="F142" s="121" t="s">
        <v>4641</v>
      </c>
      <c r="G142" s="122" t="s">
        <v>1194</v>
      </c>
      <c r="H142" s="123">
        <v>2</v>
      </c>
      <c r="I142" s="124">
        <v>6138.88</v>
      </c>
      <c r="J142" s="124">
        <f t="shared" si="0"/>
        <v>12277.76</v>
      </c>
      <c r="K142" s="121" t="s">
        <v>1</v>
      </c>
      <c r="L142" s="24"/>
      <c r="M142" s="125" t="s">
        <v>1</v>
      </c>
      <c r="N142" s="126" t="s">
        <v>32</v>
      </c>
      <c r="O142" s="127">
        <v>0</v>
      </c>
      <c r="P142" s="127">
        <f t="shared" si="1"/>
        <v>0</v>
      </c>
      <c r="Q142" s="127">
        <v>0</v>
      </c>
      <c r="R142" s="127">
        <f t="shared" si="2"/>
        <v>0</v>
      </c>
      <c r="S142" s="127">
        <v>0</v>
      </c>
      <c r="T142" s="128">
        <f t="shared" si="3"/>
        <v>0</v>
      </c>
      <c r="W142" s="199"/>
      <c r="X142" s="119" t="s">
        <v>7</v>
      </c>
      <c r="Y142" s="119" t="s">
        <v>231</v>
      </c>
      <c r="Z142" s="120" t="s">
        <v>7</v>
      </c>
      <c r="AA142" s="121" t="s">
        <v>4641</v>
      </c>
      <c r="AB142" s="122" t="s">
        <v>1194</v>
      </c>
      <c r="AC142" s="123">
        <v>2</v>
      </c>
      <c r="AD142" s="124">
        <v>6138.88</v>
      </c>
      <c r="AE142" s="200">
        <f t="shared" si="4"/>
        <v>12277.76</v>
      </c>
      <c r="AF142" s="248"/>
      <c r="AG142" s="130"/>
      <c r="AR142" s="129" t="s">
        <v>235</v>
      </c>
      <c r="AT142" s="129" t="s">
        <v>231</v>
      </c>
      <c r="AU142" s="129" t="s">
        <v>63</v>
      </c>
      <c r="AY142" s="13" t="s">
        <v>228</v>
      </c>
      <c r="BE142" s="130">
        <f t="shared" si="5"/>
        <v>0</v>
      </c>
      <c r="BF142" s="130">
        <f t="shared" si="6"/>
        <v>12277.76</v>
      </c>
      <c r="BG142" s="130">
        <f t="shared" si="7"/>
        <v>0</v>
      </c>
      <c r="BH142" s="130">
        <f t="shared" si="8"/>
        <v>0</v>
      </c>
      <c r="BI142" s="130">
        <f t="shared" si="9"/>
        <v>0</v>
      </c>
      <c r="BJ142" s="13" t="s">
        <v>76</v>
      </c>
      <c r="BK142" s="130">
        <f t="shared" si="10"/>
        <v>12277.76</v>
      </c>
      <c r="BL142" s="13" t="s">
        <v>235</v>
      </c>
      <c r="BM142" s="129" t="s">
        <v>303</v>
      </c>
    </row>
    <row r="143" spans="2:65" s="1" customFormat="1" ht="75" customHeight="1" x14ac:dyDescent="0.2">
      <c r="B143" s="118"/>
      <c r="C143" s="119" t="s">
        <v>305</v>
      </c>
      <c r="D143" s="119" t="s">
        <v>231</v>
      </c>
      <c r="E143" s="120" t="s">
        <v>305</v>
      </c>
      <c r="F143" s="121" t="s">
        <v>4642</v>
      </c>
      <c r="G143" s="122" t="s">
        <v>1194</v>
      </c>
      <c r="H143" s="123">
        <v>6</v>
      </c>
      <c r="I143" s="124">
        <v>4283.93</v>
      </c>
      <c r="J143" s="124">
        <f t="shared" si="0"/>
        <v>25703.58</v>
      </c>
      <c r="K143" s="121" t="s">
        <v>1</v>
      </c>
      <c r="L143" s="24"/>
      <c r="M143" s="125" t="s">
        <v>1</v>
      </c>
      <c r="N143" s="126" t="s">
        <v>32</v>
      </c>
      <c r="O143" s="127">
        <v>0</v>
      </c>
      <c r="P143" s="127">
        <f t="shared" si="1"/>
        <v>0</v>
      </c>
      <c r="Q143" s="127">
        <v>0</v>
      </c>
      <c r="R143" s="127">
        <f t="shared" si="2"/>
        <v>0</v>
      </c>
      <c r="S143" s="127">
        <v>0</v>
      </c>
      <c r="T143" s="128">
        <f t="shared" si="3"/>
        <v>0</v>
      </c>
      <c r="W143" s="199"/>
      <c r="X143" s="119" t="s">
        <v>305</v>
      </c>
      <c r="Y143" s="119" t="s">
        <v>231</v>
      </c>
      <c r="Z143" s="120" t="s">
        <v>305</v>
      </c>
      <c r="AA143" s="121" t="s">
        <v>4642</v>
      </c>
      <c r="AB143" s="122" t="s">
        <v>1194</v>
      </c>
      <c r="AC143" s="123">
        <v>6</v>
      </c>
      <c r="AD143" s="124">
        <v>4283.93</v>
      </c>
      <c r="AE143" s="200">
        <f t="shared" si="4"/>
        <v>25703.58</v>
      </c>
      <c r="AF143" s="248"/>
      <c r="AG143" s="130"/>
      <c r="AR143" s="129" t="s">
        <v>235</v>
      </c>
      <c r="AT143" s="129" t="s">
        <v>231</v>
      </c>
      <c r="AU143" s="129" t="s">
        <v>63</v>
      </c>
      <c r="AY143" s="13" t="s">
        <v>228</v>
      </c>
      <c r="BE143" s="130">
        <f t="shared" si="5"/>
        <v>0</v>
      </c>
      <c r="BF143" s="130">
        <f t="shared" si="6"/>
        <v>25703.58</v>
      </c>
      <c r="BG143" s="130">
        <f t="shared" si="7"/>
        <v>0</v>
      </c>
      <c r="BH143" s="130">
        <f t="shared" si="8"/>
        <v>0</v>
      </c>
      <c r="BI143" s="130">
        <f t="shared" si="9"/>
        <v>0</v>
      </c>
      <c r="BJ143" s="13" t="s">
        <v>76</v>
      </c>
      <c r="BK143" s="130">
        <f t="shared" si="10"/>
        <v>25703.58</v>
      </c>
      <c r="BL143" s="13" t="s">
        <v>235</v>
      </c>
      <c r="BM143" s="129" t="s">
        <v>308</v>
      </c>
    </row>
    <row r="144" spans="2:65" s="1" customFormat="1" ht="67.95" customHeight="1" x14ac:dyDescent="0.2">
      <c r="B144" s="118"/>
      <c r="C144" s="119" t="s">
        <v>268</v>
      </c>
      <c r="D144" s="119" t="s">
        <v>231</v>
      </c>
      <c r="E144" s="120" t="s">
        <v>268</v>
      </c>
      <c r="F144" s="121" t="s">
        <v>4643</v>
      </c>
      <c r="G144" s="122" t="s">
        <v>1194</v>
      </c>
      <c r="H144" s="123">
        <v>8</v>
      </c>
      <c r="I144" s="124">
        <v>1159</v>
      </c>
      <c r="J144" s="124">
        <f t="shared" si="0"/>
        <v>9272</v>
      </c>
      <c r="K144" s="121" t="s">
        <v>1</v>
      </c>
      <c r="L144" s="24"/>
      <c r="M144" s="125" t="s">
        <v>1</v>
      </c>
      <c r="N144" s="126" t="s">
        <v>32</v>
      </c>
      <c r="O144" s="127">
        <v>0</v>
      </c>
      <c r="P144" s="127">
        <f t="shared" si="1"/>
        <v>0</v>
      </c>
      <c r="Q144" s="127">
        <v>0</v>
      </c>
      <c r="R144" s="127">
        <f t="shared" si="2"/>
        <v>0</v>
      </c>
      <c r="S144" s="127">
        <v>0</v>
      </c>
      <c r="T144" s="128">
        <f t="shared" si="3"/>
        <v>0</v>
      </c>
      <c r="W144" s="199"/>
      <c r="X144" s="119" t="s">
        <v>268</v>
      </c>
      <c r="Y144" s="119" t="s">
        <v>231</v>
      </c>
      <c r="Z144" s="120" t="s">
        <v>268</v>
      </c>
      <c r="AA144" s="121" t="s">
        <v>4643</v>
      </c>
      <c r="AB144" s="122" t="s">
        <v>1194</v>
      </c>
      <c r="AC144" s="123">
        <v>8</v>
      </c>
      <c r="AD144" s="124">
        <v>1159</v>
      </c>
      <c r="AE144" s="200">
        <f t="shared" si="4"/>
        <v>9272</v>
      </c>
      <c r="AF144" s="248"/>
      <c r="AG144" s="130"/>
      <c r="AR144" s="129" t="s">
        <v>235</v>
      </c>
      <c r="AT144" s="129" t="s">
        <v>231</v>
      </c>
      <c r="AU144" s="129" t="s">
        <v>63</v>
      </c>
      <c r="AY144" s="13" t="s">
        <v>228</v>
      </c>
      <c r="BE144" s="130">
        <f t="shared" si="5"/>
        <v>0</v>
      </c>
      <c r="BF144" s="130">
        <f t="shared" si="6"/>
        <v>9272</v>
      </c>
      <c r="BG144" s="130">
        <f t="shared" si="7"/>
        <v>0</v>
      </c>
      <c r="BH144" s="130">
        <f t="shared" si="8"/>
        <v>0</v>
      </c>
      <c r="BI144" s="130">
        <f t="shared" si="9"/>
        <v>0</v>
      </c>
      <c r="BJ144" s="13" t="s">
        <v>76</v>
      </c>
      <c r="BK144" s="130">
        <f t="shared" si="10"/>
        <v>9272</v>
      </c>
      <c r="BL144" s="13" t="s">
        <v>235</v>
      </c>
      <c r="BM144" s="129" t="s">
        <v>312</v>
      </c>
    </row>
    <row r="145" spans="2:65" s="1" customFormat="1" ht="64.95" customHeight="1" x14ac:dyDescent="0.2">
      <c r="B145" s="118"/>
      <c r="C145" s="119" t="s">
        <v>313</v>
      </c>
      <c r="D145" s="119" t="s">
        <v>231</v>
      </c>
      <c r="E145" s="120" t="s">
        <v>313</v>
      </c>
      <c r="F145" s="121" t="s">
        <v>4644</v>
      </c>
      <c r="G145" s="122" t="s">
        <v>1194</v>
      </c>
      <c r="H145" s="123">
        <v>1</v>
      </c>
      <c r="I145" s="124">
        <v>1159</v>
      </c>
      <c r="J145" s="124">
        <f t="shared" si="0"/>
        <v>1159</v>
      </c>
      <c r="K145" s="121" t="s">
        <v>1</v>
      </c>
      <c r="L145" s="24"/>
      <c r="M145" s="125" t="s">
        <v>1</v>
      </c>
      <c r="N145" s="126" t="s">
        <v>32</v>
      </c>
      <c r="O145" s="127">
        <v>0</v>
      </c>
      <c r="P145" s="127">
        <f t="shared" si="1"/>
        <v>0</v>
      </c>
      <c r="Q145" s="127">
        <v>0</v>
      </c>
      <c r="R145" s="127">
        <f t="shared" si="2"/>
        <v>0</v>
      </c>
      <c r="S145" s="127">
        <v>0</v>
      </c>
      <c r="T145" s="128">
        <f t="shared" si="3"/>
        <v>0</v>
      </c>
      <c r="W145" s="199"/>
      <c r="X145" s="119" t="s">
        <v>313</v>
      </c>
      <c r="Y145" s="119" t="s">
        <v>231</v>
      </c>
      <c r="Z145" s="120" t="s">
        <v>313</v>
      </c>
      <c r="AA145" s="121" t="s">
        <v>4644</v>
      </c>
      <c r="AB145" s="122" t="s">
        <v>1194</v>
      </c>
      <c r="AC145" s="123">
        <v>1</v>
      </c>
      <c r="AD145" s="124">
        <v>1159</v>
      </c>
      <c r="AE145" s="200">
        <f t="shared" si="4"/>
        <v>1159</v>
      </c>
      <c r="AF145" s="248"/>
      <c r="AG145" s="130"/>
      <c r="AR145" s="129" t="s">
        <v>235</v>
      </c>
      <c r="AT145" s="129" t="s">
        <v>231</v>
      </c>
      <c r="AU145" s="129" t="s">
        <v>63</v>
      </c>
      <c r="AY145" s="13" t="s">
        <v>228</v>
      </c>
      <c r="BE145" s="130">
        <f t="shared" si="5"/>
        <v>0</v>
      </c>
      <c r="BF145" s="130">
        <f t="shared" si="6"/>
        <v>1159</v>
      </c>
      <c r="BG145" s="130">
        <f t="shared" si="7"/>
        <v>0</v>
      </c>
      <c r="BH145" s="130">
        <f t="shared" si="8"/>
        <v>0</v>
      </c>
      <c r="BI145" s="130">
        <f t="shared" si="9"/>
        <v>0</v>
      </c>
      <c r="BJ145" s="13" t="s">
        <v>76</v>
      </c>
      <c r="BK145" s="130">
        <f t="shared" si="10"/>
        <v>1159</v>
      </c>
      <c r="BL145" s="13" t="s">
        <v>235</v>
      </c>
      <c r="BM145" s="129" t="s">
        <v>316</v>
      </c>
    </row>
    <row r="146" spans="2:65" s="660" customFormat="1" ht="67.95" customHeight="1" x14ac:dyDescent="0.2">
      <c r="B146" s="118"/>
      <c r="C146" s="1234" t="s">
        <v>5205</v>
      </c>
      <c r="D146" s="1235"/>
      <c r="E146" s="1235"/>
      <c r="F146" s="1235"/>
      <c r="G146" s="1235"/>
      <c r="H146" s="1235"/>
      <c r="I146" s="1235"/>
      <c r="J146" s="1236"/>
      <c r="K146" s="121"/>
      <c r="L146" s="24"/>
      <c r="M146" s="125"/>
      <c r="N146" s="126"/>
      <c r="O146" s="127"/>
      <c r="P146" s="127"/>
      <c r="Q146" s="127"/>
      <c r="R146" s="127"/>
      <c r="S146" s="127"/>
      <c r="T146" s="128"/>
      <c r="W146" s="199"/>
      <c r="X146" s="207" t="s">
        <v>5209</v>
      </c>
      <c r="Y146" s="207" t="s">
        <v>231</v>
      </c>
      <c r="Z146" s="208" t="s">
        <v>5483</v>
      </c>
      <c r="AA146" s="209" t="s">
        <v>6416</v>
      </c>
      <c r="AB146" s="210" t="s">
        <v>1194</v>
      </c>
      <c r="AC146" s="211">
        <v>1</v>
      </c>
      <c r="AD146" s="212">
        <v>1159</v>
      </c>
      <c r="AE146" s="214">
        <v>1159</v>
      </c>
      <c r="AF146" s="248" t="s">
        <v>6417</v>
      </c>
      <c r="AG146" s="130"/>
      <c r="AR146" s="129"/>
      <c r="AT146" s="129"/>
      <c r="AU146" s="129"/>
      <c r="AY146" s="13"/>
      <c r="BE146" s="130"/>
      <c r="BF146" s="130"/>
      <c r="BG146" s="130"/>
      <c r="BH146" s="130"/>
      <c r="BI146" s="130"/>
      <c r="BJ146" s="13"/>
      <c r="BK146" s="130"/>
      <c r="BL146" s="13"/>
      <c r="BM146" s="129"/>
    </row>
    <row r="147" spans="2:65" s="1" customFormat="1" ht="69.45" customHeight="1" x14ac:dyDescent="0.2">
      <c r="B147" s="118"/>
      <c r="C147" s="119" t="s">
        <v>272</v>
      </c>
      <c r="D147" s="119" t="s">
        <v>231</v>
      </c>
      <c r="E147" s="120" t="s">
        <v>272</v>
      </c>
      <c r="F147" s="121" t="s">
        <v>4645</v>
      </c>
      <c r="G147" s="122" t="s">
        <v>1194</v>
      </c>
      <c r="H147" s="123">
        <v>1</v>
      </c>
      <c r="I147" s="124">
        <v>4793.5600000000004</v>
      </c>
      <c r="J147" s="124">
        <f t="shared" si="0"/>
        <v>4793.5600000000004</v>
      </c>
      <c r="K147" s="121" t="s">
        <v>1</v>
      </c>
      <c r="L147" s="24"/>
      <c r="M147" s="125" t="s">
        <v>1</v>
      </c>
      <c r="N147" s="126" t="s">
        <v>32</v>
      </c>
      <c r="O147" s="127">
        <v>0</v>
      </c>
      <c r="P147" s="127">
        <f t="shared" si="1"/>
        <v>0</v>
      </c>
      <c r="Q147" s="127">
        <v>0</v>
      </c>
      <c r="R147" s="127">
        <f t="shared" si="2"/>
        <v>0</v>
      </c>
      <c r="S147" s="127">
        <v>0</v>
      </c>
      <c r="T147" s="128">
        <f t="shared" si="3"/>
        <v>0</v>
      </c>
      <c r="W147" s="199"/>
      <c r="X147" s="119" t="s">
        <v>272</v>
      </c>
      <c r="Y147" s="119" t="s">
        <v>231</v>
      </c>
      <c r="Z147" s="120" t="s">
        <v>272</v>
      </c>
      <c r="AA147" s="121" t="s">
        <v>4645</v>
      </c>
      <c r="AB147" s="122" t="s">
        <v>1194</v>
      </c>
      <c r="AC147" s="123">
        <v>1</v>
      </c>
      <c r="AD147" s="124">
        <v>4793.5600000000004</v>
      </c>
      <c r="AE147" s="200">
        <f t="shared" si="4"/>
        <v>4793.5600000000004</v>
      </c>
      <c r="AF147" s="248"/>
      <c r="AG147" s="130"/>
      <c r="AR147" s="129" t="s">
        <v>235</v>
      </c>
      <c r="AT147" s="129" t="s">
        <v>231</v>
      </c>
      <c r="AU147" s="129" t="s">
        <v>63</v>
      </c>
      <c r="AY147" s="13" t="s">
        <v>228</v>
      </c>
      <c r="BE147" s="130">
        <f t="shared" si="5"/>
        <v>0</v>
      </c>
      <c r="BF147" s="130">
        <f t="shared" si="6"/>
        <v>4793.5600000000004</v>
      </c>
      <c r="BG147" s="130">
        <f t="shared" si="7"/>
        <v>0</v>
      </c>
      <c r="BH147" s="130">
        <f t="shared" si="8"/>
        <v>0</v>
      </c>
      <c r="BI147" s="130">
        <f t="shared" si="9"/>
        <v>0</v>
      </c>
      <c r="BJ147" s="13" t="s">
        <v>76</v>
      </c>
      <c r="BK147" s="130">
        <f t="shared" si="10"/>
        <v>4793.5600000000004</v>
      </c>
      <c r="BL147" s="13" t="s">
        <v>235</v>
      </c>
      <c r="BM147" s="129" t="s">
        <v>319</v>
      </c>
    </row>
    <row r="148" spans="2:65" s="1" customFormat="1" ht="72" customHeight="1" x14ac:dyDescent="0.2">
      <c r="B148" s="118"/>
      <c r="C148" s="119" t="s">
        <v>320</v>
      </c>
      <c r="D148" s="119" t="s">
        <v>231</v>
      </c>
      <c r="E148" s="120" t="s">
        <v>320</v>
      </c>
      <c r="F148" s="121" t="s">
        <v>4646</v>
      </c>
      <c r="G148" s="122" t="s">
        <v>1194</v>
      </c>
      <c r="H148" s="123">
        <v>1</v>
      </c>
      <c r="I148" s="124">
        <v>4438.74</v>
      </c>
      <c r="J148" s="124">
        <f t="shared" si="0"/>
        <v>4438.74</v>
      </c>
      <c r="K148" s="121" t="s">
        <v>1</v>
      </c>
      <c r="L148" s="24"/>
      <c r="M148" s="125" t="s">
        <v>1</v>
      </c>
      <c r="N148" s="126" t="s">
        <v>32</v>
      </c>
      <c r="O148" s="127">
        <v>0</v>
      </c>
      <c r="P148" s="127">
        <f t="shared" si="1"/>
        <v>0</v>
      </c>
      <c r="Q148" s="127">
        <v>0</v>
      </c>
      <c r="R148" s="127">
        <f t="shared" si="2"/>
        <v>0</v>
      </c>
      <c r="S148" s="127">
        <v>0</v>
      </c>
      <c r="T148" s="128">
        <f t="shared" si="3"/>
        <v>0</v>
      </c>
      <c r="W148" s="199"/>
      <c r="X148" s="119" t="s">
        <v>320</v>
      </c>
      <c r="Y148" s="119" t="s">
        <v>231</v>
      </c>
      <c r="Z148" s="120" t="s">
        <v>320</v>
      </c>
      <c r="AA148" s="121" t="s">
        <v>4646</v>
      </c>
      <c r="AB148" s="122" t="s">
        <v>1194</v>
      </c>
      <c r="AC148" s="123">
        <v>1</v>
      </c>
      <c r="AD148" s="124">
        <v>4438.74</v>
      </c>
      <c r="AE148" s="200">
        <f t="shared" si="4"/>
        <v>4438.74</v>
      </c>
      <c r="AF148" s="248"/>
      <c r="AG148" s="130"/>
      <c r="AR148" s="129" t="s">
        <v>235</v>
      </c>
      <c r="AT148" s="129" t="s">
        <v>231</v>
      </c>
      <c r="AU148" s="129" t="s">
        <v>63</v>
      </c>
      <c r="AY148" s="13" t="s">
        <v>228</v>
      </c>
      <c r="BE148" s="130">
        <f t="shared" si="5"/>
        <v>0</v>
      </c>
      <c r="BF148" s="130">
        <f t="shared" si="6"/>
        <v>4438.74</v>
      </c>
      <c r="BG148" s="130">
        <f t="shared" si="7"/>
        <v>0</v>
      </c>
      <c r="BH148" s="130">
        <f t="shared" si="8"/>
        <v>0</v>
      </c>
      <c r="BI148" s="130">
        <f t="shared" si="9"/>
        <v>0</v>
      </c>
      <c r="BJ148" s="13" t="s">
        <v>76</v>
      </c>
      <c r="BK148" s="130">
        <f t="shared" si="10"/>
        <v>4438.74</v>
      </c>
      <c r="BL148" s="13" t="s">
        <v>235</v>
      </c>
      <c r="BM148" s="129" t="s">
        <v>323</v>
      </c>
    </row>
    <row r="149" spans="2:65" s="1" customFormat="1" ht="72" customHeight="1" x14ac:dyDescent="0.2">
      <c r="B149" s="118"/>
      <c r="C149" s="205" t="s">
        <v>276</v>
      </c>
      <c r="D149" s="119" t="s">
        <v>231</v>
      </c>
      <c r="E149" s="120" t="s">
        <v>276</v>
      </c>
      <c r="F149" s="121" t="s">
        <v>4641</v>
      </c>
      <c r="G149" s="122" t="s">
        <v>1194</v>
      </c>
      <c r="H149" s="206">
        <v>5</v>
      </c>
      <c r="I149" s="124">
        <v>6138.88</v>
      </c>
      <c r="J149" s="124">
        <f t="shared" si="0"/>
        <v>30694.400000000001</v>
      </c>
      <c r="K149" s="121" t="s">
        <v>1</v>
      </c>
      <c r="L149" s="24"/>
      <c r="M149" s="125" t="s">
        <v>1</v>
      </c>
      <c r="N149" s="126" t="s">
        <v>32</v>
      </c>
      <c r="O149" s="127">
        <v>0</v>
      </c>
      <c r="P149" s="127">
        <f t="shared" si="1"/>
        <v>0</v>
      </c>
      <c r="Q149" s="127">
        <v>0</v>
      </c>
      <c r="R149" s="127">
        <f t="shared" si="2"/>
        <v>0</v>
      </c>
      <c r="S149" s="127">
        <v>0</v>
      </c>
      <c r="T149" s="128">
        <f t="shared" si="3"/>
        <v>0</v>
      </c>
      <c r="W149" s="199"/>
      <c r="X149" s="205" t="s">
        <v>276</v>
      </c>
      <c r="Y149" s="119" t="s">
        <v>231</v>
      </c>
      <c r="Z149" s="120" t="s">
        <v>276</v>
      </c>
      <c r="AA149" s="121" t="s">
        <v>4641</v>
      </c>
      <c r="AB149" s="122" t="s">
        <v>1194</v>
      </c>
      <c r="AC149" s="206">
        <f>5-5</f>
        <v>0</v>
      </c>
      <c r="AD149" s="124">
        <v>6138.88</v>
      </c>
      <c r="AE149" s="200">
        <f t="shared" si="4"/>
        <v>0</v>
      </c>
      <c r="AF149" s="248" t="s">
        <v>6371</v>
      </c>
      <c r="AG149" s="130"/>
      <c r="AR149" s="129" t="s">
        <v>235</v>
      </c>
      <c r="AT149" s="129" t="s">
        <v>231</v>
      </c>
      <c r="AU149" s="129" t="s">
        <v>63</v>
      </c>
      <c r="AY149" s="13" t="s">
        <v>228</v>
      </c>
      <c r="BE149" s="130">
        <f t="shared" si="5"/>
        <v>0</v>
      </c>
      <c r="BF149" s="130">
        <f t="shared" si="6"/>
        <v>30694.400000000001</v>
      </c>
      <c r="BG149" s="130">
        <f t="shared" si="7"/>
        <v>0</v>
      </c>
      <c r="BH149" s="130">
        <f t="shared" si="8"/>
        <v>0</v>
      </c>
      <c r="BI149" s="130">
        <f t="shared" si="9"/>
        <v>0</v>
      </c>
      <c r="BJ149" s="13" t="s">
        <v>76</v>
      </c>
      <c r="BK149" s="130">
        <f t="shared" si="10"/>
        <v>30694.400000000001</v>
      </c>
      <c r="BL149" s="13" t="s">
        <v>235</v>
      </c>
      <c r="BM149" s="129" t="s">
        <v>326</v>
      </c>
    </row>
    <row r="150" spans="2:65" s="1" customFormat="1" ht="83.55" customHeight="1" x14ac:dyDescent="0.2">
      <c r="B150" s="118"/>
      <c r="C150" s="205" t="s">
        <v>327</v>
      </c>
      <c r="D150" s="119" t="s">
        <v>231</v>
      </c>
      <c r="E150" s="120" t="s">
        <v>327</v>
      </c>
      <c r="F150" s="121" t="s">
        <v>4647</v>
      </c>
      <c r="G150" s="122" t="s">
        <v>1194</v>
      </c>
      <c r="H150" s="206">
        <v>1</v>
      </c>
      <c r="I150" s="124">
        <v>4329.1400000000003</v>
      </c>
      <c r="J150" s="124">
        <f t="shared" si="0"/>
        <v>4329.1400000000003</v>
      </c>
      <c r="K150" s="121" t="s">
        <v>1</v>
      </c>
      <c r="L150" s="24"/>
      <c r="M150" s="125" t="s">
        <v>1</v>
      </c>
      <c r="N150" s="126" t="s">
        <v>32</v>
      </c>
      <c r="O150" s="127">
        <v>0</v>
      </c>
      <c r="P150" s="127">
        <f t="shared" si="1"/>
        <v>0</v>
      </c>
      <c r="Q150" s="127">
        <v>0</v>
      </c>
      <c r="R150" s="127">
        <f t="shared" si="2"/>
        <v>0</v>
      </c>
      <c r="S150" s="127">
        <v>0</v>
      </c>
      <c r="T150" s="128">
        <f t="shared" si="3"/>
        <v>0</v>
      </c>
      <c r="W150" s="199"/>
      <c r="X150" s="205" t="s">
        <v>327</v>
      </c>
      <c r="Y150" s="119" t="s">
        <v>231</v>
      </c>
      <c r="Z150" s="120" t="s">
        <v>327</v>
      </c>
      <c r="AA150" s="121" t="s">
        <v>4647</v>
      </c>
      <c r="AB150" s="122" t="s">
        <v>1194</v>
      </c>
      <c r="AC150" s="206">
        <f>1-1</f>
        <v>0</v>
      </c>
      <c r="AD150" s="124">
        <v>4329.1400000000003</v>
      </c>
      <c r="AE150" s="200">
        <f t="shared" si="4"/>
        <v>0</v>
      </c>
      <c r="AF150" s="248" t="s">
        <v>6371</v>
      </c>
      <c r="AG150" s="130"/>
      <c r="AR150" s="129" t="s">
        <v>235</v>
      </c>
      <c r="AT150" s="129" t="s">
        <v>231</v>
      </c>
      <c r="AU150" s="129" t="s">
        <v>63</v>
      </c>
      <c r="AY150" s="13" t="s">
        <v>228</v>
      </c>
      <c r="BE150" s="130">
        <f t="shared" si="5"/>
        <v>0</v>
      </c>
      <c r="BF150" s="130">
        <f t="shared" si="6"/>
        <v>4329.1400000000003</v>
      </c>
      <c r="BG150" s="130">
        <f t="shared" si="7"/>
        <v>0</v>
      </c>
      <c r="BH150" s="130">
        <f t="shared" si="8"/>
        <v>0</v>
      </c>
      <c r="BI150" s="130">
        <f t="shared" si="9"/>
        <v>0</v>
      </c>
      <c r="BJ150" s="13" t="s">
        <v>76</v>
      </c>
      <c r="BK150" s="130">
        <f t="shared" si="10"/>
        <v>4329.1400000000003</v>
      </c>
      <c r="BL150" s="13" t="s">
        <v>235</v>
      </c>
      <c r="BM150" s="129" t="s">
        <v>330</v>
      </c>
    </row>
    <row r="151" spans="2:65" s="660" customFormat="1" ht="43.95" customHeight="1" x14ac:dyDescent="0.2">
      <c r="B151" s="118"/>
      <c r="C151" s="1234" t="s">
        <v>5205</v>
      </c>
      <c r="D151" s="1235"/>
      <c r="E151" s="1235"/>
      <c r="F151" s="1235"/>
      <c r="G151" s="1235"/>
      <c r="H151" s="1235"/>
      <c r="I151" s="1235"/>
      <c r="J151" s="1236"/>
      <c r="K151" s="121"/>
      <c r="L151" s="24"/>
      <c r="M151" s="125"/>
      <c r="N151" s="126"/>
      <c r="O151" s="127"/>
      <c r="P151" s="127"/>
      <c r="Q151" s="127"/>
      <c r="R151" s="127"/>
      <c r="S151" s="127"/>
      <c r="T151" s="128"/>
      <c r="W151" s="199"/>
      <c r="X151" s="207" t="s">
        <v>6165</v>
      </c>
      <c r="Y151" s="207" t="s">
        <v>231</v>
      </c>
      <c r="Z151" s="208" t="s">
        <v>6386</v>
      </c>
      <c r="AA151" s="209" t="s">
        <v>6387</v>
      </c>
      <c r="AB151" s="210" t="s">
        <v>1194</v>
      </c>
      <c r="AC151" s="211">
        <v>1</v>
      </c>
      <c r="AD151" s="212">
        <v>4793.5600000000004</v>
      </c>
      <c r="AE151" s="214">
        <f t="shared" ref="AE151" si="11">ROUND(AD151*AC151,2)</f>
        <v>4793.5600000000004</v>
      </c>
      <c r="AF151" s="248" t="s">
        <v>6371</v>
      </c>
      <c r="AG151" s="130"/>
      <c r="AR151" s="129"/>
      <c r="AT151" s="129"/>
      <c r="AU151" s="129"/>
      <c r="AY151" s="13"/>
      <c r="BE151" s="130"/>
      <c r="BF151" s="130"/>
      <c r="BG151" s="130"/>
      <c r="BH151" s="130"/>
      <c r="BI151" s="130"/>
      <c r="BJ151" s="13"/>
      <c r="BK151" s="130"/>
      <c r="BL151" s="13"/>
      <c r="BM151" s="129"/>
    </row>
    <row r="152" spans="2:65" s="660" customFormat="1" ht="126" customHeight="1" x14ac:dyDescent="0.2">
      <c r="B152" s="118"/>
      <c r="C152" s="119"/>
      <c r="D152" s="119"/>
      <c r="E152" s="120"/>
      <c r="F152" s="121"/>
      <c r="G152" s="122"/>
      <c r="H152" s="123"/>
      <c r="I152" s="124"/>
      <c r="J152" s="124"/>
      <c r="K152" s="121"/>
      <c r="L152" s="24"/>
      <c r="M152" s="125"/>
      <c r="N152" s="126"/>
      <c r="O152" s="127"/>
      <c r="P152" s="127"/>
      <c r="Q152" s="127"/>
      <c r="R152" s="127"/>
      <c r="S152" s="127"/>
      <c r="T152" s="128"/>
      <c r="W152" s="199"/>
      <c r="X152" s="285"/>
      <c r="Y152" s="285"/>
      <c r="Z152" s="286"/>
      <c r="AA152" s="669" t="s">
        <v>6388</v>
      </c>
      <c r="AB152" s="666"/>
      <c r="AC152" s="666"/>
      <c r="AD152" s="666"/>
      <c r="AE152" s="290"/>
      <c r="AF152" s="248"/>
      <c r="AG152" s="130"/>
      <c r="AR152" s="129"/>
      <c r="AT152" s="129"/>
      <c r="AU152" s="129"/>
      <c r="AY152" s="13"/>
      <c r="BE152" s="130"/>
      <c r="BF152" s="130"/>
      <c r="BG152" s="130"/>
      <c r="BH152" s="130"/>
      <c r="BI152" s="130"/>
      <c r="BJ152" s="13"/>
      <c r="BK152" s="130"/>
      <c r="BL152" s="13"/>
      <c r="BM152" s="129"/>
    </row>
    <row r="153" spans="2:65" s="660" customFormat="1" ht="46.2" customHeight="1" x14ac:dyDescent="0.2">
      <c r="B153" s="118"/>
      <c r="C153" s="1234" t="s">
        <v>5205</v>
      </c>
      <c r="D153" s="1235"/>
      <c r="E153" s="1235"/>
      <c r="F153" s="1235"/>
      <c r="G153" s="1235"/>
      <c r="H153" s="1235"/>
      <c r="I153" s="1235"/>
      <c r="J153" s="1236"/>
      <c r="K153" s="121"/>
      <c r="L153" s="24"/>
      <c r="M153" s="125"/>
      <c r="N153" s="126"/>
      <c r="O153" s="127"/>
      <c r="P153" s="127"/>
      <c r="Q153" s="127"/>
      <c r="R153" s="127"/>
      <c r="S153" s="127"/>
      <c r="T153" s="128"/>
      <c r="W153" s="199"/>
      <c r="X153" s="207" t="s">
        <v>6389</v>
      </c>
      <c r="Y153" s="207" t="s">
        <v>231</v>
      </c>
      <c r="Z153" s="208" t="s">
        <v>6390</v>
      </c>
      <c r="AA153" s="209" t="s">
        <v>6391</v>
      </c>
      <c r="AB153" s="210" t="s">
        <v>1194</v>
      </c>
      <c r="AC153" s="211">
        <v>4</v>
      </c>
      <c r="AD153" s="212">
        <v>5842</v>
      </c>
      <c r="AE153" s="214">
        <f t="shared" ref="AE153" si="12">ROUND(AD153*AC153,2)</f>
        <v>23368</v>
      </c>
      <c r="AF153" s="248" t="s">
        <v>6371</v>
      </c>
      <c r="AG153" s="130"/>
      <c r="AR153" s="129"/>
      <c r="AT153" s="129"/>
      <c r="AU153" s="129"/>
      <c r="AY153" s="13"/>
      <c r="BE153" s="130"/>
      <c r="BF153" s="130"/>
      <c r="BG153" s="130"/>
      <c r="BH153" s="130"/>
      <c r="BI153" s="130"/>
      <c r="BJ153" s="13"/>
      <c r="BK153" s="130"/>
      <c r="BL153" s="13"/>
      <c r="BM153" s="129"/>
    </row>
    <row r="154" spans="2:65" s="660" customFormat="1" ht="126" customHeight="1" x14ac:dyDescent="0.2">
      <c r="B154" s="118"/>
      <c r="C154" s="119"/>
      <c r="D154" s="119"/>
      <c r="E154" s="120"/>
      <c r="F154" s="121"/>
      <c r="G154" s="122"/>
      <c r="H154" s="123"/>
      <c r="I154" s="124"/>
      <c r="J154" s="124"/>
      <c r="K154" s="121"/>
      <c r="L154" s="24"/>
      <c r="M154" s="125"/>
      <c r="N154" s="126"/>
      <c r="O154" s="127"/>
      <c r="P154" s="127"/>
      <c r="Q154" s="127"/>
      <c r="R154" s="127"/>
      <c r="S154" s="127"/>
      <c r="T154" s="128"/>
      <c r="W154" s="199"/>
      <c r="X154" s="285"/>
      <c r="Y154" s="285"/>
      <c r="Z154" s="286"/>
      <c r="AA154" s="669" t="s">
        <v>6388</v>
      </c>
      <c r="AB154" s="666"/>
      <c r="AC154" s="666"/>
      <c r="AD154" s="666"/>
      <c r="AE154" s="290"/>
      <c r="AF154" s="248"/>
      <c r="AG154" s="130"/>
      <c r="AR154" s="129"/>
      <c r="AT154" s="129"/>
      <c r="AU154" s="129"/>
      <c r="AY154" s="13"/>
      <c r="BE154" s="130"/>
      <c r="BF154" s="130"/>
      <c r="BG154" s="130"/>
      <c r="BH154" s="130"/>
      <c r="BI154" s="130"/>
      <c r="BJ154" s="13"/>
      <c r="BK154" s="130"/>
      <c r="BL154" s="13"/>
      <c r="BM154" s="129"/>
    </row>
    <row r="155" spans="2:65" s="1" customFormat="1" ht="51" customHeight="1" x14ac:dyDescent="0.2">
      <c r="B155" s="118"/>
      <c r="C155" s="119" t="s">
        <v>280</v>
      </c>
      <c r="D155" s="119" t="s">
        <v>231</v>
      </c>
      <c r="E155" s="120" t="s">
        <v>280</v>
      </c>
      <c r="F155" s="121" t="s">
        <v>4648</v>
      </c>
      <c r="G155" s="122" t="s">
        <v>1194</v>
      </c>
      <c r="H155" s="123">
        <v>3</v>
      </c>
      <c r="I155" s="124">
        <v>4409.97</v>
      </c>
      <c r="J155" s="124">
        <f t="shared" si="0"/>
        <v>13229.91</v>
      </c>
      <c r="K155" s="121" t="s">
        <v>1</v>
      </c>
      <c r="L155" s="24"/>
      <c r="M155" s="125" t="s">
        <v>1</v>
      </c>
      <c r="N155" s="126" t="s">
        <v>32</v>
      </c>
      <c r="O155" s="127">
        <v>0</v>
      </c>
      <c r="P155" s="127">
        <f t="shared" si="1"/>
        <v>0</v>
      </c>
      <c r="Q155" s="127">
        <v>0</v>
      </c>
      <c r="R155" s="127">
        <f t="shared" si="2"/>
        <v>0</v>
      </c>
      <c r="S155" s="127">
        <v>0</v>
      </c>
      <c r="T155" s="128">
        <f t="shared" si="3"/>
        <v>0</v>
      </c>
      <c r="W155" s="199"/>
      <c r="X155" s="1070" t="s">
        <v>280</v>
      </c>
      <c r="Y155" s="119" t="s">
        <v>231</v>
      </c>
      <c r="Z155" s="120" t="s">
        <v>280</v>
      </c>
      <c r="AA155" s="121" t="s">
        <v>4648</v>
      </c>
      <c r="AB155" s="122" t="s">
        <v>1194</v>
      </c>
      <c r="AC155" s="1071">
        <f>3-1</f>
        <v>2</v>
      </c>
      <c r="AD155" s="124">
        <v>4409.97</v>
      </c>
      <c r="AE155" s="200">
        <f t="shared" si="4"/>
        <v>8819.94</v>
      </c>
      <c r="AF155" s="248" t="s">
        <v>6371</v>
      </c>
      <c r="AG155" s="130"/>
      <c r="AR155" s="129" t="s">
        <v>235</v>
      </c>
      <c r="AT155" s="129" t="s">
        <v>231</v>
      </c>
      <c r="AU155" s="129" t="s">
        <v>63</v>
      </c>
      <c r="AY155" s="13" t="s">
        <v>228</v>
      </c>
      <c r="BE155" s="130">
        <f t="shared" si="5"/>
        <v>0</v>
      </c>
      <c r="BF155" s="130">
        <f t="shared" si="6"/>
        <v>13229.91</v>
      </c>
      <c r="BG155" s="130">
        <f t="shared" si="7"/>
        <v>0</v>
      </c>
      <c r="BH155" s="130">
        <f t="shared" si="8"/>
        <v>0</v>
      </c>
      <c r="BI155" s="130">
        <f t="shared" si="9"/>
        <v>0</v>
      </c>
      <c r="BJ155" s="13" t="s">
        <v>76</v>
      </c>
      <c r="BK155" s="130">
        <f t="shared" si="10"/>
        <v>13229.91</v>
      </c>
      <c r="BL155" s="13" t="s">
        <v>235</v>
      </c>
      <c r="BM155" s="129" t="s">
        <v>333</v>
      </c>
    </row>
    <row r="156" spans="2:65" s="1" customFormat="1" ht="60" customHeight="1" x14ac:dyDescent="0.2">
      <c r="B156" s="118"/>
      <c r="C156" s="119" t="s">
        <v>334</v>
      </c>
      <c r="D156" s="119" t="s">
        <v>231</v>
      </c>
      <c r="E156" s="120" t="s">
        <v>334</v>
      </c>
      <c r="F156" s="121" t="s">
        <v>4649</v>
      </c>
      <c r="G156" s="122" t="s">
        <v>1194</v>
      </c>
      <c r="H156" s="123">
        <v>2</v>
      </c>
      <c r="I156" s="124">
        <v>2996.15</v>
      </c>
      <c r="J156" s="124">
        <f t="shared" si="0"/>
        <v>5992.3</v>
      </c>
      <c r="K156" s="121" t="s">
        <v>1</v>
      </c>
      <c r="L156" s="24"/>
      <c r="M156" s="125" t="s">
        <v>1</v>
      </c>
      <c r="N156" s="126" t="s">
        <v>32</v>
      </c>
      <c r="O156" s="127">
        <v>0</v>
      </c>
      <c r="P156" s="127">
        <f t="shared" si="1"/>
        <v>0</v>
      </c>
      <c r="Q156" s="127">
        <v>0</v>
      </c>
      <c r="R156" s="127">
        <f t="shared" si="2"/>
        <v>0</v>
      </c>
      <c r="S156" s="127">
        <v>0</v>
      </c>
      <c r="T156" s="128">
        <f t="shared" si="3"/>
        <v>0</v>
      </c>
      <c r="W156" s="199"/>
      <c r="X156" s="119" t="s">
        <v>334</v>
      </c>
      <c r="Y156" s="119" t="s">
        <v>231</v>
      </c>
      <c r="Z156" s="120" t="s">
        <v>334</v>
      </c>
      <c r="AA156" s="121" t="s">
        <v>4649</v>
      </c>
      <c r="AB156" s="122" t="s">
        <v>1194</v>
      </c>
      <c r="AC156" s="123">
        <v>2</v>
      </c>
      <c r="AD156" s="124">
        <v>2996.15</v>
      </c>
      <c r="AE156" s="200">
        <f t="shared" si="4"/>
        <v>5992.3</v>
      </c>
      <c r="AF156" s="248"/>
      <c r="AG156" s="130"/>
      <c r="AR156" s="129" t="s">
        <v>235</v>
      </c>
      <c r="AT156" s="129" t="s">
        <v>231</v>
      </c>
      <c r="AU156" s="129" t="s">
        <v>63</v>
      </c>
      <c r="AY156" s="13" t="s">
        <v>228</v>
      </c>
      <c r="BE156" s="130">
        <f t="shared" si="5"/>
        <v>0</v>
      </c>
      <c r="BF156" s="130">
        <f t="shared" si="6"/>
        <v>5992.3</v>
      </c>
      <c r="BG156" s="130">
        <f t="shared" si="7"/>
        <v>0</v>
      </c>
      <c r="BH156" s="130">
        <f t="shared" si="8"/>
        <v>0</v>
      </c>
      <c r="BI156" s="130">
        <f t="shared" si="9"/>
        <v>0</v>
      </c>
      <c r="BJ156" s="13" t="s">
        <v>76</v>
      </c>
      <c r="BK156" s="130">
        <f t="shared" si="10"/>
        <v>5992.3</v>
      </c>
      <c r="BL156" s="13" t="s">
        <v>235</v>
      </c>
      <c r="BM156" s="129" t="s">
        <v>337</v>
      </c>
    </row>
    <row r="157" spans="2:65" s="1" customFormat="1" ht="74.55" customHeight="1" x14ac:dyDescent="0.2">
      <c r="B157" s="118"/>
      <c r="C157" s="119" t="s">
        <v>285</v>
      </c>
      <c r="D157" s="119" t="s">
        <v>231</v>
      </c>
      <c r="E157" s="120" t="s">
        <v>285</v>
      </c>
      <c r="F157" s="121" t="s">
        <v>4650</v>
      </c>
      <c r="G157" s="122" t="s">
        <v>1194</v>
      </c>
      <c r="H157" s="123">
        <v>1</v>
      </c>
      <c r="I157" s="124">
        <v>3681.14</v>
      </c>
      <c r="J157" s="124">
        <f t="shared" si="0"/>
        <v>3681.14</v>
      </c>
      <c r="K157" s="121" t="s">
        <v>1</v>
      </c>
      <c r="L157" s="24"/>
      <c r="M157" s="125" t="s">
        <v>1</v>
      </c>
      <c r="N157" s="126" t="s">
        <v>32</v>
      </c>
      <c r="O157" s="127">
        <v>0</v>
      </c>
      <c r="P157" s="127">
        <f t="shared" si="1"/>
        <v>0</v>
      </c>
      <c r="Q157" s="127">
        <v>0</v>
      </c>
      <c r="R157" s="127">
        <f t="shared" si="2"/>
        <v>0</v>
      </c>
      <c r="S157" s="127">
        <v>0</v>
      </c>
      <c r="T157" s="128">
        <f t="shared" si="3"/>
        <v>0</v>
      </c>
      <c r="W157" s="199"/>
      <c r="X157" s="119" t="s">
        <v>285</v>
      </c>
      <c r="Y157" s="119" t="s">
        <v>231</v>
      </c>
      <c r="Z157" s="120" t="s">
        <v>285</v>
      </c>
      <c r="AA157" s="121" t="s">
        <v>4650</v>
      </c>
      <c r="AB157" s="122" t="s">
        <v>1194</v>
      </c>
      <c r="AC157" s="123">
        <v>1</v>
      </c>
      <c r="AD157" s="124">
        <v>3681.14</v>
      </c>
      <c r="AE157" s="200">
        <f t="shared" si="4"/>
        <v>3681.14</v>
      </c>
      <c r="AF157" s="248"/>
      <c r="AG157" s="130"/>
      <c r="AR157" s="129" t="s">
        <v>235</v>
      </c>
      <c r="AT157" s="129" t="s">
        <v>231</v>
      </c>
      <c r="AU157" s="129" t="s">
        <v>63</v>
      </c>
      <c r="AY157" s="13" t="s">
        <v>228</v>
      </c>
      <c r="BE157" s="130">
        <f t="shared" si="5"/>
        <v>0</v>
      </c>
      <c r="BF157" s="130">
        <f t="shared" si="6"/>
        <v>3681.14</v>
      </c>
      <c r="BG157" s="130">
        <f t="shared" si="7"/>
        <v>0</v>
      </c>
      <c r="BH157" s="130">
        <f t="shared" si="8"/>
        <v>0</v>
      </c>
      <c r="BI157" s="130">
        <f t="shared" si="9"/>
        <v>0</v>
      </c>
      <c r="BJ157" s="13" t="s">
        <v>76</v>
      </c>
      <c r="BK157" s="130">
        <f t="shared" si="10"/>
        <v>3681.14</v>
      </c>
      <c r="BL157" s="13" t="s">
        <v>235</v>
      </c>
      <c r="BM157" s="129" t="s">
        <v>340</v>
      </c>
    </row>
    <row r="158" spans="2:65" s="1" customFormat="1" ht="51" customHeight="1" x14ac:dyDescent="0.2">
      <c r="B158" s="118"/>
      <c r="C158" s="205" t="s">
        <v>341</v>
      </c>
      <c r="D158" s="119" t="s">
        <v>231</v>
      </c>
      <c r="E158" s="120" t="s">
        <v>341</v>
      </c>
      <c r="F158" s="121" t="s">
        <v>4651</v>
      </c>
      <c r="G158" s="122" t="s">
        <v>1194</v>
      </c>
      <c r="H158" s="206">
        <v>2</v>
      </c>
      <c r="I158" s="124">
        <v>2733.11</v>
      </c>
      <c r="J158" s="124">
        <f t="shared" si="0"/>
        <v>5466.22</v>
      </c>
      <c r="K158" s="121" t="s">
        <v>1</v>
      </c>
      <c r="L158" s="24"/>
      <c r="M158" s="125" t="s">
        <v>1</v>
      </c>
      <c r="N158" s="126" t="s">
        <v>32</v>
      </c>
      <c r="O158" s="127">
        <v>0</v>
      </c>
      <c r="P158" s="127">
        <f t="shared" si="1"/>
        <v>0</v>
      </c>
      <c r="Q158" s="127">
        <v>0</v>
      </c>
      <c r="R158" s="127">
        <f t="shared" si="2"/>
        <v>0</v>
      </c>
      <c r="S158" s="127">
        <v>0</v>
      </c>
      <c r="T158" s="128">
        <f t="shared" si="3"/>
        <v>0</v>
      </c>
      <c r="W158" s="199"/>
      <c r="X158" s="205" t="s">
        <v>341</v>
      </c>
      <c r="Y158" s="119" t="s">
        <v>231</v>
      </c>
      <c r="Z158" s="120" t="s">
        <v>341</v>
      </c>
      <c r="AA158" s="121" t="s">
        <v>4651</v>
      </c>
      <c r="AB158" s="122" t="s">
        <v>1194</v>
      </c>
      <c r="AC158" s="206">
        <f>2-1</f>
        <v>1</v>
      </c>
      <c r="AD158" s="124">
        <v>2733.11</v>
      </c>
      <c r="AE158" s="200">
        <f t="shared" si="4"/>
        <v>2733.11</v>
      </c>
      <c r="AF158" s="248" t="s">
        <v>6371</v>
      </c>
      <c r="AG158" s="130"/>
      <c r="AR158" s="129" t="s">
        <v>235</v>
      </c>
      <c r="AT158" s="129" t="s">
        <v>231</v>
      </c>
      <c r="AU158" s="129" t="s">
        <v>63</v>
      </c>
      <c r="AY158" s="13" t="s">
        <v>228</v>
      </c>
      <c r="BE158" s="130">
        <f t="shared" si="5"/>
        <v>0</v>
      </c>
      <c r="BF158" s="130">
        <f t="shared" si="6"/>
        <v>5466.22</v>
      </c>
      <c r="BG158" s="130">
        <f t="shared" si="7"/>
        <v>0</v>
      </c>
      <c r="BH158" s="130">
        <f t="shared" si="8"/>
        <v>0</v>
      </c>
      <c r="BI158" s="130">
        <f t="shared" si="9"/>
        <v>0</v>
      </c>
      <c r="BJ158" s="13" t="s">
        <v>76</v>
      </c>
      <c r="BK158" s="130">
        <f t="shared" si="10"/>
        <v>5466.22</v>
      </c>
      <c r="BL158" s="13" t="s">
        <v>235</v>
      </c>
      <c r="BM158" s="129" t="s">
        <v>344</v>
      </c>
    </row>
    <row r="159" spans="2:65" s="1" customFormat="1" ht="72" customHeight="1" x14ac:dyDescent="0.2">
      <c r="B159" s="118"/>
      <c r="C159" s="119" t="s">
        <v>288</v>
      </c>
      <c r="D159" s="119" t="s">
        <v>231</v>
      </c>
      <c r="E159" s="120" t="s">
        <v>288</v>
      </c>
      <c r="F159" s="121" t="s">
        <v>4652</v>
      </c>
      <c r="G159" s="122" t="s">
        <v>1194</v>
      </c>
      <c r="H159" s="123">
        <v>3</v>
      </c>
      <c r="I159" s="124">
        <v>8759.65</v>
      </c>
      <c r="J159" s="124">
        <f t="shared" si="0"/>
        <v>26278.95</v>
      </c>
      <c r="K159" s="121" t="s">
        <v>1</v>
      </c>
      <c r="L159" s="24"/>
      <c r="M159" s="125" t="s">
        <v>1</v>
      </c>
      <c r="N159" s="126" t="s">
        <v>32</v>
      </c>
      <c r="O159" s="127">
        <v>0</v>
      </c>
      <c r="P159" s="127">
        <f t="shared" si="1"/>
        <v>0</v>
      </c>
      <c r="Q159" s="127">
        <v>0</v>
      </c>
      <c r="R159" s="127">
        <f t="shared" si="2"/>
        <v>0</v>
      </c>
      <c r="S159" s="127">
        <v>0</v>
      </c>
      <c r="T159" s="128">
        <f t="shared" si="3"/>
        <v>0</v>
      </c>
      <c r="W159" s="199"/>
      <c r="X159" s="119" t="s">
        <v>288</v>
      </c>
      <c r="Y159" s="119" t="s">
        <v>231</v>
      </c>
      <c r="Z159" s="120" t="s">
        <v>288</v>
      </c>
      <c r="AA159" s="121" t="s">
        <v>4652</v>
      </c>
      <c r="AB159" s="122" t="s">
        <v>1194</v>
      </c>
      <c r="AC159" s="123">
        <v>3</v>
      </c>
      <c r="AD159" s="124">
        <v>8759.65</v>
      </c>
      <c r="AE159" s="200">
        <f t="shared" si="4"/>
        <v>26278.95</v>
      </c>
      <c r="AF159" s="248"/>
      <c r="AG159" s="130"/>
      <c r="AR159" s="129" t="s">
        <v>235</v>
      </c>
      <c r="AT159" s="129" t="s">
        <v>231</v>
      </c>
      <c r="AU159" s="129" t="s">
        <v>63</v>
      </c>
      <c r="AY159" s="13" t="s">
        <v>228</v>
      </c>
      <c r="BE159" s="130">
        <f t="shared" si="5"/>
        <v>0</v>
      </c>
      <c r="BF159" s="130">
        <f t="shared" si="6"/>
        <v>26278.95</v>
      </c>
      <c r="BG159" s="130">
        <f t="shared" si="7"/>
        <v>0</v>
      </c>
      <c r="BH159" s="130">
        <f t="shared" si="8"/>
        <v>0</v>
      </c>
      <c r="BI159" s="130">
        <f t="shared" si="9"/>
        <v>0</v>
      </c>
      <c r="BJ159" s="13" t="s">
        <v>76</v>
      </c>
      <c r="BK159" s="130">
        <f t="shared" si="10"/>
        <v>26278.95</v>
      </c>
      <c r="BL159" s="13" t="s">
        <v>235</v>
      </c>
      <c r="BM159" s="129" t="s">
        <v>347</v>
      </c>
    </row>
    <row r="160" spans="2:65" s="11" customFormat="1" ht="22.95" customHeight="1" x14ac:dyDescent="0.25">
      <c r="B160" s="106"/>
      <c r="D160" s="107" t="s">
        <v>57</v>
      </c>
      <c r="E160" s="116" t="s">
        <v>1201</v>
      </c>
      <c r="F160" s="116" t="s">
        <v>2583</v>
      </c>
      <c r="J160" s="117">
        <f>BK160</f>
        <v>22399.5</v>
      </c>
      <c r="L160" s="106"/>
      <c r="M160" s="110"/>
      <c r="N160" s="111"/>
      <c r="O160" s="111"/>
      <c r="P160" s="112">
        <f>SUM(P161:P166)</f>
        <v>0</v>
      </c>
      <c r="Q160" s="111"/>
      <c r="R160" s="112">
        <f>SUM(R161:R166)</f>
        <v>0</v>
      </c>
      <c r="S160" s="111"/>
      <c r="T160" s="113">
        <f>SUM(T161:T166)</f>
        <v>0</v>
      </c>
      <c r="W160" s="195"/>
      <c r="X160" s="111"/>
      <c r="Y160" s="196" t="s">
        <v>57</v>
      </c>
      <c r="Z160" s="201" t="s">
        <v>1201</v>
      </c>
      <c r="AA160" s="201" t="s">
        <v>2583</v>
      </c>
      <c r="AB160" s="111"/>
      <c r="AC160" s="111"/>
      <c r="AD160" s="111"/>
      <c r="AE160" s="202">
        <f>SUM(AE161:AE166)</f>
        <v>22399.5</v>
      </c>
      <c r="AF160" s="248"/>
      <c r="AG160" s="130"/>
      <c r="AR160" s="107" t="s">
        <v>63</v>
      </c>
      <c r="AT160" s="114" t="s">
        <v>57</v>
      </c>
      <c r="AU160" s="114" t="s">
        <v>63</v>
      </c>
      <c r="AY160" s="107" t="s">
        <v>228</v>
      </c>
      <c r="BK160" s="115">
        <f>SUM(BK161:BK166)</f>
        <v>22399.5</v>
      </c>
    </row>
    <row r="161" spans="2:65" s="1" customFormat="1" ht="30.45" customHeight="1" x14ac:dyDescent="0.2">
      <c r="B161" s="118"/>
      <c r="C161" s="119" t="s">
        <v>348</v>
      </c>
      <c r="D161" s="119" t="s">
        <v>231</v>
      </c>
      <c r="E161" s="120" t="s">
        <v>348</v>
      </c>
      <c r="F161" s="121" t="s">
        <v>2584</v>
      </c>
      <c r="G161" s="122" t="s">
        <v>1194</v>
      </c>
      <c r="H161" s="123">
        <v>8</v>
      </c>
      <c r="I161" s="124">
        <v>221.94</v>
      </c>
      <c r="J161" s="124">
        <f t="shared" ref="J161:J166" si="13">ROUND(I161*H161,2)</f>
        <v>1775.52</v>
      </c>
      <c r="K161" s="121" t="s">
        <v>1</v>
      </c>
      <c r="L161" s="24"/>
      <c r="M161" s="125" t="s">
        <v>1</v>
      </c>
      <c r="N161" s="126" t="s">
        <v>32</v>
      </c>
      <c r="O161" s="127">
        <v>0</v>
      </c>
      <c r="P161" s="127">
        <f t="shared" ref="P161:P166" si="14">O161*H161</f>
        <v>0</v>
      </c>
      <c r="Q161" s="127">
        <v>0</v>
      </c>
      <c r="R161" s="127">
        <f t="shared" ref="R161:R166" si="15">Q161*H161</f>
        <v>0</v>
      </c>
      <c r="S161" s="127">
        <v>0</v>
      </c>
      <c r="T161" s="128">
        <f t="shared" ref="T161:T166" si="16">S161*H161</f>
        <v>0</v>
      </c>
      <c r="W161" s="199"/>
      <c r="X161" s="119" t="s">
        <v>348</v>
      </c>
      <c r="Y161" s="119" t="s">
        <v>231</v>
      </c>
      <c r="Z161" s="120" t="s">
        <v>348</v>
      </c>
      <c r="AA161" s="121" t="s">
        <v>2584</v>
      </c>
      <c r="AB161" s="122" t="s">
        <v>1194</v>
      </c>
      <c r="AC161" s="123">
        <v>8</v>
      </c>
      <c r="AD161" s="124">
        <v>221.94</v>
      </c>
      <c r="AE161" s="200">
        <f t="shared" ref="AE161:AE166" si="17">ROUND(AD161*AC161,2)</f>
        <v>1775.52</v>
      </c>
      <c r="AF161" s="248"/>
      <c r="AG161" s="130"/>
      <c r="AR161" s="129" t="s">
        <v>235</v>
      </c>
      <c r="AT161" s="129" t="s">
        <v>231</v>
      </c>
      <c r="AU161" s="129" t="s">
        <v>76</v>
      </c>
      <c r="AY161" s="13" t="s">
        <v>228</v>
      </c>
      <c r="BE161" s="130">
        <f t="shared" ref="BE161:BE166" si="18">IF(N161="základná",J161,0)</f>
        <v>0</v>
      </c>
      <c r="BF161" s="130">
        <f t="shared" ref="BF161:BF166" si="19">IF(N161="znížená",J161,0)</f>
        <v>1775.52</v>
      </c>
      <c r="BG161" s="130">
        <f t="shared" ref="BG161:BG166" si="20">IF(N161="zákl. prenesená",J161,0)</f>
        <v>0</v>
      </c>
      <c r="BH161" s="130">
        <f t="shared" ref="BH161:BH166" si="21">IF(N161="zníž. prenesená",J161,0)</f>
        <v>0</v>
      </c>
      <c r="BI161" s="130">
        <f t="shared" ref="BI161:BI166" si="22">IF(N161="nulová",J161,0)</f>
        <v>0</v>
      </c>
      <c r="BJ161" s="13" t="s">
        <v>76</v>
      </c>
      <c r="BK161" s="130">
        <f t="shared" ref="BK161:BK166" si="23">ROUND(I161*H161,2)</f>
        <v>1775.52</v>
      </c>
      <c r="BL161" s="13" t="s">
        <v>235</v>
      </c>
      <c r="BM161" s="129" t="s">
        <v>351</v>
      </c>
    </row>
    <row r="162" spans="2:65" s="1" customFormat="1" ht="34.950000000000003" customHeight="1" x14ac:dyDescent="0.2">
      <c r="B162" s="118"/>
      <c r="C162" s="119" t="s">
        <v>293</v>
      </c>
      <c r="D162" s="119" t="s">
        <v>231</v>
      </c>
      <c r="E162" s="120" t="s">
        <v>293</v>
      </c>
      <c r="F162" s="121" t="s">
        <v>4006</v>
      </c>
      <c r="G162" s="122" t="s">
        <v>1194</v>
      </c>
      <c r="H162" s="123">
        <v>8</v>
      </c>
      <c r="I162" s="124">
        <v>301.39999999999998</v>
      </c>
      <c r="J162" s="124">
        <f t="shared" si="13"/>
        <v>2411.1999999999998</v>
      </c>
      <c r="K162" s="121" t="s">
        <v>1</v>
      </c>
      <c r="L162" s="24"/>
      <c r="M162" s="125" t="s">
        <v>1</v>
      </c>
      <c r="N162" s="126" t="s">
        <v>32</v>
      </c>
      <c r="O162" s="127">
        <v>0</v>
      </c>
      <c r="P162" s="127">
        <f t="shared" si="14"/>
        <v>0</v>
      </c>
      <c r="Q162" s="127">
        <v>0</v>
      </c>
      <c r="R162" s="127">
        <f t="shared" si="15"/>
        <v>0</v>
      </c>
      <c r="S162" s="127">
        <v>0</v>
      </c>
      <c r="T162" s="128">
        <f t="shared" si="16"/>
        <v>0</v>
      </c>
      <c r="W162" s="199"/>
      <c r="X162" s="119" t="s">
        <v>293</v>
      </c>
      <c r="Y162" s="119" t="s">
        <v>231</v>
      </c>
      <c r="Z162" s="120" t="s">
        <v>293</v>
      </c>
      <c r="AA162" s="121" t="s">
        <v>4006</v>
      </c>
      <c r="AB162" s="122" t="s">
        <v>1194</v>
      </c>
      <c r="AC162" s="123">
        <v>8</v>
      </c>
      <c r="AD162" s="124">
        <v>301.39999999999998</v>
      </c>
      <c r="AE162" s="200">
        <f t="shared" si="17"/>
        <v>2411.1999999999998</v>
      </c>
      <c r="AF162" s="248"/>
      <c r="AG162" s="130"/>
      <c r="AR162" s="129" t="s">
        <v>235</v>
      </c>
      <c r="AT162" s="129" t="s">
        <v>231</v>
      </c>
      <c r="AU162" s="129" t="s">
        <v>76</v>
      </c>
      <c r="AY162" s="13" t="s">
        <v>228</v>
      </c>
      <c r="BE162" s="130">
        <f t="shared" si="18"/>
        <v>0</v>
      </c>
      <c r="BF162" s="130">
        <f t="shared" si="19"/>
        <v>2411.1999999999998</v>
      </c>
      <c r="BG162" s="130">
        <f t="shared" si="20"/>
        <v>0</v>
      </c>
      <c r="BH162" s="130">
        <f t="shared" si="21"/>
        <v>0</v>
      </c>
      <c r="BI162" s="130">
        <f t="shared" si="22"/>
        <v>0</v>
      </c>
      <c r="BJ162" s="13" t="s">
        <v>76</v>
      </c>
      <c r="BK162" s="130">
        <f t="shared" si="23"/>
        <v>2411.1999999999998</v>
      </c>
      <c r="BL162" s="13" t="s">
        <v>235</v>
      </c>
      <c r="BM162" s="129" t="s">
        <v>354</v>
      </c>
    </row>
    <row r="163" spans="2:65" s="1" customFormat="1" ht="35.549999999999997" customHeight="1" x14ac:dyDescent="0.2">
      <c r="B163" s="118"/>
      <c r="C163" s="119" t="s">
        <v>355</v>
      </c>
      <c r="D163" s="119" t="s">
        <v>231</v>
      </c>
      <c r="E163" s="120" t="s">
        <v>355</v>
      </c>
      <c r="F163" s="121" t="s">
        <v>2586</v>
      </c>
      <c r="G163" s="122" t="s">
        <v>1194</v>
      </c>
      <c r="H163" s="123">
        <v>10</v>
      </c>
      <c r="I163" s="124">
        <v>201.39</v>
      </c>
      <c r="J163" s="124">
        <f t="shared" si="13"/>
        <v>2013.9</v>
      </c>
      <c r="K163" s="121" t="s">
        <v>1</v>
      </c>
      <c r="L163" s="24"/>
      <c r="M163" s="125" t="s">
        <v>1</v>
      </c>
      <c r="N163" s="126" t="s">
        <v>32</v>
      </c>
      <c r="O163" s="127">
        <v>0</v>
      </c>
      <c r="P163" s="127">
        <f t="shared" si="14"/>
        <v>0</v>
      </c>
      <c r="Q163" s="127">
        <v>0</v>
      </c>
      <c r="R163" s="127">
        <f t="shared" si="15"/>
        <v>0</v>
      </c>
      <c r="S163" s="127">
        <v>0</v>
      </c>
      <c r="T163" s="128">
        <f t="shared" si="16"/>
        <v>0</v>
      </c>
      <c r="W163" s="199"/>
      <c r="X163" s="119" t="s">
        <v>355</v>
      </c>
      <c r="Y163" s="119" t="s">
        <v>231</v>
      </c>
      <c r="Z163" s="120" t="s">
        <v>355</v>
      </c>
      <c r="AA163" s="121" t="s">
        <v>2586</v>
      </c>
      <c r="AB163" s="122" t="s">
        <v>1194</v>
      </c>
      <c r="AC163" s="123">
        <v>10</v>
      </c>
      <c r="AD163" s="124">
        <v>201.39</v>
      </c>
      <c r="AE163" s="200">
        <f t="shared" si="17"/>
        <v>2013.9</v>
      </c>
      <c r="AF163" s="248"/>
      <c r="AG163" s="130"/>
      <c r="AR163" s="129" t="s">
        <v>235</v>
      </c>
      <c r="AT163" s="129" t="s">
        <v>231</v>
      </c>
      <c r="AU163" s="129" t="s">
        <v>76</v>
      </c>
      <c r="AY163" s="13" t="s">
        <v>228</v>
      </c>
      <c r="BE163" s="130">
        <f t="shared" si="18"/>
        <v>0</v>
      </c>
      <c r="BF163" s="130">
        <f t="shared" si="19"/>
        <v>2013.9</v>
      </c>
      <c r="BG163" s="130">
        <f t="shared" si="20"/>
        <v>0</v>
      </c>
      <c r="BH163" s="130">
        <f t="shared" si="21"/>
        <v>0</v>
      </c>
      <c r="BI163" s="130">
        <f t="shared" si="22"/>
        <v>0</v>
      </c>
      <c r="BJ163" s="13" t="s">
        <v>76</v>
      </c>
      <c r="BK163" s="130">
        <f t="shared" si="23"/>
        <v>2013.9</v>
      </c>
      <c r="BL163" s="13" t="s">
        <v>235</v>
      </c>
      <c r="BM163" s="129" t="s">
        <v>358</v>
      </c>
    </row>
    <row r="164" spans="2:65" s="1" customFormat="1" ht="35.549999999999997" customHeight="1" x14ac:dyDescent="0.2">
      <c r="B164" s="118"/>
      <c r="C164" s="119" t="s">
        <v>296</v>
      </c>
      <c r="D164" s="119" t="s">
        <v>231</v>
      </c>
      <c r="E164" s="120" t="s">
        <v>296</v>
      </c>
      <c r="F164" s="121" t="s">
        <v>2587</v>
      </c>
      <c r="G164" s="122" t="s">
        <v>1194</v>
      </c>
      <c r="H164" s="123">
        <v>10</v>
      </c>
      <c r="I164" s="124">
        <v>280.85000000000002</v>
      </c>
      <c r="J164" s="124">
        <f t="shared" si="13"/>
        <v>2808.5</v>
      </c>
      <c r="K164" s="121" t="s">
        <v>1</v>
      </c>
      <c r="L164" s="24"/>
      <c r="M164" s="125" t="s">
        <v>1</v>
      </c>
      <c r="N164" s="126" t="s">
        <v>32</v>
      </c>
      <c r="O164" s="127">
        <v>0</v>
      </c>
      <c r="P164" s="127">
        <f t="shared" si="14"/>
        <v>0</v>
      </c>
      <c r="Q164" s="127">
        <v>0</v>
      </c>
      <c r="R164" s="127">
        <f t="shared" si="15"/>
        <v>0</v>
      </c>
      <c r="S164" s="127">
        <v>0</v>
      </c>
      <c r="T164" s="128">
        <f t="shared" si="16"/>
        <v>0</v>
      </c>
      <c r="W164" s="199"/>
      <c r="X164" s="119" t="s">
        <v>296</v>
      </c>
      <c r="Y164" s="119" t="s">
        <v>231</v>
      </c>
      <c r="Z164" s="120" t="s">
        <v>296</v>
      </c>
      <c r="AA164" s="121" t="s">
        <v>2587</v>
      </c>
      <c r="AB164" s="122" t="s">
        <v>1194</v>
      </c>
      <c r="AC164" s="123">
        <v>10</v>
      </c>
      <c r="AD164" s="124">
        <v>280.85000000000002</v>
      </c>
      <c r="AE164" s="200">
        <f t="shared" si="17"/>
        <v>2808.5</v>
      </c>
      <c r="AF164" s="248"/>
      <c r="AG164" s="130"/>
      <c r="AR164" s="129" t="s">
        <v>235</v>
      </c>
      <c r="AT164" s="129" t="s">
        <v>231</v>
      </c>
      <c r="AU164" s="129" t="s">
        <v>76</v>
      </c>
      <c r="AY164" s="13" t="s">
        <v>228</v>
      </c>
      <c r="BE164" s="130">
        <f t="shared" si="18"/>
        <v>0</v>
      </c>
      <c r="BF164" s="130">
        <f t="shared" si="19"/>
        <v>2808.5</v>
      </c>
      <c r="BG164" s="130">
        <f t="shared" si="20"/>
        <v>0</v>
      </c>
      <c r="BH164" s="130">
        <f t="shared" si="21"/>
        <v>0</v>
      </c>
      <c r="BI164" s="130">
        <f t="shared" si="22"/>
        <v>0</v>
      </c>
      <c r="BJ164" s="13" t="s">
        <v>76</v>
      </c>
      <c r="BK164" s="130">
        <f t="shared" si="23"/>
        <v>2808.5</v>
      </c>
      <c r="BL164" s="13" t="s">
        <v>235</v>
      </c>
      <c r="BM164" s="129" t="s">
        <v>361</v>
      </c>
    </row>
    <row r="165" spans="2:65" s="1" customFormat="1" ht="30" customHeight="1" x14ac:dyDescent="0.2">
      <c r="B165" s="118"/>
      <c r="C165" s="119" t="s">
        <v>362</v>
      </c>
      <c r="D165" s="119" t="s">
        <v>231</v>
      </c>
      <c r="E165" s="120" t="s">
        <v>362</v>
      </c>
      <c r="F165" s="121" t="s">
        <v>4653</v>
      </c>
      <c r="G165" s="122" t="s">
        <v>1194</v>
      </c>
      <c r="H165" s="123">
        <v>27</v>
      </c>
      <c r="I165" s="124">
        <v>208.24</v>
      </c>
      <c r="J165" s="124">
        <f t="shared" si="13"/>
        <v>5622.48</v>
      </c>
      <c r="K165" s="121" t="s">
        <v>1</v>
      </c>
      <c r="L165" s="24"/>
      <c r="M165" s="125" t="s">
        <v>1</v>
      </c>
      <c r="N165" s="126" t="s">
        <v>32</v>
      </c>
      <c r="O165" s="127">
        <v>0</v>
      </c>
      <c r="P165" s="127">
        <f t="shared" si="14"/>
        <v>0</v>
      </c>
      <c r="Q165" s="127">
        <v>0</v>
      </c>
      <c r="R165" s="127">
        <f t="shared" si="15"/>
        <v>0</v>
      </c>
      <c r="S165" s="127">
        <v>0</v>
      </c>
      <c r="T165" s="128">
        <f t="shared" si="16"/>
        <v>0</v>
      </c>
      <c r="W165" s="199"/>
      <c r="X165" s="119" t="s">
        <v>362</v>
      </c>
      <c r="Y165" s="119" t="s">
        <v>231</v>
      </c>
      <c r="Z165" s="120" t="s">
        <v>362</v>
      </c>
      <c r="AA165" s="121" t="s">
        <v>4653</v>
      </c>
      <c r="AB165" s="122" t="s">
        <v>1194</v>
      </c>
      <c r="AC165" s="123">
        <v>27</v>
      </c>
      <c r="AD165" s="124">
        <v>208.24</v>
      </c>
      <c r="AE165" s="200">
        <f t="shared" si="17"/>
        <v>5622.48</v>
      </c>
      <c r="AF165" s="248"/>
      <c r="AG165" s="130"/>
      <c r="AR165" s="129" t="s">
        <v>235</v>
      </c>
      <c r="AT165" s="129" t="s">
        <v>231</v>
      </c>
      <c r="AU165" s="129" t="s">
        <v>76</v>
      </c>
      <c r="AY165" s="13" t="s">
        <v>228</v>
      </c>
      <c r="BE165" s="130">
        <f t="shared" si="18"/>
        <v>0</v>
      </c>
      <c r="BF165" s="130">
        <f t="shared" si="19"/>
        <v>5622.48</v>
      </c>
      <c r="BG165" s="130">
        <f t="shared" si="20"/>
        <v>0</v>
      </c>
      <c r="BH165" s="130">
        <f t="shared" si="21"/>
        <v>0</v>
      </c>
      <c r="BI165" s="130">
        <f t="shared" si="22"/>
        <v>0</v>
      </c>
      <c r="BJ165" s="13" t="s">
        <v>76</v>
      </c>
      <c r="BK165" s="130">
        <f t="shared" si="23"/>
        <v>5622.48</v>
      </c>
      <c r="BL165" s="13" t="s">
        <v>235</v>
      </c>
      <c r="BM165" s="129" t="s">
        <v>365</v>
      </c>
    </row>
    <row r="166" spans="2:65" s="1" customFormat="1" ht="41.55" customHeight="1" x14ac:dyDescent="0.2">
      <c r="B166" s="118"/>
      <c r="C166" s="119" t="s">
        <v>300</v>
      </c>
      <c r="D166" s="119" t="s">
        <v>231</v>
      </c>
      <c r="E166" s="120" t="s">
        <v>300</v>
      </c>
      <c r="F166" s="121" t="s">
        <v>4654</v>
      </c>
      <c r="G166" s="122" t="s">
        <v>1194</v>
      </c>
      <c r="H166" s="123">
        <v>27</v>
      </c>
      <c r="I166" s="124">
        <v>287.7</v>
      </c>
      <c r="J166" s="124">
        <f t="shared" si="13"/>
        <v>7767.9</v>
      </c>
      <c r="K166" s="121" t="s">
        <v>1</v>
      </c>
      <c r="L166" s="24"/>
      <c r="M166" s="125" t="s">
        <v>1</v>
      </c>
      <c r="N166" s="126" t="s">
        <v>32</v>
      </c>
      <c r="O166" s="127">
        <v>0</v>
      </c>
      <c r="P166" s="127">
        <f t="shared" si="14"/>
        <v>0</v>
      </c>
      <c r="Q166" s="127">
        <v>0</v>
      </c>
      <c r="R166" s="127">
        <f t="shared" si="15"/>
        <v>0</v>
      </c>
      <c r="S166" s="127">
        <v>0</v>
      </c>
      <c r="T166" s="128">
        <f t="shared" si="16"/>
        <v>0</v>
      </c>
      <c r="W166" s="199"/>
      <c r="X166" s="119" t="s">
        <v>300</v>
      </c>
      <c r="Y166" s="119" t="s">
        <v>231</v>
      </c>
      <c r="Z166" s="120" t="s">
        <v>300</v>
      </c>
      <c r="AA166" s="121" t="s">
        <v>4654</v>
      </c>
      <c r="AB166" s="122" t="s">
        <v>1194</v>
      </c>
      <c r="AC166" s="123">
        <v>27</v>
      </c>
      <c r="AD166" s="124">
        <v>287.7</v>
      </c>
      <c r="AE166" s="200">
        <f t="shared" si="17"/>
        <v>7767.9</v>
      </c>
      <c r="AF166" s="248"/>
      <c r="AG166" s="130"/>
      <c r="AR166" s="129" t="s">
        <v>235</v>
      </c>
      <c r="AT166" s="129" t="s">
        <v>231</v>
      </c>
      <c r="AU166" s="129" t="s">
        <v>76</v>
      </c>
      <c r="AY166" s="13" t="s">
        <v>228</v>
      </c>
      <c r="BE166" s="130">
        <f t="shared" si="18"/>
        <v>0</v>
      </c>
      <c r="BF166" s="130">
        <f t="shared" si="19"/>
        <v>7767.9</v>
      </c>
      <c r="BG166" s="130">
        <f t="shared" si="20"/>
        <v>0</v>
      </c>
      <c r="BH166" s="130">
        <f t="shared" si="21"/>
        <v>0</v>
      </c>
      <c r="BI166" s="130">
        <f t="shared" si="22"/>
        <v>0</v>
      </c>
      <c r="BJ166" s="13" t="s">
        <v>76</v>
      </c>
      <c r="BK166" s="130">
        <f t="shared" si="23"/>
        <v>7767.9</v>
      </c>
      <c r="BL166" s="13" t="s">
        <v>235</v>
      </c>
      <c r="BM166" s="129" t="s">
        <v>368</v>
      </c>
    </row>
    <row r="167" spans="2:65" s="11" customFormat="1" ht="22.95" customHeight="1" x14ac:dyDescent="0.25">
      <c r="B167" s="106"/>
      <c r="D167" s="107" t="s">
        <v>57</v>
      </c>
      <c r="E167" s="116" t="s">
        <v>1211</v>
      </c>
      <c r="F167" s="116" t="s">
        <v>2589</v>
      </c>
      <c r="J167" s="117">
        <f>BK167</f>
        <v>0</v>
      </c>
      <c r="L167" s="106"/>
      <c r="M167" s="110"/>
      <c r="N167" s="111"/>
      <c r="O167" s="111"/>
      <c r="P167" s="112">
        <v>0</v>
      </c>
      <c r="Q167" s="111"/>
      <c r="R167" s="112">
        <v>0</v>
      </c>
      <c r="S167" s="111"/>
      <c r="T167" s="113">
        <v>0</v>
      </c>
      <c r="W167" s="195"/>
      <c r="X167" s="111"/>
      <c r="Y167" s="196" t="s">
        <v>57</v>
      </c>
      <c r="Z167" s="201" t="s">
        <v>1211</v>
      </c>
      <c r="AA167" s="201" t="s">
        <v>2589</v>
      </c>
      <c r="AB167" s="111"/>
      <c r="AC167" s="111"/>
      <c r="AD167" s="111"/>
      <c r="AE167" s="202">
        <f>CF167</f>
        <v>0</v>
      </c>
      <c r="AF167" s="248"/>
      <c r="AG167" s="130"/>
      <c r="AR167" s="107" t="s">
        <v>63</v>
      </c>
      <c r="AT167" s="114" t="s">
        <v>57</v>
      </c>
      <c r="AU167" s="114" t="s">
        <v>63</v>
      </c>
      <c r="AY167" s="107" t="s">
        <v>228</v>
      </c>
      <c r="BK167" s="115">
        <v>0</v>
      </c>
    </row>
    <row r="168" spans="2:65" s="11" customFormat="1" ht="22.95" customHeight="1" x14ac:dyDescent="0.25">
      <c r="B168" s="106"/>
      <c r="D168" s="107" t="s">
        <v>57</v>
      </c>
      <c r="E168" s="116" t="s">
        <v>1215</v>
      </c>
      <c r="F168" s="116" t="s">
        <v>4655</v>
      </c>
      <c r="J168" s="117">
        <f>BK168</f>
        <v>24526.789999999997</v>
      </c>
      <c r="L168" s="106"/>
      <c r="M168" s="110"/>
      <c r="N168" s="111"/>
      <c r="O168" s="111"/>
      <c r="P168" s="112">
        <f>SUM(P169:P173)</f>
        <v>0</v>
      </c>
      <c r="Q168" s="111"/>
      <c r="R168" s="112">
        <f>SUM(R169:R173)</f>
        <v>0</v>
      </c>
      <c r="S168" s="111"/>
      <c r="T168" s="113">
        <f>SUM(T169:T173)</f>
        <v>0</v>
      </c>
      <c r="W168" s="195"/>
      <c r="X168" s="111"/>
      <c r="Y168" s="196" t="s">
        <v>57</v>
      </c>
      <c r="Z168" s="201" t="s">
        <v>1215</v>
      </c>
      <c r="AA168" s="201" t="s">
        <v>4655</v>
      </c>
      <c r="AB168" s="111"/>
      <c r="AC168" s="111"/>
      <c r="AD168" s="111"/>
      <c r="AE168" s="202">
        <f>SUM(AE169:AE173)</f>
        <v>22369.05</v>
      </c>
      <c r="AF168" s="248"/>
      <c r="AG168" s="130"/>
      <c r="AR168" s="107" t="s">
        <v>63</v>
      </c>
      <c r="AT168" s="114" t="s">
        <v>57</v>
      </c>
      <c r="AU168" s="114" t="s">
        <v>63</v>
      </c>
      <c r="AY168" s="107" t="s">
        <v>228</v>
      </c>
      <c r="BK168" s="115">
        <f>SUM(BK169:BK173)</f>
        <v>24526.789999999997</v>
      </c>
    </row>
    <row r="169" spans="2:65" s="1" customFormat="1" ht="16.5" customHeight="1" x14ac:dyDescent="0.2">
      <c r="B169" s="118"/>
      <c r="C169" s="119" t="s">
        <v>369</v>
      </c>
      <c r="D169" s="119" t="s">
        <v>231</v>
      </c>
      <c r="E169" s="120" t="s">
        <v>369</v>
      </c>
      <c r="F169" s="121" t="s">
        <v>4656</v>
      </c>
      <c r="G169" s="122" t="s">
        <v>1194</v>
      </c>
      <c r="H169" s="123">
        <v>2</v>
      </c>
      <c r="I169" s="124">
        <v>5833.37</v>
      </c>
      <c r="J169" s="124">
        <f>ROUND(I169*H169,2)</f>
        <v>11666.74</v>
      </c>
      <c r="K169" s="121" t="s">
        <v>1</v>
      </c>
      <c r="L169" s="24"/>
      <c r="M169" s="125" t="s">
        <v>1</v>
      </c>
      <c r="N169" s="126" t="s">
        <v>32</v>
      </c>
      <c r="O169" s="127">
        <v>0</v>
      </c>
      <c r="P169" s="127">
        <f>O169*H169</f>
        <v>0</v>
      </c>
      <c r="Q169" s="127">
        <v>0</v>
      </c>
      <c r="R169" s="127">
        <f>Q169*H169</f>
        <v>0</v>
      </c>
      <c r="S169" s="127">
        <v>0</v>
      </c>
      <c r="T169" s="128">
        <f>S169*H169</f>
        <v>0</v>
      </c>
      <c r="W169" s="199"/>
      <c r="X169" s="119" t="s">
        <v>369</v>
      </c>
      <c r="Y169" s="119" t="s">
        <v>231</v>
      </c>
      <c r="Z169" s="120" t="s">
        <v>369</v>
      </c>
      <c r="AA169" s="121" t="s">
        <v>4656</v>
      </c>
      <c r="AB169" s="122" t="s">
        <v>1194</v>
      </c>
      <c r="AC169" s="123">
        <v>2</v>
      </c>
      <c r="AD169" s="124">
        <v>5833.37</v>
      </c>
      <c r="AE169" s="200">
        <f>ROUND(AD169*AC169,2)</f>
        <v>11666.74</v>
      </c>
      <c r="AF169" s="248"/>
      <c r="AG169" s="130"/>
      <c r="AR169" s="129" t="s">
        <v>235</v>
      </c>
      <c r="AT169" s="129" t="s">
        <v>231</v>
      </c>
      <c r="AU169" s="129" t="s">
        <v>76</v>
      </c>
      <c r="AY169" s="13" t="s">
        <v>228</v>
      </c>
      <c r="BE169" s="130">
        <f>IF(N169="základná",J169,0)</f>
        <v>0</v>
      </c>
      <c r="BF169" s="130">
        <f>IF(N169="znížená",J169,0)</f>
        <v>11666.74</v>
      </c>
      <c r="BG169" s="130">
        <f>IF(N169="zákl. prenesená",J169,0)</f>
        <v>0</v>
      </c>
      <c r="BH169" s="130">
        <f>IF(N169="zníž. prenesená",J169,0)</f>
        <v>0</v>
      </c>
      <c r="BI169" s="130">
        <f>IF(N169="nulová",J169,0)</f>
        <v>0</v>
      </c>
      <c r="BJ169" s="13" t="s">
        <v>76</v>
      </c>
      <c r="BK169" s="130">
        <f>ROUND(I169*H169,2)</f>
        <v>11666.74</v>
      </c>
      <c r="BL169" s="13" t="s">
        <v>235</v>
      </c>
      <c r="BM169" s="129" t="s">
        <v>372</v>
      </c>
    </row>
    <row r="170" spans="2:65" s="1" customFormat="1" ht="16.5" customHeight="1" x14ac:dyDescent="0.2">
      <c r="B170" s="118"/>
      <c r="C170" s="205" t="s">
        <v>303</v>
      </c>
      <c r="D170" s="119" t="s">
        <v>231</v>
      </c>
      <c r="E170" s="120" t="s">
        <v>303</v>
      </c>
      <c r="F170" s="121" t="s">
        <v>2591</v>
      </c>
      <c r="G170" s="122" t="s">
        <v>1194</v>
      </c>
      <c r="H170" s="206">
        <v>6</v>
      </c>
      <c r="I170" s="124">
        <v>379.48</v>
      </c>
      <c r="J170" s="124">
        <f>ROUND(I170*H170,2)</f>
        <v>2276.88</v>
      </c>
      <c r="K170" s="121" t="s">
        <v>1</v>
      </c>
      <c r="L170" s="24"/>
      <c r="M170" s="125" t="s">
        <v>1</v>
      </c>
      <c r="N170" s="126" t="s">
        <v>32</v>
      </c>
      <c r="O170" s="127">
        <v>0</v>
      </c>
      <c r="P170" s="127">
        <f>O170*H170</f>
        <v>0</v>
      </c>
      <c r="Q170" s="127">
        <v>0</v>
      </c>
      <c r="R170" s="127">
        <f>Q170*H170</f>
        <v>0</v>
      </c>
      <c r="S170" s="127">
        <v>0</v>
      </c>
      <c r="T170" s="128">
        <f>S170*H170</f>
        <v>0</v>
      </c>
      <c r="W170" s="199"/>
      <c r="X170" s="205" t="s">
        <v>303</v>
      </c>
      <c r="Y170" s="119" t="s">
        <v>231</v>
      </c>
      <c r="Z170" s="120" t="s">
        <v>303</v>
      </c>
      <c r="AA170" s="121" t="s">
        <v>2591</v>
      </c>
      <c r="AB170" s="122" t="s">
        <v>1194</v>
      </c>
      <c r="AC170" s="206">
        <f>6-1</f>
        <v>5</v>
      </c>
      <c r="AD170" s="124">
        <v>379.48</v>
      </c>
      <c r="AE170" s="200">
        <f>ROUND(AD170*AC170,2)</f>
        <v>1897.4</v>
      </c>
      <c r="AF170" s="248" t="s">
        <v>6371</v>
      </c>
      <c r="AG170" s="130"/>
      <c r="AR170" s="129" t="s">
        <v>235</v>
      </c>
      <c r="AT170" s="129" t="s">
        <v>231</v>
      </c>
      <c r="AU170" s="129" t="s">
        <v>76</v>
      </c>
      <c r="AY170" s="13" t="s">
        <v>228</v>
      </c>
      <c r="BE170" s="130">
        <f>IF(N170="základná",J170,0)</f>
        <v>0</v>
      </c>
      <c r="BF170" s="130">
        <f>IF(N170="znížená",J170,0)</f>
        <v>2276.88</v>
      </c>
      <c r="BG170" s="130">
        <f>IF(N170="zákl. prenesená",J170,0)</f>
        <v>0</v>
      </c>
      <c r="BH170" s="130">
        <f>IF(N170="zníž. prenesená",J170,0)</f>
        <v>0</v>
      </c>
      <c r="BI170" s="130">
        <f>IF(N170="nulová",J170,0)</f>
        <v>0</v>
      </c>
      <c r="BJ170" s="13" t="s">
        <v>76</v>
      </c>
      <c r="BK170" s="130">
        <f>ROUND(I170*H170,2)</f>
        <v>2276.88</v>
      </c>
      <c r="BL170" s="13" t="s">
        <v>235</v>
      </c>
      <c r="BM170" s="129" t="s">
        <v>375</v>
      </c>
    </row>
    <row r="171" spans="2:65" s="1" customFormat="1" ht="16.5" customHeight="1" x14ac:dyDescent="0.2">
      <c r="B171" s="118"/>
      <c r="C171" s="119" t="s">
        <v>376</v>
      </c>
      <c r="D171" s="119" t="s">
        <v>231</v>
      </c>
      <c r="E171" s="120" t="s">
        <v>376</v>
      </c>
      <c r="F171" s="121" t="s">
        <v>2592</v>
      </c>
      <c r="G171" s="122" t="s">
        <v>1194</v>
      </c>
      <c r="H171" s="123">
        <v>5</v>
      </c>
      <c r="I171" s="124">
        <v>305.51</v>
      </c>
      <c r="J171" s="124">
        <f>ROUND(I171*H171,2)</f>
        <v>1527.55</v>
      </c>
      <c r="K171" s="121" t="s">
        <v>1</v>
      </c>
      <c r="L171" s="24"/>
      <c r="M171" s="125" t="s">
        <v>1</v>
      </c>
      <c r="N171" s="126" t="s">
        <v>32</v>
      </c>
      <c r="O171" s="127">
        <v>0</v>
      </c>
      <c r="P171" s="127">
        <f>O171*H171</f>
        <v>0</v>
      </c>
      <c r="Q171" s="127">
        <v>0</v>
      </c>
      <c r="R171" s="127">
        <f>Q171*H171</f>
        <v>0</v>
      </c>
      <c r="S171" s="127">
        <v>0</v>
      </c>
      <c r="T171" s="128">
        <f>S171*H171</f>
        <v>0</v>
      </c>
      <c r="W171" s="199"/>
      <c r="X171" s="119" t="s">
        <v>376</v>
      </c>
      <c r="Y171" s="119" t="s">
        <v>231</v>
      </c>
      <c r="Z171" s="120" t="s">
        <v>376</v>
      </c>
      <c r="AA171" s="121" t="s">
        <v>2592</v>
      </c>
      <c r="AB171" s="122" t="s">
        <v>1194</v>
      </c>
      <c r="AC171" s="123">
        <v>5</v>
      </c>
      <c r="AD171" s="124">
        <v>305.51</v>
      </c>
      <c r="AE171" s="200">
        <f>ROUND(AD171*AC171,2)</f>
        <v>1527.55</v>
      </c>
      <c r="AF171" s="248"/>
      <c r="AG171" s="130"/>
      <c r="AR171" s="129" t="s">
        <v>235</v>
      </c>
      <c r="AT171" s="129" t="s">
        <v>231</v>
      </c>
      <c r="AU171" s="129" t="s">
        <v>76</v>
      </c>
      <c r="AY171" s="13" t="s">
        <v>228</v>
      </c>
      <c r="BE171" s="130">
        <f>IF(N171="základná",J171,0)</f>
        <v>0</v>
      </c>
      <c r="BF171" s="130">
        <f>IF(N171="znížená",J171,0)</f>
        <v>1527.55</v>
      </c>
      <c r="BG171" s="130">
        <f>IF(N171="zákl. prenesená",J171,0)</f>
        <v>0</v>
      </c>
      <c r="BH171" s="130">
        <f>IF(N171="zníž. prenesená",J171,0)</f>
        <v>0</v>
      </c>
      <c r="BI171" s="130">
        <f>IF(N171="nulová",J171,0)</f>
        <v>0</v>
      </c>
      <c r="BJ171" s="13" t="s">
        <v>76</v>
      </c>
      <c r="BK171" s="130">
        <f>ROUND(I171*H171,2)</f>
        <v>1527.55</v>
      </c>
      <c r="BL171" s="13" t="s">
        <v>235</v>
      </c>
      <c r="BM171" s="129" t="s">
        <v>379</v>
      </c>
    </row>
    <row r="172" spans="2:65" s="1" customFormat="1" ht="24" customHeight="1" x14ac:dyDescent="0.2">
      <c r="B172" s="118"/>
      <c r="C172" s="119" t="s">
        <v>308</v>
      </c>
      <c r="D172" s="119" t="s">
        <v>231</v>
      </c>
      <c r="E172" s="120" t="s">
        <v>308</v>
      </c>
      <c r="F172" s="121" t="s">
        <v>4657</v>
      </c>
      <c r="G172" s="122" t="s">
        <v>1194</v>
      </c>
      <c r="H172" s="123">
        <v>8</v>
      </c>
      <c r="I172" s="124">
        <v>909.67</v>
      </c>
      <c r="J172" s="124">
        <f>ROUND(I172*H172,2)</f>
        <v>7277.36</v>
      </c>
      <c r="K172" s="121" t="s">
        <v>1</v>
      </c>
      <c r="L172" s="24"/>
      <c r="M172" s="125" t="s">
        <v>1</v>
      </c>
      <c r="N172" s="126" t="s">
        <v>32</v>
      </c>
      <c r="O172" s="127">
        <v>0</v>
      </c>
      <c r="P172" s="127">
        <f>O172*H172</f>
        <v>0</v>
      </c>
      <c r="Q172" s="127">
        <v>0</v>
      </c>
      <c r="R172" s="127">
        <f>Q172*H172</f>
        <v>0</v>
      </c>
      <c r="S172" s="127">
        <v>0</v>
      </c>
      <c r="T172" s="128">
        <f>S172*H172</f>
        <v>0</v>
      </c>
      <c r="W172" s="199"/>
      <c r="X172" s="119" t="s">
        <v>308</v>
      </c>
      <c r="Y172" s="119" t="s">
        <v>231</v>
      </c>
      <c r="Z172" s="120" t="s">
        <v>308</v>
      </c>
      <c r="AA172" s="121" t="s">
        <v>4657</v>
      </c>
      <c r="AB172" s="122" t="s">
        <v>1194</v>
      </c>
      <c r="AC172" s="123">
        <v>8</v>
      </c>
      <c r="AD172" s="124">
        <v>909.67</v>
      </c>
      <c r="AE172" s="200">
        <f>ROUND(AD172*AC172,2)</f>
        <v>7277.36</v>
      </c>
      <c r="AF172" s="248"/>
      <c r="AG172" s="130"/>
      <c r="AR172" s="129" t="s">
        <v>235</v>
      </c>
      <c r="AT172" s="129" t="s">
        <v>231</v>
      </c>
      <c r="AU172" s="129" t="s">
        <v>76</v>
      </c>
      <c r="AY172" s="13" t="s">
        <v>228</v>
      </c>
      <c r="BE172" s="130">
        <f>IF(N172="základná",J172,0)</f>
        <v>0</v>
      </c>
      <c r="BF172" s="130">
        <f>IF(N172="znížená",J172,0)</f>
        <v>7277.36</v>
      </c>
      <c r="BG172" s="130">
        <f>IF(N172="zákl. prenesená",J172,0)</f>
        <v>0</v>
      </c>
      <c r="BH172" s="130">
        <f>IF(N172="zníž. prenesená",J172,0)</f>
        <v>0</v>
      </c>
      <c r="BI172" s="130">
        <f>IF(N172="nulová",J172,0)</f>
        <v>0</v>
      </c>
      <c r="BJ172" s="13" t="s">
        <v>76</v>
      </c>
      <c r="BK172" s="130">
        <f>ROUND(I172*H172,2)</f>
        <v>7277.36</v>
      </c>
      <c r="BL172" s="13" t="s">
        <v>235</v>
      </c>
      <c r="BM172" s="129" t="s">
        <v>382</v>
      </c>
    </row>
    <row r="173" spans="2:65" s="1" customFormat="1" ht="16.5" customHeight="1" x14ac:dyDescent="0.2">
      <c r="B173" s="118"/>
      <c r="C173" s="205" t="s">
        <v>383</v>
      </c>
      <c r="D173" s="119" t="s">
        <v>231</v>
      </c>
      <c r="E173" s="120" t="s">
        <v>383</v>
      </c>
      <c r="F173" s="121" t="s">
        <v>2593</v>
      </c>
      <c r="G173" s="122" t="s">
        <v>1194</v>
      </c>
      <c r="H173" s="206">
        <v>11</v>
      </c>
      <c r="I173" s="124">
        <v>161.66</v>
      </c>
      <c r="J173" s="124">
        <f>ROUND(I173*H173,2)</f>
        <v>1778.26</v>
      </c>
      <c r="K173" s="121" t="s">
        <v>1</v>
      </c>
      <c r="L173" s="24"/>
      <c r="M173" s="125" t="s">
        <v>1</v>
      </c>
      <c r="N173" s="126" t="s">
        <v>32</v>
      </c>
      <c r="O173" s="127">
        <v>0</v>
      </c>
      <c r="P173" s="127">
        <f>O173*H173</f>
        <v>0</v>
      </c>
      <c r="Q173" s="127">
        <v>0</v>
      </c>
      <c r="R173" s="127">
        <f>Q173*H173</f>
        <v>0</v>
      </c>
      <c r="S173" s="127">
        <v>0</v>
      </c>
      <c r="T173" s="128">
        <f>S173*H173</f>
        <v>0</v>
      </c>
      <c r="W173" s="199"/>
      <c r="X173" s="205" t="s">
        <v>383</v>
      </c>
      <c r="Y173" s="119" t="s">
        <v>231</v>
      </c>
      <c r="Z173" s="120" t="s">
        <v>383</v>
      </c>
      <c r="AA173" s="121" t="s">
        <v>2593</v>
      </c>
      <c r="AB173" s="122" t="s">
        <v>1194</v>
      </c>
      <c r="AC173" s="206">
        <f>11-11</f>
        <v>0</v>
      </c>
      <c r="AD173" s="124">
        <v>161.66</v>
      </c>
      <c r="AE173" s="200">
        <f>ROUND(AD173*AC173,2)</f>
        <v>0</v>
      </c>
      <c r="AF173" s="248" t="s">
        <v>6371</v>
      </c>
      <c r="AG173" s="130"/>
      <c r="AR173" s="129" t="s">
        <v>235</v>
      </c>
      <c r="AT173" s="129" t="s">
        <v>231</v>
      </c>
      <c r="AU173" s="129" t="s">
        <v>76</v>
      </c>
      <c r="AY173" s="13" t="s">
        <v>228</v>
      </c>
      <c r="BE173" s="130">
        <f>IF(N173="základná",J173,0)</f>
        <v>0</v>
      </c>
      <c r="BF173" s="130">
        <f>IF(N173="znížená",J173,0)</f>
        <v>1778.26</v>
      </c>
      <c r="BG173" s="130">
        <f>IF(N173="zákl. prenesená",J173,0)</f>
        <v>0</v>
      </c>
      <c r="BH173" s="130">
        <f>IF(N173="zníž. prenesená",J173,0)</f>
        <v>0</v>
      </c>
      <c r="BI173" s="130">
        <f>IF(N173="nulová",J173,0)</f>
        <v>0</v>
      </c>
      <c r="BJ173" s="13" t="s">
        <v>76</v>
      </c>
      <c r="BK173" s="130">
        <f>ROUND(I173*H173,2)</f>
        <v>1778.26</v>
      </c>
      <c r="BL173" s="13" t="s">
        <v>235</v>
      </c>
      <c r="BM173" s="129" t="s">
        <v>386</v>
      </c>
    </row>
    <row r="174" spans="2:65" s="11" customFormat="1" ht="22.95" customHeight="1" x14ac:dyDescent="0.25">
      <c r="B174" s="106"/>
      <c r="D174" s="107" t="s">
        <v>57</v>
      </c>
      <c r="E174" s="116" t="s">
        <v>1227</v>
      </c>
      <c r="F174" s="116" t="s">
        <v>4658</v>
      </c>
      <c r="J174" s="117">
        <f>BK174</f>
        <v>11379.08</v>
      </c>
      <c r="L174" s="106"/>
      <c r="M174" s="110"/>
      <c r="N174" s="111"/>
      <c r="O174" s="111"/>
      <c r="P174" s="112">
        <f>SUM(P175:P178)</f>
        <v>0</v>
      </c>
      <c r="Q174" s="111"/>
      <c r="R174" s="112">
        <f>SUM(R175:R178)</f>
        <v>0</v>
      </c>
      <c r="S174" s="111"/>
      <c r="T174" s="113">
        <f>SUM(T175:T178)</f>
        <v>0</v>
      </c>
      <c r="W174" s="195"/>
      <c r="X174" s="111"/>
      <c r="Y174" s="196" t="s">
        <v>57</v>
      </c>
      <c r="Z174" s="201" t="s">
        <v>1227</v>
      </c>
      <c r="AA174" s="201" t="s">
        <v>4658</v>
      </c>
      <c r="AB174" s="111"/>
      <c r="AC174" s="111"/>
      <c r="AD174" s="111"/>
      <c r="AE174" s="202">
        <f>SUM(AE175:AE200)</f>
        <v>16861.72</v>
      </c>
      <c r="AF174" s="248"/>
      <c r="AG174" s="130"/>
      <c r="AR174" s="107" t="s">
        <v>63</v>
      </c>
      <c r="AT174" s="114" t="s">
        <v>57</v>
      </c>
      <c r="AU174" s="114" t="s">
        <v>63</v>
      </c>
      <c r="AY174" s="107" t="s">
        <v>228</v>
      </c>
      <c r="BK174" s="115">
        <f>SUM(BK175:BK178)</f>
        <v>11379.08</v>
      </c>
    </row>
    <row r="175" spans="2:65" s="1" customFormat="1" ht="16.5" customHeight="1" x14ac:dyDescent="0.2">
      <c r="B175" s="118"/>
      <c r="C175" s="119" t="s">
        <v>312</v>
      </c>
      <c r="D175" s="119" t="s">
        <v>231</v>
      </c>
      <c r="E175" s="120" t="s">
        <v>312</v>
      </c>
      <c r="F175" s="121" t="s">
        <v>4656</v>
      </c>
      <c r="G175" s="122" t="s">
        <v>1194</v>
      </c>
      <c r="H175" s="123">
        <v>1</v>
      </c>
      <c r="I175" s="124">
        <v>5833.37</v>
      </c>
      <c r="J175" s="124">
        <f>ROUND(I175*H175,2)</f>
        <v>5833.37</v>
      </c>
      <c r="K175" s="121" t="s">
        <v>1</v>
      </c>
      <c r="L175" s="24"/>
      <c r="M175" s="125" t="s">
        <v>1</v>
      </c>
      <c r="N175" s="126" t="s">
        <v>32</v>
      </c>
      <c r="O175" s="127">
        <v>0</v>
      </c>
      <c r="P175" s="127">
        <f>O175*H175</f>
        <v>0</v>
      </c>
      <c r="Q175" s="127">
        <v>0</v>
      </c>
      <c r="R175" s="127">
        <f>Q175*H175</f>
        <v>0</v>
      </c>
      <c r="S175" s="127">
        <v>0</v>
      </c>
      <c r="T175" s="128">
        <f>S175*H175</f>
        <v>0</v>
      </c>
      <c r="W175" s="199"/>
      <c r="X175" s="119" t="s">
        <v>312</v>
      </c>
      <c r="Y175" s="119" t="s">
        <v>231</v>
      </c>
      <c r="Z175" s="120" t="s">
        <v>312</v>
      </c>
      <c r="AA175" s="121" t="s">
        <v>4656</v>
      </c>
      <c r="AB175" s="122" t="s">
        <v>1194</v>
      </c>
      <c r="AC175" s="123">
        <v>1</v>
      </c>
      <c r="AD175" s="124">
        <v>5833.37</v>
      </c>
      <c r="AE175" s="200">
        <f>ROUND(AD175*AC175,2)</f>
        <v>5833.37</v>
      </c>
      <c r="AF175" s="248"/>
      <c r="AG175" s="130"/>
      <c r="AR175" s="129" t="s">
        <v>235</v>
      </c>
      <c r="AT175" s="129" t="s">
        <v>231</v>
      </c>
      <c r="AU175" s="129" t="s">
        <v>76</v>
      </c>
      <c r="AY175" s="13" t="s">
        <v>228</v>
      </c>
      <c r="BE175" s="130">
        <f>IF(N175="základná",J175,0)</f>
        <v>0</v>
      </c>
      <c r="BF175" s="130">
        <f>IF(N175="znížená",J175,0)</f>
        <v>5833.37</v>
      </c>
      <c r="BG175" s="130">
        <f>IF(N175="zákl. prenesená",J175,0)</f>
        <v>0</v>
      </c>
      <c r="BH175" s="130">
        <f>IF(N175="zníž. prenesená",J175,0)</f>
        <v>0</v>
      </c>
      <c r="BI175" s="130">
        <f>IF(N175="nulová",J175,0)</f>
        <v>0</v>
      </c>
      <c r="BJ175" s="13" t="s">
        <v>76</v>
      </c>
      <c r="BK175" s="130">
        <f>ROUND(I175*H175,2)</f>
        <v>5833.37</v>
      </c>
      <c r="BL175" s="13" t="s">
        <v>235</v>
      </c>
      <c r="BM175" s="129" t="s">
        <v>389</v>
      </c>
    </row>
    <row r="176" spans="2:65" s="1" customFormat="1" ht="16.5" customHeight="1" x14ac:dyDescent="0.2">
      <c r="B176" s="118"/>
      <c r="C176" s="205" t="s">
        <v>390</v>
      </c>
      <c r="D176" s="119" t="s">
        <v>231</v>
      </c>
      <c r="E176" s="120" t="s">
        <v>390</v>
      </c>
      <c r="F176" s="121" t="s">
        <v>2591</v>
      </c>
      <c r="G176" s="122" t="s">
        <v>1194</v>
      </c>
      <c r="H176" s="206">
        <v>1</v>
      </c>
      <c r="I176" s="124">
        <v>379.48</v>
      </c>
      <c r="J176" s="124">
        <f>ROUND(I176*H176,2)</f>
        <v>379.48</v>
      </c>
      <c r="K176" s="121" t="s">
        <v>1</v>
      </c>
      <c r="L176" s="24"/>
      <c r="M176" s="125" t="s">
        <v>1</v>
      </c>
      <c r="N176" s="126" t="s">
        <v>32</v>
      </c>
      <c r="O176" s="127">
        <v>0</v>
      </c>
      <c r="P176" s="127">
        <f>O176*H176</f>
        <v>0</v>
      </c>
      <c r="Q176" s="127">
        <v>0</v>
      </c>
      <c r="R176" s="127">
        <f>Q176*H176</f>
        <v>0</v>
      </c>
      <c r="S176" s="127">
        <v>0</v>
      </c>
      <c r="T176" s="128">
        <f>S176*H176</f>
        <v>0</v>
      </c>
      <c r="W176" s="199"/>
      <c r="X176" s="205" t="s">
        <v>390</v>
      </c>
      <c r="Y176" s="119" t="s">
        <v>231</v>
      </c>
      <c r="Z176" s="120" t="s">
        <v>390</v>
      </c>
      <c r="AA176" s="121" t="s">
        <v>2591</v>
      </c>
      <c r="AB176" s="122" t="s">
        <v>1194</v>
      </c>
      <c r="AC176" s="206">
        <f>1-1</f>
        <v>0</v>
      </c>
      <c r="AD176" s="124">
        <v>379.48</v>
      </c>
      <c r="AE176" s="200">
        <f>ROUND(AD176*AC176,2)</f>
        <v>0</v>
      </c>
      <c r="AF176" s="248" t="s">
        <v>6371</v>
      </c>
      <c r="AG176" s="130"/>
      <c r="AR176" s="129" t="s">
        <v>235</v>
      </c>
      <c r="AT176" s="129" t="s">
        <v>231</v>
      </c>
      <c r="AU176" s="129" t="s">
        <v>76</v>
      </c>
      <c r="AY176" s="13" t="s">
        <v>228</v>
      </c>
      <c r="BE176" s="130">
        <f>IF(N176="základná",J176,0)</f>
        <v>0</v>
      </c>
      <c r="BF176" s="130">
        <f>IF(N176="znížená",J176,0)</f>
        <v>379.48</v>
      </c>
      <c r="BG176" s="130">
        <f>IF(N176="zákl. prenesená",J176,0)</f>
        <v>0</v>
      </c>
      <c r="BH176" s="130">
        <f>IF(N176="zníž. prenesená",J176,0)</f>
        <v>0</v>
      </c>
      <c r="BI176" s="130">
        <f>IF(N176="nulová",J176,0)</f>
        <v>0</v>
      </c>
      <c r="BJ176" s="13" t="s">
        <v>76</v>
      </c>
      <c r="BK176" s="130">
        <f>ROUND(I176*H176,2)</f>
        <v>379.48</v>
      </c>
      <c r="BL176" s="13" t="s">
        <v>235</v>
      </c>
      <c r="BM176" s="129" t="s">
        <v>393</v>
      </c>
    </row>
    <row r="177" spans="2:65" s="1" customFormat="1" ht="16.5" customHeight="1" x14ac:dyDescent="0.2">
      <c r="B177" s="118"/>
      <c r="C177" s="205" t="s">
        <v>316</v>
      </c>
      <c r="D177" s="119" t="s">
        <v>231</v>
      </c>
      <c r="E177" s="120" t="s">
        <v>316</v>
      </c>
      <c r="F177" s="121" t="s">
        <v>2592</v>
      </c>
      <c r="G177" s="122" t="s">
        <v>1194</v>
      </c>
      <c r="H177" s="206">
        <v>5</v>
      </c>
      <c r="I177" s="124">
        <v>305.51</v>
      </c>
      <c r="J177" s="124">
        <f>ROUND(I177*H177,2)</f>
        <v>1527.55</v>
      </c>
      <c r="K177" s="121" t="s">
        <v>1</v>
      </c>
      <c r="L177" s="24"/>
      <c r="M177" s="125" t="s">
        <v>1</v>
      </c>
      <c r="N177" s="126" t="s">
        <v>32</v>
      </c>
      <c r="O177" s="127">
        <v>0</v>
      </c>
      <c r="P177" s="127">
        <f>O177*H177</f>
        <v>0</v>
      </c>
      <c r="Q177" s="127">
        <v>0</v>
      </c>
      <c r="R177" s="127">
        <f>Q177*H177</f>
        <v>0</v>
      </c>
      <c r="S177" s="127">
        <v>0</v>
      </c>
      <c r="T177" s="128">
        <f>S177*H177</f>
        <v>0</v>
      </c>
      <c r="W177" s="199"/>
      <c r="X177" s="205" t="s">
        <v>316</v>
      </c>
      <c r="Y177" s="119" t="s">
        <v>231</v>
      </c>
      <c r="Z177" s="120" t="s">
        <v>316</v>
      </c>
      <c r="AA177" s="121" t="s">
        <v>2592</v>
      </c>
      <c r="AB177" s="122" t="s">
        <v>1194</v>
      </c>
      <c r="AC177" s="206">
        <f>5-2</f>
        <v>3</v>
      </c>
      <c r="AD177" s="124">
        <v>305.51</v>
      </c>
      <c r="AE177" s="200">
        <f>ROUND(AD177*AC177,2)</f>
        <v>916.53</v>
      </c>
      <c r="AF177" s="248" t="s">
        <v>6371</v>
      </c>
      <c r="AG177" s="130"/>
      <c r="AR177" s="129" t="s">
        <v>235</v>
      </c>
      <c r="AT177" s="129" t="s">
        <v>231</v>
      </c>
      <c r="AU177" s="129" t="s">
        <v>76</v>
      </c>
      <c r="AY177" s="13" t="s">
        <v>228</v>
      </c>
      <c r="BE177" s="130">
        <f>IF(N177="základná",J177,0)</f>
        <v>0</v>
      </c>
      <c r="BF177" s="130">
        <f>IF(N177="znížená",J177,0)</f>
        <v>1527.55</v>
      </c>
      <c r="BG177" s="130">
        <f>IF(N177="zákl. prenesená",J177,0)</f>
        <v>0</v>
      </c>
      <c r="BH177" s="130">
        <f>IF(N177="zníž. prenesená",J177,0)</f>
        <v>0</v>
      </c>
      <c r="BI177" s="130">
        <f>IF(N177="nulová",J177,0)</f>
        <v>0</v>
      </c>
      <c r="BJ177" s="13" t="s">
        <v>76</v>
      </c>
      <c r="BK177" s="130">
        <f>ROUND(I177*H177,2)</f>
        <v>1527.55</v>
      </c>
      <c r="BL177" s="13" t="s">
        <v>235</v>
      </c>
      <c r="BM177" s="129" t="s">
        <v>396</v>
      </c>
    </row>
    <row r="178" spans="2:65" s="1" customFormat="1" ht="24" customHeight="1" x14ac:dyDescent="0.2">
      <c r="B178" s="118"/>
      <c r="C178" s="119" t="s">
        <v>397</v>
      </c>
      <c r="D178" s="119" t="s">
        <v>231</v>
      </c>
      <c r="E178" s="120" t="s">
        <v>397</v>
      </c>
      <c r="F178" s="121" t="s">
        <v>4657</v>
      </c>
      <c r="G178" s="122" t="s">
        <v>1194</v>
      </c>
      <c r="H178" s="123">
        <v>4</v>
      </c>
      <c r="I178" s="124">
        <v>909.67</v>
      </c>
      <c r="J178" s="124">
        <f>ROUND(I178*H178,2)</f>
        <v>3638.68</v>
      </c>
      <c r="K178" s="121" t="s">
        <v>1</v>
      </c>
      <c r="L178" s="24"/>
      <c r="M178" s="140" t="s">
        <v>1</v>
      </c>
      <c r="N178" s="141" t="s">
        <v>32</v>
      </c>
      <c r="O178" s="142">
        <v>0</v>
      </c>
      <c r="P178" s="142">
        <f>O178*H178</f>
        <v>0</v>
      </c>
      <c r="Q178" s="142">
        <v>0</v>
      </c>
      <c r="R178" s="142">
        <f>Q178*H178</f>
        <v>0</v>
      </c>
      <c r="S178" s="142">
        <v>0</v>
      </c>
      <c r="T178" s="143">
        <f>S178*H178</f>
        <v>0</v>
      </c>
      <c r="W178" s="199"/>
      <c r="X178" s="119" t="s">
        <v>397</v>
      </c>
      <c r="Y178" s="119" t="s">
        <v>231</v>
      </c>
      <c r="Z178" s="120" t="s">
        <v>397</v>
      </c>
      <c r="AA178" s="121" t="s">
        <v>4657</v>
      </c>
      <c r="AB178" s="122" t="s">
        <v>1194</v>
      </c>
      <c r="AC178" s="123">
        <v>4</v>
      </c>
      <c r="AD178" s="124">
        <v>909.67</v>
      </c>
      <c r="AE178" s="200">
        <f>ROUND(AD178*AC178,2)</f>
        <v>3638.68</v>
      </c>
      <c r="AF178" s="248"/>
      <c r="AG178" s="130"/>
      <c r="AR178" s="129" t="s">
        <v>235</v>
      </c>
      <c r="AT178" s="129" t="s">
        <v>231</v>
      </c>
      <c r="AU178" s="129" t="s">
        <v>76</v>
      </c>
      <c r="AY178" s="13" t="s">
        <v>228</v>
      </c>
      <c r="BE178" s="130">
        <f>IF(N178="základná",J178,0)</f>
        <v>0</v>
      </c>
      <c r="BF178" s="130">
        <f>IF(N178="znížená",J178,0)</f>
        <v>3638.68</v>
      </c>
      <c r="BG178" s="130">
        <f>IF(N178="zákl. prenesená",J178,0)</f>
        <v>0</v>
      </c>
      <c r="BH178" s="130">
        <f>IF(N178="zníž. prenesená",J178,0)</f>
        <v>0</v>
      </c>
      <c r="BI178" s="130">
        <f>IF(N178="nulová",J178,0)</f>
        <v>0</v>
      </c>
      <c r="BJ178" s="13" t="s">
        <v>76</v>
      </c>
      <c r="BK178" s="130">
        <f>ROUND(I178*H178,2)</f>
        <v>3638.68</v>
      </c>
      <c r="BL178" s="13" t="s">
        <v>235</v>
      </c>
      <c r="BM178" s="129" t="s">
        <v>400</v>
      </c>
    </row>
    <row r="179" spans="2:65" s="660" customFormat="1" ht="36.450000000000003" customHeight="1" x14ac:dyDescent="0.2">
      <c r="B179" s="118"/>
      <c r="C179" s="1234" t="s">
        <v>5205</v>
      </c>
      <c r="D179" s="1235"/>
      <c r="E179" s="1235"/>
      <c r="F179" s="1235"/>
      <c r="G179" s="1235"/>
      <c r="H179" s="1235"/>
      <c r="I179" s="1235"/>
      <c r="J179" s="1236"/>
      <c r="K179" s="222"/>
      <c r="L179" s="24"/>
      <c r="M179" s="662"/>
      <c r="N179" s="126"/>
      <c r="O179" s="127"/>
      <c r="P179" s="127"/>
      <c r="Q179" s="127"/>
      <c r="R179" s="127"/>
      <c r="S179" s="127"/>
      <c r="T179" s="127"/>
      <c r="W179" s="199"/>
      <c r="X179" s="207" t="s">
        <v>5247</v>
      </c>
      <c r="Y179" s="207" t="s">
        <v>231</v>
      </c>
      <c r="Z179" s="208" t="s">
        <v>6392</v>
      </c>
      <c r="AA179" s="209" t="s">
        <v>6393</v>
      </c>
      <c r="AB179" s="210" t="s">
        <v>1194</v>
      </c>
      <c r="AC179" s="211">
        <v>1</v>
      </c>
      <c r="AD179" s="212">
        <v>432.91</v>
      </c>
      <c r="AE179" s="214">
        <f t="shared" ref="AE179" si="24">ROUND(AD179*AC179,2)</f>
        <v>432.91</v>
      </c>
      <c r="AF179" s="248" t="s">
        <v>6371</v>
      </c>
      <c r="AG179" s="130"/>
      <c r="AR179" s="129"/>
      <c r="AT179" s="129"/>
      <c r="AU179" s="129"/>
      <c r="AY179" s="13"/>
      <c r="BE179" s="130"/>
      <c r="BF179" s="130"/>
      <c r="BG179" s="130"/>
      <c r="BH179" s="130"/>
      <c r="BI179" s="130"/>
      <c r="BJ179" s="13"/>
      <c r="BK179" s="130"/>
      <c r="BL179" s="13"/>
      <c r="BM179" s="129"/>
    </row>
    <row r="180" spans="2:65" s="660" customFormat="1" ht="159" customHeight="1" x14ac:dyDescent="0.2">
      <c r="B180" s="118"/>
      <c r="C180" s="254"/>
      <c r="D180" s="254"/>
      <c r="E180" s="255"/>
      <c r="F180" s="222"/>
      <c r="G180" s="256"/>
      <c r="H180" s="257"/>
      <c r="I180" s="258"/>
      <c r="J180" s="258"/>
      <c r="K180" s="222"/>
      <c r="L180" s="24"/>
      <c r="M180" s="662"/>
      <c r="N180" s="126"/>
      <c r="O180" s="127"/>
      <c r="P180" s="127"/>
      <c r="Q180" s="127"/>
      <c r="R180" s="127"/>
      <c r="S180" s="127"/>
      <c r="T180" s="127"/>
      <c r="W180" s="199"/>
      <c r="X180" s="285"/>
      <c r="Y180" s="285"/>
      <c r="Z180" s="286"/>
      <c r="AA180" s="669" t="s">
        <v>6394</v>
      </c>
      <c r="AB180" s="666"/>
      <c r="AC180" s="666"/>
      <c r="AD180" s="666"/>
      <c r="AE180" s="290"/>
      <c r="AF180" s="248"/>
      <c r="AG180" s="130"/>
      <c r="AR180" s="129"/>
      <c r="AT180" s="129"/>
      <c r="AU180" s="129"/>
      <c r="AY180" s="13"/>
      <c r="BE180" s="130"/>
      <c r="BF180" s="130"/>
      <c r="BG180" s="130"/>
      <c r="BH180" s="130"/>
      <c r="BI180" s="130"/>
      <c r="BJ180" s="13"/>
      <c r="BK180" s="130"/>
      <c r="BL180" s="13"/>
      <c r="BM180" s="129"/>
    </row>
    <row r="181" spans="2:65" s="660" customFormat="1" ht="33" customHeight="1" x14ac:dyDescent="0.2">
      <c r="B181" s="118"/>
      <c r="C181" s="1234" t="s">
        <v>5205</v>
      </c>
      <c r="D181" s="1235"/>
      <c r="E181" s="1235"/>
      <c r="F181" s="1235"/>
      <c r="G181" s="1235"/>
      <c r="H181" s="1235"/>
      <c r="I181" s="1235"/>
      <c r="J181" s="1236"/>
      <c r="K181" s="222"/>
      <c r="L181" s="24"/>
      <c r="M181" s="662"/>
      <c r="N181" s="126"/>
      <c r="O181" s="127"/>
      <c r="P181" s="127"/>
      <c r="Q181" s="127"/>
      <c r="R181" s="127"/>
      <c r="S181" s="127"/>
      <c r="T181" s="127"/>
      <c r="W181" s="199"/>
      <c r="X181" s="207" t="s">
        <v>5841</v>
      </c>
      <c r="Y181" s="207" t="s">
        <v>231</v>
      </c>
      <c r="Z181" s="208" t="s">
        <v>6395</v>
      </c>
      <c r="AA181" s="209" t="s">
        <v>6396</v>
      </c>
      <c r="AB181" s="210" t="s">
        <v>1194</v>
      </c>
      <c r="AC181" s="211">
        <v>1</v>
      </c>
      <c r="AD181" s="212">
        <v>432.91</v>
      </c>
      <c r="AE181" s="214">
        <f t="shared" ref="AE181" si="25">ROUND(AD181*AC181,2)</f>
        <v>432.91</v>
      </c>
      <c r="AF181" s="248" t="s">
        <v>6371</v>
      </c>
      <c r="AG181" s="130"/>
      <c r="AR181" s="129"/>
      <c r="AT181" s="129"/>
      <c r="AU181" s="129"/>
      <c r="AY181" s="13"/>
      <c r="BE181" s="130"/>
      <c r="BF181" s="130"/>
      <c r="BG181" s="130"/>
      <c r="BH181" s="130"/>
      <c r="BI181" s="130"/>
      <c r="BJ181" s="13"/>
      <c r="BK181" s="130"/>
      <c r="BL181" s="13"/>
      <c r="BM181" s="129"/>
    </row>
    <row r="182" spans="2:65" s="660" customFormat="1" ht="149.55000000000001" customHeight="1" x14ac:dyDescent="0.2">
      <c r="B182" s="118"/>
      <c r="C182" s="254"/>
      <c r="D182" s="254"/>
      <c r="E182" s="255"/>
      <c r="F182" s="222"/>
      <c r="G182" s="256"/>
      <c r="H182" s="257"/>
      <c r="I182" s="258"/>
      <c r="J182" s="258"/>
      <c r="K182" s="222"/>
      <c r="L182" s="24"/>
      <c r="M182" s="662"/>
      <c r="N182" s="126"/>
      <c r="O182" s="127"/>
      <c r="P182" s="127"/>
      <c r="Q182" s="127"/>
      <c r="R182" s="127"/>
      <c r="S182" s="127"/>
      <c r="T182" s="127"/>
      <c r="W182" s="199"/>
      <c r="X182" s="285"/>
      <c r="Y182" s="285"/>
      <c r="Z182" s="286"/>
      <c r="AA182" s="669" t="s">
        <v>6409</v>
      </c>
      <c r="AB182" s="666"/>
      <c r="AC182" s="666"/>
      <c r="AD182" s="666"/>
      <c r="AE182" s="290"/>
      <c r="AF182" s="248"/>
      <c r="AG182" s="130"/>
      <c r="AR182" s="129"/>
      <c r="AT182" s="129"/>
      <c r="AU182" s="129"/>
      <c r="AY182" s="13"/>
      <c r="BE182" s="130"/>
      <c r="BF182" s="130"/>
      <c r="BG182" s="130"/>
      <c r="BH182" s="130"/>
      <c r="BI182" s="130"/>
      <c r="BJ182" s="13"/>
      <c r="BK182" s="130"/>
      <c r="BL182" s="13"/>
      <c r="BM182" s="129"/>
    </row>
    <row r="183" spans="2:65" s="660" customFormat="1" ht="35.549999999999997" customHeight="1" x14ac:dyDescent="0.2">
      <c r="B183" s="118"/>
      <c r="C183" s="1234" t="s">
        <v>5205</v>
      </c>
      <c r="D183" s="1235"/>
      <c r="E183" s="1235"/>
      <c r="F183" s="1235"/>
      <c r="G183" s="1235"/>
      <c r="H183" s="1235"/>
      <c r="I183" s="1235"/>
      <c r="J183" s="1236"/>
      <c r="K183" s="222"/>
      <c r="L183" s="24"/>
      <c r="M183" s="662"/>
      <c r="N183" s="126"/>
      <c r="O183" s="127"/>
      <c r="P183" s="127"/>
      <c r="Q183" s="127"/>
      <c r="R183" s="127"/>
      <c r="S183" s="127"/>
      <c r="T183" s="127"/>
      <c r="W183" s="199"/>
      <c r="X183" s="207" t="s">
        <v>5842</v>
      </c>
      <c r="Y183" s="207" t="s">
        <v>231</v>
      </c>
      <c r="Z183" s="208" t="s">
        <v>6397</v>
      </c>
      <c r="AA183" s="209" t="s">
        <v>6398</v>
      </c>
      <c r="AB183" s="210" t="s">
        <v>1194</v>
      </c>
      <c r="AC183" s="211">
        <v>2</v>
      </c>
      <c r="AD183" s="212">
        <v>379.48</v>
      </c>
      <c r="AE183" s="214">
        <f t="shared" ref="AE183" si="26">ROUND(AD183*AC183,2)</f>
        <v>758.96</v>
      </c>
      <c r="AF183" s="248" t="s">
        <v>6371</v>
      </c>
      <c r="AG183" s="130"/>
      <c r="AR183" s="129"/>
      <c r="AT183" s="129"/>
      <c r="AU183" s="129"/>
      <c r="AY183" s="13"/>
      <c r="BE183" s="130"/>
      <c r="BF183" s="130"/>
      <c r="BG183" s="130"/>
      <c r="BH183" s="130"/>
      <c r="BI183" s="130"/>
      <c r="BJ183" s="13"/>
      <c r="BK183" s="130"/>
      <c r="BL183" s="13"/>
      <c r="BM183" s="129"/>
    </row>
    <row r="184" spans="2:65" s="660" customFormat="1" ht="163.19999999999999" customHeight="1" x14ac:dyDescent="0.2">
      <c r="B184" s="118"/>
      <c r="C184" s="254"/>
      <c r="D184" s="254"/>
      <c r="E184" s="255"/>
      <c r="F184" s="222"/>
      <c r="G184" s="256"/>
      <c r="H184" s="257"/>
      <c r="I184" s="258"/>
      <c r="J184" s="258"/>
      <c r="K184" s="222"/>
      <c r="L184" s="24"/>
      <c r="M184" s="662"/>
      <c r="N184" s="126"/>
      <c r="O184" s="127"/>
      <c r="P184" s="127"/>
      <c r="Q184" s="127"/>
      <c r="R184" s="127"/>
      <c r="S184" s="127"/>
      <c r="T184" s="127"/>
      <c r="W184" s="199"/>
      <c r="X184" s="285"/>
      <c r="Y184" s="285"/>
      <c r="Z184" s="286"/>
      <c r="AA184" s="669" t="s">
        <v>6410</v>
      </c>
      <c r="AB184" s="666"/>
      <c r="AC184" s="666"/>
      <c r="AD184" s="666"/>
      <c r="AE184" s="290"/>
      <c r="AF184" s="248"/>
      <c r="AG184" s="130"/>
      <c r="AR184" s="129"/>
      <c r="AT184" s="129"/>
      <c r="AU184" s="129"/>
      <c r="AY184" s="13"/>
      <c r="BE184" s="130"/>
      <c r="BF184" s="130"/>
      <c r="BG184" s="130"/>
      <c r="BH184" s="130"/>
      <c r="BI184" s="130"/>
      <c r="BJ184" s="13"/>
      <c r="BK184" s="130"/>
      <c r="BL184" s="13"/>
      <c r="BM184" s="129"/>
    </row>
    <row r="185" spans="2:65" s="660" customFormat="1" ht="27.45" customHeight="1" x14ac:dyDescent="0.2">
      <c r="B185" s="118"/>
      <c r="C185" s="1234" t="s">
        <v>5205</v>
      </c>
      <c r="D185" s="1235"/>
      <c r="E185" s="1235"/>
      <c r="F185" s="1235"/>
      <c r="G185" s="1235"/>
      <c r="H185" s="1235"/>
      <c r="I185" s="1235"/>
      <c r="J185" s="1236"/>
      <c r="K185" s="222"/>
      <c r="L185" s="24"/>
      <c r="M185" s="662"/>
      <c r="N185" s="126"/>
      <c r="O185" s="127"/>
      <c r="P185" s="127"/>
      <c r="Q185" s="127"/>
      <c r="R185" s="127"/>
      <c r="S185" s="127"/>
      <c r="T185" s="127"/>
      <c r="W185" s="199"/>
      <c r="X185" s="207" t="s">
        <v>5842</v>
      </c>
      <c r="Y185" s="207" t="s">
        <v>231</v>
      </c>
      <c r="Z185" s="208" t="s">
        <v>6399</v>
      </c>
      <c r="AA185" s="209" t="s">
        <v>6373</v>
      </c>
      <c r="AB185" s="210" t="s">
        <v>1194</v>
      </c>
      <c r="AC185" s="211">
        <v>4</v>
      </c>
      <c r="AD185" s="212">
        <v>379.48</v>
      </c>
      <c r="AE185" s="214">
        <f t="shared" ref="AE185" si="27">ROUND(AD185*AC185,2)</f>
        <v>1517.92</v>
      </c>
      <c r="AF185" s="248" t="s">
        <v>6371</v>
      </c>
      <c r="AG185" s="130"/>
      <c r="AR185" s="129"/>
      <c r="AT185" s="129"/>
      <c r="AU185" s="129"/>
      <c r="AY185" s="13"/>
      <c r="BE185" s="130"/>
      <c r="BF185" s="130"/>
      <c r="BG185" s="130"/>
      <c r="BH185" s="130"/>
      <c r="BI185" s="130"/>
      <c r="BJ185" s="13"/>
      <c r="BK185" s="130"/>
      <c r="BL185" s="13"/>
      <c r="BM185" s="129"/>
    </row>
    <row r="186" spans="2:65" s="660" customFormat="1" ht="109.95" customHeight="1" x14ac:dyDescent="0.2">
      <c r="B186" s="118"/>
      <c r="C186" s="254"/>
      <c r="D186" s="254"/>
      <c r="E186" s="255"/>
      <c r="F186" s="222"/>
      <c r="G186" s="256"/>
      <c r="H186" s="257"/>
      <c r="I186" s="258"/>
      <c r="J186" s="258"/>
      <c r="K186" s="222"/>
      <c r="L186" s="24"/>
      <c r="M186" s="662"/>
      <c r="N186" s="126"/>
      <c r="O186" s="127"/>
      <c r="P186" s="127"/>
      <c r="Q186" s="127"/>
      <c r="R186" s="127"/>
      <c r="S186" s="127"/>
      <c r="T186" s="127"/>
      <c r="W186" s="199"/>
      <c r="X186" s="285"/>
      <c r="Y186" s="285"/>
      <c r="Z186" s="286"/>
      <c r="AA186" s="669" t="s">
        <v>6382</v>
      </c>
      <c r="AB186" s="666"/>
      <c r="AC186" s="666"/>
      <c r="AD186" s="666"/>
      <c r="AE186" s="290"/>
      <c r="AF186" s="248"/>
      <c r="AG186" s="130"/>
      <c r="AR186" s="129"/>
      <c r="AT186" s="129"/>
      <c r="AU186" s="129"/>
      <c r="AY186" s="13"/>
      <c r="BE186" s="130"/>
      <c r="BF186" s="130"/>
      <c r="BG186" s="130"/>
      <c r="BH186" s="130"/>
      <c r="BI186" s="130"/>
      <c r="BJ186" s="13"/>
      <c r="BK186" s="130"/>
      <c r="BL186" s="13"/>
      <c r="BM186" s="129"/>
    </row>
    <row r="187" spans="2:65" s="660" customFormat="1" ht="33" customHeight="1" x14ac:dyDescent="0.2">
      <c r="B187" s="118"/>
      <c r="C187" s="1234" t="s">
        <v>5205</v>
      </c>
      <c r="D187" s="1235"/>
      <c r="E187" s="1235"/>
      <c r="F187" s="1235"/>
      <c r="G187" s="1235"/>
      <c r="H187" s="1235"/>
      <c r="I187" s="1235"/>
      <c r="J187" s="1236"/>
      <c r="K187" s="222"/>
      <c r="L187" s="24"/>
      <c r="M187" s="662"/>
      <c r="N187" s="126"/>
      <c r="O187" s="127"/>
      <c r="P187" s="127"/>
      <c r="Q187" s="127"/>
      <c r="R187" s="127"/>
      <c r="S187" s="127"/>
      <c r="T187" s="127"/>
      <c r="W187" s="199"/>
      <c r="X187" s="207" t="s">
        <v>5843</v>
      </c>
      <c r="Y187" s="207" t="s">
        <v>231</v>
      </c>
      <c r="Z187" s="208" t="s">
        <v>6400</v>
      </c>
      <c r="AA187" s="209" t="s">
        <v>6401</v>
      </c>
      <c r="AB187" s="210" t="s">
        <v>1194</v>
      </c>
      <c r="AC187" s="211">
        <v>3</v>
      </c>
      <c r="AD187" s="212">
        <v>305.51</v>
      </c>
      <c r="AE187" s="214">
        <f t="shared" ref="AE187" si="28">ROUND(AD187*AC187,2)</f>
        <v>916.53</v>
      </c>
      <c r="AF187" s="248" t="s">
        <v>6371</v>
      </c>
      <c r="AG187" s="130"/>
      <c r="AR187" s="129"/>
      <c r="AT187" s="129"/>
      <c r="AU187" s="129"/>
      <c r="AY187" s="13"/>
      <c r="BE187" s="130"/>
      <c r="BF187" s="130"/>
      <c r="BG187" s="130"/>
      <c r="BH187" s="130"/>
      <c r="BI187" s="130"/>
      <c r="BJ187" s="13"/>
      <c r="BK187" s="130"/>
      <c r="BL187" s="13"/>
      <c r="BM187" s="129"/>
    </row>
    <row r="188" spans="2:65" s="660" customFormat="1" ht="112.2" customHeight="1" x14ac:dyDescent="0.2">
      <c r="B188" s="118"/>
      <c r="C188" s="254"/>
      <c r="D188" s="254"/>
      <c r="E188" s="255"/>
      <c r="F188" s="222"/>
      <c r="G188" s="256"/>
      <c r="H188" s="257"/>
      <c r="I188" s="258"/>
      <c r="J188" s="258"/>
      <c r="K188" s="222"/>
      <c r="L188" s="24"/>
      <c r="M188" s="662"/>
      <c r="N188" s="126"/>
      <c r="O188" s="127"/>
      <c r="P188" s="127"/>
      <c r="Q188" s="127"/>
      <c r="R188" s="127"/>
      <c r="S188" s="127"/>
      <c r="T188" s="127"/>
      <c r="W188" s="199"/>
      <c r="X188" s="285"/>
      <c r="Y188" s="285"/>
      <c r="Z188" s="286"/>
      <c r="AA188" s="669" t="s">
        <v>6411</v>
      </c>
      <c r="AB188" s="666"/>
      <c r="AC188" s="666"/>
      <c r="AD188" s="666"/>
      <c r="AE188" s="290"/>
      <c r="AF188" s="248"/>
      <c r="AG188" s="130"/>
      <c r="AR188" s="129"/>
      <c r="AT188" s="129"/>
      <c r="AU188" s="129"/>
      <c r="AY188" s="13"/>
      <c r="BE188" s="130"/>
      <c r="BF188" s="130"/>
      <c r="BG188" s="130"/>
      <c r="BH188" s="130"/>
      <c r="BI188" s="130"/>
      <c r="BJ188" s="13"/>
      <c r="BK188" s="130"/>
      <c r="BL188" s="13"/>
      <c r="BM188" s="129"/>
    </row>
    <row r="189" spans="2:65" s="660" customFormat="1" ht="30" customHeight="1" x14ac:dyDescent="0.2">
      <c r="B189" s="118"/>
      <c r="C189" s="1234" t="s">
        <v>5205</v>
      </c>
      <c r="D189" s="1235"/>
      <c r="E189" s="1235"/>
      <c r="F189" s="1235"/>
      <c r="G189" s="1235"/>
      <c r="H189" s="1235"/>
      <c r="I189" s="1235"/>
      <c r="J189" s="1236"/>
      <c r="K189" s="222"/>
      <c r="L189" s="24"/>
      <c r="M189" s="662"/>
      <c r="N189" s="126"/>
      <c r="O189" s="127"/>
      <c r="P189" s="127"/>
      <c r="Q189" s="127"/>
      <c r="R189" s="127"/>
      <c r="S189" s="127"/>
      <c r="T189" s="127"/>
      <c r="W189" s="199"/>
      <c r="X189" s="207" t="s">
        <v>5844</v>
      </c>
      <c r="Y189" s="207" t="s">
        <v>231</v>
      </c>
      <c r="Z189" s="208" t="s">
        <v>6402</v>
      </c>
      <c r="AA189" s="209" t="s">
        <v>6376</v>
      </c>
      <c r="AB189" s="210" t="s">
        <v>1194</v>
      </c>
      <c r="AC189" s="211">
        <v>1</v>
      </c>
      <c r="AD189" s="212">
        <v>305.51</v>
      </c>
      <c r="AE189" s="214">
        <f t="shared" ref="AE189" si="29">ROUND(AD189*AC189,2)</f>
        <v>305.51</v>
      </c>
      <c r="AF189" s="248" t="s">
        <v>6371</v>
      </c>
      <c r="AG189" s="130"/>
      <c r="AR189" s="129"/>
      <c r="AT189" s="129"/>
      <c r="AU189" s="129"/>
      <c r="AY189" s="13"/>
      <c r="BE189" s="130"/>
      <c r="BF189" s="130"/>
      <c r="BG189" s="130"/>
      <c r="BH189" s="130"/>
      <c r="BI189" s="130"/>
      <c r="BJ189" s="13"/>
      <c r="BK189" s="130"/>
      <c r="BL189" s="13"/>
      <c r="BM189" s="129"/>
    </row>
    <row r="190" spans="2:65" s="660" customFormat="1" ht="114" customHeight="1" x14ac:dyDescent="0.2">
      <c r="B190" s="118"/>
      <c r="C190" s="254"/>
      <c r="D190" s="254"/>
      <c r="E190" s="255"/>
      <c r="F190" s="222"/>
      <c r="G190" s="256"/>
      <c r="H190" s="257"/>
      <c r="I190" s="258"/>
      <c r="J190" s="258"/>
      <c r="K190" s="222"/>
      <c r="L190" s="24"/>
      <c r="M190" s="662"/>
      <c r="N190" s="126"/>
      <c r="O190" s="127"/>
      <c r="P190" s="127"/>
      <c r="Q190" s="127"/>
      <c r="R190" s="127"/>
      <c r="S190" s="127"/>
      <c r="T190" s="127"/>
      <c r="W190" s="199"/>
      <c r="X190" s="285"/>
      <c r="Y190" s="285"/>
      <c r="Z190" s="286"/>
      <c r="AA190" s="669" t="s">
        <v>6377</v>
      </c>
      <c r="AB190" s="666"/>
      <c r="AC190" s="666"/>
      <c r="AD190" s="666"/>
      <c r="AE190" s="290"/>
      <c r="AF190" s="248"/>
      <c r="AG190" s="130"/>
      <c r="AR190" s="129"/>
      <c r="AT190" s="129"/>
      <c r="AU190" s="129"/>
      <c r="AY190" s="13"/>
      <c r="BE190" s="130"/>
      <c r="BF190" s="130"/>
      <c r="BG190" s="130"/>
      <c r="BH190" s="130"/>
      <c r="BI190" s="130"/>
      <c r="BJ190" s="13"/>
      <c r="BK190" s="130"/>
      <c r="BL190" s="13"/>
      <c r="BM190" s="129"/>
    </row>
    <row r="191" spans="2:65" s="660" customFormat="1" ht="33.450000000000003" customHeight="1" x14ac:dyDescent="0.2">
      <c r="B191" s="118"/>
      <c r="C191" s="1234" t="s">
        <v>5205</v>
      </c>
      <c r="D191" s="1235"/>
      <c r="E191" s="1235"/>
      <c r="F191" s="1235"/>
      <c r="G191" s="1235"/>
      <c r="H191" s="1235"/>
      <c r="I191" s="1235"/>
      <c r="J191" s="1236"/>
      <c r="K191" s="222"/>
      <c r="L191" s="24"/>
      <c r="M191" s="662"/>
      <c r="N191" s="126"/>
      <c r="O191" s="127"/>
      <c r="P191" s="127"/>
      <c r="Q191" s="127"/>
      <c r="R191" s="127"/>
      <c r="S191" s="127"/>
      <c r="T191" s="127"/>
      <c r="W191" s="199"/>
      <c r="X191" s="207" t="s">
        <v>5845</v>
      </c>
      <c r="Y191" s="207" t="s">
        <v>231</v>
      </c>
      <c r="Z191" s="208" t="s">
        <v>6403</v>
      </c>
      <c r="AA191" s="209" t="s">
        <v>6404</v>
      </c>
      <c r="AB191" s="210" t="s">
        <v>1194</v>
      </c>
      <c r="AC191" s="211">
        <v>1</v>
      </c>
      <c r="AD191" s="212">
        <v>432.91</v>
      </c>
      <c r="AE191" s="214">
        <f t="shared" ref="AE191" si="30">ROUND(AD191*AC191,2)</f>
        <v>432.91</v>
      </c>
      <c r="AF191" s="248" t="s">
        <v>6371</v>
      </c>
      <c r="AG191" s="130"/>
      <c r="AR191" s="129"/>
      <c r="AT191" s="129"/>
      <c r="AU191" s="129"/>
      <c r="AY191" s="13"/>
      <c r="BE191" s="130"/>
      <c r="BF191" s="130"/>
      <c r="BG191" s="130"/>
      <c r="BH191" s="130"/>
      <c r="BI191" s="130"/>
      <c r="BJ191" s="13"/>
      <c r="BK191" s="130"/>
      <c r="BL191" s="13"/>
      <c r="BM191" s="129"/>
    </row>
    <row r="192" spans="2:65" s="660" customFormat="1" ht="143.55000000000001" customHeight="1" x14ac:dyDescent="0.2">
      <c r="B192" s="118"/>
      <c r="C192" s="254"/>
      <c r="D192" s="254"/>
      <c r="E192" s="255"/>
      <c r="F192" s="222"/>
      <c r="G192" s="256"/>
      <c r="H192" s="257"/>
      <c r="I192" s="258"/>
      <c r="J192" s="258"/>
      <c r="K192" s="222"/>
      <c r="L192" s="24"/>
      <c r="M192" s="662"/>
      <c r="N192" s="126"/>
      <c r="O192" s="127"/>
      <c r="P192" s="127"/>
      <c r="Q192" s="127"/>
      <c r="R192" s="127"/>
      <c r="S192" s="127"/>
      <c r="T192" s="127"/>
      <c r="W192" s="199"/>
      <c r="X192" s="285"/>
      <c r="Y192" s="285"/>
      <c r="Z192" s="286"/>
      <c r="AA192" s="669" t="s">
        <v>6412</v>
      </c>
      <c r="AB192" s="666"/>
      <c r="AC192" s="666"/>
      <c r="AD192" s="666"/>
      <c r="AE192" s="290"/>
      <c r="AF192" s="248"/>
      <c r="AG192" s="130"/>
      <c r="AR192" s="129"/>
      <c r="AT192" s="129"/>
      <c r="AU192" s="129"/>
      <c r="AY192" s="13"/>
      <c r="BE192" s="130"/>
      <c r="BF192" s="130"/>
      <c r="BG192" s="130"/>
      <c r="BH192" s="130"/>
      <c r="BI192" s="130"/>
      <c r="BJ192" s="13"/>
      <c r="BK192" s="130"/>
      <c r="BL192" s="13"/>
      <c r="BM192" s="129"/>
    </row>
    <row r="193" spans="2:65" s="660" customFormat="1" ht="24" customHeight="1" x14ac:dyDescent="0.2">
      <c r="B193" s="118"/>
      <c r="C193" s="1234" t="s">
        <v>5205</v>
      </c>
      <c r="D193" s="1235"/>
      <c r="E193" s="1235"/>
      <c r="F193" s="1235"/>
      <c r="G193" s="1235"/>
      <c r="H193" s="1235"/>
      <c r="I193" s="1235"/>
      <c r="J193" s="1236"/>
      <c r="K193" s="222"/>
      <c r="L193" s="24"/>
      <c r="M193" s="662"/>
      <c r="N193" s="126"/>
      <c r="O193" s="127"/>
      <c r="P193" s="127"/>
      <c r="Q193" s="127"/>
      <c r="R193" s="127"/>
      <c r="S193" s="127"/>
      <c r="T193" s="127"/>
      <c r="W193" s="199"/>
      <c r="X193" s="207" t="s">
        <v>5846</v>
      </c>
      <c r="Y193" s="207" t="s">
        <v>231</v>
      </c>
      <c r="Z193" s="208" t="s">
        <v>6405</v>
      </c>
      <c r="AA193" s="209" t="s">
        <v>6398</v>
      </c>
      <c r="AB193" s="210" t="s">
        <v>1194</v>
      </c>
      <c r="AC193" s="211">
        <v>1</v>
      </c>
      <c r="AD193" s="212">
        <v>379.48</v>
      </c>
      <c r="AE193" s="214">
        <f t="shared" ref="AE193" si="31">ROUND(AD193*AC193,2)</f>
        <v>379.48</v>
      </c>
      <c r="AF193" s="248" t="s">
        <v>6371</v>
      </c>
      <c r="AG193" s="130"/>
      <c r="AR193" s="129"/>
      <c r="AT193" s="129"/>
      <c r="AU193" s="129"/>
      <c r="AY193" s="13"/>
      <c r="BE193" s="130"/>
      <c r="BF193" s="130"/>
      <c r="BG193" s="130"/>
      <c r="BH193" s="130"/>
      <c r="BI193" s="130"/>
      <c r="BJ193" s="13"/>
      <c r="BK193" s="130"/>
      <c r="BL193" s="13"/>
      <c r="BM193" s="129"/>
    </row>
    <row r="194" spans="2:65" s="660" customFormat="1" ht="111" customHeight="1" x14ac:dyDescent="0.2">
      <c r="B194" s="118"/>
      <c r="C194" s="254"/>
      <c r="D194" s="254"/>
      <c r="E194" s="255"/>
      <c r="F194" s="222"/>
      <c r="G194" s="256"/>
      <c r="H194" s="257"/>
      <c r="I194" s="258"/>
      <c r="J194" s="258"/>
      <c r="K194" s="222"/>
      <c r="L194" s="24"/>
      <c r="M194" s="662"/>
      <c r="N194" s="126"/>
      <c r="O194" s="127"/>
      <c r="P194" s="127"/>
      <c r="Q194" s="127"/>
      <c r="R194" s="127"/>
      <c r="S194" s="127"/>
      <c r="T194" s="127"/>
      <c r="W194" s="199"/>
      <c r="X194" s="285"/>
      <c r="Y194" s="285"/>
      <c r="Z194" s="286"/>
      <c r="AA194" s="669" t="s">
        <v>6410</v>
      </c>
      <c r="AB194" s="666"/>
      <c r="AC194" s="666"/>
      <c r="AD194" s="666"/>
      <c r="AE194" s="290"/>
      <c r="AF194" s="248"/>
      <c r="AG194" s="130"/>
      <c r="AR194" s="129"/>
      <c r="AT194" s="129"/>
      <c r="AU194" s="129"/>
      <c r="AY194" s="13"/>
      <c r="BE194" s="130"/>
      <c r="BF194" s="130"/>
      <c r="BG194" s="130"/>
      <c r="BH194" s="130"/>
      <c r="BI194" s="130"/>
      <c r="BJ194" s="13"/>
      <c r="BK194" s="130"/>
      <c r="BL194" s="13"/>
      <c r="BM194" s="129"/>
    </row>
    <row r="195" spans="2:65" s="660" customFormat="1" ht="26.55" customHeight="1" x14ac:dyDescent="0.2">
      <c r="B195" s="118"/>
      <c r="C195" s="1234" t="s">
        <v>5205</v>
      </c>
      <c r="D195" s="1235"/>
      <c r="E195" s="1235"/>
      <c r="F195" s="1235"/>
      <c r="G195" s="1235"/>
      <c r="H195" s="1235"/>
      <c r="I195" s="1235"/>
      <c r="J195" s="1236"/>
      <c r="K195" s="222"/>
      <c r="L195" s="24"/>
      <c r="M195" s="662"/>
      <c r="N195" s="126"/>
      <c r="O195" s="127"/>
      <c r="P195" s="127"/>
      <c r="Q195" s="127"/>
      <c r="R195" s="127"/>
      <c r="S195" s="127"/>
      <c r="T195" s="127"/>
      <c r="W195" s="199"/>
      <c r="X195" s="207" t="s">
        <v>6413</v>
      </c>
      <c r="Y195" s="207" t="s">
        <v>231</v>
      </c>
      <c r="Z195" s="208" t="s">
        <v>6406</v>
      </c>
      <c r="AA195" s="209" t="s">
        <v>6373</v>
      </c>
      <c r="AB195" s="210" t="s">
        <v>1194</v>
      </c>
      <c r="AC195" s="211">
        <v>1</v>
      </c>
      <c r="AD195" s="212">
        <v>379.48</v>
      </c>
      <c r="AE195" s="214">
        <f t="shared" ref="AE195" si="32">ROUND(AD195*AC195,2)</f>
        <v>379.48</v>
      </c>
      <c r="AF195" s="248" t="s">
        <v>6371</v>
      </c>
      <c r="AG195" s="130"/>
      <c r="AR195" s="129"/>
      <c r="AT195" s="129"/>
      <c r="AU195" s="129"/>
      <c r="AY195" s="13"/>
      <c r="BE195" s="130"/>
      <c r="BF195" s="130"/>
      <c r="BG195" s="130"/>
      <c r="BH195" s="130"/>
      <c r="BI195" s="130"/>
      <c r="BJ195" s="13"/>
      <c r="BK195" s="130"/>
      <c r="BL195" s="13"/>
      <c r="BM195" s="129"/>
    </row>
    <row r="196" spans="2:65" s="660" customFormat="1" ht="120" customHeight="1" x14ac:dyDescent="0.2">
      <c r="B196" s="118"/>
      <c r="C196" s="254"/>
      <c r="D196" s="254"/>
      <c r="E196" s="255"/>
      <c r="F196" s="222"/>
      <c r="G196" s="256"/>
      <c r="H196" s="257"/>
      <c r="I196" s="258"/>
      <c r="J196" s="258"/>
      <c r="K196" s="222"/>
      <c r="L196" s="24"/>
      <c r="M196" s="662"/>
      <c r="N196" s="126"/>
      <c r="O196" s="127"/>
      <c r="P196" s="127"/>
      <c r="Q196" s="127"/>
      <c r="R196" s="127"/>
      <c r="S196" s="127"/>
      <c r="T196" s="127"/>
      <c r="W196" s="199"/>
      <c r="X196" s="285"/>
      <c r="Y196" s="285"/>
      <c r="Z196" s="286"/>
      <c r="AA196" s="669" t="s">
        <v>6382</v>
      </c>
      <c r="AB196" s="666"/>
      <c r="AC196" s="666"/>
      <c r="AD196" s="666"/>
      <c r="AE196" s="290"/>
      <c r="AF196" s="248"/>
      <c r="AG196" s="130"/>
      <c r="AR196" s="129"/>
      <c r="AT196" s="129"/>
      <c r="AU196" s="129"/>
      <c r="AY196" s="13"/>
      <c r="BE196" s="130"/>
      <c r="BF196" s="130"/>
      <c r="BG196" s="130"/>
      <c r="BH196" s="130"/>
      <c r="BI196" s="130"/>
      <c r="BJ196" s="13"/>
      <c r="BK196" s="130"/>
      <c r="BL196" s="13"/>
      <c r="BM196" s="129"/>
    </row>
    <row r="197" spans="2:65" s="660" customFormat="1" ht="28.95" customHeight="1" x14ac:dyDescent="0.2">
      <c r="B197" s="118"/>
      <c r="C197" s="1234" t="s">
        <v>5205</v>
      </c>
      <c r="D197" s="1235"/>
      <c r="E197" s="1235"/>
      <c r="F197" s="1235"/>
      <c r="G197" s="1235"/>
      <c r="H197" s="1235"/>
      <c r="I197" s="1235"/>
      <c r="J197" s="1236"/>
      <c r="K197" s="222"/>
      <c r="L197" s="24"/>
      <c r="M197" s="662"/>
      <c r="N197" s="126"/>
      <c r="O197" s="127"/>
      <c r="P197" s="127"/>
      <c r="Q197" s="127"/>
      <c r="R197" s="127"/>
      <c r="S197" s="127"/>
      <c r="T197" s="127"/>
      <c r="W197" s="199"/>
      <c r="X197" s="207" t="s">
        <v>6414</v>
      </c>
      <c r="Y197" s="207" t="s">
        <v>231</v>
      </c>
      <c r="Z197" s="208" t="s">
        <v>6407</v>
      </c>
      <c r="AA197" s="209" t="s">
        <v>6401</v>
      </c>
      <c r="AB197" s="210" t="s">
        <v>1194</v>
      </c>
      <c r="AC197" s="211">
        <v>1</v>
      </c>
      <c r="AD197" s="212">
        <v>305.51</v>
      </c>
      <c r="AE197" s="214">
        <f t="shared" ref="AE197" si="33">ROUND(AD197*AC197,2)</f>
        <v>305.51</v>
      </c>
      <c r="AF197" s="248" t="s">
        <v>6371</v>
      </c>
      <c r="AG197" s="130"/>
      <c r="AR197" s="129"/>
      <c r="AT197" s="129"/>
      <c r="AU197" s="129"/>
      <c r="AY197" s="13"/>
      <c r="BE197" s="130"/>
      <c r="BF197" s="130"/>
      <c r="BG197" s="130"/>
      <c r="BH197" s="130"/>
      <c r="BI197" s="130"/>
      <c r="BJ197" s="13"/>
      <c r="BK197" s="130"/>
      <c r="BL197" s="13"/>
      <c r="BM197" s="129"/>
    </row>
    <row r="198" spans="2:65" s="660" customFormat="1" ht="111" customHeight="1" x14ac:dyDescent="0.2">
      <c r="B198" s="118"/>
      <c r="C198" s="254"/>
      <c r="D198" s="254"/>
      <c r="E198" s="255"/>
      <c r="F198" s="222"/>
      <c r="G198" s="256"/>
      <c r="H198" s="257"/>
      <c r="I198" s="258"/>
      <c r="J198" s="258"/>
      <c r="K198" s="222"/>
      <c r="L198" s="24"/>
      <c r="M198" s="662"/>
      <c r="N198" s="126"/>
      <c r="O198" s="127"/>
      <c r="P198" s="127"/>
      <c r="Q198" s="127"/>
      <c r="R198" s="127"/>
      <c r="S198" s="127"/>
      <c r="T198" s="127"/>
      <c r="W198" s="199"/>
      <c r="X198" s="285"/>
      <c r="Y198" s="285"/>
      <c r="Z198" s="286"/>
      <c r="AA198" s="669" t="s">
        <v>6411</v>
      </c>
      <c r="AB198" s="666"/>
      <c r="AC198" s="666"/>
      <c r="AD198" s="666"/>
      <c r="AE198" s="290"/>
      <c r="AF198" s="248"/>
      <c r="AG198" s="130"/>
      <c r="AR198" s="129"/>
      <c r="AT198" s="129"/>
      <c r="AU198" s="129"/>
      <c r="AY198" s="13"/>
      <c r="BE198" s="130"/>
      <c r="BF198" s="130"/>
      <c r="BG198" s="130"/>
      <c r="BH198" s="130"/>
      <c r="BI198" s="130"/>
      <c r="BJ198" s="13"/>
      <c r="BK198" s="130"/>
      <c r="BL198" s="13"/>
      <c r="BM198" s="129"/>
    </row>
    <row r="199" spans="2:65" s="660" customFormat="1" ht="28.95" customHeight="1" x14ac:dyDescent="0.2">
      <c r="B199" s="118"/>
      <c r="C199" s="1234" t="s">
        <v>5205</v>
      </c>
      <c r="D199" s="1235"/>
      <c r="E199" s="1235"/>
      <c r="F199" s="1235"/>
      <c r="G199" s="1235"/>
      <c r="H199" s="1235"/>
      <c r="I199" s="1235"/>
      <c r="J199" s="1236"/>
      <c r="K199" s="222"/>
      <c r="L199" s="24"/>
      <c r="M199" s="662"/>
      <c r="N199" s="126"/>
      <c r="O199" s="127"/>
      <c r="P199" s="127"/>
      <c r="Q199" s="127"/>
      <c r="R199" s="127"/>
      <c r="S199" s="127"/>
      <c r="T199" s="127"/>
      <c r="W199" s="199"/>
      <c r="X199" s="207" t="s">
        <v>6415</v>
      </c>
      <c r="Y199" s="207" t="s">
        <v>231</v>
      </c>
      <c r="Z199" s="208" t="s">
        <v>6408</v>
      </c>
      <c r="AA199" s="209" t="s">
        <v>6376</v>
      </c>
      <c r="AB199" s="210" t="s">
        <v>1194</v>
      </c>
      <c r="AC199" s="211">
        <v>2</v>
      </c>
      <c r="AD199" s="212">
        <v>305.51</v>
      </c>
      <c r="AE199" s="214">
        <f t="shared" ref="AE199" si="34">ROUND(AD199*AC199,2)</f>
        <v>611.02</v>
      </c>
      <c r="AF199" s="248" t="s">
        <v>6371</v>
      </c>
      <c r="AG199" s="130"/>
      <c r="AR199" s="129"/>
      <c r="AT199" s="129"/>
      <c r="AU199" s="129"/>
      <c r="AY199" s="13"/>
      <c r="BE199" s="130"/>
      <c r="BF199" s="130"/>
      <c r="BG199" s="130"/>
      <c r="BH199" s="130"/>
      <c r="BI199" s="130"/>
      <c r="BJ199" s="13"/>
      <c r="BK199" s="130"/>
      <c r="BL199" s="13"/>
      <c r="BM199" s="129"/>
    </row>
    <row r="200" spans="2:65" s="660" customFormat="1" ht="111" customHeight="1" x14ac:dyDescent="0.2">
      <c r="B200" s="118"/>
      <c r="C200" s="254"/>
      <c r="D200" s="254"/>
      <c r="E200" s="255"/>
      <c r="F200" s="222"/>
      <c r="G200" s="256"/>
      <c r="H200" s="257"/>
      <c r="I200" s="258"/>
      <c r="J200" s="258"/>
      <c r="K200" s="222"/>
      <c r="L200" s="24"/>
      <c r="M200" s="662"/>
      <c r="N200" s="126"/>
      <c r="O200" s="127"/>
      <c r="P200" s="127"/>
      <c r="Q200" s="127"/>
      <c r="R200" s="127"/>
      <c r="S200" s="127"/>
      <c r="T200" s="127"/>
      <c r="W200" s="199"/>
      <c r="X200" s="285"/>
      <c r="Y200" s="285"/>
      <c r="Z200" s="286"/>
      <c r="AA200" s="669" t="s">
        <v>6377</v>
      </c>
      <c r="AB200" s="666"/>
      <c r="AC200" s="666"/>
      <c r="AD200" s="666"/>
      <c r="AE200" s="290"/>
      <c r="AF200" s="248"/>
      <c r="AG200" s="130"/>
      <c r="AR200" s="129"/>
      <c r="AT200" s="129"/>
      <c r="AU200" s="129"/>
      <c r="AY200" s="13"/>
      <c r="BE200" s="130"/>
      <c r="BF200" s="130"/>
      <c r="BG200" s="130"/>
      <c r="BH200" s="130"/>
      <c r="BI200" s="130"/>
      <c r="BJ200" s="13"/>
      <c r="BK200" s="130"/>
      <c r="BL200" s="13"/>
      <c r="BM200" s="129"/>
    </row>
    <row r="201" spans="2:65" s="1" customFormat="1" ht="7.05" customHeight="1" x14ac:dyDescent="0.2">
      <c r="B201" s="33"/>
      <c r="C201" s="34"/>
      <c r="D201" s="34"/>
      <c r="E201" s="34"/>
      <c r="F201" s="34"/>
      <c r="G201" s="34"/>
      <c r="H201" s="34"/>
      <c r="I201" s="34"/>
      <c r="J201" s="34"/>
      <c r="K201" s="34"/>
      <c r="L201" s="24"/>
      <c r="W201" s="175"/>
      <c r="X201" s="176"/>
      <c r="Y201" s="176"/>
      <c r="Z201" s="176"/>
      <c r="AA201" s="176"/>
      <c r="AB201" s="176"/>
      <c r="AC201" s="176"/>
      <c r="AD201" s="176"/>
      <c r="AE201" s="177"/>
    </row>
  </sheetData>
  <autoFilter ref="C120:K178" xr:uid="{00000000-0009-0000-0000-000025000000}"/>
  <mergeCells count="41">
    <mergeCell ref="L2:V2"/>
    <mergeCell ref="E9:H9"/>
    <mergeCell ref="E18:H18"/>
    <mergeCell ref="E27:H27"/>
    <mergeCell ref="E85:H85"/>
    <mergeCell ref="B4:J4"/>
    <mergeCell ref="F6:J7"/>
    <mergeCell ref="C82:J82"/>
    <mergeCell ref="E84:J84"/>
    <mergeCell ref="W4:AE4"/>
    <mergeCell ref="AA6:AE7"/>
    <mergeCell ref="Z9:AC9"/>
    <mergeCell ref="Z18:AC18"/>
    <mergeCell ref="Z27:AC27"/>
    <mergeCell ref="Z110:AE110"/>
    <mergeCell ref="Z111:AC111"/>
    <mergeCell ref="Z113:AC113"/>
    <mergeCell ref="C151:J151"/>
    <mergeCell ref="X82:AE82"/>
    <mergeCell ref="Z84:AE84"/>
    <mergeCell ref="Z85:AC85"/>
    <mergeCell ref="Z87:AC87"/>
    <mergeCell ref="X108:AE108"/>
    <mergeCell ref="E87:H87"/>
    <mergeCell ref="E111:H111"/>
    <mergeCell ref="E113:H113"/>
    <mergeCell ref="C108:J108"/>
    <mergeCell ref="E110:J110"/>
    <mergeCell ref="C146:J146"/>
    <mergeCell ref="C153:J153"/>
    <mergeCell ref="C179:J179"/>
    <mergeCell ref="C181:J181"/>
    <mergeCell ref="C183:J183"/>
    <mergeCell ref="C185:J185"/>
    <mergeCell ref="C197:J197"/>
    <mergeCell ref="C199:J199"/>
    <mergeCell ref="C187:J187"/>
    <mergeCell ref="C189:J189"/>
    <mergeCell ref="C191:J191"/>
    <mergeCell ref="C193:J193"/>
    <mergeCell ref="C195:J195"/>
  </mergeCells>
  <pageMargins left="0.39374999999999999" right="0.39374999999999999" top="0.39374999999999999" bottom="0.39374999999999999" header="0" footer="0"/>
  <pageSetup paperSize="9" scale="89" fitToHeight="100" orientation="portrait" blackAndWhite="1" r:id="rId1"/>
  <headerFooter>
    <oddFooter>&amp;CStrana &amp;P z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BM121"/>
  <sheetViews>
    <sheetView showGridLines="0" topLeftCell="J104" workbookViewId="0">
      <selection activeCell="F91" sqref="F91:F92"/>
    </sheetView>
  </sheetViews>
  <sheetFormatPr defaultColWidth="8.7109375" defaultRowHeight="10.199999999999999" x14ac:dyDescent="0.2"/>
  <cols>
    <col min="1" max="1" width="8.28515625" customWidth="1"/>
    <col min="2" max="2" width="1.7109375" customWidth="1"/>
    <col min="3" max="4" width="4.28515625" customWidth="1"/>
    <col min="5" max="5" width="17.28515625" customWidth="1"/>
    <col min="6" max="6" width="50.7109375" customWidth="1"/>
    <col min="7" max="7" width="7" customWidth="1"/>
    <col min="8" max="8" width="11.42578125" customWidth="1"/>
    <col min="9" max="10" width="20.28515625" customWidth="1"/>
    <col min="11" max="11" width="20.28515625" hidden="1" customWidth="1"/>
    <col min="12" max="12" width="9.28515625" customWidth="1"/>
    <col min="13" max="13" width="10.7109375" hidden="1" customWidth="1"/>
    <col min="14" max="14" width="9.28515625" hidden="1"/>
    <col min="15" max="20" width="14.28515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1" spans="1:46" x14ac:dyDescent="0.2">
      <c r="A1" s="73"/>
    </row>
    <row r="2" spans="1:46" ht="37.049999999999997" customHeight="1" x14ac:dyDescent="0.2">
      <c r="L2" s="1227" t="s">
        <v>5</v>
      </c>
      <c r="M2" s="1225"/>
      <c r="N2" s="1225"/>
      <c r="O2" s="1225"/>
      <c r="P2" s="1225"/>
      <c r="Q2" s="1225"/>
      <c r="R2" s="1225"/>
      <c r="S2" s="1225"/>
      <c r="T2" s="1225"/>
      <c r="U2" s="1225"/>
      <c r="V2" s="1225"/>
      <c r="AT2" s="13" t="s">
        <v>172</v>
      </c>
    </row>
    <row r="3" spans="1:46" ht="7.05" customHeight="1" x14ac:dyDescent="0.2">
      <c r="B3" s="14"/>
      <c r="C3" s="15"/>
      <c r="D3" s="15"/>
      <c r="E3" s="15"/>
      <c r="F3" s="15"/>
      <c r="G3" s="15"/>
      <c r="H3" s="15"/>
      <c r="I3" s="15"/>
      <c r="J3" s="15"/>
      <c r="K3" s="15"/>
      <c r="L3" s="16"/>
      <c r="AT3" s="13" t="s">
        <v>58</v>
      </c>
    </row>
    <row r="4" spans="1:46" ht="25.05" customHeight="1" x14ac:dyDescent="0.2">
      <c r="B4" s="16"/>
      <c r="C4" s="1165" t="s">
        <v>185</v>
      </c>
      <c r="D4" s="1165"/>
      <c r="E4" s="1165"/>
      <c r="F4" s="1165"/>
      <c r="G4" s="1165"/>
      <c r="H4" s="1165"/>
      <c r="I4" s="1165"/>
      <c r="J4" s="1165"/>
      <c r="L4" s="16"/>
      <c r="M4" s="74" t="s">
        <v>9</v>
      </c>
      <c r="AT4" s="13" t="s">
        <v>3</v>
      </c>
    </row>
    <row r="5" spans="1:46" ht="7.05" customHeight="1" x14ac:dyDescent="0.2">
      <c r="B5" s="16"/>
      <c r="L5" s="16"/>
    </row>
    <row r="6" spans="1:46" ht="12" customHeight="1" x14ac:dyDescent="0.2">
      <c r="B6" s="16"/>
      <c r="D6" s="548" t="s">
        <v>12</v>
      </c>
      <c r="F6" s="1254" t="s">
        <v>6176</v>
      </c>
      <c r="G6" s="1254"/>
      <c r="H6" s="1254"/>
      <c r="I6" s="1254"/>
      <c r="J6" s="1254"/>
      <c r="L6" s="16"/>
    </row>
    <row r="7" spans="1:46" ht="24" customHeight="1" x14ac:dyDescent="0.2">
      <c r="B7" s="16"/>
      <c r="D7" s="527"/>
      <c r="E7" s="531"/>
      <c r="F7" s="1254"/>
      <c r="G7" s="1254"/>
      <c r="H7" s="1254"/>
      <c r="I7" s="1254"/>
      <c r="J7" s="1254"/>
      <c r="L7" s="16"/>
    </row>
    <row r="8" spans="1:46" s="1" customFormat="1" ht="12" customHeight="1" x14ac:dyDescent="0.2">
      <c r="B8" s="24"/>
      <c r="D8" s="549" t="s">
        <v>186</v>
      </c>
      <c r="F8" s="532" t="s">
        <v>4659</v>
      </c>
      <c r="L8" s="24"/>
    </row>
    <row r="9" spans="1:46" s="1" customFormat="1" ht="37.049999999999997" customHeight="1" x14ac:dyDescent="0.2">
      <c r="B9" s="24"/>
      <c r="D9" s="521"/>
      <c r="E9" s="1251"/>
      <c r="F9" s="1252"/>
      <c r="G9" s="1252"/>
      <c r="H9" s="1252"/>
      <c r="L9" s="24"/>
    </row>
    <row r="10" spans="1:46" s="1" customFormat="1" x14ac:dyDescent="0.2">
      <c r="B10" s="24"/>
      <c r="D10" s="521"/>
      <c r="L10" s="24"/>
    </row>
    <row r="11" spans="1:46" s="1" customFormat="1" ht="12" customHeight="1" x14ac:dyDescent="0.2">
      <c r="B11" s="24"/>
      <c r="D11" s="528" t="s">
        <v>13</v>
      </c>
      <c r="F11" s="19" t="s">
        <v>1</v>
      </c>
      <c r="I11" s="528" t="s">
        <v>14</v>
      </c>
      <c r="J11" s="19" t="s">
        <v>1</v>
      </c>
      <c r="L11" s="24"/>
    </row>
    <row r="12" spans="1:46" s="1" customFormat="1" ht="12" customHeight="1" x14ac:dyDescent="0.2">
      <c r="B12" s="24"/>
      <c r="D12" s="528" t="s">
        <v>15</v>
      </c>
      <c r="F12" s="520" t="s">
        <v>6173</v>
      </c>
      <c r="I12" s="528" t="s">
        <v>17</v>
      </c>
      <c r="J12" s="39"/>
      <c r="L12" s="24"/>
    </row>
    <row r="13" spans="1:46" s="1" customFormat="1" ht="10.95" customHeight="1" x14ac:dyDescent="0.2">
      <c r="B13" s="24"/>
      <c r="D13" s="521"/>
      <c r="F13" s="521"/>
      <c r="I13" s="521"/>
      <c r="L13" s="24"/>
    </row>
    <row r="14" spans="1:46" s="1" customFormat="1" ht="12" customHeight="1" x14ac:dyDescent="0.2">
      <c r="B14" s="24"/>
      <c r="D14" s="528" t="s">
        <v>18</v>
      </c>
      <c r="F14" s="529" t="s">
        <v>6175</v>
      </c>
      <c r="I14" s="528" t="s">
        <v>19</v>
      </c>
      <c r="J14" s="19" t="str">
        <f>IF('Rekapitulácia stavby'!AN10="","",'Rekapitulácia stavby'!AN10)</f>
        <v/>
      </c>
      <c r="L14" s="24"/>
    </row>
    <row r="15" spans="1:46" s="1" customFormat="1" ht="18" customHeight="1" x14ac:dyDescent="0.2">
      <c r="B15" s="24"/>
      <c r="D15" s="521"/>
      <c r="E15" s="19" t="str">
        <f>IF('Rekapitulácia stavby'!E11="","",'Rekapitulácia stavby'!E11)</f>
        <v/>
      </c>
      <c r="F15" s="521"/>
      <c r="I15" s="528" t="s">
        <v>20</v>
      </c>
      <c r="J15" s="19" t="str">
        <f>IF('Rekapitulácia stavby'!AN11="","",'Rekapitulácia stavby'!AN11)</f>
        <v/>
      </c>
      <c r="L15" s="24"/>
    </row>
    <row r="16" spans="1:46" s="1" customFormat="1" ht="7.05" customHeight="1" x14ac:dyDescent="0.2">
      <c r="B16" s="24"/>
      <c r="D16" s="521"/>
      <c r="F16" s="521"/>
      <c r="I16" s="521"/>
      <c r="L16" s="24"/>
    </row>
    <row r="17" spans="2:12" s="1" customFormat="1" ht="12" customHeight="1" x14ac:dyDescent="0.2">
      <c r="B17" s="24"/>
      <c r="D17" s="528" t="s">
        <v>21</v>
      </c>
      <c r="F17" s="529" t="s">
        <v>5202</v>
      </c>
      <c r="I17" s="528" t="s">
        <v>19</v>
      </c>
      <c r="J17" s="19"/>
      <c r="L17" s="24"/>
    </row>
    <row r="18" spans="2:12" s="1" customFormat="1" ht="18" customHeight="1" x14ac:dyDescent="0.2">
      <c r="B18" s="24"/>
      <c r="D18" s="521"/>
      <c r="E18" s="1161"/>
      <c r="F18" s="1161"/>
      <c r="G18" s="1161"/>
      <c r="H18" s="1161"/>
      <c r="I18" s="528" t="s">
        <v>20</v>
      </c>
      <c r="J18" s="19" t="str">
        <f>'Rekapitulácia stavby'!AN14</f>
        <v/>
      </c>
      <c r="L18" s="24"/>
    </row>
    <row r="19" spans="2:12" s="1" customFormat="1" ht="7.05" customHeight="1" x14ac:dyDescent="0.2">
      <c r="B19" s="24"/>
      <c r="D19" s="521"/>
      <c r="I19" s="521"/>
      <c r="L19" s="24"/>
    </row>
    <row r="20" spans="2:12" s="1" customFormat="1" ht="12" customHeight="1" x14ac:dyDescent="0.2">
      <c r="B20" s="24"/>
      <c r="D20" s="528" t="s">
        <v>22</v>
      </c>
      <c r="I20" s="528" t="s">
        <v>19</v>
      </c>
      <c r="J20" s="19" t="str">
        <f>IF('Rekapitulácia stavby'!AN16="","",'Rekapitulácia stavby'!AN16)</f>
        <v/>
      </c>
      <c r="L20" s="24"/>
    </row>
    <row r="21" spans="2:12" s="1" customFormat="1" ht="18" customHeight="1" x14ac:dyDescent="0.2">
      <c r="B21" s="24"/>
      <c r="D21" s="521"/>
      <c r="E21" s="19" t="str">
        <f>IF('Rekapitulácia stavby'!E17="","",'Rekapitulácia stavby'!E17)</f>
        <v xml:space="preserve"> </v>
      </c>
      <c r="I21" s="528" t="s">
        <v>20</v>
      </c>
      <c r="J21" s="19" t="str">
        <f>IF('Rekapitulácia stavby'!AN17="","",'Rekapitulácia stavby'!AN17)</f>
        <v/>
      </c>
      <c r="L21" s="24"/>
    </row>
    <row r="22" spans="2:12" s="1" customFormat="1" ht="7.05" customHeight="1" x14ac:dyDescent="0.2">
      <c r="B22" s="24"/>
      <c r="D22" s="521"/>
      <c r="I22" s="521"/>
      <c r="L22" s="24"/>
    </row>
    <row r="23" spans="2:12" s="1" customFormat="1" ht="12" customHeight="1" x14ac:dyDescent="0.2">
      <c r="B23" s="24"/>
      <c r="D23" s="528" t="s">
        <v>24</v>
      </c>
      <c r="I23" s="528" t="s">
        <v>19</v>
      </c>
      <c r="J23" s="19" t="str">
        <f>IF('Rekapitulácia stavby'!AN19="","",'Rekapitulácia stavby'!AN19)</f>
        <v/>
      </c>
      <c r="L23" s="24"/>
    </row>
    <row r="24" spans="2:12" s="1" customFormat="1" ht="18" customHeight="1" x14ac:dyDescent="0.2">
      <c r="B24" s="24"/>
      <c r="D24" s="521"/>
      <c r="E24" s="19" t="str">
        <f>IF('Rekapitulácia stavby'!E20="","",'Rekapitulácia stavby'!E20)</f>
        <v xml:space="preserve"> </v>
      </c>
      <c r="I24" s="528" t="s">
        <v>20</v>
      </c>
      <c r="J24" s="19" t="str">
        <f>IF('Rekapitulácia stavby'!AN20="","",'Rekapitulácia stavby'!AN20)</f>
        <v/>
      </c>
      <c r="L24" s="24"/>
    </row>
    <row r="25" spans="2:12" s="1" customFormat="1" ht="7.05" customHeight="1" x14ac:dyDescent="0.2">
      <c r="B25" s="24"/>
      <c r="D25" s="521"/>
      <c r="L25" s="24"/>
    </row>
    <row r="26" spans="2:12" s="1" customFormat="1" ht="12" customHeight="1" x14ac:dyDescent="0.2">
      <c r="B26" s="24"/>
      <c r="D26" s="528" t="s">
        <v>25</v>
      </c>
      <c r="L26" s="24"/>
    </row>
    <row r="27" spans="2:12" s="7" customFormat="1" ht="16.5" customHeight="1" x14ac:dyDescent="0.2">
      <c r="B27" s="75"/>
      <c r="E27" s="1228" t="s">
        <v>1</v>
      </c>
      <c r="F27" s="1228"/>
      <c r="G27" s="1228"/>
      <c r="H27" s="1228"/>
      <c r="L27" s="75"/>
    </row>
    <row r="28" spans="2:12" s="1" customFormat="1" ht="7.05" customHeight="1" x14ac:dyDescent="0.2">
      <c r="B28" s="24"/>
      <c r="L28" s="24"/>
    </row>
    <row r="29" spans="2:12" s="1" customFormat="1" ht="7.05" customHeight="1" x14ac:dyDescent="0.2">
      <c r="B29" s="24"/>
      <c r="D29" s="40"/>
      <c r="E29" s="40"/>
      <c r="F29" s="40"/>
      <c r="G29" s="40"/>
      <c r="H29" s="40"/>
      <c r="I29" s="40"/>
      <c r="J29" s="40"/>
      <c r="K29" s="40"/>
      <c r="L29" s="24"/>
    </row>
    <row r="30" spans="2:12" s="1" customFormat="1" ht="25.2" customHeight="1" x14ac:dyDescent="0.2">
      <c r="B30" s="24"/>
      <c r="D30" s="76" t="s">
        <v>26</v>
      </c>
      <c r="J30" s="53">
        <f>ROUND(J117, 2)</f>
        <v>20312.86</v>
      </c>
      <c r="L30" s="24"/>
    </row>
    <row r="31" spans="2:12" s="1" customFormat="1" ht="7.05" customHeight="1" x14ac:dyDescent="0.2">
      <c r="B31" s="24"/>
      <c r="D31" s="40"/>
      <c r="E31" s="40"/>
      <c r="F31" s="40"/>
      <c r="G31" s="40"/>
      <c r="H31" s="40"/>
      <c r="I31" s="40"/>
      <c r="J31" s="40"/>
      <c r="K31" s="40"/>
      <c r="L31" s="24"/>
    </row>
    <row r="32" spans="2:12" s="1" customFormat="1" ht="14.55" customHeight="1" x14ac:dyDescent="0.2">
      <c r="B32" s="24"/>
      <c r="D32" s="521"/>
      <c r="E32" s="521"/>
      <c r="F32" s="534" t="s">
        <v>28</v>
      </c>
      <c r="G32" s="521"/>
      <c r="H32" s="521"/>
      <c r="I32" s="534" t="s">
        <v>27</v>
      </c>
      <c r="J32" s="534" t="s">
        <v>29</v>
      </c>
      <c r="L32" s="24"/>
    </row>
    <row r="33" spans="2:12" s="1" customFormat="1" ht="14.55" customHeight="1" x14ac:dyDescent="0.2">
      <c r="B33" s="24"/>
      <c r="D33" s="13" t="s">
        <v>30</v>
      </c>
      <c r="E33" s="528" t="s">
        <v>31</v>
      </c>
      <c r="F33" s="398">
        <f>ROUND((SUM(BE117:BE120)),  2)</f>
        <v>0</v>
      </c>
      <c r="G33" s="521"/>
      <c r="H33" s="521"/>
      <c r="I33" s="535">
        <v>0.2</v>
      </c>
      <c r="J33" s="398">
        <f>ROUND(((SUM(BE117:BE120))*I33),  2)</f>
        <v>0</v>
      </c>
      <c r="L33" s="24"/>
    </row>
    <row r="34" spans="2:12" s="1" customFormat="1" ht="14.55" customHeight="1" x14ac:dyDescent="0.2">
      <c r="B34" s="24"/>
      <c r="D34" s="521"/>
      <c r="E34" s="528" t="s">
        <v>32</v>
      </c>
      <c r="F34" s="398">
        <f>ROUND((SUM(BF117:BF120)),  2)</f>
        <v>20312.86</v>
      </c>
      <c r="G34" s="521"/>
      <c r="H34" s="521"/>
      <c r="I34" s="535">
        <v>0.2</v>
      </c>
      <c r="J34" s="398">
        <f>ROUND(((SUM(BF117:BF120))*I34),  2)</f>
        <v>4062.57</v>
      </c>
      <c r="L34" s="24"/>
    </row>
    <row r="35" spans="2:12" s="1" customFormat="1" ht="14.55" hidden="1" customHeight="1" x14ac:dyDescent="0.2">
      <c r="B35" s="24"/>
      <c r="E35" s="21" t="s">
        <v>33</v>
      </c>
      <c r="F35" s="78">
        <f>ROUND((SUM(BG117:BG120)),  2)</f>
        <v>0</v>
      </c>
      <c r="I35" s="79">
        <v>0.2</v>
      </c>
      <c r="J35" s="78">
        <f>0</f>
        <v>0</v>
      </c>
      <c r="L35" s="24"/>
    </row>
    <row r="36" spans="2:12" s="1" customFormat="1" ht="14.55" hidden="1" customHeight="1" x14ac:dyDescent="0.2">
      <c r="B36" s="24"/>
      <c r="E36" s="21" t="s">
        <v>34</v>
      </c>
      <c r="F36" s="78">
        <f>ROUND((SUM(BH117:BH120)),  2)</f>
        <v>0</v>
      </c>
      <c r="I36" s="79">
        <v>0.2</v>
      </c>
      <c r="J36" s="78">
        <f>0</f>
        <v>0</v>
      </c>
      <c r="L36" s="24"/>
    </row>
    <row r="37" spans="2:12" s="1" customFormat="1" ht="14.55" hidden="1" customHeight="1" x14ac:dyDescent="0.2">
      <c r="B37" s="24"/>
      <c r="E37" s="21" t="s">
        <v>35</v>
      </c>
      <c r="F37" s="78">
        <f>ROUND((SUM(BI117:BI120)),  2)</f>
        <v>0</v>
      </c>
      <c r="I37" s="79">
        <v>0</v>
      </c>
      <c r="J37" s="78">
        <f>0</f>
        <v>0</v>
      </c>
      <c r="L37" s="24"/>
    </row>
    <row r="38" spans="2:12" s="1" customFormat="1" ht="7.05" customHeight="1" x14ac:dyDescent="0.2">
      <c r="B38" s="24"/>
      <c r="L38" s="24"/>
    </row>
    <row r="39" spans="2:12" s="1" customFormat="1" ht="25.2" customHeight="1" x14ac:dyDescent="0.2">
      <c r="B39" s="24"/>
      <c r="C39" s="80"/>
      <c r="D39" s="81" t="s">
        <v>36</v>
      </c>
      <c r="E39" s="44"/>
      <c r="F39" s="44"/>
      <c r="G39" s="82" t="s">
        <v>37</v>
      </c>
      <c r="H39" s="83" t="s">
        <v>38</v>
      </c>
      <c r="I39" s="44"/>
      <c r="J39" s="84">
        <f>SUM(J30:J37)</f>
        <v>24375.43</v>
      </c>
      <c r="K39" s="85"/>
      <c r="L39" s="24"/>
    </row>
    <row r="40" spans="2:12" s="1" customFormat="1" ht="14.55" customHeight="1" x14ac:dyDescent="0.2">
      <c r="B40" s="24"/>
      <c r="L40" s="24"/>
    </row>
    <row r="41" spans="2:12" ht="14.55" customHeight="1" x14ac:dyDescent="0.2">
      <c r="B41" s="16"/>
      <c r="L41" s="16"/>
    </row>
    <row r="42" spans="2:12" ht="14.55" customHeight="1" x14ac:dyDescent="0.2">
      <c r="B42" s="16"/>
      <c r="L42" s="16"/>
    </row>
    <row r="43" spans="2:12" ht="14.55" customHeight="1" x14ac:dyDescent="0.2">
      <c r="B43" s="16"/>
      <c r="L43" s="16"/>
    </row>
    <row r="44" spans="2:12" ht="14.55" customHeight="1" x14ac:dyDescent="0.2">
      <c r="B44" s="16"/>
      <c r="L44" s="16"/>
    </row>
    <row r="45" spans="2:12" ht="14.55" customHeight="1" x14ac:dyDescent="0.2">
      <c r="B45" s="16"/>
      <c r="L45" s="16"/>
    </row>
    <row r="46" spans="2:12" ht="14.55" customHeight="1" x14ac:dyDescent="0.2">
      <c r="B46" s="16"/>
      <c r="L46" s="16"/>
    </row>
    <row r="47" spans="2:12" ht="14.55" customHeight="1" x14ac:dyDescent="0.2">
      <c r="B47" s="16"/>
      <c r="L47" s="16"/>
    </row>
    <row r="48" spans="2:12" ht="14.55" customHeight="1" x14ac:dyDescent="0.2">
      <c r="B48" s="16"/>
      <c r="L48" s="16"/>
    </row>
    <row r="49" spans="2:12" ht="14.55" customHeight="1" x14ac:dyDescent="0.2">
      <c r="B49" s="16"/>
      <c r="D49" s="156"/>
      <c r="E49" s="156"/>
      <c r="F49" s="156"/>
      <c r="G49" s="156"/>
      <c r="H49" s="156"/>
      <c r="I49" s="156"/>
      <c r="J49" s="156"/>
      <c r="L49" s="16"/>
    </row>
    <row r="50" spans="2:12" s="1" customFormat="1" ht="14.55" customHeight="1" x14ac:dyDescent="0.2">
      <c r="B50" s="24"/>
      <c r="D50" s="530"/>
      <c r="E50" s="523"/>
      <c r="F50" s="523"/>
      <c r="G50" s="530"/>
      <c r="H50" s="523"/>
      <c r="I50" s="523"/>
      <c r="J50" s="523"/>
      <c r="K50" s="32"/>
      <c r="L50" s="24"/>
    </row>
    <row r="51" spans="2:12" x14ac:dyDescent="0.2">
      <c r="B51" s="16"/>
      <c r="D51" s="156"/>
      <c r="E51" s="156"/>
      <c r="F51" s="156"/>
      <c r="G51" s="156"/>
      <c r="H51" s="156"/>
      <c r="I51" s="156"/>
      <c r="J51" s="156"/>
      <c r="L51" s="16"/>
    </row>
    <row r="52" spans="2:12" x14ac:dyDescent="0.2">
      <c r="B52" s="16"/>
      <c r="D52" s="156"/>
      <c r="E52" s="156"/>
      <c r="F52" s="156"/>
      <c r="G52" s="156"/>
      <c r="H52" s="156"/>
      <c r="I52" s="156"/>
      <c r="J52" s="156"/>
      <c r="L52" s="16"/>
    </row>
    <row r="53" spans="2:12" x14ac:dyDescent="0.2">
      <c r="B53" s="16"/>
      <c r="D53" s="156"/>
      <c r="E53" s="156"/>
      <c r="F53" s="156"/>
      <c r="G53" s="156"/>
      <c r="H53" s="156"/>
      <c r="I53" s="156"/>
      <c r="J53" s="156"/>
      <c r="L53" s="16"/>
    </row>
    <row r="54" spans="2:12" x14ac:dyDescent="0.2">
      <c r="B54" s="16"/>
      <c r="D54" s="156"/>
      <c r="E54" s="156"/>
      <c r="F54" s="156"/>
      <c r="G54" s="156"/>
      <c r="H54" s="156"/>
      <c r="I54" s="156"/>
      <c r="J54" s="156"/>
      <c r="L54" s="16"/>
    </row>
    <row r="55" spans="2:12" x14ac:dyDescent="0.2">
      <c r="B55" s="16"/>
      <c r="D55" s="156"/>
      <c r="E55" s="156"/>
      <c r="F55" s="156"/>
      <c r="G55" s="156"/>
      <c r="H55" s="156"/>
      <c r="I55" s="156"/>
      <c r="J55" s="156"/>
      <c r="L55" s="16"/>
    </row>
    <row r="56" spans="2:12" x14ac:dyDescent="0.2">
      <c r="B56" s="16"/>
      <c r="D56" s="156"/>
      <c r="E56" s="156"/>
      <c r="F56" s="156"/>
      <c r="G56" s="156"/>
      <c r="H56" s="156"/>
      <c r="I56" s="156"/>
      <c r="J56" s="156"/>
      <c r="L56" s="16"/>
    </row>
    <row r="57" spans="2:12" x14ac:dyDescent="0.2">
      <c r="B57" s="16"/>
      <c r="D57" s="156"/>
      <c r="E57" s="156"/>
      <c r="F57" s="156"/>
      <c r="G57" s="156"/>
      <c r="H57" s="156"/>
      <c r="I57" s="156"/>
      <c r="J57" s="156"/>
      <c r="L57" s="16"/>
    </row>
    <row r="58" spans="2:12" x14ac:dyDescent="0.2">
      <c r="B58" s="16"/>
      <c r="D58" s="156"/>
      <c r="E58" s="156"/>
      <c r="F58" s="156"/>
      <c r="G58" s="156"/>
      <c r="H58" s="156"/>
      <c r="I58" s="156"/>
      <c r="J58" s="156"/>
      <c r="L58" s="16"/>
    </row>
    <row r="59" spans="2:12" x14ac:dyDescent="0.2">
      <c r="B59" s="16"/>
      <c r="D59" s="156"/>
      <c r="E59" s="156"/>
      <c r="F59" s="156"/>
      <c r="G59" s="156"/>
      <c r="H59" s="156"/>
      <c r="I59" s="156"/>
      <c r="J59" s="156"/>
      <c r="L59" s="16"/>
    </row>
    <row r="60" spans="2:12" x14ac:dyDescent="0.2">
      <c r="B60" s="16"/>
      <c r="D60" s="156"/>
      <c r="E60" s="156"/>
      <c r="F60" s="156"/>
      <c r="G60" s="156"/>
      <c r="H60" s="156"/>
      <c r="I60" s="156"/>
      <c r="J60" s="156"/>
      <c r="L60" s="16"/>
    </row>
    <row r="61" spans="2:12" s="1" customFormat="1" ht="13.2" x14ac:dyDescent="0.2">
      <c r="B61" s="24"/>
      <c r="D61" s="522"/>
      <c r="E61" s="523"/>
      <c r="F61" s="536"/>
      <c r="G61" s="522"/>
      <c r="H61" s="523"/>
      <c r="I61" s="523"/>
      <c r="J61" s="169"/>
      <c r="K61" s="26"/>
      <c r="L61" s="24"/>
    </row>
    <row r="62" spans="2:12" x14ac:dyDescent="0.2">
      <c r="B62" s="16"/>
      <c r="D62" s="156"/>
      <c r="E62" s="156"/>
      <c r="F62" s="156"/>
      <c r="G62" s="156"/>
      <c r="H62" s="156"/>
      <c r="I62" s="156"/>
      <c r="J62" s="156"/>
      <c r="L62" s="16"/>
    </row>
    <row r="63" spans="2:12" x14ac:dyDescent="0.2">
      <c r="B63" s="16"/>
      <c r="D63" s="156"/>
      <c r="E63" s="156"/>
      <c r="F63" s="156"/>
      <c r="G63" s="156"/>
      <c r="H63" s="156"/>
      <c r="I63" s="156"/>
      <c r="J63" s="156"/>
      <c r="L63" s="16"/>
    </row>
    <row r="64" spans="2:12" x14ac:dyDescent="0.2">
      <c r="B64" s="16"/>
      <c r="D64" s="156"/>
      <c r="E64" s="156"/>
      <c r="F64" s="156"/>
      <c r="G64" s="156"/>
      <c r="H64" s="156"/>
      <c r="I64" s="156"/>
      <c r="J64" s="156"/>
      <c r="L64" s="16"/>
    </row>
    <row r="65" spans="2:12" s="1" customFormat="1" ht="13.2" x14ac:dyDescent="0.2">
      <c r="B65" s="24"/>
      <c r="D65" s="530"/>
      <c r="E65" s="523"/>
      <c r="F65" s="523"/>
      <c r="G65" s="530"/>
      <c r="H65" s="523"/>
      <c r="I65" s="523"/>
      <c r="J65" s="523"/>
      <c r="K65" s="32"/>
      <c r="L65" s="24"/>
    </row>
    <row r="66" spans="2:12" x14ac:dyDescent="0.2">
      <c r="B66" s="16"/>
      <c r="D66" s="156"/>
      <c r="E66" s="156"/>
      <c r="F66" s="156"/>
      <c r="G66" s="156"/>
      <c r="H66" s="156"/>
      <c r="I66" s="156"/>
      <c r="J66" s="156"/>
      <c r="L66" s="16"/>
    </row>
    <row r="67" spans="2:12" x14ac:dyDescent="0.2">
      <c r="B67" s="16"/>
      <c r="D67" s="156"/>
      <c r="E67" s="156"/>
      <c r="F67" s="156"/>
      <c r="G67" s="156"/>
      <c r="H67" s="156"/>
      <c r="I67" s="156"/>
      <c r="J67" s="156"/>
      <c r="L67" s="16"/>
    </row>
    <row r="68" spans="2:12" x14ac:dyDescent="0.2">
      <c r="B68" s="16"/>
      <c r="D68" s="156"/>
      <c r="E68" s="156"/>
      <c r="F68" s="156"/>
      <c r="G68" s="156"/>
      <c r="H68" s="156"/>
      <c r="I68" s="156"/>
      <c r="J68" s="156"/>
      <c r="L68" s="16"/>
    </row>
    <row r="69" spans="2:12" x14ac:dyDescent="0.2">
      <c r="B69" s="16"/>
      <c r="D69" s="156"/>
      <c r="E69" s="156"/>
      <c r="F69" s="156"/>
      <c r="G69" s="156"/>
      <c r="H69" s="156"/>
      <c r="I69" s="156"/>
      <c r="J69" s="156"/>
      <c r="L69" s="16"/>
    </row>
    <row r="70" spans="2:12" x14ac:dyDescent="0.2">
      <c r="B70" s="16"/>
      <c r="D70" s="156"/>
      <c r="E70" s="156"/>
      <c r="F70" s="156"/>
      <c r="G70" s="156"/>
      <c r="H70" s="156"/>
      <c r="I70" s="156"/>
      <c r="J70" s="156"/>
      <c r="L70" s="16"/>
    </row>
    <row r="71" spans="2:12" x14ac:dyDescent="0.2">
      <c r="B71" s="16"/>
      <c r="D71" s="156"/>
      <c r="E71" s="156"/>
      <c r="F71" s="156"/>
      <c r="G71" s="156"/>
      <c r="H71" s="156"/>
      <c r="I71" s="156"/>
      <c r="J71" s="156"/>
      <c r="L71" s="16"/>
    </row>
    <row r="72" spans="2:12" x14ac:dyDescent="0.2">
      <c r="B72" s="16"/>
      <c r="D72" s="156"/>
      <c r="E72" s="156"/>
      <c r="F72" s="156"/>
      <c r="G72" s="156"/>
      <c r="H72" s="156"/>
      <c r="I72" s="156"/>
      <c r="J72" s="156"/>
      <c r="L72" s="16"/>
    </row>
    <row r="73" spans="2:12" x14ac:dyDescent="0.2">
      <c r="B73" s="16"/>
      <c r="D73" s="156"/>
      <c r="E73" s="156"/>
      <c r="F73" s="156"/>
      <c r="G73" s="156"/>
      <c r="H73" s="156"/>
      <c r="I73" s="156"/>
      <c r="J73" s="156"/>
      <c r="L73" s="16"/>
    </row>
    <row r="74" spans="2:12" x14ac:dyDescent="0.2">
      <c r="B74" s="16"/>
      <c r="D74" s="156"/>
      <c r="E74" s="156"/>
      <c r="F74" s="156"/>
      <c r="G74" s="156"/>
      <c r="H74" s="156"/>
      <c r="I74" s="156"/>
      <c r="J74" s="156"/>
      <c r="L74" s="16"/>
    </row>
    <row r="75" spans="2:12" x14ac:dyDescent="0.2">
      <c r="B75" s="16"/>
      <c r="D75" s="156"/>
      <c r="E75" s="156"/>
      <c r="F75" s="156"/>
      <c r="G75" s="156"/>
      <c r="H75" s="156"/>
      <c r="I75" s="156"/>
      <c r="J75" s="156"/>
      <c r="L75" s="16"/>
    </row>
    <row r="76" spans="2:12" s="1" customFormat="1" ht="13.2" x14ac:dyDescent="0.2">
      <c r="B76" s="24"/>
      <c r="D76" s="522"/>
      <c r="E76" s="523"/>
      <c r="F76" s="536"/>
      <c r="G76" s="522"/>
      <c r="H76" s="523"/>
      <c r="I76" s="523"/>
      <c r="J76" s="169"/>
      <c r="K76" s="26"/>
      <c r="L76" s="24"/>
    </row>
    <row r="77" spans="2:12" s="1" customFormat="1" ht="14.55" customHeight="1" x14ac:dyDescent="0.2">
      <c r="B77" s="33"/>
      <c r="C77" s="34"/>
      <c r="D77" s="34"/>
      <c r="E77" s="34"/>
      <c r="F77" s="34"/>
      <c r="G77" s="34"/>
      <c r="H77" s="34"/>
      <c r="I77" s="34"/>
      <c r="J77" s="34"/>
      <c r="K77" s="34"/>
      <c r="L77" s="24"/>
    </row>
    <row r="81" spans="2:47" s="1" customFormat="1" ht="7.05" customHeight="1" x14ac:dyDescent="0.2">
      <c r="B81" s="35"/>
      <c r="C81" s="36"/>
      <c r="D81" s="36"/>
      <c r="E81" s="36"/>
      <c r="F81" s="36"/>
      <c r="G81" s="36"/>
      <c r="H81" s="36"/>
      <c r="I81" s="36"/>
      <c r="J81" s="36"/>
      <c r="K81" s="36"/>
      <c r="L81" s="24"/>
    </row>
    <row r="82" spans="2:47" s="1" customFormat="1" ht="25.05" customHeight="1" x14ac:dyDescent="0.2">
      <c r="B82" s="24"/>
      <c r="C82" s="1165" t="s">
        <v>188</v>
      </c>
      <c r="D82" s="1165"/>
      <c r="E82" s="1165"/>
      <c r="F82" s="1165"/>
      <c r="G82" s="1165"/>
      <c r="H82" s="1165"/>
      <c r="I82" s="1165"/>
      <c r="J82" s="1165"/>
      <c r="L82" s="24"/>
    </row>
    <row r="83" spans="2:47" s="1" customFormat="1" ht="7.05" customHeight="1" x14ac:dyDescent="0.2">
      <c r="B83" s="24"/>
      <c r="L83" s="24"/>
    </row>
    <row r="84" spans="2:47" s="1" customFormat="1" ht="12" customHeight="1" x14ac:dyDescent="0.2">
      <c r="B84" s="24"/>
      <c r="C84" s="528" t="s">
        <v>12</v>
      </c>
      <c r="E84" s="1242" t="s">
        <v>6177</v>
      </c>
      <c r="F84" s="1242"/>
      <c r="G84" s="1242"/>
      <c r="H84" s="1242"/>
      <c r="I84" s="1242"/>
      <c r="J84" s="1242"/>
      <c r="L84" s="24"/>
    </row>
    <row r="85" spans="2:47" s="1" customFormat="1" ht="24" customHeight="1" x14ac:dyDescent="0.2">
      <c r="B85" s="24"/>
      <c r="C85" s="521"/>
      <c r="E85" s="1243"/>
      <c r="F85" s="1244"/>
      <c r="G85" s="1244"/>
      <c r="H85" s="1244"/>
      <c r="L85" s="24"/>
    </row>
    <row r="86" spans="2:47" s="1" customFormat="1" ht="12" customHeight="1" x14ac:dyDescent="0.2">
      <c r="B86" s="24"/>
      <c r="C86" s="528" t="s">
        <v>186</v>
      </c>
      <c r="F86" s="532" t="s">
        <v>4659</v>
      </c>
      <c r="L86" s="24"/>
    </row>
    <row r="87" spans="2:47" s="1" customFormat="1" ht="16.5" customHeight="1" x14ac:dyDescent="0.2">
      <c r="B87" s="24"/>
      <c r="C87" s="521"/>
      <c r="E87" s="1251"/>
      <c r="F87" s="1252"/>
      <c r="G87" s="1252"/>
      <c r="H87" s="1252"/>
      <c r="L87" s="24"/>
    </row>
    <row r="88" spans="2:47" s="1" customFormat="1" ht="7.05" customHeight="1" x14ac:dyDescent="0.2">
      <c r="B88" s="24"/>
      <c r="C88" s="521"/>
      <c r="L88" s="24"/>
    </row>
    <row r="89" spans="2:47" s="1" customFormat="1" ht="12" customHeight="1" x14ac:dyDescent="0.2">
      <c r="B89" s="24"/>
      <c r="C89" s="528" t="s">
        <v>15</v>
      </c>
      <c r="F89" s="19" t="str">
        <f>F12</f>
        <v>Kuzmányho nábrežie 28, 960 01 Zvolen</v>
      </c>
      <c r="I89" s="528" t="s">
        <v>17</v>
      </c>
      <c r="J89" s="39" t="str">
        <f>IF(J12="","",J12)</f>
        <v/>
      </c>
      <c r="L89" s="24"/>
    </row>
    <row r="90" spans="2:47" s="1" customFormat="1" ht="7.05" customHeight="1" x14ac:dyDescent="0.2">
      <c r="B90" s="24"/>
      <c r="C90" s="521"/>
      <c r="I90" s="521"/>
      <c r="L90" s="24"/>
    </row>
    <row r="91" spans="2:47" s="1" customFormat="1" ht="15.3" customHeight="1" x14ac:dyDescent="0.2">
      <c r="B91" s="24"/>
      <c r="C91" s="528" t="s">
        <v>18</v>
      </c>
      <c r="F91" s="529" t="s">
        <v>6175</v>
      </c>
      <c r="I91" s="528" t="s">
        <v>22</v>
      </c>
      <c r="J91" s="22" t="str">
        <f>E21</f>
        <v xml:space="preserve"> </v>
      </c>
      <c r="L91" s="24"/>
    </row>
    <row r="92" spans="2:47" s="1" customFormat="1" ht="15.3" customHeight="1" x14ac:dyDescent="0.2">
      <c r="B92" s="24"/>
      <c r="C92" s="528" t="s">
        <v>21</v>
      </c>
      <c r="F92" s="529" t="s">
        <v>5202</v>
      </c>
      <c r="I92" s="528" t="s">
        <v>24</v>
      </c>
      <c r="J92" s="22" t="str">
        <f>E24</f>
        <v xml:space="preserve"> </v>
      </c>
      <c r="L92" s="24"/>
    </row>
    <row r="93" spans="2:47" s="1" customFormat="1" ht="10.199999999999999" customHeight="1" x14ac:dyDescent="0.2">
      <c r="B93" s="24"/>
      <c r="L93" s="24"/>
    </row>
    <row r="94" spans="2:47" s="1" customFormat="1" ht="29.25" customHeight="1" x14ac:dyDescent="0.2">
      <c r="B94" s="24"/>
      <c r="C94" s="86" t="s">
        <v>189</v>
      </c>
      <c r="D94" s="80"/>
      <c r="E94" s="80"/>
      <c r="F94" s="80"/>
      <c r="G94" s="80"/>
      <c r="H94" s="80"/>
      <c r="I94" s="80"/>
      <c r="J94" s="87" t="s">
        <v>190</v>
      </c>
      <c r="K94" s="80"/>
      <c r="L94" s="24"/>
    </row>
    <row r="95" spans="2:47" s="1" customFormat="1" ht="10.199999999999999" customHeight="1" x14ac:dyDescent="0.2">
      <c r="B95" s="24"/>
      <c r="L95" s="24"/>
    </row>
    <row r="96" spans="2:47" s="1" customFormat="1" ht="22.95" customHeight="1" x14ac:dyDescent="0.2">
      <c r="B96" s="24"/>
      <c r="C96" s="88" t="s">
        <v>191</v>
      </c>
      <c r="J96" s="53">
        <f>J117</f>
        <v>20312.86</v>
      </c>
      <c r="L96" s="24"/>
      <c r="AU96" s="13" t="s">
        <v>192</v>
      </c>
    </row>
    <row r="97" spans="2:12" s="8" customFormat="1" ht="25.05" customHeight="1" x14ac:dyDescent="0.2">
      <c r="B97" s="89"/>
      <c r="D97" s="90" t="s">
        <v>4660</v>
      </c>
      <c r="E97" s="91"/>
      <c r="F97" s="91"/>
      <c r="G97" s="91"/>
      <c r="H97" s="91"/>
      <c r="I97" s="91"/>
      <c r="J97" s="92">
        <f>J118</f>
        <v>20312.86</v>
      </c>
      <c r="L97" s="89"/>
    </row>
    <row r="98" spans="2:12" s="1" customFormat="1" ht="21.75" customHeight="1" x14ac:dyDescent="0.2">
      <c r="B98" s="24"/>
      <c r="L98" s="24"/>
    </row>
    <row r="99" spans="2:12" s="1" customFormat="1" ht="7.05" customHeight="1" x14ac:dyDescent="0.2">
      <c r="B99" s="33"/>
      <c r="C99" s="34"/>
      <c r="D99" s="34"/>
      <c r="E99" s="34"/>
      <c r="F99" s="34"/>
      <c r="G99" s="34"/>
      <c r="H99" s="34"/>
      <c r="I99" s="34"/>
      <c r="J99" s="34"/>
      <c r="K99" s="34"/>
      <c r="L99" s="24"/>
    </row>
    <row r="103" spans="2:12" s="1" customFormat="1" ht="7.05" customHeight="1" x14ac:dyDescent="0.2">
      <c r="B103" s="35"/>
      <c r="C103" s="36"/>
      <c r="D103" s="36"/>
      <c r="E103" s="36"/>
      <c r="F103" s="36"/>
      <c r="G103" s="36"/>
      <c r="H103" s="36"/>
      <c r="I103" s="36"/>
      <c r="J103" s="36"/>
      <c r="K103" s="36"/>
      <c r="L103" s="24"/>
    </row>
    <row r="104" spans="2:12" s="1" customFormat="1" ht="25.05" customHeight="1" x14ac:dyDescent="0.2">
      <c r="B104" s="24"/>
      <c r="C104" s="1165" t="s">
        <v>214</v>
      </c>
      <c r="D104" s="1165"/>
      <c r="E104" s="1165"/>
      <c r="F104" s="1165"/>
      <c r="G104" s="1165"/>
      <c r="H104" s="1165"/>
      <c r="I104" s="1165"/>
      <c r="J104" s="1165"/>
      <c r="L104" s="24"/>
    </row>
    <row r="105" spans="2:12" s="1" customFormat="1" ht="7.05" customHeight="1" x14ac:dyDescent="0.2">
      <c r="B105" s="24"/>
      <c r="L105" s="24"/>
    </row>
    <row r="106" spans="2:12" s="1" customFormat="1" ht="12" customHeight="1" x14ac:dyDescent="0.2">
      <c r="B106" s="24"/>
      <c r="C106" s="528" t="s">
        <v>12</v>
      </c>
      <c r="E106" s="1242" t="s">
        <v>6177</v>
      </c>
      <c r="F106" s="1242"/>
      <c r="G106" s="1242"/>
      <c r="H106" s="1242"/>
      <c r="I106" s="1242"/>
      <c r="J106" s="1242"/>
      <c r="L106" s="24"/>
    </row>
    <row r="107" spans="2:12" s="1" customFormat="1" ht="25.2" customHeight="1" x14ac:dyDescent="0.2">
      <c r="B107" s="24"/>
      <c r="C107" s="521"/>
      <c r="E107" s="1243"/>
      <c r="F107" s="1244"/>
      <c r="G107" s="1244"/>
      <c r="H107" s="1244"/>
      <c r="L107" s="24"/>
    </row>
    <row r="108" spans="2:12" s="1" customFormat="1" ht="12" customHeight="1" x14ac:dyDescent="0.2">
      <c r="B108" s="24"/>
      <c r="C108" s="528" t="s">
        <v>186</v>
      </c>
      <c r="F108" s="532" t="s">
        <v>4659</v>
      </c>
      <c r="L108" s="24"/>
    </row>
    <row r="109" spans="2:12" s="1" customFormat="1" ht="16.5" customHeight="1" x14ac:dyDescent="0.2">
      <c r="B109" s="24"/>
      <c r="C109" s="521"/>
      <c r="E109" s="1251"/>
      <c r="F109" s="1252"/>
      <c r="G109" s="1252"/>
      <c r="H109" s="1252"/>
      <c r="L109" s="24"/>
    </row>
    <row r="110" spans="2:12" s="1" customFormat="1" ht="7.05" customHeight="1" x14ac:dyDescent="0.2">
      <c r="B110" s="24"/>
      <c r="C110" s="521"/>
      <c r="L110" s="24"/>
    </row>
    <row r="111" spans="2:12" s="1" customFormat="1" ht="12" customHeight="1" x14ac:dyDescent="0.2">
      <c r="B111" s="24"/>
      <c r="C111" s="528" t="s">
        <v>15</v>
      </c>
      <c r="F111" s="19" t="str">
        <f>F12</f>
        <v>Kuzmányho nábrežie 28, 960 01 Zvolen</v>
      </c>
      <c r="I111" s="528" t="s">
        <v>17</v>
      </c>
      <c r="J111" s="39" t="str">
        <f>IF(J12="","",J12)</f>
        <v/>
      </c>
      <c r="L111" s="24"/>
    </row>
    <row r="112" spans="2:12" s="1" customFormat="1" ht="7.05" customHeight="1" x14ac:dyDescent="0.2">
      <c r="B112" s="24"/>
      <c r="C112" s="521"/>
      <c r="I112" s="521"/>
      <c r="L112" s="24"/>
    </row>
    <row r="113" spans="2:65" s="1" customFormat="1" ht="15.3" customHeight="1" x14ac:dyDescent="0.2">
      <c r="B113" s="24"/>
      <c r="C113" s="528" t="s">
        <v>18</v>
      </c>
      <c r="F113" s="529" t="s">
        <v>6175</v>
      </c>
      <c r="I113" s="528" t="s">
        <v>22</v>
      </c>
      <c r="J113" s="22" t="str">
        <f>E21</f>
        <v xml:space="preserve"> </v>
      </c>
      <c r="L113" s="24"/>
    </row>
    <row r="114" spans="2:65" s="1" customFormat="1" ht="15.3" customHeight="1" x14ac:dyDescent="0.2">
      <c r="B114" s="24"/>
      <c r="C114" s="528" t="s">
        <v>21</v>
      </c>
      <c r="F114" s="529" t="s">
        <v>5202</v>
      </c>
      <c r="I114" s="528" t="s">
        <v>24</v>
      </c>
      <c r="J114" s="22" t="str">
        <f>E24</f>
        <v xml:space="preserve"> </v>
      </c>
      <c r="L114" s="24"/>
    </row>
    <row r="115" spans="2:65" s="1" customFormat="1" ht="10.199999999999999" customHeight="1" x14ac:dyDescent="0.2">
      <c r="B115" s="24"/>
      <c r="L115" s="24"/>
    </row>
    <row r="116" spans="2:65" s="10" customFormat="1" ht="29.25" customHeight="1" x14ac:dyDescent="0.2">
      <c r="B116" s="97"/>
      <c r="C116" s="98" t="s">
        <v>215</v>
      </c>
      <c r="D116" s="99" t="s">
        <v>43</v>
      </c>
      <c r="E116" s="99" t="s">
        <v>41</v>
      </c>
      <c r="F116" s="99" t="s">
        <v>42</v>
      </c>
      <c r="G116" s="99" t="s">
        <v>216</v>
      </c>
      <c r="H116" s="99" t="s">
        <v>217</v>
      </c>
      <c r="I116" s="99" t="s">
        <v>218</v>
      </c>
      <c r="J116" s="100" t="s">
        <v>190</v>
      </c>
      <c r="K116" s="101" t="s">
        <v>219</v>
      </c>
      <c r="L116" s="97"/>
      <c r="M116" s="46" t="s">
        <v>1</v>
      </c>
      <c r="N116" s="47" t="s">
        <v>30</v>
      </c>
      <c r="O116" s="47" t="s">
        <v>220</v>
      </c>
      <c r="P116" s="47" t="s">
        <v>221</v>
      </c>
      <c r="Q116" s="47" t="s">
        <v>222</v>
      </c>
      <c r="R116" s="47" t="s">
        <v>223</v>
      </c>
      <c r="S116" s="47" t="s">
        <v>224</v>
      </c>
      <c r="T116" s="48" t="s">
        <v>225</v>
      </c>
    </row>
    <row r="117" spans="2:65" s="1" customFormat="1" ht="22.95" customHeight="1" x14ac:dyDescent="0.3">
      <c r="B117" s="24"/>
      <c r="C117" s="51" t="s">
        <v>191</v>
      </c>
      <c r="J117" s="102">
        <f>BK117</f>
        <v>20312.86</v>
      </c>
      <c r="L117" s="24"/>
      <c r="M117" s="49"/>
      <c r="N117" s="40"/>
      <c r="O117" s="40"/>
      <c r="P117" s="103">
        <f>P118</f>
        <v>0</v>
      </c>
      <c r="Q117" s="40"/>
      <c r="R117" s="103">
        <f>R118</f>
        <v>0</v>
      </c>
      <c r="S117" s="40"/>
      <c r="T117" s="104">
        <f>T118</f>
        <v>0</v>
      </c>
      <c r="AT117" s="13" t="s">
        <v>57</v>
      </c>
      <c r="AU117" s="13" t="s">
        <v>192</v>
      </c>
      <c r="BK117" s="105">
        <f>BK118</f>
        <v>20312.86</v>
      </c>
    </row>
    <row r="118" spans="2:65" s="11" customFormat="1" ht="25.95" customHeight="1" x14ac:dyDescent="0.25">
      <c r="B118" s="106"/>
      <c r="D118" s="107" t="s">
        <v>57</v>
      </c>
      <c r="E118" s="108" t="s">
        <v>4661</v>
      </c>
      <c r="F118" s="108" t="s">
        <v>2597</v>
      </c>
      <c r="J118" s="109">
        <f>BK118</f>
        <v>20312.86</v>
      </c>
      <c r="L118" s="106"/>
      <c r="M118" s="110"/>
      <c r="N118" s="111"/>
      <c r="O118" s="111"/>
      <c r="P118" s="112">
        <f>SUM(P119:P120)</f>
        <v>0</v>
      </c>
      <c r="Q118" s="111"/>
      <c r="R118" s="112">
        <f>SUM(R119:R120)</f>
        <v>0</v>
      </c>
      <c r="S118" s="111"/>
      <c r="T118" s="113">
        <f>SUM(T119:T120)</f>
        <v>0</v>
      </c>
      <c r="AR118" s="107" t="s">
        <v>63</v>
      </c>
      <c r="AT118" s="114" t="s">
        <v>57</v>
      </c>
      <c r="AU118" s="114" t="s">
        <v>58</v>
      </c>
      <c r="AY118" s="107" t="s">
        <v>228</v>
      </c>
      <c r="BK118" s="115">
        <f>SUM(BK119:BK120)</f>
        <v>20312.86</v>
      </c>
    </row>
    <row r="119" spans="2:65" s="1" customFormat="1" ht="16.5" customHeight="1" x14ac:dyDescent="0.2">
      <c r="B119" s="118"/>
      <c r="C119" s="119" t="s">
        <v>63</v>
      </c>
      <c r="D119" s="119" t="s">
        <v>231</v>
      </c>
      <c r="E119" s="120" t="s">
        <v>2598</v>
      </c>
      <c r="F119" s="121" t="s">
        <v>2599</v>
      </c>
      <c r="G119" s="122" t="s">
        <v>1194</v>
      </c>
      <c r="H119" s="123">
        <v>2</v>
      </c>
      <c r="I119" s="124">
        <v>10156.43</v>
      </c>
      <c r="J119" s="124">
        <f>ROUND(I119*H119,2)</f>
        <v>20312.86</v>
      </c>
      <c r="K119" s="121" t="s">
        <v>1</v>
      </c>
      <c r="L119" s="24"/>
      <c r="M119" s="125" t="s">
        <v>1</v>
      </c>
      <c r="N119" s="126" t="s">
        <v>32</v>
      </c>
      <c r="O119" s="127">
        <v>0</v>
      </c>
      <c r="P119" s="127">
        <f>O119*H119</f>
        <v>0</v>
      </c>
      <c r="Q119" s="127">
        <v>0</v>
      </c>
      <c r="R119" s="127">
        <f>Q119*H119</f>
        <v>0</v>
      </c>
      <c r="S119" s="127">
        <v>0</v>
      </c>
      <c r="T119" s="128">
        <f>S119*H119</f>
        <v>0</v>
      </c>
      <c r="AR119" s="129" t="s">
        <v>235</v>
      </c>
      <c r="AT119" s="129" t="s">
        <v>231</v>
      </c>
      <c r="AU119" s="129" t="s">
        <v>63</v>
      </c>
      <c r="AY119" s="13" t="s">
        <v>228</v>
      </c>
      <c r="BE119" s="130">
        <f>IF(N119="základná",J119,0)</f>
        <v>0</v>
      </c>
      <c r="BF119" s="130">
        <f>IF(N119="znížená",J119,0)</f>
        <v>20312.86</v>
      </c>
      <c r="BG119" s="130">
        <f>IF(N119="zákl. prenesená",J119,0)</f>
        <v>0</v>
      </c>
      <c r="BH119" s="130">
        <f>IF(N119="zníž. prenesená",J119,0)</f>
        <v>0</v>
      </c>
      <c r="BI119" s="130">
        <f>IF(N119="nulová",J119,0)</f>
        <v>0</v>
      </c>
      <c r="BJ119" s="13" t="s">
        <v>76</v>
      </c>
      <c r="BK119" s="130">
        <f>ROUND(I119*H119,2)</f>
        <v>20312.86</v>
      </c>
      <c r="BL119" s="13" t="s">
        <v>235</v>
      </c>
      <c r="BM119" s="129" t="s">
        <v>76</v>
      </c>
    </row>
    <row r="120" spans="2:65" s="1" customFormat="1" ht="28.8" x14ac:dyDescent="0.2">
      <c r="B120" s="24"/>
      <c r="D120" s="144" t="s">
        <v>1259</v>
      </c>
      <c r="F120" s="145" t="s">
        <v>4662</v>
      </c>
      <c r="L120" s="24"/>
      <c r="M120" s="147"/>
      <c r="N120" s="148"/>
      <c r="O120" s="148"/>
      <c r="P120" s="148"/>
      <c r="Q120" s="148"/>
      <c r="R120" s="148"/>
      <c r="S120" s="148"/>
      <c r="T120" s="149"/>
      <c r="AT120" s="13" t="s">
        <v>1259</v>
      </c>
      <c r="AU120" s="13" t="s">
        <v>63</v>
      </c>
    </row>
    <row r="121" spans="2:65" s="1" customFormat="1" ht="7.05" customHeight="1" x14ac:dyDescent="0.2">
      <c r="B121" s="33"/>
      <c r="C121" s="34"/>
      <c r="D121" s="34"/>
      <c r="E121" s="34"/>
      <c r="F121" s="34"/>
      <c r="G121" s="34"/>
      <c r="H121" s="34"/>
      <c r="I121" s="34"/>
      <c r="J121" s="34"/>
      <c r="K121" s="34"/>
      <c r="L121" s="24"/>
    </row>
  </sheetData>
  <autoFilter ref="C116:K120" xr:uid="{00000000-0009-0000-0000-000026000000}"/>
  <mergeCells count="14">
    <mergeCell ref="E87:H87"/>
    <mergeCell ref="E107:H107"/>
    <mergeCell ref="E109:H109"/>
    <mergeCell ref="L2:V2"/>
    <mergeCell ref="E9:H9"/>
    <mergeCell ref="E18:H18"/>
    <mergeCell ref="E27:H27"/>
    <mergeCell ref="E85:H85"/>
    <mergeCell ref="C4:J4"/>
    <mergeCell ref="F6:J7"/>
    <mergeCell ref="C82:J82"/>
    <mergeCell ref="E84:J84"/>
    <mergeCell ref="C104:J104"/>
    <mergeCell ref="E106:J106"/>
  </mergeCells>
  <pageMargins left="0.39374999999999999" right="0.39374999999999999" top="0.39374999999999999" bottom="0.39374999999999999" header="0" footer="0"/>
  <pageSetup paperSize="9" scale="89" fitToHeight="100" orientation="portrait" blackAndWhite="1" r:id="rId1"/>
  <headerFooter>
    <oddFooter>&amp;CStrana &amp;P z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M168"/>
  <sheetViews>
    <sheetView showGridLines="0" topLeftCell="A138" workbookViewId="0">
      <selection activeCell="J151" sqref="J151"/>
    </sheetView>
  </sheetViews>
  <sheetFormatPr defaultColWidth="8.7109375" defaultRowHeight="10.199999999999999" x14ac:dyDescent="0.2"/>
  <cols>
    <col min="1" max="1" width="8.28515625" customWidth="1"/>
    <col min="2" max="2" width="1.7109375" customWidth="1"/>
    <col min="3" max="4" width="4.28515625" customWidth="1"/>
    <col min="5" max="5" width="17.28515625" customWidth="1"/>
    <col min="6" max="6" width="50.7109375" customWidth="1"/>
    <col min="7" max="7" width="7" customWidth="1"/>
    <col min="8" max="8" width="11.42578125" customWidth="1"/>
    <col min="9" max="10" width="20.28515625" customWidth="1"/>
    <col min="11" max="11" width="20.28515625" hidden="1" customWidth="1"/>
    <col min="12" max="12" width="9.28515625" customWidth="1"/>
    <col min="13" max="13" width="10.7109375" hidden="1" customWidth="1"/>
    <col min="14" max="14" width="9.28515625" hidden="1"/>
    <col min="15" max="20" width="14.28515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1" spans="1:46" x14ac:dyDescent="0.2">
      <c r="A1" s="73"/>
    </row>
    <row r="2" spans="1:46" ht="37.049999999999997" customHeight="1" x14ac:dyDescent="0.2">
      <c r="L2" s="1227" t="s">
        <v>5</v>
      </c>
      <c r="M2" s="1225"/>
      <c r="N2" s="1225"/>
      <c r="O2" s="1225"/>
      <c r="P2" s="1225"/>
      <c r="Q2" s="1225"/>
      <c r="R2" s="1225"/>
      <c r="S2" s="1225"/>
      <c r="T2" s="1225"/>
      <c r="U2" s="1225"/>
      <c r="V2" s="1225"/>
      <c r="AT2" s="13" t="s">
        <v>69</v>
      </c>
    </row>
    <row r="3" spans="1:46" ht="7.05" customHeight="1" x14ac:dyDescent="0.2">
      <c r="B3" s="14"/>
      <c r="C3" s="15"/>
      <c r="D3" s="15"/>
      <c r="E3" s="15"/>
      <c r="F3" s="15"/>
      <c r="G3" s="15"/>
      <c r="H3" s="15"/>
      <c r="I3" s="15"/>
      <c r="J3" s="15"/>
      <c r="K3" s="15"/>
      <c r="L3" s="16"/>
      <c r="AT3" s="13" t="s">
        <v>58</v>
      </c>
    </row>
    <row r="4" spans="1:46" ht="25.05" customHeight="1" x14ac:dyDescent="0.2">
      <c r="B4" s="16"/>
      <c r="D4" s="1165" t="s">
        <v>185</v>
      </c>
      <c r="E4" s="1165"/>
      <c r="F4" s="1165"/>
      <c r="G4" s="1165"/>
      <c r="H4" s="1165"/>
      <c r="I4" s="1165"/>
      <c r="J4" s="1165"/>
      <c r="L4" s="16"/>
      <c r="M4" s="74" t="s">
        <v>9</v>
      </c>
      <c r="AT4" s="13" t="s">
        <v>3</v>
      </c>
    </row>
    <row r="5" spans="1:46" ht="7.05" customHeight="1" x14ac:dyDescent="0.2">
      <c r="B5" s="16"/>
      <c r="L5" s="16"/>
    </row>
    <row r="6" spans="1:46" ht="12" customHeight="1" x14ac:dyDescent="0.2">
      <c r="B6" s="16"/>
      <c r="D6" s="548" t="s">
        <v>12</v>
      </c>
      <c r="F6" s="1254" t="s">
        <v>6176</v>
      </c>
      <c r="G6" s="1254"/>
      <c r="H6" s="1254"/>
      <c r="I6" s="1254"/>
      <c r="J6" s="1254"/>
      <c r="L6" s="16"/>
    </row>
    <row r="7" spans="1:46" ht="27.45" customHeight="1" x14ac:dyDescent="0.2">
      <c r="B7" s="16"/>
      <c r="D7" s="527"/>
      <c r="E7" s="531"/>
      <c r="F7" s="1254"/>
      <c r="G7" s="1254"/>
      <c r="H7" s="1254"/>
      <c r="I7" s="1254"/>
      <c r="J7" s="1254"/>
      <c r="L7" s="16"/>
    </row>
    <row r="8" spans="1:46" s="1" customFormat="1" ht="12" customHeight="1" x14ac:dyDescent="0.2">
      <c r="B8" s="24"/>
      <c r="D8" s="549" t="s">
        <v>186</v>
      </c>
      <c r="F8" s="532" t="s">
        <v>1091</v>
      </c>
      <c r="L8" s="24"/>
    </row>
    <row r="9" spans="1:46" s="1" customFormat="1" ht="37.049999999999997" customHeight="1" x14ac:dyDescent="0.2">
      <c r="B9" s="24"/>
      <c r="D9" s="521"/>
      <c r="E9" s="1251"/>
      <c r="F9" s="1252"/>
      <c r="G9" s="1252"/>
      <c r="H9" s="1252"/>
      <c r="L9" s="24"/>
    </row>
    <row r="10" spans="1:46" s="1" customFormat="1" x14ac:dyDescent="0.2">
      <c r="B10" s="24"/>
      <c r="D10" s="521"/>
      <c r="L10" s="24"/>
    </row>
    <row r="11" spans="1:46" s="1" customFormat="1" ht="12" customHeight="1" x14ac:dyDescent="0.2">
      <c r="B11" s="24"/>
      <c r="D11" s="528" t="s">
        <v>13</v>
      </c>
      <c r="F11" s="19" t="s">
        <v>1</v>
      </c>
      <c r="I11" s="528" t="s">
        <v>14</v>
      </c>
      <c r="J11" s="19" t="s">
        <v>1</v>
      </c>
      <c r="L11" s="24"/>
    </row>
    <row r="12" spans="1:46" s="1" customFormat="1" ht="12" customHeight="1" x14ac:dyDescent="0.2">
      <c r="B12" s="24"/>
      <c r="D12" s="528" t="s">
        <v>15</v>
      </c>
      <c r="F12" s="520" t="s">
        <v>6173</v>
      </c>
      <c r="I12" s="528" t="s">
        <v>17</v>
      </c>
      <c r="J12" s="39"/>
      <c r="L12" s="24"/>
    </row>
    <row r="13" spans="1:46" s="1" customFormat="1" ht="10.95" customHeight="1" x14ac:dyDescent="0.2">
      <c r="B13" s="24"/>
      <c r="D13" s="521"/>
      <c r="F13" s="521"/>
      <c r="I13" s="521"/>
      <c r="L13" s="24"/>
    </row>
    <row r="14" spans="1:46" s="1" customFormat="1" ht="12" customHeight="1" x14ac:dyDescent="0.2">
      <c r="B14" s="24"/>
      <c r="D14" s="528" t="s">
        <v>18</v>
      </c>
      <c r="F14" s="529" t="s">
        <v>6175</v>
      </c>
      <c r="I14" s="528" t="s">
        <v>19</v>
      </c>
      <c r="J14" s="19" t="str">
        <f>IF('Rekapitulácia stavby'!AN10="","",'Rekapitulácia stavby'!AN10)</f>
        <v/>
      </c>
      <c r="L14" s="24"/>
    </row>
    <row r="15" spans="1:46" s="1" customFormat="1" ht="18" customHeight="1" x14ac:dyDescent="0.2">
      <c r="B15" s="24"/>
      <c r="D15" s="521"/>
      <c r="E15" s="19" t="str">
        <f>IF('Rekapitulácia stavby'!E11="","",'Rekapitulácia stavby'!E11)</f>
        <v/>
      </c>
      <c r="F15" s="521"/>
      <c r="I15" s="528" t="s">
        <v>20</v>
      </c>
      <c r="J15" s="19" t="str">
        <f>IF('Rekapitulácia stavby'!AN11="","",'Rekapitulácia stavby'!AN11)</f>
        <v/>
      </c>
      <c r="L15" s="24"/>
    </row>
    <row r="16" spans="1:46" s="1" customFormat="1" ht="7.05" customHeight="1" x14ac:dyDescent="0.2">
      <c r="B16" s="24"/>
      <c r="D16" s="521"/>
      <c r="F16" s="521"/>
      <c r="I16" s="521"/>
      <c r="L16" s="24"/>
    </row>
    <row r="17" spans="2:12" s="1" customFormat="1" ht="12" customHeight="1" x14ac:dyDescent="0.2">
      <c r="B17" s="24"/>
      <c r="D17" s="528" t="s">
        <v>21</v>
      </c>
      <c r="F17" s="529" t="s">
        <v>5202</v>
      </c>
      <c r="I17" s="528" t="s">
        <v>19</v>
      </c>
      <c r="J17" s="19"/>
      <c r="L17" s="24"/>
    </row>
    <row r="18" spans="2:12" s="1" customFormat="1" ht="18" customHeight="1" x14ac:dyDescent="0.2">
      <c r="B18" s="24"/>
      <c r="D18" s="521"/>
      <c r="E18" s="1161"/>
      <c r="F18" s="1161"/>
      <c r="G18" s="1161"/>
      <c r="H18" s="1161"/>
      <c r="I18" s="528" t="s">
        <v>20</v>
      </c>
      <c r="J18" s="19" t="str">
        <f>'Rekapitulácia stavby'!AN14</f>
        <v/>
      </c>
      <c r="L18" s="24"/>
    </row>
    <row r="19" spans="2:12" s="1" customFormat="1" ht="7.05" customHeight="1" x14ac:dyDescent="0.2">
      <c r="B19" s="24"/>
      <c r="D19" s="521"/>
      <c r="I19" s="521"/>
      <c r="L19" s="24"/>
    </row>
    <row r="20" spans="2:12" s="1" customFormat="1" ht="12" customHeight="1" x14ac:dyDescent="0.2">
      <c r="B20" s="24"/>
      <c r="D20" s="528" t="s">
        <v>22</v>
      </c>
      <c r="I20" s="528" t="s">
        <v>19</v>
      </c>
      <c r="J20" s="19" t="str">
        <f>IF('Rekapitulácia stavby'!AN16="","",'Rekapitulácia stavby'!AN16)</f>
        <v/>
      </c>
      <c r="L20" s="24"/>
    </row>
    <row r="21" spans="2:12" s="1" customFormat="1" ht="18" customHeight="1" x14ac:dyDescent="0.2">
      <c r="B21" s="24"/>
      <c r="D21" s="521"/>
      <c r="E21" s="19" t="str">
        <f>IF('Rekapitulácia stavby'!E17="","",'Rekapitulácia stavby'!E17)</f>
        <v xml:space="preserve"> </v>
      </c>
      <c r="I21" s="528" t="s">
        <v>20</v>
      </c>
      <c r="J21" s="19" t="str">
        <f>IF('Rekapitulácia stavby'!AN17="","",'Rekapitulácia stavby'!AN17)</f>
        <v/>
      </c>
      <c r="L21" s="24"/>
    </row>
    <row r="22" spans="2:12" s="1" customFormat="1" ht="7.05" customHeight="1" x14ac:dyDescent="0.2">
      <c r="B22" s="24"/>
      <c r="D22" s="521"/>
      <c r="L22" s="24"/>
    </row>
    <row r="23" spans="2:12" s="1" customFormat="1" ht="12" customHeight="1" x14ac:dyDescent="0.2">
      <c r="B23" s="24"/>
      <c r="D23" s="528" t="s">
        <v>24</v>
      </c>
      <c r="I23" s="520" t="s">
        <v>19</v>
      </c>
      <c r="J23" s="19" t="str">
        <f>IF('Rekapitulácia stavby'!AN19="","",'Rekapitulácia stavby'!AN19)</f>
        <v/>
      </c>
      <c r="L23" s="24"/>
    </row>
    <row r="24" spans="2:12" s="1" customFormat="1" ht="18" customHeight="1" x14ac:dyDescent="0.2">
      <c r="B24" s="24"/>
      <c r="D24" s="521"/>
      <c r="E24" s="19" t="str">
        <f>IF('Rekapitulácia stavby'!E20="","",'Rekapitulácia stavby'!E20)</f>
        <v xml:space="preserve"> </v>
      </c>
      <c r="I24" s="520" t="s">
        <v>20</v>
      </c>
      <c r="J24" s="19" t="str">
        <f>IF('Rekapitulácia stavby'!AN20="","",'Rekapitulácia stavby'!AN20)</f>
        <v/>
      </c>
      <c r="L24" s="24"/>
    </row>
    <row r="25" spans="2:12" s="1" customFormat="1" ht="7.05" customHeight="1" x14ac:dyDescent="0.2">
      <c r="B25" s="24"/>
      <c r="D25" s="521"/>
      <c r="L25" s="24"/>
    </row>
    <row r="26" spans="2:12" s="1" customFormat="1" ht="12" customHeight="1" x14ac:dyDescent="0.2">
      <c r="B26" s="24"/>
      <c r="D26" s="528" t="s">
        <v>25</v>
      </c>
      <c r="L26" s="24"/>
    </row>
    <row r="27" spans="2:12" s="7" customFormat="1" ht="16.5" customHeight="1" x14ac:dyDescent="0.2">
      <c r="B27" s="75"/>
      <c r="E27" s="1228" t="s">
        <v>1</v>
      </c>
      <c r="F27" s="1228"/>
      <c r="G27" s="1228"/>
      <c r="H27" s="1228"/>
      <c r="L27" s="75"/>
    </row>
    <row r="28" spans="2:12" s="1" customFormat="1" ht="7.05" customHeight="1" x14ac:dyDescent="0.2">
      <c r="B28" s="24"/>
      <c r="L28" s="24"/>
    </row>
    <row r="29" spans="2:12" s="1" customFormat="1" ht="7.05" customHeight="1" x14ac:dyDescent="0.2">
      <c r="B29" s="24"/>
      <c r="D29" s="40"/>
      <c r="E29" s="40"/>
      <c r="F29" s="40"/>
      <c r="G29" s="40"/>
      <c r="H29" s="40"/>
      <c r="I29" s="40"/>
      <c r="J29" s="40"/>
      <c r="K29" s="40"/>
      <c r="L29" s="24"/>
    </row>
    <row r="30" spans="2:12" s="1" customFormat="1" ht="25.2" customHeight="1" x14ac:dyDescent="0.2">
      <c r="B30" s="24"/>
      <c r="D30" s="76" t="s">
        <v>26</v>
      </c>
      <c r="J30" s="53">
        <f>ROUND(J126, 2)</f>
        <v>27701.040000000001</v>
      </c>
      <c r="L30" s="24"/>
    </row>
    <row r="31" spans="2:12" s="1" customFormat="1" ht="7.05" customHeight="1" x14ac:dyDescent="0.2">
      <c r="B31" s="24"/>
      <c r="D31" s="40"/>
      <c r="E31" s="40"/>
      <c r="F31" s="40"/>
      <c r="G31" s="40"/>
      <c r="H31" s="40"/>
      <c r="I31" s="40"/>
      <c r="J31" s="40"/>
      <c r="K31" s="40"/>
      <c r="L31" s="24"/>
    </row>
    <row r="32" spans="2:12" s="1" customFormat="1" ht="14.55" customHeight="1" x14ac:dyDescent="0.2">
      <c r="B32" s="24"/>
      <c r="D32" s="521"/>
      <c r="E32" s="521"/>
      <c r="F32" s="534" t="s">
        <v>28</v>
      </c>
      <c r="G32" s="521"/>
      <c r="H32" s="521"/>
      <c r="I32" s="534" t="s">
        <v>27</v>
      </c>
      <c r="J32" s="534" t="s">
        <v>29</v>
      </c>
      <c r="L32" s="24"/>
    </row>
    <row r="33" spans="2:12" s="1" customFormat="1" ht="14.55" customHeight="1" x14ac:dyDescent="0.2">
      <c r="B33" s="24"/>
      <c r="D33" s="13" t="s">
        <v>30</v>
      </c>
      <c r="E33" s="528" t="s">
        <v>31</v>
      </c>
      <c r="F33" s="398">
        <f>ROUND((SUM(BE126:BE167)),  2)</f>
        <v>0</v>
      </c>
      <c r="G33" s="521"/>
      <c r="H33" s="521"/>
      <c r="I33" s="535">
        <v>0.2</v>
      </c>
      <c r="J33" s="398">
        <f>ROUND(((SUM(BE126:BE167))*I33),  2)</f>
        <v>0</v>
      </c>
      <c r="L33" s="24"/>
    </row>
    <row r="34" spans="2:12" s="1" customFormat="1" ht="14.55" customHeight="1" x14ac:dyDescent="0.2">
      <c r="B34" s="24"/>
      <c r="D34" s="521"/>
      <c r="E34" s="528" t="s">
        <v>32</v>
      </c>
      <c r="F34" s="398">
        <f>ROUND((SUM(BF126:BF167)),  2)</f>
        <v>27701.040000000001</v>
      </c>
      <c r="G34" s="521"/>
      <c r="H34" s="521"/>
      <c r="I34" s="535">
        <v>0.2</v>
      </c>
      <c r="J34" s="398">
        <f>ROUND(((SUM(BF126:BF167))*I34),  2)</f>
        <v>5540.21</v>
      </c>
      <c r="L34" s="24"/>
    </row>
    <row r="35" spans="2:12" s="1" customFormat="1" ht="14.55" hidden="1" customHeight="1" x14ac:dyDescent="0.2">
      <c r="B35" s="24"/>
      <c r="E35" s="21" t="s">
        <v>33</v>
      </c>
      <c r="F35" s="78">
        <f>ROUND((SUM(BG126:BG167)),  2)</f>
        <v>0</v>
      </c>
      <c r="I35" s="79">
        <v>0.2</v>
      </c>
      <c r="J35" s="78">
        <f>0</f>
        <v>0</v>
      </c>
      <c r="L35" s="24"/>
    </row>
    <row r="36" spans="2:12" s="1" customFormat="1" ht="14.55" hidden="1" customHeight="1" x14ac:dyDescent="0.2">
      <c r="B36" s="24"/>
      <c r="E36" s="21" t="s">
        <v>34</v>
      </c>
      <c r="F36" s="78">
        <f>ROUND((SUM(BH126:BH167)),  2)</f>
        <v>0</v>
      </c>
      <c r="I36" s="79">
        <v>0.2</v>
      </c>
      <c r="J36" s="78">
        <f>0</f>
        <v>0</v>
      </c>
      <c r="L36" s="24"/>
    </row>
    <row r="37" spans="2:12" s="1" customFormat="1" ht="14.55" hidden="1" customHeight="1" x14ac:dyDescent="0.2">
      <c r="B37" s="24"/>
      <c r="E37" s="21" t="s">
        <v>35</v>
      </c>
      <c r="F37" s="78">
        <f>ROUND((SUM(BI126:BI167)),  2)</f>
        <v>0</v>
      </c>
      <c r="I37" s="79">
        <v>0</v>
      </c>
      <c r="J37" s="78">
        <f>0</f>
        <v>0</v>
      </c>
      <c r="L37" s="24"/>
    </row>
    <row r="38" spans="2:12" s="1" customFormat="1" ht="7.05" customHeight="1" x14ac:dyDescent="0.2">
      <c r="B38" s="24"/>
      <c r="L38" s="24"/>
    </row>
    <row r="39" spans="2:12" s="1" customFormat="1" ht="25.2" customHeight="1" x14ac:dyDescent="0.2">
      <c r="B39" s="24"/>
      <c r="C39" s="80"/>
      <c r="D39" s="81" t="s">
        <v>36</v>
      </c>
      <c r="E39" s="44"/>
      <c r="F39" s="44"/>
      <c r="G39" s="82" t="s">
        <v>37</v>
      </c>
      <c r="H39" s="83" t="s">
        <v>38</v>
      </c>
      <c r="I39" s="44"/>
      <c r="J39" s="84">
        <f>SUM(J30:J37)</f>
        <v>33241.25</v>
      </c>
      <c r="K39" s="85"/>
      <c r="L39" s="24"/>
    </row>
    <row r="40" spans="2:12" s="1" customFormat="1" ht="14.55" customHeight="1" x14ac:dyDescent="0.2">
      <c r="B40" s="24"/>
      <c r="L40" s="24"/>
    </row>
    <row r="41" spans="2:12" ht="14.55" customHeight="1" x14ac:dyDescent="0.2">
      <c r="B41" s="16"/>
      <c r="L41" s="16"/>
    </row>
    <row r="42" spans="2:12" ht="14.55" customHeight="1" x14ac:dyDescent="0.2">
      <c r="B42" s="16"/>
      <c r="L42" s="16"/>
    </row>
    <row r="43" spans="2:12" ht="14.55" customHeight="1" x14ac:dyDescent="0.2">
      <c r="B43" s="16"/>
      <c r="L43" s="16"/>
    </row>
    <row r="44" spans="2:12" ht="14.55" customHeight="1" x14ac:dyDescent="0.2">
      <c r="B44" s="16"/>
      <c r="L44" s="16"/>
    </row>
    <row r="45" spans="2:12" ht="14.55" customHeight="1" x14ac:dyDescent="0.2">
      <c r="B45" s="16"/>
      <c r="L45" s="16"/>
    </row>
    <row r="46" spans="2:12" ht="14.55" customHeight="1" x14ac:dyDescent="0.2">
      <c r="B46" s="16"/>
      <c r="L46" s="16"/>
    </row>
    <row r="47" spans="2:12" ht="14.55" customHeight="1" x14ac:dyDescent="0.2">
      <c r="B47" s="16"/>
      <c r="L47" s="16"/>
    </row>
    <row r="48" spans="2:12" ht="14.55" customHeight="1" x14ac:dyDescent="0.2">
      <c r="B48" s="16"/>
      <c r="L48" s="16"/>
    </row>
    <row r="49" spans="2:12" ht="14.55" customHeight="1" x14ac:dyDescent="0.2">
      <c r="B49" s="16"/>
      <c r="D49" s="156"/>
      <c r="E49" s="156"/>
      <c r="F49" s="156"/>
      <c r="G49" s="156"/>
      <c r="H49" s="156"/>
      <c r="I49" s="156"/>
      <c r="J49" s="156"/>
      <c r="L49" s="16"/>
    </row>
    <row r="50" spans="2:12" s="1" customFormat="1" ht="14.55" customHeight="1" x14ac:dyDescent="0.2">
      <c r="B50" s="24"/>
      <c r="D50" s="530"/>
      <c r="E50" s="523"/>
      <c r="F50" s="523"/>
      <c r="G50" s="530"/>
      <c r="H50" s="523"/>
      <c r="I50" s="523"/>
      <c r="J50" s="523"/>
      <c r="K50" s="32"/>
      <c r="L50" s="24"/>
    </row>
    <row r="51" spans="2:12" x14ac:dyDescent="0.2">
      <c r="B51" s="16"/>
      <c r="D51" s="156"/>
      <c r="E51" s="156"/>
      <c r="F51" s="156"/>
      <c r="G51" s="156"/>
      <c r="H51" s="156"/>
      <c r="I51" s="156"/>
      <c r="J51" s="156"/>
      <c r="L51" s="16"/>
    </row>
    <row r="52" spans="2:12" x14ac:dyDescent="0.2">
      <c r="B52" s="16"/>
      <c r="D52" s="156"/>
      <c r="E52" s="156"/>
      <c r="F52" s="156"/>
      <c r="G52" s="156"/>
      <c r="H52" s="156"/>
      <c r="I52" s="156"/>
      <c r="J52" s="156"/>
      <c r="L52" s="16"/>
    </row>
    <row r="53" spans="2:12" x14ac:dyDescent="0.2">
      <c r="B53" s="16"/>
      <c r="D53" s="156"/>
      <c r="E53" s="156"/>
      <c r="F53" s="156"/>
      <c r="G53" s="156"/>
      <c r="H53" s="156"/>
      <c r="I53" s="156"/>
      <c r="J53" s="156"/>
      <c r="L53" s="16"/>
    </row>
    <row r="54" spans="2:12" x14ac:dyDescent="0.2">
      <c r="B54" s="16"/>
      <c r="D54" s="156"/>
      <c r="E54" s="156"/>
      <c r="F54" s="156"/>
      <c r="G54" s="156"/>
      <c r="H54" s="156"/>
      <c r="I54" s="156"/>
      <c r="J54" s="156"/>
      <c r="L54" s="16"/>
    </row>
    <row r="55" spans="2:12" x14ac:dyDescent="0.2">
      <c r="B55" s="16"/>
      <c r="D55" s="156"/>
      <c r="E55" s="156"/>
      <c r="F55" s="156"/>
      <c r="G55" s="156"/>
      <c r="H55" s="156"/>
      <c r="I55" s="156"/>
      <c r="J55" s="156"/>
      <c r="L55" s="16"/>
    </row>
    <row r="56" spans="2:12" x14ac:dyDescent="0.2">
      <c r="B56" s="16"/>
      <c r="D56" s="156"/>
      <c r="E56" s="156"/>
      <c r="F56" s="156"/>
      <c r="G56" s="156"/>
      <c r="H56" s="156"/>
      <c r="I56" s="156"/>
      <c r="J56" s="156"/>
      <c r="L56" s="16"/>
    </row>
    <row r="57" spans="2:12" x14ac:dyDescent="0.2">
      <c r="B57" s="16"/>
      <c r="D57" s="156"/>
      <c r="E57" s="156"/>
      <c r="F57" s="156"/>
      <c r="G57" s="156"/>
      <c r="H57" s="156"/>
      <c r="I57" s="156"/>
      <c r="J57" s="156"/>
      <c r="L57" s="16"/>
    </row>
    <row r="58" spans="2:12" x14ac:dyDescent="0.2">
      <c r="B58" s="16"/>
      <c r="D58" s="156"/>
      <c r="E58" s="156"/>
      <c r="F58" s="156"/>
      <c r="G58" s="156"/>
      <c r="H58" s="156"/>
      <c r="I58" s="156"/>
      <c r="J58" s="156"/>
      <c r="L58" s="16"/>
    </row>
    <row r="59" spans="2:12" x14ac:dyDescent="0.2">
      <c r="B59" s="16"/>
      <c r="D59" s="156"/>
      <c r="E59" s="156"/>
      <c r="F59" s="156"/>
      <c r="G59" s="156"/>
      <c r="H59" s="156"/>
      <c r="I59" s="156"/>
      <c r="J59" s="156"/>
      <c r="L59" s="16"/>
    </row>
    <row r="60" spans="2:12" x14ac:dyDescent="0.2">
      <c r="B60" s="16"/>
      <c r="D60" s="156"/>
      <c r="E60" s="156"/>
      <c r="F60" s="156"/>
      <c r="G60" s="156"/>
      <c r="H60" s="156"/>
      <c r="I60" s="156"/>
      <c r="J60" s="156"/>
      <c r="L60" s="16"/>
    </row>
    <row r="61" spans="2:12" s="1" customFormat="1" ht="13.2" x14ac:dyDescent="0.2">
      <c r="B61" s="24"/>
      <c r="D61" s="522"/>
      <c r="E61" s="523"/>
      <c r="F61" s="536"/>
      <c r="G61" s="522"/>
      <c r="H61" s="523"/>
      <c r="I61" s="523"/>
      <c r="J61" s="169"/>
      <c r="K61" s="26"/>
      <c r="L61" s="24"/>
    </row>
    <row r="62" spans="2:12" x14ac:dyDescent="0.2">
      <c r="B62" s="16"/>
      <c r="D62" s="156"/>
      <c r="E62" s="156"/>
      <c r="F62" s="156"/>
      <c r="G62" s="156"/>
      <c r="H62" s="156"/>
      <c r="I62" s="156"/>
      <c r="J62" s="156"/>
      <c r="L62" s="16"/>
    </row>
    <row r="63" spans="2:12" x14ac:dyDescent="0.2">
      <c r="B63" s="16"/>
      <c r="D63" s="156"/>
      <c r="E63" s="156"/>
      <c r="F63" s="156"/>
      <c r="G63" s="156"/>
      <c r="H63" s="156"/>
      <c r="I63" s="156"/>
      <c r="J63" s="156"/>
      <c r="L63" s="16"/>
    </row>
    <row r="64" spans="2:12" x14ac:dyDescent="0.2">
      <c r="B64" s="16"/>
      <c r="D64" s="156"/>
      <c r="E64" s="156"/>
      <c r="F64" s="156"/>
      <c r="G64" s="156"/>
      <c r="H64" s="156"/>
      <c r="I64" s="156"/>
      <c r="J64" s="156"/>
      <c r="L64" s="16"/>
    </row>
    <row r="65" spans="2:12" s="1" customFormat="1" ht="13.2" x14ac:dyDescent="0.2">
      <c r="B65" s="24"/>
      <c r="D65" s="530"/>
      <c r="E65" s="523"/>
      <c r="F65" s="523"/>
      <c r="G65" s="530"/>
      <c r="H65" s="523"/>
      <c r="I65" s="523"/>
      <c r="J65" s="523"/>
      <c r="K65" s="32"/>
      <c r="L65" s="24"/>
    </row>
    <row r="66" spans="2:12" x14ac:dyDescent="0.2">
      <c r="B66" s="16"/>
      <c r="D66" s="156"/>
      <c r="E66" s="156"/>
      <c r="F66" s="156"/>
      <c r="G66" s="156"/>
      <c r="H66" s="156"/>
      <c r="I66" s="156"/>
      <c r="J66" s="156"/>
      <c r="L66" s="16"/>
    </row>
    <row r="67" spans="2:12" x14ac:dyDescent="0.2">
      <c r="B67" s="16"/>
      <c r="D67" s="156"/>
      <c r="E67" s="156"/>
      <c r="F67" s="156"/>
      <c r="G67" s="156"/>
      <c r="H67" s="156"/>
      <c r="I67" s="156"/>
      <c r="J67" s="156"/>
      <c r="L67" s="16"/>
    </row>
    <row r="68" spans="2:12" x14ac:dyDescent="0.2">
      <c r="B68" s="16"/>
      <c r="D68" s="156"/>
      <c r="E68" s="156"/>
      <c r="F68" s="156"/>
      <c r="G68" s="156"/>
      <c r="H68" s="156"/>
      <c r="I68" s="156"/>
      <c r="J68" s="156"/>
      <c r="L68" s="16"/>
    </row>
    <row r="69" spans="2:12" x14ac:dyDescent="0.2">
      <c r="B69" s="16"/>
      <c r="D69" s="156"/>
      <c r="E69" s="156"/>
      <c r="F69" s="156"/>
      <c r="G69" s="156"/>
      <c r="H69" s="156"/>
      <c r="I69" s="156"/>
      <c r="J69" s="156"/>
      <c r="L69" s="16"/>
    </row>
    <row r="70" spans="2:12" x14ac:dyDescent="0.2">
      <c r="B70" s="16"/>
      <c r="D70" s="156"/>
      <c r="E70" s="156"/>
      <c r="F70" s="156"/>
      <c r="G70" s="156"/>
      <c r="H70" s="156"/>
      <c r="I70" s="156"/>
      <c r="J70" s="156"/>
      <c r="L70" s="16"/>
    </row>
    <row r="71" spans="2:12" x14ac:dyDescent="0.2">
      <c r="B71" s="16"/>
      <c r="D71" s="156"/>
      <c r="E71" s="156"/>
      <c r="F71" s="156"/>
      <c r="G71" s="156"/>
      <c r="H71" s="156"/>
      <c r="I71" s="156"/>
      <c r="J71" s="156"/>
      <c r="L71" s="16"/>
    </row>
    <row r="72" spans="2:12" x14ac:dyDescent="0.2">
      <c r="B72" s="16"/>
      <c r="D72" s="156"/>
      <c r="E72" s="156"/>
      <c r="F72" s="156"/>
      <c r="G72" s="156"/>
      <c r="H72" s="156"/>
      <c r="I72" s="156"/>
      <c r="J72" s="156"/>
      <c r="L72" s="16"/>
    </row>
    <row r="73" spans="2:12" x14ac:dyDescent="0.2">
      <c r="B73" s="16"/>
      <c r="D73" s="156"/>
      <c r="E73" s="156"/>
      <c r="F73" s="156"/>
      <c r="G73" s="156"/>
      <c r="H73" s="156"/>
      <c r="I73" s="156"/>
      <c r="J73" s="156"/>
      <c r="L73" s="16"/>
    </row>
    <row r="74" spans="2:12" x14ac:dyDescent="0.2">
      <c r="B74" s="16"/>
      <c r="D74" s="156"/>
      <c r="E74" s="156"/>
      <c r="F74" s="156"/>
      <c r="G74" s="156"/>
      <c r="H74" s="156"/>
      <c r="I74" s="156"/>
      <c r="J74" s="156"/>
      <c r="L74" s="16"/>
    </row>
    <row r="75" spans="2:12" x14ac:dyDescent="0.2">
      <c r="B75" s="16"/>
      <c r="D75" s="156"/>
      <c r="E75" s="156"/>
      <c r="F75" s="156"/>
      <c r="G75" s="156"/>
      <c r="H75" s="156"/>
      <c r="I75" s="156"/>
      <c r="J75" s="156"/>
      <c r="L75" s="16"/>
    </row>
    <row r="76" spans="2:12" s="1" customFormat="1" ht="13.2" x14ac:dyDescent="0.2">
      <c r="B76" s="24"/>
      <c r="D76" s="522"/>
      <c r="E76" s="523"/>
      <c r="F76" s="536"/>
      <c r="G76" s="522"/>
      <c r="H76" s="523"/>
      <c r="I76" s="523"/>
      <c r="J76" s="169"/>
      <c r="K76" s="26"/>
      <c r="L76" s="24"/>
    </row>
    <row r="77" spans="2:12" s="1" customFormat="1" ht="14.55" customHeight="1" x14ac:dyDescent="0.2">
      <c r="B77" s="33"/>
      <c r="C77" s="34"/>
      <c r="D77" s="34"/>
      <c r="E77" s="34"/>
      <c r="F77" s="34"/>
      <c r="G77" s="34"/>
      <c r="H77" s="34"/>
      <c r="I77" s="34"/>
      <c r="J77" s="34"/>
      <c r="K77" s="34"/>
      <c r="L77" s="24"/>
    </row>
    <row r="81" spans="2:47" s="1" customFormat="1" ht="7.05" customHeight="1" x14ac:dyDescent="0.2">
      <c r="B81" s="35"/>
      <c r="C81" s="36"/>
      <c r="D81" s="36"/>
      <c r="E81" s="36"/>
      <c r="F81" s="36"/>
      <c r="G81" s="36"/>
      <c r="H81" s="36"/>
      <c r="I81" s="36"/>
      <c r="J81" s="36"/>
      <c r="K81" s="36"/>
      <c r="L81" s="24"/>
    </row>
    <row r="82" spans="2:47" s="1" customFormat="1" ht="25.05" customHeight="1" x14ac:dyDescent="0.2">
      <c r="B82" s="24"/>
      <c r="C82" s="1165" t="s">
        <v>188</v>
      </c>
      <c r="D82" s="1165"/>
      <c r="E82" s="1165"/>
      <c r="F82" s="1165"/>
      <c r="G82" s="1165"/>
      <c r="H82" s="1165"/>
      <c r="I82" s="1165"/>
      <c r="J82" s="1165"/>
      <c r="L82" s="24"/>
    </row>
    <row r="83" spans="2:47" s="1" customFormat="1" ht="7.05" customHeight="1" x14ac:dyDescent="0.2">
      <c r="B83" s="24"/>
      <c r="L83" s="24"/>
    </row>
    <row r="84" spans="2:47" s="1" customFormat="1" ht="12" customHeight="1" x14ac:dyDescent="0.2">
      <c r="B84" s="24"/>
      <c r="C84" s="528" t="s">
        <v>12</v>
      </c>
      <c r="E84" s="1242" t="s">
        <v>6177</v>
      </c>
      <c r="F84" s="1242"/>
      <c r="G84" s="1242"/>
      <c r="H84" s="1242"/>
      <c r="I84" s="1242"/>
      <c r="J84" s="1242"/>
      <c r="L84" s="24"/>
    </row>
    <row r="85" spans="2:47" s="1" customFormat="1" ht="24" customHeight="1" x14ac:dyDescent="0.2">
      <c r="B85" s="24"/>
      <c r="C85" s="521"/>
      <c r="E85" s="1243"/>
      <c r="F85" s="1244"/>
      <c r="G85" s="1244"/>
      <c r="H85" s="1244"/>
      <c r="L85" s="24"/>
    </row>
    <row r="86" spans="2:47" s="1" customFormat="1" ht="12" customHeight="1" x14ac:dyDescent="0.2">
      <c r="B86" s="24"/>
      <c r="C86" s="528" t="s">
        <v>186</v>
      </c>
      <c r="F86" s="532" t="s">
        <v>1091</v>
      </c>
      <c r="L86" s="24"/>
    </row>
    <row r="87" spans="2:47" s="1" customFormat="1" ht="16.5" customHeight="1" x14ac:dyDescent="0.2">
      <c r="B87" s="24"/>
      <c r="C87" s="521"/>
      <c r="E87" s="1251"/>
      <c r="F87" s="1252"/>
      <c r="G87" s="1252"/>
      <c r="H87" s="1252"/>
      <c r="L87" s="24"/>
    </row>
    <row r="88" spans="2:47" s="1" customFormat="1" ht="7.05" customHeight="1" x14ac:dyDescent="0.2">
      <c r="B88" s="24"/>
      <c r="C88" s="521"/>
      <c r="L88" s="24"/>
    </row>
    <row r="89" spans="2:47" s="1" customFormat="1" ht="12" customHeight="1" x14ac:dyDescent="0.2">
      <c r="B89" s="24"/>
      <c r="C89" s="528" t="s">
        <v>15</v>
      </c>
      <c r="F89" s="19" t="str">
        <f>F12</f>
        <v>Kuzmányho nábrežie 28, 960 01 Zvolen</v>
      </c>
      <c r="I89" s="528" t="s">
        <v>17</v>
      </c>
      <c r="J89" s="39" t="str">
        <f>IF(J12="","",J12)</f>
        <v/>
      </c>
      <c r="L89" s="24"/>
    </row>
    <row r="90" spans="2:47" s="1" customFormat="1" ht="7.05" customHeight="1" x14ac:dyDescent="0.2">
      <c r="B90" s="24"/>
      <c r="C90" s="521"/>
      <c r="I90" s="521"/>
      <c r="L90" s="24"/>
    </row>
    <row r="91" spans="2:47" s="1" customFormat="1" ht="15.3" customHeight="1" x14ac:dyDescent="0.2">
      <c r="B91" s="24"/>
      <c r="C91" s="528" t="s">
        <v>18</v>
      </c>
      <c r="F91" s="529" t="s">
        <v>6175</v>
      </c>
      <c r="I91" s="528" t="s">
        <v>22</v>
      </c>
      <c r="J91" s="22" t="str">
        <f>E21</f>
        <v xml:space="preserve"> </v>
      </c>
      <c r="L91" s="24"/>
    </row>
    <row r="92" spans="2:47" s="1" customFormat="1" ht="15.3" customHeight="1" x14ac:dyDescent="0.2">
      <c r="B92" s="24"/>
      <c r="C92" s="528" t="s">
        <v>21</v>
      </c>
      <c r="F92" s="529" t="s">
        <v>5202</v>
      </c>
      <c r="I92" s="528" t="s">
        <v>24</v>
      </c>
      <c r="J92" s="22" t="str">
        <f>E24</f>
        <v xml:space="preserve"> </v>
      </c>
      <c r="L92" s="24"/>
    </row>
    <row r="93" spans="2:47" s="1" customFormat="1" ht="10.199999999999999" customHeight="1" x14ac:dyDescent="0.2">
      <c r="B93" s="24"/>
      <c r="L93" s="24"/>
    </row>
    <row r="94" spans="2:47" s="1" customFormat="1" ht="29.25" customHeight="1" x14ac:dyDescent="0.2">
      <c r="B94" s="24"/>
      <c r="C94" s="86" t="s">
        <v>189</v>
      </c>
      <c r="D94" s="80"/>
      <c r="E94" s="80"/>
      <c r="F94" s="80"/>
      <c r="G94" s="80"/>
      <c r="H94" s="80"/>
      <c r="I94" s="80"/>
      <c r="J94" s="87" t="s">
        <v>190</v>
      </c>
      <c r="K94" s="80"/>
      <c r="L94" s="24"/>
    </row>
    <row r="95" spans="2:47" s="1" customFormat="1" ht="10.199999999999999" customHeight="1" x14ac:dyDescent="0.2">
      <c r="B95" s="24"/>
      <c r="L95" s="24"/>
    </row>
    <row r="96" spans="2:47" s="1" customFormat="1" ht="22.95" customHeight="1" x14ac:dyDescent="0.2">
      <c r="B96" s="24"/>
      <c r="C96" s="88" t="s">
        <v>191</v>
      </c>
      <c r="J96" s="53">
        <f>J126</f>
        <v>27701.040000000001</v>
      </c>
      <c r="L96" s="24"/>
      <c r="AU96" s="13" t="s">
        <v>192</v>
      </c>
    </row>
    <row r="97" spans="2:12" s="8" customFormat="1" ht="25.05" customHeight="1" x14ac:dyDescent="0.2">
      <c r="B97" s="89"/>
      <c r="D97" s="90" t="s">
        <v>193</v>
      </c>
      <c r="E97" s="91"/>
      <c r="F97" s="91"/>
      <c r="G97" s="91"/>
      <c r="H97" s="91"/>
      <c r="I97" s="91"/>
      <c r="J97" s="92">
        <f>J127</f>
        <v>745.31000000000006</v>
      </c>
      <c r="L97" s="89"/>
    </row>
    <row r="98" spans="2:12" s="9" customFormat="1" ht="19.95" customHeight="1" x14ac:dyDescent="0.2">
      <c r="B98" s="93"/>
      <c r="D98" s="94" t="s">
        <v>1092</v>
      </c>
      <c r="E98" s="95"/>
      <c r="F98" s="95"/>
      <c r="G98" s="95"/>
      <c r="H98" s="95"/>
      <c r="I98" s="95"/>
      <c r="J98" s="96">
        <f>J128</f>
        <v>745.31000000000006</v>
      </c>
      <c r="L98" s="93"/>
    </row>
    <row r="99" spans="2:12" s="8" customFormat="1" ht="25.05" customHeight="1" x14ac:dyDescent="0.2">
      <c r="B99" s="89"/>
      <c r="D99" s="90" t="s">
        <v>202</v>
      </c>
      <c r="E99" s="91"/>
      <c r="F99" s="91"/>
      <c r="G99" s="91"/>
      <c r="H99" s="91"/>
      <c r="I99" s="91"/>
      <c r="J99" s="92">
        <f>J132</f>
        <v>3336.1399999999994</v>
      </c>
      <c r="L99" s="89"/>
    </row>
    <row r="100" spans="2:12" s="9" customFormat="1" ht="19.95" customHeight="1" x14ac:dyDescent="0.2">
      <c r="B100" s="93"/>
      <c r="D100" s="94" t="s">
        <v>1093</v>
      </c>
      <c r="E100" s="95"/>
      <c r="F100" s="95"/>
      <c r="G100" s="95"/>
      <c r="H100" s="95"/>
      <c r="I100" s="95"/>
      <c r="J100" s="96">
        <f>J133</f>
        <v>2517.2799999999997</v>
      </c>
      <c r="L100" s="93"/>
    </row>
    <row r="101" spans="2:12" s="9" customFormat="1" ht="19.95" customHeight="1" x14ac:dyDescent="0.2">
      <c r="B101" s="93"/>
      <c r="D101" s="94" t="s">
        <v>209</v>
      </c>
      <c r="E101" s="95"/>
      <c r="F101" s="95"/>
      <c r="G101" s="95"/>
      <c r="H101" s="95"/>
      <c r="I101" s="95"/>
      <c r="J101" s="96">
        <f>J139</f>
        <v>585.20000000000005</v>
      </c>
      <c r="L101" s="93"/>
    </row>
    <row r="102" spans="2:12" s="9" customFormat="1" ht="19.95" customHeight="1" x14ac:dyDescent="0.2">
      <c r="B102" s="93"/>
      <c r="D102" s="94" t="s">
        <v>213</v>
      </c>
      <c r="E102" s="95"/>
      <c r="F102" s="95"/>
      <c r="G102" s="95"/>
      <c r="H102" s="95"/>
      <c r="I102" s="95"/>
      <c r="J102" s="96">
        <f>J141</f>
        <v>233.66000000000003</v>
      </c>
      <c r="L102" s="93"/>
    </row>
    <row r="103" spans="2:12" s="8" customFormat="1" ht="25.05" customHeight="1" x14ac:dyDescent="0.2">
      <c r="B103" s="89"/>
      <c r="D103" s="90" t="s">
        <v>1094</v>
      </c>
      <c r="E103" s="91"/>
      <c r="F103" s="91"/>
      <c r="G103" s="91"/>
      <c r="H103" s="91"/>
      <c r="I103" s="91"/>
      <c r="J103" s="92">
        <f>J144</f>
        <v>23619.59</v>
      </c>
      <c r="L103" s="89"/>
    </row>
    <row r="104" spans="2:12" s="9" customFormat="1" ht="19.95" customHeight="1" x14ac:dyDescent="0.2">
      <c r="B104" s="93"/>
      <c r="D104" s="94" t="s">
        <v>1095</v>
      </c>
      <c r="E104" s="95"/>
      <c r="F104" s="95"/>
      <c r="G104" s="95"/>
      <c r="H104" s="95"/>
      <c r="I104" s="95"/>
      <c r="J104" s="96">
        <f>J147</f>
        <v>5734.44</v>
      </c>
      <c r="L104" s="93"/>
    </row>
    <row r="105" spans="2:12" s="9" customFormat="1" ht="19.95" customHeight="1" x14ac:dyDescent="0.2">
      <c r="B105" s="93"/>
      <c r="D105" s="94" t="s">
        <v>1096</v>
      </c>
      <c r="E105" s="95"/>
      <c r="F105" s="95"/>
      <c r="G105" s="95"/>
      <c r="H105" s="95"/>
      <c r="I105" s="95"/>
      <c r="J105" s="96">
        <f>J156</f>
        <v>17320.2</v>
      </c>
      <c r="L105" s="93"/>
    </row>
    <row r="106" spans="2:12" s="9" customFormat="1" ht="19.95" customHeight="1" x14ac:dyDescent="0.2">
      <c r="B106" s="93"/>
      <c r="D106" s="94"/>
      <c r="E106" s="95"/>
      <c r="F106" s="95"/>
      <c r="G106" s="95"/>
      <c r="H106" s="95"/>
      <c r="I106" s="95"/>
      <c r="J106" s="96"/>
      <c r="L106" s="93"/>
    </row>
    <row r="107" spans="2:12" s="1" customFormat="1" ht="21.75" customHeight="1" x14ac:dyDescent="0.2">
      <c r="B107" s="24"/>
      <c r="L107" s="24"/>
    </row>
    <row r="108" spans="2:12" s="1" customFormat="1" ht="7.05" customHeight="1" x14ac:dyDescent="0.2">
      <c r="B108" s="33"/>
      <c r="C108" s="34"/>
      <c r="D108" s="34"/>
      <c r="E108" s="34"/>
      <c r="F108" s="34"/>
      <c r="G108" s="34"/>
      <c r="H108" s="34"/>
      <c r="I108" s="34"/>
      <c r="J108" s="34"/>
      <c r="K108" s="34"/>
      <c r="L108" s="24"/>
    </row>
    <row r="112" spans="2:12" s="1" customFormat="1" ht="7.05" customHeight="1" x14ac:dyDescent="0.2">
      <c r="B112" s="35"/>
      <c r="C112" s="36"/>
      <c r="D112" s="36"/>
      <c r="E112" s="36"/>
      <c r="F112" s="36"/>
      <c r="G112" s="36"/>
      <c r="H112" s="36"/>
      <c r="I112" s="36"/>
      <c r="J112" s="36"/>
      <c r="K112" s="36"/>
      <c r="L112" s="24"/>
    </row>
    <row r="113" spans="2:63" s="1" customFormat="1" ht="25.05" customHeight="1" x14ac:dyDescent="0.2">
      <c r="B113" s="24"/>
      <c r="C113" s="1165" t="s">
        <v>214</v>
      </c>
      <c r="D113" s="1165"/>
      <c r="E113" s="1165"/>
      <c r="F113" s="1165"/>
      <c r="G113" s="1165"/>
      <c r="H113" s="1165"/>
      <c r="I113" s="1165"/>
      <c r="J113" s="1165"/>
      <c r="L113" s="24"/>
    </row>
    <row r="114" spans="2:63" s="1" customFormat="1" ht="7.05" customHeight="1" x14ac:dyDescent="0.2">
      <c r="B114" s="24"/>
      <c r="L114" s="24"/>
    </row>
    <row r="115" spans="2:63" s="1" customFormat="1" ht="12" customHeight="1" x14ac:dyDescent="0.2">
      <c r="B115" s="24"/>
      <c r="C115" s="528" t="s">
        <v>12</v>
      </c>
      <c r="E115" s="1242" t="s">
        <v>6177</v>
      </c>
      <c r="F115" s="1242"/>
      <c r="G115" s="1242"/>
      <c r="H115" s="1242"/>
      <c r="I115" s="1242"/>
      <c r="J115" s="1242"/>
      <c r="L115" s="24"/>
    </row>
    <row r="116" spans="2:63" s="1" customFormat="1" ht="23.55" customHeight="1" x14ac:dyDescent="0.2">
      <c r="B116" s="24"/>
      <c r="C116" s="521"/>
      <c r="E116" s="1243"/>
      <c r="F116" s="1244"/>
      <c r="G116" s="1244"/>
      <c r="H116" s="1244"/>
      <c r="L116" s="24"/>
    </row>
    <row r="117" spans="2:63" s="1" customFormat="1" ht="12" customHeight="1" x14ac:dyDescent="0.2">
      <c r="B117" s="24"/>
      <c r="C117" s="528" t="s">
        <v>186</v>
      </c>
      <c r="F117" s="532" t="s">
        <v>1091</v>
      </c>
      <c r="L117" s="24"/>
    </row>
    <row r="118" spans="2:63" s="1" customFormat="1" ht="16.5" customHeight="1" x14ac:dyDescent="0.2">
      <c r="B118" s="24"/>
      <c r="C118" s="521"/>
      <c r="E118" s="1251"/>
      <c r="F118" s="1252"/>
      <c r="G118" s="1252"/>
      <c r="H118" s="1252"/>
      <c r="L118" s="24"/>
    </row>
    <row r="119" spans="2:63" s="1" customFormat="1" ht="7.05" customHeight="1" x14ac:dyDescent="0.2">
      <c r="B119" s="24"/>
      <c r="C119" s="521"/>
      <c r="L119" s="24"/>
    </row>
    <row r="120" spans="2:63" s="1" customFormat="1" ht="12" customHeight="1" x14ac:dyDescent="0.2">
      <c r="B120" s="24"/>
      <c r="C120" s="528" t="s">
        <v>15</v>
      </c>
      <c r="F120" s="19" t="str">
        <f>F12</f>
        <v>Kuzmányho nábrežie 28, 960 01 Zvolen</v>
      </c>
      <c r="I120" s="528" t="s">
        <v>17</v>
      </c>
      <c r="J120" s="39" t="str">
        <f>IF(J12="","",J12)</f>
        <v/>
      </c>
      <c r="L120" s="24"/>
    </row>
    <row r="121" spans="2:63" s="1" customFormat="1" ht="7.05" customHeight="1" x14ac:dyDescent="0.2">
      <c r="B121" s="24"/>
      <c r="C121" s="521"/>
      <c r="I121" s="521"/>
      <c r="L121" s="24"/>
    </row>
    <row r="122" spans="2:63" s="1" customFormat="1" ht="15.3" customHeight="1" x14ac:dyDescent="0.2">
      <c r="B122" s="24"/>
      <c r="C122" s="528" t="s">
        <v>18</v>
      </c>
      <c r="F122" s="529" t="s">
        <v>6175</v>
      </c>
      <c r="I122" s="528" t="s">
        <v>22</v>
      </c>
      <c r="J122" s="22" t="str">
        <f>E21</f>
        <v xml:space="preserve"> </v>
      </c>
      <c r="L122" s="24"/>
    </row>
    <row r="123" spans="2:63" s="1" customFormat="1" ht="15.3" customHeight="1" x14ac:dyDescent="0.2">
      <c r="B123" s="24"/>
      <c r="C123" s="528" t="s">
        <v>21</v>
      </c>
      <c r="F123" s="529" t="s">
        <v>5202</v>
      </c>
      <c r="I123" s="528" t="s">
        <v>24</v>
      </c>
      <c r="J123" s="22" t="str">
        <f>E24</f>
        <v xml:space="preserve"> </v>
      </c>
      <c r="L123" s="24"/>
    </row>
    <row r="124" spans="2:63" s="1" customFormat="1" ht="10.199999999999999" customHeight="1" x14ac:dyDescent="0.2">
      <c r="B124" s="24"/>
      <c r="L124" s="24"/>
    </row>
    <row r="125" spans="2:63" s="10" customFormat="1" ht="29.25" customHeight="1" x14ac:dyDescent="0.2">
      <c r="B125" s="97"/>
      <c r="C125" s="98" t="s">
        <v>215</v>
      </c>
      <c r="D125" s="99" t="s">
        <v>43</v>
      </c>
      <c r="E125" s="99" t="s">
        <v>41</v>
      </c>
      <c r="F125" s="99" t="s">
        <v>42</v>
      </c>
      <c r="G125" s="99" t="s">
        <v>216</v>
      </c>
      <c r="H125" s="99" t="s">
        <v>217</v>
      </c>
      <c r="I125" s="99" t="s">
        <v>218</v>
      </c>
      <c r="J125" s="100" t="s">
        <v>190</v>
      </c>
      <c r="K125" s="101" t="s">
        <v>219</v>
      </c>
      <c r="L125" s="97"/>
      <c r="M125" s="46" t="s">
        <v>1</v>
      </c>
      <c r="N125" s="47" t="s">
        <v>30</v>
      </c>
      <c r="O125" s="47" t="s">
        <v>220</v>
      </c>
      <c r="P125" s="47" t="s">
        <v>221</v>
      </c>
      <c r="Q125" s="47" t="s">
        <v>222</v>
      </c>
      <c r="R125" s="47" t="s">
        <v>223</v>
      </c>
      <c r="S125" s="47" t="s">
        <v>224</v>
      </c>
      <c r="T125" s="48" t="s">
        <v>225</v>
      </c>
    </row>
    <row r="126" spans="2:63" s="1" customFormat="1" ht="22.95" customHeight="1" x14ac:dyDescent="0.3">
      <c r="B126" s="24"/>
      <c r="C126" s="51" t="s">
        <v>191</v>
      </c>
      <c r="J126" s="102">
        <f>J127+J132+J144</f>
        <v>27701.040000000001</v>
      </c>
      <c r="L126" s="24"/>
      <c r="M126" s="49"/>
      <c r="N126" s="40"/>
      <c r="O126" s="40"/>
      <c r="P126" s="103" t="e">
        <f>P127+P132+P144</f>
        <v>#REF!</v>
      </c>
      <c r="Q126" s="40"/>
      <c r="R126" s="103" t="e">
        <f>R127+R132+R144</f>
        <v>#REF!</v>
      </c>
      <c r="S126" s="40"/>
      <c r="T126" s="104" t="e">
        <f>T127+T132+T144</f>
        <v>#REF!</v>
      </c>
      <c r="AT126" s="13" t="s">
        <v>57</v>
      </c>
      <c r="AU126" s="13" t="s">
        <v>192</v>
      </c>
      <c r="BK126" s="105" t="e">
        <f>BK127+BK132+BK144</f>
        <v>#REF!</v>
      </c>
    </row>
    <row r="127" spans="2:63" s="11" customFormat="1" ht="25.95" customHeight="1" x14ac:dyDescent="0.25">
      <c r="B127" s="106"/>
      <c r="D127" s="107" t="s">
        <v>57</v>
      </c>
      <c r="E127" s="108" t="s">
        <v>226</v>
      </c>
      <c r="F127" s="108" t="s">
        <v>227</v>
      </c>
      <c r="J127" s="109">
        <f>BK127</f>
        <v>745.31000000000006</v>
      </c>
      <c r="L127" s="106"/>
      <c r="M127" s="110"/>
      <c r="N127" s="111"/>
      <c r="O127" s="111"/>
      <c r="P127" s="112">
        <f>P128</f>
        <v>0</v>
      </c>
      <c r="Q127" s="111"/>
      <c r="R127" s="112">
        <f>R128</f>
        <v>0</v>
      </c>
      <c r="S127" s="111"/>
      <c r="T127" s="113">
        <f>T128</f>
        <v>0</v>
      </c>
      <c r="AR127" s="107" t="s">
        <v>63</v>
      </c>
      <c r="AT127" s="114" t="s">
        <v>57</v>
      </c>
      <c r="AU127" s="114" t="s">
        <v>58</v>
      </c>
      <c r="AY127" s="107" t="s">
        <v>228</v>
      </c>
      <c r="BK127" s="115">
        <f>BK128</f>
        <v>745.31000000000006</v>
      </c>
    </row>
    <row r="128" spans="2:63" s="11" customFormat="1" ht="22.95" customHeight="1" x14ac:dyDescent="0.25">
      <c r="B128" s="106"/>
      <c r="D128" s="107" t="s">
        <v>57</v>
      </c>
      <c r="E128" s="116" t="s">
        <v>259</v>
      </c>
      <c r="F128" s="116" t="s">
        <v>1097</v>
      </c>
      <c r="J128" s="117">
        <f>BK128</f>
        <v>745.31000000000006</v>
      </c>
      <c r="L128" s="106"/>
      <c r="M128" s="110"/>
      <c r="N128" s="111"/>
      <c r="O128" s="111"/>
      <c r="P128" s="112">
        <f>SUM(P129:P131)</f>
        <v>0</v>
      </c>
      <c r="Q128" s="111"/>
      <c r="R128" s="112">
        <f>SUM(R129:R131)</f>
        <v>0</v>
      </c>
      <c r="S128" s="111"/>
      <c r="T128" s="113">
        <f>SUM(T129:T131)</f>
        <v>0</v>
      </c>
      <c r="AR128" s="107" t="s">
        <v>63</v>
      </c>
      <c r="AT128" s="114" t="s">
        <v>57</v>
      </c>
      <c r="AU128" s="114" t="s">
        <v>63</v>
      </c>
      <c r="AY128" s="107" t="s">
        <v>228</v>
      </c>
      <c r="BK128" s="115">
        <f>SUM(BK129:BK131)</f>
        <v>745.31000000000006</v>
      </c>
    </row>
    <row r="129" spans="2:65" s="1" customFormat="1" ht="16.5" customHeight="1" x14ac:dyDescent="0.2">
      <c r="B129" s="118"/>
      <c r="C129" s="119" t="s">
        <v>63</v>
      </c>
      <c r="D129" s="119" t="s">
        <v>231</v>
      </c>
      <c r="E129" s="120" t="s">
        <v>1098</v>
      </c>
      <c r="F129" s="121" t="s">
        <v>1099</v>
      </c>
      <c r="G129" s="122" t="s">
        <v>1035</v>
      </c>
      <c r="H129" s="123">
        <v>140</v>
      </c>
      <c r="I129" s="124">
        <v>4.18</v>
      </c>
      <c r="J129" s="124">
        <f>ROUND(I129*H129,2)</f>
        <v>585.20000000000005</v>
      </c>
      <c r="K129" s="121" t="s">
        <v>1</v>
      </c>
      <c r="L129" s="24"/>
      <c r="M129" s="125" t="s">
        <v>1</v>
      </c>
      <c r="N129" s="126" t="s">
        <v>32</v>
      </c>
      <c r="O129" s="127">
        <v>0</v>
      </c>
      <c r="P129" s="127">
        <f>O129*H129</f>
        <v>0</v>
      </c>
      <c r="Q129" s="127">
        <v>0</v>
      </c>
      <c r="R129" s="127">
        <f>Q129*H129</f>
        <v>0</v>
      </c>
      <c r="S129" s="127">
        <v>0</v>
      </c>
      <c r="T129" s="128">
        <f>S129*H129</f>
        <v>0</v>
      </c>
      <c r="AR129" s="129" t="s">
        <v>235</v>
      </c>
      <c r="AT129" s="129" t="s">
        <v>231</v>
      </c>
      <c r="AU129" s="129" t="s">
        <v>76</v>
      </c>
      <c r="AY129" s="13" t="s">
        <v>228</v>
      </c>
      <c r="BE129" s="130">
        <f>IF(N129="základná",J129,0)</f>
        <v>0</v>
      </c>
      <c r="BF129" s="130">
        <f>IF(N129="znížená",J129,0)</f>
        <v>585.20000000000005</v>
      </c>
      <c r="BG129" s="130">
        <f>IF(N129="zákl. prenesená",J129,0)</f>
        <v>0</v>
      </c>
      <c r="BH129" s="130">
        <f>IF(N129="zníž. prenesená",J129,0)</f>
        <v>0</v>
      </c>
      <c r="BI129" s="130">
        <f>IF(N129="nulová",J129,0)</f>
        <v>0</v>
      </c>
      <c r="BJ129" s="13" t="s">
        <v>76</v>
      </c>
      <c r="BK129" s="130">
        <f>ROUND(I129*H129,2)</f>
        <v>585.20000000000005</v>
      </c>
      <c r="BL129" s="13" t="s">
        <v>235</v>
      </c>
      <c r="BM129" s="129" t="s">
        <v>76</v>
      </c>
    </row>
    <row r="130" spans="2:65" s="1" customFormat="1" ht="16.5" customHeight="1" x14ac:dyDescent="0.2">
      <c r="B130" s="118"/>
      <c r="C130" s="119" t="s">
        <v>76</v>
      </c>
      <c r="D130" s="119" t="s">
        <v>231</v>
      </c>
      <c r="E130" s="120" t="s">
        <v>1100</v>
      </c>
      <c r="F130" s="121" t="s">
        <v>1101</v>
      </c>
      <c r="G130" s="122" t="s">
        <v>292</v>
      </c>
      <c r="H130" s="123">
        <v>72</v>
      </c>
      <c r="I130" s="124">
        <v>1.74</v>
      </c>
      <c r="J130" s="124">
        <f>ROUND(I130*H130,2)</f>
        <v>125.28</v>
      </c>
      <c r="K130" s="121" t="s">
        <v>1</v>
      </c>
      <c r="L130" s="24"/>
      <c r="M130" s="125" t="s">
        <v>1</v>
      </c>
      <c r="N130" s="126" t="s">
        <v>32</v>
      </c>
      <c r="O130" s="127">
        <v>0</v>
      </c>
      <c r="P130" s="127">
        <f>O130*H130</f>
        <v>0</v>
      </c>
      <c r="Q130" s="127">
        <v>0</v>
      </c>
      <c r="R130" s="127">
        <f>Q130*H130</f>
        <v>0</v>
      </c>
      <c r="S130" s="127">
        <v>0</v>
      </c>
      <c r="T130" s="128">
        <f>S130*H130</f>
        <v>0</v>
      </c>
      <c r="AR130" s="129" t="s">
        <v>235</v>
      </c>
      <c r="AT130" s="129" t="s">
        <v>231</v>
      </c>
      <c r="AU130" s="129" t="s">
        <v>76</v>
      </c>
      <c r="AY130" s="13" t="s">
        <v>228</v>
      </c>
      <c r="BE130" s="130">
        <f>IF(N130="základná",J130,0)</f>
        <v>0</v>
      </c>
      <c r="BF130" s="130">
        <f>IF(N130="znížená",J130,0)</f>
        <v>125.28</v>
      </c>
      <c r="BG130" s="130">
        <f>IF(N130="zákl. prenesená",J130,0)</f>
        <v>0</v>
      </c>
      <c r="BH130" s="130">
        <f>IF(N130="zníž. prenesená",J130,0)</f>
        <v>0</v>
      </c>
      <c r="BI130" s="130">
        <f>IF(N130="nulová",J130,0)</f>
        <v>0</v>
      </c>
      <c r="BJ130" s="13" t="s">
        <v>76</v>
      </c>
      <c r="BK130" s="130">
        <f>ROUND(I130*H130,2)</f>
        <v>125.28</v>
      </c>
      <c r="BL130" s="13" t="s">
        <v>235</v>
      </c>
      <c r="BM130" s="129" t="s">
        <v>235</v>
      </c>
    </row>
    <row r="131" spans="2:65" s="1" customFormat="1" ht="16.5" customHeight="1" x14ac:dyDescent="0.2">
      <c r="B131" s="118"/>
      <c r="C131" s="119" t="s">
        <v>229</v>
      </c>
      <c r="D131" s="119" t="s">
        <v>231</v>
      </c>
      <c r="E131" s="120" t="s">
        <v>1102</v>
      </c>
      <c r="F131" s="121" t="s">
        <v>1103</v>
      </c>
      <c r="G131" s="122" t="s">
        <v>234</v>
      </c>
      <c r="H131" s="123">
        <v>0.6</v>
      </c>
      <c r="I131" s="124">
        <v>58.05</v>
      </c>
      <c r="J131" s="124">
        <f>ROUND(I131*H131,2)</f>
        <v>34.83</v>
      </c>
      <c r="K131" s="121" t="s">
        <v>1</v>
      </c>
      <c r="L131" s="24"/>
      <c r="M131" s="125" t="s">
        <v>1</v>
      </c>
      <c r="N131" s="126" t="s">
        <v>32</v>
      </c>
      <c r="O131" s="127">
        <v>0</v>
      </c>
      <c r="P131" s="127">
        <f>O131*H131</f>
        <v>0</v>
      </c>
      <c r="Q131" s="127">
        <v>0</v>
      </c>
      <c r="R131" s="127">
        <f>Q131*H131</f>
        <v>0</v>
      </c>
      <c r="S131" s="127">
        <v>0</v>
      </c>
      <c r="T131" s="128">
        <f>S131*H131</f>
        <v>0</v>
      </c>
      <c r="AR131" s="129" t="s">
        <v>235</v>
      </c>
      <c r="AT131" s="129" t="s">
        <v>231</v>
      </c>
      <c r="AU131" s="129" t="s">
        <v>76</v>
      </c>
      <c r="AY131" s="13" t="s">
        <v>228</v>
      </c>
      <c r="BE131" s="130">
        <f>IF(N131="základná",J131,0)</f>
        <v>0</v>
      </c>
      <c r="BF131" s="130">
        <f>IF(N131="znížená",J131,0)</f>
        <v>34.83</v>
      </c>
      <c r="BG131" s="130">
        <f>IF(N131="zákl. prenesená",J131,0)</f>
        <v>0</v>
      </c>
      <c r="BH131" s="130">
        <f>IF(N131="zníž. prenesená",J131,0)</f>
        <v>0</v>
      </c>
      <c r="BI131" s="130">
        <f>IF(N131="nulová",J131,0)</f>
        <v>0</v>
      </c>
      <c r="BJ131" s="13" t="s">
        <v>76</v>
      </c>
      <c r="BK131" s="130">
        <f>ROUND(I131*H131,2)</f>
        <v>34.83</v>
      </c>
      <c r="BL131" s="13" t="s">
        <v>235</v>
      </c>
      <c r="BM131" s="129" t="s">
        <v>240</v>
      </c>
    </row>
    <row r="132" spans="2:65" s="11" customFormat="1" ht="25.95" customHeight="1" x14ac:dyDescent="0.25">
      <c r="B132" s="106"/>
      <c r="D132" s="107" t="s">
        <v>57</v>
      </c>
      <c r="E132" s="108" t="s">
        <v>556</v>
      </c>
      <c r="F132" s="108" t="s">
        <v>557</v>
      </c>
      <c r="J132" s="109">
        <f>BK132</f>
        <v>3336.1399999999994</v>
      </c>
      <c r="L132" s="106"/>
      <c r="M132" s="110"/>
      <c r="N132" s="111"/>
      <c r="O132" s="111"/>
      <c r="P132" s="112">
        <f>P133+P139+P141</f>
        <v>0</v>
      </c>
      <c r="Q132" s="111"/>
      <c r="R132" s="112">
        <f>R133+R139+R141</f>
        <v>0</v>
      </c>
      <c r="S132" s="111"/>
      <c r="T132" s="113">
        <f>T133+T139+T141</f>
        <v>0</v>
      </c>
      <c r="AR132" s="107" t="s">
        <v>76</v>
      </c>
      <c r="AT132" s="114" t="s">
        <v>57</v>
      </c>
      <c r="AU132" s="114" t="s">
        <v>58</v>
      </c>
      <c r="AY132" s="107" t="s">
        <v>228</v>
      </c>
      <c r="BK132" s="115">
        <f>BK133+BK139+BK141</f>
        <v>3336.1399999999994</v>
      </c>
    </row>
    <row r="133" spans="2:65" s="11" customFormat="1" ht="22.95" customHeight="1" x14ac:dyDescent="0.25">
      <c r="B133" s="106"/>
      <c r="D133" s="107" t="s">
        <v>57</v>
      </c>
      <c r="E133" s="116" t="s">
        <v>1104</v>
      </c>
      <c r="F133" s="116" t="s">
        <v>1105</v>
      </c>
      <c r="J133" s="117">
        <f>BK133</f>
        <v>2517.2799999999997</v>
      </c>
      <c r="L133" s="106"/>
      <c r="M133" s="110"/>
      <c r="N133" s="111"/>
      <c r="O133" s="111"/>
      <c r="P133" s="112">
        <f>SUM(P134:P138)</f>
        <v>0</v>
      </c>
      <c r="Q133" s="111"/>
      <c r="R133" s="112">
        <f>SUM(R134:R138)</f>
        <v>0</v>
      </c>
      <c r="S133" s="111"/>
      <c r="T133" s="113">
        <f>SUM(T134:T138)</f>
        <v>0</v>
      </c>
      <c r="AR133" s="107" t="s">
        <v>76</v>
      </c>
      <c r="AT133" s="114" t="s">
        <v>57</v>
      </c>
      <c r="AU133" s="114" t="s">
        <v>63</v>
      </c>
      <c r="AY133" s="107" t="s">
        <v>228</v>
      </c>
      <c r="BK133" s="115">
        <f>SUM(BK134:BK138)</f>
        <v>2517.2799999999997</v>
      </c>
    </row>
    <row r="134" spans="2:65" s="1" customFormat="1" ht="16.5" customHeight="1" x14ac:dyDescent="0.2">
      <c r="B134" s="118"/>
      <c r="C134" s="119" t="s">
        <v>235</v>
      </c>
      <c r="D134" s="119" t="s">
        <v>231</v>
      </c>
      <c r="E134" s="120" t="s">
        <v>1106</v>
      </c>
      <c r="F134" s="121" t="s">
        <v>1107</v>
      </c>
      <c r="G134" s="122" t="s">
        <v>292</v>
      </c>
      <c r="H134" s="123">
        <v>254</v>
      </c>
      <c r="I134" s="124">
        <v>0.81</v>
      </c>
      <c r="J134" s="124">
        <f>ROUND(I134*H134,2)</f>
        <v>205.74</v>
      </c>
      <c r="K134" s="121" t="s">
        <v>1</v>
      </c>
      <c r="L134" s="24"/>
      <c r="M134" s="125" t="s">
        <v>1</v>
      </c>
      <c r="N134" s="126" t="s">
        <v>32</v>
      </c>
      <c r="O134" s="127">
        <v>0</v>
      </c>
      <c r="P134" s="127">
        <f>O134*H134</f>
        <v>0</v>
      </c>
      <c r="Q134" s="127">
        <v>0</v>
      </c>
      <c r="R134" s="127">
        <f>Q134*H134</f>
        <v>0</v>
      </c>
      <c r="S134" s="127">
        <v>0</v>
      </c>
      <c r="T134" s="128">
        <f>S134*H134</f>
        <v>0</v>
      </c>
      <c r="AR134" s="129" t="s">
        <v>258</v>
      </c>
      <c r="AT134" s="129" t="s">
        <v>231</v>
      </c>
      <c r="AU134" s="129" t="s">
        <v>76</v>
      </c>
      <c r="AY134" s="13" t="s">
        <v>228</v>
      </c>
      <c r="BE134" s="130">
        <f>IF(N134="základná",J134,0)</f>
        <v>0</v>
      </c>
      <c r="BF134" s="130">
        <f>IF(N134="znížená",J134,0)</f>
        <v>205.74</v>
      </c>
      <c r="BG134" s="130">
        <f>IF(N134="zákl. prenesená",J134,0)</f>
        <v>0</v>
      </c>
      <c r="BH134" s="130">
        <f>IF(N134="zníž. prenesená",J134,0)</f>
        <v>0</v>
      </c>
      <c r="BI134" s="130">
        <f>IF(N134="nulová",J134,0)</f>
        <v>0</v>
      </c>
      <c r="BJ134" s="13" t="s">
        <v>76</v>
      </c>
      <c r="BK134" s="130">
        <f>ROUND(I134*H134,2)</f>
        <v>205.74</v>
      </c>
      <c r="BL134" s="13" t="s">
        <v>258</v>
      </c>
      <c r="BM134" s="129" t="s">
        <v>244</v>
      </c>
    </row>
    <row r="135" spans="2:65" s="1" customFormat="1" ht="16.5" customHeight="1" x14ac:dyDescent="0.2">
      <c r="B135" s="118"/>
      <c r="C135" s="119" t="s">
        <v>245</v>
      </c>
      <c r="D135" s="119" t="s">
        <v>231</v>
      </c>
      <c r="E135" s="120" t="s">
        <v>1108</v>
      </c>
      <c r="F135" s="121" t="s">
        <v>1109</v>
      </c>
      <c r="G135" s="122" t="s">
        <v>243</v>
      </c>
      <c r="H135" s="123">
        <v>22</v>
      </c>
      <c r="I135" s="124">
        <v>4.0599999999999996</v>
      </c>
      <c r="J135" s="124">
        <f>ROUND(I135*H135,2)</f>
        <v>89.32</v>
      </c>
      <c r="K135" s="121" t="s">
        <v>1</v>
      </c>
      <c r="L135" s="24"/>
      <c r="M135" s="125" t="s">
        <v>1</v>
      </c>
      <c r="N135" s="126" t="s">
        <v>32</v>
      </c>
      <c r="O135" s="127">
        <v>0</v>
      </c>
      <c r="P135" s="127">
        <f>O135*H135</f>
        <v>0</v>
      </c>
      <c r="Q135" s="127">
        <v>0</v>
      </c>
      <c r="R135" s="127">
        <f>Q135*H135</f>
        <v>0</v>
      </c>
      <c r="S135" s="127">
        <v>0</v>
      </c>
      <c r="T135" s="128">
        <f>S135*H135</f>
        <v>0</v>
      </c>
      <c r="AR135" s="129" t="s">
        <v>258</v>
      </c>
      <c r="AT135" s="129" t="s">
        <v>231</v>
      </c>
      <c r="AU135" s="129" t="s">
        <v>76</v>
      </c>
      <c r="AY135" s="13" t="s">
        <v>228</v>
      </c>
      <c r="BE135" s="130">
        <f>IF(N135="základná",J135,0)</f>
        <v>0</v>
      </c>
      <c r="BF135" s="130">
        <f>IF(N135="znížená",J135,0)</f>
        <v>89.32</v>
      </c>
      <c r="BG135" s="130">
        <f>IF(N135="zákl. prenesená",J135,0)</f>
        <v>0</v>
      </c>
      <c r="BH135" s="130">
        <f>IF(N135="zníž. prenesená",J135,0)</f>
        <v>0</v>
      </c>
      <c r="BI135" s="130">
        <f>IF(N135="nulová",J135,0)</f>
        <v>0</v>
      </c>
      <c r="BJ135" s="13" t="s">
        <v>76</v>
      </c>
      <c r="BK135" s="130">
        <f>ROUND(I135*H135,2)</f>
        <v>89.32</v>
      </c>
      <c r="BL135" s="13" t="s">
        <v>258</v>
      </c>
      <c r="BM135" s="129" t="s">
        <v>248</v>
      </c>
    </row>
    <row r="136" spans="2:65" s="1" customFormat="1" ht="24" customHeight="1" x14ac:dyDescent="0.2">
      <c r="B136" s="118"/>
      <c r="C136" s="119" t="s">
        <v>240</v>
      </c>
      <c r="D136" s="119" t="s">
        <v>231</v>
      </c>
      <c r="E136" s="120" t="s">
        <v>1110</v>
      </c>
      <c r="F136" s="121" t="s">
        <v>1111</v>
      </c>
      <c r="G136" s="122" t="s">
        <v>1112</v>
      </c>
      <c r="H136" s="123">
        <v>36</v>
      </c>
      <c r="I136" s="124">
        <v>33.67</v>
      </c>
      <c r="J136" s="124">
        <f>ROUND(I136*H136,2)</f>
        <v>1212.1199999999999</v>
      </c>
      <c r="K136" s="121" t="s">
        <v>1</v>
      </c>
      <c r="L136" s="24"/>
      <c r="M136" s="125" t="s">
        <v>1</v>
      </c>
      <c r="N136" s="126" t="s">
        <v>32</v>
      </c>
      <c r="O136" s="127">
        <v>0</v>
      </c>
      <c r="P136" s="127">
        <f>O136*H136</f>
        <v>0</v>
      </c>
      <c r="Q136" s="127">
        <v>0</v>
      </c>
      <c r="R136" s="127">
        <f>Q136*H136</f>
        <v>0</v>
      </c>
      <c r="S136" s="127">
        <v>0</v>
      </c>
      <c r="T136" s="128">
        <f>S136*H136</f>
        <v>0</v>
      </c>
      <c r="AR136" s="129" t="s">
        <v>258</v>
      </c>
      <c r="AT136" s="129" t="s">
        <v>231</v>
      </c>
      <c r="AU136" s="129" t="s">
        <v>76</v>
      </c>
      <c r="AY136" s="13" t="s">
        <v>228</v>
      </c>
      <c r="BE136" s="130">
        <f>IF(N136="základná",J136,0)</f>
        <v>0</v>
      </c>
      <c r="BF136" s="130">
        <f>IF(N136="znížená",J136,0)</f>
        <v>1212.1199999999999</v>
      </c>
      <c r="BG136" s="130">
        <f>IF(N136="zákl. prenesená",J136,0)</f>
        <v>0</v>
      </c>
      <c r="BH136" s="130">
        <f>IF(N136="zníž. prenesená",J136,0)</f>
        <v>0</v>
      </c>
      <c r="BI136" s="130">
        <f>IF(N136="nulová",J136,0)</f>
        <v>0</v>
      </c>
      <c r="BJ136" s="13" t="s">
        <v>76</v>
      </c>
      <c r="BK136" s="130">
        <f>ROUND(I136*H136,2)</f>
        <v>1212.1199999999999</v>
      </c>
      <c r="BL136" s="13" t="s">
        <v>258</v>
      </c>
      <c r="BM136" s="129" t="s">
        <v>251</v>
      </c>
    </row>
    <row r="137" spans="2:65" s="1" customFormat="1" ht="24" customHeight="1" x14ac:dyDescent="0.2">
      <c r="B137" s="118"/>
      <c r="C137" s="119" t="s">
        <v>252</v>
      </c>
      <c r="D137" s="119" t="s">
        <v>231</v>
      </c>
      <c r="E137" s="120" t="s">
        <v>1113</v>
      </c>
      <c r="F137" s="121" t="s">
        <v>1114</v>
      </c>
      <c r="G137" s="122" t="s">
        <v>1112</v>
      </c>
      <c r="H137" s="123">
        <v>6</v>
      </c>
      <c r="I137" s="124">
        <v>33.67</v>
      </c>
      <c r="J137" s="124">
        <f>ROUND(I137*H137,2)</f>
        <v>202.02</v>
      </c>
      <c r="K137" s="121" t="s">
        <v>1</v>
      </c>
      <c r="L137" s="24"/>
      <c r="M137" s="125" t="s">
        <v>1</v>
      </c>
      <c r="N137" s="126" t="s">
        <v>32</v>
      </c>
      <c r="O137" s="127">
        <v>0</v>
      </c>
      <c r="P137" s="127">
        <f>O137*H137</f>
        <v>0</v>
      </c>
      <c r="Q137" s="127">
        <v>0</v>
      </c>
      <c r="R137" s="127">
        <f>Q137*H137</f>
        <v>0</v>
      </c>
      <c r="S137" s="127">
        <v>0</v>
      </c>
      <c r="T137" s="128">
        <f>S137*H137</f>
        <v>0</v>
      </c>
      <c r="AR137" s="129" t="s">
        <v>258</v>
      </c>
      <c r="AT137" s="129" t="s">
        <v>231</v>
      </c>
      <c r="AU137" s="129" t="s">
        <v>76</v>
      </c>
      <c r="AY137" s="13" t="s">
        <v>228</v>
      </c>
      <c r="BE137" s="130">
        <f>IF(N137="základná",J137,0)</f>
        <v>0</v>
      </c>
      <c r="BF137" s="130">
        <f>IF(N137="znížená",J137,0)</f>
        <v>202.02</v>
      </c>
      <c r="BG137" s="130">
        <f>IF(N137="zákl. prenesená",J137,0)</f>
        <v>0</v>
      </c>
      <c r="BH137" s="130">
        <f>IF(N137="zníž. prenesená",J137,0)</f>
        <v>0</v>
      </c>
      <c r="BI137" s="130">
        <f>IF(N137="nulová",J137,0)</f>
        <v>0</v>
      </c>
      <c r="BJ137" s="13" t="s">
        <v>76</v>
      </c>
      <c r="BK137" s="130">
        <f>ROUND(I137*H137,2)</f>
        <v>202.02</v>
      </c>
      <c r="BL137" s="13" t="s">
        <v>258</v>
      </c>
      <c r="BM137" s="129" t="s">
        <v>255</v>
      </c>
    </row>
    <row r="138" spans="2:65" s="1" customFormat="1" ht="16.5" customHeight="1" x14ac:dyDescent="0.2">
      <c r="B138" s="118"/>
      <c r="C138" s="119" t="s">
        <v>244</v>
      </c>
      <c r="D138" s="119" t="s">
        <v>231</v>
      </c>
      <c r="E138" s="120" t="s">
        <v>1115</v>
      </c>
      <c r="F138" s="121" t="s">
        <v>1116</v>
      </c>
      <c r="G138" s="122" t="s">
        <v>1112</v>
      </c>
      <c r="H138" s="123">
        <v>24</v>
      </c>
      <c r="I138" s="124">
        <v>33.67</v>
      </c>
      <c r="J138" s="124">
        <f>ROUND(I138*H138,2)</f>
        <v>808.08</v>
      </c>
      <c r="K138" s="121" t="s">
        <v>1</v>
      </c>
      <c r="L138" s="24"/>
      <c r="M138" s="125" t="s">
        <v>1</v>
      </c>
      <c r="N138" s="126" t="s">
        <v>32</v>
      </c>
      <c r="O138" s="127">
        <v>0</v>
      </c>
      <c r="P138" s="127">
        <f>O138*H138</f>
        <v>0</v>
      </c>
      <c r="Q138" s="127">
        <v>0</v>
      </c>
      <c r="R138" s="127">
        <f>Q138*H138</f>
        <v>0</v>
      </c>
      <c r="S138" s="127">
        <v>0</v>
      </c>
      <c r="T138" s="128">
        <f>S138*H138</f>
        <v>0</v>
      </c>
      <c r="AR138" s="129" t="s">
        <v>258</v>
      </c>
      <c r="AT138" s="129" t="s">
        <v>231</v>
      </c>
      <c r="AU138" s="129" t="s">
        <v>76</v>
      </c>
      <c r="AY138" s="13" t="s">
        <v>228</v>
      </c>
      <c r="BE138" s="130">
        <f>IF(N138="základná",J138,0)</f>
        <v>0</v>
      </c>
      <c r="BF138" s="130">
        <f>IF(N138="znížená",J138,0)</f>
        <v>808.08</v>
      </c>
      <c r="BG138" s="130">
        <f>IF(N138="zákl. prenesená",J138,0)</f>
        <v>0</v>
      </c>
      <c r="BH138" s="130">
        <f>IF(N138="zníž. prenesená",J138,0)</f>
        <v>0</v>
      </c>
      <c r="BI138" s="130">
        <f>IF(N138="nulová",J138,0)</f>
        <v>0</v>
      </c>
      <c r="BJ138" s="13" t="s">
        <v>76</v>
      </c>
      <c r="BK138" s="130">
        <f>ROUND(I138*H138,2)</f>
        <v>808.08</v>
      </c>
      <c r="BL138" s="13" t="s">
        <v>258</v>
      </c>
      <c r="BM138" s="129" t="s">
        <v>258</v>
      </c>
    </row>
    <row r="139" spans="2:65" s="11" customFormat="1" ht="22.95" customHeight="1" x14ac:dyDescent="0.25">
      <c r="B139" s="106"/>
      <c r="D139" s="107" t="s">
        <v>57</v>
      </c>
      <c r="E139" s="116" t="s">
        <v>717</v>
      </c>
      <c r="F139" s="116" t="s">
        <v>718</v>
      </c>
      <c r="J139" s="117">
        <f>BK139</f>
        <v>585.20000000000005</v>
      </c>
      <c r="L139" s="106"/>
      <c r="M139" s="110"/>
      <c r="N139" s="111"/>
      <c r="O139" s="111"/>
      <c r="P139" s="112">
        <f>P140</f>
        <v>0</v>
      </c>
      <c r="Q139" s="111"/>
      <c r="R139" s="112">
        <f>R140</f>
        <v>0</v>
      </c>
      <c r="S139" s="111"/>
      <c r="T139" s="113">
        <f>T140</f>
        <v>0</v>
      </c>
      <c r="AR139" s="107" t="s">
        <v>76</v>
      </c>
      <c r="AT139" s="114" t="s">
        <v>57</v>
      </c>
      <c r="AU139" s="114" t="s">
        <v>63</v>
      </c>
      <c r="AY139" s="107" t="s">
        <v>228</v>
      </c>
      <c r="BK139" s="115">
        <f>BK140</f>
        <v>585.20000000000005</v>
      </c>
    </row>
    <row r="140" spans="2:65" s="1" customFormat="1" ht="16.5" customHeight="1" x14ac:dyDescent="0.2">
      <c r="B140" s="118"/>
      <c r="C140" s="119" t="s">
        <v>259</v>
      </c>
      <c r="D140" s="119" t="s">
        <v>231</v>
      </c>
      <c r="E140" s="120" t="s">
        <v>1117</v>
      </c>
      <c r="F140" s="121" t="s">
        <v>1118</v>
      </c>
      <c r="G140" s="122" t="s">
        <v>1035</v>
      </c>
      <c r="H140" s="123">
        <v>140</v>
      </c>
      <c r="I140" s="124">
        <v>4.18</v>
      </c>
      <c r="J140" s="124">
        <f>ROUND(I140*H140,2)</f>
        <v>585.20000000000005</v>
      </c>
      <c r="K140" s="121" t="s">
        <v>1</v>
      </c>
      <c r="L140" s="24"/>
      <c r="M140" s="125" t="s">
        <v>1</v>
      </c>
      <c r="N140" s="126" t="s">
        <v>32</v>
      </c>
      <c r="O140" s="127">
        <v>0</v>
      </c>
      <c r="P140" s="127">
        <f>O140*H140</f>
        <v>0</v>
      </c>
      <c r="Q140" s="127">
        <v>0</v>
      </c>
      <c r="R140" s="127">
        <f>Q140*H140</f>
        <v>0</v>
      </c>
      <c r="S140" s="127">
        <v>0</v>
      </c>
      <c r="T140" s="128">
        <f>S140*H140</f>
        <v>0</v>
      </c>
      <c r="AR140" s="129" t="s">
        <v>258</v>
      </c>
      <c r="AT140" s="129" t="s">
        <v>231</v>
      </c>
      <c r="AU140" s="129" t="s">
        <v>76</v>
      </c>
      <c r="AY140" s="13" t="s">
        <v>228</v>
      </c>
      <c r="BE140" s="130">
        <f>IF(N140="základná",J140,0)</f>
        <v>0</v>
      </c>
      <c r="BF140" s="130">
        <f>IF(N140="znížená",J140,0)</f>
        <v>585.20000000000005</v>
      </c>
      <c r="BG140" s="130">
        <f>IF(N140="zákl. prenesená",J140,0)</f>
        <v>0</v>
      </c>
      <c r="BH140" s="130">
        <f>IF(N140="zníž. prenesená",J140,0)</f>
        <v>0</v>
      </c>
      <c r="BI140" s="130">
        <f>IF(N140="nulová",J140,0)</f>
        <v>0</v>
      </c>
      <c r="BJ140" s="13" t="s">
        <v>76</v>
      </c>
      <c r="BK140" s="130">
        <f>ROUND(I140*H140,2)</f>
        <v>585.20000000000005</v>
      </c>
      <c r="BL140" s="13" t="s">
        <v>258</v>
      </c>
      <c r="BM140" s="129" t="s">
        <v>262</v>
      </c>
    </row>
    <row r="141" spans="2:65" s="11" customFormat="1" ht="22.95" customHeight="1" x14ac:dyDescent="0.25">
      <c r="B141" s="106"/>
      <c r="D141" s="107" t="s">
        <v>57</v>
      </c>
      <c r="E141" s="116" t="s">
        <v>882</v>
      </c>
      <c r="F141" s="116" t="s">
        <v>883</v>
      </c>
      <c r="J141" s="117">
        <f>BK141</f>
        <v>233.66000000000003</v>
      </c>
      <c r="L141" s="106"/>
      <c r="M141" s="110"/>
      <c r="N141" s="111"/>
      <c r="O141" s="111"/>
      <c r="P141" s="112">
        <f>SUM(P142:P143)</f>
        <v>0</v>
      </c>
      <c r="Q141" s="111"/>
      <c r="R141" s="112">
        <f>SUM(R142:R143)</f>
        <v>0</v>
      </c>
      <c r="S141" s="111"/>
      <c r="T141" s="113">
        <f>SUM(T142:T143)</f>
        <v>0</v>
      </c>
      <c r="AR141" s="107" t="s">
        <v>76</v>
      </c>
      <c r="AT141" s="114" t="s">
        <v>57</v>
      </c>
      <c r="AU141" s="114" t="s">
        <v>63</v>
      </c>
      <c r="AY141" s="107" t="s">
        <v>228</v>
      </c>
      <c r="BK141" s="115">
        <f>SUM(BK142:BK143)</f>
        <v>233.66000000000003</v>
      </c>
    </row>
    <row r="142" spans="2:65" s="1" customFormat="1" ht="16.5" customHeight="1" x14ac:dyDescent="0.2">
      <c r="B142" s="118"/>
      <c r="C142" s="119" t="s">
        <v>248</v>
      </c>
      <c r="D142" s="119" t="s">
        <v>231</v>
      </c>
      <c r="E142" s="120" t="s">
        <v>1119</v>
      </c>
      <c r="F142" s="121" t="s">
        <v>1120</v>
      </c>
      <c r="G142" s="122" t="s">
        <v>284</v>
      </c>
      <c r="H142" s="123">
        <v>11.18</v>
      </c>
      <c r="I142" s="124">
        <v>9.2899999999999991</v>
      </c>
      <c r="J142" s="124">
        <f>ROUND(I142*H142,2)</f>
        <v>103.86</v>
      </c>
      <c r="K142" s="121" t="s">
        <v>1</v>
      </c>
      <c r="L142" s="24"/>
      <c r="M142" s="125" t="s">
        <v>1</v>
      </c>
      <c r="N142" s="126" t="s">
        <v>32</v>
      </c>
      <c r="O142" s="127">
        <v>0</v>
      </c>
      <c r="P142" s="127">
        <f>O142*H142</f>
        <v>0</v>
      </c>
      <c r="Q142" s="127">
        <v>0</v>
      </c>
      <c r="R142" s="127">
        <f>Q142*H142</f>
        <v>0</v>
      </c>
      <c r="S142" s="127">
        <v>0</v>
      </c>
      <c r="T142" s="128">
        <f>S142*H142</f>
        <v>0</v>
      </c>
      <c r="AR142" s="129" t="s">
        <v>258</v>
      </c>
      <c r="AT142" s="129" t="s">
        <v>231</v>
      </c>
      <c r="AU142" s="129" t="s">
        <v>76</v>
      </c>
      <c r="AY142" s="13" t="s">
        <v>228</v>
      </c>
      <c r="BE142" s="130">
        <f>IF(N142="základná",J142,0)</f>
        <v>0</v>
      </c>
      <c r="BF142" s="130">
        <f>IF(N142="znížená",J142,0)</f>
        <v>103.86</v>
      </c>
      <c r="BG142" s="130">
        <f>IF(N142="zákl. prenesená",J142,0)</f>
        <v>0</v>
      </c>
      <c r="BH142" s="130">
        <f>IF(N142="zníž. prenesená",J142,0)</f>
        <v>0</v>
      </c>
      <c r="BI142" s="130">
        <f>IF(N142="nulová",J142,0)</f>
        <v>0</v>
      </c>
      <c r="BJ142" s="13" t="s">
        <v>76</v>
      </c>
      <c r="BK142" s="130">
        <f>ROUND(I142*H142,2)</f>
        <v>103.86</v>
      </c>
      <c r="BL142" s="13" t="s">
        <v>258</v>
      </c>
      <c r="BM142" s="129" t="s">
        <v>7</v>
      </c>
    </row>
    <row r="143" spans="2:65" s="1" customFormat="1" ht="16.5" customHeight="1" x14ac:dyDescent="0.2">
      <c r="B143" s="118"/>
      <c r="C143" s="119" t="s">
        <v>265</v>
      </c>
      <c r="D143" s="119" t="s">
        <v>231</v>
      </c>
      <c r="E143" s="120" t="s">
        <v>1121</v>
      </c>
      <c r="F143" s="121" t="s">
        <v>1122</v>
      </c>
      <c r="G143" s="122" t="s">
        <v>284</v>
      </c>
      <c r="H143" s="123">
        <v>11.18</v>
      </c>
      <c r="I143" s="124">
        <v>11.61</v>
      </c>
      <c r="J143" s="124">
        <f>ROUND(I143*H143,2)</f>
        <v>129.80000000000001</v>
      </c>
      <c r="K143" s="121" t="s">
        <v>1</v>
      </c>
      <c r="L143" s="24"/>
      <c r="M143" s="125" t="s">
        <v>1</v>
      </c>
      <c r="N143" s="126" t="s">
        <v>32</v>
      </c>
      <c r="O143" s="127">
        <v>0</v>
      </c>
      <c r="P143" s="127">
        <f>O143*H143</f>
        <v>0</v>
      </c>
      <c r="Q143" s="127">
        <v>0</v>
      </c>
      <c r="R143" s="127">
        <f>Q143*H143</f>
        <v>0</v>
      </c>
      <c r="S143" s="127">
        <v>0</v>
      </c>
      <c r="T143" s="128">
        <f>S143*H143</f>
        <v>0</v>
      </c>
      <c r="AR143" s="129" t="s">
        <v>258</v>
      </c>
      <c r="AT143" s="129" t="s">
        <v>231</v>
      </c>
      <c r="AU143" s="129" t="s">
        <v>76</v>
      </c>
      <c r="AY143" s="13" t="s">
        <v>228</v>
      </c>
      <c r="BE143" s="130">
        <f>IF(N143="základná",J143,0)</f>
        <v>0</v>
      </c>
      <c r="BF143" s="130">
        <f>IF(N143="znížená",J143,0)</f>
        <v>129.80000000000001</v>
      </c>
      <c r="BG143" s="130">
        <f>IF(N143="zákl. prenesená",J143,0)</f>
        <v>0</v>
      </c>
      <c r="BH143" s="130">
        <f>IF(N143="zníž. prenesená",J143,0)</f>
        <v>0</v>
      </c>
      <c r="BI143" s="130">
        <f>IF(N143="nulová",J143,0)</f>
        <v>0</v>
      </c>
      <c r="BJ143" s="13" t="s">
        <v>76</v>
      </c>
      <c r="BK143" s="130">
        <f>ROUND(I143*H143,2)</f>
        <v>129.80000000000001</v>
      </c>
      <c r="BL143" s="13" t="s">
        <v>258</v>
      </c>
      <c r="BM143" s="129" t="s">
        <v>268</v>
      </c>
    </row>
    <row r="144" spans="2:65" s="11" customFormat="1" ht="25.95" customHeight="1" x14ac:dyDescent="0.25">
      <c r="B144" s="106"/>
      <c r="D144" s="107" t="s">
        <v>57</v>
      </c>
      <c r="E144" s="108" t="s">
        <v>277</v>
      </c>
      <c r="F144" s="108" t="s">
        <v>1123</v>
      </c>
      <c r="J144" s="109">
        <f>J145+J146+J147+J156</f>
        <v>23619.59</v>
      </c>
      <c r="L144" s="106"/>
      <c r="M144" s="110"/>
      <c r="N144" s="111"/>
      <c r="O144" s="111"/>
      <c r="P144" s="112" t="e">
        <f>P145+P146+P147+P156+#REF!</f>
        <v>#REF!</v>
      </c>
      <c r="Q144" s="111"/>
      <c r="R144" s="112" t="e">
        <f>R145+R146+R147+R156+#REF!</f>
        <v>#REF!</v>
      </c>
      <c r="S144" s="111"/>
      <c r="T144" s="113" t="e">
        <f>T145+T146+T147+T156+#REF!</f>
        <v>#REF!</v>
      </c>
      <c r="AR144" s="107" t="s">
        <v>229</v>
      </c>
      <c r="AT144" s="114" t="s">
        <v>57</v>
      </c>
      <c r="AU144" s="114" t="s">
        <v>58</v>
      </c>
      <c r="AY144" s="107" t="s">
        <v>228</v>
      </c>
      <c r="BK144" s="115" t="e">
        <f>BK145+BK146+BK147+BK156+#REF!</f>
        <v>#REF!</v>
      </c>
    </row>
    <row r="145" spans="2:65" s="1" customFormat="1" ht="16.5" customHeight="1" x14ac:dyDescent="0.2">
      <c r="B145" s="118"/>
      <c r="C145" s="119" t="s">
        <v>251</v>
      </c>
      <c r="D145" s="119" t="s">
        <v>231</v>
      </c>
      <c r="E145" s="120" t="s">
        <v>1124</v>
      </c>
      <c r="F145" s="121" t="s">
        <v>1125</v>
      </c>
      <c r="G145" s="122" t="s">
        <v>1126</v>
      </c>
      <c r="H145" s="123">
        <v>292</v>
      </c>
      <c r="I145" s="124">
        <v>1.04</v>
      </c>
      <c r="J145" s="124">
        <f>ROUND(I145*H145,2)</f>
        <v>303.68</v>
      </c>
      <c r="K145" s="121" t="s">
        <v>1</v>
      </c>
      <c r="L145" s="24"/>
      <c r="M145" s="125" t="s">
        <v>1</v>
      </c>
      <c r="N145" s="126" t="s">
        <v>32</v>
      </c>
      <c r="O145" s="127">
        <v>0</v>
      </c>
      <c r="P145" s="127">
        <f>O145*H145</f>
        <v>0</v>
      </c>
      <c r="Q145" s="127">
        <v>0</v>
      </c>
      <c r="R145" s="127">
        <f>Q145*H145</f>
        <v>0</v>
      </c>
      <c r="S145" s="127">
        <v>0</v>
      </c>
      <c r="T145" s="128">
        <f>S145*H145</f>
        <v>0</v>
      </c>
      <c r="AR145" s="129" t="s">
        <v>347</v>
      </c>
      <c r="AT145" s="129" t="s">
        <v>231</v>
      </c>
      <c r="AU145" s="129" t="s">
        <v>63</v>
      </c>
      <c r="AY145" s="13" t="s">
        <v>228</v>
      </c>
      <c r="BE145" s="130">
        <f>IF(N145="základná",J145,0)</f>
        <v>0</v>
      </c>
      <c r="BF145" s="130">
        <f>IF(N145="znížená",J145,0)</f>
        <v>303.68</v>
      </c>
      <c r="BG145" s="130">
        <f>IF(N145="zákl. prenesená",J145,0)</f>
        <v>0</v>
      </c>
      <c r="BH145" s="130">
        <f>IF(N145="zníž. prenesená",J145,0)</f>
        <v>0</v>
      </c>
      <c r="BI145" s="130">
        <f>IF(N145="nulová",J145,0)</f>
        <v>0</v>
      </c>
      <c r="BJ145" s="13" t="s">
        <v>76</v>
      </c>
      <c r="BK145" s="130">
        <f>ROUND(I145*H145,2)</f>
        <v>303.68</v>
      </c>
      <c r="BL145" s="13" t="s">
        <v>347</v>
      </c>
      <c r="BM145" s="129" t="s">
        <v>272</v>
      </c>
    </row>
    <row r="146" spans="2:65" s="1" customFormat="1" ht="16.5" customHeight="1" x14ac:dyDescent="0.2">
      <c r="B146" s="118"/>
      <c r="C146" s="119" t="s">
        <v>273</v>
      </c>
      <c r="D146" s="119" t="s">
        <v>231</v>
      </c>
      <c r="E146" s="120" t="s">
        <v>1127</v>
      </c>
      <c r="F146" s="121" t="s">
        <v>1128</v>
      </c>
      <c r="G146" s="122" t="s">
        <v>1112</v>
      </c>
      <c r="H146" s="123">
        <v>9</v>
      </c>
      <c r="I146" s="124">
        <v>29.03</v>
      </c>
      <c r="J146" s="124">
        <f>ROUND(I146*H146,2)</f>
        <v>261.27</v>
      </c>
      <c r="K146" s="121" t="s">
        <v>1</v>
      </c>
      <c r="L146" s="24"/>
      <c r="M146" s="125" t="s">
        <v>1</v>
      </c>
      <c r="N146" s="126" t="s">
        <v>32</v>
      </c>
      <c r="O146" s="127">
        <v>0</v>
      </c>
      <c r="P146" s="127">
        <f>O146*H146</f>
        <v>0</v>
      </c>
      <c r="Q146" s="127">
        <v>0</v>
      </c>
      <c r="R146" s="127">
        <f>Q146*H146</f>
        <v>0</v>
      </c>
      <c r="S146" s="127">
        <v>0</v>
      </c>
      <c r="T146" s="128">
        <f>S146*H146</f>
        <v>0</v>
      </c>
      <c r="AR146" s="129" t="s">
        <v>347</v>
      </c>
      <c r="AT146" s="129" t="s">
        <v>231</v>
      </c>
      <c r="AU146" s="129" t="s">
        <v>63</v>
      </c>
      <c r="AY146" s="13" t="s">
        <v>228</v>
      </c>
      <c r="BE146" s="130">
        <f>IF(N146="základná",J146,0)</f>
        <v>0</v>
      </c>
      <c r="BF146" s="130">
        <f>IF(N146="znížená",J146,0)</f>
        <v>261.27</v>
      </c>
      <c r="BG146" s="130">
        <f>IF(N146="zákl. prenesená",J146,0)</f>
        <v>0</v>
      </c>
      <c r="BH146" s="130">
        <f>IF(N146="zníž. prenesená",J146,0)</f>
        <v>0</v>
      </c>
      <c r="BI146" s="130">
        <f>IF(N146="nulová",J146,0)</f>
        <v>0</v>
      </c>
      <c r="BJ146" s="13" t="s">
        <v>76</v>
      </c>
      <c r="BK146" s="130">
        <f>ROUND(I146*H146,2)</f>
        <v>261.27</v>
      </c>
      <c r="BL146" s="13" t="s">
        <v>347</v>
      </c>
      <c r="BM146" s="129" t="s">
        <v>276</v>
      </c>
    </row>
    <row r="147" spans="2:65" s="11" customFormat="1" ht="22.95" customHeight="1" x14ac:dyDescent="0.25">
      <c r="B147" s="106"/>
      <c r="D147" s="107" t="s">
        <v>57</v>
      </c>
      <c r="E147" s="116" t="s">
        <v>1129</v>
      </c>
      <c r="F147" s="116" t="s">
        <v>1130</v>
      </c>
      <c r="J147" s="117">
        <f>BK147</f>
        <v>5734.44</v>
      </c>
      <c r="L147" s="106"/>
      <c r="M147" s="110"/>
      <c r="N147" s="111"/>
      <c r="O147" s="111"/>
      <c r="P147" s="112">
        <f>SUM(P148:P155)</f>
        <v>0</v>
      </c>
      <c r="Q147" s="111"/>
      <c r="R147" s="112">
        <f>SUM(R148:R155)</f>
        <v>0</v>
      </c>
      <c r="S147" s="111"/>
      <c r="T147" s="113">
        <f>SUM(T148:T155)</f>
        <v>0</v>
      </c>
      <c r="AR147" s="107" t="s">
        <v>229</v>
      </c>
      <c r="AT147" s="114" t="s">
        <v>57</v>
      </c>
      <c r="AU147" s="114" t="s">
        <v>63</v>
      </c>
      <c r="AY147" s="107" t="s">
        <v>228</v>
      </c>
      <c r="BK147" s="115">
        <f>SUM(BK148:BK155)</f>
        <v>5734.44</v>
      </c>
    </row>
    <row r="148" spans="2:65" s="1" customFormat="1" ht="24" customHeight="1" x14ac:dyDescent="0.2">
      <c r="B148" s="118"/>
      <c r="C148" s="119" t="s">
        <v>255</v>
      </c>
      <c r="D148" s="119" t="s">
        <v>231</v>
      </c>
      <c r="E148" s="120" t="s">
        <v>1131</v>
      </c>
      <c r="F148" s="121" t="s">
        <v>1132</v>
      </c>
      <c r="G148" s="122" t="s">
        <v>292</v>
      </c>
      <c r="H148" s="123">
        <v>254</v>
      </c>
      <c r="I148" s="124">
        <v>0.38</v>
      </c>
      <c r="J148" s="124">
        <f t="shared" ref="J148:J155" si="0">ROUND(I148*H148,2)</f>
        <v>96.52</v>
      </c>
      <c r="K148" s="121" t="s">
        <v>1</v>
      </c>
      <c r="L148" s="24"/>
      <c r="M148" s="125" t="s">
        <v>1</v>
      </c>
      <c r="N148" s="126" t="s">
        <v>32</v>
      </c>
      <c r="O148" s="127">
        <v>0</v>
      </c>
      <c r="P148" s="127">
        <f t="shared" ref="P148:P155" si="1">O148*H148</f>
        <v>0</v>
      </c>
      <c r="Q148" s="127">
        <v>0</v>
      </c>
      <c r="R148" s="127">
        <f t="shared" ref="R148:R155" si="2">Q148*H148</f>
        <v>0</v>
      </c>
      <c r="S148" s="127">
        <v>0</v>
      </c>
      <c r="T148" s="128">
        <f t="shared" ref="T148:T155" si="3">S148*H148</f>
        <v>0</v>
      </c>
      <c r="AR148" s="129" t="s">
        <v>347</v>
      </c>
      <c r="AT148" s="129" t="s">
        <v>231</v>
      </c>
      <c r="AU148" s="129" t="s">
        <v>76</v>
      </c>
      <c r="AY148" s="13" t="s">
        <v>228</v>
      </c>
      <c r="BE148" s="130">
        <f t="shared" ref="BE148:BE155" si="4">IF(N148="základná",J148,0)</f>
        <v>0</v>
      </c>
      <c r="BF148" s="130">
        <f t="shared" ref="BF148:BF155" si="5">IF(N148="znížená",J148,0)</f>
        <v>96.52</v>
      </c>
      <c r="BG148" s="130">
        <f t="shared" ref="BG148:BG155" si="6">IF(N148="zákl. prenesená",J148,0)</f>
        <v>0</v>
      </c>
      <c r="BH148" s="130">
        <f t="shared" ref="BH148:BH155" si="7">IF(N148="zníž. prenesená",J148,0)</f>
        <v>0</v>
      </c>
      <c r="BI148" s="130">
        <f t="shared" ref="BI148:BI155" si="8">IF(N148="nulová",J148,0)</f>
        <v>0</v>
      </c>
      <c r="BJ148" s="13" t="s">
        <v>76</v>
      </c>
      <c r="BK148" s="130">
        <f t="shared" ref="BK148:BK155" si="9">ROUND(I148*H148,2)</f>
        <v>96.52</v>
      </c>
      <c r="BL148" s="13" t="s">
        <v>347</v>
      </c>
      <c r="BM148" s="129" t="s">
        <v>280</v>
      </c>
    </row>
    <row r="149" spans="2:65" s="1" customFormat="1" ht="16.5" customHeight="1" x14ac:dyDescent="0.2">
      <c r="B149" s="118"/>
      <c r="C149" s="119" t="s">
        <v>281</v>
      </c>
      <c r="D149" s="119" t="s">
        <v>231</v>
      </c>
      <c r="E149" s="120" t="s">
        <v>1133</v>
      </c>
      <c r="F149" s="121" t="s">
        <v>1134</v>
      </c>
      <c r="G149" s="122" t="s">
        <v>292</v>
      </c>
      <c r="H149" s="123">
        <v>76</v>
      </c>
      <c r="I149" s="124">
        <v>16.96</v>
      </c>
      <c r="J149" s="124">
        <f t="shared" si="0"/>
        <v>1288.96</v>
      </c>
      <c r="K149" s="121" t="s">
        <v>1</v>
      </c>
      <c r="L149" s="24"/>
      <c r="M149" s="125" t="s">
        <v>1</v>
      </c>
      <c r="N149" s="126" t="s">
        <v>32</v>
      </c>
      <c r="O149" s="127">
        <v>0</v>
      </c>
      <c r="P149" s="127">
        <f t="shared" si="1"/>
        <v>0</v>
      </c>
      <c r="Q149" s="127">
        <v>0</v>
      </c>
      <c r="R149" s="127">
        <f t="shared" si="2"/>
        <v>0</v>
      </c>
      <c r="S149" s="127">
        <v>0</v>
      </c>
      <c r="T149" s="128">
        <f t="shared" si="3"/>
        <v>0</v>
      </c>
      <c r="AR149" s="129" t="s">
        <v>347</v>
      </c>
      <c r="AT149" s="129" t="s">
        <v>231</v>
      </c>
      <c r="AU149" s="129" t="s">
        <v>76</v>
      </c>
      <c r="AY149" s="13" t="s">
        <v>228</v>
      </c>
      <c r="BE149" s="130">
        <f t="shared" si="4"/>
        <v>0</v>
      </c>
      <c r="BF149" s="130">
        <f t="shared" si="5"/>
        <v>1288.96</v>
      </c>
      <c r="BG149" s="130">
        <f t="shared" si="6"/>
        <v>0</v>
      </c>
      <c r="BH149" s="130">
        <f t="shared" si="7"/>
        <v>0</v>
      </c>
      <c r="BI149" s="130">
        <f t="shared" si="8"/>
        <v>0</v>
      </c>
      <c r="BJ149" s="13" t="s">
        <v>76</v>
      </c>
      <c r="BK149" s="130">
        <f t="shared" si="9"/>
        <v>1288.96</v>
      </c>
      <c r="BL149" s="13" t="s">
        <v>347</v>
      </c>
      <c r="BM149" s="129" t="s">
        <v>285</v>
      </c>
    </row>
    <row r="150" spans="2:65" s="1" customFormat="1" ht="16.5" customHeight="1" x14ac:dyDescent="0.2">
      <c r="B150" s="118"/>
      <c r="C150" s="119" t="s">
        <v>258</v>
      </c>
      <c r="D150" s="119" t="s">
        <v>231</v>
      </c>
      <c r="E150" s="120" t="s">
        <v>1135</v>
      </c>
      <c r="F150" s="121" t="s">
        <v>1136</v>
      </c>
      <c r="G150" s="122" t="s">
        <v>292</v>
      </c>
      <c r="H150" s="123">
        <v>178</v>
      </c>
      <c r="I150" s="124">
        <v>20.29</v>
      </c>
      <c r="J150" s="124">
        <f t="shared" si="0"/>
        <v>3611.62</v>
      </c>
      <c r="K150" s="121" t="s">
        <v>1</v>
      </c>
      <c r="L150" s="24"/>
      <c r="M150" s="125" t="s">
        <v>1</v>
      </c>
      <c r="N150" s="126" t="s">
        <v>32</v>
      </c>
      <c r="O150" s="127">
        <v>0</v>
      </c>
      <c r="P150" s="127">
        <f t="shared" si="1"/>
        <v>0</v>
      </c>
      <c r="Q150" s="127">
        <v>0</v>
      </c>
      <c r="R150" s="127">
        <f t="shared" si="2"/>
        <v>0</v>
      </c>
      <c r="S150" s="127">
        <v>0</v>
      </c>
      <c r="T150" s="128">
        <f t="shared" si="3"/>
        <v>0</v>
      </c>
      <c r="AR150" s="129" t="s">
        <v>347</v>
      </c>
      <c r="AT150" s="129" t="s">
        <v>231</v>
      </c>
      <c r="AU150" s="129" t="s">
        <v>76</v>
      </c>
      <c r="AY150" s="13" t="s">
        <v>228</v>
      </c>
      <c r="BE150" s="130">
        <f t="shared" si="4"/>
        <v>0</v>
      </c>
      <c r="BF150" s="130">
        <f t="shared" si="5"/>
        <v>3611.62</v>
      </c>
      <c r="BG150" s="130">
        <f t="shared" si="6"/>
        <v>0</v>
      </c>
      <c r="BH150" s="130">
        <f t="shared" si="7"/>
        <v>0</v>
      </c>
      <c r="BI150" s="130">
        <f t="shared" si="8"/>
        <v>0</v>
      </c>
      <c r="BJ150" s="13" t="s">
        <v>76</v>
      </c>
      <c r="BK150" s="130">
        <f t="shared" si="9"/>
        <v>3611.62</v>
      </c>
      <c r="BL150" s="13" t="s">
        <v>347</v>
      </c>
      <c r="BM150" s="129" t="s">
        <v>288</v>
      </c>
    </row>
    <row r="151" spans="2:65" s="1" customFormat="1" ht="16.5" customHeight="1" x14ac:dyDescent="0.2">
      <c r="B151" s="118"/>
      <c r="C151" s="119" t="s">
        <v>289</v>
      </c>
      <c r="D151" s="119" t="s">
        <v>231</v>
      </c>
      <c r="E151" s="120" t="s">
        <v>1137</v>
      </c>
      <c r="F151" s="121" t="s">
        <v>1138</v>
      </c>
      <c r="G151" s="122" t="s">
        <v>292</v>
      </c>
      <c r="H151" s="123">
        <v>10.5</v>
      </c>
      <c r="I151" s="124">
        <v>14.95</v>
      </c>
      <c r="J151" s="124">
        <f t="shared" si="0"/>
        <v>156.97999999999999</v>
      </c>
      <c r="K151" s="121" t="s">
        <v>1</v>
      </c>
      <c r="L151" s="24"/>
      <c r="M151" s="125" t="s">
        <v>1</v>
      </c>
      <c r="N151" s="126" t="s">
        <v>32</v>
      </c>
      <c r="O151" s="127">
        <v>0</v>
      </c>
      <c r="P151" s="127">
        <f t="shared" si="1"/>
        <v>0</v>
      </c>
      <c r="Q151" s="127">
        <v>0</v>
      </c>
      <c r="R151" s="127">
        <f t="shared" si="2"/>
        <v>0</v>
      </c>
      <c r="S151" s="127">
        <v>0</v>
      </c>
      <c r="T151" s="128">
        <f t="shared" si="3"/>
        <v>0</v>
      </c>
      <c r="AR151" s="129" t="s">
        <v>347</v>
      </c>
      <c r="AT151" s="129" t="s">
        <v>231</v>
      </c>
      <c r="AU151" s="129" t="s">
        <v>76</v>
      </c>
      <c r="AY151" s="13" t="s">
        <v>228</v>
      </c>
      <c r="BE151" s="130">
        <f t="shared" si="4"/>
        <v>0</v>
      </c>
      <c r="BF151" s="130">
        <f t="shared" si="5"/>
        <v>156.97999999999999</v>
      </c>
      <c r="BG151" s="130">
        <f t="shared" si="6"/>
        <v>0</v>
      </c>
      <c r="BH151" s="130">
        <f t="shared" si="7"/>
        <v>0</v>
      </c>
      <c r="BI151" s="130">
        <f t="shared" si="8"/>
        <v>0</v>
      </c>
      <c r="BJ151" s="13" t="s">
        <v>76</v>
      </c>
      <c r="BK151" s="130">
        <f t="shared" si="9"/>
        <v>156.97999999999999</v>
      </c>
      <c r="BL151" s="13" t="s">
        <v>347</v>
      </c>
      <c r="BM151" s="129" t="s">
        <v>293</v>
      </c>
    </row>
    <row r="152" spans="2:65" s="1" customFormat="1" ht="16.5" customHeight="1" x14ac:dyDescent="0.2">
      <c r="B152" s="118"/>
      <c r="C152" s="119" t="s">
        <v>262</v>
      </c>
      <c r="D152" s="119" t="s">
        <v>231</v>
      </c>
      <c r="E152" s="120" t="s">
        <v>1139</v>
      </c>
      <c r="F152" s="121" t="s">
        <v>1140</v>
      </c>
      <c r="G152" s="122" t="s">
        <v>292</v>
      </c>
      <c r="H152" s="123">
        <v>72</v>
      </c>
      <c r="I152" s="124">
        <v>2.9</v>
      </c>
      <c r="J152" s="124">
        <f t="shared" si="0"/>
        <v>208.8</v>
      </c>
      <c r="K152" s="121" t="s">
        <v>1</v>
      </c>
      <c r="L152" s="24"/>
      <c r="M152" s="125" t="s">
        <v>1</v>
      </c>
      <c r="N152" s="126" t="s">
        <v>32</v>
      </c>
      <c r="O152" s="127">
        <v>0</v>
      </c>
      <c r="P152" s="127">
        <f t="shared" si="1"/>
        <v>0</v>
      </c>
      <c r="Q152" s="127">
        <v>0</v>
      </c>
      <c r="R152" s="127">
        <f t="shared" si="2"/>
        <v>0</v>
      </c>
      <c r="S152" s="127">
        <v>0</v>
      </c>
      <c r="T152" s="128">
        <f t="shared" si="3"/>
        <v>0</v>
      </c>
      <c r="AR152" s="129" t="s">
        <v>347</v>
      </c>
      <c r="AT152" s="129" t="s">
        <v>231</v>
      </c>
      <c r="AU152" s="129" t="s">
        <v>76</v>
      </c>
      <c r="AY152" s="13" t="s">
        <v>228</v>
      </c>
      <c r="BE152" s="130">
        <f t="shared" si="4"/>
        <v>0</v>
      </c>
      <c r="BF152" s="130">
        <f t="shared" si="5"/>
        <v>208.8</v>
      </c>
      <c r="BG152" s="130">
        <f t="shared" si="6"/>
        <v>0</v>
      </c>
      <c r="BH152" s="130">
        <f t="shared" si="7"/>
        <v>0</v>
      </c>
      <c r="BI152" s="130">
        <f t="shared" si="8"/>
        <v>0</v>
      </c>
      <c r="BJ152" s="13" t="s">
        <v>76</v>
      </c>
      <c r="BK152" s="130">
        <f t="shared" si="9"/>
        <v>208.8</v>
      </c>
      <c r="BL152" s="13" t="s">
        <v>347</v>
      </c>
      <c r="BM152" s="129" t="s">
        <v>296</v>
      </c>
    </row>
    <row r="153" spans="2:65" s="1" customFormat="1" ht="16.5" customHeight="1" x14ac:dyDescent="0.2">
      <c r="B153" s="118"/>
      <c r="C153" s="119" t="s">
        <v>297</v>
      </c>
      <c r="D153" s="119" t="s">
        <v>231</v>
      </c>
      <c r="E153" s="120" t="s">
        <v>1141</v>
      </c>
      <c r="F153" s="121" t="s">
        <v>1142</v>
      </c>
      <c r="G153" s="122" t="s">
        <v>243</v>
      </c>
      <c r="H153" s="123">
        <v>4</v>
      </c>
      <c r="I153" s="124">
        <v>81.27</v>
      </c>
      <c r="J153" s="124">
        <f t="shared" si="0"/>
        <v>325.08</v>
      </c>
      <c r="K153" s="121" t="s">
        <v>1</v>
      </c>
      <c r="L153" s="24"/>
      <c r="M153" s="125" t="s">
        <v>1</v>
      </c>
      <c r="N153" s="126" t="s">
        <v>32</v>
      </c>
      <c r="O153" s="127">
        <v>0</v>
      </c>
      <c r="P153" s="127">
        <f t="shared" si="1"/>
        <v>0</v>
      </c>
      <c r="Q153" s="127">
        <v>0</v>
      </c>
      <c r="R153" s="127">
        <f t="shared" si="2"/>
        <v>0</v>
      </c>
      <c r="S153" s="127">
        <v>0</v>
      </c>
      <c r="T153" s="128">
        <f t="shared" si="3"/>
        <v>0</v>
      </c>
      <c r="AR153" s="129" t="s">
        <v>347</v>
      </c>
      <c r="AT153" s="129" t="s">
        <v>231</v>
      </c>
      <c r="AU153" s="129" t="s">
        <v>76</v>
      </c>
      <c r="AY153" s="13" t="s">
        <v>228</v>
      </c>
      <c r="BE153" s="130">
        <f t="shared" si="4"/>
        <v>0</v>
      </c>
      <c r="BF153" s="130">
        <f t="shared" si="5"/>
        <v>325.08</v>
      </c>
      <c r="BG153" s="130">
        <f t="shared" si="6"/>
        <v>0</v>
      </c>
      <c r="BH153" s="130">
        <f t="shared" si="7"/>
        <v>0</v>
      </c>
      <c r="BI153" s="130">
        <f t="shared" si="8"/>
        <v>0</v>
      </c>
      <c r="BJ153" s="13" t="s">
        <v>76</v>
      </c>
      <c r="BK153" s="130">
        <f t="shared" si="9"/>
        <v>325.08</v>
      </c>
      <c r="BL153" s="13" t="s">
        <v>347</v>
      </c>
      <c r="BM153" s="129" t="s">
        <v>300</v>
      </c>
    </row>
    <row r="154" spans="2:65" s="1" customFormat="1" ht="16.5" customHeight="1" x14ac:dyDescent="0.2">
      <c r="B154" s="118"/>
      <c r="C154" s="119" t="s">
        <v>7</v>
      </c>
      <c r="D154" s="119" t="s">
        <v>231</v>
      </c>
      <c r="E154" s="120" t="s">
        <v>1143</v>
      </c>
      <c r="F154" s="121" t="s">
        <v>1144</v>
      </c>
      <c r="G154" s="122" t="s">
        <v>243</v>
      </c>
      <c r="H154" s="123">
        <v>4</v>
      </c>
      <c r="I154" s="124">
        <v>5.81</v>
      </c>
      <c r="J154" s="124">
        <f t="shared" si="0"/>
        <v>23.24</v>
      </c>
      <c r="K154" s="121" t="s">
        <v>1</v>
      </c>
      <c r="L154" s="24"/>
      <c r="M154" s="125" t="s">
        <v>1</v>
      </c>
      <c r="N154" s="126" t="s">
        <v>32</v>
      </c>
      <c r="O154" s="127">
        <v>0</v>
      </c>
      <c r="P154" s="127">
        <f t="shared" si="1"/>
        <v>0</v>
      </c>
      <c r="Q154" s="127">
        <v>0</v>
      </c>
      <c r="R154" s="127">
        <f t="shared" si="2"/>
        <v>0</v>
      </c>
      <c r="S154" s="127">
        <v>0</v>
      </c>
      <c r="T154" s="128">
        <f t="shared" si="3"/>
        <v>0</v>
      </c>
      <c r="AR154" s="129" t="s">
        <v>347</v>
      </c>
      <c r="AT154" s="129" t="s">
        <v>231</v>
      </c>
      <c r="AU154" s="129" t="s">
        <v>76</v>
      </c>
      <c r="AY154" s="13" t="s">
        <v>228</v>
      </c>
      <c r="BE154" s="130">
        <f t="shared" si="4"/>
        <v>0</v>
      </c>
      <c r="BF154" s="130">
        <f t="shared" si="5"/>
        <v>23.24</v>
      </c>
      <c r="BG154" s="130">
        <f t="shared" si="6"/>
        <v>0</v>
      </c>
      <c r="BH154" s="130">
        <f t="shared" si="7"/>
        <v>0</v>
      </c>
      <c r="BI154" s="130">
        <f t="shared" si="8"/>
        <v>0</v>
      </c>
      <c r="BJ154" s="13" t="s">
        <v>76</v>
      </c>
      <c r="BK154" s="130">
        <f t="shared" si="9"/>
        <v>23.24</v>
      </c>
      <c r="BL154" s="13" t="s">
        <v>347</v>
      </c>
      <c r="BM154" s="129" t="s">
        <v>303</v>
      </c>
    </row>
    <row r="155" spans="2:65" s="1" customFormat="1" ht="24" customHeight="1" x14ac:dyDescent="0.2">
      <c r="B155" s="118"/>
      <c r="C155" s="119" t="s">
        <v>305</v>
      </c>
      <c r="D155" s="119" t="s">
        <v>231</v>
      </c>
      <c r="E155" s="120" t="s">
        <v>1145</v>
      </c>
      <c r="F155" s="121" t="s">
        <v>1146</v>
      </c>
      <c r="G155" s="122" t="s">
        <v>243</v>
      </c>
      <c r="H155" s="123">
        <v>4</v>
      </c>
      <c r="I155" s="124">
        <v>5.81</v>
      </c>
      <c r="J155" s="124">
        <f t="shared" si="0"/>
        <v>23.24</v>
      </c>
      <c r="K155" s="121" t="s">
        <v>1</v>
      </c>
      <c r="L155" s="24"/>
      <c r="M155" s="125" t="s">
        <v>1</v>
      </c>
      <c r="N155" s="126" t="s">
        <v>32</v>
      </c>
      <c r="O155" s="127">
        <v>0</v>
      </c>
      <c r="P155" s="127">
        <f t="shared" si="1"/>
        <v>0</v>
      </c>
      <c r="Q155" s="127">
        <v>0</v>
      </c>
      <c r="R155" s="127">
        <f t="shared" si="2"/>
        <v>0</v>
      </c>
      <c r="S155" s="127">
        <v>0</v>
      </c>
      <c r="T155" s="128">
        <f t="shared" si="3"/>
        <v>0</v>
      </c>
      <c r="AR155" s="129" t="s">
        <v>347</v>
      </c>
      <c r="AT155" s="129" t="s">
        <v>231</v>
      </c>
      <c r="AU155" s="129" t="s">
        <v>76</v>
      </c>
      <c r="AY155" s="13" t="s">
        <v>228</v>
      </c>
      <c r="BE155" s="130">
        <f t="shared" si="4"/>
        <v>0</v>
      </c>
      <c r="BF155" s="130">
        <f t="shared" si="5"/>
        <v>23.24</v>
      </c>
      <c r="BG155" s="130">
        <f t="shared" si="6"/>
        <v>0</v>
      </c>
      <c r="BH155" s="130">
        <f t="shared" si="7"/>
        <v>0</v>
      </c>
      <c r="BI155" s="130">
        <f t="shared" si="8"/>
        <v>0</v>
      </c>
      <c r="BJ155" s="13" t="s">
        <v>76</v>
      </c>
      <c r="BK155" s="130">
        <f t="shared" si="9"/>
        <v>23.24</v>
      </c>
      <c r="BL155" s="13" t="s">
        <v>347</v>
      </c>
      <c r="BM155" s="129" t="s">
        <v>308</v>
      </c>
    </row>
    <row r="156" spans="2:65" s="11" customFormat="1" ht="22.95" customHeight="1" x14ac:dyDescent="0.25">
      <c r="B156" s="106"/>
      <c r="D156" s="107" t="s">
        <v>57</v>
      </c>
      <c r="E156" s="116" t="s">
        <v>1147</v>
      </c>
      <c r="F156" s="116" t="s">
        <v>1148</v>
      </c>
      <c r="J156" s="117">
        <f>BK156</f>
        <v>17320.2</v>
      </c>
      <c r="L156" s="106"/>
      <c r="M156" s="110"/>
      <c r="N156" s="111"/>
      <c r="O156" s="111"/>
      <c r="P156" s="112">
        <f>SUM(P157:P167)</f>
        <v>0</v>
      </c>
      <c r="Q156" s="111"/>
      <c r="R156" s="112">
        <f>SUM(R157:R167)</f>
        <v>0</v>
      </c>
      <c r="S156" s="111"/>
      <c r="T156" s="113">
        <f>SUM(T157:T167)</f>
        <v>0</v>
      </c>
      <c r="AR156" s="107" t="s">
        <v>235</v>
      </c>
      <c r="AT156" s="114" t="s">
        <v>57</v>
      </c>
      <c r="AU156" s="114" t="s">
        <v>63</v>
      </c>
      <c r="AY156" s="107" t="s">
        <v>228</v>
      </c>
      <c r="BK156" s="115">
        <f>SUM(BK157:BK167)</f>
        <v>17320.2</v>
      </c>
    </row>
    <row r="157" spans="2:65" s="1" customFormat="1" ht="16.5" customHeight="1" x14ac:dyDescent="0.2">
      <c r="B157" s="118"/>
      <c r="C157" s="119" t="s">
        <v>268</v>
      </c>
      <c r="D157" s="119" t="s">
        <v>231</v>
      </c>
      <c r="E157" s="120" t="s">
        <v>1149</v>
      </c>
      <c r="F157" s="121" t="s">
        <v>1150</v>
      </c>
      <c r="G157" s="122" t="s">
        <v>243</v>
      </c>
      <c r="H157" s="123">
        <v>72</v>
      </c>
      <c r="I157" s="124">
        <v>6.97</v>
      </c>
      <c r="J157" s="124">
        <f t="shared" ref="J157:J167" si="10">ROUND(I157*H157,2)</f>
        <v>501.84</v>
      </c>
      <c r="K157" s="121" t="s">
        <v>1</v>
      </c>
      <c r="L157" s="24"/>
      <c r="M157" s="125" t="s">
        <v>1</v>
      </c>
      <c r="N157" s="126" t="s">
        <v>32</v>
      </c>
      <c r="O157" s="127">
        <v>0</v>
      </c>
      <c r="P157" s="127">
        <f t="shared" ref="P157:P167" si="11">O157*H157</f>
        <v>0</v>
      </c>
      <c r="Q157" s="127">
        <v>0</v>
      </c>
      <c r="R157" s="127">
        <f t="shared" ref="R157:R167" si="12">Q157*H157</f>
        <v>0</v>
      </c>
      <c r="S157" s="127">
        <v>0</v>
      </c>
      <c r="T157" s="128">
        <f t="shared" ref="T157:T167" si="13">S157*H157</f>
        <v>0</v>
      </c>
      <c r="AR157" s="129" t="s">
        <v>1151</v>
      </c>
      <c r="AT157" s="129" t="s">
        <v>231</v>
      </c>
      <c r="AU157" s="129" t="s">
        <v>76</v>
      </c>
      <c r="AY157" s="13" t="s">
        <v>228</v>
      </c>
      <c r="BE157" s="130">
        <f t="shared" ref="BE157:BE167" si="14">IF(N157="základná",J157,0)</f>
        <v>0</v>
      </c>
      <c r="BF157" s="130">
        <f t="shared" ref="BF157:BF167" si="15">IF(N157="znížená",J157,0)</f>
        <v>501.84</v>
      </c>
      <c r="BG157" s="130">
        <f t="shared" ref="BG157:BG167" si="16">IF(N157="zákl. prenesená",J157,0)</f>
        <v>0</v>
      </c>
      <c r="BH157" s="130">
        <f t="shared" ref="BH157:BH167" si="17">IF(N157="zníž. prenesená",J157,0)</f>
        <v>0</v>
      </c>
      <c r="BI157" s="130">
        <f t="shared" ref="BI157:BI167" si="18">IF(N157="nulová",J157,0)</f>
        <v>0</v>
      </c>
      <c r="BJ157" s="13" t="s">
        <v>76</v>
      </c>
      <c r="BK157" s="130">
        <f t="shared" ref="BK157:BK167" si="19">ROUND(I157*H157,2)</f>
        <v>501.84</v>
      </c>
      <c r="BL157" s="13" t="s">
        <v>1151</v>
      </c>
      <c r="BM157" s="129" t="s">
        <v>312</v>
      </c>
    </row>
    <row r="158" spans="2:65" s="1" customFormat="1" ht="24" customHeight="1" x14ac:dyDescent="0.2">
      <c r="B158" s="118"/>
      <c r="C158" s="119" t="s">
        <v>313</v>
      </c>
      <c r="D158" s="119" t="s">
        <v>231</v>
      </c>
      <c r="E158" s="120" t="s">
        <v>1152</v>
      </c>
      <c r="F158" s="121" t="s">
        <v>1153</v>
      </c>
      <c r="G158" s="122" t="s">
        <v>243</v>
      </c>
      <c r="H158" s="123">
        <v>18</v>
      </c>
      <c r="I158" s="124">
        <v>146.29</v>
      </c>
      <c r="J158" s="124">
        <f t="shared" si="10"/>
        <v>2633.22</v>
      </c>
      <c r="K158" s="121" t="s">
        <v>1</v>
      </c>
      <c r="L158" s="24"/>
      <c r="M158" s="125" t="s">
        <v>1</v>
      </c>
      <c r="N158" s="126" t="s">
        <v>32</v>
      </c>
      <c r="O158" s="127">
        <v>0</v>
      </c>
      <c r="P158" s="127">
        <f t="shared" si="11"/>
        <v>0</v>
      </c>
      <c r="Q158" s="127">
        <v>0</v>
      </c>
      <c r="R158" s="127">
        <f t="shared" si="12"/>
        <v>0</v>
      </c>
      <c r="S158" s="127">
        <v>0</v>
      </c>
      <c r="T158" s="128">
        <f t="shared" si="13"/>
        <v>0</v>
      </c>
      <c r="AR158" s="129" t="s">
        <v>1151</v>
      </c>
      <c r="AT158" s="129" t="s">
        <v>231</v>
      </c>
      <c r="AU158" s="129" t="s">
        <v>76</v>
      </c>
      <c r="AY158" s="13" t="s">
        <v>228</v>
      </c>
      <c r="BE158" s="130">
        <f t="shared" si="14"/>
        <v>0</v>
      </c>
      <c r="BF158" s="130">
        <f t="shared" si="15"/>
        <v>2633.22</v>
      </c>
      <c r="BG158" s="130">
        <f t="shared" si="16"/>
        <v>0</v>
      </c>
      <c r="BH158" s="130">
        <f t="shared" si="17"/>
        <v>0</v>
      </c>
      <c r="BI158" s="130">
        <f t="shared" si="18"/>
        <v>0</v>
      </c>
      <c r="BJ158" s="13" t="s">
        <v>76</v>
      </c>
      <c r="BK158" s="130">
        <f t="shared" si="19"/>
        <v>2633.22</v>
      </c>
      <c r="BL158" s="13" t="s">
        <v>1151</v>
      </c>
      <c r="BM158" s="129" t="s">
        <v>316</v>
      </c>
    </row>
    <row r="159" spans="2:65" s="1" customFormat="1" ht="24" customHeight="1" x14ac:dyDescent="0.2">
      <c r="B159" s="118"/>
      <c r="C159" s="131" t="s">
        <v>272</v>
      </c>
      <c r="D159" s="131" t="s">
        <v>277</v>
      </c>
      <c r="E159" s="132" t="s">
        <v>1154</v>
      </c>
      <c r="F159" s="133" t="s">
        <v>1155</v>
      </c>
      <c r="G159" s="134" t="s">
        <v>243</v>
      </c>
      <c r="H159" s="135">
        <v>4</v>
      </c>
      <c r="I159" s="136">
        <v>1497.69</v>
      </c>
      <c r="J159" s="136">
        <f t="shared" si="10"/>
        <v>5990.76</v>
      </c>
      <c r="K159" s="133" t="s">
        <v>1</v>
      </c>
      <c r="L159" s="137"/>
      <c r="M159" s="138" t="s">
        <v>1</v>
      </c>
      <c r="N159" s="139" t="s">
        <v>32</v>
      </c>
      <c r="O159" s="127">
        <v>0</v>
      </c>
      <c r="P159" s="127">
        <f t="shared" si="11"/>
        <v>0</v>
      </c>
      <c r="Q159" s="127">
        <v>0</v>
      </c>
      <c r="R159" s="127">
        <f t="shared" si="12"/>
        <v>0</v>
      </c>
      <c r="S159" s="127">
        <v>0</v>
      </c>
      <c r="T159" s="128">
        <f t="shared" si="13"/>
        <v>0</v>
      </c>
      <c r="AR159" s="129" t="s">
        <v>1151</v>
      </c>
      <c r="AT159" s="129" t="s">
        <v>277</v>
      </c>
      <c r="AU159" s="129" t="s">
        <v>76</v>
      </c>
      <c r="AY159" s="13" t="s">
        <v>228</v>
      </c>
      <c r="BE159" s="130">
        <f t="shared" si="14"/>
        <v>0</v>
      </c>
      <c r="BF159" s="130">
        <f t="shared" si="15"/>
        <v>5990.76</v>
      </c>
      <c r="BG159" s="130">
        <f t="shared" si="16"/>
        <v>0</v>
      </c>
      <c r="BH159" s="130">
        <f t="shared" si="17"/>
        <v>0</v>
      </c>
      <c r="BI159" s="130">
        <f t="shared" si="18"/>
        <v>0</v>
      </c>
      <c r="BJ159" s="13" t="s">
        <v>76</v>
      </c>
      <c r="BK159" s="130">
        <f t="shared" si="19"/>
        <v>5990.76</v>
      </c>
      <c r="BL159" s="13" t="s">
        <v>1151</v>
      </c>
      <c r="BM159" s="129" t="s">
        <v>319</v>
      </c>
    </row>
    <row r="160" spans="2:65" s="1" customFormat="1" ht="16.5" customHeight="1" x14ac:dyDescent="0.2">
      <c r="B160" s="118"/>
      <c r="C160" s="131" t="s">
        <v>320</v>
      </c>
      <c r="D160" s="131" t="s">
        <v>277</v>
      </c>
      <c r="E160" s="132" t="s">
        <v>1156</v>
      </c>
      <c r="F160" s="133" t="s">
        <v>1157</v>
      </c>
      <c r="G160" s="134" t="s">
        <v>243</v>
      </c>
      <c r="H160" s="135">
        <v>4</v>
      </c>
      <c r="I160" s="136">
        <v>1625.4</v>
      </c>
      <c r="J160" s="136">
        <f t="shared" si="10"/>
        <v>6501.6</v>
      </c>
      <c r="K160" s="133" t="s">
        <v>1</v>
      </c>
      <c r="L160" s="137"/>
      <c r="M160" s="138" t="s">
        <v>1</v>
      </c>
      <c r="N160" s="139" t="s">
        <v>32</v>
      </c>
      <c r="O160" s="127">
        <v>0</v>
      </c>
      <c r="P160" s="127">
        <f t="shared" si="11"/>
        <v>0</v>
      </c>
      <c r="Q160" s="127">
        <v>0</v>
      </c>
      <c r="R160" s="127">
        <f t="shared" si="12"/>
        <v>0</v>
      </c>
      <c r="S160" s="127">
        <v>0</v>
      </c>
      <c r="T160" s="128">
        <f t="shared" si="13"/>
        <v>0</v>
      </c>
      <c r="AR160" s="129" t="s">
        <v>1151</v>
      </c>
      <c r="AT160" s="129" t="s">
        <v>277</v>
      </c>
      <c r="AU160" s="129" t="s">
        <v>76</v>
      </c>
      <c r="AY160" s="13" t="s">
        <v>228</v>
      </c>
      <c r="BE160" s="130">
        <f t="shared" si="14"/>
        <v>0</v>
      </c>
      <c r="BF160" s="130">
        <f t="shared" si="15"/>
        <v>6501.6</v>
      </c>
      <c r="BG160" s="130">
        <f t="shared" si="16"/>
        <v>0</v>
      </c>
      <c r="BH160" s="130">
        <f t="shared" si="17"/>
        <v>0</v>
      </c>
      <c r="BI160" s="130">
        <f t="shared" si="18"/>
        <v>0</v>
      </c>
      <c r="BJ160" s="13" t="s">
        <v>76</v>
      </c>
      <c r="BK160" s="130">
        <f t="shared" si="19"/>
        <v>6501.6</v>
      </c>
      <c r="BL160" s="13" t="s">
        <v>1151</v>
      </c>
      <c r="BM160" s="129" t="s">
        <v>323</v>
      </c>
    </row>
    <row r="161" spans="2:65" s="1" customFormat="1" ht="16.5" customHeight="1" x14ac:dyDescent="0.2">
      <c r="B161" s="118"/>
      <c r="C161" s="131" t="s">
        <v>276</v>
      </c>
      <c r="D161" s="131" t="s">
        <v>277</v>
      </c>
      <c r="E161" s="132" t="s">
        <v>1158</v>
      </c>
      <c r="F161" s="133" t="s">
        <v>1159</v>
      </c>
      <c r="G161" s="134" t="s">
        <v>243</v>
      </c>
      <c r="H161" s="135">
        <v>34</v>
      </c>
      <c r="I161" s="136">
        <v>2.2400000000000002</v>
      </c>
      <c r="J161" s="136">
        <f t="shared" si="10"/>
        <v>76.16</v>
      </c>
      <c r="K161" s="133" t="s">
        <v>1</v>
      </c>
      <c r="L161" s="137"/>
      <c r="M161" s="138" t="s">
        <v>1</v>
      </c>
      <c r="N161" s="139" t="s">
        <v>32</v>
      </c>
      <c r="O161" s="127">
        <v>0</v>
      </c>
      <c r="P161" s="127">
        <f t="shared" si="11"/>
        <v>0</v>
      </c>
      <c r="Q161" s="127">
        <v>0</v>
      </c>
      <c r="R161" s="127">
        <f t="shared" si="12"/>
        <v>0</v>
      </c>
      <c r="S161" s="127">
        <v>0</v>
      </c>
      <c r="T161" s="128">
        <f t="shared" si="13"/>
        <v>0</v>
      </c>
      <c r="AR161" s="129" t="s">
        <v>1151</v>
      </c>
      <c r="AT161" s="129" t="s">
        <v>277</v>
      </c>
      <c r="AU161" s="129" t="s">
        <v>76</v>
      </c>
      <c r="AY161" s="13" t="s">
        <v>228</v>
      </c>
      <c r="BE161" s="130">
        <f t="shared" si="14"/>
        <v>0</v>
      </c>
      <c r="BF161" s="130">
        <f t="shared" si="15"/>
        <v>76.16</v>
      </c>
      <c r="BG161" s="130">
        <f t="shared" si="16"/>
        <v>0</v>
      </c>
      <c r="BH161" s="130">
        <f t="shared" si="17"/>
        <v>0</v>
      </c>
      <c r="BI161" s="130">
        <f t="shared" si="18"/>
        <v>0</v>
      </c>
      <c r="BJ161" s="13" t="s">
        <v>76</v>
      </c>
      <c r="BK161" s="130">
        <f t="shared" si="19"/>
        <v>76.16</v>
      </c>
      <c r="BL161" s="13" t="s">
        <v>1151</v>
      </c>
      <c r="BM161" s="129" t="s">
        <v>326</v>
      </c>
    </row>
    <row r="162" spans="2:65" s="1" customFormat="1" ht="16.5" customHeight="1" x14ac:dyDescent="0.2">
      <c r="B162" s="118"/>
      <c r="C162" s="131" t="s">
        <v>327</v>
      </c>
      <c r="D162" s="131" t="s">
        <v>277</v>
      </c>
      <c r="E162" s="132" t="s">
        <v>1160</v>
      </c>
      <c r="F162" s="133" t="s">
        <v>1161</v>
      </c>
      <c r="G162" s="134" t="s">
        <v>243</v>
      </c>
      <c r="H162" s="135">
        <v>20</v>
      </c>
      <c r="I162" s="136">
        <v>3.2</v>
      </c>
      <c r="J162" s="136">
        <f t="shared" si="10"/>
        <v>64</v>
      </c>
      <c r="K162" s="133" t="s">
        <v>1</v>
      </c>
      <c r="L162" s="137"/>
      <c r="M162" s="138" t="s">
        <v>1</v>
      </c>
      <c r="N162" s="139" t="s">
        <v>32</v>
      </c>
      <c r="O162" s="127">
        <v>0</v>
      </c>
      <c r="P162" s="127">
        <f t="shared" si="11"/>
        <v>0</v>
      </c>
      <c r="Q162" s="127">
        <v>0</v>
      </c>
      <c r="R162" s="127">
        <f t="shared" si="12"/>
        <v>0</v>
      </c>
      <c r="S162" s="127">
        <v>0</v>
      </c>
      <c r="T162" s="128">
        <f t="shared" si="13"/>
        <v>0</v>
      </c>
      <c r="AR162" s="129" t="s">
        <v>1151</v>
      </c>
      <c r="AT162" s="129" t="s">
        <v>277</v>
      </c>
      <c r="AU162" s="129" t="s">
        <v>76</v>
      </c>
      <c r="AY162" s="13" t="s">
        <v>228</v>
      </c>
      <c r="BE162" s="130">
        <f t="shared" si="14"/>
        <v>0</v>
      </c>
      <c r="BF162" s="130">
        <f t="shared" si="15"/>
        <v>64</v>
      </c>
      <c r="BG162" s="130">
        <f t="shared" si="16"/>
        <v>0</v>
      </c>
      <c r="BH162" s="130">
        <f t="shared" si="17"/>
        <v>0</v>
      </c>
      <c r="BI162" s="130">
        <f t="shared" si="18"/>
        <v>0</v>
      </c>
      <c r="BJ162" s="13" t="s">
        <v>76</v>
      </c>
      <c r="BK162" s="130">
        <f t="shared" si="19"/>
        <v>64</v>
      </c>
      <c r="BL162" s="13" t="s">
        <v>1151</v>
      </c>
      <c r="BM162" s="129" t="s">
        <v>330</v>
      </c>
    </row>
    <row r="163" spans="2:65" s="1" customFormat="1" ht="16.5" customHeight="1" x14ac:dyDescent="0.2">
      <c r="B163" s="118"/>
      <c r="C163" s="131" t="s">
        <v>280</v>
      </c>
      <c r="D163" s="131" t="s">
        <v>277</v>
      </c>
      <c r="E163" s="132" t="s">
        <v>1162</v>
      </c>
      <c r="F163" s="133" t="s">
        <v>1163</v>
      </c>
      <c r="G163" s="134" t="s">
        <v>243</v>
      </c>
      <c r="H163" s="135">
        <v>2</v>
      </c>
      <c r="I163" s="136">
        <v>4.5</v>
      </c>
      <c r="J163" s="136">
        <f t="shared" si="10"/>
        <v>9</v>
      </c>
      <c r="K163" s="133" t="s">
        <v>1</v>
      </c>
      <c r="L163" s="137"/>
      <c r="M163" s="138" t="s">
        <v>1</v>
      </c>
      <c r="N163" s="139" t="s">
        <v>32</v>
      </c>
      <c r="O163" s="127">
        <v>0</v>
      </c>
      <c r="P163" s="127">
        <f t="shared" si="11"/>
        <v>0</v>
      </c>
      <c r="Q163" s="127">
        <v>0</v>
      </c>
      <c r="R163" s="127">
        <f t="shared" si="12"/>
        <v>0</v>
      </c>
      <c r="S163" s="127">
        <v>0</v>
      </c>
      <c r="T163" s="128">
        <f t="shared" si="13"/>
        <v>0</v>
      </c>
      <c r="AR163" s="129" t="s">
        <v>1151</v>
      </c>
      <c r="AT163" s="129" t="s">
        <v>277</v>
      </c>
      <c r="AU163" s="129" t="s">
        <v>76</v>
      </c>
      <c r="AY163" s="13" t="s">
        <v>228</v>
      </c>
      <c r="BE163" s="130">
        <f t="shared" si="14"/>
        <v>0</v>
      </c>
      <c r="BF163" s="130">
        <f t="shared" si="15"/>
        <v>9</v>
      </c>
      <c r="BG163" s="130">
        <f t="shared" si="16"/>
        <v>0</v>
      </c>
      <c r="BH163" s="130">
        <f t="shared" si="17"/>
        <v>0</v>
      </c>
      <c r="BI163" s="130">
        <f t="shared" si="18"/>
        <v>0</v>
      </c>
      <c r="BJ163" s="13" t="s">
        <v>76</v>
      </c>
      <c r="BK163" s="130">
        <f t="shared" si="19"/>
        <v>9</v>
      </c>
      <c r="BL163" s="13" t="s">
        <v>1151</v>
      </c>
      <c r="BM163" s="129" t="s">
        <v>333</v>
      </c>
    </row>
    <row r="164" spans="2:65" s="1" customFormat="1" ht="16.5" customHeight="1" x14ac:dyDescent="0.2">
      <c r="B164" s="118"/>
      <c r="C164" s="131" t="s">
        <v>334</v>
      </c>
      <c r="D164" s="131" t="s">
        <v>277</v>
      </c>
      <c r="E164" s="132" t="s">
        <v>1164</v>
      </c>
      <c r="F164" s="133" t="s">
        <v>1165</v>
      </c>
      <c r="G164" s="134" t="s">
        <v>243</v>
      </c>
      <c r="H164" s="135">
        <v>2</v>
      </c>
      <c r="I164" s="136">
        <v>4.5</v>
      </c>
      <c r="J164" s="136">
        <f t="shared" si="10"/>
        <v>9</v>
      </c>
      <c r="K164" s="133" t="s">
        <v>1</v>
      </c>
      <c r="L164" s="137"/>
      <c r="M164" s="138" t="s">
        <v>1</v>
      </c>
      <c r="N164" s="139" t="s">
        <v>32</v>
      </c>
      <c r="O164" s="127">
        <v>0</v>
      </c>
      <c r="P164" s="127">
        <f t="shared" si="11"/>
        <v>0</v>
      </c>
      <c r="Q164" s="127">
        <v>0</v>
      </c>
      <c r="R164" s="127">
        <f t="shared" si="12"/>
        <v>0</v>
      </c>
      <c r="S164" s="127">
        <v>0</v>
      </c>
      <c r="T164" s="128">
        <f t="shared" si="13"/>
        <v>0</v>
      </c>
      <c r="AR164" s="129" t="s">
        <v>1151</v>
      </c>
      <c r="AT164" s="129" t="s">
        <v>277</v>
      </c>
      <c r="AU164" s="129" t="s">
        <v>76</v>
      </c>
      <c r="AY164" s="13" t="s">
        <v>228</v>
      </c>
      <c r="BE164" s="130">
        <f t="shared" si="14"/>
        <v>0</v>
      </c>
      <c r="BF164" s="130">
        <f t="shared" si="15"/>
        <v>9</v>
      </c>
      <c r="BG164" s="130">
        <f t="shared" si="16"/>
        <v>0</v>
      </c>
      <c r="BH164" s="130">
        <f t="shared" si="17"/>
        <v>0</v>
      </c>
      <c r="BI164" s="130">
        <f t="shared" si="18"/>
        <v>0</v>
      </c>
      <c r="BJ164" s="13" t="s">
        <v>76</v>
      </c>
      <c r="BK164" s="130">
        <f t="shared" si="19"/>
        <v>9</v>
      </c>
      <c r="BL164" s="13" t="s">
        <v>1151</v>
      </c>
      <c r="BM164" s="129" t="s">
        <v>337</v>
      </c>
    </row>
    <row r="165" spans="2:65" s="1" customFormat="1" ht="16.5" customHeight="1" x14ac:dyDescent="0.2">
      <c r="B165" s="118"/>
      <c r="C165" s="131" t="s">
        <v>285</v>
      </c>
      <c r="D165" s="131" t="s">
        <v>277</v>
      </c>
      <c r="E165" s="132" t="s">
        <v>1166</v>
      </c>
      <c r="F165" s="133" t="s">
        <v>1167</v>
      </c>
      <c r="G165" s="134" t="s">
        <v>243</v>
      </c>
      <c r="H165" s="135">
        <v>22</v>
      </c>
      <c r="I165" s="136">
        <v>4.5</v>
      </c>
      <c r="J165" s="136">
        <f t="shared" si="10"/>
        <v>99</v>
      </c>
      <c r="K165" s="133" t="s">
        <v>1</v>
      </c>
      <c r="L165" s="137"/>
      <c r="M165" s="138" t="s">
        <v>1</v>
      </c>
      <c r="N165" s="139" t="s">
        <v>32</v>
      </c>
      <c r="O165" s="127">
        <v>0</v>
      </c>
      <c r="P165" s="127">
        <f t="shared" si="11"/>
        <v>0</v>
      </c>
      <c r="Q165" s="127">
        <v>0</v>
      </c>
      <c r="R165" s="127">
        <f t="shared" si="12"/>
        <v>0</v>
      </c>
      <c r="S165" s="127">
        <v>0</v>
      </c>
      <c r="T165" s="128">
        <f t="shared" si="13"/>
        <v>0</v>
      </c>
      <c r="AR165" s="129" t="s">
        <v>1151</v>
      </c>
      <c r="AT165" s="129" t="s">
        <v>277</v>
      </c>
      <c r="AU165" s="129" t="s">
        <v>76</v>
      </c>
      <c r="AY165" s="13" t="s">
        <v>228</v>
      </c>
      <c r="BE165" s="130">
        <f t="shared" si="14"/>
        <v>0</v>
      </c>
      <c r="BF165" s="130">
        <f t="shared" si="15"/>
        <v>99</v>
      </c>
      <c r="BG165" s="130">
        <f t="shared" si="16"/>
        <v>0</v>
      </c>
      <c r="BH165" s="130">
        <f t="shared" si="17"/>
        <v>0</v>
      </c>
      <c r="BI165" s="130">
        <f t="shared" si="18"/>
        <v>0</v>
      </c>
      <c r="BJ165" s="13" t="s">
        <v>76</v>
      </c>
      <c r="BK165" s="130">
        <f t="shared" si="19"/>
        <v>99</v>
      </c>
      <c r="BL165" s="13" t="s">
        <v>1151</v>
      </c>
      <c r="BM165" s="129" t="s">
        <v>340</v>
      </c>
    </row>
    <row r="166" spans="2:65" s="1" customFormat="1" ht="16.5" customHeight="1" x14ac:dyDescent="0.2">
      <c r="B166" s="118"/>
      <c r="C166" s="131" t="s">
        <v>341</v>
      </c>
      <c r="D166" s="131" t="s">
        <v>277</v>
      </c>
      <c r="E166" s="132" t="s">
        <v>1168</v>
      </c>
      <c r="F166" s="133" t="s">
        <v>1169</v>
      </c>
      <c r="G166" s="134" t="s">
        <v>243</v>
      </c>
      <c r="H166" s="135">
        <v>14</v>
      </c>
      <c r="I166" s="136">
        <v>3.03</v>
      </c>
      <c r="J166" s="136">
        <f t="shared" si="10"/>
        <v>42.42</v>
      </c>
      <c r="K166" s="133" t="s">
        <v>1</v>
      </c>
      <c r="L166" s="137"/>
      <c r="M166" s="138" t="s">
        <v>1</v>
      </c>
      <c r="N166" s="139" t="s">
        <v>32</v>
      </c>
      <c r="O166" s="127">
        <v>0</v>
      </c>
      <c r="P166" s="127">
        <f t="shared" si="11"/>
        <v>0</v>
      </c>
      <c r="Q166" s="127">
        <v>0</v>
      </c>
      <c r="R166" s="127">
        <f t="shared" si="12"/>
        <v>0</v>
      </c>
      <c r="S166" s="127">
        <v>0</v>
      </c>
      <c r="T166" s="128">
        <f t="shared" si="13"/>
        <v>0</v>
      </c>
      <c r="AR166" s="129" t="s">
        <v>1151</v>
      </c>
      <c r="AT166" s="129" t="s">
        <v>277</v>
      </c>
      <c r="AU166" s="129" t="s">
        <v>76</v>
      </c>
      <c r="AY166" s="13" t="s">
        <v>228</v>
      </c>
      <c r="BE166" s="130">
        <f t="shared" si="14"/>
        <v>0</v>
      </c>
      <c r="BF166" s="130">
        <f t="shared" si="15"/>
        <v>42.42</v>
      </c>
      <c r="BG166" s="130">
        <f t="shared" si="16"/>
        <v>0</v>
      </c>
      <c r="BH166" s="130">
        <f t="shared" si="17"/>
        <v>0</v>
      </c>
      <c r="BI166" s="130">
        <f t="shared" si="18"/>
        <v>0</v>
      </c>
      <c r="BJ166" s="13" t="s">
        <v>76</v>
      </c>
      <c r="BK166" s="130">
        <f t="shared" si="19"/>
        <v>42.42</v>
      </c>
      <c r="BL166" s="13" t="s">
        <v>1151</v>
      </c>
      <c r="BM166" s="129" t="s">
        <v>344</v>
      </c>
    </row>
    <row r="167" spans="2:65" s="1" customFormat="1" ht="16.5" customHeight="1" x14ac:dyDescent="0.2">
      <c r="B167" s="118"/>
      <c r="C167" s="119" t="s">
        <v>288</v>
      </c>
      <c r="D167" s="119" t="s">
        <v>231</v>
      </c>
      <c r="E167" s="120" t="s">
        <v>1170</v>
      </c>
      <c r="F167" s="121" t="s">
        <v>1171</v>
      </c>
      <c r="G167" s="122" t="s">
        <v>243</v>
      </c>
      <c r="H167" s="123">
        <v>1</v>
      </c>
      <c r="I167" s="124">
        <v>1393.2</v>
      </c>
      <c r="J167" s="124">
        <f t="shared" si="10"/>
        <v>1393.2</v>
      </c>
      <c r="K167" s="121" t="s">
        <v>1</v>
      </c>
      <c r="L167" s="24"/>
      <c r="M167" s="125" t="s">
        <v>1</v>
      </c>
      <c r="N167" s="126" t="s">
        <v>32</v>
      </c>
      <c r="O167" s="127">
        <v>0</v>
      </c>
      <c r="P167" s="127">
        <f t="shared" si="11"/>
        <v>0</v>
      </c>
      <c r="Q167" s="127">
        <v>0</v>
      </c>
      <c r="R167" s="127">
        <f t="shared" si="12"/>
        <v>0</v>
      </c>
      <c r="S167" s="127">
        <v>0</v>
      </c>
      <c r="T167" s="128">
        <f t="shared" si="13"/>
        <v>0</v>
      </c>
      <c r="AR167" s="129" t="s">
        <v>1151</v>
      </c>
      <c r="AT167" s="129" t="s">
        <v>231</v>
      </c>
      <c r="AU167" s="129" t="s">
        <v>76</v>
      </c>
      <c r="AY167" s="13" t="s">
        <v>228</v>
      </c>
      <c r="BE167" s="130">
        <f t="shared" si="14"/>
        <v>0</v>
      </c>
      <c r="BF167" s="130">
        <f t="shared" si="15"/>
        <v>1393.2</v>
      </c>
      <c r="BG167" s="130">
        <f t="shared" si="16"/>
        <v>0</v>
      </c>
      <c r="BH167" s="130">
        <f t="shared" si="17"/>
        <v>0</v>
      </c>
      <c r="BI167" s="130">
        <f t="shared" si="18"/>
        <v>0</v>
      </c>
      <c r="BJ167" s="13" t="s">
        <v>76</v>
      </c>
      <c r="BK167" s="130">
        <f t="shared" si="19"/>
        <v>1393.2</v>
      </c>
      <c r="BL167" s="13" t="s">
        <v>1151</v>
      </c>
      <c r="BM167" s="129" t="s">
        <v>347</v>
      </c>
    </row>
    <row r="168" spans="2:65" s="1" customFormat="1" ht="7.05" customHeight="1" x14ac:dyDescent="0.2">
      <c r="B168" s="33"/>
      <c r="C168" s="34"/>
      <c r="D168" s="34"/>
      <c r="E168" s="34"/>
      <c r="F168" s="34"/>
      <c r="G168" s="34"/>
      <c r="H168" s="34"/>
      <c r="I168" s="34"/>
      <c r="J168" s="34"/>
      <c r="K168" s="34"/>
      <c r="L168" s="24"/>
    </row>
  </sheetData>
  <autoFilter ref="C125:K167" xr:uid="{00000000-0009-0000-0000-000003000000}"/>
  <mergeCells count="14">
    <mergeCell ref="E87:H87"/>
    <mergeCell ref="E116:H116"/>
    <mergeCell ref="E118:H118"/>
    <mergeCell ref="L2:V2"/>
    <mergeCell ref="E9:H9"/>
    <mergeCell ref="E18:H18"/>
    <mergeCell ref="E27:H27"/>
    <mergeCell ref="E85:H85"/>
    <mergeCell ref="D4:J4"/>
    <mergeCell ref="F6:J7"/>
    <mergeCell ref="C82:J82"/>
    <mergeCell ref="E84:J84"/>
    <mergeCell ref="C113:J113"/>
    <mergeCell ref="E115:J115"/>
  </mergeCells>
  <pageMargins left="0.39374999999999999" right="0.39374999999999999" top="0.39374999999999999" bottom="0.39374999999999999" header="0" footer="0"/>
  <pageSetup paperSize="9" scale="82" orientation="portrait" blackAndWhite="1" r:id="rId1"/>
  <headerFooter>
    <oddFooter>&amp;CStrana &amp;P z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0000"/>
    <pageSetUpPr fitToPage="1"/>
  </sheetPr>
  <dimension ref="A1:BM214"/>
  <sheetViews>
    <sheetView showGridLines="0" topLeftCell="F218" zoomScale="80" zoomScaleNormal="80" workbookViewId="0">
      <selection activeCell="AG98" sqref="AG98"/>
    </sheetView>
  </sheetViews>
  <sheetFormatPr defaultColWidth="8.7109375" defaultRowHeight="10.199999999999999" x14ac:dyDescent="0.2"/>
  <cols>
    <col min="1" max="1" width="8.28515625" customWidth="1"/>
    <col min="2" max="2" width="1.7109375" customWidth="1"/>
    <col min="3" max="4" width="4.28515625" customWidth="1"/>
    <col min="5" max="5" width="17.28515625" customWidth="1"/>
    <col min="6" max="6" width="50.7109375" customWidth="1"/>
    <col min="7" max="7" width="7" customWidth="1"/>
    <col min="8" max="8" width="11.42578125" customWidth="1"/>
    <col min="9" max="10" width="20.28515625" customWidth="1"/>
    <col min="11" max="11" width="20.28515625" hidden="1" customWidth="1"/>
    <col min="12" max="12" width="9.28515625" customWidth="1"/>
    <col min="13" max="13" width="10.7109375" hidden="1" customWidth="1"/>
    <col min="14" max="14" width="9.28515625" hidden="1"/>
    <col min="15" max="20" width="14.28515625" hidden="1" customWidth="1"/>
    <col min="21" max="21" width="16.28515625" hidden="1" customWidth="1"/>
    <col min="22" max="22" width="12.28515625" customWidth="1"/>
    <col min="23" max="23" width="1.7109375" style="683" customWidth="1"/>
    <col min="24" max="25" width="4.28515625" style="683" customWidth="1"/>
    <col min="26" max="26" width="17.28515625" style="683" customWidth="1"/>
    <col min="27" max="27" width="50.7109375" style="683" customWidth="1"/>
    <col min="28" max="28" width="7" style="683" customWidth="1"/>
    <col min="29" max="29" width="11.42578125" style="683" customWidth="1"/>
    <col min="30" max="31" width="20.28515625" style="683" customWidth="1"/>
    <col min="33" max="33" width="16" bestFit="1" customWidth="1"/>
    <col min="44" max="65" width="9.28515625" hidden="1"/>
  </cols>
  <sheetData>
    <row r="1" spans="1:46" x14ac:dyDescent="0.2">
      <c r="A1" s="73"/>
    </row>
    <row r="2" spans="1:46" ht="37.049999999999997" customHeight="1" x14ac:dyDescent="0.2">
      <c r="L2" s="1227" t="s">
        <v>5</v>
      </c>
      <c r="M2" s="1225"/>
      <c r="N2" s="1225"/>
      <c r="O2" s="1225"/>
      <c r="P2" s="1225"/>
      <c r="Q2" s="1225"/>
      <c r="R2" s="1225"/>
      <c r="S2" s="1225"/>
      <c r="T2" s="1225"/>
      <c r="U2" s="1225"/>
      <c r="V2" s="1225"/>
      <c r="AT2" s="13" t="s">
        <v>175</v>
      </c>
    </row>
    <row r="3" spans="1:46" ht="7.05" customHeight="1" x14ac:dyDescent="0.2">
      <c r="B3" s="14"/>
      <c r="C3" s="15"/>
      <c r="D3" s="15"/>
      <c r="E3" s="15"/>
      <c r="F3" s="15"/>
      <c r="G3" s="15"/>
      <c r="H3" s="15"/>
      <c r="I3" s="15"/>
      <c r="J3" s="15"/>
      <c r="K3" s="15"/>
      <c r="L3" s="16"/>
      <c r="W3" s="14"/>
      <c r="X3" s="15"/>
      <c r="Y3" s="15"/>
      <c r="Z3" s="15"/>
      <c r="AA3" s="15"/>
      <c r="AB3" s="15"/>
      <c r="AC3" s="15"/>
      <c r="AD3" s="15"/>
      <c r="AE3" s="690"/>
      <c r="AT3" s="13" t="s">
        <v>58</v>
      </c>
    </row>
    <row r="4" spans="1:46" ht="25.05" customHeight="1" x14ac:dyDescent="0.2">
      <c r="B4" s="16"/>
      <c r="D4" s="1165" t="s">
        <v>185</v>
      </c>
      <c r="E4" s="1165"/>
      <c r="F4" s="1165"/>
      <c r="G4" s="1165"/>
      <c r="H4" s="1165"/>
      <c r="I4" s="1165"/>
      <c r="J4" s="1165"/>
      <c r="L4" s="16"/>
      <c r="M4" s="74" t="s">
        <v>9</v>
      </c>
      <c r="W4" s="16"/>
      <c r="Y4" s="1237" t="s">
        <v>185</v>
      </c>
      <c r="Z4" s="1237"/>
      <c r="AA4" s="1237"/>
      <c r="AB4" s="1237"/>
      <c r="AC4" s="1237"/>
      <c r="AD4" s="1237"/>
      <c r="AE4" s="1238"/>
      <c r="AT4" s="13" t="s">
        <v>3</v>
      </c>
    </row>
    <row r="5" spans="1:46" ht="7.05" customHeight="1" x14ac:dyDescent="0.2">
      <c r="B5" s="16"/>
      <c r="L5" s="16"/>
      <c r="W5" s="16"/>
      <c r="Y5" s="156"/>
      <c r="Z5" s="156"/>
      <c r="AA5" s="156"/>
      <c r="AB5" s="156"/>
      <c r="AC5" s="156"/>
      <c r="AD5" s="156"/>
      <c r="AE5" s="157"/>
    </row>
    <row r="6" spans="1:46" ht="12" customHeight="1" x14ac:dyDescent="0.2">
      <c r="B6" s="16"/>
      <c r="D6" s="528" t="s">
        <v>12</v>
      </c>
      <c r="F6" s="1254" t="s">
        <v>6176</v>
      </c>
      <c r="G6" s="1254"/>
      <c r="H6" s="1254"/>
      <c r="I6" s="1254"/>
      <c r="J6" s="1254"/>
      <c r="L6" s="16"/>
      <c r="W6" s="16"/>
      <c r="Y6" s="688" t="s">
        <v>12</v>
      </c>
      <c r="Z6" s="156"/>
      <c r="AA6" s="1239" t="s">
        <v>6176</v>
      </c>
      <c r="AB6" s="1239"/>
      <c r="AC6" s="1239"/>
      <c r="AD6" s="1239"/>
      <c r="AE6" s="1240"/>
    </row>
    <row r="7" spans="1:46" ht="24" customHeight="1" x14ac:dyDescent="0.2">
      <c r="B7" s="16"/>
      <c r="D7" s="527"/>
      <c r="E7" s="531"/>
      <c r="F7" s="1254"/>
      <c r="G7" s="1254"/>
      <c r="H7" s="1254"/>
      <c r="I7" s="1254"/>
      <c r="J7" s="1254"/>
      <c r="L7" s="16"/>
      <c r="W7" s="16"/>
      <c r="Y7" s="539"/>
      <c r="Z7" s="245"/>
      <c r="AA7" s="1239"/>
      <c r="AB7" s="1239"/>
      <c r="AC7" s="1239"/>
      <c r="AD7" s="1239"/>
      <c r="AE7" s="1240"/>
    </row>
    <row r="8" spans="1:46" s="1" customFormat="1" ht="12" customHeight="1" x14ac:dyDescent="0.2">
      <c r="B8" s="24"/>
      <c r="D8" s="528" t="s">
        <v>186</v>
      </c>
      <c r="F8" s="532" t="s">
        <v>4663</v>
      </c>
      <c r="L8" s="24"/>
      <c r="W8" s="24"/>
      <c r="X8" s="687"/>
      <c r="Y8" s="688" t="s">
        <v>186</v>
      </c>
      <c r="Z8" s="685"/>
      <c r="AA8" s="555" t="s">
        <v>4663</v>
      </c>
      <c r="AB8" s="685"/>
      <c r="AC8" s="685"/>
      <c r="AD8" s="685"/>
      <c r="AE8" s="159"/>
    </row>
    <row r="9" spans="1:46" s="1" customFormat="1" ht="37.049999999999997" customHeight="1" x14ac:dyDescent="0.2">
      <c r="B9" s="24"/>
      <c r="D9" s="521"/>
      <c r="E9" s="1251"/>
      <c r="F9" s="1252"/>
      <c r="G9" s="1252"/>
      <c r="H9" s="1252"/>
      <c r="L9" s="24"/>
      <c r="W9" s="24"/>
      <c r="X9" s="687"/>
      <c r="Y9" s="685"/>
      <c r="Z9" s="1245"/>
      <c r="AA9" s="1246"/>
      <c r="AB9" s="1246"/>
      <c r="AC9" s="1246"/>
      <c r="AD9" s="685"/>
      <c r="AE9" s="159"/>
    </row>
    <row r="10" spans="1:46" s="1" customFormat="1" x14ac:dyDescent="0.2">
      <c r="B10" s="24"/>
      <c r="D10" s="521"/>
      <c r="L10" s="24"/>
      <c r="W10" s="24"/>
      <c r="X10" s="687"/>
      <c r="Y10" s="685"/>
      <c r="Z10" s="685"/>
      <c r="AA10" s="685"/>
      <c r="AB10" s="685"/>
      <c r="AC10" s="685"/>
      <c r="AD10" s="685"/>
      <c r="AE10" s="159"/>
    </row>
    <row r="11" spans="1:46" s="1" customFormat="1" ht="12" customHeight="1" x14ac:dyDescent="0.2">
      <c r="B11" s="24"/>
      <c r="D11" s="528" t="s">
        <v>13</v>
      </c>
      <c r="F11" s="19" t="s">
        <v>1</v>
      </c>
      <c r="I11" s="528" t="s">
        <v>14</v>
      </c>
      <c r="J11" s="19" t="s">
        <v>1</v>
      </c>
      <c r="L11" s="24"/>
      <c r="W11" s="24"/>
      <c r="X11" s="687"/>
      <c r="Y11" s="688" t="s">
        <v>13</v>
      </c>
      <c r="Z11" s="685"/>
      <c r="AA11" s="684" t="s">
        <v>1</v>
      </c>
      <c r="AB11" s="685"/>
      <c r="AC11" s="685"/>
      <c r="AD11" s="688" t="s">
        <v>14</v>
      </c>
      <c r="AE11" s="161" t="s">
        <v>1</v>
      </c>
    </row>
    <row r="12" spans="1:46" s="1" customFormat="1" ht="12" customHeight="1" x14ac:dyDescent="0.2">
      <c r="B12" s="24"/>
      <c r="D12" s="528" t="s">
        <v>15</v>
      </c>
      <c r="F12" s="520" t="s">
        <v>6173</v>
      </c>
      <c r="I12" s="528" t="s">
        <v>17</v>
      </c>
      <c r="J12" s="39"/>
      <c r="L12" s="24"/>
      <c r="W12" s="24"/>
      <c r="X12" s="687"/>
      <c r="Y12" s="688" t="s">
        <v>15</v>
      </c>
      <c r="Z12" s="685"/>
      <c r="AA12" s="684" t="s">
        <v>6173</v>
      </c>
      <c r="AB12" s="685"/>
      <c r="AC12" s="685"/>
      <c r="AD12" s="688" t="s">
        <v>17</v>
      </c>
      <c r="AE12" s="162"/>
    </row>
    <row r="13" spans="1:46" s="1" customFormat="1" ht="10.95" customHeight="1" x14ac:dyDescent="0.2">
      <c r="B13" s="24"/>
      <c r="D13" s="521"/>
      <c r="F13" s="521"/>
      <c r="I13" s="521"/>
      <c r="L13" s="24"/>
      <c r="W13" s="24"/>
      <c r="X13" s="687"/>
      <c r="Y13" s="685"/>
      <c r="Z13" s="685"/>
      <c r="AA13" s="685"/>
      <c r="AB13" s="685"/>
      <c r="AC13" s="685"/>
      <c r="AD13" s="685"/>
      <c r="AE13" s="159"/>
    </row>
    <row r="14" spans="1:46" s="1" customFormat="1" ht="12" customHeight="1" x14ac:dyDescent="0.2">
      <c r="B14" s="24"/>
      <c r="D14" s="528" t="s">
        <v>18</v>
      </c>
      <c r="F14" s="529" t="s">
        <v>6175</v>
      </c>
      <c r="I14" s="528" t="s">
        <v>19</v>
      </c>
      <c r="J14" s="19" t="str">
        <f>IF('Rekapitulácia stavby'!AN10="","",'Rekapitulácia stavby'!AN10)</f>
        <v/>
      </c>
      <c r="L14" s="24"/>
      <c r="W14" s="24"/>
      <c r="X14" s="687"/>
      <c r="Y14" s="688" t="s">
        <v>18</v>
      </c>
      <c r="Z14" s="685"/>
      <c r="AA14" s="576" t="s">
        <v>6175</v>
      </c>
      <c r="AB14" s="685"/>
      <c r="AC14" s="685"/>
      <c r="AD14" s="688" t="s">
        <v>19</v>
      </c>
      <c r="AE14" s="161" t="str">
        <f>IF('Rekapitulácia stavby'!BI10="","",'Rekapitulácia stavby'!BI10)</f>
        <v/>
      </c>
    </row>
    <row r="15" spans="1:46" s="1" customFormat="1" ht="18" customHeight="1" x14ac:dyDescent="0.2">
      <c r="B15" s="24"/>
      <c r="D15" s="521"/>
      <c r="E15" s="19" t="str">
        <f>IF('Rekapitulácia stavby'!E11="","",'Rekapitulácia stavby'!E11)</f>
        <v/>
      </c>
      <c r="F15" s="521"/>
      <c r="I15" s="528" t="s">
        <v>20</v>
      </c>
      <c r="J15" s="19" t="str">
        <f>IF('Rekapitulácia stavby'!AN11="","",'Rekapitulácia stavby'!AN11)</f>
        <v/>
      </c>
      <c r="L15" s="24"/>
      <c r="W15" s="24"/>
      <c r="X15" s="687"/>
      <c r="Y15" s="685"/>
      <c r="Z15" s="684" t="str">
        <f>IF('Rekapitulácia stavby'!Z11="","",'Rekapitulácia stavby'!Z11)</f>
        <v/>
      </c>
      <c r="AA15" s="685"/>
      <c r="AB15" s="685"/>
      <c r="AC15" s="685"/>
      <c r="AD15" s="688" t="s">
        <v>20</v>
      </c>
      <c r="AE15" s="161" t="str">
        <f>IF('Rekapitulácia stavby'!BI11="","",'Rekapitulácia stavby'!BI11)</f>
        <v/>
      </c>
    </row>
    <row r="16" spans="1:46" s="1" customFormat="1" ht="7.05" customHeight="1" x14ac:dyDescent="0.2">
      <c r="B16" s="24"/>
      <c r="D16" s="521"/>
      <c r="F16" s="521"/>
      <c r="I16" s="521"/>
      <c r="L16" s="24"/>
      <c r="W16" s="24"/>
      <c r="X16" s="687"/>
      <c r="Y16" s="685"/>
      <c r="Z16" s="685"/>
      <c r="AA16" s="685"/>
      <c r="AB16" s="685"/>
      <c r="AC16" s="685"/>
      <c r="AD16" s="685"/>
      <c r="AE16" s="159"/>
    </row>
    <row r="17" spans="2:31" s="1" customFormat="1" ht="12" customHeight="1" x14ac:dyDescent="0.2">
      <c r="B17" s="24"/>
      <c r="D17" s="528" t="s">
        <v>21</v>
      </c>
      <c r="F17" s="529" t="s">
        <v>5202</v>
      </c>
      <c r="I17" s="528" t="s">
        <v>19</v>
      </c>
      <c r="J17" s="19"/>
      <c r="L17" s="24"/>
      <c r="W17" s="24"/>
      <c r="X17" s="687"/>
      <c r="Y17" s="688" t="s">
        <v>21</v>
      </c>
      <c r="Z17" s="685"/>
      <c r="AA17" s="576" t="s">
        <v>5202</v>
      </c>
      <c r="AB17" s="685"/>
      <c r="AC17" s="685"/>
      <c r="AD17" s="688" t="s">
        <v>19</v>
      </c>
      <c r="AE17" s="161"/>
    </row>
    <row r="18" spans="2:31" s="1" customFormat="1" ht="18" customHeight="1" x14ac:dyDescent="0.2">
      <c r="B18" s="24"/>
      <c r="D18" s="521"/>
      <c r="E18" s="1161"/>
      <c r="F18" s="1161"/>
      <c r="G18" s="1161"/>
      <c r="H18" s="1161"/>
      <c r="I18" s="528" t="s">
        <v>20</v>
      </c>
      <c r="J18" s="19" t="str">
        <f>'Rekapitulácia stavby'!AN14</f>
        <v/>
      </c>
      <c r="L18" s="24"/>
      <c r="W18" s="24"/>
      <c r="X18" s="687"/>
      <c r="Y18" s="685"/>
      <c r="Z18" s="1247"/>
      <c r="AA18" s="1247"/>
      <c r="AB18" s="1247"/>
      <c r="AC18" s="1247"/>
      <c r="AD18" s="688" t="s">
        <v>20</v>
      </c>
      <c r="AE18" s="161"/>
    </row>
    <row r="19" spans="2:31" s="1" customFormat="1" ht="7.05" customHeight="1" x14ac:dyDescent="0.2">
      <c r="B19" s="24"/>
      <c r="D19" s="521"/>
      <c r="I19" s="521"/>
      <c r="L19" s="24"/>
      <c r="W19" s="24"/>
      <c r="X19" s="687"/>
      <c r="Y19" s="685"/>
      <c r="Z19" s="685"/>
      <c r="AA19" s="685"/>
      <c r="AB19" s="685"/>
      <c r="AC19" s="685"/>
      <c r="AD19" s="685"/>
      <c r="AE19" s="159"/>
    </row>
    <row r="20" spans="2:31" s="1" customFormat="1" ht="12" customHeight="1" x14ac:dyDescent="0.2">
      <c r="B20" s="24"/>
      <c r="D20" s="528" t="s">
        <v>22</v>
      </c>
      <c r="I20" s="528" t="s">
        <v>19</v>
      </c>
      <c r="J20" s="19" t="str">
        <f>IF('Rekapitulácia stavby'!AN16="","",'Rekapitulácia stavby'!AN16)</f>
        <v/>
      </c>
      <c r="L20" s="24"/>
      <c r="W20" s="24"/>
      <c r="X20" s="687"/>
      <c r="Y20" s="688" t="s">
        <v>22</v>
      </c>
      <c r="Z20" s="685"/>
      <c r="AA20" s="685"/>
      <c r="AB20" s="685"/>
      <c r="AC20" s="685"/>
      <c r="AD20" s="688" t="s">
        <v>19</v>
      </c>
      <c r="AE20" s="161" t="str">
        <f>IF('Rekapitulácia stavby'!BI16="","",'Rekapitulácia stavby'!BI16)</f>
        <v/>
      </c>
    </row>
    <row r="21" spans="2:31" s="1" customFormat="1" ht="18" customHeight="1" x14ac:dyDescent="0.2">
      <c r="B21" s="24"/>
      <c r="D21" s="521"/>
      <c r="E21" s="19" t="str">
        <f>IF('Rekapitulácia stavby'!E17="","",'Rekapitulácia stavby'!E17)</f>
        <v xml:space="preserve"> </v>
      </c>
      <c r="I21" s="528" t="s">
        <v>20</v>
      </c>
      <c r="J21" s="19" t="str">
        <f>IF('Rekapitulácia stavby'!AN17="","",'Rekapitulácia stavby'!AN17)</f>
        <v/>
      </c>
      <c r="L21" s="24"/>
      <c r="W21" s="24"/>
      <c r="X21" s="687"/>
      <c r="Y21" s="685"/>
      <c r="Z21" s="684" t="str">
        <f>IF('Rekapitulácia stavby'!Z17="","",'Rekapitulácia stavby'!Z17)</f>
        <v/>
      </c>
      <c r="AA21" s="685"/>
      <c r="AB21" s="685"/>
      <c r="AC21" s="685"/>
      <c r="AD21" s="688" t="s">
        <v>20</v>
      </c>
      <c r="AE21" s="161" t="str">
        <f>IF('Rekapitulácia stavby'!BI17="","",'Rekapitulácia stavby'!BI17)</f>
        <v/>
      </c>
    </row>
    <row r="22" spans="2:31" s="1" customFormat="1" ht="7.05" customHeight="1" x14ac:dyDescent="0.2">
      <c r="B22" s="24"/>
      <c r="D22" s="521"/>
      <c r="I22" s="521"/>
      <c r="L22" s="24"/>
      <c r="W22" s="24"/>
      <c r="X22" s="687"/>
      <c r="Y22" s="685"/>
      <c r="Z22" s="685"/>
      <c r="AA22" s="685"/>
      <c r="AB22" s="685"/>
      <c r="AC22" s="685"/>
      <c r="AD22" s="685"/>
      <c r="AE22" s="159"/>
    </row>
    <row r="23" spans="2:31" s="1" customFormat="1" ht="12" customHeight="1" x14ac:dyDescent="0.2">
      <c r="B23" s="24"/>
      <c r="D23" s="528" t="s">
        <v>24</v>
      </c>
      <c r="I23" s="528" t="s">
        <v>19</v>
      </c>
      <c r="J23" s="19" t="str">
        <f>IF('Rekapitulácia stavby'!AN19="","",'Rekapitulácia stavby'!AN19)</f>
        <v/>
      </c>
      <c r="L23" s="24"/>
      <c r="W23" s="24"/>
      <c r="X23" s="687"/>
      <c r="Y23" s="688" t="s">
        <v>24</v>
      </c>
      <c r="Z23" s="685"/>
      <c r="AA23" s="685"/>
      <c r="AB23" s="685"/>
      <c r="AC23" s="685"/>
      <c r="AD23" s="688" t="s">
        <v>19</v>
      </c>
      <c r="AE23" s="161" t="str">
        <f>IF('Rekapitulácia stavby'!BI19="","",'Rekapitulácia stavby'!BI19)</f>
        <v/>
      </c>
    </row>
    <row r="24" spans="2:31" s="1" customFormat="1" ht="18" customHeight="1" x14ac:dyDescent="0.2">
      <c r="B24" s="24"/>
      <c r="D24" s="521"/>
      <c r="E24" s="19" t="str">
        <f>IF('Rekapitulácia stavby'!E20="","",'Rekapitulácia stavby'!E20)</f>
        <v xml:space="preserve"> </v>
      </c>
      <c r="I24" s="528" t="s">
        <v>20</v>
      </c>
      <c r="J24" s="19" t="str">
        <f>IF('Rekapitulácia stavby'!AN20="","",'Rekapitulácia stavby'!AN20)</f>
        <v/>
      </c>
      <c r="L24" s="24"/>
      <c r="W24" s="24"/>
      <c r="X24" s="687"/>
      <c r="Y24" s="685"/>
      <c r="Z24" s="684" t="str">
        <f>IF('Rekapitulácia stavby'!Z20="","",'Rekapitulácia stavby'!Z20)</f>
        <v/>
      </c>
      <c r="AA24" s="685"/>
      <c r="AB24" s="685"/>
      <c r="AC24" s="685"/>
      <c r="AD24" s="688" t="s">
        <v>20</v>
      </c>
      <c r="AE24" s="161" t="str">
        <f>IF('Rekapitulácia stavby'!BI20="","",'Rekapitulácia stavby'!BI20)</f>
        <v/>
      </c>
    </row>
    <row r="25" spans="2:31" s="1" customFormat="1" ht="7.05" customHeight="1" x14ac:dyDescent="0.2">
      <c r="B25" s="24"/>
      <c r="D25" s="521"/>
      <c r="L25" s="24"/>
      <c r="W25" s="24"/>
      <c r="X25" s="687"/>
      <c r="Y25" s="685"/>
      <c r="Z25" s="685"/>
      <c r="AA25" s="685"/>
      <c r="AB25" s="685"/>
      <c r="AC25" s="685"/>
      <c r="AD25" s="685"/>
      <c r="AE25" s="159"/>
    </row>
    <row r="26" spans="2:31" s="1" customFormat="1" ht="12" customHeight="1" x14ac:dyDescent="0.2">
      <c r="B26" s="24"/>
      <c r="D26" s="528" t="s">
        <v>25</v>
      </c>
      <c r="L26" s="24"/>
      <c r="W26" s="24"/>
      <c r="X26" s="687"/>
      <c r="Y26" s="688" t="s">
        <v>25</v>
      </c>
      <c r="Z26" s="685"/>
      <c r="AA26" s="685"/>
      <c r="AB26" s="685"/>
      <c r="AC26" s="685"/>
      <c r="AD26" s="685"/>
      <c r="AE26" s="159"/>
    </row>
    <row r="27" spans="2:31" s="7" customFormat="1" ht="16.5" customHeight="1" x14ac:dyDescent="0.2">
      <c r="B27" s="75"/>
      <c r="E27" s="1228" t="s">
        <v>1</v>
      </c>
      <c r="F27" s="1228"/>
      <c r="G27" s="1228"/>
      <c r="H27" s="1228"/>
      <c r="L27" s="75"/>
      <c r="W27" s="75"/>
      <c r="Y27" s="164"/>
      <c r="Z27" s="1248" t="s">
        <v>1</v>
      </c>
      <c r="AA27" s="1248"/>
      <c r="AB27" s="1248"/>
      <c r="AC27" s="1248"/>
      <c r="AD27" s="164"/>
      <c r="AE27" s="165"/>
    </row>
    <row r="28" spans="2:31" s="1" customFormat="1" ht="7.05" customHeight="1" x14ac:dyDescent="0.2">
      <c r="B28" s="24"/>
      <c r="L28" s="24"/>
      <c r="W28" s="24"/>
      <c r="X28" s="687"/>
      <c r="Y28" s="685"/>
      <c r="Z28" s="685"/>
      <c r="AA28" s="685"/>
      <c r="AB28" s="685"/>
      <c r="AC28" s="685"/>
      <c r="AD28" s="685"/>
      <c r="AE28" s="159"/>
    </row>
    <row r="29" spans="2:31" s="1" customFormat="1" ht="7.05" customHeight="1" x14ac:dyDescent="0.2">
      <c r="B29" s="24"/>
      <c r="D29" s="40"/>
      <c r="E29" s="40"/>
      <c r="F29" s="40"/>
      <c r="G29" s="40"/>
      <c r="H29" s="40"/>
      <c r="I29" s="40"/>
      <c r="J29" s="40"/>
      <c r="K29" s="40"/>
      <c r="L29" s="24"/>
      <c r="W29" s="24"/>
      <c r="X29" s="687"/>
      <c r="Y29" s="40"/>
      <c r="Z29" s="40"/>
      <c r="AA29" s="40"/>
      <c r="AB29" s="40"/>
      <c r="AC29" s="40"/>
      <c r="AD29" s="40"/>
      <c r="AE29" s="166"/>
    </row>
    <row r="30" spans="2:31" s="1" customFormat="1" ht="25.2" customHeight="1" x14ac:dyDescent="0.2">
      <c r="B30" s="24"/>
      <c r="D30" s="76" t="s">
        <v>26</v>
      </c>
      <c r="J30" s="53">
        <f>ROUND(J120, 2)</f>
        <v>225203.92</v>
      </c>
      <c r="L30" s="24"/>
      <c r="W30" s="24"/>
      <c r="X30" s="687"/>
      <c r="Y30" s="167" t="s">
        <v>26</v>
      </c>
      <c r="Z30" s="685"/>
      <c r="AA30" s="685"/>
      <c r="AB30" s="685"/>
      <c r="AC30" s="685"/>
      <c r="AD30" s="685"/>
      <c r="AE30" s="168">
        <f>ROUND(AE120, 2)</f>
        <v>224126.28</v>
      </c>
    </row>
    <row r="31" spans="2:31" s="1" customFormat="1" ht="7.05" customHeight="1" x14ac:dyDescent="0.2">
      <c r="B31" s="24"/>
      <c r="D31" s="40"/>
      <c r="E31" s="40"/>
      <c r="F31" s="40"/>
      <c r="G31" s="40"/>
      <c r="H31" s="40"/>
      <c r="I31" s="40"/>
      <c r="J31" s="40"/>
      <c r="K31" s="40"/>
      <c r="L31" s="24"/>
      <c r="W31" s="24"/>
      <c r="X31" s="687"/>
      <c r="Y31" s="40"/>
      <c r="Z31" s="40"/>
      <c r="AA31" s="40"/>
      <c r="AB31" s="40"/>
      <c r="AC31" s="40"/>
      <c r="AD31" s="40"/>
      <c r="AE31" s="166"/>
    </row>
    <row r="32" spans="2:31" s="1" customFormat="1" ht="14.55" customHeight="1" x14ac:dyDescent="0.2">
      <c r="B32" s="24"/>
      <c r="D32" s="521"/>
      <c r="E32" s="521"/>
      <c r="F32" s="534" t="s">
        <v>28</v>
      </c>
      <c r="G32" s="521"/>
      <c r="H32" s="521"/>
      <c r="I32" s="534" t="s">
        <v>27</v>
      </c>
      <c r="J32" s="534" t="s">
        <v>29</v>
      </c>
      <c r="L32" s="24"/>
      <c r="W32" s="24"/>
      <c r="X32" s="687"/>
      <c r="Y32" s="685"/>
      <c r="Z32" s="685"/>
      <c r="AA32" s="542" t="s">
        <v>28</v>
      </c>
      <c r="AB32" s="685"/>
      <c r="AC32" s="685"/>
      <c r="AD32" s="542" t="s">
        <v>27</v>
      </c>
      <c r="AE32" s="543" t="s">
        <v>29</v>
      </c>
    </row>
    <row r="33" spans="2:31" s="1" customFormat="1" ht="14.55" customHeight="1" x14ac:dyDescent="0.2">
      <c r="B33" s="24"/>
      <c r="D33" s="13" t="s">
        <v>30</v>
      </c>
      <c r="E33" s="528" t="s">
        <v>31</v>
      </c>
      <c r="F33" s="398">
        <f>ROUND((SUM(BE120:BE213)),  2)</f>
        <v>0</v>
      </c>
      <c r="G33" s="521"/>
      <c r="H33" s="521"/>
      <c r="I33" s="535">
        <v>0.2</v>
      </c>
      <c r="J33" s="398">
        <f>ROUND(((SUM(BE120:BE213))*I33),  2)</f>
        <v>0</v>
      </c>
      <c r="L33" s="24"/>
      <c r="W33" s="24"/>
      <c r="X33" s="687"/>
      <c r="Y33" s="544" t="s">
        <v>30</v>
      </c>
      <c r="Z33" s="688" t="s">
        <v>31</v>
      </c>
      <c r="AA33" s="545">
        <f>ROUND((SUM(BZ120:BZ213)),  2)</f>
        <v>0</v>
      </c>
      <c r="AB33" s="685"/>
      <c r="AC33" s="685"/>
      <c r="AD33" s="546">
        <v>0.2</v>
      </c>
      <c r="AE33" s="547">
        <f>ROUND(((SUM(BZ120:BZ213))*AD33),  2)</f>
        <v>0</v>
      </c>
    </row>
    <row r="34" spans="2:31" s="1" customFormat="1" ht="14.55" customHeight="1" x14ac:dyDescent="0.2">
      <c r="B34" s="24"/>
      <c r="D34" s="521"/>
      <c r="E34" s="528" t="s">
        <v>32</v>
      </c>
      <c r="F34" s="398">
        <f>ROUND((SUM(BF120:BF213)),  2)</f>
        <v>225203.92</v>
      </c>
      <c r="G34" s="521"/>
      <c r="H34" s="521"/>
      <c r="I34" s="535">
        <v>0.2</v>
      </c>
      <c r="J34" s="398">
        <f>ROUND(((SUM(BF120:BF213))*I34),  2)</f>
        <v>45040.78</v>
      </c>
      <c r="L34" s="24"/>
      <c r="W34" s="24"/>
      <c r="X34" s="687"/>
      <c r="Y34" s="685"/>
      <c r="Z34" s="688" t="s">
        <v>32</v>
      </c>
      <c r="AA34" s="545">
        <f>AE30</f>
        <v>224126.28</v>
      </c>
      <c r="AB34" s="685"/>
      <c r="AC34" s="685"/>
      <c r="AD34" s="546">
        <v>0.2</v>
      </c>
      <c r="AE34" s="547">
        <f>AA34*0.2</f>
        <v>44825.256000000001</v>
      </c>
    </row>
    <row r="35" spans="2:31" s="1" customFormat="1" ht="14.55" hidden="1" customHeight="1" x14ac:dyDescent="0.2">
      <c r="B35" s="24"/>
      <c r="E35" s="21" t="s">
        <v>33</v>
      </c>
      <c r="F35" s="78">
        <f>ROUND((SUM(BG120:BG213)),  2)</f>
        <v>0</v>
      </c>
      <c r="I35" s="79">
        <v>0.2</v>
      </c>
      <c r="J35" s="78">
        <f>0</f>
        <v>0</v>
      </c>
      <c r="L35" s="24"/>
      <c r="W35" s="24"/>
      <c r="X35" s="687"/>
      <c r="Y35" s="685"/>
      <c r="Z35" s="686" t="s">
        <v>33</v>
      </c>
      <c r="AA35" s="170">
        <f>ROUND((SUM(CB120:CB213)),  2)</f>
        <v>0</v>
      </c>
      <c r="AB35" s="685"/>
      <c r="AC35" s="685"/>
      <c r="AD35" s="171">
        <v>0.2</v>
      </c>
      <c r="AE35" s="172">
        <f>0</f>
        <v>0</v>
      </c>
    </row>
    <row r="36" spans="2:31" s="1" customFormat="1" ht="14.55" hidden="1" customHeight="1" x14ac:dyDescent="0.2">
      <c r="B36" s="24"/>
      <c r="E36" s="21" t="s">
        <v>34</v>
      </c>
      <c r="F36" s="78">
        <f>ROUND((SUM(BH120:BH213)),  2)</f>
        <v>0</v>
      </c>
      <c r="I36" s="79">
        <v>0.2</v>
      </c>
      <c r="J36" s="78">
        <f>0</f>
        <v>0</v>
      </c>
      <c r="L36" s="24"/>
      <c r="W36" s="24"/>
      <c r="X36" s="687"/>
      <c r="Y36" s="685"/>
      <c r="Z36" s="686" t="s">
        <v>34</v>
      </c>
      <c r="AA36" s="170">
        <f>ROUND((SUM(CC120:CC213)),  2)</f>
        <v>0</v>
      </c>
      <c r="AB36" s="685"/>
      <c r="AC36" s="685"/>
      <c r="AD36" s="171">
        <v>0.2</v>
      </c>
      <c r="AE36" s="172">
        <f>0</f>
        <v>0</v>
      </c>
    </row>
    <row r="37" spans="2:31" s="1" customFormat="1" ht="14.55" hidden="1" customHeight="1" x14ac:dyDescent="0.2">
      <c r="B37" s="24"/>
      <c r="E37" s="21" t="s">
        <v>35</v>
      </c>
      <c r="F37" s="78">
        <f>ROUND((SUM(BI120:BI213)),  2)</f>
        <v>0</v>
      </c>
      <c r="I37" s="79">
        <v>0</v>
      </c>
      <c r="J37" s="78">
        <f>0</f>
        <v>0</v>
      </c>
      <c r="L37" s="24"/>
      <c r="W37" s="24"/>
      <c r="X37" s="687"/>
      <c r="Y37" s="685"/>
      <c r="Z37" s="686" t="s">
        <v>35</v>
      </c>
      <c r="AA37" s="170">
        <f>ROUND((SUM(CD120:CD213)),  2)</f>
        <v>0</v>
      </c>
      <c r="AB37" s="685"/>
      <c r="AC37" s="685"/>
      <c r="AD37" s="171">
        <v>0</v>
      </c>
      <c r="AE37" s="172">
        <f>0</f>
        <v>0</v>
      </c>
    </row>
    <row r="38" spans="2:31" s="1" customFormat="1" ht="7.05" customHeight="1" x14ac:dyDescent="0.2">
      <c r="B38" s="24"/>
      <c r="L38" s="24"/>
      <c r="W38" s="24"/>
      <c r="X38" s="687"/>
      <c r="Y38" s="685"/>
      <c r="Z38" s="685"/>
      <c r="AA38" s="685"/>
      <c r="AB38" s="685"/>
      <c r="AC38" s="685"/>
      <c r="AD38" s="685"/>
      <c r="AE38" s="159"/>
    </row>
    <row r="39" spans="2:31" s="1" customFormat="1" ht="25.2" customHeight="1" x14ac:dyDescent="0.2">
      <c r="B39" s="24"/>
      <c r="C39" s="80"/>
      <c r="D39" s="81" t="s">
        <v>36</v>
      </c>
      <c r="E39" s="44"/>
      <c r="F39" s="44"/>
      <c r="G39" s="82" t="s">
        <v>37</v>
      </c>
      <c r="H39" s="83" t="s">
        <v>38</v>
      </c>
      <c r="I39" s="44"/>
      <c r="J39" s="84">
        <f>SUM(J30:J37)</f>
        <v>270244.7</v>
      </c>
      <c r="K39" s="85"/>
      <c r="L39" s="24"/>
      <c r="W39" s="24"/>
      <c r="X39" s="80"/>
      <c r="Y39" s="81" t="s">
        <v>36</v>
      </c>
      <c r="Z39" s="44"/>
      <c r="AA39" s="44"/>
      <c r="AB39" s="82" t="s">
        <v>37</v>
      </c>
      <c r="AC39" s="83" t="s">
        <v>38</v>
      </c>
      <c r="AD39" s="44"/>
      <c r="AE39" s="174">
        <f>SUM(AE30:AE37)</f>
        <v>268951.53600000002</v>
      </c>
    </row>
    <row r="40" spans="2:31" s="1" customFormat="1" ht="14.55" customHeight="1" x14ac:dyDescent="0.2">
      <c r="B40" s="24"/>
      <c r="L40" s="24"/>
      <c r="W40" s="24"/>
      <c r="X40" s="687"/>
      <c r="Y40" s="685"/>
      <c r="Z40" s="685"/>
      <c r="AA40" s="685"/>
      <c r="AB40" s="685"/>
      <c r="AC40" s="685"/>
      <c r="AD40" s="685"/>
      <c r="AE40" s="159"/>
    </row>
    <row r="41" spans="2:31" ht="14.55" customHeight="1" x14ac:dyDescent="0.2">
      <c r="B41" s="16"/>
      <c r="L41" s="16"/>
      <c r="W41" s="16"/>
      <c r="Y41" s="156"/>
      <c r="Z41" s="156"/>
      <c r="AA41" s="156"/>
      <c r="AB41" s="156"/>
      <c r="AC41" s="156"/>
      <c r="AD41" s="156"/>
      <c r="AE41" s="157"/>
    </row>
    <row r="42" spans="2:31" ht="14.55" customHeight="1" x14ac:dyDescent="0.2">
      <c r="B42" s="16"/>
      <c r="L42" s="16"/>
      <c r="W42" s="16"/>
      <c r="Y42" s="156"/>
      <c r="Z42" s="156"/>
      <c r="AA42" s="156"/>
      <c r="AB42" s="156"/>
      <c r="AC42" s="156"/>
      <c r="AD42" s="156"/>
      <c r="AE42" s="157"/>
    </row>
    <row r="43" spans="2:31" ht="14.55" customHeight="1" x14ac:dyDescent="0.2">
      <c r="B43" s="16"/>
      <c r="L43" s="16"/>
      <c r="W43" s="16"/>
      <c r="Y43" s="156"/>
      <c r="Z43" s="156"/>
      <c r="AA43" s="156"/>
      <c r="AB43" s="156"/>
      <c r="AC43" s="156"/>
      <c r="AD43" s="156"/>
      <c r="AE43" s="157"/>
    </row>
    <row r="44" spans="2:31" ht="14.55" customHeight="1" x14ac:dyDescent="0.2">
      <c r="B44" s="16"/>
      <c r="L44" s="16"/>
      <c r="W44" s="16"/>
      <c r="Y44" s="156"/>
      <c r="Z44" s="156"/>
      <c r="AA44" s="156"/>
      <c r="AB44" s="156"/>
      <c r="AC44" s="156"/>
      <c r="AD44" s="156"/>
      <c r="AE44" s="157"/>
    </row>
    <row r="45" spans="2:31" ht="14.55" customHeight="1" x14ac:dyDescent="0.2">
      <c r="B45" s="16"/>
      <c r="L45" s="16"/>
      <c r="W45" s="16"/>
      <c r="Y45" s="156"/>
      <c r="Z45" s="156"/>
      <c r="AA45" s="156"/>
      <c r="AB45" s="156"/>
      <c r="AC45" s="156"/>
      <c r="AD45" s="156"/>
      <c r="AE45" s="157"/>
    </row>
    <row r="46" spans="2:31" ht="14.55" customHeight="1" x14ac:dyDescent="0.2">
      <c r="B46" s="16"/>
      <c r="L46" s="16"/>
      <c r="W46" s="16"/>
      <c r="Y46" s="156"/>
      <c r="Z46" s="156"/>
      <c r="AA46" s="156"/>
      <c r="AB46" s="156"/>
      <c r="AC46" s="156"/>
      <c r="AD46" s="156"/>
      <c r="AE46" s="157"/>
    </row>
    <row r="47" spans="2:31" ht="14.55" customHeight="1" x14ac:dyDescent="0.2">
      <c r="B47" s="16"/>
      <c r="L47" s="16"/>
      <c r="W47" s="16"/>
      <c r="Y47" s="156"/>
      <c r="Z47" s="156"/>
      <c r="AA47" s="156"/>
      <c r="AB47" s="156"/>
      <c r="AC47" s="156"/>
      <c r="AD47" s="156"/>
      <c r="AE47" s="157"/>
    </row>
    <row r="48" spans="2:31" ht="14.55" customHeight="1" x14ac:dyDescent="0.2">
      <c r="B48" s="16"/>
      <c r="L48" s="16"/>
      <c r="W48" s="16"/>
      <c r="Y48" s="156"/>
      <c r="Z48" s="156"/>
      <c r="AA48" s="156"/>
      <c r="AB48" s="156"/>
      <c r="AC48" s="156"/>
      <c r="AD48" s="156"/>
      <c r="AE48" s="157"/>
    </row>
    <row r="49" spans="2:31" ht="14.55" customHeight="1" x14ac:dyDescent="0.2">
      <c r="B49" s="16"/>
      <c r="D49" s="156"/>
      <c r="E49" s="156"/>
      <c r="F49" s="156"/>
      <c r="G49" s="156"/>
      <c r="H49" s="156"/>
      <c r="I49" s="156"/>
      <c r="J49" s="156"/>
      <c r="L49" s="16"/>
      <c r="W49" s="16"/>
      <c r="Y49" s="156"/>
      <c r="Z49" s="156"/>
      <c r="AA49" s="156"/>
      <c r="AB49" s="156"/>
      <c r="AC49" s="156"/>
      <c r="AD49" s="156"/>
      <c r="AE49" s="157"/>
    </row>
    <row r="50" spans="2:31" s="1" customFormat="1" ht="14.55" customHeight="1" x14ac:dyDescent="0.2">
      <c r="B50" s="24"/>
      <c r="D50" s="530"/>
      <c r="E50" s="523"/>
      <c r="F50" s="523"/>
      <c r="G50" s="530"/>
      <c r="H50" s="523"/>
      <c r="I50" s="523"/>
      <c r="J50" s="523"/>
      <c r="K50" s="32"/>
      <c r="L50" s="24"/>
      <c r="W50" s="24"/>
      <c r="X50" s="687"/>
      <c r="Y50" s="530"/>
      <c r="Z50" s="685"/>
      <c r="AA50" s="685"/>
      <c r="AB50" s="530"/>
      <c r="AC50" s="685"/>
      <c r="AD50" s="685"/>
      <c r="AE50" s="159"/>
    </row>
    <row r="51" spans="2:31" x14ac:dyDescent="0.2">
      <c r="B51" s="16"/>
      <c r="D51" s="156"/>
      <c r="E51" s="156"/>
      <c r="F51" s="156"/>
      <c r="G51" s="156"/>
      <c r="H51" s="156"/>
      <c r="I51" s="156"/>
      <c r="J51" s="156"/>
      <c r="L51" s="16"/>
      <c r="W51" s="16"/>
      <c r="Y51" s="156"/>
      <c r="Z51" s="156"/>
      <c r="AA51" s="156"/>
      <c r="AB51" s="156"/>
      <c r="AC51" s="156"/>
      <c r="AD51" s="156"/>
      <c r="AE51" s="157"/>
    </row>
    <row r="52" spans="2:31" x14ac:dyDescent="0.2">
      <c r="B52" s="16"/>
      <c r="D52" s="156"/>
      <c r="E52" s="156"/>
      <c r="F52" s="156"/>
      <c r="G52" s="156"/>
      <c r="H52" s="156"/>
      <c r="I52" s="156"/>
      <c r="J52" s="156"/>
      <c r="L52" s="16"/>
      <c r="W52" s="16"/>
      <c r="Y52" s="156"/>
      <c r="Z52" s="156"/>
      <c r="AA52" s="156"/>
      <c r="AB52" s="156"/>
      <c r="AC52" s="156"/>
      <c r="AD52" s="156"/>
      <c r="AE52" s="157"/>
    </row>
    <row r="53" spans="2:31" x14ac:dyDescent="0.2">
      <c r="B53" s="16"/>
      <c r="D53" s="156"/>
      <c r="E53" s="156"/>
      <c r="F53" s="156"/>
      <c r="G53" s="156"/>
      <c r="H53" s="156"/>
      <c r="I53" s="156"/>
      <c r="J53" s="156"/>
      <c r="L53" s="16"/>
      <c r="W53" s="16"/>
      <c r="Y53" s="156"/>
      <c r="Z53" s="156"/>
      <c r="AA53" s="156"/>
      <c r="AB53" s="156"/>
      <c r="AC53" s="156"/>
      <c r="AD53" s="156"/>
      <c r="AE53" s="157"/>
    </row>
    <row r="54" spans="2:31" x14ac:dyDescent="0.2">
      <c r="B54" s="16"/>
      <c r="D54" s="156"/>
      <c r="E54" s="156"/>
      <c r="F54" s="156"/>
      <c r="G54" s="156"/>
      <c r="H54" s="156"/>
      <c r="I54" s="156"/>
      <c r="J54" s="156"/>
      <c r="L54" s="16"/>
      <c r="W54" s="16"/>
      <c r="Y54" s="156"/>
      <c r="Z54" s="156"/>
      <c r="AA54" s="156"/>
      <c r="AB54" s="156"/>
      <c r="AC54" s="156"/>
      <c r="AD54" s="156"/>
      <c r="AE54" s="157"/>
    </row>
    <row r="55" spans="2:31" x14ac:dyDescent="0.2">
      <c r="B55" s="16"/>
      <c r="D55" s="156"/>
      <c r="E55" s="156"/>
      <c r="F55" s="156"/>
      <c r="G55" s="156"/>
      <c r="H55" s="156"/>
      <c r="I55" s="156"/>
      <c r="J55" s="156"/>
      <c r="L55" s="16"/>
      <c r="W55" s="16"/>
      <c r="Y55" s="156"/>
      <c r="Z55" s="156"/>
      <c r="AA55" s="156"/>
      <c r="AB55" s="156"/>
      <c r="AC55" s="156"/>
      <c r="AD55" s="156"/>
      <c r="AE55" s="157"/>
    </row>
    <row r="56" spans="2:31" x14ac:dyDescent="0.2">
      <c r="B56" s="16"/>
      <c r="D56" s="156"/>
      <c r="E56" s="156"/>
      <c r="F56" s="156"/>
      <c r="G56" s="156"/>
      <c r="H56" s="156"/>
      <c r="I56" s="156"/>
      <c r="J56" s="156"/>
      <c r="L56" s="16"/>
      <c r="W56" s="16"/>
      <c r="Y56" s="156"/>
      <c r="Z56" s="156"/>
      <c r="AA56" s="156"/>
      <c r="AB56" s="156"/>
      <c r="AC56" s="156"/>
      <c r="AD56" s="156"/>
      <c r="AE56" s="157"/>
    </row>
    <row r="57" spans="2:31" x14ac:dyDescent="0.2">
      <c r="B57" s="16"/>
      <c r="D57" s="156"/>
      <c r="E57" s="156"/>
      <c r="F57" s="156"/>
      <c r="G57" s="156"/>
      <c r="H57" s="156"/>
      <c r="I57" s="156"/>
      <c r="J57" s="156"/>
      <c r="L57" s="16"/>
      <c r="W57" s="16"/>
      <c r="Y57" s="156"/>
      <c r="Z57" s="156"/>
      <c r="AA57" s="156"/>
      <c r="AB57" s="156"/>
      <c r="AC57" s="156"/>
      <c r="AD57" s="156"/>
      <c r="AE57" s="157"/>
    </row>
    <row r="58" spans="2:31" x14ac:dyDescent="0.2">
      <c r="B58" s="16"/>
      <c r="D58" s="156"/>
      <c r="E58" s="156"/>
      <c r="F58" s="156"/>
      <c r="G58" s="156"/>
      <c r="H58" s="156"/>
      <c r="I58" s="156"/>
      <c r="J58" s="156"/>
      <c r="L58" s="16"/>
      <c r="W58" s="16"/>
      <c r="Y58" s="156"/>
      <c r="Z58" s="156"/>
      <c r="AA58" s="156"/>
      <c r="AB58" s="156"/>
      <c r="AC58" s="156"/>
      <c r="AD58" s="156"/>
      <c r="AE58" s="157"/>
    </row>
    <row r="59" spans="2:31" x14ac:dyDescent="0.2">
      <c r="B59" s="16"/>
      <c r="D59" s="156"/>
      <c r="E59" s="156"/>
      <c r="F59" s="156"/>
      <c r="G59" s="156"/>
      <c r="H59" s="156"/>
      <c r="I59" s="156"/>
      <c r="J59" s="156"/>
      <c r="L59" s="16"/>
      <c r="W59" s="16"/>
      <c r="Y59" s="156"/>
      <c r="Z59" s="156"/>
      <c r="AA59" s="156"/>
      <c r="AB59" s="156"/>
      <c r="AC59" s="156"/>
      <c r="AD59" s="156"/>
      <c r="AE59" s="157"/>
    </row>
    <row r="60" spans="2:31" x14ac:dyDescent="0.2">
      <c r="B60" s="16"/>
      <c r="D60" s="156"/>
      <c r="E60" s="156"/>
      <c r="F60" s="156"/>
      <c r="G60" s="156"/>
      <c r="H60" s="156"/>
      <c r="I60" s="156"/>
      <c r="J60" s="156"/>
      <c r="L60" s="16"/>
      <c r="W60" s="16"/>
      <c r="Y60" s="156"/>
      <c r="Z60" s="156"/>
      <c r="AA60" s="156"/>
      <c r="AB60" s="156"/>
      <c r="AC60" s="156"/>
      <c r="AD60" s="156"/>
      <c r="AE60" s="157"/>
    </row>
    <row r="61" spans="2:31" s="1" customFormat="1" ht="13.2" x14ac:dyDescent="0.2">
      <c r="B61" s="24"/>
      <c r="D61" s="522"/>
      <c r="E61" s="523"/>
      <c r="F61" s="536"/>
      <c r="G61" s="522"/>
      <c r="H61" s="523"/>
      <c r="I61" s="523"/>
      <c r="J61" s="169"/>
      <c r="K61" s="26"/>
      <c r="L61" s="24"/>
      <c r="W61" s="24"/>
      <c r="X61" s="687"/>
      <c r="Y61" s="686"/>
      <c r="Z61" s="685"/>
      <c r="AA61" s="536"/>
      <c r="AB61" s="686"/>
      <c r="AC61" s="685"/>
      <c r="AD61" s="685"/>
      <c r="AE61" s="577"/>
    </row>
    <row r="62" spans="2:31" x14ac:dyDescent="0.2">
      <c r="B62" s="16"/>
      <c r="D62" s="156"/>
      <c r="E62" s="156"/>
      <c r="F62" s="156"/>
      <c r="G62" s="156"/>
      <c r="H62" s="156"/>
      <c r="I62" s="156"/>
      <c r="J62" s="156"/>
      <c r="L62" s="16"/>
      <c r="W62" s="16"/>
      <c r="Y62" s="156"/>
      <c r="Z62" s="156"/>
      <c r="AA62" s="156"/>
      <c r="AB62" s="156"/>
      <c r="AC62" s="156"/>
      <c r="AD62" s="156"/>
      <c r="AE62" s="157"/>
    </row>
    <row r="63" spans="2:31" x14ac:dyDescent="0.2">
      <c r="B63" s="16"/>
      <c r="D63" s="156"/>
      <c r="E63" s="156"/>
      <c r="F63" s="156"/>
      <c r="G63" s="156"/>
      <c r="H63" s="156"/>
      <c r="I63" s="156"/>
      <c r="J63" s="156"/>
      <c r="L63" s="16"/>
      <c r="W63" s="16"/>
      <c r="Y63" s="156"/>
      <c r="Z63" s="156"/>
      <c r="AA63" s="156"/>
      <c r="AB63" s="156"/>
      <c r="AC63" s="156"/>
      <c r="AD63" s="156"/>
      <c r="AE63" s="157"/>
    </row>
    <row r="64" spans="2:31" x14ac:dyDescent="0.2">
      <c r="B64" s="16"/>
      <c r="D64" s="156"/>
      <c r="E64" s="156"/>
      <c r="F64" s="156"/>
      <c r="G64" s="156"/>
      <c r="H64" s="156"/>
      <c r="I64" s="156"/>
      <c r="J64" s="156"/>
      <c r="L64" s="16"/>
      <c r="W64" s="16"/>
      <c r="Y64" s="156"/>
      <c r="Z64" s="156"/>
      <c r="AA64" s="156"/>
      <c r="AB64" s="156"/>
      <c r="AC64" s="156"/>
      <c r="AD64" s="156"/>
      <c r="AE64" s="157"/>
    </row>
    <row r="65" spans="2:31" s="1" customFormat="1" ht="13.2" x14ac:dyDescent="0.2">
      <c r="B65" s="24"/>
      <c r="D65" s="530"/>
      <c r="E65" s="523"/>
      <c r="F65" s="523"/>
      <c r="G65" s="530"/>
      <c r="H65" s="523"/>
      <c r="I65" s="523"/>
      <c r="J65" s="523"/>
      <c r="K65" s="32"/>
      <c r="L65" s="24"/>
      <c r="W65" s="24"/>
      <c r="X65" s="687"/>
      <c r="Y65" s="530"/>
      <c r="Z65" s="685"/>
      <c r="AA65" s="685"/>
      <c r="AB65" s="530"/>
      <c r="AC65" s="685"/>
      <c r="AD65" s="685"/>
      <c r="AE65" s="159"/>
    </row>
    <row r="66" spans="2:31" x14ac:dyDescent="0.2">
      <c r="B66" s="16"/>
      <c r="D66" s="156"/>
      <c r="E66" s="156"/>
      <c r="F66" s="156"/>
      <c r="G66" s="156"/>
      <c r="H66" s="156"/>
      <c r="I66" s="156"/>
      <c r="J66" s="156"/>
      <c r="L66" s="16"/>
      <c r="W66" s="16"/>
      <c r="Y66" s="156"/>
      <c r="Z66" s="156"/>
      <c r="AA66" s="156"/>
      <c r="AB66" s="156"/>
      <c r="AC66" s="156"/>
      <c r="AD66" s="156"/>
      <c r="AE66" s="157"/>
    </row>
    <row r="67" spans="2:31" x14ac:dyDescent="0.2">
      <c r="B67" s="16"/>
      <c r="D67" s="156"/>
      <c r="E67" s="156"/>
      <c r="F67" s="156"/>
      <c r="G67" s="156"/>
      <c r="H67" s="156"/>
      <c r="I67" s="156"/>
      <c r="J67" s="156"/>
      <c r="L67" s="16"/>
      <c r="W67" s="16"/>
      <c r="Y67" s="156"/>
      <c r="Z67" s="156"/>
      <c r="AA67" s="156"/>
      <c r="AB67" s="156"/>
      <c r="AC67" s="156"/>
      <c r="AD67" s="156"/>
      <c r="AE67" s="157"/>
    </row>
    <row r="68" spans="2:31" x14ac:dyDescent="0.2">
      <c r="B68" s="16"/>
      <c r="D68" s="156"/>
      <c r="E68" s="156"/>
      <c r="F68" s="156"/>
      <c r="G68" s="156"/>
      <c r="H68" s="156"/>
      <c r="I68" s="156"/>
      <c r="J68" s="156"/>
      <c r="L68" s="16"/>
      <c r="W68" s="16"/>
      <c r="Y68" s="156"/>
      <c r="Z68" s="156"/>
      <c r="AA68" s="156"/>
      <c r="AB68" s="156"/>
      <c r="AC68" s="156"/>
      <c r="AD68" s="156"/>
      <c r="AE68" s="157"/>
    </row>
    <row r="69" spans="2:31" x14ac:dyDescent="0.2">
      <c r="B69" s="16"/>
      <c r="D69" s="156"/>
      <c r="E69" s="156"/>
      <c r="F69" s="156"/>
      <c r="G69" s="156"/>
      <c r="H69" s="156"/>
      <c r="I69" s="156"/>
      <c r="J69" s="156"/>
      <c r="L69" s="16"/>
      <c r="W69" s="16"/>
      <c r="Y69" s="156"/>
      <c r="Z69" s="156"/>
      <c r="AA69" s="156"/>
      <c r="AB69" s="156"/>
      <c r="AC69" s="156"/>
      <c r="AD69" s="156"/>
      <c r="AE69" s="157"/>
    </row>
    <row r="70" spans="2:31" x14ac:dyDescent="0.2">
      <c r="B70" s="16"/>
      <c r="D70" s="156"/>
      <c r="E70" s="156"/>
      <c r="F70" s="156"/>
      <c r="G70" s="156"/>
      <c r="H70" s="156"/>
      <c r="I70" s="156"/>
      <c r="J70" s="156"/>
      <c r="L70" s="16"/>
      <c r="W70" s="16"/>
      <c r="Y70" s="156"/>
      <c r="Z70" s="156"/>
      <c r="AA70" s="156"/>
      <c r="AB70" s="156"/>
      <c r="AC70" s="156"/>
      <c r="AD70" s="156"/>
      <c r="AE70" s="157"/>
    </row>
    <row r="71" spans="2:31" x14ac:dyDescent="0.2">
      <c r="B71" s="16"/>
      <c r="D71" s="156"/>
      <c r="E71" s="156"/>
      <c r="F71" s="156"/>
      <c r="G71" s="156"/>
      <c r="H71" s="156"/>
      <c r="I71" s="156"/>
      <c r="J71" s="156"/>
      <c r="L71" s="16"/>
      <c r="W71" s="16"/>
      <c r="Y71" s="156"/>
      <c r="Z71" s="156"/>
      <c r="AA71" s="156"/>
      <c r="AB71" s="156"/>
      <c r="AC71" s="156"/>
      <c r="AD71" s="156"/>
      <c r="AE71" s="157"/>
    </row>
    <row r="72" spans="2:31" x14ac:dyDescent="0.2">
      <c r="B72" s="16"/>
      <c r="D72" s="156"/>
      <c r="E72" s="156"/>
      <c r="F72" s="156"/>
      <c r="G72" s="156"/>
      <c r="H72" s="156"/>
      <c r="I72" s="156"/>
      <c r="J72" s="156"/>
      <c r="L72" s="16"/>
      <c r="W72" s="16"/>
      <c r="Y72" s="156"/>
      <c r="Z72" s="156"/>
      <c r="AA72" s="156"/>
      <c r="AB72" s="156"/>
      <c r="AC72" s="156"/>
      <c r="AD72" s="156"/>
      <c r="AE72" s="157"/>
    </row>
    <row r="73" spans="2:31" x14ac:dyDescent="0.2">
      <c r="B73" s="16"/>
      <c r="D73" s="156"/>
      <c r="E73" s="156"/>
      <c r="F73" s="156"/>
      <c r="G73" s="156"/>
      <c r="H73" s="156"/>
      <c r="I73" s="156"/>
      <c r="J73" s="156"/>
      <c r="L73" s="16"/>
      <c r="W73" s="16"/>
      <c r="Y73" s="156"/>
      <c r="Z73" s="156"/>
      <c r="AA73" s="156"/>
      <c r="AB73" s="156"/>
      <c r="AC73" s="156"/>
      <c r="AD73" s="156"/>
      <c r="AE73" s="157"/>
    </row>
    <row r="74" spans="2:31" x14ac:dyDescent="0.2">
      <c r="B74" s="16"/>
      <c r="D74" s="156"/>
      <c r="E74" s="156"/>
      <c r="F74" s="156"/>
      <c r="G74" s="156"/>
      <c r="H74" s="156"/>
      <c r="I74" s="156"/>
      <c r="J74" s="156"/>
      <c r="L74" s="16"/>
      <c r="W74" s="16"/>
      <c r="Y74" s="156"/>
      <c r="Z74" s="156"/>
      <c r="AA74" s="156"/>
      <c r="AB74" s="156"/>
      <c r="AC74" s="156"/>
      <c r="AD74" s="156"/>
      <c r="AE74" s="157"/>
    </row>
    <row r="75" spans="2:31" x14ac:dyDescent="0.2">
      <c r="B75" s="16"/>
      <c r="D75" s="156"/>
      <c r="E75" s="156"/>
      <c r="F75" s="156"/>
      <c r="G75" s="156"/>
      <c r="H75" s="156"/>
      <c r="I75" s="156"/>
      <c r="J75" s="156"/>
      <c r="L75" s="16"/>
      <c r="W75" s="16"/>
      <c r="Y75" s="156"/>
      <c r="Z75" s="156"/>
      <c r="AA75" s="156"/>
      <c r="AB75" s="156"/>
      <c r="AC75" s="156"/>
      <c r="AD75" s="156"/>
      <c r="AE75" s="157"/>
    </row>
    <row r="76" spans="2:31" s="1" customFormat="1" ht="13.2" x14ac:dyDescent="0.2">
      <c r="B76" s="24"/>
      <c r="D76" s="522"/>
      <c r="E76" s="523"/>
      <c r="F76" s="536"/>
      <c r="G76" s="522"/>
      <c r="H76" s="523"/>
      <c r="I76" s="523"/>
      <c r="J76" s="169"/>
      <c r="K76" s="26"/>
      <c r="L76" s="24"/>
      <c r="W76" s="24"/>
      <c r="X76" s="687"/>
      <c r="Y76" s="686"/>
      <c r="Z76" s="685"/>
      <c r="AA76" s="536"/>
      <c r="AB76" s="686"/>
      <c r="AC76" s="685"/>
      <c r="AD76" s="685"/>
      <c r="AE76" s="577"/>
    </row>
    <row r="77" spans="2:31" s="1" customFormat="1" ht="14.55" customHeight="1" x14ac:dyDescent="0.2">
      <c r="B77" s="33"/>
      <c r="C77" s="34"/>
      <c r="D77" s="34"/>
      <c r="E77" s="34"/>
      <c r="F77" s="34"/>
      <c r="G77" s="34"/>
      <c r="H77" s="34"/>
      <c r="I77" s="34"/>
      <c r="J77" s="34"/>
      <c r="K77" s="34"/>
      <c r="L77" s="24"/>
      <c r="W77" s="33"/>
      <c r="X77" s="34"/>
      <c r="Y77" s="34"/>
      <c r="Z77" s="34"/>
      <c r="AA77" s="34"/>
      <c r="AB77" s="34"/>
      <c r="AC77" s="34"/>
      <c r="AD77" s="34"/>
      <c r="AE77" s="250"/>
    </row>
    <row r="81" spans="2:47" s="1" customFormat="1" ht="7.05" customHeight="1" x14ac:dyDescent="0.2">
      <c r="B81" s="35"/>
      <c r="C81" s="36"/>
      <c r="D81" s="36"/>
      <c r="E81" s="36"/>
      <c r="F81" s="36"/>
      <c r="G81" s="36"/>
      <c r="H81" s="36"/>
      <c r="I81" s="36"/>
      <c r="J81" s="36"/>
      <c r="K81" s="36"/>
      <c r="L81" s="24"/>
      <c r="W81" s="35"/>
      <c r="X81" s="36"/>
      <c r="Y81" s="36"/>
      <c r="Z81" s="36"/>
      <c r="AA81" s="36"/>
      <c r="AB81" s="36"/>
      <c r="AC81" s="36"/>
      <c r="AD81" s="36"/>
      <c r="AE81" s="647"/>
    </row>
    <row r="82" spans="2:47" s="1" customFormat="1" ht="25.05" customHeight="1" x14ac:dyDescent="0.2">
      <c r="B82" s="1256" t="s">
        <v>188</v>
      </c>
      <c r="C82" s="1165"/>
      <c r="D82" s="1165"/>
      <c r="E82" s="1165"/>
      <c r="F82" s="1165"/>
      <c r="G82" s="1165"/>
      <c r="H82" s="1165"/>
      <c r="I82" s="1165"/>
      <c r="J82" s="1165"/>
      <c r="L82" s="24"/>
      <c r="W82" s="1256" t="s">
        <v>188</v>
      </c>
      <c r="X82" s="1237"/>
      <c r="Y82" s="1237"/>
      <c r="Z82" s="1237"/>
      <c r="AA82" s="1237"/>
      <c r="AB82" s="1237"/>
      <c r="AC82" s="1237"/>
      <c r="AD82" s="1237"/>
      <c r="AE82" s="1238"/>
    </row>
    <row r="83" spans="2:47" s="1" customFormat="1" ht="7.05" customHeight="1" x14ac:dyDescent="0.2">
      <c r="B83" s="24"/>
      <c r="L83" s="24"/>
      <c r="W83" s="24"/>
      <c r="X83" s="685"/>
      <c r="Y83" s="685"/>
      <c r="Z83" s="685"/>
      <c r="AA83" s="685"/>
      <c r="AB83" s="685"/>
      <c r="AC83" s="685"/>
      <c r="AD83" s="685"/>
      <c r="AE83" s="159"/>
    </row>
    <row r="84" spans="2:47" s="1" customFormat="1" ht="12" customHeight="1" x14ac:dyDescent="0.2">
      <c r="B84" s="24"/>
      <c r="C84" s="528" t="s">
        <v>12</v>
      </c>
      <c r="E84" s="1242" t="s">
        <v>6177</v>
      </c>
      <c r="F84" s="1242"/>
      <c r="G84" s="1242"/>
      <c r="H84" s="1242"/>
      <c r="I84" s="1242"/>
      <c r="J84" s="1242"/>
      <c r="L84" s="24"/>
      <c r="W84" s="24"/>
      <c r="X84" s="688" t="s">
        <v>12</v>
      </c>
      <c r="Y84" s="685"/>
      <c r="Z84" s="1163" t="s">
        <v>6177</v>
      </c>
      <c r="AA84" s="1163"/>
      <c r="AB84" s="1163"/>
      <c r="AC84" s="1163"/>
      <c r="AD84" s="1163"/>
      <c r="AE84" s="1241"/>
    </row>
    <row r="85" spans="2:47" s="1" customFormat="1" ht="23.55" customHeight="1" x14ac:dyDescent="0.2">
      <c r="B85" s="24"/>
      <c r="C85" s="521"/>
      <c r="E85" s="1243"/>
      <c r="F85" s="1244"/>
      <c r="G85" s="1244"/>
      <c r="H85" s="1244"/>
      <c r="L85" s="24"/>
      <c r="W85" s="24"/>
      <c r="X85" s="685"/>
      <c r="Y85" s="685"/>
      <c r="Z85" s="1249"/>
      <c r="AA85" s="1250"/>
      <c r="AB85" s="1250"/>
      <c r="AC85" s="1250"/>
      <c r="AD85" s="685"/>
      <c r="AE85" s="159"/>
    </row>
    <row r="86" spans="2:47" s="1" customFormat="1" ht="12" customHeight="1" x14ac:dyDescent="0.2">
      <c r="B86" s="24"/>
      <c r="C86" s="528" t="s">
        <v>186</v>
      </c>
      <c r="F86" s="532" t="s">
        <v>4663</v>
      </c>
      <c r="L86" s="24"/>
      <c r="W86" s="24"/>
      <c r="X86" s="688" t="s">
        <v>186</v>
      </c>
      <c r="Y86" s="685"/>
      <c r="Z86" s="685"/>
      <c r="AA86" s="555" t="s">
        <v>4663</v>
      </c>
      <c r="AB86" s="685"/>
      <c r="AC86" s="685"/>
      <c r="AD86" s="685"/>
      <c r="AE86" s="159"/>
    </row>
    <row r="87" spans="2:47" s="1" customFormat="1" ht="16.5" customHeight="1" x14ac:dyDescent="0.2">
      <c r="B87" s="24"/>
      <c r="C87" s="521"/>
      <c r="E87" s="1251"/>
      <c r="F87" s="1252"/>
      <c r="G87" s="1252"/>
      <c r="H87" s="1252"/>
      <c r="L87" s="24"/>
      <c r="W87" s="24"/>
      <c r="X87" s="685"/>
      <c r="Y87" s="685"/>
      <c r="Z87" s="1245"/>
      <c r="AA87" s="1246"/>
      <c r="AB87" s="1246"/>
      <c r="AC87" s="1246"/>
      <c r="AD87" s="685"/>
      <c r="AE87" s="159"/>
    </row>
    <row r="88" spans="2:47" s="1" customFormat="1" ht="7.05" customHeight="1" x14ac:dyDescent="0.2">
      <c r="B88" s="24"/>
      <c r="C88" s="521"/>
      <c r="L88" s="24"/>
      <c r="W88" s="24"/>
      <c r="X88" s="685"/>
      <c r="Y88" s="685"/>
      <c r="Z88" s="685"/>
      <c r="AA88" s="685"/>
      <c r="AB88" s="685"/>
      <c r="AC88" s="685"/>
      <c r="AD88" s="685"/>
      <c r="AE88" s="159"/>
    </row>
    <row r="89" spans="2:47" s="1" customFormat="1" ht="12" customHeight="1" x14ac:dyDescent="0.2">
      <c r="B89" s="24"/>
      <c r="C89" s="528" t="s">
        <v>15</v>
      </c>
      <c r="F89" s="19" t="str">
        <f>F12</f>
        <v>Kuzmányho nábrežie 28, 960 01 Zvolen</v>
      </c>
      <c r="I89" s="528" t="s">
        <v>17</v>
      </c>
      <c r="J89" s="39" t="str">
        <f>IF(J12="","",J12)</f>
        <v/>
      </c>
      <c r="L89" s="24"/>
      <c r="W89" s="24"/>
      <c r="X89" s="688" t="s">
        <v>15</v>
      </c>
      <c r="Y89" s="685"/>
      <c r="Z89" s="685"/>
      <c r="AA89" s="684" t="str">
        <f>AA12</f>
        <v>Kuzmányho nábrežie 28, 960 01 Zvolen</v>
      </c>
      <c r="AB89" s="685"/>
      <c r="AC89" s="685"/>
      <c r="AD89" s="688" t="s">
        <v>17</v>
      </c>
      <c r="AE89" s="162" t="str">
        <f>IF(AE12="","",AE12)</f>
        <v/>
      </c>
    </row>
    <row r="90" spans="2:47" s="1" customFormat="1" ht="7.05" customHeight="1" x14ac:dyDescent="0.2">
      <c r="B90" s="24"/>
      <c r="C90" s="521"/>
      <c r="I90" s="521"/>
      <c r="L90" s="24"/>
      <c r="W90" s="24"/>
      <c r="X90" s="685"/>
      <c r="Y90" s="685"/>
      <c r="Z90" s="685"/>
      <c r="AA90" s="685"/>
      <c r="AB90" s="685"/>
      <c r="AC90" s="685"/>
      <c r="AD90" s="685"/>
      <c r="AE90" s="159"/>
    </row>
    <row r="91" spans="2:47" s="1" customFormat="1" ht="15.3" customHeight="1" x14ac:dyDescent="0.2">
      <c r="B91" s="24"/>
      <c r="C91" s="528" t="s">
        <v>18</v>
      </c>
      <c r="F91" s="529" t="s">
        <v>6175</v>
      </c>
      <c r="I91" s="528" t="s">
        <v>22</v>
      </c>
      <c r="J91" s="22" t="str">
        <f>E21</f>
        <v xml:space="preserve"> </v>
      </c>
      <c r="L91" s="24"/>
      <c r="W91" s="24"/>
      <c r="X91" s="688" t="s">
        <v>18</v>
      </c>
      <c r="Y91" s="685"/>
      <c r="Z91" s="685"/>
      <c r="AA91" s="576" t="s">
        <v>6175</v>
      </c>
      <c r="AB91" s="685"/>
      <c r="AC91" s="685"/>
      <c r="AD91" s="688" t="s">
        <v>22</v>
      </c>
      <c r="AE91" s="181" t="str">
        <f>Z21</f>
        <v/>
      </c>
    </row>
    <row r="92" spans="2:47" s="1" customFormat="1" ht="15.3" customHeight="1" x14ac:dyDescent="0.2">
      <c r="B92" s="24"/>
      <c r="C92" s="528" t="s">
        <v>21</v>
      </c>
      <c r="F92" s="529" t="s">
        <v>5202</v>
      </c>
      <c r="I92" s="528" t="s">
        <v>24</v>
      </c>
      <c r="J92" s="22" t="str">
        <f>E24</f>
        <v xml:space="preserve"> </v>
      </c>
      <c r="L92" s="24"/>
      <c r="W92" s="24"/>
      <c r="X92" s="688" t="s">
        <v>21</v>
      </c>
      <c r="Y92" s="685"/>
      <c r="Z92" s="685"/>
      <c r="AA92" s="576" t="s">
        <v>5202</v>
      </c>
      <c r="AB92" s="685"/>
      <c r="AC92" s="685"/>
      <c r="AD92" s="688" t="s">
        <v>24</v>
      </c>
      <c r="AE92" s="181" t="str">
        <f>Z24</f>
        <v/>
      </c>
    </row>
    <row r="93" spans="2:47" s="1" customFormat="1" ht="10.199999999999999" customHeight="1" x14ac:dyDescent="0.2">
      <c r="B93" s="24"/>
      <c r="L93" s="24"/>
      <c r="W93" s="24"/>
      <c r="X93" s="685"/>
      <c r="Y93" s="685"/>
      <c r="Z93" s="685"/>
      <c r="AA93" s="685"/>
      <c r="AB93" s="685"/>
      <c r="AC93" s="685"/>
      <c r="AD93" s="685"/>
      <c r="AE93" s="159"/>
    </row>
    <row r="94" spans="2:47" s="1" customFormat="1" ht="29.25" customHeight="1" x14ac:dyDescent="0.2">
      <c r="B94" s="24"/>
      <c r="C94" s="86" t="s">
        <v>189</v>
      </c>
      <c r="D94" s="80"/>
      <c r="E94" s="80"/>
      <c r="F94" s="80"/>
      <c r="G94" s="80"/>
      <c r="H94" s="80"/>
      <c r="I94" s="80"/>
      <c r="J94" s="87" t="s">
        <v>190</v>
      </c>
      <c r="K94" s="80"/>
      <c r="L94" s="24"/>
      <c r="W94" s="24"/>
      <c r="X94" s="182" t="s">
        <v>189</v>
      </c>
      <c r="Y94" s="173"/>
      <c r="Z94" s="173"/>
      <c r="AA94" s="173"/>
      <c r="AB94" s="173"/>
      <c r="AC94" s="173"/>
      <c r="AD94" s="173"/>
      <c r="AE94" s="183" t="s">
        <v>190</v>
      </c>
    </row>
    <row r="95" spans="2:47" s="1" customFormat="1" ht="10.199999999999999" customHeight="1" x14ac:dyDescent="0.2">
      <c r="B95" s="24"/>
      <c r="L95" s="24"/>
      <c r="W95" s="24"/>
      <c r="X95" s="685"/>
      <c r="Y95" s="685"/>
      <c r="Z95" s="685"/>
      <c r="AA95" s="685"/>
      <c r="AB95" s="685"/>
      <c r="AC95" s="685"/>
      <c r="AD95" s="685"/>
      <c r="AE95" s="159"/>
    </row>
    <row r="96" spans="2:47" s="1" customFormat="1" ht="22.95" customHeight="1" x14ac:dyDescent="0.2">
      <c r="B96" s="24"/>
      <c r="C96" s="88" t="s">
        <v>191</v>
      </c>
      <c r="J96" s="53">
        <f>J120</f>
        <v>225203.91999999998</v>
      </c>
      <c r="L96" s="24"/>
      <c r="W96" s="24"/>
      <c r="X96" s="184" t="s">
        <v>191</v>
      </c>
      <c r="Y96" s="685"/>
      <c r="Z96" s="685"/>
      <c r="AA96" s="685"/>
      <c r="AB96" s="685"/>
      <c r="AC96" s="685"/>
      <c r="AD96" s="685"/>
      <c r="AE96" s="168">
        <f>AE120</f>
        <v>224126.27999999997</v>
      </c>
      <c r="AU96" s="13" t="s">
        <v>192</v>
      </c>
    </row>
    <row r="97" spans="2:33" s="8" customFormat="1" ht="25.05" customHeight="1" x14ac:dyDescent="0.2">
      <c r="B97" s="89"/>
      <c r="D97" s="90" t="s">
        <v>4664</v>
      </c>
      <c r="E97" s="91"/>
      <c r="F97" s="91"/>
      <c r="G97" s="91"/>
      <c r="H97" s="91"/>
      <c r="I97" s="91"/>
      <c r="J97" s="92">
        <f>J121</f>
        <v>225203.91999999998</v>
      </c>
      <c r="L97" s="89"/>
      <c r="W97" s="89"/>
      <c r="X97" s="186"/>
      <c r="Y97" s="90" t="s">
        <v>4664</v>
      </c>
      <c r="Z97" s="91"/>
      <c r="AA97" s="91"/>
      <c r="AB97" s="91"/>
      <c r="AC97" s="91"/>
      <c r="AD97" s="91"/>
      <c r="AE97" s="1154">
        <f>AE121</f>
        <v>224126.27999999997</v>
      </c>
      <c r="AG97" s="328"/>
    </row>
    <row r="98" spans="2:33" s="9" customFormat="1" ht="19.95" customHeight="1" x14ac:dyDescent="0.2">
      <c r="B98" s="93"/>
      <c r="D98" s="94" t="s">
        <v>4665</v>
      </c>
      <c r="E98" s="95"/>
      <c r="F98" s="95"/>
      <c r="G98" s="95"/>
      <c r="H98" s="95"/>
      <c r="I98" s="95"/>
      <c r="J98" s="96">
        <f>J125</f>
        <v>114739.64</v>
      </c>
      <c r="L98" s="93"/>
      <c r="W98" s="93"/>
      <c r="X98" s="189"/>
      <c r="Y98" s="94" t="s">
        <v>4665</v>
      </c>
      <c r="Z98" s="95"/>
      <c r="AA98" s="95"/>
      <c r="AB98" s="95"/>
      <c r="AC98" s="95"/>
      <c r="AD98" s="95"/>
      <c r="AE98" s="1156">
        <f>AE125</f>
        <v>113662</v>
      </c>
      <c r="AG98" s="405"/>
    </row>
    <row r="99" spans="2:33" s="9" customFormat="1" ht="19.95" customHeight="1" x14ac:dyDescent="0.2">
      <c r="B99" s="93"/>
      <c r="D99" s="94" t="s">
        <v>4666</v>
      </c>
      <c r="E99" s="95"/>
      <c r="F99" s="95"/>
      <c r="G99" s="95"/>
      <c r="H99" s="95"/>
      <c r="I99" s="95"/>
      <c r="J99" s="96">
        <f>J164</f>
        <v>62879.49</v>
      </c>
      <c r="L99" s="93"/>
      <c r="W99" s="93"/>
      <c r="X99" s="189"/>
      <c r="Y99" s="94" t="s">
        <v>4666</v>
      </c>
      <c r="Z99" s="95"/>
      <c r="AA99" s="95"/>
      <c r="AB99" s="95"/>
      <c r="AC99" s="95"/>
      <c r="AD99" s="95"/>
      <c r="AE99" s="1156">
        <f>AE164</f>
        <v>62879.49</v>
      </c>
    </row>
    <row r="100" spans="2:33" s="9" customFormat="1" ht="19.95" customHeight="1" x14ac:dyDescent="0.2">
      <c r="B100" s="93"/>
      <c r="D100" s="94" t="s">
        <v>4667</v>
      </c>
      <c r="E100" s="95"/>
      <c r="F100" s="95"/>
      <c r="G100" s="95"/>
      <c r="H100" s="95"/>
      <c r="I100" s="95"/>
      <c r="J100" s="96">
        <f>J200</f>
        <v>17065.989999999998</v>
      </c>
      <c r="L100" s="93"/>
      <c r="W100" s="93"/>
      <c r="X100" s="189"/>
      <c r="Y100" s="94" t="s">
        <v>4667</v>
      </c>
      <c r="Z100" s="95"/>
      <c r="AA100" s="95"/>
      <c r="AB100" s="95"/>
      <c r="AC100" s="95"/>
      <c r="AD100" s="95"/>
      <c r="AE100" s="1156">
        <f>AE200</f>
        <v>17065.989999999998</v>
      </c>
    </row>
    <row r="101" spans="2:33" s="1" customFormat="1" ht="21.75" customHeight="1" x14ac:dyDescent="0.2">
      <c r="B101" s="24"/>
      <c r="L101" s="24"/>
      <c r="W101" s="24"/>
      <c r="X101" s="685"/>
      <c r="Y101" s="685"/>
      <c r="Z101" s="685"/>
      <c r="AA101" s="685"/>
      <c r="AB101" s="685"/>
      <c r="AC101" s="685"/>
      <c r="AD101" s="685"/>
      <c r="AE101" s="159"/>
    </row>
    <row r="102" spans="2:33" s="1" customFormat="1" ht="7.05" customHeight="1" x14ac:dyDescent="0.2">
      <c r="B102" s="33"/>
      <c r="C102" s="34"/>
      <c r="D102" s="34"/>
      <c r="E102" s="34"/>
      <c r="F102" s="34"/>
      <c r="G102" s="34"/>
      <c r="H102" s="34"/>
      <c r="I102" s="34"/>
      <c r="J102" s="34"/>
      <c r="K102" s="34"/>
      <c r="L102" s="24"/>
      <c r="W102" s="33"/>
      <c r="X102" s="34"/>
      <c r="Y102" s="34"/>
      <c r="Z102" s="34"/>
      <c r="AA102" s="34"/>
      <c r="AB102" s="34"/>
      <c r="AC102" s="34"/>
      <c r="AD102" s="34"/>
      <c r="AE102" s="250"/>
    </row>
    <row r="106" spans="2:33" s="1" customFormat="1" ht="7.05" customHeight="1" x14ac:dyDescent="0.2">
      <c r="B106" s="35"/>
      <c r="C106" s="36"/>
      <c r="D106" s="36"/>
      <c r="E106" s="36"/>
      <c r="F106" s="36"/>
      <c r="G106" s="36"/>
      <c r="H106" s="36"/>
      <c r="I106" s="36"/>
      <c r="J106" s="36"/>
      <c r="K106" s="36"/>
      <c r="L106" s="24"/>
      <c r="W106" s="35"/>
      <c r="X106" s="36"/>
      <c r="Y106" s="36"/>
      <c r="Z106" s="36"/>
      <c r="AA106" s="36"/>
      <c r="AB106" s="36"/>
      <c r="AC106" s="36"/>
      <c r="AD106" s="36"/>
      <c r="AE106" s="647"/>
    </row>
    <row r="107" spans="2:33" s="1" customFormat="1" ht="25.05" customHeight="1" x14ac:dyDescent="0.2">
      <c r="B107" s="24"/>
      <c r="C107" s="1165" t="s">
        <v>214</v>
      </c>
      <c r="D107" s="1165"/>
      <c r="E107" s="1165"/>
      <c r="F107" s="1165"/>
      <c r="G107" s="1165"/>
      <c r="H107" s="1165"/>
      <c r="I107" s="1165"/>
      <c r="J107" s="1165"/>
      <c r="L107" s="24"/>
      <c r="W107" s="24"/>
      <c r="X107" s="1237" t="s">
        <v>214</v>
      </c>
      <c r="Y107" s="1237"/>
      <c r="Z107" s="1237"/>
      <c r="AA107" s="1237"/>
      <c r="AB107" s="1237"/>
      <c r="AC107" s="1237"/>
      <c r="AD107" s="1237"/>
      <c r="AE107" s="1238"/>
    </row>
    <row r="108" spans="2:33" s="1" customFormat="1" ht="7.05" customHeight="1" x14ac:dyDescent="0.2">
      <c r="B108" s="24"/>
      <c r="L108" s="24"/>
      <c r="W108" s="24"/>
      <c r="X108" s="685"/>
      <c r="Y108" s="685"/>
      <c r="Z108" s="685"/>
      <c r="AA108" s="685"/>
      <c r="AB108" s="685"/>
      <c r="AC108" s="685"/>
      <c r="AD108" s="685"/>
      <c r="AE108" s="159"/>
    </row>
    <row r="109" spans="2:33" s="1" customFormat="1" ht="12" customHeight="1" x14ac:dyDescent="0.2">
      <c r="B109" s="24"/>
      <c r="C109" s="528" t="s">
        <v>12</v>
      </c>
      <c r="E109" s="1242" t="s">
        <v>6177</v>
      </c>
      <c r="F109" s="1242"/>
      <c r="G109" s="1242"/>
      <c r="H109" s="1242"/>
      <c r="I109" s="1242"/>
      <c r="J109" s="1242"/>
      <c r="L109" s="24"/>
      <c r="W109" s="24"/>
      <c r="X109" s="688" t="s">
        <v>12</v>
      </c>
      <c r="Y109" s="685"/>
      <c r="Z109" s="1163" t="s">
        <v>6177</v>
      </c>
      <c r="AA109" s="1163"/>
      <c r="AB109" s="1163"/>
      <c r="AC109" s="1163"/>
      <c r="AD109" s="1163"/>
      <c r="AE109" s="1241"/>
    </row>
    <row r="110" spans="2:33" s="1" customFormat="1" ht="23.55" customHeight="1" x14ac:dyDescent="0.2">
      <c r="B110" s="24"/>
      <c r="C110" s="521"/>
      <c r="E110" s="1243"/>
      <c r="F110" s="1244"/>
      <c r="G110" s="1244"/>
      <c r="H110" s="1244"/>
      <c r="L110" s="24"/>
      <c r="W110" s="24"/>
      <c r="X110" s="685"/>
      <c r="Y110" s="685"/>
      <c r="Z110" s="1249"/>
      <c r="AA110" s="1250"/>
      <c r="AB110" s="1250"/>
      <c r="AC110" s="1250"/>
      <c r="AD110" s="685"/>
      <c r="AE110" s="159"/>
    </row>
    <row r="111" spans="2:33" s="1" customFormat="1" ht="12" customHeight="1" x14ac:dyDescent="0.2">
      <c r="B111" s="24"/>
      <c r="C111" s="528" t="s">
        <v>186</v>
      </c>
      <c r="F111" s="532" t="s">
        <v>4663</v>
      </c>
      <c r="L111" s="24"/>
      <c r="W111" s="24"/>
      <c r="X111" s="688" t="s">
        <v>186</v>
      </c>
      <c r="Y111" s="685"/>
      <c r="Z111" s="685"/>
      <c r="AA111" s="555" t="s">
        <v>4663</v>
      </c>
      <c r="AB111" s="685"/>
      <c r="AC111" s="685"/>
      <c r="AD111" s="685"/>
      <c r="AE111" s="159"/>
    </row>
    <row r="112" spans="2:33" s="1" customFormat="1" ht="16.5" customHeight="1" x14ac:dyDescent="0.2">
      <c r="B112" s="24"/>
      <c r="C112" s="521"/>
      <c r="E112" s="1251"/>
      <c r="F112" s="1252"/>
      <c r="G112" s="1252"/>
      <c r="H112" s="1252"/>
      <c r="L112" s="24"/>
      <c r="W112" s="24"/>
      <c r="X112" s="685"/>
      <c r="Y112" s="685"/>
      <c r="Z112" s="1245"/>
      <c r="AA112" s="1246"/>
      <c r="AB112" s="1246"/>
      <c r="AC112" s="1246"/>
      <c r="AD112" s="685"/>
      <c r="AE112" s="159"/>
    </row>
    <row r="113" spans="2:65" s="1" customFormat="1" ht="7.05" customHeight="1" x14ac:dyDescent="0.2">
      <c r="B113" s="24"/>
      <c r="C113" s="521"/>
      <c r="L113" s="24"/>
      <c r="W113" s="24"/>
      <c r="X113" s="685"/>
      <c r="Y113" s="685"/>
      <c r="Z113" s="685"/>
      <c r="AA113" s="685"/>
      <c r="AB113" s="685"/>
      <c r="AC113" s="685"/>
      <c r="AD113" s="685"/>
      <c r="AE113" s="159"/>
    </row>
    <row r="114" spans="2:65" s="1" customFormat="1" ht="12" customHeight="1" x14ac:dyDescent="0.2">
      <c r="B114" s="24"/>
      <c r="C114" s="528" t="s">
        <v>15</v>
      </c>
      <c r="F114" s="19" t="str">
        <f>F12</f>
        <v>Kuzmányho nábrežie 28, 960 01 Zvolen</v>
      </c>
      <c r="I114" s="528" t="s">
        <v>17</v>
      </c>
      <c r="J114" s="39" t="str">
        <f>IF(J12="","",J12)</f>
        <v/>
      </c>
      <c r="L114" s="24"/>
      <c r="W114" s="24"/>
      <c r="X114" s="688" t="s">
        <v>15</v>
      </c>
      <c r="Y114" s="685"/>
      <c r="Z114" s="685"/>
      <c r="AA114" s="684" t="str">
        <f>AA12</f>
        <v>Kuzmányho nábrežie 28, 960 01 Zvolen</v>
      </c>
      <c r="AB114" s="685"/>
      <c r="AC114" s="685"/>
      <c r="AD114" s="688" t="s">
        <v>17</v>
      </c>
      <c r="AE114" s="162" t="str">
        <f>IF(AE12="","",AE12)</f>
        <v/>
      </c>
    </row>
    <row r="115" spans="2:65" s="1" customFormat="1" ht="7.05" customHeight="1" x14ac:dyDescent="0.2">
      <c r="B115" s="24"/>
      <c r="C115" s="521"/>
      <c r="I115" s="521"/>
      <c r="L115" s="24"/>
      <c r="W115" s="24"/>
      <c r="X115" s="685"/>
      <c r="Y115" s="685"/>
      <c r="Z115" s="685"/>
      <c r="AA115" s="685"/>
      <c r="AB115" s="685"/>
      <c r="AC115" s="685"/>
      <c r="AD115" s="685"/>
      <c r="AE115" s="159"/>
    </row>
    <row r="116" spans="2:65" s="1" customFormat="1" ht="15.3" customHeight="1" x14ac:dyDescent="0.2">
      <c r="B116" s="24"/>
      <c r="C116" s="528" t="s">
        <v>18</v>
      </c>
      <c r="F116" s="529" t="s">
        <v>6175</v>
      </c>
      <c r="I116" s="528" t="s">
        <v>22</v>
      </c>
      <c r="J116" s="22" t="str">
        <f>E21</f>
        <v xml:space="preserve"> </v>
      </c>
      <c r="L116" s="24"/>
      <c r="W116" s="24"/>
      <c r="X116" s="688" t="s">
        <v>18</v>
      </c>
      <c r="Y116" s="685"/>
      <c r="Z116" s="685"/>
      <c r="AA116" s="576" t="s">
        <v>6175</v>
      </c>
      <c r="AB116" s="685"/>
      <c r="AC116" s="685"/>
      <c r="AD116" s="688" t="s">
        <v>22</v>
      </c>
      <c r="AE116" s="181" t="str">
        <f>Z21</f>
        <v/>
      </c>
    </row>
    <row r="117" spans="2:65" s="1" customFormat="1" ht="15.3" customHeight="1" x14ac:dyDescent="0.2">
      <c r="B117" s="24"/>
      <c r="C117" s="528" t="s">
        <v>21</v>
      </c>
      <c r="F117" s="529" t="s">
        <v>5202</v>
      </c>
      <c r="I117" s="528" t="s">
        <v>24</v>
      </c>
      <c r="J117" s="22" t="str">
        <f>E24</f>
        <v xml:space="preserve"> </v>
      </c>
      <c r="L117" s="24"/>
      <c r="W117" s="24"/>
      <c r="X117" s="688" t="s">
        <v>21</v>
      </c>
      <c r="Y117" s="685"/>
      <c r="Z117" s="685"/>
      <c r="AA117" s="576" t="s">
        <v>5202</v>
      </c>
      <c r="AB117" s="685"/>
      <c r="AC117" s="685"/>
      <c r="AD117" s="688" t="s">
        <v>24</v>
      </c>
      <c r="AE117" s="692"/>
    </row>
    <row r="118" spans="2:65" s="1" customFormat="1" ht="10.199999999999999" customHeight="1" x14ac:dyDescent="0.2">
      <c r="B118" s="24"/>
      <c r="L118" s="24"/>
      <c r="W118" s="24"/>
      <c r="X118" s="685"/>
      <c r="Y118" s="685"/>
      <c r="Z118" s="685"/>
      <c r="AA118" s="685"/>
      <c r="AB118" s="685"/>
      <c r="AC118" s="685"/>
      <c r="AD118" s="685"/>
      <c r="AE118" s="159"/>
    </row>
    <row r="119" spans="2:65" s="10" customFormat="1" ht="29.25" customHeight="1" x14ac:dyDescent="0.2">
      <c r="B119" s="97"/>
      <c r="C119" s="98" t="s">
        <v>215</v>
      </c>
      <c r="D119" s="99" t="s">
        <v>43</v>
      </c>
      <c r="E119" s="99" t="s">
        <v>41</v>
      </c>
      <c r="F119" s="99" t="s">
        <v>42</v>
      </c>
      <c r="G119" s="99" t="s">
        <v>216</v>
      </c>
      <c r="H119" s="99" t="s">
        <v>217</v>
      </c>
      <c r="I119" s="99" t="s">
        <v>218</v>
      </c>
      <c r="J119" s="100" t="s">
        <v>190</v>
      </c>
      <c r="K119" s="101" t="s">
        <v>219</v>
      </c>
      <c r="L119" s="97"/>
      <c r="M119" s="46" t="s">
        <v>1</v>
      </c>
      <c r="N119" s="47" t="s">
        <v>30</v>
      </c>
      <c r="O119" s="47" t="s">
        <v>220</v>
      </c>
      <c r="P119" s="47" t="s">
        <v>221</v>
      </c>
      <c r="Q119" s="47" t="s">
        <v>222</v>
      </c>
      <c r="R119" s="47" t="s">
        <v>223</v>
      </c>
      <c r="S119" s="47" t="s">
        <v>224</v>
      </c>
      <c r="T119" s="48" t="s">
        <v>225</v>
      </c>
      <c r="W119" s="97"/>
      <c r="X119" s="98" t="s">
        <v>215</v>
      </c>
      <c r="Y119" s="99" t="s">
        <v>43</v>
      </c>
      <c r="Z119" s="99" t="s">
        <v>41</v>
      </c>
      <c r="AA119" s="99" t="s">
        <v>42</v>
      </c>
      <c r="AB119" s="99" t="s">
        <v>216</v>
      </c>
      <c r="AC119" s="99" t="s">
        <v>217</v>
      </c>
      <c r="AD119" s="99" t="s">
        <v>218</v>
      </c>
      <c r="AE119" s="192" t="s">
        <v>190</v>
      </c>
      <c r="AF119" s="228" t="s">
        <v>5220</v>
      </c>
    </row>
    <row r="120" spans="2:65" s="1" customFormat="1" ht="22.95" customHeight="1" x14ac:dyDescent="0.3">
      <c r="B120" s="24"/>
      <c r="C120" s="51" t="s">
        <v>191</v>
      </c>
      <c r="J120" s="102">
        <f>BK120</f>
        <v>225203.91999999998</v>
      </c>
      <c r="L120" s="24"/>
      <c r="M120" s="49"/>
      <c r="N120" s="40"/>
      <c r="O120" s="40"/>
      <c r="P120" s="103">
        <f>P121</f>
        <v>0</v>
      </c>
      <c r="Q120" s="40"/>
      <c r="R120" s="103">
        <f>R121</f>
        <v>0</v>
      </c>
      <c r="S120" s="40"/>
      <c r="T120" s="104">
        <f>T121</f>
        <v>0</v>
      </c>
      <c r="W120" s="24"/>
      <c r="X120" s="193" t="s">
        <v>191</v>
      </c>
      <c r="Y120" s="685"/>
      <c r="Z120" s="685"/>
      <c r="AA120" s="685"/>
      <c r="AB120" s="685"/>
      <c r="AC120" s="685"/>
      <c r="AD120" s="685"/>
      <c r="AE120" s="194">
        <f>AE121</f>
        <v>224126.27999999997</v>
      </c>
      <c r="AF120" s="227"/>
      <c r="AT120" s="13" t="s">
        <v>57</v>
      </c>
      <c r="AU120" s="13" t="s">
        <v>192</v>
      </c>
      <c r="BK120" s="105">
        <f>BK121</f>
        <v>225203.91999999998</v>
      </c>
    </row>
    <row r="121" spans="2:65" s="11" customFormat="1" ht="25.95" customHeight="1" x14ac:dyDescent="0.25">
      <c r="B121" s="106"/>
      <c r="D121" s="107" t="s">
        <v>57</v>
      </c>
      <c r="E121" s="108" t="s">
        <v>4668</v>
      </c>
      <c r="F121" s="108" t="s">
        <v>2604</v>
      </c>
      <c r="J121" s="109">
        <f>BK121</f>
        <v>225203.91999999998</v>
      </c>
      <c r="L121" s="106"/>
      <c r="M121" s="110"/>
      <c r="N121" s="111"/>
      <c r="O121" s="111"/>
      <c r="P121" s="112">
        <f>P122+SUM(P123:P125)+P164+P200</f>
        <v>0</v>
      </c>
      <c r="Q121" s="111"/>
      <c r="R121" s="112">
        <f>R122+SUM(R123:R125)+R164+R200</f>
        <v>0</v>
      </c>
      <c r="S121" s="111"/>
      <c r="T121" s="113">
        <f>T122+SUM(T123:T125)+T164+T200</f>
        <v>0</v>
      </c>
      <c r="W121" s="106"/>
      <c r="X121" s="111"/>
      <c r="Y121" s="196" t="s">
        <v>57</v>
      </c>
      <c r="Z121" s="197" t="s">
        <v>4668</v>
      </c>
      <c r="AA121" s="197" t="s">
        <v>2604</v>
      </c>
      <c r="AB121" s="111"/>
      <c r="AC121" s="111"/>
      <c r="AD121" s="111"/>
      <c r="AE121" s="198">
        <f>AE122+AE123+AE124+AE125+AE164+AE200</f>
        <v>224126.27999999997</v>
      </c>
      <c r="AF121" s="248"/>
      <c r="AR121" s="107" t="s">
        <v>63</v>
      </c>
      <c r="AT121" s="114" t="s">
        <v>57</v>
      </c>
      <c r="AU121" s="114" t="s">
        <v>58</v>
      </c>
      <c r="AY121" s="107" t="s">
        <v>228</v>
      </c>
      <c r="BK121" s="115">
        <f>BK122+SUM(BK123:BK125)+BK164+BK200</f>
        <v>225203.91999999998</v>
      </c>
    </row>
    <row r="122" spans="2:65" s="1" customFormat="1" ht="36" customHeight="1" x14ac:dyDescent="0.2">
      <c r="B122" s="118"/>
      <c r="C122" s="119" t="s">
        <v>63</v>
      </c>
      <c r="D122" s="119" t="s">
        <v>231</v>
      </c>
      <c r="E122" s="120" t="s">
        <v>4669</v>
      </c>
      <c r="F122" s="121" t="s">
        <v>4670</v>
      </c>
      <c r="G122" s="122" t="s">
        <v>1194</v>
      </c>
      <c r="H122" s="123">
        <v>1</v>
      </c>
      <c r="I122" s="124">
        <v>4644</v>
      </c>
      <c r="J122" s="124">
        <f>ROUND(I122*H122,2)</f>
        <v>4644</v>
      </c>
      <c r="K122" s="121" t="s">
        <v>1</v>
      </c>
      <c r="L122" s="24"/>
      <c r="M122" s="125" t="s">
        <v>1</v>
      </c>
      <c r="N122" s="126" t="s">
        <v>32</v>
      </c>
      <c r="O122" s="127">
        <v>0</v>
      </c>
      <c r="P122" s="127">
        <f>O122*H122</f>
        <v>0</v>
      </c>
      <c r="Q122" s="127">
        <v>0</v>
      </c>
      <c r="R122" s="127">
        <f>Q122*H122</f>
        <v>0</v>
      </c>
      <c r="S122" s="127">
        <v>0</v>
      </c>
      <c r="T122" s="128">
        <f>S122*H122</f>
        <v>0</v>
      </c>
      <c r="W122" s="118"/>
      <c r="X122" s="119" t="s">
        <v>63</v>
      </c>
      <c r="Y122" s="119" t="s">
        <v>231</v>
      </c>
      <c r="Z122" s="120" t="s">
        <v>4669</v>
      </c>
      <c r="AA122" s="121" t="s">
        <v>4670</v>
      </c>
      <c r="AB122" s="122" t="s">
        <v>1194</v>
      </c>
      <c r="AC122" s="123">
        <v>1</v>
      </c>
      <c r="AD122" s="124">
        <v>4644</v>
      </c>
      <c r="AE122" s="200">
        <f>ROUND(AD122*AC122,2)</f>
        <v>4644</v>
      </c>
      <c r="AF122" s="248"/>
      <c r="AG122" s="1119"/>
      <c r="AR122" s="129" t="s">
        <v>235</v>
      </c>
      <c r="AT122" s="129" t="s">
        <v>231</v>
      </c>
      <c r="AU122" s="129" t="s">
        <v>63</v>
      </c>
      <c r="AY122" s="13" t="s">
        <v>228</v>
      </c>
      <c r="BE122" s="130">
        <f>IF(N122="základná",J122,0)</f>
        <v>0</v>
      </c>
      <c r="BF122" s="130">
        <f>IF(N122="znížená",J122,0)</f>
        <v>4644</v>
      </c>
      <c r="BG122" s="130">
        <f>IF(N122="zákl. prenesená",J122,0)</f>
        <v>0</v>
      </c>
      <c r="BH122" s="130">
        <f>IF(N122="zníž. prenesená",J122,0)</f>
        <v>0</v>
      </c>
      <c r="BI122" s="130">
        <f>IF(N122="nulová",J122,0)</f>
        <v>0</v>
      </c>
      <c r="BJ122" s="13" t="s">
        <v>76</v>
      </c>
      <c r="BK122" s="130">
        <f>ROUND(I122*H122,2)</f>
        <v>4644</v>
      </c>
      <c r="BL122" s="13" t="s">
        <v>235</v>
      </c>
      <c r="BM122" s="129" t="s">
        <v>76</v>
      </c>
    </row>
    <row r="123" spans="2:65" s="1" customFormat="1" ht="24" customHeight="1" x14ac:dyDescent="0.2">
      <c r="B123" s="118"/>
      <c r="C123" s="119" t="s">
        <v>76</v>
      </c>
      <c r="D123" s="119" t="s">
        <v>231</v>
      </c>
      <c r="E123" s="120" t="s">
        <v>4671</v>
      </c>
      <c r="F123" s="121" t="s">
        <v>4672</v>
      </c>
      <c r="G123" s="122" t="s">
        <v>1035</v>
      </c>
      <c r="H123" s="123">
        <v>2900</v>
      </c>
      <c r="I123" s="124">
        <v>7.82</v>
      </c>
      <c r="J123" s="124">
        <f>ROUND(I123*H123,2)</f>
        <v>22678</v>
      </c>
      <c r="K123" s="121" t="s">
        <v>1</v>
      </c>
      <c r="L123" s="24"/>
      <c r="M123" s="125" t="s">
        <v>1</v>
      </c>
      <c r="N123" s="126" t="s">
        <v>32</v>
      </c>
      <c r="O123" s="127">
        <v>0</v>
      </c>
      <c r="P123" s="127">
        <f>O123*H123</f>
        <v>0</v>
      </c>
      <c r="Q123" s="127">
        <v>0</v>
      </c>
      <c r="R123" s="127">
        <f>Q123*H123</f>
        <v>0</v>
      </c>
      <c r="S123" s="127">
        <v>0</v>
      </c>
      <c r="T123" s="128">
        <f>S123*H123</f>
        <v>0</v>
      </c>
      <c r="W123" s="118"/>
      <c r="X123" s="119" t="s">
        <v>76</v>
      </c>
      <c r="Y123" s="119" t="s">
        <v>231</v>
      </c>
      <c r="Z123" s="120" t="s">
        <v>4671</v>
      </c>
      <c r="AA123" s="121" t="s">
        <v>4672</v>
      </c>
      <c r="AB123" s="122" t="s">
        <v>1035</v>
      </c>
      <c r="AC123" s="123">
        <v>2900</v>
      </c>
      <c r="AD123" s="124">
        <v>7.82</v>
      </c>
      <c r="AE123" s="200">
        <f>ROUND(AD123*AC123,2)</f>
        <v>22678</v>
      </c>
      <c r="AF123" s="248"/>
      <c r="AR123" s="129" t="s">
        <v>235</v>
      </c>
      <c r="AT123" s="129" t="s">
        <v>231</v>
      </c>
      <c r="AU123" s="129" t="s">
        <v>63</v>
      </c>
      <c r="AY123" s="13" t="s">
        <v>228</v>
      </c>
      <c r="BE123" s="130">
        <f>IF(N123="základná",J123,0)</f>
        <v>0</v>
      </c>
      <c r="BF123" s="130">
        <f>IF(N123="znížená",J123,0)</f>
        <v>22678</v>
      </c>
      <c r="BG123" s="130">
        <f>IF(N123="zákl. prenesená",J123,0)</f>
        <v>0</v>
      </c>
      <c r="BH123" s="130">
        <f>IF(N123="zníž. prenesená",J123,0)</f>
        <v>0</v>
      </c>
      <c r="BI123" s="130">
        <f>IF(N123="nulová",J123,0)</f>
        <v>0</v>
      </c>
      <c r="BJ123" s="13" t="s">
        <v>76</v>
      </c>
      <c r="BK123" s="130">
        <f>ROUND(I123*H123,2)</f>
        <v>22678</v>
      </c>
      <c r="BL123" s="13" t="s">
        <v>235</v>
      </c>
      <c r="BM123" s="129" t="s">
        <v>235</v>
      </c>
    </row>
    <row r="124" spans="2:65" s="1" customFormat="1" ht="36" customHeight="1" x14ac:dyDescent="0.2">
      <c r="B124" s="118"/>
      <c r="C124" s="119" t="s">
        <v>229</v>
      </c>
      <c r="D124" s="119" t="s">
        <v>231</v>
      </c>
      <c r="E124" s="120" t="s">
        <v>4673</v>
      </c>
      <c r="F124" s="121" t="s">
        <v>4674</v>
      </c>
      <c r="G124" s="122" t="s">
        <v>284</v>
      </c>
      <c r="H124" s="123">
        <v>180</v>
      </c>
      <c r="I124" s="124">
        <v>17.760000000000002</v>
      </c>
      <c r="J124" s="124">
        <f>ROUND(I124*H124,2)</f>
        <v>3196.8</v>
      </c>
      <c r="K124" s="121" t="s">
        <v>1</v>
      </c>
      <c r="L124" s="24"/>
      <c r="M124" s="125" t="s">
        <v>1</v>
      </c>
      <c r="N124" s="126" t="s">
        <v>32</v>
      </c>
      <c r="O124" s="127">
        <v>0</v>
      </c>
      <c r="P124" s="127">
        <f>O124*H124</f>
        <v>0</v>
      </c>
      <c r="Q124" s="127">
        <v>0</v>
      </c>
      <c r="R124" s="127">
        <f>Q124*H124</f>
        <v>0</v>
      </c>
      <c r="S124" s="127">
        <v>0</v>
      </c>
      <c r="T124" s="128">
        <f>S124*H124</f>
        <v>0</v>
      </c>
      <c r="W124" s="118"/>
      <c r="X124" s="119" t="s">
        <v>229</v>
      </c>
      <c r="Y124" s="119" t="s">
        <v>231</v>
      </c>
      <c r="Z124" s="120" t="s">
        <v>4673</v>
      </c>
      <c r="AA124" s="121" t="s">
        <v>4674</v>
      </c>
      <c r="AB124" s="122" t="s">
        <v>284</v>
      </c>
      <c r="AC124" s="123">
        <v>180</v>
      </c>
      <c r="AD124" s="124">
        <v>17.760000000000002</v>
      </c>
      <c r="AE124" s="200">
        <f>ROUND(AD124*AC124,2)</f>
        <v>3196.8</v>
      </c>
      <c r="AR124" s="129" t="s">
        <v>235</v>
      </c>
      <c r="AT124" s="129" t="s">
        <v>231</v>
      </c>
      <c r="AU124" s="129" t="s">
        <v>63</v>
      </c>
      <c r="AY124" s="13" t="s">
        <v>228</v>
      </c>
      <c r="BE124" s="130">
        <f>IF(N124="základná",J124,0)</f>
        <v>0</v>
      </c>
      <c r="BF124" s="130">
        <f>IF(N124="znížená",J124,0)</f>
        <v>3196.8</v>
      </c>
      <c r="BG124" s="130">
        <f>IF(N124="zákl. prenesená",J124,0)</f>
        <v>0</v>
      </c>
      <c r="BH124" s="130">
        <f>IF(N124="zníž. prenesená",J124,0)</f>
        <v>0</v>
      </c>
      <c r="BI124" s="130">
        <f>IF(N124="nulová",J124,0)</f>
        <v>0</v>
      </c>
      <c r="BJ124" s="13" t="s">
        <v>76</v>
      </c>
      <c r="BK124" s="130">
        <f>ROUND(I124*H124,2)</f>
        <v>3196.8</v>
      </c>
      <c r="BL124" s="13" t="s">
        <v>235</v>
      </c>
      <c r="BM124" s="129" t="s">
        <v>240</v>
      </c>
    </row>
    <row r="125" spans="2:65" s="11" customFormat="1" ht="22.95" customHeight="1" x14ac:dyDescent="0.25">
      <c r="B125" s="106"/>
      <c r="D125" s="107" t="s">
        <v>57</v>
      </c>
      <c r="E125" s="116" t="s">
        <v>1201</v>
      </c>
      <c r="F125" s="116" t="s">
        <v>4655</v>
      </c>
      <c r="J125" s="117">
        <f>BK125</f>
        <v>114739.64</v>
      </c>
      <c r="L125" s="106"/>
      <c r="M125" s="110"/>
      <c r="N125" s="111"/>
      <c r="O125" s="111"/>
      <c r="P125" s="112">
        <f>SUM(P126:P163)</f>
        <v>0</v>
      </c>
      <c r="Q125" s="111"/>
      <c r="R125" s="112">
        <f>SUM(R126:R163)</f>
        <v>0</v>
      </c>
      <c r="S125" s="111"/>
      <c r="T125" s="113">
        <f>SUM(T126:T163)</f>
        <v>0</v>
      </c>
      <c r="W125" s="106"/>
      <c r="X125" s="111"/>
      <c r="Y125" s="196" t="s">
        <v>57</v>
      </c>
      <c r="Z125" s="201" t="s">
        <v>1201</v>
      </c>
      <c r="AA125" s="201" t="s">
        <v>4655</v>
      </c>
      <c r="AB125" s="111"/>
      <c r="AC125" s="111"/>
      <c r="AD125" s="111"/>
      <c r="AE125" s="202">
        <f>SUM(AE126:AE163)</f>
        <v>113662</v>
      </c>
      <c r="AR125" s="107" t="s">
        <v>63</v>
      </c>
      <c r="AT125" s="114" t="s">
        <v>57</v>
      </c>
      <c r="AU125" s="114" t="s">
        <v>63</v>
      </c>
      <c r="AY125" s="107" t="s">
        <v>228</v>
      </c>
      <c r="BK125" s="115">
        <f>SUM(BK126:BK163)</f>
        <v>114739.64</v>
      </c>
    </row>
    <row r="126" spans="2:65" s="1" customFormat="1" ht="67.95" customHeight="1" x14ac:dyDescent="0.2">
      <c r="B126" s="118"/>
      <c r="C126" s="119" t="s">
        <v>235</v>
      </c>
      <c r="D126" s="119" t="s">
        <v>231</v>
      </c>
      <c r="E126" s="120" t="s">
        <v>4675</v>
      </c>
      <c r="F126" s="121" t="s">
        <v>4676</v>
      </c>
      <c r="G126" s="122" t="s">
        <v>1194</v>
      </c>
      <c r="H126" s="123">
        <v>1</v>
      </c>
      <c r="I126" s="124">
        <v>37769.86</v>
      </c>
      <c r="J126" s="124">
        <f>ROUND(I126*H126,2)</f>
        <v>37769.86</v>
      </c>
      <c r="K126" s="121" t="s">
        <v>1</v>
      </c>
      <c r="L126" s="24"/>
      <c r="M126" s="125" t="s">
        <v>1</v>
      </c>
      <c r="N126" s="126" t="s">
        <v>32</v>
      </c>
      <c r="O126" s="127">
        <v>0</v>
      </c>
      <c r="P126" s="127">
        <f>O126*H126</f>
        <v>0</v>
      </c>
      <c r="Q126" s="127">
        <v>0</v>
      </c>
      <c r="R126" s="127">
        <f>Q126*H126</f>
        <v>0</v>
      </c>
      <c r="S126" s="127">
        <v>0</v>
      </c>
      <c r="T126" s="128">
        <f>S126*H126</f>
        <v>0</v>
      </c>
      <c r="W126" s="118"/>
      <c r="X126" s="119" t="s">
        <v>235</v>
      </c>
      <c r="Y126" s="119" t="s">
        <v>231</v>
      </c>
      <c r="Z126" s="120" t="s">
        <v>4675</v>
      </c>
      <c r="AA126" s="121" t="s">
        <v>4676</v>
      </c>
      <c r="AB126" s="122" t="s">
        <v>1194</v>
      </c>
      <c r="AC126" s="123">
        <v>1</v>
      </c>
      <c r="AD126" s="124">
        <v>37769.86</v>
      </c>
      <c r="AE126" s="200">
        <f>ROUND(AD126*AC126,2)</f>
        <v>37769.86</v>
      </c>
      <c r="AR126" s="129" t="s">
        <v>235</v>
      </c>
      <c r="AT126" s="129" t="s">
        <v>231</v>
      </c>
      <c r="AU126" s="129" t="s">
        <v>76</v>
      </c>
      <c r="AY126" s="13" t="s">
        <v>228</v>
      </c>
      <c r="BE126" s="130">
        <f>IF(N126="základná",J126,0)</f>
        <v>0</v>
      </c>
      <c r="BF126" s="130">
        <f>IF(N126="znížená",J126,0)</f>
        <v>37769.86</v>
      </c>
      <c r="BG126" s="130">
        <f>IF(N126="zákl. prenesená",J126,0)</f>
        <v>0</v>
      </c>
      <c r="BH126" s="130">
        <f>IF(N126="zníž. prenesená",J126,0)</f>
        <v>0</v>
      </c>
      <c r="BI126" s="130">
        <f>IF(N126="nulová",J126,0)</f>
        <v>0</v>
      </c>
      <c r="BJ126" s="13" t="s">
        <v>76</v>
      </c>
      <c r="BK126" s="130">
        <f>ROUND(I126*H126,2)</f>
        <v>37769.86</v>
      </c>
      <c r="BL126" s="13" t="s">
        <v>235</v>
      </c>
      <c r="BM126" s="129" t="s">
        <v>244</v>
      </c>
    </row>
    <row r="127" spans="2:65" s="1" customFormat="1" ht="409.6" x14ac:dyDescent="0.2">
      <c r="B127" s="24"/>
      <c r="D127" s="144" t="s">
        <v>1259</v>
      </c>
      <c r="F127" s="150" t="s">
        <v>4677</v>
      </c>
      <c r="L127" s="24"/>
      <c r="M127" s="146"/>
      <c r="N127" s="42"/>
      <c r="O127" s="42"/>
      <c r="P127" s="42"/>
      <c r="Q127" s="42"/>
      <c r="R127" s="42"/>
      <c r="S127" s="42"/>
      <c r="T127" s="43"/>
      <c r="W127" s="24"/>
      <c r="X127" s="685"/>
      <c r="Y127" s="203" t="s">
        <v>1259</v>
      </c>
      <c r="Z127" s="685"/>
      <c r="AA127" s="691" t="s">
        <v>4677</v>
      </c>
      <c r="AB127" s="685"/>
      <c r="AC127" s="685"/>
      <c r="AD127" s="685"/>
      <c r="AE127" s="159"/>
      <c r="AT127" s="13" t="s">
        <v>1259</v>
      </c>
      <c r="AU127" s="13" t="s">
        <v>76</v>
      </c>
    </row>
    <row r="128" spans="2:65" s="1" customFormat="1" ht="72" customHeight="1" x14ac:dyDescent="0.2">
      <c r="B128" s="118"/>
      <c r="C128" s="119" t="s">
        <v>245</v>
      </c>
      <c r="D128" s="119" t="s">
        <v>231</v>
      </c>
      <c r="E128" s="120" t="s">
        <v>4678</v>
      </c>
      <c r="F128" s="121" t="s">
        <v>4679</v>
      </c>
      <c r="G128" s="122" t="s">
        <v>1194</v>
      </c>
      <c r="H128" s="123">
        <v>1</v>
      </c>
      <c r="I128" s="124">
        <v>769.74</v>
      </c>
      <c r="J128" s="124">
        <f>ROUND(I128*H128,2)</f>
        <v>769.74</v>
      </c>
      <c r="K128" s="121" t="s">
        <v>1</v>
      </c>
      <c r="L128" s="24"/>
      <c r="M128" s="125" t="s">
        <v>1</v>
      </c>
      <c r="N128" s="126" t="s">
        <v>32</v>
      </c>
      <c r="O128" s="127">
        <v>0</v>
      </c>
      <c r="P128" s="127">
        <f>O128*H128</f>
        <v>0</v>
      </c>
      <c r="Q128" s="127">
        <v>0</v>
      </c>
      <c r="R128" s="127">
        <f>Q128*H128</f>
        <v>0</v>
      </c>
      <c r="S128" s="127">
        <v>0</v>
      </c>
      <c r="T128" s="128">
        <f>S128*H128</f>
        <v>0</v>
      </c>
      <c r="W128" s="118"/>
      <c r="X128" s="119" t="s">
        <v>245</v>
      </c>
      <c r="Y128" s="119" t="s">
        <v>231</v>
      </c>
      <c r="Z128" s="120" t="s">
        <v>4678</v>
      </c>
      <c r="AA128" s="121" t="s">
        <v>4679</v>
      </c>
      <c r="AB128" s="122" t="s">
        <v>1194</v>
      </c>
      <c r="AC128" s="123">
        <v>1</v>
      </c>
      <c r="AD128" s="124">
        <v>769.74</v>
      </c>
      <c r="AE128" s="200">
        <f>ROUND(AD128*AC128,2)</f>
        <v>769.74</v>
      </c>
      <c r="AR128" s="129" t="s">
        <v>235</v>
      </c>
      <c r="AT128" s="129" t="s">
        <v>231</v>
      </c>
      <c r="AU128" s="129" t="s">
        <v>76</v>
      </c>
      <c r="AY128" s="13" t="s">
        <v>228</v>
      </c>
      <c r="BE128" s="130">
        <f>IF(N128="základná",J128,0)</f>
        <v>0</v>
      </c>
      <c r="BF128" s="130">
        <f>IF(N128="znížená",J128,0)</f>
        <v>769.74</v>
      </c>
      <c r="BG128" s="130">
        <f>IF(N128="zákl. prenesená",J128,0)</f>
        <v>0</v>
      </c>
      <c r="BH128" s="130">
        <f>IF(N128="zníž. prenesená",J128,0)</f>
        <v>0</v>
      </c>
      <c r="BI128" s="130">
        <f>IF(N128="nulová",J128,0)</f>
        <v>0</v>
      </c>
      <c r="BJ128" s="13" t="s">
        <v>76</v>
      </c>
      <c r="BK128" s="130">
        <f>ROUND(I128*H128,2)</f>
        <v>769.74</v>
      </c>
      <c r="BL128" s="13" t="s">
        <v>235</v>
      </c>
      <c r="BM128" s="129" t="s">
        <v>248</v>
      </c>
    </row>
    <row r="129" spans="2:65" s="1" customFormat="1" ht="60" customHeight="1" x14ac:dyDescent="0.2">
      <c r="B129" s="118"/>
      <c r="C129" s="119" t="s">
        <v>240</v>
      </c>
      <c r="D129" s="119" t="s">
        <v>231</v>
      </c>
      <c r="E129" s="120" t="s">
        <v>4680</v>
      </c>
      <c r="F129" s="121" t="s">
        <v>4681</v>
      </c>
      <c r="G129" s="122" t="s">
        <v>1194</v>
      </c>
      <c r="H129" s="123">
        <v>1</v>
      </c>
      <c r="I129" s="124">
        <v>12920.08</v>
      </c>
      <c r="J129" s="124">
        <f>ROUND(I129*H129,2)</f>
        <v>12920.08</v>
      </c>
      <c r="K129" s="121" t="s">
        <v>1</v>
      </c>
      <c r="L129" s="24"/>
      <c r="M129" s="125" t="s">
        <v>1</v>
      </c>
      <c r="N129" s="126" t="s">
        <v>32</v>
      </c>
      <c r="O129" s="127">
        <v>0</v>
      </c>
      <c r="P129" s="127">
        <f>O129*H129</f>
        <v>0</v>
      </c>
      <c r="Q129" s="127">
        <v>0</v>
      </c>
      <c r="R129" s="127">
        <f>Q129*H129</f>
        <v>0</v>
      </c>
      <c r="S129" s="127">
        <v>0</v>
      </c>
      <c r="T129" s="128">
        <f>S129*H129</f>
        <v>0</v>
      </c>
      <c r="W129" s="118"/>
      <c r="X129" s="119" t="s">
        <v>240</v>
      </c>
      <c r="Y129" s="119" t="s">
        <v>231</v>
      </c>
      <c r="Z129" s="120" t="s">
        <v>4680</v>
      </c>
      <c r="AA129" s="121" t="s">
        <v>4681</v>
      </c>
      <c r="AB129" s="122" t="s">
        <v>1194</v>
      </c>
      <c r="AC129" s="123">
        <v>1</v>
      </c>
      <c r="AD129" s="124">
        <v>12920.08</v>
      </c>
      <c r="AE129" s="200">
        <f>ROUND(AD129*AC129,2)</f>
        <v>12920.08</v>
      </c>
      <c r="AR129" s="129" t="s">
        <v>235</v>
      </c>
      <c r="AT129" s="129" t="s">
        <v>231</v>
      </c>
      <c r="AU129" s="129" t="s">
        <v>76</v>
      </c>
      <c r="AY129" s="13" t="s">
        <v>228</v>
      </c>
      <c r="BE129" s="130">
        <f>IF(N129="základná",J129,0)</f>
        <v>0</v>
      </c>
      <c r="BF129" s="130">
        <f>IF(N129="znížená",J129,0)</f>
        <v>12920.08</v>
      </c>
      <c r="BG129" s="130">
        <f>IF(N129="zákl. prenesená",J129,0)</f>
        <v>0</v>
      </c>
      <c r="BH129" s="130">
        <f>IF(N129="zníž. prenesená",J129,0)</f>
        <v>0</v>
      </c>
      <c r="BI129" s="130">
        <f>IF(N129="nulová",J129,0)</f>
        <v>0</v>
      </c>
      <c r="BJ129" s="13" t="s">
        <v>76</v>
      </c>
      <c r="BK129" s="130">
        <f>ROUND(I129*H129,2)</f>
        <v>12920.08</v>
      </c>
      <c r="BL129" s="13" t="s">
        <v>235</v>
      </c>
      <c r="BM129" s="129" t="s">
        <v>251</v>
      </c>
    </row>
    <row r="130" spans="2:65" s="1" customFormat="1" ht="124.8" x14ac:dyDescent="0.2">
      <c r="B130" s="24"/>
      <c r="D130" s="144" t="s">
        <v>1259</v>
      </c>
      <c r="F130" s="145" t="s">
        <v>4682</v>
      </c>
      <c r="L130" s="24"/>
      <c r="M130" s="146"/>
      <c r="N130" s="42"/>
      <c r="O130" s="42"/>
      <c r="P130" s="42"/>
      <c r="Q130" s="42"/>
      <c r="R130" s="42"/>
      <c r="S130" s="42"/>
      <c r="T130" s="43"/>
      <c r="W130" s="24"/>
      <c r="X130" s="685"/>
      <c r="Y130" s="203" t="s">
        <v>1259</v>
      </c>
      <c r="Z130" s="685"/>
      <c r="AA130" s="204" t="s">
        <v>4682</v>
      </c>
      <c r="AB130" s="685"/>
      <c r="AC130" s="685"/>
      <c r="AD130" s="685"/>
      <c r="AE130" s="159"/>
      <c r="AT130" s="13" t="s">
        <v>1259</v>
      </c>
      <c r="AU130" s="13" t="s">
        <v>76</v>
      </c>
    </row>
    <row r="131" spans="2:65" s="1" customFormat="1" ht="16.5" customHeight="1" x14ac:dyDescent="0.2">
      <c r="B131" s="118"/>
      <c r="C131" s="119" t="s">
        <v>252</v>
      </c>
      <c r="D131" s="119" t="s">
        <v>231</v>
      </c>
      <c r="E131" s="120" t="s">
        <v>4683</v>
      </c>
      <c r="F131" s="121" t="s">
        <v>4684</v>
      </c>
      <c r="G131" s="122" t="s">
        <v>1194</v>
      </c>
      <c r="H131" s="123">
        <v>1</v>
      </c>
      <c r="I131" s="124">
        <v>284.20999999999998</v>
      </c>
      <c r="J131" s="124">
        <f>ROUND(I131*H131,2)</f>
        <v>284.20999999999998</v>
      </c>
      <c r="K131" s="121" t="s">
        <v>1</v>
      </c>
      <c r="L131" s="24"/>
      <c r="M131" s="125" t="s">
        <v>1</v>
      </c>
      <c r="N131" s="126" t="s">
        <v>32</v>
      </c>
      <c r="O131" s="127">
        <v>0</v>
      </c>
      <c r="P131" s="127">
        <f>O131*H131</f>
        <v>0</v>
      </c>
      <c r="Q131" s="127">
        <v>0</v>
      </c>
      <c r="R131" s="127">
        <f>Q131*H131</f>
        <v>0</v>
      </c>
      <c r="S131" s="127">
        <v>0</v>
      </c>
      <c r="T131" s="128">
        <f>S131*H131</f>
        <v>0</v>
      </c>
      <c r="W131" s="118"/>
      <c r="X131" s="119" t="s">
        <v>252</v>
      </c>
      <c r="Y131" s="119" t="s">
        <v>231</v>
      </c>
      <c r="Z131" s="120" t="s">
        <v>4683</v>
      </c>
      <c r="AA131" s="121" t="s">
        <v>4684</v>
      </c>
      <c r="AB131" s="122" t="s">
        <v>1194</v>
      </c>
      <c r="AC131" s="123">
        <v>1</v>
      </c>
      <c r="AD131" s="124">
        <v>284.20999999999998</v>
      </c>
      <c r="AE131" s="200">
        <f>ROUND(AD131*AC131,2)</f>
        <v>284.20999999999998</v>
      </c>
      <c r="AR131" s="129" t="s">
        <v>235</v>
      </c>
      <c r="AT131" s="129" t="s">
        <v>231</v>
      </c>
      <c r="AU131" s="129" t="s">
        <v>76</v>
      </c>
      <c r="AY131" s="13" t="s">
        <v>228</v>
      </c>
      <c r="BE131" s="130">
        <f>IF(N131="základná",J131,0)</f>
        <v>0</v>
      </c>
      <c r="BF131" s="130">
        <f>IF(N131="znížená",J131,0)</f>
        <v>284.20999999999998</v>
      </c>
      <c r="BG131" s="130">
        <f>IF(N131="zákl. prenesená",J131,0)</f>
        <v>0</v>
      </c>
      <c r="BH131" s="130">
        <f>IF(N131="zníž. prenesená",J131,0)</f>
        <v>0</v>
      </c>
      <c r="BI131" s="130">
        <f>IF(N131="nulová",J131,0)</f>
        <v>0</v>
      </c>
      <c r="BJ131" s="13" t="s">
        <v>76</v>
      </c>
      <c r="BK131" s="130">
        <f>ROUND(I131*H131,2)</f>
        <v>284.20999999999998</v>
      </c>
      <c r="BL131" s="13" t="s">
        <v>235</v>
      </c>
      <c r="BM131" s="129" t="s">
        <v>255</v>
      </c>
    </row>
    <row r="132" spans="2:65" s="1" customFormat="1" ht="72" customHeight="1" x14ac:dyDescent="0.2">
      <c r="B132" s="118"/>
      <c r="C132" s="119" t="s">
        <v>244</v>
      </c>
      <c r="D132" s="119" t="s">
        <v>231</v>
      </c>
      <c r="E132" s="120" t="s">
        <v>4685</v>
      </c>
      <c r="F132" s="121" t="s">
        <v>4686</v>
      </c>
      <c r="G132" s="122" t="s">
        <v>1194</v>
      </c>
      <c r="H132" s="123">
        <v>1</v>
      </c>
      <c r="I132" s="124">
        <v>543.98</v>
      </c>
      <c r="J132" s="124">
        <f>ROUND(I132*H132,2)</f>
        <v>543.98</v>
      </c>
      <c r="K132" s="121" t="s">
        <v>1</v>
      </c>
      <c r="L132" s="24"/>
      <c r="M132" s="125" t="s">
        <v>1</v>
      </c>
      <c r="N132" s="126" t="s">
        <v>32</v>
      </c>
      <c r="O132" s="127">
        <v>0</v>
      </c>
      <c r="P132" s="127">
        <f>O132*H132</f>
        <v>0</v>
      </c>
      <c r="Q132" s="127">
        <v>0</v>
      </c>
      <c r="R132" s="127">
        <f>Q132*H132</f>
        <v>0</v>
      </c>
      <c r="S132" s="127">
        <v>0</v>
      </c>
      <c r="T132" s="128">
        <f>S132*H132</f>
        <v>0</v>
      </c>
      <c r="W132" s="118"/>
      <c r="X132" s="119" t="s">
        <v>244</v>
      </c>
      <c r="Y132" s="119" t="s">
        <v>231</v>
      </c>
      <c r="Z132" s="120" t="s">
        <v>4685</v>
      </c>
      <c r="AA132" s="121" t="s">
        <v>4686</v>
      </c>
      <c r="AB132" s="122" t="s">
        <v>1194</v>
      </c>
      <c r="AC132" s="123">
        <v>1</v>
      </c>
      <c r="AD132" s="124">
        <v>543.98</v>
      </c>
      <c r="AE132" s="200">
        <f>ROUND(AD132*AC132,2)</f>
        <v>543.98</v>
      </c>
      <c r="AR132" s="129" t="s">
        <v>235</v>
      </c>
      <c r="AT132" s="129" t="s">
        <v>231</v>
      </c>
      <c r="AU132" s="129" t="s">
        <v>76</v>
      </c>
      <c r="AY132" s="13" t="s">
        <v>228</v>
      </c>
      <c r="BE132" s="130">
        <f>IF(N132="základná",J132,0)</f>
        <v>0</v>
      </c>
      <c r="BF132" s="130">
        <f>IF(N132="znížená",J132,0)</f>
        <v>543.98</v>
      </c>
      <c r="BG132" s="130">
        <f>IF(N132="zákl. prenesená",J132,0)</f>
        <v>0</v>
      </c>
      <c r="BH132" s="130">
        <f>IF(N132="zníž. prenesená",J132,0)</f>
        <v>0</v>
      </c>
      <c r="BI132" s="130">
        <f>IF(N132="nulová",J132,0)</f>
        <v>0</v>
      </c>
      <c r="BJ132" s="13" t="s">
        <v>76</v>
      </c>
      <c r="BK132" s="130">
        <f>ROUND(I132*H132,2)</f>
        <v>543.98</v>
      </c>
      <c r="BL132" s="13" t="s">
        <v>235</v>
      </c>
      <c r="BM132" s="129" t="s">
        <v>258</v>
      </c>
    </row>
    <row r="133" spans="2:65" s="1" customFormat="1" ht="67.2" x14ac:dyDescent="0.2">
      <c r="B133" s="24"/>
      <c r="D133" s="144" t="s">
        <v>1259</v>
      </c>
      <c r="F133" s="145" t="s">
        <v>4687</v>
      </c>
      <c r="L133" s="24"/>
      <c r="M133" s="146"/>
      <c r="N133" s="42"/>
      <c r="O133" s="42"/>
      <c r="P133" s="42"/>
      <c r="Q133" s="42"/>
      <c r="R133" s="42"/>
      <c r="S133" s="42"/>
      <c r="T133" s="43"/>
      <c r="W133" s="24"/>
      <c r="X133" s="685"/>
      <c r="Y133" s="203" t="s">
        <v>1259</v>
      </c>
      <c r="Z133" s="685"/>
      <c r="AA133" s="204" t="s">
        <v>4687</v>
      </c>
      <c r="AB133" s="685"/>
      <c r="AC133" s="685"/>
      <c r="AD133" s="685"/>
      <c r="AE133" s="159"/>
      <c r="AT133" s="13" t="s">
        <v>1259</v>
      </c>
      <c r="AU133" s="13" t="s">
        <v>76</v>
      </c>
    </row>
    <row r="134" spans="2:65" s="1" customFormat="1" ht="60" customHeight="1" x14ac:dyDescent="0.2">
      <c r="B134" s="118"/>
      <c r="C134" s="119" t="s">
        <v>259</v>
      </c>
      <c r="D134" s="119" t="s">
        <v>231</v>
      </c>
      <c r="E134" s="120" t="s">
        <v>4688</v>
      </c>
      <c r="F134" s="121" t="s">
        <v>4689</v>
      </c>
      <c r="G134" s="122" t="s">
        <v>1194</v>
      </c>
      <c r="H134" s="123">
        <v>12</v>
      </c>
      <c r="I134" s="124">
        <v>391.41</v>
      </c>
      <c r="J134" s="124">
        <f>ROUND(I134*H134,2)</f>
        <v>4696.92</v>
      </c>
      <c r="K134" s="121" t="s">
        <v>1</v>
      </c>
      <c r="L134" s="24"/>
      <c r="M134" s="125" t="s">
        <v>1</v>
      </c>
      <c r="N134" s="126" t="s">
        <v>32</v>
      </c>
      <c r="O134" s="127">
        <v>0</v>
      </c>
      <c r="P134" s="127">
        <f>O134*H134</f>
        <v>0</v>
      </c>
      <c r="Q134" s="127">
        <v>0</v>
      </c>
      <c r="R134" s="127">
        <f>Q134*H134</f>
        <v>0</v>
      </c>
      <c r="S134" s="127">
        <v>0</v>
      </c>
      <c r="T134" s="128">
        <f>S134*H134</f>
        <v>0</v>
      </c>
      <c r="W134" s="118"/>
      <c r="X134" s="119" t="s">
        <v>259</v>
      </c>
      <c r="Y134" s="119" t="s">
        <v>231</v>
      </c>
      <c r="Z134" s="120" t="s">
        <v>4688</v>
      </c>
      <c r="AA134" s="121" t="s">
        <v>4689</v>
      </c>
      <c r="AB134" s="122" t="s">
        <v>1194</v>
      </c>
      <c r="AC134" s="123">
        <v>12</v>
      </c>
      <c r="AD134" s="124">
        <v>391.41</v>
      </c>
      <c r="AE134" s="200">
        <f>ROUND(AD134*AC134,2)</f>
        <v>4696.92</v>
      </c>
      <c r="AR134" s="129" t="s">
        <v>235</v>
      </c>
      <c r="AT134" s="129" t="s">
        <v>231</v>
      </c>
      <c r="AU134" s="129" t="s">
        <v>76</v>
      </c>
      <c r="AY134" s="13" t="s">
        <v>228</v>
      </c>
      <c r="BE134" s="130">
        <f>IF(N134="základná",J134,0)</f>
        <v>0</v>
      </c>
      <c r="BF134" s="130">
        <f>IF(N134="znížená",J134,0)</f>
        <v>4696.92</v>
      </c>
      <c r="BG134" s="130">
        <f>IF(N134="zákl. prenesená",J134,0)</f>
        <v>0</v>
      </c>
      <c r="BH134" s="130">
        <f>IF(N134="zníž. prenesená",J134,0)</f>
        <v>0</v>
      </c>
      <c r="BI134" s="130">
        <f>IF(N134="nulová",J134,0)</f>
        <v>0</v>
      </c>
      <c r="BJ134" s="13" t="s">
        <v>76</v>
      </c>
      <c r="BK134" s="130">
        <f>ROUND(I134*H134,2)</f>
        <v>4696.92</v>
      </c>
      <c r="BL134" s="13" t="s">
        <v>235</v>
      </c>
      <c r="BM134" s="129" t="s">
        <v>262</v>
      </c>
    </row>
    <row r="135" spans="2:65" s="1" customFormat="1" ht="409.6" x14ac:dyDescent="0.2">
      <c r="B135" s="24"/>
      <c r="D135" s="144" t="s">
        <v>1259</v>
      </c>
      <c r="F135" s="145" t="s">
        <v>4690</v>
      </c>
      <c r="L135" s="24"/>
      <c r="M135" s="146"/>
      <c r="N135" s="42"/>
      <c r="O135" s="42"/>
      <c r="P135" s="42"/>
      <c r="Q135" s="42"/>
      <c r="R135" s="42"/>
      <c r="S135" s="42"/>
      <c r="T135" s="43"/>
      <c r="W135" s="24"/>
      <c r="X135" s="685"/>
      <c r="Y135" s="203" t="s">
        <v>1259</v>
      </c>
      <c r="Z135" s="685"/>
      <c r="AA135" s="204" t="s">
        <v>4690</v>
      </c>
      <c r="AB135" s="685"/>
      <c r="AC135" s="685"/>
      <c r="AD135" s="685"/>
      <c r="AE135" s="159"/>
      <c r="AT135" s="13" t="s">
        <v>1259</v>
      </c>
      <c r="AU135" s="13" t="s">
        <v>76</v>
      </c>
    </row>
    <row r="136" spans="2:65" s="1" customFormat="1" ht="72" customHeight="1" x14ac:dyDescent="0.2">
      <c r="B136" s="118"/>
      <c r="C136" s="119" t="s">
        <v>248</v>
      </c>
      <c r="D136" s="119" t="s">
        <v>231</v>
      </c>
      <c r="E136" s="120" t="s">
        <v>4691</v>
      </c>
      <c r="F136" s="121" t="s">
        <v>4692</v>
      </c>
      <c r="G136" s="122" t="s">
        <v>1194</v>
      </c>
      <c r="H136" s="123">
        <v>14</v>
      </c>
      <c r="I136" s="124">
        <v>37.75</v>
      </c>
      <c r="J136" s="124">
        <f>ROUND(I136*H136,2)</f>
        <v>528.5</v>
      </c>
      <c r="K136" s="121" t="s">
        <v>1</v>
      </c>
      <c r="L136" s="24"/>
      <c r="M136" s="125" t="s">
        <v>1</v>
      </c>
      <c r="N136" s="126" t="s">
        <v>32</v>
      </c>
      <c r="O136" s="127">
        <v>0</v>
      </c>
      <c r="P136" s="127">
        <f>O136*H136</f>
        <v>0</v>
      </c>
      <c r="Q136" s="127">
        <v>0</v>
      </c>
      <c r="R136" s="127">
        <f>Q136*H136</f>
        <v>0</v>
      </c>
      <c r="S136" s="127">
        <v>0</v>
      </c>
      <c r="T136" s="128">
        <f>S136*H136</f>
        <v>0</v>
      </c>
      <c r="W136" s="118"/>
      <c r="X136" s="119" t="s">
        <v>248</v>
      </c>
      <c r="Y136" s="119" t="s">
        <v>231</v>
      </c>
      <c r="Z136" s="120" t="s">
        <v>4691</v>
      </c>
      <c r="AA136" s="121" t="s">
        <v>4692</v>
      </c>
      <c r="AB136" s="122" t="s">
        <v>1194</v>
      </c>
      <c r="AC136" s="123">
        <v>14</v>
      </c>
      <c r="AD136" s="124">
        <v>37.75</v>
      </c>
      <c r="AE136" s="200">
        <f>ROUND(AD136*AC136,2)</f>
        <v>528.5</v>
      </c>
      <c r="AR136" s="129" t="s">
        <v>235</v>
      </c>
      <c r="AT136" s="129" t="s">
        <v>231</v>
      </c>
      <c r="AU136" s="129" t="s">
        <v>76</v>
      </c>
      <c r="AY136" s="13" t="s">
        <v>228</v>
      </c>
      <c r="BE136" s="130">
        <f>IF(N136="základná",J136,0)</f>
        <v>0</v>
      </c>
      <c r="BF136" s="130">
        <f>IF(N136="znížená",J136,0)</f>
        <v>528.5</v>
      </c>
      <c r="BG136" s="130">
        <f>IF(N136="zákl. prenesená",J136,0)</f>
        <v>0</v>
      </c>
      <c r="BH136" s="130">
        <f>IF(N136="zníž. prenesená",J136,0)</f>
        <v>0</v>
      </c>
      <c r="BI136" s="130">
        <f>IF(N136="nulová",J136,0)</f>
        <v>0</v>
      </c>
      <c r="BJ136" s="13" t="s">
        <v>76</v>
      </c>
      <c r="BK136" s="130">
        <f>ROUND(I136*H136,2)</f>
        <v>528.5</v>
      </c>
      <c r="BL136" s="13" t="s">
        <v>235</v>
      </c>
      <c r="BM136" s="129" t="s">
        <v>7</v>
      </c>
    </row>
    <row r="137" spans="2:65" s="1" customFormat="1" ht="124.8" x14ac:dyDescent="0.2">
      <c r="B137" s="24"/>
      <c r="D137" s="144" t="s">
        <v>1259</v>
      </c>
      <c r="F137" s="145" t="s">
        <v>4693</v>
      </c>
      <c r="L137" s="24"/>
      <c r="M137" s="146"/>
      <c r="N137" s="42"/>
      <c r="O137" s="42"/>
      <c r="P137" s="42"/>
      <c r="Q137" s="42"/>
      <c r="R137" s="42"/>
      <c r="S137" s="42"/>
      <c r="T137" s="43"/>
      <c r="W137" s="24"/>
      <c r="X137" s="685"/>
      <c r="Y137" s="203" t="s">
        <v>1259</v>
      </c>
      <c r="Z137" s="685"/>
      <c r="AA137" s="204" t="s">
        <v>4693</v>
      </c>
      <c r="AB137" s="685"/>
      <c r="AC137" s="685"/>
      <c r="AD137" s="685"/>
      <c r="AE137" s="159"/>
      <c r="AT137" s="13" t="s">
        <v>1259</v>
      </c>
      <c r="AU137" s="13" t="s">
        <v>76</v>
      </c>
    </row>
    <row r="138" spans="2:65" s="1" customFormat="1" ht="72" customHeight="1" x14ac:dyDescent="0.2">
      <c r="B138" s="118"/>
      <c r="C138" s="119" t="s">
        <v>265</v>
      </c>
      <c r="D138" s="119" t="s">
        <v>231</v>
      </c>
      <c r="E138" s="120" t="s">
        <v>4694</v>
      </c>
      <c r="F138" s="121" t="s">
        <v>4695</v>
      </c>
      <c r="G138" s="122" t="s">
        <v>1194</v>
      </c>
      <c r="H138" s="123">
        <v>22</v>
      </c>
      <c r="I138" s="124">
        <v>28.28</v>
      </c>
      <c r="J138" s="124">
        <f>ROUND(I138*H138,2)</f>
        <v>622.16</v>
      </c>
      <c r="K138" s="121" t="s">
        <v>1</v>
      </c>
      <c r="L138" s="24"/>
      <c r="M138" s="125" t="s">
        <v>1</v>
      </c>
      <c r="N138" s="126" t="s">
        <v>32</v>
      </c>
      <c r="O138" s="127">
        <v>0</v>
      </c>
      <c r="P138" s="127">
        <f>O138*H138</f>
        <v>0</v>
      </c>
      <c r="Q138" s="127">
        <v>0</v>
      </c>
      <c r="R138" s="127">
        <f>Q138*H138</f>
        <v>0</v>
      </c>
      <c r="S138" s="127">
        <v>0</v>
      </c>
      <c r="T138" s="128">
        <f>S138*H138</f>
        <v>0</v>
      </c>
      <c r="W138" s="118"/>
      <c r="X138" s="119" t="s">
        <v>265</v>
      </c>
      <c r="Y138" s="119" t="s">
        <v>231</v>
      </c>
      <c r="Z138" s="120" t="s">
        <v>4694</v>
      </c>
      <c r="AA138" s="121" t="s">
        <v>4695</v>
      </c>
      <c r="AB138" s="122" t="s">
        <v>1194</v>
      </c>
      <c r="AC138" s="123">
        <v>22</v>
      </c>
      <c r="AD138" s="124">
        <v>28.28</v>
      </c>
      <c r="AE138" s="200">
        <f>ROUND(AD138*AC138,2)</f>
        <v>622.16</v>
      </c>
      <c r="AR138" s="129" t="s">
        <v>235</v>
      </c>
      <c r="AT138" s="129" t="s">
        <v>231</v>
      </c>
      <c r="AU138" s="129" t="s">
        <v>76</v>
      </c>
      <c r="AY138" s="13" t="s">
        <v>228</v>
      </c>
      <c r="BE138" s="130">
        <f>IF(N138="základná",J138,0)</f>
        <v>0</v>
      </c>
      <c r="BF138" s="130">
        <f>IF(N138="znížená",J138,0)</f>
        <v>622.16</v>
      </c>
      <c r="BG138" s="130">
        <f>IF(N138="zákl. prenesená",J138,0)</f>
        <v>0</v>
      </c>
      <c r="BH138" s="130">
        <f>IF(N138="zníž. prenesená",J138,0)</f>
        <v>0</v>
      </c>
      <c r="BI138" s="130">
        <f>IF(N138="nulová",J138,0)</f>
        <v>0</v>
      </c>
      <c r="BJ138" s="13" t="s">
        <v>76</v>
      </c>
      <c r="BK138" s="130">
        <f>ROUND(I138*H138,2)</f>
        <v>622.16</v>
      </c>
      <c r="BL138" s="13" t="s">
        <v>235</v>
      </c>
      <c r="BM138" s="129" t="s">
        <v>268</v>
      </c>
    </row>
    <row r="139" spans="2:65" s="1" customFormat="1" ht="172.8" x14ac:dyDescent="0.2">
      <c r="B139" s="24"/>
      <c r="D139" s="144" t="s">
        <v>1259</v>
      </c>
      <c r="F139" s="145" t="s">
        <v>4696</v>
      </c>
      <c r="L139" s="24"/>
      <c r="M139" s="146"/>
      <c r="N139" s="42"/>
      <c r="O139" s="42"/>
      <c r="P139" s="42"/>
      <c r="Q139" s="42"/>
      <c r="R139" s="42"/>
      <c r="S139" s="42"/>
      <c r="T139" s="43"/>
      <c r="W139" s="24"/>
      <c r="X139" s="685"/>
      <c r="Y139" s="203" t="s">
        <v>1259</v>
      </c>
      <c r="Z139" s="685"/>
      <c r="AA139" s="204" t="s">
        <v>4696</v>
      </c>
      <c r="AB139" s="685"/>
      <c r="AC139" s="685"/>
      <c r="AD139" s="685"/>
      <c r="AE139" s="159"/>
      <c r="AT139" s="13" t="s">
        <v>1259</v>
      </c>
      <c r="AU139" s="13" t="s">
        <v>76</v>
      </c>
    </row>
    <row r="140" spans="2:65" s="1" customFormat="1" ht="16.5" customHeight="1" x14ac:dyDescent="0.2">
      <c r="B140" s="118"/>
      <c r="C140" s="119" t="s">
        <v>251</v>
      </c>
      <c r="D140" s="119" t="s">
        <v>231</v>
      </c>
      <c r="E140" s="120" t="s">
        <v>4697</v>
      </c>
      <c r="F140" s="121" t="s">
        <v>4698</v>
      </c>
      <c r="G140" s="122" t="s">
        <v>1194</v>
      </c>
      <c r="H140" s="123">
        <v>1</v>
      </c>
      <c r="I140" s="124">
        <v>14.55</v>
      </c>
      <c r="J140" s="124">
        <f>ROUND(I140*H140,2)</f>
        <v>14.55</v>
      </c>
      <c r="K140" s="121" t="s">
        <v>1</v>
      </c>
      <c r="L140" s="24"/>
      <c r="M140" s="125" t="s">
        <v>1</v>
      </c>
      <c r="N140" s="126" t="s">
        <v>32</v>
      </c>
      <c r="O140" s="127">
        <v>0</v>
      </c>
      <c r="P140" s="127">
        <f>O140*H140</f>
        <v>0</v>
      </c>
      <c r="Q140" s="127">
        <v>0</v>
      </c>
      <c r="R140" s="127">
        <f>Q140*H140</f>
        <v>0</v>
      </c>
      <c r="S140" s="127">
        <v>0</v>
      </c>
      <c r="T140" s="128">
        <f>S140*H140</f>
        <v>0</v>
      </c>
      <c r="W140" s="118"/>
      <c r="X140" s="119" t="s">
        <v>251</v>
      </c>
      <c r="Y140" s="119" t="s">
        <v>231</v>
      </c>
      <c r="Z140" s="120" t="s">
        <v>4697</v>
      </c>
      <c r="AA140" s="121" t="s">
        <v>4698</v>
      </c>
      <c r="AB140" s="122" t="s">
        <v>1194</v>
      </c>
      <c r="AC140" s="123">
        <v>1</v>
      </c>
      <c r="AD140" s="124">
        <v>14.55</v>
      </c>
      <c r="AE140" s="200">
        <f>ROUND(AD140*AC140,2)</f>
        <v>14.55</v>
      </c>
      <c r="AR140" s="129" t="s">
        <v>235</v>
      </c>
      <c r="AT140" s="129" t="s">
        <v>231</v>
      </c>
      <c r="AU140" s="129" t="s">
        <v>76</v>
      </c>
      <c r="AY140" s="13" t="s">
        <v>228</v>
      </c>
      <c r="BE140" s="130">
        <f>IF(N140="základná",J140,0)</f>
        <v>0</v>
      </c>
      <c r="BF140" s="130">
        <f>IF(N140="znížená",J140,0)</f>
        <v>14.55</v>
      </c>
      <c r="BG140" s="130">
        <f>IF(N140="zákl. prenesená",J140,0)</f>
        <v>0</v>
      </c>
      <c r="BH140" s="130">
        <f>IF(N140="zníž. prenesená",J140,0)</f>
        <v>0</v>
      </c>
      <c r="BI140" s="130">
        <f>IF(N140="nulová",J140,0)</f>
        <v>0</v>
      </c>
      <c r="BJ140" s="13" t="s">
        <v>76</v>
      </c>
      <c r="BK140" s="130">
        <f>ROUND(I140*H140,2)</f>
        <v>14.55</v>
      </c>
      <c r="BL140" s="13" t="s">
        <v>235</v>
      </c>
      <c r="BM140" s="129" t="s">
        <v>272</v>
      </c>
    </row>
    <row r="141" spans="2:65" s="1" customFormat="1" ht="36" customHeight="1" x14ac:dyDescent="0.2">
      <c r="B141" s="118"/>
      <c r="C141" s="119" t="s">
        <v>273</v>
      </c>
      <c r="D141" s="119" t="s">
        <v>231</v>
      </c>
      <c r="E141" s="120" t="s">
        <v>4699</v>
      </c>
      <c r="F141" s="121" t="s">
        <v>4700</v>
      </c>
      <c r="G141" s="122" t="s">
        <v>1194</v>
      </c>
      <c r="H141" s="123">
        <v>1</v>
      </c>
      <c r="I141" s="124">
        <v>94.19</v>
      </c>
      <c r="J141" s="124">
        <f>ROUND(I141*H141,2)</f>
        <v>94.19</v>
      </c>
      <c r="K141" s="121" t="s">
        <v>1</v>
      </c>
      <c r="L141" s="24"/>
      <c r="M141" s="125" t="s">
        <v>1</v>
      </c>
      <c r="N141" s="126" t="s">
        <v>32</v>
      </c>
      <c r="O141" s="127">
        <v>0</v>
      </c>
      <c r="P141" s="127">
        <f>O141*H141</f>
        <v>0</v>
      </c>
      <c r="Q141" s="127">
        <v>0</v>
      </c>
      <c r="R141" s="127">
        <f>Q141*H141</f>
        <v>0</v>
      </c>
      <c r="S141" s="127">
        <v>0</v>
      </c>
      <c r="T141" s="128">
        <f>S141*H141</f>
        <v>0</v>
      </c>
      <c r="W141" s="118"/>
      <c r="X141" s="119" t="s">
        <v>273</v>
      </c>
      <c r="Y141" s="119" t="s">
        <v>231</v>
      </c>
      <c r="Z141" s="120" t="s">
        <v>4699</v>
      </c>
      <c r="AA141" s="121" t="s">
        <v>4700</v>
      </c>
      <c r="AB141" s="122" t="s">
        <v>1194</v>
      </c>
      <c r="AC141" s="123">
        <v>1</v>
      </c>
      <c r="AD141" s="124">
        <v>94.19</v>
      </c>
      <c r="AE141" s="200">
        <f>ROUND(AD141*AC141,2)</f>
        <v>94.19</v>
      </c>
      <c r="AR141" s="129" t="s">
        <v>235</v>
      </c>
      <c r="AT141" s="129" t="s">
        <v>231</v>
      </c>
      <c r="AU141" s="129" t="s">
        <v>76</v>
      </c>
      <c r="AY141" s="13" t="s">
        <v>228</v>
      </c>
      <c r="BE141" s="130">
        <f>IF(N141="základná",J141,0)</f>
        <v>0</v>
      </c>
      <c r="BF141" s="130">
        <f>IF(N141="znížená",J141,0)</f>
        <v>94.19</v>
      </c>
      <c r="BG141" s="130">
        <f>IF(N141="zákl. prenesená",J141,0)</f>
        <v>0</v>
      </c>
      <c r="BH141" s="130">
        <f>IF(N141="zníž. prenesená",J141,0)</f>
        <v>0</v>
      </c>
      <c r="BI141" s="130">
        <f>IF(N141="nulová",J141,0)</f>
        <v>0</v>
      </c>
      <c r="BJ141" s="13" t="s">
        <v>76</v>
      </c>
      <c r="BK141" s="130">
        <f>ROUND(I141*H141,2)</f>
        <v>94.19</v>
      </c>
      <c r="BL141" s="13" t="s">
        <v>235</v>
      </c>
      <c r="BM141" s="129" t="s">
        <v>276</v>
      </c>
    </row>
    <row r="142" spans="2:65" s="1" customFormat="1" ht="72" customHeight="1" x14ac:dyDescent="0.2">
      <c r="B142" s="118"/>
      <c r="C142" s="119" t="s">
        <v>255</v>
      </c>
      <c r="D142" s="119" t="s">
        <v>231</v>
      </c>
      <c r="E142" s="120" t="s">
        <v>4701</v>
      </c>
      <c r="F142" s="121" t="s">
        <v>4702</v>
      </c>
      <c r="G142" s="122" t="s">
        <v>1194</v>
      </c>
      <c r="H142" s="123">
        <v>6</v>
      </c>
      <c r="I142" s="124">
        <v>371.74</v>
      </c>
      <c r="J142" s="124">
        <f>ROUND(I142*H142,2)</f>
        <v>2230.44</v>
      </c>
      <c r="K142" s="121" t="s">
        <v>1</v>
      </c>
      <c r="L142" s="24"/>
      <c r="M142" s="125" t="s">
        <v>1</v>
      </c>
      <c r="N142" s="126" t="s">
        <v>32</v>
      </c>
      <c r="O142" s="127">
        <v>0</v>
      </c>
      <c r="P142" s="127">
        <f>O142*H142</f>
        <v>0</v>
      </c>
      <c r="Q142" s="127">
        <v>0</v>
      </c>
      <c r="R142" s="127">
        <f>Q142*H142</f>
        <v>0</v>
      </c>
      <c r="S142" s="127">
        <v>0</v>
      </c>
      <c r="T142" s="128">
        <f>S142*H142</f>
        <v>0</v>
      </c>
      <c r="W142" s="118"/>
      <c r="X142" s="119" t="s">
        <v>255</v>
      </c>
      <c r="Y142" s="119" t="s">
        <v>231</v>
      </c>
      <c r="Z142" s="120" t="s">
        <v>4701</v>
      </c>
      <c r="AA142" s="121" t="s">
        <v>4702</v>
      </c>
      <c r="AB142" s="122" t="s">
        <v>1194</v>
      </c>
      <c r="AC142" s="123">
        <v>6</v>
      </c>
      <c r="AD142" s="124">
        <v>371.74</v>
      </c>
      <c r="AE142" s="200">
        <f>ROUND(AD142*AC142,2)</f>
        <v>2230.44</v>
      </c>
      <c r="AR142" s="129" t="s">
        <v>235</v>
      </c>
      <c r="AT142" s="129" t="s">
        <v>231</v>
      </c>
      <c r="AU142" s="129" t="s">
        <v>76</v>
      </c>
      <c r="AY142" s="13" t="s">
        <v>228</v>
      </c>
      <c r="BE142" s="130">
        <f>IF(N142="základná",J142,0)</f>
        <v>0</v>
      </c>
      <c r="BF142" s="130">
        <f>IF(N142="znížená",J142,0)</f>
        <v>2230.44</v>
      </c>
      <c r="BG142" s="130">
        <f>IF(N142="zákl. prenesená",J142,0)</f>
        <v>0</v>
      </c>
      <c r="BH142" s="130">
        <f>IF(N142="zníž. prenesená",J142,0)</f>
        <v>0</v>
      </c>
      <c r="BI142" s="130">
        <f>IF(N142="nulová",J142,0)</f>
        <v>0</v>
      </c>
      <c r="BJ142" s="13" t="s">
        <v>76</v>
      </c>
      <c r="BK142" s="130">
        <f>ROUND(I142*H142,2)</f>
        <v>2230.44</v>
      </c>
      <c r="BL142" s="13" t="s">
        <v>235</v>
      </c>
      <c r="BM142" s="129" t="s">
        <v>280</v>
      </c>
    </row>
    <row r="143" spans="2:65" s="1" customFormat="1" ht="201.6" x14ac:dyDescent="0.2">
      <c r="B143" s="24"/>
      <c r="D143" s="144" t="s">
        <v>1259</v>
      </c>
      <c r="F143" s="145" t="s">
        <v>4703</v>
      </c>
      <c r="L143" s="24"/>
      <c r="M143" s="146"/>
      <c r="N143" s="42"/>
      <c r="O143" s="42"/>
      <c r="P143" s="42"/>
      <c r="Q143" s="42"/>
      <c r="R143" s="42"/>
      <c r="S143" s="42"/>
      <c r="T143" s="43"/>
      <c r="W143" s="24"/>
      <c r="X143" s="685"/>
      <c r="Y143" s="203" t="s">
        <v>1259</v>
      </c>
      <c r="Z143" s="685"/>
      <c r="AA143" s="204" t="s">
        <v>4703</v>
      </c>
      <c r="AB143" s="685"/>
      <c r="AC143" s="685"/>
      <c r="AD143" s="685"/>
      <c r="AE143" s="159"/>
      <c r="AT143" s="13" t="s">
        <v>1259</v>
      </c>
      <c r="AU143" s="13" t="s">
        <v>76</v>
      </c>
    </row>
    <row r="144" spans="2:65" s="1" customFormat="1" ht="76.2" customHeight="1" x14ac:dyDescent="0.2">
      <c r="B144" s="118"/>
      <c r="C144" s="119" t="s">
        <v>281</v>
      </c>
      <c r="D144" s="119" t="s">
        <v>231</v>
      </c>
      <c r="E144" s="120" t="s">
        <v>4704</v>
      </c>
      <c r="F144" s="121" t="s">
        <v>4705</v>
      </c>
      <c r="G144" s="122" t="s">
        <v>1194</v>
      </c>
      <c r="H144" s="123">
        <v>6</v>
      </c>
      <c r="I144" s="124">
        <v>443.95</v>
      </c>
      <c r="J144" s="124">
        <f>ROUND(I144*H144,2)</f>
        <v>2663.7</v>
      </c>
      <c r="K144" s="121" t="s">
        <v>1</v>
      </c>
      <c r="L144" s="24"/>
      <c r="M144" s="125" t="s">
        <v>1</v>
      </c>
      <c r="N144" s="126" t="s">
        <v>32</v>
      </c>
      <c r="O144" s="127">
        <v>0</v>
      </c>
      <c r="P144" s="127">
        <f>O144*H144</f>
        <v>0</v>
      </c>
      <c r="Q144" s="127">
        <v>0</v>
      </c>
      <c r="R144" s="127">
        <f>Q144*H144</f>
        <v>0</v>
      </c>
      <c r="S144" s="127">
        <v>0</v>
      </c>
      <c r="T144" s="128">
        <f>S144*H144</f>
        <v>0</v>
      </c>
      <c r="W144" s="118"/>
      <c r="X144" s="119" t="s">
        <v>281</v>
      </c>
      <c r="Y144" s="119" t="s">
        <v>231</v>
      </c>
      <c r="Z144" s="120" t="s">
        <v>4704</v>
      </c>
      <c r="AA144" s="121" t="s">
        <v>4705</v>
      </c>
      <c r="AB144" s="122" t="s">
        <v>1194</v>
      </c>
      <c r="AC144" s="123">
        <v>6</v>
      </c>
      <c r="AD144" s="124">
        <v>443.95</v>
      </c>
      <c r="AE144" s="200">
        <f>ROUND(AD144*AC144,2)</f>
        <v>2663.7</v>
      </c>
      <c r="AR144" s="129" t="s">
        <v>235</v>
      </c>
      <c r="AT144" s="129" t="s">
        <v>231</v>
      </c>
      <c r="AU144" s="129" t="s">
        <v>76</v>
      </c>
      <c r="AY144" s="13" t="s">
        <v>228</v>
      </c>
      <c r="BE144" s="130">
        <f>IF(N144="základná",J144,0)</f>
        <v>0</v>
      </c>
      <c r="BF144" s="130">
        <f>IF(N144="znížená",J144,0)</f>
        <v>2663.7</v>
      </c>
      <c r="BG144" s="130">
        <f>IF(N144="zákl. prenesená",J144,0)</f>
        <v>0</v>
      </c>
      <c r="BH144" s="130">
        <f>IF(N144="zníž. prenesená",J144,0)</f>
        <v>0</v>
      </c>
      <c r="BI144" s="130">
        <f>IF(N144="nulová",J144,0)</f>
        <v>0</v>
      </c>
      <c r="BJ144" s="13" t="s">
        <v>76</v>
      </c>
      <c r="BK144" s="130">
        <f>ROUND(I144*H144,2)</f>
        <v>2663.7</v>
      </c>
      <c r="BL144" s="13" t="s">
        <v>235</v>
      </c>
      <c r="BM144" s="129" t="s">
        <v>285</v>
      </c>
    </row>
    <row r="145" spans="2:65" s="1" customFormat="1" ht="409.6" x14ac:dyDescent="0.2">
      <c r="B145" s="24"/>
      <c r="D145" s="144" t="s">
        <v>1259</v>
      </c>
      <c r="F145" s="150" t="s">
        <v>4706</v>
      </c>
      <c r="L145" s="24"/>
      <c r="M145" s="146"/>
      <c r="N145" s="42"/>
      <c r="O145" s="42"/>
      <c r="P145" s="42"/>
      <c r="Q145" s="42"/>
      <c r="R145" s="42"/>
      <c r="S145" s="42"/>
      <c r="T145" s="43"/>
      <c r="W145" s="24"/>
      <c r="X145" s="685"/>
      <c r="Y145" s="203" t="s">
        <v>1259</v>
      </c>
      <c r="Z145" s="685"/>
      <c r="AA145" s="691" t="s">
        <v>4706</v>
      </c>
      <c r="AB145" s="685"/>
      <c r="AC145" s="685"/>
      <c r="AD145" s="685"/>
      <c r="AE145" s="159"/>
      <c r="AT145" s="13" t="s">
        <v>1259</v>
      </c>
      <c r="AU145" s="13" t="s">
        <v>76</v>
      </c>
    </row>
    <row r="146" spans="2:65" s="1" customFormat="1" ht="16.5" customHeight="1" x14ac:dyDescent="0.2">
      <c r="B146" s="118"/>
      <c r="C146" s="205" t="s">
        <v>258</v>
      </c>
      <c r="D146" s="119" t="s">
        <v>231</v>
      </c>
      <c r="E146" s="120" t="s">
        <v>4707</v>
      </c>
      <c r="F146" s="121" t="s">
        <v>4708</v>
      </c>
      <c r="G146" s="122" t="s">
        <v>1194</v>
      </c>
      <c r="H146" s="206">
        <v>1</v>
      </c>
      <c r="I146" s="124">
        <v>1077.6400000000001</v>
      </c>
      <c r="J146" s="124">
        <f>ROUND(I146*H146,2)</f>
        <v>1077.6400000000001</v>
      </c>
      <c r="K146" s="121" t="s">
        <v>1</v>
      </c>
      <c r="L146" s="24"/>
      <c r="M146" s="125" t="s">
        <v>1</v>
      </c>
      <c r="N146" s="126" t="s">
        <v>32</v>
      </c>
      <c r="O146" s="127">
        <v>0</v>
      </c>
      <c r="P146" s="127">
        <f>O146*H146</f>
        <v>0</v>
      </c>
      <c r="Q146" s="127">
        <v>0</v>
      </c>
      <c r="R146" s="127">
        <f>Q146*H146</f>
        <v>0</v>
      </c>
      <c r="S146" s="127">
        <v>0</v>
      </c>
      <c r="T146" s="128">
        <f>S146*H146</f>
        <v>0</v>
      </c>
      <c r="W146" s="118"/>
      <c r="X146" s="205" t="s">
        <v>258</v>
      </c>
      <c r="Y146" s="119" t="s">
        <v>231</v>
      </c>
      <c r="Z146" s="120" t="s">
        <v>4707</v>
      </c>
      <c r="AA146" s="121" t="s">
        <v>4708</v>
      </c>
      <c r="AB146" s="122" t="s">
        <v>1194</v>
      </c>
      <c r="AC146" s="206">
        <v>0</v>
      </c>
      <c r="AD146" s="124">
        <v>1077.6400000000001</v>
      </c>
      <c r="AE146" s="200">
        <f>ROUND(AD146*AC146,2)</f>
        <v>0</v>
      </c>
      <c r="AF146" s="248" t="s">
        <v>6371</v>
      </c>
      <c r="AR146" s="129" t="s">
        <v>235</v>
      </c>
      <c r="AT146" s="129" t="s">
        <v>231</v>
      </c>
      <c r="AU146" s="129" t="s">
        <v>76</v>
      </c>
      <c r="AY146" s="13" t="s">
        <v>228</v>
      </c>
      <c r="BE146" s="130">
        <f>IF(N146="základná",J146,0)</f>
        <v>0</v>
      </c>
      <c r="BF146" s="130">
        <f>IF(N146="znížená",J146,0)</f>
        <v>1077.6400000000001</v>
      </c>
      <c r="BG146" s="130">
        <f>IF(N146="zákl. prenesená",J146,0)</f>
        <v>0</v>
      </c>
      <c r="BH146" s="130">
        <f>IF(N146="zníž. prenesená",J146,0)</f>
        <v>0</v>
      </c>
      <c r="BI146" s="130">
        <f>IF(N146="nulová",J146,0)</f>
        <v>0</v>
      </c>
      <c r="BJ146" s="13" t="s">
        <v>76</v>
      </c>
      <c r="BK146" s="130">
        <f>ROUND(I146*H146,2)</f>
        <v>1077.6400000000001</v>
      </c>
      <c r="BL146" s="13" t="s">
        <v>235</v>
      </c>
      <c r="BM146" s="129" t="s">
        <v>288</v>
      </c>
    </row>
    <row r="147" spans="2:65" s="1" customFormat="1" ht="48" customHeight="1" x14ac:dyDescent="0.2">
      <c r="B147" s="118"/>
      <c r="C147" s="119" t="s">
        <v>289</v>
      </c>
      <c r="D147" s="119" t="s">
        <v>231</v>
      </c>
      <c r="E147" s="120" t="s">
        <v>4709</v>
      </c>
      <c r="F147" s="121" t="s">
        <v>4710</v>
      </c>
      <c r="G147" s="122" t="s">
        <v>1194</v>
      </c>
      <c r="H147" s="123">
        <v>1</v>
      </c>
      <c r="I147" s="124">
        <v>227.8</v>
      </c>
      <c r="J147" s="124">
        <f>ROUND(I147*H147,2)</f>
        <v>227.8</v>
      </c>
      <c r="K147" s="121" t="s">
        <v>1</v>
      </c>
      <c r="L147" s="24"/>
      <c r="M147" s="125" t="s">
        <v>1</v>
      </c>
      <c r="N147" s="126" t="s">
        <v>32</v>
      </c>
      <c r="O147" s="127">
        <v>0</v>
      </c>
      <c r="P147" s="127">
        <f>O147*H147</f>
        <v>0</v>
      </c>
      <c r="Q147" s="127">
        <v>0</v>
      </c>
      <c r="R147" s="127">
        <f>Q147*H147</f>
        <v>0</v>
      </c>
      <c r="S147" s="127">
        <v>0</v>
      </c>
      <c r="T147" s="128">
        <f>S147*H147</f>
        <v>0</v>
      </c>
      <c r="W147" s="118"/>
      <c r="X147" s="119" t="s">
        <v>289</v>
      </c>
      <c r="Y147" s="119" t="s">
        <v>231</v>
      </c>
      <c r="Z147" s="120" t="s">
        <v>4709</v>
      </c>
      <c r="AA147" s="121" t="s">
        <v>4710</v>
      </c>
      <c r="AB147" s="122" t="s">
        <v>1194</v>
      </c>
      <c r="AC147" s="123">
        <v>1</v>
      </c>
      <c r="AD147" s="124">
        <v>227.8</v>
      </c>
      <c r="AE147" s="200">
        <f>ROUND(AD147*AC147,2)</f>
        <v>227.8</v>
      </c>
      <c r="AR147" s="129" t="s">
        <v>235</v>
      </c>
      <c r="AT147" s="129" t="s">
        <v>231</v>
      </c>
      <c r="AU147" s="129" t="s">
        <v>76</v>
      </c>
      <c r="AY147" s="13" t="s">
        <v>228</v>
      </c>
      <c r="BE147" s="130">
        <f>IF(N147="základná",J147,0)</f>
        <v>0</v>
      </c>
      <c r="BF147" s="130">
        <f>IF(N147="znížená",J147,0)</f>
        <v>227.8</v>
      </c>
      <c r="BG147" s="130">
        <f>IF(N147="zákl. prenesená",J147,0)</f>
        <v>0</v>
      </c>
      <c r="BH147" s="130">
        <f>IF(N147="zníž. prenesená",J147,0)</f>
        <v>0</v>
      </c>
      <c r="BI147" s="130">
        <f>IF(N147="nulová",J147,0)</f>
        <v>0</v>
      </c>
      <c r="BJ147" s="13" t="s">
        <v>76</v>
      </c>
      <c r="BK147" s="130">
        <f>ROUND(I147*H147,2)</f>
        <v>227.8</v>
      </c>
      <c r="BL147" s="13" t="s">
        <v>235</v>
      </c>
      <c r="BM147" s="129" t="s">
        <v>293</v>
      </c>
    </row>
    <row r="148" spans="2:65" s="1" customFormat="1" ht="72" customHeight="1" x14ac:dyDescent="0.2">
      <c r="B148" s="118"/>
      <c r="C148" s="119" t="s">
        <v>262</v>
      </c>
      <c r="D148" s="119" t="s">
        <v>231</v>
      </c>
      <c r="E148" s="120" t="s">
        <v>4711</v>
      </c>
      <c r="F148" s="121" t="s">
        <v>4712</v>
      </c>
      <c r="G148" s="122" t="s">
        <v>1194</v>
      </c>
      <c r="H148" s="123">
        <v>1</v>
      </c>
      <c r="I148" s="124">
        <v>289.39</v>
      </c>
      <c r="J148" s="124">
        <f>ROUND(I148*H148,2)</f>
        <v>289.39</v>
      </c>
      <c r="K148" s="121" t="s">
        <v>1</v>
      </c>
      <c r="L148" s="24"/>
      <c r="M148" s="125" t="s">
        <v>1</v>
      </c>
      <c r="N148" s="126" t="s">
        <v>32</v>
      </c>
      <c r="O148" s="127">
        <v>0</v>
      </c>
      <c r="P148" s="127">
        <f>O148*H148</f>
        <v>0</v>
      </c>
      <c r="Q148" s="127">
        <v>0</v>
      </c>
      <c r="R148" s="127">
        <f>Q148*H148</f>
        <v>0</v>
      </c>
      <c r="S148" s="127">
        <v>0</v>
      </c>
      <c r="T148" s="128">
        <f>S148*H148</f>
        <v>0</v>
      </c>
      <c r="W148" s="118"/>
      <c r="X148" s="119" t="s">
        <v>262</v>
      </c>
      <c r="Y148" s="119" t="s">
        <v>231</v>
      </c>
      <c r="Z148" s="120" t="s">
        <v>4711</v>
      </c>
      <c r="AA148" s="121" t="s">
        <v>4712</v>
      </c>
      <c r="AB148" s="122" t="s">
        <v>1194</v>
      </c>
      <c r="AC148" s="123">
        <v>1</v>
      </c>
      <c r="AD148" s="124">
        <v>289.39</v>
      </c>
      <c r="AE148" s="200">
        <f>ROUND(AD148*AC148,2)</f>
        <v>289.39</v>
      </c>
      <c r="AR148" s="129" t="s">
        <v>235</v>
      </c>
      <c r="AT148" s="129" t="s">
        <v>231</v>
      </c>
      <c r="AU148" s="129" t="s">
        <v>76</v>
      </c>
      <c r="AY148" s="13" t="s">
        <v>228</v>
      </c>
      <c r="BE148" s="130">
        <f>IF(N148="základná",J148,0)</f>
        <v>0</v>
      </c>
      <c r="BF148" s="130">
        <f>IF(N148="znížená",J148,0)</f>
        <v>289.39</v>
      </c>
      <c r="BG148" s="130">
        <f>IF(N148="zákl. prenesená",J148,0)</f>
        <v>0</v>
      </c>
      <c r="BH148" s="130">
        <f>IF(N148="zníž. prenesená",J148,0)</f>
        <v>0</v>
      </c>
      <c r="BI148" s="130">
        <f>IF(N148="nulová",J148,0)</f>
        <v>0</v>
      </c>
      <c r="BJ148" s="13" t="s">
        <v>76</v>
      </c>
      <c r="BK148" s="130">
        <f>ROUND(I148*H148,2)</f>
        <v>289.39</v>
      </c>
      <c r="BL148" s="13" t="s">
        <v>235</v>
      </c>
      <c r="BM148" s="129" t="s">
        <v>296</v>
      </c>
    </row>
    <row r="149" spans="2:65" s="1" customFormat="1" ht="115.2" x14ac:dyDescent="0.2">
      <c r="B149" s="24"/>
      <c r="D149" s="144" t="s">
        <v>1259</v>
      </c>
      <c r="F149" s="145" t="s">
        <v>4713</v>
      </c>
      <c r="L149" s="24"/>
      <c r="M149" s="146"/>
      <c r="N149" s="42"/>
      <c r="O149" s="42"/>
      <c r="P149" s="42"/>
      <c r="Q149" s="42"/>
      <c r="R149" s="42"/>
      <c r="S149" s="42"/>
      <c r="T149" s="43"/>
      <c r="W149" s="24"/>
      <c r="X149" s="685"/>
      <c r="Y149" s="203" t="s">
        <v>1259</v>
      </c>
      <c r="Z149" s="685"/>
      <c r="AA149" s="204" t="s">
        <v>4713</v>
      </c>
      <c r="AB149" s="685"/>
      <c r="AC149" s="685"/>
      <c r="AD149" s="685"/>
      <c r="AE149" s="159"/>
      <c r="AT149" s="13" t="s">
        <v>1259</v>
      </c>
      <c r="AU149" s="13" t="s">
        <v>76</v>
      </c>
    </row>
    <row r="150" spans="2:65" s="1" customFormat="1" ht="60" customHeight="1" x14ac:dyDescent="0.2">
      <c r="B150" s="118"/>
      <c r="C150" s="119" t="s">
        <v>297</v>
      </c>
      <c r="D150" s="119" t="s">
        <v>231</v>
      </c>
      <c r="E150" s="120" t="s">
        <v>4714</v>
      </c>
      <c r="F150" s="121" t="s">
        <v>4715</v>
      </c>
      <c r="G150" s="122" t="s">
        <v>1194</v>
      </c>
      <c r="H150" s="123">
        <v>1</v>
      </c>
      <c r="I150" s="124">
        <v>35.81</v>
      </c>
      <c r="J150" s="124">
        <f>ROUND(I150*H150,2)</f>
        <v>35.81</v>
      </c>
      <c r="K150" s="121" t="s">
        <v>1</v>
      </c>
      <c r="L150" s="24"/>
      <c r="M150" s="125" t="s">
        <v>1</v>
      </c>
      <c r="N150" s="126" t="s">
        <v>32</v>
      </c>
      <c r="O150" s="127">
        <v>0</v>
      </c>
      <c r="P150" s="127">
        <f>O150*H150</f>
        <v>0</v>
      </c>
      <c r="Q150" s="127">
        <v>0</v>
      </c>
      <c r="R150" s="127">
        <f>Q150*H150</f>
        <v>0</v>
      </c>
      <c r="S150" s="127">
        <v>0</v>
      </c>
      <c r="T150" s="128">
        <f>S150*H150</f>
        <v>0</v>
      </c>
      <c r="W150" s="118"/>
      <c r="X150" s="119" t="s">
        <v>297</v>
      </c>
      <c r="Y150" s="119" t="s">
        <v>231</v>
      </c>
      <c r="Z150" s="120" t="s">
        <v>4714</v>
      </c>
      <c r="AA150" s="121" t="s">
        <v>4715</v>
      </c>
      <c r="AB150" s="122" t="s">
        <v>1194</v>
      </c>
      <c r="AC150" s="123">
        <v>1</v>
      </c>
      <c r="AD150" s="124">
        <v>35.81</v>
      </c>
      <c r="AE150" s="200">
        <f>ROUND(AD150*AC150,2)</f>
        <v>35.81</v>
      </c>
      <c r="AR150" s="129" t="s">
        <v>235</v>
      </c>
      <c r="AT150" s="129" t="s">
        <v>231</v>
      </c>
      <c r="AU150" s="129" t="s">
        <v>76</v>
      </c>
      <c r="AY150" s="13" t="s">
        <v>228</v>
      </c>
      <c r="BE150" s="130">
        <f>IF(N150="základná",J150,0)</f>
        <v>0</v>
      </c>
      <c r="BF150" s="130">
        <f>IF(N150="znížená",J150,0)</f>
        <v>35.81</v>
      </c>
      <c r="BG150" s="130">
        <f>IF(N150="zákl. prenesená",J150,0)</f>
        <v>0</v>
      </c>
      <c r="BH150" s="130">
        <f>IF(N150="zníž. prenesená",J150,0)</f>
        <v>0</v>
      </c>
      <c r="BI150" s="130">
        <f>IF(N150="nulová",J150,0)</f>
        <v>0</v>
      </c>
      <c r="BJ150" s="13" t="s">
        <v>76</v>
      </c>
      <c r="BK150" s="130">
        <f>ROUND(I150*H150,2)</f>
        <v>35.81</v>
      </c>
      <c r="BL150" s="13" t="s">
        <v>235</v>
      </c>
      <c r="BM150" s="129" t="s">
        <v>300</v>
      </c>
    </row>
    <row r="151" spans="2:65" s="1" customFormat="1" ht="60" customHeight="1" x14ac:dyDescent="0.2">
      <c r="B151" s="118"/>
      <c r="C151" s="119" t="s">
        <v>7</v>
      </c>
      <c r="D151" s="119" t="s">
        <v>231</v>
      </c>
      <c r="E151" s="120" t="s">
        <v>4716</v>
      </c>
      <c r="F151" s="121" t="s">
        <v>4717</v>
      </c>
      <c r="G151" s="122" t="s">
        <v>1194</v>
      </c>
      <c r="H151" s="123">
        <v>1</v>
      </c>
      <c r="I151" s="124">
        <v>374.4</v>
      </c>
      <c r="J151" s="124">
        <f>ROUND(I151*H151,2)</f>
        <v>374.4</v>
      </c>
      <c r="K151" s="121" t="s">
        <v>1</v>
      </c>
      <c r="L151" s="24"/>
      <c r="M151" s="125" t="s">
        <v>1</v>
      </c>
      <c r="N151" s="126" t="s">
        <v>32</v>
      </c>
      <c r="O151" s="127">
        <v>0</v>
      </c>
      <c r="P151" s="127">
        <f>O151*H151</f>
        <v>0</v>
      </c>
      <c r="Q151" s="127">
        <v>0</v>
      </c>
      <c r="R151" s="127">
        <f>Q151*H151</f>
        <v>0</v>
      </c>
      <c r="S151" s="127">
        <v>0</v>
      </c>
      <c r="T151" s="128">
        <f>S151*H151</f>
        <v>0</v>
      </c>
      <c r="W151" s="118"/>
      <c r="X151" s="119" t="s">
        <v>7</v>
      </c>
      <c r="Y151" s="119" t="s">
        <v>231</v>
      </c>
      <c r="Z151" s="120" t="s">
        <v>4716</v>
      </c>
      <c r="AA151" s="121" t="s">
        <v>4717</v>
      </c>
      <c r="AB151" s="122" t="s">
        <v>1194</v>
      </c>
      <c r="AC151" s="123">
        <v>1</v>
      </c>
      <c r="AD151" s="124">
        <v>374.4</v>
      </c>
      <c r="AE151" s="200">
        <f>ROUND(AD151*AC151,2)</f>
        <v>374.4</v>
      </c>
      <c r="AR151" s="129" t="s">
        <v>235</v>
      </c>
      <c r="AT151" s="129" t="s">
        <v>231</v>
      </c>
      <c r="AU151" s="129" t="s">
        <v>76</v>
      </c>
      <c r="AY151" s="13" t="s">
        <v>228</v>
      </c>
      <c r="BE151" s="130">
        <f>IF(N151="základná",J151,0)</f>
        <v>0</v>
      </c>
      <c r="BF151" s="130">
        <f>IF(N151="znížená",J151,0)</f>
        <v>374.4</v>
      </c>
      <c r="BG151" s="130">
        <f>IF(N151="zákl. prenesená",J151,0)</f>
        <v>0</v>
      </c>
      <c r="BH151" s="130">
        <f>IF(N151="zníž. prenesená",J151,0)</f>
        <v>0</v>
      </c>
      <c r="BI151" s="130">
        <f>IF(N151="nulová",J151,0)</f>
        <v>0</v>
      </c>
      <c r="BJ151" s="13" t="s">
        <v>76</v>
      </c>
      <c r="BK151" s="130">
        <f>ROUND(I151*H151,2)</f>
        <v>374.4</v>
      </c>
      <c r="BL151" s="13" t="s">
        <v>235</v>
      </c>
      <c r="BM151" s="129" t="s">
        <v>303</v>
      </c>
    </row>
    <row r="152" spans="2:65" s="1" customFormat="1" ht="60" customHeight="1" x14ac:dyDescent="0.2">
      <c r="B152" s="118"/>
      <c r="C152" s="119" t="s">
        <v>305</v>
      </c>
      <c r="D152" s="119" t="s">
        <v>231</v>
      </c>
      <c r="E152" s="120" t="s">
        <v>4718</v>
      </c>
      <c r="F152" s="121" t="s">
        <v>4719</v>
      </c>
      <c r="G152" s="122" t="s">
        <v>292</v>
      </c>
      <c r="H152" s="123">
        <v>45</v>
      </c>
      <c r="I152" s="124">
        <v>38.270000000000003</v>
      </c>
      <c r="J152" s="124">
        <f>ROUND(I152*H152,2)</f>
        <v>1722.15</v>
      </c>
      <c r="K152" s="121" t="s">
        <v>1</v>
      </c>
      <c r="L152" s="24"/>
      <c r="M152" s="125" t="s">
        <v>1</v>
      </c>
      <c r="N152" s="126" t="s">
        <v>32</v>
      </c>
      <c r="O152" s="127">
        <v>0</v>
      </c>
      <c r="P152" s="127">
        <f>O152*H152</f>
        <v>0</v>
      </c>
      <c r="Q152" s="127">
        <v>0</v>
      </c>
      <c r="R152" s="127">
        <f>Q152*H152</f>
        <v>0</v>
      </c>
      <c r="S152" s="127">
        <v>0</v>
      </c>
      <c r="T152" s="128">
        <f>S152*H152</f>
        <v>0</v>
      </c>
      <c r="W152" s="118"/>
      <c r="X152" s="119" t="s">
        <v>305</v>
      </c>
      <c r="Y152" s="119" t="s">
        <v>231</v>
      </c>
      <c r="Z152" s="120" t="s">
        <v>4718</v>
      </c>
      <c r="AA152" s="121" t="s">
        <v>4719</v>
      </c>
      <c r="AB152" s="122" t="s">
        <v>292</v>
      </c>
      <c r="AC152" s="123">
        <v>45</v>
      </c>
      <c r="AD152" s="124">
        <v>38.270000000000003</v>
      </c>
      <c r="AE152" s="200">
        <f>ROUND(AD152*AC152,2)</f>
        <v>1722.15</v>
      </c>
      <c r="AR152" s="129" t="s">
        <v>235</v>
      </c>
      <c r="AT152" s="129" t="s">
        <v>231</v>
      </c>
      <c r="AU152" s="129" t="s">
        <v>76</v>
      </c>
      <c r="AY152" s="13" t="s">
        <v>228</v>
      </c>
      <c r="BE152" s="130">
        <f>IF(N152="základná",J152,0)</f>
        <v>0</v>
      </c>
      <c r="BF152" s="130">
        <f>IF(N152="znížená",J152,0)</f>
        <v>1722.15</v>
      </c>
      <c r="BG152" s="130">
        <f>IF(N152="zákl. prenesená",J152,0)</f>
        <v>0</v>
      </c>
      <c r="BH152" s="130">
        <f>IF(N152="zníž. prenesená",J152,0)</f>
        <v>0</v>
      </c>
      <c r="BI152" s="130">
        <f>IF(N152="nulová",J152,0)</f>
        <v>0</v>
      </c>
      <c r="BJ152" s="13" t="s">
        <v>76</v>
      </c>
      <c r="BK152" s="130">
        <f>ROUND(I152*H152,2)</f>
        <v>1722.15</v>
      </c>
      <c r="BL152" s="13" t="s">
        <v>235</v>
      </c>
      <c r="BM152" s="129" t="s">
        <v>308</v>
      </c>
    </row>
    <row r="153" spans="2:65" s="1" customFormat="1" ht="230.4" x14ac:dyDescent="0.2">
      <c r="B153" s="24"/>
      <c r="D153" s="144" t="s">
        <v>1259</v>
      </c>
      <c r="F153" s="145" t="s">
        <v>4720</v>
      </c>
      <c r="L153" s="24"/>
      <c r="M153" s="146"/>
      <c r="N153" s="42"/>
      <c r="O153" s="42"/>
      <c r="P153" s="42"/>
      <c r="Q153" s="42"/>
      <c r="R153" s="42"/>
      <c r="S153" s="42"/>
      <c r="T153" s="43"/>
      <c r="W153" s="24"/>
      <c r="X153" s="685"/>
      <c r="Y153" s="203" t="s">
        <v>1259</v>
      </c>
      <c r="Z153" s="685"/>
      <c r="AA153" s="204" t="s">
        <v>4720</v>
      </c>
      <c r="AB153" s="685"/>
      <c r="AC153" s="685"/>
      <c r="AD153" s="685"/>
      <c r="AE153" s="159"/>
      <c r="AT153" s="13" t="s">
        <v>1259</v>
      </c>
      <c r="AU153" s="13" t="s">
        <v>76</v>
      </c>
    </row>
    <row r="154" spans="2:65" s="1" customFormat="1" ht="60" customHeight="1" x14ac:dyDescent="0.2">
      <c r="B154" s="118"/>
      <c r="C154" s="119" t="s">
        <v>268</v>
      </c>
      <c r="D154" s="119" t="s">
        <v>231</v>
      </c>
      <c r="E154" s="120" t="s">
        <v>4721</v>
      </c>
      <c r="F154" s="121" t="s">
        <v>2644</v>
      </c>
      <c r="G154" s="122" t="s">
        <v>284</v>
      </c>
      <c r="H154" s="123">
        <v>823</v>
      </c>
      <c r="I154" s="124">
        <v>27.68</v>
      </c>
      <c r="J154" s="124">
        <f>ROUND(I154*H154,2)</f>
        <v>22780.639999999999</v>
      </c>
      <c r="K154" s="121" t="s">
        <v>1</v>
      </c>
      <c r="L154" s="24"/>
      <c r="M154" s="125" t="s">
        <v>1</v>
      </c>
      <c r="N154" s="126" t="s">
        <v>32</v>
      </c>
      <c r="O154" s="127">
        <v>0</v>
      </c>
      <c r="P154" s="127">
        <f>O154*H154</f>
        <v>0</v>
      </c>
      <c r="Q154" s="127">
        <v>0</v>
      </c>
      <c r="R154" s="127">
        <f>Q154*H154</f>
        <v>0</v>
      </c>
      <c r="S154" s="127">
        <v>0</v>
      </c>
      <c r="T154" s="128">
        <f>S154*H154</f>
        <v>0</v>
      </c>
      <c r="W154" s="118"/>
      <c r="X154" s="119" t="s">
        <v>268</v>
      </c>
      <c r="Y154" s="119" t="s">
        <v>231</v>
      </c>
      <c r="Z154" s="120" t="s">
        <v>4721</v>
      </c>
      <c r="AA154" s="121" t="s">
        <v>2644</v>
      </c>
      <c r="AB154" s="122" t="s">
        <v>284</v>
      </c>
      <c r="AC154" s="123">
        <v>823</v>
      </c>
      <c r="AD154" s="124">
        <v>27.68</v>
      </c>
      <c r="AE154" s="200">
        <f>ROUND(AD154*AC154,2)</f>
        <v>22780.639999999999</v>
      </c>
      <c r="AR154" s="129" t="s">
        <v>235</v>
      </c>
      <c r="AT154" s="129" t="s">
        <v>231</v>
      </c>
      <c r="AU154" s="129" t="s">
        <v>76</v>
      </c>
      <c r="AY154" s="13" t="s">
        <v>228</v>
      </c>
      <c r="BE154" s="130">
        <f>IF(N154="základná",J154,0)</f>
        <v>0</v>
      </c>
      <c r="BF154" s="130">
        <f>IF(N154="znížená",J154,0)</f>
        <v>22780.639999999999</v>
      </c>
      <c r="BG154" s="130">
        <f>IF(N154="zákl. prenesená",J154,0)</f>
        <v>0</v>
      </c>
      <c r="BH154" s="130">
        <f>IF(N154="zníž. prenesená",J154,0)</f>
        <v>0</v>
      </c>
      <c r="BI154" s="130">
        <f>IF(N154="nulová",J154,0)</f>
        <v>0</v>
      </c>
      <c r="BJ154" s="13" t="s">
        <v>76</v>
      </c>
      <c r="BK154" s="130">
        <f>ROUND(I154*H154,2)</f>
        <v>22780.639999999999</v>
      </c>
      <c r="BL154" s="13" t="s">
        <v>235</v>
      </c>
      <c r="BM154" s="129" t="s">
        <v>312</v>
      </c>
    </row>
    <row r="155" spans="2:65" s="1" customFormat="1" ht="124.8" x14ac:dyDescent="0.2">
      <c r="B155" s="24"/>
      <c r="D155" s="144" t="s">
        <v>1259</v>
      </c>
      <c r="F155" s="145" t="s">
        <v>2645</v>
      </c>
      <c r="L155" s="24"/>
      <c r="M155" s="146"/>
      <c r="N155" s="42"/>
      <c r="O155" s="42"/>
      <c r="P155" s="42"/>
      <c r="Q155" s="42"/>
      <c r="R155" s="42"/>
      <c r="S155" s="42"/>
      <c r="T155" s="43"/>
      <c r="W155" s="24"/>
      <c r="X155" s="685"/>
      <c r="Y155" s="203" t="s">
        <v>1259</v>
      </c>
      <c r="Z155" s="685"/>
      <c r="AA155" s="204" t="s">
        <v>2645</v>
      </c>
      <c r="AB155" s="685"/>
      <c r="AC155" s="685"/>
      <c r="AD155" s="685"/>
      <c r="AE155" s="159"/>
      <c r="AT155" s="13" t="s">
        <v>1259</v>
      </c>
      <c r="AU155" s="13" t="s">
        <v>76</v>
      </c>
    </row>
    <row r="156" spans="2:65" s="1" customFormat="1" ht="60" customHeight="1" x14ac:dyDescent="0.2">
      <c r="B156" s="118"/>
      <c r="C156" s="119" t="s">
        <v>313</v>
      </c>
      <c r="D156" s="119" t="s">
        <v>231</v>
      </c>
      <c r="E156" s="120" t="s">
        <v>4722</v>
      </c>
      <c r="F156" s="121" t="s">
        <v>2647</v>
      </c>
      <c r="G156" s="122" t="s">
        <v>284</v>
      </c>
      <c r="H156" s="123">
        <v>261</v>
      </c>
      <c r="I156" s="124">
        <v>7.16</v>
      </c>
      <c r="J156" s="124">
        <f>ROUND(I156*H156,2)</f>
        <v>1868.76</v>
      </c>
      <c r="K156" s="121" t="s">
        <v>1</v>
      </c>
      <c r="L156" s="24"/>
      <c r="M156" s="125" t="s">
        <v>1</v>
      </c>
      <c r="N156" s="126" t="s">
        <v>32</v>
      </c>
      <c r="O156" s="127">
        <v>0</v>
      </c>
      <c r="P156" s="127">
        <f>O156*H156</f>
        <v>0</v>
      </c>
      <c r="Q156" s="127">
        <v>0</v>
      </c>
      <c r="R156" s="127">
        <f>Q156*H156</f>
        <v>0</v>
      </c>
      <c r="S156" s="127">
        <v>0</v>
      </c>
      <c r="T156" s="128">
        <f>S156*H156</f>
        <v>0</v>
      </c>
      <c r="W156" s="118"/>
      <c r="X156" s="119" t="s">
        <v>313</v>
      </c>
      <c r="Y156" s="119" t="s">
        <v>231</v>
      </c>
      <c r="Z156" s="120" t="s">
        <v>4722</v>
      </c>
      <c r="AA156" s="121" t="s">
        <v>2647</v>
      </c>
      <c r="AB156" s="122" t="s">
        <v>284</v>
      </c>
      <c r="AC156" s="123">
        <v>261</v>
      </c>
      <c r="AD156" s="124">
        <v>7.16</v>
      </c>
      <c r="AE156" s="200">
        <f>ROUND(AD156*AC156,2)</f>
        <v>1868.76</v>
      </c>
      <c r="AR156" s="129" t="s">
        <v>235</v>
      </c>
      <c r="AT156" s="129" t="s">
        <v>231</v>
      </c>
      <c r="AU156" s="129" t="s">
        <v>76</v>
      </c>
      <c r="AY156" s="13" t="s">
        <v>228</v>
      </c>
      <c r="BE156" s="130">
        <f>IF(N156="základná",J156,0)</f>
        <v>0</v>
      </c>
      <c r="BF156" s="130">
        <f>IF(N156="znížená",J156,0)</f>
        <v>1868.76</v>
      </c>
      <c r="BG156" s="130">
        <f>IF(N156="zákl. prenesená",J156,0)</f>
        <v>0</v>
      </c>
      <c r="BH156" s="130">
        <f>IF(N156="zníž. prenesená",J156,0)</f>
        <v>0</v>
      </c>
      <c r="BI156" s="130">
        <f>IF(N156="nulová",J156,0)</f>
        <v>0</v>
      </c>
      <c r="BJ156" s="13" t="s">
        <v>76</v>
      </c>
      <c r="BK156" s="130">
        <f>ROUND(I156*H156,2)</f>
        <v>1868.76</v>
      </c>
      <c r="BL156" s="13" t="s">
        <v>235</v>
      </c>
      <c r="BM156" s="129" t="s">
        <v>316</v>
      </c>
    </row>
    <row r="157" spans="2:65" s="1" customFormat="1" ht="67.2" x14ac:dyDescent="0.2">
      <c r="B157" s="24"/>
      <c r="D157" s="144" t="s">
        <v>1259</v>
      </c>
      <c r="F157" s="145" t="s">
        <v>2648</v>
      </c>
      <c r="L157" s="24"/>
      <c r="M157" s="146"/>
      <c r="N157" s="42"/>
      <c r="O157" s="42"/>
      <c r="P157" s="42"/>
      <c r="Q157" s="42"/>
      <c r="R157" s="42"/>
      <c r="S157" s="42"/>
      <c r="T157" s="43"/>
      <c r="W157" s="24"/>
      <c r="X157" s="685"/>
      <c r="Y157" s="203" t="s">
        <v>1259</v>
      </c>
      <c r="Z157" s="685"/>
      <c r="AA157" s="204" t="s">
        <v>2648</v>
      </c>
      <c r="AB157" s="685"/>
      <c r="AC157" s="685"/>
      <c r="AD157" s="685"/>
      <c r="AE157" s="159"/>
      <c r="AT157" s="13" t="s">
        <v>1259</v>
      </c>
      <c r="AU157" s="13" t="s">
        <v>76</v>
      </c>
    </row>
    <row r="158" spans="2:65" s="1" customFormat="1" ht="60" customHeight="1" x14ac:dyDescent="0.2">
      <c r="B158" s="118"/>
      <c r="C158" s="119" t="s">
        <v>272</v>
      </c>
      <c r="D158" s="119" t="s">
        <v>231</v>
      </c>
      <c r="E158" s="120" t="s">
        <v>4723</v>
      </c>
      <c r="F158" s="121" t="s">
        <v>4724</v>
      </c>
      <c r="G158" s="122" t="s">
        <v>284</v>
      </c>
      <c r="H158" s="123">
        <v>110</v>
      </c>
      <c r="I158" s="124">
        <v>25.97</v>
      </c>
      <c r="J158" s="124">
        <f>ROUND(I158*H158,2)</f>
        <v>2856.7</v>
      </c>
      <c r="K158" s="121" t="s">
        <v>1</v>
      </c>
      <c r="L158" s="24"/>
      <c r="M158" s="125" t="s">
        <v>1</v>
      </c>
      <c r="N158" s="126" t="s">
        <v>32</v>
      </c>
      <c r="O158" s="127">
        <v>0</v>
      </c>
      <c r="P158" s="127">
        <f>O158*H158</f>
        <v>0</v>
      </c>
      <c r="Q158" s="127">
        <v>0</v>
      </c>
      <c r="R158" s="127">
        <f>Q158*H158</f>
        <v>0</v>
      </c>
      <c r="S158" s="127">
        <v>0</v>
      </c>
      <c r="T158" s="128">
        <f>S158*H158</f>
        <v>0</v>
      </c>
      <c r="W158" s="118"/>
      <c r="X158" s="119" t="s">
        <v>272</v>
      </c>
      <c r="Y158" s="119" t="s">
        <v>231</v>
      </c>
      <c r="Z158" s="120" t="s">
        <v>4723</v>
      </c>
      <c r="AA158" s="121" t="s">
        <v>4724</v>
      </c>
      <c r="AB158" s="122" t="s">
        <v>284</v>
      </c>
      <c r="AC158" s="123">
        <v>110</v>
      </c>
      <c r="AD158" s="124">
        <v>25.97</v>
      </c>
      <c r="AE158" s="200">
        <f>ROUND(AD158*AC158,2)</f>
        <v>2856.7</v>
      </c>
      <c r="AR158" s="129" t="s">
        <v>235</v>
      </c>
      <c r="AT158" s="129" t="s">
        <v>231</v>
      </c>
      <c r="AU158" s="129" t="s">
        <v>76</v>
      </c>
      <c r="AY158" s="13" t="s">
        <v>228</v>
      </c>
      <c r="BE158" s="130">
        <f>IF(N158="základná",J158,0)</f>
        <v>0</v>
      </c>
      <c r="BF158" s="130">
        <f>IF(N158="znížená",J158,0)</f>
        <v>2856.7</v>
      </c>
      <c r="BG158" s="130">
        <f>IF(N158="zákl. prenesená",J158,0)</f>
        <v>0</v>
      </c>
      <c r="BH158" s="130">
        <f>IF(N158="zníž. prenesená",J158,0)</f>
        <v>0</v>
      </c>
      <c r="BI158" s="130">
        <f>IF(N158="nulová",J158,0)</f>
        <v>0</v>
      </c>
      <c r="BJ158" s="13" t="s">
        <v>76</v>
      </c>
      <c r="BK158" s="130">
        <f>ROUND(I158*H158,2)</f>
        <v>2856.7</v>
      </c>
      <c r="BL158" s="13" t="s">
        <v>235</v>
      </c>
      <c r="BM158" s="129" t="s">
        <v>319</v>
      </c>
    </row>
    <row r="159" spans="2:65" s="1" customFormat="1" ht="67.2" x14ac:dyDescent="0.2">
      <c r="B159" s="24"/>
      <c r="D159" s="144" t="s">
        <v>1259</v>
      </c>
      <c r="F159" s="145" t="s">
        <v>4725</v>
      </c>
      <c r="L159" s="24"/>
      <c r="M159" s="146"/>
      <c r="N159" s="42"/>
      <c r="O159" s="42"/>
      <c r="P159" s="42"/>
      <c r="Q159" s="42"/>
      <c r="R159" s="42"/>
      <c r="S159" s="42"/>
      <c r="T159" s="43"/>
      <c r="W159" s="24"/>
      <c r="X159" s="685"/>
      <c r="Y159" s="203" t="s">
        <v>1259</v>
      </c>
      <c r="Z159" s="685"/>
      <c r="AA159" s="204" t="s">
        <v>4725</v>
      </c>
      <c r="AB159" s="685"/>
      <c r="AC159" s="685"/>
      <c r="AD159" s="685"/>
      <c r="AE159" s="159"/>
      <c r="AT159" s="13" t="s">
        <v>1259</v>
      </c>
      <c r="AU159" s="13" t="s">
        <v>76</v>
      </c>
    </row>
    <row r="160" spans="2:65" s="1" customFormat="1" ht="60" customHeight="1" x14ac:dyDescent="0.2">
      <c r="B160" s="118"/>
      <c r="C160" s="119" t="s">
        <v>320</v>
      </c>
      <c r="D160" s="119" t="s">
        <v>231</v>
      </c>
      <c r="E160" s="120" t="s">
        <v>4726</v>
      </c>
      <c r="F160" s="121" t="s">
        <v>2653</v>
      </c>
      <c r="G160" s="122" t="s">
        <v>284</v>
      </c>
      <c r="H160" s="123">
        <v>354</v>
      </c>
      <c r="I160" s="124">
        <v>49.61</v>
      </c>
      <c r="J160" s="124">
        <f>ROUND(I160*H160,2)</f>
        <v>17561.939999999999</v>
      </c>
      <c r="K160" s="121" t="s">
        <v>1</v>
      </c>
      <c r="L160" s="24"/>
      <c r="M160" s="125" t="s">
        <v>1</v>
      </c>
      <c r="N160" s="126" t="s">
        <v>32</v>
      </c>
      <c r="O160" s="127">
        <v>0</v>
      </c>
      <c r="P160" s="127">
        <f>O160*H160</f>
        <v>0</v>
      </c>
      <c r="Q160" s="127">
        <v>0</v>
      </c>
      <c r="R160" s="127">
        <f>Q160*H160</f>
        <v>0</v>
      </c>
      <c r="S160" s="127">
        <v>0</v>
      </c>
      <c r="T160" s="128">
        <f>S160*H160</f>
        <v>0</v>
      </c>
      <c r="W160" s="118"/>
      <c r="X160" s="119" t="s">
        <v>320</v>
      </c>
      <c r="Y160" s="119" t="s">
        <v>231</v>
      </c>
      <c r="Z160" s="120" t="s">
        <v>4726</v>
      </c>
      <c r="AA160" s="121" t="s">
        <v>2653</v>
      </c>
      <c r="AB160" s="122" t="s">
        <v>284</v>
      </c>
      <c r="AC160" s="123">
        <v>354</v>
      </c>
      <c r="AD160" s="124">
        <v>49.61</v>
      </c>
      <c r="AE160" s="200">
        <f>ROUND(AD160*AC160,2)</f>
        <v>17561.939999999999</v>
      </c>
      <c r="AR160" s="129" t="s">
        <v>235</v>
      </c>
      <c r="AT160" s="129" t="s">
        <v>231</v>
      </c>
      <c r="AU160" s="129" t="s">
        <v>76</v>
      </c>
      <c r="AY160" s="13" t="s">
        <v>228</v>
      </c>
      <c r="BE160" s="130">
        <f>IF(N160="základná",J160,0)</f>
        <v>0</v>
      </c>
      <c r="BF160" s="130">
        <f>IF(N160="znížená",J160,0)</f>
        <v>17561.939999999999</v>
      </c>
      <c r="BG160" s="130">
        <f>IF(N160="zákl. prenesená",J160,0)</f>
        <v>0</v>
      </c>
      <c r="BH160" s="130">
        <f>IF(N160="zníž. prenesená",J160,0)</f>
        <v>0</v>
      </c>
      <c r="BI160" s="130">
        <f>IF(N160="nulová",J160,0)</f>
        <v>0</v>
      </c>
      <c r="BJ160" s="13" t="s">
        <v>76</v>
      </c>
      <c r="BK160" s="130">
        <f>ROUND(I160*H160,2)</f>
        <v>17561.939999999999</v>
      </c>
      <c r="BL160" s="13" t="s">
        <v>235</v>
      </c>
      <c r="BM160" s="129" t="s">
        <v>323</v>
      </c>
    </row>
    <row r="161" spans="2:65" s="1" customFormat="1" ht="67.2" x14ac:dyDescent="0.2">
      <c r="B161" s="24"/>
      <c r="D161" s="144" t="s">
        <v>1259</v>
      </c>
      <c r="F161" s="145" t="s">
        <v>4727</v>
      </c>
      <c r="L161" s="24"/>
      <c r="M161" s="146"/>
      <c r="N161" s="42"/>
      <c r="O161" s="42"/>
      <c r="P161" s="42"/>
      <c r="Q161" s="42"/>
      <c r="R161" s="42"/>
      <c r="S161" s="42"/>
      <c r="T161" s="43"/>
      <c r="W161" s="24"/>
      <c r="X161" s="685"/>
      <c r="Y161" s="203" t="s">
        <v>1259</v>
      </c>
      <c r="Z161" s="685"/>
      <c r="AA161" s="204" t="s">
        <v>4727</v>
      </c>
      <c r="AB161" s="685"/>
      <c r="AC161" s="685"/>
      <c r="AD161" s="685"/>
      <c r="AE161" s="159"/>
      <c r="AT161" s="13" t="s">
        <v>1259</v>
      </c>
      <c r="AU161" s="13" t="s">
        <v>76</v>
      </c>
    </row>
    <row r="162" spans="2:65" s="1" customFormat="1" ht="16.5" customHeight="1" x14ac:dyDescent="0.2">
      <c r="B162" s="118"/>
      <c r="C162" s="119" t="s">
        <v>276</v>
      </c>
      <c r="D162" s="119" t="s">
        <v>231</v>
      </c>
      <c r="E162" s="120" t="s">
        <v>2654</v>
      </c>
      <c r="F162" s="121" t="s">
        <v>2655</v>
      </c>
      <c r="G162" s="122" t="s">
        <v>1035</v>
      </c>
      <c r="H162" s="123">
        <v>316</v>
      </c>
      <c r="I162" s="124">
        <v>4.97</v>
      </c>
      <c r="J162" s="124">
        <f>ROUND(I162*H162,2)</f>
        <v>1570.52</v>
      </c>
      <c r="K162" s="121" t="s">
        <v>1</v>
      </c>
      <c r="L162" s="24"/>
      <c r="M162" s="125" t="s">
        <v>1</v>
      </c>
      <c r="N162" s="126" t="s">
        <v>32</v>
      </c>
      <c r="O162" s="127">
        <v>0</v>
      </c>
      <c r="P162" s="127">
        <f>O162*H162</f>
        <v>0</v>
      </c>
      <c r="Q162" s="127">
        <v>0</v>
      </c>
      <c r="R162" s="127">
        <f>Q162*H162</f>
        <v>0</v>
      </c>
      <c r="S162" s="127">
        <v>0</v>
      </c>
      <c r="T162" s="128">
        <f>S162*H162</f>
        <v>0</v>
      </c>
      <c r="W162" s="118"/>
      <c r="X162" s="119" t="s">
        <v>276</v>
      </c>
      <c r="Y162" s="119" t="s">
        <v>231</v>
      </c>
      <c r="Z162" s="120" t="s">
        <v>2654</v>
      </c>
      <c r="AA162" s="121" t="s">
        <v>2655</v>
      </c>
      <c r="AB162" s="122" t="s">
        <v>1035</v>
      </c>
      <c r="AC162" s="123">
        <v>316</v>
      </c>
      <c r="AD162" s="124">
        <v>4.97</v>
      </c>
      <c r="AE162" s="200">
        <f>ROUND(AD162*AC162,2)</f>
        <v>1570.52</v>
      </c>
      <c r="AR162" s="129" t="s">
        <v>235</v>
      </c>
      <c r="AT162" s="129" t="s">
        <v>231</v>
      </c>
      <c r="AU162" s="129" t="s">
        <v>76</v>
      </c>
      <c r="AY162" s="13" t="s">
        <v>228</v>
      </c>
      <c r="BE162" s="130">
        <f>IF(N162="základná",J162,0)</f>
        <v>0</v>
      </c>
      <c r="BF162" s="130">
        <f>IF(N162="znížená",J162,0)</f>
        <v>1570.52</v>
      </c>
      <c r="BG162" s="130">
        <f>IF(N162="zákl. prenesená",J162,0)</f>
        <v>0</v>
      </c>
      <c r="BH162" s="130">
        <f>IF(N162="zníž. prenesená",J162,0)</f>
        <v>0</v>
      </c>
      <c r="BI162" s="130">
        <f>IF(N162="nulová",J162,0)</f>
        <v>0</v>
      </c>
      <c r="BJ162" s="13" t="s">
        <v>76</v>
      </c>
      <c r="BK162" s="130">
        <f>ROUND(I162*H162,2)</f>
        <v>1570.52</v>
      </c>
      <c r="BL162" s="13" t="s">
        <v>235</v>
      </c>
      <c r="BM162" s="129" t="s">
        <v>326</v>
      </c>
    </row>
    <row r="163" spans="2:65" s="1" customFormat="1" ht="16.5" customHeight="1" x14ac:dyDescent="0.2">
      <c r="B163" s="118"/>
      <c r="C163" s="119" t="s">
        <v>327</v>
      </c>
      <c r="D163" s="119" t="s">
        <v>231</v>
      </c>
      <c r="E163" s="120" t="s">
        <v>2656</v>
      </c>
      <c r="F163" s="121" t="s">
        <v>2657</v>
      </c>
      <c r="G163" s="122" t="s">
        <v>1035</v>
      </c>
      <c r="H163" s="123">
        <v>158</v>
      </c>
      <c r="I163" s="124">
        <v>7.82</v>
      </c>
      <c r="J163" s="124">
        <f>ROUND(I163*H163,2)</f>
        <v>1235.56</v>
      </c>
      <c r="K163" s="121" t="s">
        <v>1</v>
      </c>
      <c r="L163" s="24"/>
      <c r="M163" s="125" t="s">
        <v>1</v>
      </c>
      <c r="N163" s="126" t="s">
        <v>32</v>
      </c>
      <c r="O163" s="127">
        <v>0</v>
      </c>
      <c r="P163" s="127">
        <f>O163*H163</f>
        <v>0</v>
      </c>
      <c r="Q163" s="127">
        <v>0</v>
      </c>
      <c r="R163" s="127">
        <f>Q163*H163</f>
        <v>0</v>
      </c>
      <c r="S163" s="127">
        <v>0</v>
      </c>
      <c r="T163" s="128">
        <f>S163*H163</f>
        <v>0</v>
      </c>
      <c r="W163" s="118"/>
      <c r="X163" s="119" t="s">
        <v>327</v>
      </c>
      <c r="Y163" s="119" t="s">
        <v>231</v>
      </c>
      <c r="Z163" s="120" t="s">
        <v>2656</v>
      </c>
      <c r="AA163" s="121" t="s">
        <v>2657</v>
      </c>
      <c r="AB163" s="122" t="s">
        <v>1035</v>
      </c>
      <c r="AC163" s="123">
        <v>158</v>
      </c>
      <c r="AD163" s="124">
        <v>7.82</v>
      </c>
      <c r="AE163" s="200">
        <f>ROUND(AD163*AC163,2)</f>
        <v>1235.56</v>
      </c>
      <c r="AR163" s="129" t="s">
        <v>235</v>
      </c>
      <c r="AT163" s="129" t="s">
        <v>231</v>
      </c>
      <c r="AU163" s="129" t="s">
        <v>76</v>
      </c>
      <c r="AY163" s="13" t="s">
        <v>228</v>
      </c>
      <c r="BE163" s="130">
        <f>IF(N163="základná",J163,0)</f>
        <v>0</v>
      </c>
      <c r="BF163" s="130">
        <f>IF(N163="znížená",J163,0)</f>
        <v>1235.56</v>
      </c>
      <c r="BG163" s="130">
        <f>IF(N163="zákl. prenesená",J163,0)</f>
        <v>0</v>
      </c>
      <c r="BH163" s="130">
        <f>IF(N163="zníž. prenesená",J163,0)</f>
        <v>0</v>
      </c>
      <c r="BI163" s="130">
        <f>IF(N163="nulová",J163,0)</f>
        <v>0</v>
      </c>
      <c r="BJ163" s="13" t="s">
        <v>76</v>
      </c>
      <c r="BK163" s="130">
        <f>ROUND(I163*H163,2)</f>
        <v>1235.56</v>
      </c>
      <c r="BL163" s="13" t="s">
        <v>235</v>
      </c>
      <c r="BM163" s="129" t="s">
        <v>330</v>
      </c>
    </row>
    <row r="164" spans="2:65" s="11" customFormat="1" ht="22.95" customHeight="1" x14ac:dyDescent="0.25">
      <c r="B164" s="106"/>
      <c r="D164" s="107" t="s">
        <v>57</v>
      </c>
      <c r="E164" s="116" t="s">
        <v>1211</v>
      </c>
      <c r="F164" s="116" t="s">
        <v>4658</v>
      </c>
      <c r="J164" s="117">
        <f>BK164</f>
        <v>62879.49</v>
      </c>
      <c r="L164" s="106"/>
      <c r="M164" s="110"/>
      <c r="N164" s="111"/>
      <c r="O164" s="111"/>
      <c r="P164" s="112">
        <f>SUM(P165:P199)</f>
        <v>0</v>
      </c>
      <c r="Q164" s="111"/>
      <c r="R164" s="112">
        <f>SUM(R165:R199)</f>
        <v>0</v>
      </c>
      <c r="S164" s="111"/>
      <c r="T164" s="113">
        <f>SUM(T165:T199)</f>
        <v>0</v>
      </c>
      <c r="W164" s="106"/>
      <c r="X164" s="111"/>
      <c r="Y164" s="196" t="s">
        <v>57</v>
      </c>
      <c r="Z164" s="201" t="s">
        <v>1211</v>
      </c>
      <c r="AA164" s="201" t="s">
        <v>4658</v>
      </c>
      <c r="AB164" s="111"/>
      <c r="AC164" s="111"/>
      <c r="AD164" s="111"/>
      <c r="AE164" s="202">
        <f>SUM(AE165:AE199)</f>
        <v>62879.49</v>
      </c>
      <c r="AR164" s="107" t="s">
        <v>63</v>
      </c>
      <c r="AT164" s="114" t="s">
        <v>57</v>
      </c>
      <c r="AU164" s="114" t="s">
        <v>63</v>
      </c>
      <c r="AY164" s="107" t="s">
        <v>228</v>
      </c>
      <c r="BK164" s="115">
        <f>SUM(BK165:BK199)</f>
        <v>62879.49</v>
      </c>
    </row>
    <row r="165" spans="2:65" s="1" customFormat="1" ht="60" customHeight="1" x14ac:dyDescent="0.2">
      <c r="B165" s="118"/>
      <c r="C165" s="119" t="s">
        <v>280</v>
      </c>
      <c r="D165" s="119" t="s">
        <v>231</v>
      </c>
      <c r="E165" s="120" t="s">
        <v>4728</v>
      </c>
      <c r="F165" s="121" t="s">
        <v>4729</v>
      </c>
      <c r="G165" s="122" t="s">
        <v>1194</v>
      </c>
      <c r="H165" s="123">
        <v>1</v>
      </c>
      <c r="I165" s="124">
        <v>26445.37</v>
      </c>
      <c r="J165" s="124">
        <f>ROUND(I165*H165,2)</f>
        <v>26445.37</v>
      </c>
      <c r="K165" s="121" t="s">
        <v>1</v>
      </c>
      <c r="L165" s="24"/>
      <c r="M165" s="125" t="s">
        <v>1</v>
      </c>
      <c r="N165" s="126" t="s">
        <v>32</v>
      </c>
      <c r="O165" s="127">
        <v>0</v>
      </c>
      <c r="P165" s="127">
        <f>O165*H165</f>
        <v>0</v>
      </c>
      <c r="Q165" s="127">
        <v>0</v>
      </c>
      <c r="R165" s="127">
        <f>Q165*H165</f>
        <v>0</v>
      </c>
      <c r="S165" s="127">
        <v>0</v>
      </c>
      <c r="T165" s="128">
        <f>S165*H165</f>
        <v>0</v>
      </c>
      <c r="W165" s="118"/>
      <c r="X165" s="119" t="s">
        <v>280</v>
      </c>
      <c r="Y165" s="119" t="s">
        <v>231</v>
      </c>
      <c r="Z165" s="120" t="s">
        <v>4728</v>
      </c>
      <c r="AA165" s="121" t="s">
        <v>4729</v>
      </c>
      <c r="AB165" s="122" t="s">
        <v>1194</v>
      </c>
      <c r="AC165" s="123">
        <v>1</v>
      </c>
      <c r="AD165" s="124">
        <v>26445.37</v>
      </c>
      <c r="AE165" s="200">
        <f>ROUND(AD165*AC165,2)</f>
        <v>26445.37</v>
      </c>
      <c r="AR165" s="129" t="s">
        <v>235</v>
      </c>
      <c r="AT165" s="129" t="s">
        <v>231</v>
      </c>
      <c r="AU165" s="129" t="s">
        <v>76</v>
      </c>
      <c r="AY165" s="13" t="s">
        <v>228</v>
      </c>
      <c r="BE165" s="130">
        <f>IF(N165="základná",J165,0)</f>
        <v>0</v>
      </c>
      <c r="BF165" s="130">
        <f>IF(N165="znížená",J165,0)</f>
        <v>26445.37</v>
      </c>
      <c r="BG165" s="130">
        <f>IF(N165="zákl. prenesená",J165,0)</f>
        <v>0</v>
      </c>
      <c r="BH165" s="130">
        <f>IF(N165="zníž. prenesená",J165,0)</f>
        <v>0</v>
      </c>
      <c r="BI165" s="130">
        <f>IF(N165="nulová",J165,0)</f>
        <v>0</v>
      </c>
      <c r="BJ165" s="13" t="s">
        <v>76</v>
      </c>
      <c r="BK165" s="130">
        <f>ROUND(I165*H165,2)</f>
        <v>26445.37</v>
      </c>
      <c r="BL165" s="13" t="s">
        <v>235</v>
      </c>
      <c r="BM165" s="129" t="s">
        <v>333</v>
      </c>
    </row>
    <row r="166" spans="2:65" s="1" customFormat="1" ht="409.6" x14ac:dyDescent="0.2">
      <c r="B166" s="24"/>
      <c r="D166" s="144" t="s">
        <v>1259</v>
      </c>
      <c r="F166" s="150" t="s">
        <v>4730</v>
      </c>
      <c r="L166" s="24"/>
      <c r="M166" s="146"/>
      <c r="N166" s="42"/>
      <c r="O166" s="42"/>
      <c r="P166" s="42"/>
      <c r="Q166" s="42"/>
      <c r="R166" s="42"/>
      <c r="S166" s="42"/>
      <c r="T166" s="43"/>
      <c r="W166" s="24"/>
      <c r="X166" s="685"/>
      <c r="Y166" s="203" t="s">
        <v>1259</v>
      </c>
      <c r="Z166" s="685"/>
      <c r="AA166" s="691" t="s">
        <v>4730</v>
      </c>
      <c r="AB166" s="685"/>
      <c r="AC166" s="685"/>
      <c r="AD166" s="685"/>
      <c r="AE166" s="159"/>
      <c r="AT166" s="13" t="s">
        <v>1259</v>
      </c>
      <c r="AU166" s="13" t="s">
        <v>76</v>
      </c>
    </row>
    <row r="167" spans="2:65" s="1" customFormat="1" ht="72" customHeight="1" x14ac:dyDescent="0.2">
      <c r="B167" s="118"/>
      <c r="C167" s="119" t="s">
        <v>334</v>
      </c>
      <c r="D167" s="119" t="s">
        <v>231</v>
      </c>
      <c r="E167" s="120" t="s">
        <v>4678</v>
      </c>
      <c r="F167" s="121" t="s">
        <v>4679</v>
      </c>
      <c r="G167" s="122" t="s">
        <v>1194</v>
      </c>
      <c r="H167" s="123">
        <v>1</v>
      </c>
      <c r="I167" s="124">
        <v>769.74</v>
      </c>
      <c r="J167" s="124">
        <f>ROUND(I167*H167,2)</f>
        <v>769.74</v>
      </c>
      <c r="K167" s="121" t="s">
        <v>1</v>
      </c>
      <c r="L167" s="24"/>
      <c r="M167" s="125" t="s">
        <v>1</v>
      </c>
      <c r="N167" s="126" t="s">
        <v>32</v>
      </c>
      <c r="O167" s="127">
        <v>0</v>
      </c>
      <c r="P167" s="127">
        <f>O167*H167</f>
        <v>0</v>
      </c>
      <c r="Q167" s="127">
        <v>0</v>
      </c>
      <c r="R167" s="127">
        <f>Q167*H167</f>
        <v>0</v>
      </c>
      <c r="S167" s="127">
        <v>0</v>
      </c>
      <c r="T167" s="128">
        <f>S167*H167</f>
        <v>0</v>
      </c>
      <c r="W167" s="118"/>
      <c r="X167" s="119" t="s">
        <v>334</v>
      </c>
      <c r="Y167" s="119" t="s">
        <v>231</v>
      </c>
      <c r="Z167" s="120" t="s">
        <v>4678</v>
      </c>
      <c r="AA167" s="121" t="s">
        <v>4679</v>
      </c>
      <c r="AB167" s="122" t="s">
        <v>1194</v>
      </c>
      <c r="AC167" s="123">
        <v>1</v>
      </c>
      <c r="AD167" s="124">
        <v>769.74</v>
      </c>
      <c r="AE167" s="200">
        <f>ROUND(AD167*AC167,2)</f>
        <v>769.74</v>
      </c>
      <c r="AR167" s="129" t="s">
        <v>235</v>
      </c>
      <c r="AT167" s="129" t="s">
        <v>231</v>
      </c>
      <c r="AU167" s="129" t="s">
        <v>76</v>
      </c>
      <c r="AY167" s="13" t="s">
        <v>228</v>
      </c>
      <c r="BE167" s="130">
        <f>IF(N167="základná",J167,0)</f>
        <v>0</v>
      </c>
      <c r="BF167" s="130">
        <f>IF(N167="znížená",J167,0)</f>
        <v>769.74</v>
      </c>
      <c r="BG167" s="130">
        <f>IF(N167="zákl. prenesená",J167,0)</f>
        <v>0</v>
      </c>
      <c r="BH167" s="130">
        <f>IF(N167="zníž. prenesená",J167,0)</f>
        <v>0</v>
      </c>
      <c r="BI167" s="130">
        <f>IF(N167="nulová",J167,0)</f>
        <v>0</v>
      </c>
      <c r="BJ167" s="13" t="s">
        <v>76</v>
      </c>
      <c r="BK167" s="130">
        <f>ROUND(I167*H167,2)</f>
        <v>769.74</v>
      </c>
      <c r="BL167" s="13" t="s">
        <v>235</v>
      </c>
      <c r="BM167" s="129" t="s">
        <v>337</v>
      </c>
    </row>
    <row r="168" spans="2:65" s="1" customFormat="1" ht="76.8" x14ac:dyDescent="0.2">
      <c r="B168" s="24"/>
      <c r="D168" s="144" t="s">
        <v>1259</v>
      </c>
      <c r="F168" s="145" t="s">
        <v>4731</v>
      </c>
      <c r="L168" s="24"/>
      <c r="M168" s="146"/>
      <c r="N168" s="42"/>
      <c r="O168" s="42"/>
      <c r="P168" s="42"/>
      <c r="Q168" s="42"/>
      <c r="R168" s="42"/>
      <c r="S168" s="42"/>
      <c r="T168" s="43"/>
      <c r="W168" s="24"/>
      <c r="X168" s="685"/>
      <c r="Y168" s="203" t="s">
        <v>1259</v>
      </c>
      <c r="Z168" s="685"/>
      <c r="AA168" s="204" t="s">
        <v>4731</v>
      </c>
      <c r="AB168" s="685"/>
      <c r="AC168" s="685"/>
      <c r="AD168" s="685"/>
      <c r="AE168" s="159"/>
      <c r="AT168" s="13" t="s">
        <v>1259</v>
      </c>
      <c r="AU168" s="13" t="s">
        <v>76</v>
      </c>
    </row>
    <row r="169" spans="2:65" s="1" customFormat="1" ht="60" customHeight="1" x14ac:dyDescent="0.2">
      <c r="B169" s="118"/>
      <c r="C169" s="119" t="s">
        <v>285</v>
      </c>
      <c r="D169" s="119" t="s">
        <v>231</v>
      </c>
      <c r="E169" s="120" t="s">
        <v>4732</v>
      </c>
      <c r="F169" s="121" t="s">
        <v>4733</v>
      </c>
      <c r="G169" s="122" t="s">
        <v>1194</v>
      </c>
      <c r="H169" s="123">
        <v>1</v>
      </c>
      <c r="I169" s="124">
        <v>7794.65</v>
      </c>
      <c r="J169" s="124">
        <f>ROUND(I169*H169,2)</f>
        <v>7794.65</v>
      </c>
      <c r="K169" s="121" t="s">
        <v>1</v>
      </c>
      <c r="L169" s="24"/>
      <c r="M169" s="125" t="s">
        <v>1</v>
      </c>
      <c r="N169" s="126" t="s">
        <v>32</v>
      </c>
      <c r="O169" s="127">
        <v>0</v>
      </c>
      <c r="P169" s="127">
        <f>O169*H169</f>
        <v>0</v>
      </c>
      <c r="Q169" s="127">
        <v>0</v>
      </c>
      <c r="R169" s="127">
        <f>Q169*H169</f>
        <v>0</v>
      </c>
      <c r="S169" s="127">
        <v>0</v>
      </c>
      <c r="T169" s="128">
        <f>S169*H169</f>
        <v>0</v>
      </c>
      <c r="W169" s="118"/>
      <c r="X169" s="119" t="s">
        <v>285</v>
      </c>
      <c r="Y169" s="119" t="s">
        <v>231</v>
      </c>
      <c r="Z169" s="120" t="s">
        <v>4732</v>
      </c>
      <c r="AA169" s="121" t="s">
        <v>4733</v>
      </c>
      <c r="AB169" s="122" t="s">
        <v>1194</v>
      </c>
      <c r="AC169" s="123">
        <v>1</v>
      </c>
      <c r="AD169" s="124">
        <v>7794.65</v>
      </c>
      <c r="AE169" s="200">
        <f>ROUND(AD169*AC169,2)</f>
        <v>7794.65</v>
      </c>
      <c r="AR169" s="129" t="s">
        <v>235</v>
      </c>
      <c r="AT169" s="129" t="s">
        <v>231</v>
      </c>
      <c r="AU169" s="129" t="s">
        <v>76</v>
      </c>
      <c r="AY169" s="13" t="s">
        <v>228</v>
      </c>
      <c r="BE169" s="130">
        <f>IF(N169="základná",J169,0)</f>
        <v>0</v>
      </c>
      <c r="BF169" s="130">
        <f>IF(N169="znížená",J169,0)</f>
        <v>7794.65</v>
      </c>
      <c r="BG169" s="130">
        <f>IF(N169="zákl. prenesená",J169,0)</f>
        <v>0</v>
      </c>
      <c r="BH169" s="130">
        <f>IF(N169="zníž. prenesená",J169,0)</f>
        <v>0</v>
      </c>
      <c r="BI169" s="130">
        <f>IF(N169="nulová",J169,0)</f>
        <v>0</v>
      </c>
      <c r="BJ169" s="13" t="s">
        <v>76</v>
      </c>
      <c r="BK169" s="130">
        <f>ROUND(I169*H169,2)</f>
        <v>7794.65</v>
      </c>
      <c r="BL169" s="13" t="s">
        <v>235</v>
      </c>
      <c r="BM169" s="129" t="s">
        <v>340</v>
      </c>
    </row>
    <row r="170" spans="2:65" s="1" customFormat="1" ht="124.8" x14ac:dyDescent="0.2">
      <c r="B170" s="24"/>
      <c r="D170" s="144" t="s">
        <v>1259</v>
      </c>
      <c r="F170" s="145" t="s">
        <v>4734</v>
      </c>
      <c r="L170" s="24"/>
      <c r="M170" s="146"/>
      <c r="N170" s="42"/>
      <c r="O170" s="42"/>
      <c r="P170" s="42"/>
      <c r="Q170" s="42"/>
      <c r="R170" s="42"/>
      <c r="S170" s="42"/>
      <c r="T170" s="43"/>
      <c r="W170" s="24"/>
      <c r="X170" s="685"/>
      <c r="Y170" s="203" t="s">
        <v>1259</v>
      </c>
      <c r="Z170" s="685"/>
      <c r="AA170" s="204" t="s">
        <v>4734</v>
      </c>
      <c r="AB170" s="685"/>
      <c r="AC170" s="685"/>
      <c r="AD170" s="685"/>
      <c r="AE170" s="159"/>
      <c r="AT170" s="13" t="s">
        <v>1259</v>
      </c>
      <c r="AU170" s="13" t="s">
        <v>76</v>
      </c>
    </row>
    <row r="171" spans="2:65" s="1" customFormat="1" ht="16.5" customHeight="1" x14ac:dyDescent="0.2">
      <c r="B171" s="118"/>
      <c r="C171" s="119" t="s">
        <v>341</v>
      </c>
      <c r="D171" s="119" t="s">
        <v>231</v>
      </c>
      <c r="E171" s="120" t="s">
        <v>4683</v>
      </c>
      <c r="F171" s="121" t="s">
        <v>4684</v>
      </c>
      <c r="G171" s="122" t="s">
        <v>1194</v>
      </c>
      <c r="H171" s="123">
        <v>1</v>
      </c>
      <c r="I171" s="124">
        <v>284.20999999999998</v>
      </c>
      <c r="J171" s="124">
        <f>ROUND(I171*H171,2)</f>
        <v>284.20999999999998</v>
      </c>
      <c r="K171" s="121" t="s">
        <v>1</v>
      </c>
      <c r="L171" s="24"/>
      <c r="M171" s="125" t="s">
        <v>1</v>
      </c>
      <c r="N171" s="126" t="s">
        <v>32</v>
      </c>
      <c r="O171" s="127">
        <v>0</v>
      </c>
      <c r="P171" s="127">
        <f>O171*H171</f>
        <v>0</v>
      </c>
      <c r="Q171" s="127">
        <v>0</v>
      </c>
      <c r="R171" s="127">
        <f>Q171*H171</f>
        <v>0</v>
      </c>
      <c r="S171" s="127">
        <v>0</v>
      </c>
      <c r="T171" s="128">
        <f>S171*H171</f>
        <v>0</v>
      </c>
      <c r="W171" s="118"/>
      <c r="X171" s="119" t="s">
        <v>341</v>
      </c>
      <c r="Y171" s="119" t="s">
        <v>231</v>
      </c>
      <c r="Z171" s="120" t="s">
        <v>4683</v>
      </c>
      <c r="AA171" s="121" t="s">
        <v>4684</v>
      </c>
      <c r="AB171" s="122" t="s">
        <v>1194</v>
      </c>
      <c r="AC171" s="123">
        <v>1</v>
      </c>
      <c r="AD171" s="124">
        <v>284.20999999999998</v>
      </c>
      <c r="AE171" s="200">
        <f>ROUND(AD171*AC171,2)</f>
        <v>284.20999999999998</v>
      </c>
      <c r="AR171" s="129" t="s">
        <v>235</v>
      </c>
      <c r="AT171" s="129" t="s">
        <v>231</v>
      </c>
      <c r="AU171" s="129" t="s">
        <v>76</v>
      </c>
      <c r="AY171" s="13" t="s">
        <v>228</v>
      </c>
      <c r="BE171" s="130">
        <f>IF(N171="základná",J171,0)</f>
        <v>0</v>
      </c>
      <c r="BF171" s="130">
        <f>IF(N171="znížená",J171,0)</f>
        <v>284.20999999999998</v>
      </c>
      <c r="BG171" s="130">
        <f>IF(N171="zákl. prenesená",J171,0)</f>
        <v>0</v>
      </c>
      <c r="BH171" s="130">
        <f>IF(N171="zníž. prenesená",J171,0)</f>
        <v>0</v>
      </c>
      <c r="BI171" s="130">
        <f>IF(N171="nulová",J171,0)</f>
        <v>0</v>
      </c>
      <c r="BJ171" s="13" t="s">
        <v>76</v>
      </c>
      <c r="BK171" s="130">
        <f>ROUND(I171*H171,2)</f>
        <v>284.20999999999998</v>
      </c>
      <c r="BL171" s="13" t="s">
        <v>235</v>
      </c>
      <c r="BM171" s="129" t="s">
        <v>344</v>
      </c>
    </row>
    <row r="172" spans="2:65" s="1" customFormat="1" ht="72" customHeight="1" x14ac:dyDescent="0.2">
      <c r="B172" s="118"/>
      <c r="C172" s="119" t="s">
        <v>288</v>
      </c>
      <c r="D172" s="119" t="s">
        <v>231</v>
      </c>
      <c r="E172" s="120" t="s">
        <v>4735</v>
      </c>
      <c r="F172" s="121" t="s">
        <v>4736</v>
      </c>
      <c r="G172" s="122" t="s">
        <v>1194</v>
      </c>
      <c r="H172" s="123">
        <v>1</v>
      </c>
      <c r="I172" s="124">
        <v>220.58</v>
      </c>
      <c r="J172" s="124">
        <f>ROUND(I172*H172,2)</f>
        <v>220.58</v>
      </c>
      <c r="K172" s="121" t="s">
        <v>1</v>
      </c>
      <c r="L172" s="24"/>
      <c r="M172" s="125" t="s">
        <v>1</v>
      </c>
      <c r="N172" s="126" t="s">
        <v>32</v>
      </c>
      <c r="O172" s="127">
        <v>0</v>
      </c>
      <c r="P172" s="127">
        <f>O172*H172</f>
        <v>0</v>
      </c>
      <c r="Q172" s="127">
        <v>0</v>
      </c>
      <c r="R172" s="127">
        <f>Q172*H172</f>
        <v>0</v>
      </c>
      <c r="S172" s="127">
        <v>0</v>
      </c>
      <c r="T172" s="128">
        <f>S172*H172</f>
        <v>0</v>
      </c>
      <c r="W172" s="118"/>
      <c r="X172" s="119" t="s">
        <v>288</v>
      </c>
      <c r="Y172" s="119" t="s">
        <v>231</v>
      </c>
      <c r="Z172" s="120" t="s">
        <v>4735</v>
      </c>
      <c r="AA172" s="121" t="s">
        <v>4736</v>
      </c>
      <c r="AB172" s="122" t="s">
        <v>1194</v>
      </c>
      <c r="AC172" s="123">
        <v>1</v>
      </c>
      <c r="AD172" s="124">
        <v>220.58</v>
      </c>
      <c r="AE172" s="200">
        <f>ROUND(AD172*AC172,2)</f>
        <v>220.58</v>
      </c>
      <c r="AR172" s="129" t="s">
        <v>235</v>
      </c>
      <c r="AT172" s="129" t="s">
        <v>231</v>
      </c>
      <c r="AU172" s="129" t="s">
        <v>76</v>
      </c>
      <c r="AY172" s="13" t="s">
        <v>228</v>
      </c>
      <c r="BE172" s="130">
        <f>IF(N172="základná",J172,0)</f>
        <v>0</v>
      </c>
      <c r="BF172" s="130">
        <f>IF(N172="znížená",J172,0)</f>
        <v>220.58</v>
      </c>
      <c r="BG172" s="130">
        <f>IF(N172="zákl. prenesená",J172,0)</f>
        <v>0</v>
      </c>
      <c r="BH172" s="130">
        <f>IF(N172="zníž. prenesená",J172,0)</f>
        <v>0</v>
      </c>
      <c r="BI172" s="130">
        <f>IF(N172="nulová",J172,0)</f>
        <v>0</v>
      </c>
      <c r="BJ172" s="13" t="s">
        <v>76</v>
      </c>
      <c r="BK172" s="130">
        <f>ROUND(I172*H172,2)</f>
        <v>220.58</v>
      </c>
      <c r="BL172" s="13" t="s">
        <v>235</v>
      </c>
      <c r="BM172" s="129" t="s">
        <v>347</v>
      </c>
    </row>
    <row r="173" spans="2:65" s="1" customFormat="1" ht="67.2" x14ac:dyDescent="0.2">
      <c r="B173" s="24"/>
      <c r="D173" s="144" t="s">
        <v>1259</v>
      </c>
      <c r="F173" s="145" t="s">
        <v>4737</v>
      </c>
      <c r="L173" s="24"/>
      <c r="M173" s="146"/>
      <c r="N173" s="42"/>
      <c r="O173" s="42"/>
      <c r="P173" s="42"/>
      <c r="Q173" s="42"/>
      <c r="R173" s="42"/>
      <c r="S173" s="42"/>
      <c r="T173" s="43"/>
      <c r="W173" s="24"/>
      <c r="X173" s="685"/>
      <c r="Y173" s="203" t="s">
        <v>1259</v>
      </c>
      <c r="Z173" s="685"/>
      <c r="AA173" s="204" t="s">
        <v>4737</v>
      </c>
      <c r="AB173" s="685"/>
      <c r="AC173" s="685"/>
      <c r="AD173" s="685"/>
      <c r="AE173" s="159"/>
      <c r="AT173" s="13" t="s">
        <v>1259</v>
      </c>
      <c r="AU173" s="13" t="s">
        <v>76</v>
      </c>
    </row>
    <row r="174" spans="2:65" s="1" customFormat="1" ht="60" customHeight="1" x14ac:dyDescent="0.2">
      <c r="B174" s="118"/>
      <c r="C174" s="119" t="s">
        <v>348</v>
      </c>
      <c r="D174" s="119" t="s">
        <v>231</v>
      </c>
      <c r="E174" s="120" t="s">
        <v>4738</v>
      </c>
      <c r="F174" s="121" t="s">
        <v>4739</v>
      </c>
      <c r="G174" s="122" t="s">
        <v>1194</v>
      </c>
      <c r="H174" s="123">
        <v>6</v>
      </c>
      <c r="I174" s="124">
        <v>359.47</v>
      </c>
      <c r="J174" s="124">
        <f>ROUND(I174*H174,2)</f>
        <v>2156.8200000000002</v>
      </c>
      <c r="K174" s="121" t="s">
        <v>1</v>
      </c>
      <c r="L174" s="24"/>
      <c r="M174" s="125" t="s">
        <v>1</v>
      </c>
      <c r="N174" s="126" t="s">
        <v>32</v>
      </c>
      <c r="O174" s="127">
        <v>0</v>
      </c>
      <c r="P174" s="127">
        <f>O174*H174</f>
        <v>0</v>
      </c>
      <c r="Q174" s="127">
        <v>0</v>
      </c>
      <c r="R174" s="127">
        <f>Q174*H174</f>
        <v>0</v>
      </c>
      <c r="S174" s="127">
        <v>0</v>
      </c>
      <c r="T174" s="128">
        <f>S174*H174</f>
        <v>0</v>
      </c>
      <c r="W174" s="118"/>
      <c r="X174" s="119" t="s">
        <v>348</v>
      </c>
      <c r="Y174" s="119" t="s">
        <v>231</v>
      </c>
      <c r="Z174" s="120" t="s">
        <v>4738</v>
      </c>
      <c r="AA174" s="121" t="s">
        <v>4739</v>
      </c>
      <c r="AB174" s="122" t="s">
        <v>1194</v>
      </c>
      <c r="AC174" s="123">
        <v>6</v>
      </c>
      <c r="AD174" s="124">
        <v>359.47</v>
      </c>
      <c r="AE174" s="200">
        <f>ROUND(AD174*AC174,2)</f>
        <v>2156.8200000000002</v>
      </c>
      <c r="AR174" s="129" t="s">
        <v>235</v>
      </c>
      <c r="AT174" s="129" t="s">
        <v>231</v>
      </c>
      <c r="AU174" s="129" t="s">
        <v>76</v>
      </c>
      <c r="AY174" s="13" t="s">
        <v>228</v>
      </c>
      <c r="BE174" s="130">
        <f>IF(N174="základná",J174,0)</f>
        <v>0</v>
      </c>
      <c r="BF174" s="130">
        <f>IF(N174="znížená",J174,0)</f>
        <v>2156.8200000000002</v>
      </c>
      <c r="BG174" s="130">
        <f>IF(N174="zákl. prenesená",J174,0)</f>
        <v>0</v>
      </c>
      <c r="BH174" s="130">
        <f>IF(N174="zníž. prenesená",J174,0)</f>
        <v>0</v>
      </c>
      <c r="BI174" s="130">
        <f>IF(N174="nulová",J174,0)</f>
        <v>0</v>
      </c>
      <c r="BJ174" s="13" t="s">
        <v>76</v>
      </c>
      <c r="BK174" s="130">
        <f>ROUND(I174*H174,2)</f>
        <v>2156.8200000000002</v>
      </c>
      <c r="BL174" s="13" t="s">
        <v>235</v>
      </c>
      <c r="BM174" s="129" t="s">
        <v>351</v>
      </c>
    </row>
    <row r="175" spans="2:65" s="1" customFormat="1" ht="172.8" x14ac:dyDescent="0.2">
      <c r="B175" s="24"/>
      <c r="D175" s="144" t="s">
        <v>1259</v>
      </c>
      <c r="F175" s="145" t="s">
        <v>4740</v>
      </c>
      <c r="L175" s="24"/>
      <c r="M175" s="146"/>
      <c r="N175" s="42"/>
      <c r="O175" s="42"/>
      <c r="P175" s="42"/>
      <c r="Q175" s="42"/>
      <c r="R175" s="42"/>
      <c r="S175" s="42"/>
      <c r="T175" s="43"/>
      <c r="W175" s="24"/>
      <c r="X175" s="685"/>
      <c r="Y175" s="203" t="s">
        <v>1259</v>
      </c>
      <c r="Z175" s="685"/>
      <c r="AA175" s="204" t="s">
        <v>4740</v>
      </c>
      <c r="AB175" s="685"/>
      <c r="AC175" s="685"/>
      <c r="AD175" s="685"/>
      <c r="AE175" s="159"/>
      <c r="AT175" s="13" t="s">
        <v>1259</v>
      </c>
      <c r="AU175" s="13" t="s">
        <v>76</v>
      </c>
    </row>
    <row r="176" spans="2:65" s="1" customFormat="1" ht="72" customHeight="1" x14ac:dyDescent="0.2">
      <c r="B176" s="118"/>
      <c r="C176" s="119" t="s">
        <v>293</v>
      </c>
      <c r="D176" s="119" t="s">
        <v>231</v>
      </c>
      <c r="E176" s="120" t="s">
        <v>4741</v>
      </c>
      <c r="F176" s="121" t="s">
        <v>4742</v>
      </c>
      <c r="G176" s="122" t="s">
        <v>1194</v>
      </c>
      <c r="H176" s="123">
        <v>10</v>
      </c>
      <c r="I176" s="124">
        <v>38.89</v>
      </c>
      <c r="J176" s="124">
        <f>ROUND(I176*H176,2)</f>
        <v>388.9</v>
      </c>
      <c r="K176" s="121" t="s">
        <v>1</v>
      </c>
      <c r="L176" s="24"/>
      <c r="M176" s="125" t="s">
        <v>1</v>
      </c>
      <c r="N176" s="126" t="s">
        <v>32</v>
      </c>
      <c r="O176" s="127">
        <v>0</v>
      </c>
      <c r="P176" s="127">
        <f>O176*H176</f>
        <v>0</v>
      </c>
      <c r="Q176" s="127">
        <v>0</v>
      </c>
      <c r="R176" s="127">
        <f>Q176*H176</f>
        <v>0</v>
      </c>
      <c r="S176" s="127">
        <v>0</v>
      </c>
      <c r="T176" s="128">
        <f>S176*H176</f>
        <v>0</v>
      </c>
      <c r="W176" s="118"/>
      <c r="X176" s="119" t="s">
        <v>293</v>
      </c>
      <c r="Y176" s="119" t="s">
        <v>231</v>
      </c>
      <c r="Z176" s="120" t="s">
        <v>4741</v>
      </c>
      <c r="AA176" s="121" t="s">
        <v>4742</v>
      </c>
      <c r="AB176" s="122" t="s">
        <v>1194</v>
      </c>
      <c r="AC176" s="123">
        <v>10</v>
      </c>
      <c r="AD176" s="124">
        <v>38.89</v>
      </c>
      <c r="AE176" s="200">
        <f>ROUND(AD176*AC176,2)</f>
        <v>388.9</v>
      </c>
      <c r="AR176" s="129" t="s">
        <v>235</v>
      </c>
      <c r="AT176" s="129" t="s">
        <v>231</v>
      </c>
      <c r="AU176" s="129" t="s">
        <v>76</v>
      </c>
      <c r="AY176" s="13" t="s">
        <v>228</v>
      </c>
      <c r="BE176" s="130">
        <f>IF(N176="základná",J176,0)</f>
        <v>0</v>
      </c>
      <c r="BF176" s="130">
        <f>IF(N176="znížená",J176,0)</f>
        <v>388.9</v>
      </c>
      <c r="BG176" s="130">
        <f>IF(N176="zákl. prenesená",J176,0)</f>
        <v>0</v>
      </c>
      <c r="BH176" s="130">
        <f>IF(N176="zníž. prenesená",J176,0)</f>
        <v>0</v>
      </c>
      <c r="BI176" s="130">
        <f>IF(N176="nulová",J176,0)</f>
        <v>0</v>
      </c>
      <c r="BJ176" s="13" t="s">
        <v>76</v>
      </c>
      <c r="BK176" s="130">
        <f>ROUND(I176*H176,2)</f>
        <v>388.9</v>
      </c>
      <c r="BL176" s="13" t="s">
        <v>235</v>
      </c>
      <c r="BM176" s="129" t="s">
        <v>354</v>
      </c>
    </row>
    <row r="177" spans="2:65" s="1" customFormat="1" ht="124.8" x14ac:dyDescent="0.2">
      <c r="B177" s="24"/>
      <c r="D177" s="144" t="s">
        <v>1259</v>
      </c>
      <c r="F177" s="145" t="s">
        <v>4743</v>
      </c>
      <c r="L177" s="24"/>
      <c r="M177" s="146"/>
      <c r="N177" s="42"/>
      <c r="O177" s="42"/>
      <c r="P177" s="42"/>
      <c r="Q177" s="42"/>
      <c r="R177" s="42"/>
      <c r="S177" s="42"/>
      <c r="T177" s="43"/>
      <c r="W177" s="24"/>
      <c r="X177" s="685"/>
      <c r="Y177" s="203" t="s">
        <v>1259</v>
      </c>
      <c r="Z177" s="685"/>
      <c r="AA177" s="204" t="s">
        <v>4743</v>
      </c>
      <c r="AB177" s="685"/>
      <c r="AC177" s="685"/>
      <c r="AD177" s="685"/>
      <c r="AE177" s="159"/>
      <c r="AT177" s="13" t="s">
        <v>1259</v>
      </c>
      <c r="AU177" s="13" t="s">
        <v>76</v>
      </c>
    </row>
    <row r="178" spans="2:65" s="1" customFormat="1" ht="72" customHeight="1" x14ac:dyDescent="0.2">
      <c r="B178" s="118"/>
      <c r="C178" s="119" t="s">
        <v>355</v>
      </c>
      <c r="D178" s="119" t="s">
        <v>231</v>
      </c>
      <c r="E178" s="120" t="s">
        <v>4744</v>
      </c>
      <c r="F178" s="121" t="s">
        <v>4033</v>
      </c>
      <c r="G178" s="122" t="s">
        <v>1194</v>
      </c>
      <c r="H178" s="123">
        <v>16</v>
      </c>
      <c r="I178" s="124">
        <v>28.47</v>
      </c>
      <c r="J178" s="124">
        <f>ROUND(I178*H178,2)</f>
        <v>455.52</v>
      </c>
      <c r="K178" s="121" t="s">
        <v>1</v>
      </c>
      <c r="L178" s="24"/>
      <c r="M178" s="125" t="s">
        <v>1</v>
      </c>
      <c r="N178" s="126" t="s">
        <v>32</v>
      </c>
      <c r="O178" s="127">
        <v>0</v>
      </c>
      <c r="P178" s="127">
        <f>O178*H178</f>
        <v>0</v>
      </c>
      <c r="Q178" s="127">
        <v>0</v>
      </c>
      <c r="R178" s="127">
        <f>Q178*H178</f>
        <v>0</v>
      </c>
      <c r="S178" s="127">
        <v>0</v>
      </c>
      <c r="T178" s="128">
        <f>S178*H178</f>
        <v>0</v>
      </c>
      <c r="W178" s="118"/>
      <c r="X178" s="119" t="s">
        <v>355</v>
      </c>
      <c r="Y178" s="119" t="s">
        <v>231</v>
      </c>
      <c r="Z178" s="120" t="s">
        <v>4744</v>
      </c>
      <c r="AA178" s="121" t="s">
        <v>4033</v>
      </c>
      <c r="AB178" s="122" t="s">
        <v>1194</v>
      </c>
      <c r="AC178" s="123">
        <v>16</v>
      </c>
      <c r="AD178" s="124">
        <v>28.47</v>
      </c>
      <c r="AE178" s="200">
        <f>ROUND(AD178*AC178,2)</f>
        <v>455.52</v>
      </c>
      <c r="AR178" s="129" t="s">
        <v>235</v>
      </c>
      <c r="AT178" s="129" t="s">
        <v>231</v>
      </c>
      <c r="AU178" s="129" t="s">
        <v>76</v>
      </c>
      <c r="AY178" s="13" t="s">
        <v>228</v>
      </c>
      <c r="BE178" s="130">
        <f>IF(N178="základná",J178,0)</f>
        <v>0</v>
      </c>
      <c r="BF178" s="130">
        <f>IF(N178="znížená",J178,0)</f>
        <v>455.52</v>
      </c>
      <c r="BG178" s="130">
        <f>IF(N178="zákl. prenesená",J178,0)</f>
        <v>0</v>
      </c>
      <c r="BH178" s="130">
        <f>IF(N178="zníž. prenesená",J178,0)</f>
        <v>0</v>
      </c>
      <c r="BI178" s="130">
        <f>IF(N178="nulová",J178,0)</f>
        <v>0</v>
      </c>
      <c r="BJ178" s="13" t="s">
        <v>76</v>
      </c>
      <c r="BK178" s="130">
        <f>ROUND(I178*H178,2)</f>
        <v>455.52</v>
      </c>
      <c r="BL178" s="13" t="s">
        <v>235</v>
      </c>
      <c r="BM178" s="129" t="s">
        <v>358</v>
      </c>
    </row>
    <row r="179" spans="2:65" s="1" customFormat="1" ht="124.8" x14ac:dyDescent="0.2">
      <c r="B179" s="24"/>
      <c r="D179" s="144" t="s">
        <v>1259</v>
      </c>
      <c r="F179" s="145" t="s">
        <v>4745</v>
      </c>
      <c r="L179" s="24"/>
      <c r="M179" s="146"/>
      <c r="N179" s="42"/>
      <c r="O179" s="42"/>
      <c r="P179" s="42"/>
      <c r="Q179" s="42"/>
      <c r="R179" s="42"/>
      <c r="S179" s="42"/>
      <c r="T179" s="43"/>
      <c r="W179" s="24"/>
      <c r="X179" s="685"/>
      <c r="Y179" s="203" t="s">
        <v>1259</v>
      </c>
      <c r="Z179" s="685"/>
      <c r="AA179" s="204" t="s">
        <v>4745</v>
      </c>
      <c r="AB179" s="685"/>
      <c r="AC179" s="685"/>
      <c r="AD179" s="685"/>
      <c r="AE179" s="159"/>
      <c r="AT179" s="13" t="s">
        <v>1259</v>
      </c>
      <c r="AU179" s="13" t="s">
        <v>76</v>
      </c>
    </row>
    <row r="180" spans="2:65" s="1" customFormat="1" ht="36" customHeight="1" x14ac:dyDescent="0.2">
      <c r="B180" s="118"/>
      <c r="C180" s="119" t="s">
        <v>296</v>
      </c>
      <c r="D180" s="119" t="s">
        <v>231</v>
      </c>
      <c r="E180" s="120" t="s">
        <v>4746</v>
      </c>
      <c r="F180" s="121" t="s">
        <v>4747</v>
      </c>
      <c r="G180" s="122" t="s">
        <v>1194</v>
      </c>
      <c r="H180" s="123">
        <v>1</v>
      </c>
      <c r="I180" s="124">
        <v>32.71</v>
      </c>
      <c r="J180" s="124">
        <f>ROUND(I180*H180,2)</f>
        <v>32.71</v>
      </c>
      <c r="K180" s="121" t="s">
        <v>1</v>
      </c>
      <c r="L180" s="24"/>
      <c r="M180" s="125" t="s">
        <v>1</v>
      </c>
      <c r="N180" s="126" t="s">
        <v>32</v>
      </c>
      <c r="O180" s="127">
        <v>0</v>
      </c>
      <c r="P180" s="127">
        <f>O180*H180</f>
        <v>0</v>
      </c>
      <c r="Q180" s="127">
        <v>0</v>
      </c>
      <c r="R180" s="127">
        <f>Q180*H180</f>
        <v>0</v>
      </c>
      <c r="S180" s="127">
        <v>0</v>
      </c>
      <c r="T180" s="128">
        <f>S180*H180</f>
        <v>0</v>
      </c>
      <c r="W180" s="118"/>
      <c r="X180" s="119" t="s">
        <v>296</v>
      </c>
      <c r="Y180" s="119" t="s">
        <v>231</v>
      </c>
      <c r="Z180" s="120" t="s">
        <v>4746</v>
      </c>
      <c r="AA180" s="121" t="s">
        <v>4747</v>
      </c>
      <c r="AB180" s="122" t="s">
        <v>1194</v>
      </c>
      <c r="AC180" s="123">
        <v>1</v>
      </c>
      <c r="AD180" s="124">
        <v>32.71</v>
      </c>
      <c r="AE180" s="200">
        <f>ROUND(AD180*AC180,2)</f>
        <v>32.71</v>
      </c>
      <c r="AR180" s="129" t="s">
        <v>235</v>
      </c>
      <c r="AT180" s="129" t="s">
        <v>231</v>
      </c>
      <c r="AU180" s="129" t="s">
        <v>76</v>
      </c>
      <c r="AY180" s="13" t="s">
        <v>228</v>
      </c>
      <c r="BE180" s="130">
        <f>IF(N180="základná",J180,0)</f>
        <v>0</v>
      </c>
      <c r="BF180" s="130">
        <f>IF(N180="znížená",J180,0)</f>
        <v>32.71</v>
      </c>
      <c r="BG180" s="130">
        <f>IF(N180="zákl. prenesená",J180,0)</f>
        <v>0</v>
      </c>
      <c r="BH180" s="130">
        <f>IF(N180="zníž. prenesená",J180,0)</f>
        <v>0</v>
      </c>
      <c r="BI180" s="130">
        <f>IF(N180="nulová",J180,0)</f>
        <v>0</v>
      </c>
      <c r="BJ180" s="13" t="s">
        <v>76</v>
      </c>
      <c r="BK180" s="130">
        <f>ROUND(I180*H180,2)</f>
        <v>32.71</v>
      </c>
      <c r="BL180" s="13" t="s">
        <v>235</v>
      </c>
      <c r="BM180" s="129" t="s">
        <v>361</v>
      </c>
    </row>
    <row r="181" spans="2:65" s="1" customFormat="1" ht="72" customHeight="1" x14ac:dyDescent="0.2">
      <c r="B181" s="118"/>
      <c r="C181" s="119" t="s">
        <v>362</v>
      </c>
      <c r="D181" s="119" t="s">
        <v>231</v>
      </c>
      <c r="E181" s="120" t="s">
        <v>4748</v>
      </c>
      <c r="F181" s="121" t="s">
        <v>4749</v>
      </c>
      <c r="G181" s="122" t="s">
        <v>1194</v>
      </c>
      <c r="H181" s="123">
        <v>3</v>
      </c>
      <c r="I181" s="124">
        <v>401.89</v>
      </c>
      <c r="J181" s="124">
        <f>ROUND(I181*H181,2)</f>
        <v>1205.67</v>
      </c>
      <c r="K181" s="121" t="s">
        <v>1</v>
      </c>
      <c r="L181" s="24"/>
      <c r="M181" s="125" t="s">
        <v>1</v>
      </c>
      <c r="N181" s="126" t="s">
        <v>32</v>
      </c>
      <c r="O181" s="127">
        <v>0</v>
      </c>
      <c r="P181" s="127">
        <f>O181*H181</f>
        <v>0</v>
      </c>
      <c r="Q181" s="127">
        <v>0</v>
      </c>
      <c r="R181" s="127">
        <f>Q181*H181</f>
        <v>0</v>
      </c>
      <c r="S181" s="127">
        <v>0</v>
      </c>
      <c r="T181" s="128">
        <f>S181*H181</f>
        <v>0</v>
      </c>
      <c r="W181" s="118"/>
      <c r="X181" s="119" t="s">
        <v>362</v>
      </c>
      <c r="Y181" s="119" t="s">
        <v>231</v>
      </c>
      <c r="Z181" s="120" t="s">
        <v>4748</v>
      </c>
      <c r="AA181" s="121" t="s">
        <v>4749</v>
      </c>
      <c r="AB181" s="122" t="s">
        <v>1194</v>
      </c>
      <c r="AC181" s="123">
        <v>3</v>
      </c>
      <c r="AD181" s="124">
        <v>401.89</v>
      </c>
      <c r="AE181" s="200">
        <f>ROUND(AD181*AC181,2)</f>
        <v>1205.67</v>
      </c>
      <c r="AR181" s="129" t="s">
        <v>235</v>
      </c>
      <c r="AT181" s="129" t="s">
        <v>231</v>
      </c>
      <c r="AU181" s="129" t="s">
        <v>76</v>
      </c>
      <c r="AY181" s="13" t="s">
        <v>228</v>
      </c>
      <c r="BE181" s="130">
        <f>IF(N181="základná",J181,0)</f>
        <v>0</v>
      </c>
      <c r="BF181" s="130">
        <f>IF(N181="znížená",J181,0)</f>
        <v>1205.67</v>
      </c>
      <c r="BG181" s="130">
        <f>IF(N181="zákl. prenesená",J181,0)</f>
        <v>0</v>
      </c>
      <c r="BH181" s="130">
        <f>IF(N181="zníž. prenesená",J181,0)</f>
        <v>0</v>
      </c>
      <c r="BI181" s="130">
        <f>IF(N181="nulová",J181,0)</f>
        <v>0</v>
      </c>
      <c r="BJ181" s="13" t="s">
        <v>76</v>
      </c>
      <c r="BK181" s="130">
        <f>ROUND(I181*H181,2)</f>
        <v>1205.67</v>
      </c>
      <c r="BL181" s="13" t="s">
        <v>235</v>
      </c>
      <c r="BM181" s="129" t="s">
        <v>365</v>
      </c>
    </row>
    <row r="182" spans="2:65" s="1" customFormat="1" ht="105.6" x14ac:dyDescent="0.2">
      <c r="B182" s="24"/>
      <c r="D182" s="144" t="s">
        <v>1259</v>
      </c>
      <c r="F182" s="145" t="s">
        <v>4750</v>
      </c>
      <c r="L182" s="24"/>
      <c r="M182" s="146"/>
      <c r="N182" s="42"/>
      <c r="O182" s="42"/>
      <c r="P182" s="42"/>
      <c r="Q182" s="42"/>
      <c r="R182" s="42"/>
      <c r="S182" s="42"/>
      <c r="T182" s="43"/>
      <c r="W182" s="24"/>
      <c r="X182" s="685"/>
      <c r="Y182" s="203" t="s">
        <v>1259</v>
      </c>
      <c r="Z182" s="685"/>
      <c r="AA182" s="204" t="s">
        <v>4750</v>
      </c>
      <c r="AB182" s="685"/>
      <c r="AC182" s="685"/>
      <c r="AD182" s="685"/>
      <c r="AE182" s="159"/>
      <c r="AT182" s="13" t="s">
        <v>1259</v>
      </c>
      <c r="AU182" s="13" t="s">
        <v>76</v>
      </c>
    </row>
    <row r="183" spans="2:65" s="1" customFormat="1" ht="60" customHeight="1" x14ac:dyDescent="0.2">
      <c r="B183" s="118"/>
      <c r="C183" s="119" t="s">
        <v>300</v>
      </c>
      <c r="D183" s="119" t="s">
        <v>231</v>
      </c>
      <c r="E183" s="120" t="s">
        <v>4751</v>
      </c>
      <c r="F183" s="121" t="s">
        <v>4041</v>
      </c>
      <c r="G183" s="122" t="s">
        <v>1194</v>
      </c>
      <c r="H183" s="123">
        <v>4</v>
      </c>
      <c r="I183" s="124">
        <v>418.87</v>
      </c>
      <c r="J183" s="124">
        <f>ROUND(I183*H183,2)</f>
        <v>1675.48</v>
      </c>
      <c r="K183" s="121" t="s">
        <v>1</v>
      </c>
      <c r="L183" s="24"/>
      <c r="M183" s="125" t="s">
        <v>1</v>
      </c>
      <c r="N183" s="126" t="s">
        <v>32</v>
      </c>
      <c r="O183" s="127">
        <v>0</v>
      </c>
      <c r="P183" s="127">
        <f>O183*H183</f>
        <v>0</v>
      </c>
      <c r="Q183" s="127">
        <v>0</v>
      </c>
      <c r="R183" s="127">
        <f>Q183*H183</f>
        <v>0</v>
      </c>
      <c r="S183" s="127">
        <v>0</v>
      </c>
      <c r="T183" s="128">
        <f>S183*H183</f>
        <v>0</v>
      </c>
      <c r="W183" s="118"/>
      <c r="X183" s="119" t="s">
        <v>300</v>
      </c>
      <c r="Y183" s="119" t="s">
        <v>231</v>
      </c>
      <c r="Z183" s="120" t="s">
        <v>4751</v>
      </c>
      <c r="AA183" s="121" t="s">
        <v>4041</v>
      </c>
      <c r="AB183" s="122" t="s">
        <v>1194</v>
      </c>
      <c r="AC183" s="123">
        <v>4</v>
      </c>
      <c r="AD183" s="124">
        <v>418.87</v>
      </c>
      <c r="AE183" s="200">
        <f>ROUND(AD183*AC183,2)</f>
        <v>1675.48</v>
      </c>
      <c r="AR183" s="129" t="s">
        <v>235</v>
      </c>
      <c r="AT183" s="129" t="s">
        <v>231</v>
      </c>
      <c r="AU183" s="129" t="s">
        <v>76</v>
      </c>
      <c r="AY183" s="13" t="s">
        <v>228</v>
      </c>
      <c r="BE183" s="130">
        <f>IF(N183="základná",J183,0)</f>
        <v>0</v>
      </c>
      <c r="BF183" s="130">
        <f>IF(N183="znížená",J183,0)</f>
        <v>1675.48</v>
      </c>
      <c r="BG183" s="130">
        <f>IF(N183="zákl. prenesená",J183,0)</f>
        <v>0</v>
      </c>
      <c r="BH183" s="130">
        <f>IF(N183="zníž. prenesená",J183,0)</f>
        <v>0</v>
      </c>
      <c r="BI183" s="130">
        <f>IF(N183="nulová",J183,0)</f>
        <v>0</v>
      </c>
      <c r="BJ183" s="13" t="s">
        <v>76</v>
      </c>
      <c r="BK183" s="130">
        <f>ROUND(I183*H183,2)</f>
        <v>1675.48</v>
      </c>
      <c r="BL183" s="13" t="s">
        <v>235</v>
      </c>
      <c r="BM183" s="129" t="s">
        <v>368</v>
      </c>
    </row>
    <row r="184" spans="2:65" s="1" customFormat="1" ht="192" x14ac:dyDescent="0.2">
      <c r="B184" s="24"/>
      <c r="D184" s="144" t="s">
        <v>1259</v>
      </c>
      <c r="F184" s="145" t="s">
        <v>4752</v>
      </c>
      <c r="L184" s="24"/>
      <c r="M184" s="146"/>
      <c r="N184" s="42"/>
      <c r="O184" s="42"/>
      <c r="P184" s="42"/>
      <c r="Q184" s="42"/>
      <c r="R184" s="42"/>
      <c r="S184" s="42"/>
      <c r="T184" s="43"/>
      <c r="W184" s="24"/>
      <c r="X184" s="685"/>
      <c r="Y184" s="203" t="s">
        <v>1259</v>
      </c>
      <c r="Z184" s="685"/>
      <c r="AA184" s="204" t="s">
        <v>4752</v>
      </c>
      <c r="AB184" s="685"/>
      <c r="AC184" s="685"/>
      <c r="AD184" s="685"/>
      <c r="AE184" s="159"/>
      <c r="AT184" s="13" t="s">
        <v>1259</v>
      </c>
      <c r="AU184" s="13" t="s">
        <v>76</v>
      </c>
    </row>
    <row r="185" spans="2:65" s="1" customFormat="1" ht="60" customHeight="1" x14ac:dyDescent="0.2">
      <c r="B185" s="118"/>
      <c r="C185" s="119" t="s">
        <v>369</v>
      </c>
      <c r="D185" s="119" t="s">
        <v>231</v>
      </c>
      <c r="E185" s="120" t="s">
        <v>4753</v>
      </c>
      <c r="F185" s="121" t="s">
        <v>4754</v>
      </c>
      <c r="G185" s="122" t="s">
        <v>1194</v>
      </c>
      <c r="H185" s="123">
        <v>6</v>
      </c>
      <c r="I185" s="124">
        <v>190.41</v>
      </c>
      <c r="J185" s="124">
        <f>ROUND(I185*H185,2)</f>
        <v>1142.46</v>
      </c>
      <c r="K185" s="121" t="s">
        <v>1</v>
      </c>
      <c r="L185" s="24"/>
      <c r="M185" s="125" t="s">
        <v>1</v>
      </c>
      <c r="N185" s="126" t="s">
        <v>32</v>
      </c>
      <c r="O185" s="127">
        <v>0</v>
      </c>
      <c r="P185" s="127">
        <f>O185*H185</f>
        <v>0</v>
      </c>
      <c r="Q185" s="127">
        <v>0</v>
      </c>
      <c r="R185" s="127">
        <f>Q185*H185</f>
        <v>0</v>
      </c>
      <c r="S185" s="127">
        <v>0</v>
      </c>
      <c r="T185" s="128">
        <f>S185*H185</f>
        <v>0</v>
      </c>
      <c r="W185" s="118"/>
      <c r="X185" s="119" t="s">
        <v>369</v>
      </c>
      <c r="Y185" s="119" t="s">
        <v>231</v>
      </c>
      <c r="Z185" s="120" t="s">
        <v>4753</v>
      </c>
      <c r="AA185" s="121" t="s">
        <v>4754</v>
      </c>
      <c r="AB185" s="122" t="s">
        <v>1194</v>
      </c>
      <c r="AC185" s="123">
        <v>6</v>
      </c>
      <c r="AD185" s="124">
        <v>190.41</v>
      </c>
      <c r="AE185" s="200">
        <f>ROUND(AD185*AC185,2)</f>
        <v>1142.46</v>
      </c>
      <c r="AR185" s="129" t="s">
        <v>235</v>
      </c>
      <c r="AT185" s="129" t="s">
        <v>231</v>
      </c>
      <c r="AU185" s="129" t="s">
        <v>76</v>
      </c>
      <c r="AY185" s="13" t="s">
        <v>228</v>
      </c>
      <c r="BE185" s="130">
        <f>IF(N185="základná",J185,0)</f>
        <v>0</v>
      </c>
      <c r="BF185" s="130">
        <f>IF(N185="znížená",J185,0)</f>
        <v>1142.46</v>
      </c>
      <c r="BG185" s="130">
        <f>IF(N185="zákl. prenesená",J185,0)</f>
        <v>0</v>
      </c>
      <c r="BH185" s="130">
        <f>IF(N185="zníž. prenesená",J185,0)</f>
        <v>0</v>
      </c>
      <c r="BI185" s="130">
        <f>IF(N185="nulová",J185,0)</f>
        <v>0</v>
      </c>
      <c r="BJ185" s="13" t="s">
        <v>76</v>
      </c>
      <c r="BK185" s="130">
        <f>ROUND(I185*H185,2)</f>
        <v>1142.46</v>
      </c>
      <c r="BL185" s="13" t="s">
        <v>235</v>
      </c>
      <c r="BM185" s="129" t="s">
        <v>372</v>
      </c>
    </row>
    <row r="186" spans="2:65" s="1" customFormat="1" ht="22.2" customHeight="1" x14ac:dyDescent="0.2">
      <c r="B186" s="118"/>
      <c r="C186" s="119" t="s">
        <v>303</v>
      </c>
      <c r="D186" s="119" t="s">
        <v>231</v>
      </c>
      <c r="E186" s="120" t="s">
        <v>4707</v>
      </c>
      <c r="F186" s="121" t="s">
        <v>4708</v>
      </c>
      <c r="G186" s="122" t="s">
        <v>1194</v>
      </c>
      <c r="H186" s="123">
        <v>0</v>
      </c>
      <c r="I186" s="124">
        <v>1077.6400000000001</v>
      </c>
      <c r="J186" s="124">
        <f>ROUND(I186*H186,2)</f>
        <v>0</v>
      </c>
      <c r="K186" s="121" t="s">
        <v>1</v>
      </c>
      <c r="L186" s="24"/>
      <c r="M186" s="125" t="s">
        <v>1</v>
      </c>
      <c r="N186" s="126" t="s">
        <v>32</v>
      </c>
      <c r="O186" s="127">
        <v>0</v>
      </c>
      <c r="P186" s="127">
        <f>O186*H186</f>
        <v>0</v>
      </c>
      <c r="Q186" s="127">
        <v>0</v>
      </c>
      <c r="R186" s="127">
        <f>Q186*H186</f>
        <v>0</v>
      </c>
      <c r="S186" s="127">
        <v>0</v>
      </c>
      <c r="T186" s="128">
        <f>S186*H186</f>
        <v>0</v>
      </c>
      <c r="W186" s="118"/>
      <c r="X186" s="119" t="s">
        <v>303</v>
      </c>
      <c r="Y186" s="119" t="s">
        <v>231</v>
      </c>
      <c r="Z186" s="120" t="s">
        <v>4707</v>
      </c>
      <c r="AA186" s="121" t="s">
        <v>4708</v>
      </c>
      <c r="AB186" s="122" t="s">
        <v>1194</v>
      </c>
      <c r="AC186" s="123">
        <v>0</v>
      </c>
      <c r="AD186" s="124">
        <v>1077.6400000000001</v>
      </c>
      <c r="AE186" s="200">
        <f>ROUND(AD186*AC186,2)</f>
        <v>0</v>
      </c>
      <c r="AR186" s="129" t="s">
        <v>235</v>
      </c>
      <c r="AT186" s="129" t="s">
        <v>231</v>
      </c>
      <c r="AU186" s="129" t="s">
        <v>76</v>
      </c>
      <c r="AY186" s="13" t="s">
        <v>228</v>
      </c>
      <c r="BE186" s="130">
        <f>IF(N186="základná",J186,0)</f>
        <v>0</v>
      </c>
      <c r="BF186" s="130">
        <f>IF(N186="znížená",J186,0)</f>
        <v>0</v>
      </c>
      <c r="BG186" s="130">
        <f>IF(N186="zákl. prenesená",J186,0)</f>
        <v>0</v>
      </c>
      <c r="BH186" s="130">
        <f>IF(N186="zníž. prenesená",J186,0)</f>
        <v>0</v>
      </c>
      <c r="BI186" s="130">
        <f>IF(N186="nulová",J186,0)</f>
        <v>0</v>
      </c>
      <c r="BJ186" s="13" t="s">
        <v>76</v>
      </c>
      <c r="BK186" s="130">
        <f>ROUND(I186*H186,2)</f>
        <v>0</v>
      </c>
      <c r="BL186" s="13" t="s">
        <v>235</v>
      </c>
      <c r="BM186" s="129" t="s">
        <v>375</v>
      </c>
    </row>
    <row r="187" spans="2:65" s="1" customFormat="1" ht="65.55" customHeight="1" x14ac:dyDescent="0.2">
      <c r="B187" s="118"/>
      <c r="C187" s="119" t="s">
        <v>376</v>
      </c>
      <c r="D187" s="119" t="s">
        <v>231</v>
      </c>
      <c r="E187" s="120" t="s">
        <v>4755</v>
      </c>
      <c r="F187" s="121" t="s">
        <v>4756</v>
      </c>
      <c r="G187" s="122" t="s">
        <v>292</v>
      </c>
      <c r="H187" s="123">
        <v>27</v>
      </c>
      <c r="I187" s="124">
        <v>34.72</v>
      </c>
      <c r="J187" s="124">
        <f>ROUND(I187*H187,2)</f>
        <v>937.44</v>
      </c>
      <c r="K187" s="121" t="s">
        <v>1</v>
      </c>
      <c r="L187" s="24"/>
      <c r="M187" s="125" t="s">
        <v>1</v>
      </c>
      <c r="N187" s="126" t="s">
        <v>32</v>
      </c>
      <c r="O187" s="127">
        <v>0</v>
      </c>
      <c r="P187" s="127">
        <f>O187*H187</f>
        <v>0</v>
      </c>
      <c r="Q187" s="127">
        <v>0</v>
      </c>
      <c r="R187" s="127">
        <f>Q187*H187</f>
        <v>0</v>
      </c>
      <c r="S187" s="127">
        <v>0</v>
      </c>
      <c r="T187" s="128">
        <f>S187*H187</f>
        <v>0</v>
      </c>
      <c r="W187" s="118"/>
      <c r="X187" s="119" t="s">
        <v>376</v>
      </c>
      <c r="Y187" s="119" t="s">
        <v>231</v>
      </c>
      <c r="Z187" s="120" t="s">
        <v>4755</v>
      </c>
      <c r="AA187" s="121" t="s">
        <v>4756</v>
      </c>
      <c r="AB187" s="122" t="s">
        <v>292</v>
      </c>
      <c r="AC187" s="123">
        <v>27</v>
      </c>
      <c r="AD187" s="124">
        <v>34.72</v>
      </c>
      <c r="AE187" s="200">
        <f>ROUND(AD187*AC187,2)</f>
        <v>937.44</v>
      </c>
      <c r="AR187" s="129" t="s">
        <v>235</v>
      </c>
      <c r="AT187" s="129" t="s">
        <v>231</v>
      </c>
      <c r="AU187" s="129" t="s">
        <v>76</v>
      </c>
      <c r="AY187" s="13" t="s">
        <v>228</v>
      </c>
      <c r="BE187" s="130">
        <f>IF(N187="základná",J187,0)</f>
        <v>0</v>
      </c>
      <c r="BF187" s="130">
        <f>IF(N187="znížená",J187,0)</f>
        <v>937.44</v>
      </c>
      <c r="BG187" s="130">
        <f>IF(N187="zákl. prenesená",J187,0)</f>
        <v>0</v>
      </c>
      <c r="BH187" s="130">
        <f>IF(N187="zníž. prenesená",J187,0)</f>
        <v>0</v>
      </c>
      <c r="BI187" s="130">
        <f>IF(N187="nulová",J187,0)</f>
        <v>0</v>
      </c>
      <c r="BJ187" s="13" t="s">
        <v>76</v>
      </c>
      <c r="BK187" s="130">
        <f>ROUND(I187*H187,2)</f>
        <v>937.44</v>
      </c>
      <c r="BL187" s="13" t="s">
        <v>235</v>
      </c>
      <c r="BM187" s="129" t="s">
        <v>379</v>
      </c>
    </row>
    <row r="188" spans="2:65" s="1" customFormat="1" ht="230.4" x14ac:dyDescent="0.2">
      <c r="B188" s="24"/>
      <c r="D188" s="144" t="s">
        <v>1259</v>
      </c>
      <c r="F188" s="145" t="s">
        <v>4757</v>
      </c>
      <c r="L188" s="24"/>
      <c r="M188" s="146"/>
      <c r="N188" s="42"/>
      <c r="O188" s="42"/>
      <c r="P188" s="42"/>
      <c r="Q188" s="42"/>
      <c r="R188" s="42"/>
      <c r="S188" s="42"/>
      <c r="T188" s="43"/>
      <c r="W188" s="24"/>
      <c r="X188" s="685"/>
      <c r="Y188" s="203" t="s">
        <v>1259</v>
      </c>
      <c r="Z188" s="685"/>
      <c r="AA188" s="204" t="s">
        <v>4757</v>
      </c>
      <c r="AB188" s="685"/>
      <c r="AC188" s="685"/>
      <c r="AD188" s="685"/>
      <c r="AE188" s="159"/>
      <c r="AT188" s="13" t="s">
        <v>1259</v>
      </c>
      <c r="AU188" s="13" t="s">
        <v>76</v>
      </c>
    </row>
    <row r="189" spans="2:65" s="1" customFormat="1" ht="60" customHeight="1" x14ac:dyDescent="0.2">
      <c r="B189" s="118"/>
      <c r="C189" s="119" t="s">
        <v>308</v>
      </c>
      <c r="D189" s="119" t="s">
        <v>231</v>
      </c>
      <c r="E189" s="120" t="s">
        <v>4721</v>
      </c>
      <c r="F189" s="121" t="s">
        <v>2644</v>
      </c>
      <c r="G189" s="122" t="s">
        <v>284</v>
      </c>
      <c r="H189" s="123">
        <v>325</v>
      </c>
      <c r="I189" s="124">
        <v>27.68</v>
      </c>
      <c r="J189" s="124">
        <f>ROUND(I189*H189,2)</f>
        <v>8996</v>
      </c>
      <c r="K189" s="121" t="s">
        <v>1</v>
      </c>
      <c r="L189" s="24"/>
      <c r="M189" s="125" t="s">
        <v>1</v>
      </c>
      <c r="N189" s="126" t="s">
        <v>32</v>
      </c>
      <c r="O189" s="127">
        <v>0</v>
      </c>
      <c r="P189" s="127">
        <f>O189*H189</f>
        <v>0</v>
      </c>
      <c r="Q189" s="127">
        <v>0</v>
      </c>
      <c r="R189" s="127">
        <f>Q189*H189</f>
        <v>0</v>
      </c>
      <c r="S189" s="127">
        <v>0</v>
      </c>
      <c r="T189" s="128">
        <f>S189*H189</f>
        <v>0</v>
      </c>
      <c r="W189" s="118"/>
      <c r="X189" s="119" t="s">
        <v>308</v>
      </c>
      <c r="Y189" s="119" t="s">
        <v>231</v>
      </c>
      <c r="Z189" s="120" t="s">
        <v>4721</v>
      </c>
      <c r="AA189" s="121" t="s">
        <v>2644</v>
      </c>
      <c r="AB189" s="122" t="s">
        <v>284</v>
      </c>
      <c r="AC189" s="123">
        <v>325</v>
      </c>
      <c r="AD189" s="124">
        <v>27.68</v>
      </c>
      <c r="AE189" s="200">
        <f>ROUND(AD189*AC189,2)</f>
        <v>8996</v>
      </c>
      <c r="AR189" s="129" t="s">
        <v>235</v>
      </c>
      <c r="AT189" s="129" t="s">
        <v>231</v>
      </c>
      <c r="AU189" s="129" t="s">
        <v>76</v>
      </c>
      <c r="AY189" s="13" t="s">
        <v>228</v>
      </c>
      <c r="BE189" s="130">
        <f>IF(N189="základná",J189,0)</f>
        <v>0</v>
      </c>
      <c r="BF189" s="130">
        <f>IF(N189="znížená",J189,0)</f>
        <v>8996</v>
      </c>
      <c r="BG189" s="130">
        <f>IF(N189="zákl. prenesená",J189,0)</f>
        <v>0</v>
      </c>
      <c r="BH189" s="130">
        <f>IF(N189="zníž. prenesená",J189,0)</f>
        <v>0</v>
      </c>
      <c r="BI189" s="130">
        <f>IF(N189="nulová",J189,0)</f>
        <v>0</v>
      </c>
      <c r="BJ189" s="13" t="s">
        <v>76</v>
      </c>
      <c r="BK189" s="130">
        <f>ROUND(I189*H189,2)</f>
        <v>8996</v>
      </c>
      <c r="BL189" s="13" t="s">
        <v>235</v>
      </c>
      <c r="BM189" s="129" t="s">
        <v>382</v>
      </c>
    </row>
    <row r="190" spans="2:65" s="1" customFormat="1" ht="124.8" x14ac:dyDescent="0.2">
      <c r="B190" s="24"/>
      <c r="D190" s="144" t="s">
        <v>1259</v>
      </c>
      <c r="F190" s="145" t="s">
        <v>2645</v>
      </c>
      <c r="L190" s="24"/>
      <c r="M190" s="146"/>
      <c r="N190" s="42"/>
      <c r="O190" s="42"/>
      <c r="P190" s="42"/>
      <c r="Q190" s="42"/>
      <c r="R190" s="42"/>
      <c r="S190" s="42"/>
      <c r="T190" s="43"/>
      <c r="W190" s="24"/>
      <c r="X190" s="685"/>
      <c r="Y190" s="203" t="s">
        <v>1259</v>
      </c>
      <c r="Z190" s="685"/>
      <c r="AA190" s="204" t="s">
        <v>2645</v>
      </c>
      <c r="AB190" s="685"/>
      <c r="AC190" s="685"/>
      <c r="AD190" s="685"/>
      <c r="AE190" s="159"/>
      <c r="AT190" s="13" t="s">
        <v>1259</v>
      </c>
      <c r="AU190" s="13" t="s">
        <v>76</v>
      </c>
    </row>
    <row r="191" spans="2:65" s="1" customFormat="1" ht="60" customHeight="1" x14ac:dyDescent="0.2">
      <c r="B191" s="118"/>
      <c r="C191" s="119" t="s">
        <v>383</v>
      </c>
      <c r="D191" s="119" t="s">
        <v>231</v>
      </c>
      <c r="E191" s="120" t="s">
        <v>4722</v>
      </c>
      <c r="F191" s="121" t="s">
        <v>2647</v>
      </c>
      <c r="G191" s="122" t="s">
        <v>284</v>
      </c>
      <c r="H191" s="123">
        <v>130</v>
      </c>
      <c r="I191" s="124">
        <v>7.16</v>
      </c>
      <c r="J191" s="124">
        <f>ROUND(I191*H191,2)</f>
        <v>930.8</v>
      </c>
      <c r="K191" s="121" t="s">
        <v>1</v>
      </c>
      <c r="L191" s="24"/>
      <c r="M191" s="125" t="s">
        <v>1</v>
      </c>
      <c r="N191" s="126" t="s">
        <v>32</v>
      </c>
      <c r="O191" s="127">
        <v>0</v>
      </c>
      <c r="P191" s="127">
        <f>O191*H191</f>
        <v>0</v>
      </c>
      <c r="Q191" s="127">
        <v>0</v>
      </c>
      <c r="R191" s="127">
        <f>Q191*H191</f>
        <v>0</v>
      </c>
      <c r="S191" s="127">
        <v>0</v>
      </c>
      <c r="T191" s="128">
        <f>S191*H191</f>
        <v>0</v>
      </c>
      <c r="W191" s="118"/>
      <c r="X191" s="119" t="s">
        <v>383</v>
      </c>
      <c r="Y191" s="119" t="s">
        <v>231</v>
      </c>
      <c r="Z191" s="120" t="s">
        <v>4722</v>
      </c>
      <c r="AA191" s="121" t="s">
        <v>2647</v>
      </c>
      <c r="AB191" s="122" t="s">
        <v>284</v>
      </c>
      <c r="AC191" s="123">
        <v>130</v>
      </c>
      <c r="AD191" s="124">
        <v>7.16</v>
      </c>
      <c r="AE191" s="200">
        <f>ROUND(AD191*AC191,2)</f>
        <v>930.8</v>
      </c>
      <c r="AR191" s="129" t="s">
        <v>235</v>
      </c>
      <c r="AT191" s="129" t="s">
        <v>231</v>
      </c>
      <c r="AU191" s="129" t="s">
        <v>76</v>
      </c>
      <c r="AY191" s="13" t="s">
        <v>228</v>
      </c>
      <c r="BE191" s="130">
        <f>IF(N191="základná",J191,0)</f>
        <v>0</v>
      </c>
      <c r="BF191" s="130">
        <f>IF(N191="znížená",J191,0)</f>
        <v>930.8</v>
      </c>
      <c r="BG191" s="130">
        <f>IF(N191="zákl. prenesená",J191,0)</f>
        <v>0</v>
      </c>
      <c r="BH191" s="130">
        <f>IF(N191="zníž. prenesená",J191,0)</f>
        <v>0</v>
      </c>
      <c r="BI191" s="130">
        <f>IF(N191="nulová",J191,0)</f>
        <v>0</v>
      </c>
      <c r="BJ191" s="13" t="s">
        <v>76</v>
      </c>
      <c r="BK191" s="130">
        <f>ROUND(I191*H191,2)</f>
        <v>930.8</v>
      </c>
      <c r="BL191" s="13" t="s">
        <v>235</v>
      </c>
      <c r="BM191" s="129" t="s">
        <v>386</v>
      </c>
    </row>
    <row r="192" spans="2:65" s="1" customFormat="1" ht="67.2" x14ac:dyDescent="0.2">
      <c r="B192" s="24"/>
      <c r="D192" s="144" t="s">
        <v>1259</v>
      </c>
      <c r="F192" s="145" t="s">
        <v>2648</v>
      </c>
      <c r="L192" s="24"/>
      <c r="M192" s="146"/>
      <c r="N192" s="42"/>
      <c r="O192" s="42"/>
      <c r="P192" s="42"/>
      <c r="Q192" s="42"/>
      <c r="R192" s="42"/>
      <c r="S192" s="42"/>
      <c r="T192" s="43"/>
      <c r="W192" s="24"/>
      <c r="X192" s="685"/>
      <c r="Y192" s="203" t="s">
        <v>1259</v>
      </c>
      <c r="Z192" s="685"/>
      <c r="AA192" s="204" t="s">
        <v>2648</v>
      </c>
      <c r="AB192" s="685"/>
      <c r="AC192" s="685"/>
      <c r="AD192" s="685"/>
      <c r="AE192" s="159"/>
      <c r="AT192" s="13" t="s">
        <v>1259</v>
      </c>
      <c r="AU192" s="13" t="s">
        <v>76</v>
      </c>
    </row>
    <row r="193" spans="2:65" s="1" customFormat="1" ht="60" customHeight="1" x14ac:dyDescent="0.2">
      <c r="B193" s="118"/>
      <c r="C193" s="119" t="s">
        <v>312</v>
      </c>
      <c r="D193" s="119" t="s">
        <v>231</v>
      </c>
      <c r="E193" s="120" t="s">
        <v>4723</v>
      </c>
      <c r="F193" s="121" t="s">
        <v>4724</v>
      </c>
      <c r="G193" s="122" t="s">
        <v>284</v>
      </c>
      <c r="H193" s="123">
        <v>40</v>
      </c>
      <c r="I193" s="124">
        <v>25.97</v>
      </c>
      <c r="J193" s="124">
        <f>ROUND(I193*H193,2)</f>
        <v>1038.8</v>
      </c>
      <c r="K193" s="121" t="s">
        <v>1</v>
      </c>
      <c r="L193" s="24"/>
      <c r="M193" s="125" t="s">
        <v>1</v>
      </c>
      <c r="N193" s="126" t="s">
        <v>32</v>
      </c>
      <c r="O193" s="127">
        <v>0</v>
      </c>
      <c r="P193" s="127">
        <f>O193*H193</f>
        <v>0</v>
      </c>
      <c r="Q193" s="127">
        <v>0</v>
      </c>
      <c r="R193" s="127">
        <f>Q193*H193</f>
        <v>0</v>
      </c>
      <c r="S193" s="127">
        <v>0</v>
      </c>
      <c r="T193" s="128">
        <f>S193*H193</f>
        <v>0</v>
      </c>
      <c r="W193" s="118"/>
      <c r="X193" s="119" t="s">
        <v>312</v>
      </c>
      <c r="Y193" s="119" t="s">
        <v>231</v>
      </c>
      <c r="Z193" s="120" t="s">
        <v>4723</v>
      </c>
      <c r="AA193" s="121" t="s">
        <v>4724</v>
      </c>
      <c r="AB193" s="122" t="s">
        <v>284</v>
      </c>
      <c r="AC193" s="123">
        <v>40</v>
      </c>
      <c r="AD193" s="124">
        <v>25.97</v>
      </c>
      <c r="AE193" s="200">
        <f>ROUND(AD193*AC193,2)</f>
        <v>1038.8</v>
      </c>
      <c r="AR193" s="129" t="s">
        <v>235</v>
      </c>
      <c r="AT193" s="129" t="s">
        <v>231</v>
      </c>
      <c r="AU193" s="129" t="s">
        <v>76</v>
      </c>
      <c r="AY193" s="13" t="s">
        <v>228</v>
      </c>
      <c r="BE193" s="130">
        <f>IF(N193="základná",J193,0)</f>
        <v>0</v>
      </c>
      <c r="BF193" s="130">
        <f>IF(N193="znížená",J193,0)</f>
        <v>1038.8</v>
      </c>
      <c r="BG193" s="130">
        <f>IF(N193="zákl. prenesená",J193,0)</f>
        <v>0</v>
      </c>
      <c r="BH193" s="130">
        <f>IF(N193="zníž. prenesená",J193,0)</f>
        <v>0</v>
      </c>
      <c r="BI193" s="130">
        <f>IF(N193="nulová",J193,0)</f>
        <v>0</v>
      </c>
      <c r="BJ193" s="13" t="s">
        <v>76</v>
      </c>
      <c r="BK193" s="130">
        <f>ROUND(I193*H193,2)</f>
        <v>1038.8</v>
      </c>
      <c r="BL193" s="13" t="s">
        <v>235</v>
      </c>
      <c r="BM193" s="129" t="s">
        <v>389</v>
      </c>
    </row>
    <row r="194" spans="2:65" s="1" customFormat="1" ht="67.2" x14ac:dyDescent="0.2">
      <c r="B194" s="24"/>
      <c r="D194" s="144" t="s">
        <v>1259</v>
      </c>
      <c r="F194" s="145" t="s">
        <v>4725</v>
      </c>
      <c r="L194" s="24"/>
      <c r="M194" s="146"/>
      <c r="N194" s="42"/>
      <c r="O194" s="42"/>
      <c r="P194" s="42"/>
      <c r="Q194" s="42"/>
      <c r="R194" s="42"/>
      <c r="S194" s="42"/>
      <c r="T194" s="43"/>
      <c r="W194" s="24"/>
      <c r="X194" s="685"/>
      <c r="Y194" s="203" t="s">
        <v>1259</v>
      </c>
      <c r="Z194" s="685"/>
      <c r="AA194" s="204" t="s">
        <v>4725</v>
      </c>
      <c r="AB194" s="685"/>
      <c r="AC194" s="685"/>
      <c r="AD194" s="685"/>
      <c r="AE194" s="159"/>
      <c r="AT194" s="13" t="s">
        <v>1259</v>
      </c>
      <c r="AU194" s="13" t="s">
        <v>76</v>
      </c>
    </row>
    <row r="195" spans="2:65" s="1" customFormat="1" ht="60" customHeight="1" x14ac:dyDescent="0.2">
      <c r="B195" s="118"/>
      <c r="C195" s="119" t="s">
        <v>390</v>
      </c>
      <c r="D195" s="119" t="s">
        <v>231</v>
      </c>
      <c r="E195" s="120" t="s">
        <v>4726</v>
      </c>
      <c r="F195" s="121" t="s">
        <v>2653</v>
      </c>
      <c r="G195" s="122" t="s">
        <v>284</v>
      </c>
      <c r="H195" s="123">
        <v>120</v>
      </c>
      <c r="I195" s="124">
        <v>49.61</v>
      </c>
      <c r="J195" s="124">
        <f>ROUND(I195*H195,2)</f>
        <v>5953.2</v>
      </c>
      <c r="K195" s="121" t="s">
        <v>1</v>
      </c>
      <c r="L195" s="24"/>
      <c r="M195" s="125" t="s">
        <v>1</v>
      </c>
      <c r="N195" s="126" t="s">
        <v>32</v>
      </c>
      <c r="O195" s="127">
        <v>0</v>
      </c>
      <c r="P195" s="127">
        <f>O195*H195</f>
        <v>0</v>
      </c>
      <c r="Q195" s="127">
        <v>0</v>
      </c>
      <c r="R195" s="127">
        <f>Q195*H195</f>
        <v>0</v>
      </c>
      <c r="S195" s="127">
        <v>0</v>
      </c>
      <c r="T195" s="128">
        <f>S195*H195</f>
        <v>0</v>
      </c>
      <c r="W195" s="118"/>
      <c r="X195" s="119" t="s">
        <v>390</v>
      </c>
      <c r="Y195" s="119" t="s">
        <v>231</v>
      </c>
      <c r="Z195" s="120" t="s">
        <v>4726</v>
      </c>
      <c r="AA195" s="121" t="s">
        <v>2653</v>
      </c>
      <c r="AB195" s="122" t="s">
        <v>284</v>
      </c>
      <c r="AC195" s="123">
        <v>120</v>
      </c>
      <c r="AD195" s="124">
        <v>49.61</v>
      </c>
      <c r="AE195" s="200">
        <f>ROUND(AD195*AC195,2)</f>
        <v>5953.2</v>
      </c>
      <c r="AR195" s="129" t="s">
        <v>235</v>
      </c>
      <c r="AT195" s="129" t="s">
        <v>231</v>
      </c>
      <c r="AU195" s="129" t="s">
        <v>76</v>
      </c>
      <c r="AY195" s="13" t="s">
        <v>228</v>
      </c>
      <c r="BE195" s="130">
        <f>IF(N195="základná",J195,0)</f>
        <v>0</v>
      </c>
      <c r="BF195" s="130">
        <f>IF(N195="znížená",J195,0)</f>
        <v>5953.2</v>
      </c>
      <c r="BG195" s="130">
        <f>IF(N195="zákl. prenesená",J195,0)</f>
        <v>0</v>
      </c>
      <c r="BH195" s="130">
        <f>IF(N195="zníž. prenesená",J195,0)</f>
        <v>0</v>
      </c>
      <c r="BI195" s="130">
        <f>IF(N195="nulová",J195,0)</f>
        <v>0</v>
      </c>
      <c r="BJ195" s="13" t="s">
        <v>76</v>
      </c>
      <c r="BK195" s="130">
        <f>ROUND(I195*H195,2)</f>
        <v>5953.2</v>
      </c>
      <c r="BL195" s="13" t="s">
        <v>235</v>
      </c>
      <c r="BM195" s="129" t="s">
        <v>393</v>
      </c>
    </row>
    <row r="196" spans="2:65" s="1" customFormat="1" ht="16.5" customHeight="1" x14ac:dyDescent="0.2">
      <c r="B196" s="118"/>
      <c r="C196" s="119" t="s">
        <v>316</v>
      </c>
      <c r="D196" s="119" t="s">
        <v>231</v>
      </c>
      <c r="E196" s="120" t="s">
        <v>2654</v>
      </c>
      <c r="F196" s="121" t="s">
        <v>2655</v>
      </c>
      <c r="G196" s="122" t="s">
        <v>1035</v>
      </c>
      <c r="H196" s="123">
        <v>116</v>
      </c>
      <c r="I196" s="124">
        <v>4.97</v>
      </c>
      <c r="J196" s="124">
        <f>ROUND(I196*H196,2)</f>
        <v>576.52</v>
      </c>
      <c r="K196" s="121" t="s">
        <v>1</v>
      </c>
      <c r="L196" s="24"/>
      <c r="M196" s="125" t="s">
        <v>1</v>
      </c>
      <c r="N196" s="126" t="s">
        <v>32</v>
      </c>
      <c r="O196" s="127">
        <v>0</v>
      </c>
      <c r="P196" s="127">
        <f>O196*H196</f>
        <v>0</v>
      </c>
      <c r="Q196" s="127">
        <v>0</v>
      </c>
      <c r="R196" s="127">
        <f>Q196*H196</f>
        <v>0</v>
      </c>
      <c r="S196" s="127">
        <v>0</v>
      </c>
      <c r="T196" s="128">
        <f>S196*H196</f>
        <v>0</v>
      </c>
      <c r="W196" s="118"/>
      <c r="X196" s="119" t="s">
        <v>316</v>
      </c>
      <c r="Y196" s="119" t="s">
        <v>231</v>
      </c>
      <c r="Z196" s="120" t="s">
        <v>2654</v>
      </c>
      <c r="AA196" s="121" t="s">
        <v>2655</v>
      </c>
      <c r="AB196" s="122" t="s">
        <v>1035</v>
      </c>
      <c r="AC196" s="123">
        <v>116</v>
      </c>
      <c r="AD196" s="124">
        <v>4.97</v>
      </c>
      <c r="AE196" s="200">
        <f>ROUND(AD196*AC196,2)</f>
        <v>576.52</v>
      </c>
      <c r="AR196" s="129" t="s">
        <v>235</v>
      </c>
      <c r="AT196" s="129" t="s">
        <v>231</v>
      </c>
      <c r="AU196" s="129" t="s">
        <v>76</v>
      </c>
      <c r="AY196" s="13" t="s">
        <v>228</v>
      </c>
      <c r="BE196" s="130">
        <f>IF(N196="základná",J196,0)</f>
        <v>0</v>
      </c>
      <c r="BF196" s="130">
        <f>IF(N196="znížená",J196,0)</f>
        <v>576.52</v>
      </c>
      <c r="BG196" s="130">
        <f>IF(N196="zákl. prenesená",J196,0)</f>
        <v>0</v>
      </c>
      <c r="BH196" s="130">
        <f>IF(N196="zníž. prenesená",J196,0)</f>
        <v>0</v>
      </c>
      <c r="BI196" s="130">
        <f>IF(N196="nulová",J196,0)</f>
        <v>0</v>
      </c>
      <c r="BJ196" s="13" t="s">
        <v>76</v>
      </c>
      <c r="BK196" s="130">
        <f>ROUND(I196*H196,2)</f>
        <v>576.52</v>
      </c>
      <c r="BL196" s="13" t="s">
        <v>235</v>
      </c>
      <c r="BM196" s="129" t="s">
        <v>396</v>
      </c>
    </row>
    <row r="197" spans="2:65" s="1" customFormat="1" ht="16.5" customHeight="1" x14ac:dyDescent="0.2">
      <c r="B197" s="118"/>
      <c r="C197" s="119" t="s">
        <v>397</v>
      </c>
      <c r="D197" s="119" t="s">
        <v>231</v>
      </c>
      <c r="E197" s="120" t="s">
        <v>2656</v>
      </c>
      <c r="F197" s="121" t="s">
        <v>2657</v>
      </c>
      <c r="G197" s="122" t="s">
        <v>1035</v>
      </c>
      <c r="H197" s="123">
        <v>58</v>
      </c>
      <c r="I197" s="124">
        <v>7.82</v>
      </c>
      <c r="J197" s="124">
        <f>ROUND(I197*H197,2)</f>
        <v>453.56</v>
      </c>
      <c r="K197" s="121" t="s">
        <v>1</v>
      </c>
      <c r="L197" s="24"/>
      <c r="M197" s="125" t="s">
        <v>1</v>
      </c>
      <c r="N197" s="126" t="s">
        <v>32</v>
      </c>
      <c r="O197" s="127">
        <v>0</v>
      </c>
      <c r="P197" s="127">
        <f>O197*H197</f>
        <v>0</v>
      </c>
      <c r="Q197" s="127">
        <v>0</v>
      </c>
      <c r="R197" s="127">
        <f>Q197*H197</f>
        <v>0</v>
      </c>
      <c r="S197" s="127">
        <v>0</v>
      </c>
      <c r="T197" s="128">
        <f>S197*H197</f>
        <v>0</v>
      </c>
      <c r="W197" s="118"/>
      <c r="X197" s="119" t="s">
        <v>397</v>
      </c>
      <c r="Y197" s="119" t="s">
        <v>231</v>
      </c>
      <c r="Z197" s="120" t="s">
        <v>2656</v>
      </c>
      <c r="AA197" s="121" t="s">
        <v>2657</v>
      </c>
      <c r="AB197" s="122" t="s">
        <v>1035</v>
      </c>
      <c r="AC197" s="123">
        <v>58</v>
      </c>
      <c r="AD197" s="124">
        <v>7.82</v>
      </c>
      <c r="AE197" s="200">
        <f>ROUND(AD197*AC197,2)</f>
        <v>453.56</v>
      </c>
      <c r="AR197" s="129" t="s">
        <v>235</v>
      </c>
      <c r="AT197" s="129" t="s">
        <v>231</v>
      </c>
      <c r="AU197" s="129" t="s">
        <v>76</v>
      </c>
      <c r="AY197" s="13" t="s">
        <v>228</v>
      </c>
      <c r="BE197" s="130">
        <f>IF(N197="základná",J197,0)</f>
        <v>0</v>
      </c>
      <c r="BF197" s="130">
        <f>IF(N197="znížená",J197,0)</f>
        <v>453.56</v>
      </c>
      <c r="BG197" s="130">
        <f>IF(N197="zákl. prenesená",J197,0)</f>
        <v>0</v>
      </c>
      <c r="BH197" s="130">
        <f>IF(N197="zníž. prenesená",J197,0)</f>
        <v>0</v>
      </c>
      <c r="BI197" s="130">
        <f>IF(N197="nulová",J197,0)</f>
        <v>0</v>
      </c>
      <c r="BJ197" s="13" t="s">
        <v>76</v>
      </c>
      <c r="BK197" s="130">
        <f>ROUND(I197*H197,2)</f>
        <v>453.56</v>
      </c>
      <c r="BL197" s="13" t="s">
        <v>235</v>
      </c>
      <c r="BM197" s="129" t="s">
        <v>400</v>
      </c>
    </row>
    <row r="198" spans="2:65" s="1" customFormat="1" ht="16.5" customHeight="1" x14ac:dyDescent="0.2">
      <c r="B198" s="118"/>
      <c r="C198" s="119" t="s">
        <v>319</v>
      </c>
      <c r="D198" s="119" t="s">
        <v>231</v>
      </c>
      <c r="E198" s="120" t="s">
        <v>4077</v>
      </c>
      <c r="F198" s="121" t="s">
        <v>2662</v>
      </c>
      <c r="G198" s="122" t="s">
        <v>1194</v>
      </c>
      <c r="H198" s="123">
        <v>1</v>
      </c>
      <c r="I198" s="124">
        <v>710.53</v>
      </c>
      <c r="J198" s="124">
        <f>ROUND(I198*H198,2)</f>
        <v>710.53</v>
      </c>
      <c r="K198" s="121" t="s">
        <v>1</v>
      </c>
      <c r="L198" s="24"/>
      <c r="M198" s="125" t="s">
        <v>1</v>
      </c>
      <c r="N198" s="126" t="s">
        <v>32</v>
      </c>
      <c r="O198" s="127">
        <v>0</v>
      </c>
      <c r="P198" s="127">
        <f>O198*H198</f>
        <v>0</v>
      </c>
      <c r="Q198" s="127">
        <v>0</v>
      </c>
      <c r="R198" s="127">
        <f>Q198*H198</f>
        <v>0</v>
      </c>
      <c r="S198" s="127">
        <v>0</v>
      </c>
      <c r="T198" s="128">
        <f>S198*H198</f>
        <v>0</v>
      </c>
      <c r="W198" s="118"/>
      <c r="X198" s="119" t="s">
        <v>319</v>
      </c>
      <c r="Y198" s="119" t="s">
        <v>231</v>
      </c>
      <c r="Z198" s="120" t="s">
        <v>4077</v>
      </c>
      <c r="AA198" s="121" t="s">
        <v>2662</v>
      </c>
      <c r="AB198" s="122" t="s">
        <v>1194</v>
      </c>
      <c r="AC198" s="123">
        <v>1</v>
      </c>
      <c r="AD198" s="124">
        <v>710.53</v>
      </c>
      <c r="AE198" s="200">
        <f>ROUND(AD198*AC198,2)</f>
        <v>710.53</v>
      </c>
      <c r="AR198" s="129" t="s">
        <v>235</v>
      </c>
      <c r="AT198" s="129" t="s">
        <v>231</v>
      </c>
      <c r="AU198" s="129" t="s">
        <v>76</v>
      </c>
      <c r="AY198" s="13" t="s">
        <v>228</v>
      </c>
      <c r="BE198" s="130">
        <f>IF(N198="základná",J198,0)</f>
        <v>0</v>
      </c>
      <c r="BF198" s="130">
        <f>IF(N198="znížená",J198,0)</f>
        <v>710.53</v>
      </c>
      <c r="BG198" s="130">
        <f>IF(N198="zákl. prenesená",J198,0)</f>
        <v>0</v>
      </c>
      <c r="BH198" s="130">
        <f>IF(N198="zníž. prenesená",J198,0)</f>
        <v>0</v>
      </c>
      <c r="BI198" s="130">
        <f>IF(N198="nulová",J198,0)</f>
        <v>0</v>
      </c>
      <c r="BJ198" s="13" t="s">
        <v>76</v>
      </c>
      <c r="BK198" s="130">
        <f>ROUND(I198*H198,2)</f>
        <v>710.53</v>
      </c>
      <c r="BL198" s="13" t="s">
        <v>235</v>
      </c>
      <c r="BM198" s="129" t="s">
        <v>404</v>
      </c>
    </row>
    <row r="199" spans="2:65" s="1" customFormat="1" ht="16.5" customHeight="1" x14ac:dyDescent="0.2">
      <c r="B199" s="118"/>
      <c r="C199" s="119" t="s">
        <v>407</v>
      </c>
      <c r="D199" s="119" t="s">
        <v>231</v>
      </c>
      <c r="E199" s="120" t="s">
        <v>2663</v>
      </c>
      <c r="F199" s="121" t="s">
        <v>2664</v>
      </c>
      <c r="G199" s="122" t="s">
        <v>1194</v>
      </c>
      <c r="H199" s="123">
        <v>1</v>
      </c>
      <c r="I199" s="124">
        <v>710.53</v>
      </c>
      <c r="J199" s="124">
        <f>ROUND(I199*H199,2)</f>
        <v>710.53</v>
      </c>
      <c r="K199" s="121" t="s">
        <v>1</v>
      </c>
      <c r="L199" s="24"/>
      <c r="M199" s="125" t="s">
        <v>1</v>
      </c>
      <c r="N199" s="126" t="s">
        <v>32</v>
      </c>
      <c r="O199" s="127">
        <v>0</v>
      </c>
      <c r="P199" s="127">
        <f>O199*H199</f>
        <v>0</v>
      </c>
      <c r="Q199" s="127">
        <v>0</v>
      </c>
      <c r="R199" s="127">
        <f>Q199*H199</f>
        <v>0</v>
      </c>
      <c r="S199" s="127">
        <v>0</v>
      </c>
      <c r="T199" s="128">
        <f>S199*H199</f>
        <v>0</v>
      </c>
      <c r="W199" s="118"/>
      <c r="X199" s="119" t="s">
        <v>407</v>
      </c>
      <c r="Y199" s="119" t="s">
        <v>231</v>
      </c>
      <c r="Z199" s="120" t="s">
        <v>2663</v>
      </c>
      <c r="AA199" s="121" t="s">
        <v>2664</v>
      </c>
      <c r="AB199" s="122" t="s">
        <v>1194</v>
      </c>
      <c r="AC199" s="123">
        <v>1</v>
      </c>
      <c r="AD199" s="124">
        <v>710.53</v>
      </c>
      <c r="AE199" s="200">
        <f>ROUND(AD199*AC199,2)</f>
        <v>710.53</v>
      </c>
      <c r="AR199" s="129" t="s">
        <v>235</v>
      </c>
      <c r="AT199" s="129" t="s">
        <v>231</v>
      </c>
      <c r="AU199" s="129" t="s">
        <v>76</v>
      </c>
      <c r="AY199" s="13" t="s">
        <v>228</v>
      </c>
      <c r="BE199" s="130">
        <f>IF(N199="základná",J199,0)</f>
        <v>0</v>
      </c>
      <c r="BF199" s="130">
        <f>IF(N199="znížená",J199,0)</f>
        <v>710.53</v>
      </c>
      <c r="BG199" s="130">
        <f>IF(N199="zákl. prenesená",J199,0)</f>
        <v>0</v>
      </c>
      <c r="BH199" s="130">
        <f>IF(N199="zníž. prenesená",J199,0)</f>
        <v>0</v>
      </c>
      <c r="BI199" s="130">
        <f>IF(N199="nulová",J199,0)</f>
        <v>0</v>
      </c>
      <c r="BJ199" s="13" t="s">
        <v>76</v>
      </c>
      <c r="BK199" s="130">
        <f>ROUND(I199*H199,2)</f>
        <v>710.53</v>
      </c>
      <c r="BL199" s="13" t="s">
        <v>235</v>
      </c>
      <c r="BM199" s="129" t="s">
        <v>410</v>
      </c>
    </row>
    <row r="200" spans="2:65" s="11" customFormat="1" ht="22.95" customHeight="1" x14ac:dyDescent="0.25">
      <c r="B200" s="106"/>
      <c r="D200" s="107" t="s">
        <v>57</v>
      </c>
      <c r="E200" s="116" t="s">
        <v>1215</v>
      </c>
      <c r="F200" s="116" t="s">
        <v>4758</v>
      </c>
      <c r="J200" s="117">
        <f>BK200</f>
        <v>17065.989999999998</v>
      </c>
      <c r="L200" s="106"/>
      <c r="M200" s="110"/>
      <c r="N200" s="111"/>
      <c r="O200" s="111"/>
      <c r="P200" s="112">
        <f>SUM(P201:P213)</f>
        <v>0</v>
      </c>
      <c r="Q200" s="111"/>
      <c r="R200" s="112">
        <f>SUM(R201:R213)</f>
        <v>0</v>
      </c>
      <c r="S200" s="111"/>
      <c r="T200" s="113">
        <f>SUM(T201:T213)</f>
        <v>0</v>
      </c>
      <c r="W200" s="106"/>
      <c r="X200" s="111"/>
      <c r="Y200" s="196" t="s">
        <v>57</v>
      </c>
      <c r="Z200" s="201" t="s">
        <v>1215</v>
      </c>
      <c r="AA200" s="201" t="s">
        <v>4758</v>
      </c>
      <c r="AB200" s="111"/>
      <c r="AC200" s="111"/>
      <c r="AD200" s="111"/>
      <c r="AE200" s="202">
        <f>SUM(AE201:AE213)</f>
        <v>17065.989999999998</v>
      </c>
      <c r="AR200" s="107" t="s">
        <v>63</v>
      </c>
      <c r="AT200" s="114" t="s">
        <v>57</v>
      </c>
      <c r="AU200" s="114" t="s">
        <v>63</v>
      </c>
      <c r="AY200" s="107" t="s">
        <v>228</v>
      </c>
      <c r="BK200" s="115">
        <f>SUM(BK201:BK213)</f>
        <v>17065.989999999998</v>
      </c>
    </row>
    <row r="201" spans="2:65" s="1" customFormat="1" ht="48" customHeight="1" x14ac:dyDescent="0.2">
      <c r="B201" s="118"/>
      <c r="C201" s="119" t="s">
        <v>323</v>
      </c>
      <c r="D201" s="119" t="s">
        <v>231</v>
      </c>
      <c r="E201" s="120" t="s">
        <v>4759</v>
      </c>
      <c r="F201" s="121" t="s">
        <v>4760</v>
      </c>
      <c r="G201" s="122" t="s">
        <v>1194</v>
      </c>
      <c r="H201" s="123">
        <v>1</v>
      </c>
      <c r="I201" s="124">
        <v>106.91</v>
      </c>
      <c r="J201" s="124">
        <f>ROUND(I201*H201,2)</f>
        <v>106.91</v>
      </c>
      <c r="K201" s="121" t="s">
        <v>1</v>
      </c>
      <c r="L201" s="24"/>
      <c r="M201" s="125" t="s">
        <v>1</v>
      </c>
      <c r="N201" s="126" t="s">
        <v>32</v>
      </c>
      <c r="O201" s="127">
        <v>0</v>
      </c>
      <c r="P201" s="127">
        <f>O201*H201</f>
        <v>0</v>
      </c>
      <c r="Q201" s="127">
        <v>0</v>
      </c>
      <c r="R201" s="127">
        <f>Q201*H201</f>
        <v>0</v>
      </c>
      <c r="S201" s="127">
        <v>0</v>
      </c>
      <c r="T201" s="128">
        <f>S201*H201</f>
        <v>0</v>
      </c>
      <c r="W201" s="118"/>
      <c r="X201" s="119" t="s">
        <v>323</v>
      </c>
      <c r="Y201" s="119" t="s">
        <v>231</v>
      </c>
      <c r="Z201" s="120" t="s">
        <v>4759</v>
      </c>
      <c r="AA201" s="121" t="s">
        <v>4760</v>
      </c>
      <c r="AB201" s="122" t="s">
        <v>1194</v>
      </c>
      <c r="AC201" s="123">
        <v>1</v>
      </c>
      <c r="AD201" s="124">
        <v>106.91</v>
      </c>
      <c r="AE201" s="200">
        <f>ROUND(AD201*AC201,2)</f>
        <v>106.91</v>
      </c>
      <c r="AR201" s="129" t="s">
        <v>235</v>
      </c>
      <c r="AT201" s="129" t="s">
        <v>231</v>
      </c>
      <c r="AU201" s="129" t="s">
        <v>76</v>
      </c>
      <c r="AY201" s="13" t="s">
        <v>228</v>
      </c>
      <c r="BE201" s="130">
        <f>IF(N201="základná",J201,0)</f>
        <v>0</v>
      </c>
      <c r="BF201" s="130">
        <f>IF(N201="znížená",J201,0)</f>
        <v>106.91</v>
      </c>
      <c r="BG201" s="130">
        <f>IF(N201="zákl. prenesená",J201,0)</f>
        <v>0</v>
      </c>
      <c r="BH201" s="130">
        <f>IF(N201="zníž. prenesená",J201,0)</f>
        <v>0</v>
      </c>
      <c r="BI201" s="130">
        <f>IF(N201="nulová",J201,0)</f>
        <v>0</v>
      </c>
      <c r="BJ201" s="13" t="s">
        <v>76</v>
      </c>
      <c r="BK201" s="130">
        <f>ROUND(I201*H201,2)</f>
        <v>106.91</v>
      </c>
      <c r="BL201" s="13" t="s">
        <v>235</v>
      </c>
      <c r="BM201" s="129" t="s">
        <v>414</v>
      </c>
    </row>
    <row r="202" spans="2:65" s="1" customFormat="1" ht="48" customHeight="1" x14ac:dyDescent="0.2">
      <c r="B202" s="118"/>
      <c r="C202" s="119" t="s">
        <v>415</v>
      </c>
      <c r="D202" s="119" t="s">
        <v>231</v>
      </c>
      <c r="E202" s="120" t="s">
        <v>4761</v>
      </c>
      <c r="F202" s="121" t="s">
        <v>4762</v>
      </c>
      <c r="G202" s="122" t="s">
        <v>1194</v>
      </c>
      <c r="H202" s="123">
        <v>1</v>
      </c>
      <c r="I202" s="124">
        <v>273.83999999999997</v>
      </c>
      <c r="J202" s="124">
        <f>ROUND(I202*H202,2)</f>
        <v>273.83999999999997</v>
      </c>
      <c r="K202" s="121" t="s">
        <v>1</v>
      </c>
      <c r="L202" s="24"/>
      <c r="M202" s="125" t="s">
        <v>1</v>
      </c>
      <c r="N202" s="126" t="s">
        <v>32</v>
      </c>
      <c r="O202" s="127">
        <v>0</v>
      </c>
      <c r="P202" s="127">
        <f>O202*H202</f>
        <v>0</v>
      </c>
      <c r="Q202" s="127">
        <v>0</v>
      </c>
      <c r="R202" s="127">
        <f>Q202*H202</f>
        <v>0</v>
      </c>
      <c r="S202" s="127">
        <v>0</v>
      </c>
      <c r="T202" s="128">
        <f>S202*H202</f>
        <v>0</v>
      </c>
      <c r="W202" s="118"/>
      <c r="X202" s="119" t="s">
        <v>415</v>
      </c>
      <c r="Y202" s="119" t="s">
        <v>231</v>
      </c>
      <c r="Z202" s="120" t="s">
        <v>4761</v>
      </c>
      <c r="AA202" s="121" t="s">
        <v>4762</v>
      </c>
      <c r="AB202" s="122" t="s">
        <v>1194</v>
      </c>
      <c r="AC202" s="123">
        <v>1</v>
      </c>
      <c r="AD202" s="124">
        <v>273.83999999999997</v>
      </c>
      <c r="AE202" s="200">
        <f>ROUND(AD202*AC202,2)</f>
        <v>273.83999999999997</v>
      </c>
      <c r="AR202" s="129" t="s">
        <v>235</v>
      </c>
      <c r="AT202" s="129" t="s">
        <v>231</v>
      </c>
      <c r="AU202" s="129" t="s">
        <v>76</v>
      </c>
      <c r="AY202" s="13" t="s">
        <v>228</v>
      </c>
      <c r="BE202" s="130">
        <f>IF(N202="základná",J202,0)</f>
        <v>0</v>
      </c>
      <c r="BF202" s="130">
        <f>IF(N202="znížená",J202,0)</f>
        <v>273.83999999999997</v>
      </c>
      <c r="BG202" s="130">
        <f>IF(N202="zákl. prenesená",J202,0)</f>
        <v>0</v>
      </c>
      <c r="BH202" s="130">
        <f>IF(N202="zníž. prenesená",J202,0)</f>
        <v>0</v>
      </c>
      <c r="BI202" s="130">
        <f>IF(N202="nulová",J202,0)</f>
        <v>0</v>
      </c>
      <c r="BJ202" s="13" t="s">
        <v>76</v>
      </c>
      <c r="BK202" s="130">
        <f>ROUND(I202*H202,2)</f>
        <v>273.83999999999997</v>
      </c>
      <c r="BL202" s="13" t="s">
        <v>235</v>
      </c>
      <c r="BM202" s="129" t="s">
        <v>418</v>
      </c>
    </row>
    <row r="203" spans="2:65" s="1" customFormat="1" ht="48" customHeight="1" x14ac:dyDescent="0.2">
      <c r="B203" s="118"/>
      <c r="C203" s="119" t="s">
        <v>326</v>
      </c>
      <c r="D203" s="119" t="s">
        <v>231</v>
      </c>
      <c r="E203" s="120" t="s">
        <v>4763</v>
      </c>
      <c r="F203" s="121" t="s">
        <v>4764</v>
      </c>
      <c r="G203" s="122" t="s">
        <v>1194</v>
      </c>
      <c r="H203" s="123">
        <v>1</v>
      </c>
      <c r="I203" s="124">
        <v>235.47</v>
      </c>
      <c r="J203" s="124">
        <f>ROUND(I203*H203,2)</f>
        <v>235.47</v>
      </c>
      <c r="K203" s="121" t="s">
        <v>1</v>
      </c>
      <c r="L203" s="24"/>
      <c r="M203" s="125" t="s">
        <v>1</v>
      </c>
      <c r="N203" s="126" t="s">
        <v>32</v>
      </c>
      <c r="O203" s="127">
        <v>0</v>
      </c>
      <c r="P203" s="127">
        <f>O203*H203</f>
        <v>0</v>
      </c>
      <c r="Q203" s="127">
        <v>0</v>
      </c>
      <c r="R203" s="127">
        <f>Q203*H203</f>
        <v>0</v>
      </c>
      <c r="S203" s="127">
        <v>0</v>
      </c>
      <c r="T203" s="128">
        <f>S203*H203</f>
        <v>0</v>
      </c>
      <c r="W203" s="118"/>
      <c r="X203" s="119" t="s">
        <v>326</v>
      </c>
      <c r="Y203" s="119" t="s">
        <v>231</v>
      </c>
      <c r="Z203" s="120" t="s">
        <v>4763</v>
      </c>
      <c r="AA203" s="121" t="s">
        <v>4764</v>
      </c>
      <c r="AB203" s="122" t="s">
        <v>1194</v>
      </c>
      <c r="AC203" s="123">
        <v>1</v>
      </c>
      <c r="AD203" s="124">
        <v>235.47</v>
      </c>
      <c r="AE203" s="200">
        <f>ROUND(AD203*AC203,2)</f>
        <v>235.47</v>
      </c>
      <c r="AR203" s="129" t="s">
        <v>235</v>
      </c>
      <c r="AT203" s="129" t="s">
        <v>231</v>
      </c>
      <c r="AU203" s="129" t="s">
        <v>76</v>
      </c>
      <c r="AY203" s="13" t="s">
        <v>228</v>
      </c>
      <c r="BE203" s="130">
        <f>IF(N203="základná",J203,0)</f>
        <v>0</v>
      </c>
      <c r="BF203" s="130">
        <f>IF(N203="znížená",J203,0)</f>
        <v>235.47</v>
      </c>
      <c r="BG203" s="130">
        <f>IF(N203="zákl. prenesená",J203,0)</f>
        <v>0</v>
      </c>
      <c r="BH203" s="130">
        <f>IF(N203="zníž. prenesená",J203,0)</f>
        <v>0</v>
      </c>
      <c r="BI203" s="130">
        <f>IF(N203="nulová",J203,0)</f>
        <v>0</v>
      </c>
      <c r="BJ203" s="13" t="s">
        <v>76</v>
      </c>
      <c r="BK203" s="130">
        <f>ROUND(I203*H203,2)</f>
        <v>235.47</v>
      </c>
      <c r="BL203" s="13" t="s">
        <v>235</v>
      </c>
      <c r="BM203" s="129" t="s">
        <v>421</v>
      </c>
    </row>
    <row r="204" spans="2:65" s="1" customFormat="1" ht="72" customHeight="1" x14ac:dyDescent="0.2">
      <c r="B204" s="118"/>
      <c r="C204" s="119" t="s">
        <v>422</v>
      </c>
      <c r="D204" s="119" t="s">
        <v>231</v>
      </c>
      <c r="E204" s="120" t="s">
        <v>4765</v>
      </c>
      <c r="F204" s="121" t="s">
        <v>4766</v>
      </c>
      <c r="G204" s="122" t="s">
        <v>1194</v>
      </c>
      <c r="H204" s="123">
        <v>3</v>
      </c>
      <c r="I204" s="124">
        <v>127.81</v>
      </c>
      <c r="J204" s="124">
        <f>ROUND(I204*H204,2)</f>
        <v>383.43</v>
      </c>
      <c r="K204" s="121" t="s">
        <v>1</v>
      </c>
      <c r="L204" s="24"/>
      <c r="M204" s="125" t="s">
        <v>1</v>
      </c>
      <c r="N204" s="126" t="s">
        <v>32</v>
      </c>
      <c r="O204" s="127">
        <v>0</v>
      </c>
      <c r="P204" s="127">
        <f>O204*H204</f>
        <v>0</v>
      </c>
      <c r="Q204" s="127">
        <v>0</v>
      </c>
      <c r="R204" s="127">
        <f>Q204*H204</f>
        <v>0</v>
      </c>
      <c r="S204" s="127">
        <v>0</v>
      </c>
      <c r="T204" s="128">
        <f>S204*H204</f>
        <v>0</v>
      </c>
      <c r="W204" s="118"/>
      <c r="X204" s="119" t="s">
        <v>422</v>
      </c>
      <c r="Y204" s="119" t="s">
        <v>231</v>
      </c>
      <c r="Z204" s="120" t="s">
        <v>4765</v>
      </c>
      <c r="AA204" s="121" t="s">
        <v>4766</v>
      </c>
      <c r="AB204" s="122" t="s">
        <v>1194</v>
      </c>
      <c r="AC204" s="123">
        <v>3</v>
      </c>
      <c r="AD204" s="124">
        <v>127.81</v>
      </c>
      <c r="AE204" s="200">
        <f>ROUND(AD204*AC204,2)</f>
        <v>383.43</v>
      </c>
      <c r="AR204" s="129" t="s">
        <v>235</v>
      </c>
      <c r="AT204" s="129" t="s">
        <v>231</v>
      </c>
      <c r="AU204" s="129" t="s">
        <v>76</v>
      </c>
      <c r="AY204" s="13" t="s">
        <v>228</v>
      </c>
      <c r="BE204" s="130">
        <f>IF(N204="základná",J204,0)</f>
        <v>0</v>
      </c>
      <c r="BF204" s="130">
        <f>IF(N204="znížená",J204,0)</f>
        <v>383.43</v>
      </c>
      <c r="BG204" s="130">
        <f>IF(N204="zákl. prenesená",J204,0)</f>
        <v>0</v>
      </c>
      <c r="BH204" s="130">
        <f>IF(N204="zníž. prenesená",J204,0)</f>
        <v>0</v>
      </c>
      <c r="BI204" s="130">
        <f>IF(N204="nulová",J204,0)</f>
        <v>0</v>
      </c>
      <c r="BJ204" s="13" t="s">
        <v>76</v>
      </c>
      <c r="BK204" s="130">
        <f>ROUND(I204*H204,2)</f>
        <v>383.43</v>
      </c>
      <c r="BL204" s="13" t="s">
        <v>235</v>
      </c>
      <c r="BM204" s="129" t="s">
        <v>425</v>
      </c>
    </row>
    <row r="205" spans="2:65" s="1" customFormat="1" ht="144" x14ac:dyDescent="0.2">
      <c r="B205" s="24"/>
      <c r="D205" s="144" t="s">
        <v>1259</v>
      </c>
      <c r="F205" s="145" t="s">
        <v>4767</v>
      </c>
      <c r="L205" s="24"/>
      <c r="M205" s="146"/>
      <c r="N205" s="42"/>
      <c r="O205" s="42"/>
      <c r="P205" s="42"/>
      <c r="Q205" s="42"/>
      <c r="R205" s="42"/>
      <c r="S205" s="42"/>
      <c r="T205" s="43"/>
      <c r="W205" s="24"/>
      <c r="X205" s="685"/>
      <c r="Y205" s="203" t="s">
        <v>1259</v>
      </c>
      <c r="Z205" s="685"/>
      <c r="AA205" s="204" t="s">
        <v>4767</v>
      </c>
      <c r="AB205" s="685"/>
      <c r="AC205" s="685"/>
      <c r="AD205" s="685"/>
      <c r="AE205" s="159"/>
      <c r="AT205" s="13" t="s">
        <v>1259</v>
      </c>
      <c r="AU205" s="13" t="s">
        <v>76</v>
      </c>
    </row>
    <row r="206" spans="2:65" s="1" customFormat="1" ht="72" customHeight="1" x14ac:dyDescent="0.2">
      <c r="B206" s="118"/>
      <c r="C206" s="119" t="s">
        <v>330</v>
      </c>
      <c r="D206" s="119" t="s">
        <v>231</v>
      </c>
      <c r="E206" s="120" t="s">
        <v>4768</v>
      </c>
      <c r="F206" s="121" t="s">
        <v>4769</v>
      </c>
      <c r="G206" s="122" t="s">
        <v>1194</v>
      </c>
      <c r="H206" s="123">
        <v>6</v>
      </c>
      <c r="I206" s="124">
        <v>93.29</v>
      </c>
      <c r="J206" s="124">
        <f>ROUND(I206*H206,2)</f>
        <v>559.74</v>
      </c>
      <c r="K206" s="121" t="s">
        <v>1</v>
      </c>
      <c r="L206" s="24"/>
      <c r="M206" s="125" t="s">
        <v>1</v>
      </c>
      <c r="N206" s="126" t="s">
        <v>32</v>
      </c>
      <c r="O206" s="127">
        <v>0</v>
      </c>
      <c r="P206" s="127">
        <f>O206*H206</f>
        <v>0</v>
      </c>
      <c r="Q206" s="127">
        <v>0</v>
      </c>
      <c r="R206" s="127">
        <f>Q206*H206</f>
        <v>0</v>
      </c>
      <c r="S206" s="127">
        <v>0</v>
      </c>
      <c r="T206" s="128">
        <f>S206*H206</f>
        <v>0</v>
      </c>
      <c r="W206" s="118"/>
      <c r="X206" s="119" t="s">
        <v>330</v>
      </c>
      <c r="Y206" s="119" t="s">
        <v>231</v>
      </c>
      <c r="Z206" s="120" t="s">
        <v>4768</v>
      </c>
      <c r="AA206" s="121" t="s">
        <v>4769</v>
      </c>
      <c r="AB206" s="122" t="s">
        <v>1194</v>
      </c>
      <c r="AC206" s="123">
        <v>6</v>
      </c>
      <c r="AD206" s="124">
        <v>93.29</v>
      </c>
      <c r="AE206" s="200">
        <f>ROUND(AD206*AC206,2)</f>
        <v>559.74</v>
      </c>
      <c r="AR206" s="129" t="s">
        <v>235</v>
      </c>
      <c r="AT206" s="129" t="s">
        <v>231</v>
      </c>
      <c r="AU206" s="129" t="s">
        <v>76</v>
      </c>
      <c r="AY206" s="13" t="s">
        <v>228</v>
      </c>
      <c r="BE206" s="130">
        <f>IF(N206="základná",J206,0)</f>
        <v>0</v>
      </c>
      <c r="BF206" s="130">
        <f>IF(N206="znížená",J206,0)</f>
        <v>559.74</v>
      </c>
      <c r="BG206" s="130">
        <f>IF(N206="zákl. prenesená",J206,0)</f>
        <v>0</v>
      </c>
      <c r="BH206" s="130">
        <f>IF(N206="zníž. prenesená",J206,0)</f>
        <v>0</v>
      </c>
      <c r="BI206" s="130">
        <f>IF(N206="nulová",J206,0)</f>
        <v>0</v>
      </c>
      <c r="BJ206" s="13" t="s">
        <v>76</v>
      </c>
      <c r="BK206" s="130">
        <f>ROUND(I206*H206,2)</f>
        <v>559.74</v>
      </c>
      <c r="BL206" s="13" t="s">
        <v>235</v>
      </c>
      <c r="BM206" s="129" t="s">
        <v>428</v>
      </c>
    </row>
    <row r="207" spans="2:65" s="1" customFormat="1" ht="144" x14ac:dyDescent="0.2">
      <c r="B207" s="24"/>
      <c r="D207" s="144" t="s">
        <v>1259</v>
      </c>
      <c r="F207" s="145" t="s">
        <v>4770</v>
      </c>
      <c r="L207" s="24"/>
      <c r="M207" s="146"/>
      <c r="N207" s="42"/>
      <c r="O207" s="42"/>
      <c r="P207" s="42"/>
      <c r="Q207" s="42"/>
      <c r="R207" s="42"/>
      <c r="S207" s="42"/>
      <c r="T207" s="43"/>
      <c r="W207" s="24"/>
      <c r="X207" s="685"/>
      <c r="Y207" s="203" t="s">
        <v>1259</v>
      </c>
      <c r="Z207" s="685"/>
      <c r="AA207" s="204" t="s">
        <v>4770</v>
      </c>
      <c r="AB207" s="685"/>
      <c r="AC207" s="685"/>
      <c r="AD207" s="685"/>
      <c r="AE207" s="159"/>
      <c r="AT207" s="13" t="s">
        <v>1259</v>
      </c>
      <c r="AU207" s="13" t="s">
        <v>76</v>
      </c>
    </row>
    <row r="208" spans="2:65" s="1" customFormat="1" ht="72" customHeight="1" x14ac:dyDescent="0.2">
      <c r="B208" s="118"/>
      <c r="C208" s="119" t="s">
        <v>429</v>
      </c>
      <c r="D208" s="119" t="s">
        <v>231</v>
      </c>
      <c r="E208" s="120" t="s">
        <v>4771</v>
      </c>
      <c r="F208" s="121" t="s">
        <v>4772</v>
      </c>
      <c r="G208" s="122" t="s">
        <v>1194</v>
      </c>
      <c r="H208" s="123">
        <v>6</v>
      </c>
      <c r="I208" s="124">
        <v>76.38</v>
      </c>
      <c r="J208" s="124">
        <f>ROUND(I208*H208,2)</f>
        <v>458.28</v>
      </c>
      <c r="K208" s="121" t="s">
        <v>1</v>
      </c>
      <c r="L208" s="24"/>
      <c r="M208" s="125" t="s">
        <v>1</v>
      </c>
      <c r="N208" s="126" t="s">
        <v>32</v>
      </c>
      <c r="O208" s="127">
        <v>0</v>
      </c>
      <c r="P208" s="127">
        <f>O208*H208</f>
        <v>0</v>
      </c>
      <c r="Q208" s="127">
        <v>0</v>
      </c>
      <c r="R208" s="127">
        <f>Q208*H208</f>
        <v>0</v>
      </c>
      <c r="S208" s="127">
        <v>0</v>
      </c>
      <c r="T208" s="128">
        <f>S208*H208</f>
        <v>0</v>
      </c>
      <c r="W208" s="118"/>
      <c r="X208" s="119" t="s">
        <v>429</v>
      </c>
      <c r="Y208" s="119" t="s">
        <v>231</v>
      </c>
      <c r="Z208" s="120" t="s">
        <v>4771</v>
      </c>
      <c r="AA208" s="121" t="s">
        <v>4772</v>
      </c>
      <c r="AB208" s="122" t="s">
        <v>1194</v>
      </c>
      <c r="AC208" s="123">
        <v>6</v>
      </c>
      <c r="AD208" s="124">
        <v>76.38</v>
      </c>
      <c r="AE208" s="200">
        <f>ROUND(AD208*AC208,2)</f>
        <v>458.28</v>
      </c>
      <c r="AR208" s="129" t="s">
        <v>235</v>
      </c>
      <c r="AT208" s="129" t="s">
        <v>231</v>
      </c>
      <c r="AU208" s="129" t="s">
        <v>76</v>
      </c>
      <c r="AY208" s="13" t="s">
        <v>228</v>
      </c>
      <c r="BE208" s="130">
        <f>IF(N208="základná",J208,0)</f>
        <v>0</v>
      </c>
      <c r="BF208" s="130">
        <f>IF(N208="znížená",J208,0)</f>
        <v>458.28</v>
      </c>
      <c r="BG208" s="130">
        <f>IF(N208="zákl. prenesená",J208,0)</f>
        <v>0</v>
      </c>
      <c r="BH208" s="130">
        <f>IF(N208="zníž. prenesená",J208,0)</f>
        <v>0</v>
      </c>
      <c r="BI208" s="130">
        <f>IF(N208="nulová",J208,0)</f>
        <v>0</v>
      </c>
      <c r="BJ208" s="13" t="s">
        <v>76</v>
      </c>
      <c r="BK208" s="130">
        <f>ROUND(I208*H208,2)</f>
        <v>458.28</v>
      </c>
      <c r="BL208" s="13" t="s">
        <v>235</v>
      </c>
      <c r="BM208" s="129" t="s">
        <v>432</v>
      </c>
    </row>
    <row r="209" spans="2:65" s="1" customFormat="1" ht="134.4" x14ac:dyDescent="0.2">
      <c r="B209" s="24"/>
      <c r="D209" s="144" t="s">
        <v>1259</v>
      </c>
      <c r="F209" s="145" t="s">
        <v>4773</v>
      </c>
      <c r="L209" s="24"/>
      <c r="M209" s="146"/>
      <c r="N209" s="42"/>
      <c r="O209" s="42"/>
      <c r="P209" s="42"/>
      <c r="Q209" s="42"/>
      <c r="R209" s="42"/>
      <c r="S209" s="42"/>
      <c r="T209" s="43"/>
      <c r="W209" s="24"/>
      <c r="X209" s="685"/>
      <c r="Y209" s="203" t="s">
        <v>1259</v>
      </c>
      <c r="Z209" s="685"/>
      <c r="AA209" s="204" t="s">
        <v>4773</v>
      </c>
      <c r="AB209" s="685"/>
      <c r="AC209" s="685"/>
      <c r="AD209" s="685"/>
      <c r="AE209" s="159"/>
      <c r="AT209" s="13" t="s">
        <v>1259</v>
      </c>
      <c r="AU209" s="13" t="s">
        <v>76</v>
      </c>
    </row>
    <row r="210" spans="2:65" s="1" customFormat="1" ht="36" customHeight="1" x14ac:dyDescent="0.2">
      <c r="B210" s="118"/>
      <c r="C210" s="119" t="s">
        <v>333</v>
      </c>
      <c r="D210" s="119" t="s">
        <v>231</v>
      </c>
      <c r="E210" s="120" t="s">
        <v>4774</v>
      </c>
      <c r="F210" s="121" t="s">
        <v>4775</v>
      </c>
      <c r="G210" s="122" t="s">
        <v>1194</v>
      </c>
      <c r="H210" s="123">
        <v>6</v>
      </c>
      <c r="I210" s="124">
        <v>44.16</v>
      </c>
      <c r="J210" s="124">
        <f>ROUND(I210*H210,2)</f>
        <v>264.95999999999998</v>
      </c>
      <c r="K210" s="121" t="s">
        <v>1</v>
      </c>
      <c r="L210" s="24"/>
      <c r="M210" s="125" t="s">
        <v>1</v>
      </c>
      <c r="N210" s="126" t="s">
        <v>32</v>
      </c>
      <c r="O210" s="127">
        <v>0</v>
      </c>
      <c r="P210" s="127">
        <f>O210*H210</f>
        <v>0</v>
      </c>
      <c r="Q210" s="127">
        <v>0</v>
      </c>
      <c r="R210" s="127">
        <f>Q210*H210</f>
        <v>0</v>
      </c>
      <c r="S210" s="127">
        <v>0</v>
      </c>
      <c r="T210" s="128">
        <f>S210*H210</f>
        <v>0</v>
      </c>
      <c r="W210" s="118"/>
      <c r="X210" s="119" t="s">
        <v>333</v>
      </c>
      <c r="Y210" s="119" t="s">
        <v>231</v>
      </c>
      <c r="Z210" s="120" t="s">
        <v>4774</v>
      </c>
      <c r="AA210" s="121" t="s">
        <v>4775</v>
      </c>
      <c r="AB210" s="122" t="s">
        <v>1194</v>
      </c>
      <c r="AC210" s="123">
        <v>6</v>
      </c>
      <c r="AD210" s="124">
        <v>44.16</v>
      </c>
      <c r="AE210" s="200">
        <f>ROUND(AD210*AC210,2)</f>
        <v>264.95999999999998</v>
      </c>
      <c r="AR210" s="129" t="s">
        <v>235</v>
      </c>
      <c r="AT210" s="129" t="s">
        <v>231</v>
      </c>
      <c r="AU210" s="129" t="s">
        <v>76</v>
      </c>
      <c r="AY210" s="13" t="s">
        <v>228</v>
      </c>
      <c r="BE210" s="130">
        <f>IF(N210="základná",J210,0)</f>
        <v>0</v>
      </c>
      <c r="BF210" s="130">
        <f>IF(N210="znížená",J210,0)</f>
        <v>264.95999999999998</v>
      </c>
      <c r="BG210" s="130">
        <f>IF(N210="zákl. prenesená",J210,0)</f>
        <v>0</v>
      </c>
      <c r="BH210" s="130">
        <f>IF(N210="zníž. prenesená",J210,0)</f>
        <v>0</v>
      </c>
      <c r="BI210" s="130">
        <f>IF(N210="nulová",J210,0)</f>
        <v>0</v>
      </c>
      <c r="BJ210" s="13" t="s">
        <v>76</v>
      </c>
      <c r="BK210" s="130">
        <f>ROUND(I210*H210,2)</f>
        <v>264.95999999999998</v>
      </c>
      <c r="BL210" s="13" t="s">
        <v>235</v>
      </c>
      <c r="BM210" s="129" t="s">
        <v>435</v>
      </c>
    </row>
    <row r="211" spans="2:65" s="1" customFormat="1" ht="16.5" customHeight="1" x14ac:dyDescent="0.2">
      <c r="B211" s="118"/>
      <c r="C211" s="119" t="s">
        <v>438</v>
      </c>
      <c r="D211" s="119" t="s">
        <v>231</v>
      </c>
      <c r="E211" s="120" t="s">
        <v>4776</v>
      </c>
      <c r="F211" s="121" t="s">
        <v>4777</v>
      </c>
      <c r="G211" s="122" t="s">
        <v>1194</v>
      </c>
      <c r="H211" s="123">
        <v>3</v>
      </c>
      <c r="I211" s="124">
        <v>190.99</v>
      </c>
      <c r="J211" s="124">
        <f>ROUND(I211*H211,2)</f>
        <v>572.97</v>
      </c>
      <c r="K211" s="121" t="s">
        <v>1</v>
      </c>
      <c r="L211" s="24"/>
      <c r="M211" s="125" t="s">
        <v>1</v>
      </c>
      <c r="N211" s="126" t="s">
        <v>32</v>
      </c>
      <c r="O211" s="127">
        <v>0</v>
      </c>
      <c r="P211" s="127">
        <f>O211*H211</f>
        <v>0</v>
      </c>
      <c r="Q211" s="127">
        <v>0</v>
      </c>
      <c r="R211" s="127">
        <f>Q211*H211</f>
        <v>0</v>
      </c>
      <c r="S211" s="127">
        <v>0</v>
      </c>
      <c r="T211" s="128">
        <f>S211*H211</f>
        <v>0</v>
      </c>
      <c r="W211" s="118"/>
      <c r="X211" s="119" t="s">
        <v>438</v>
      </c>
      <c r="Y211" s="119" t="s">
        <v>231</v>
      </c>
      <c r="Z211" s="120" t="s">
        <v>4776</v>
      </c>
      <c r="AA211" s="121" t="s">
        <v>4777</v>
      </c>
      <c r="AB211" s="122" t="s">
        <v>1194</v>
      </c>
      <c r="AC211" s="123">
        <v>3</v>
      </c>
      <c r="AD211" s="124">
        <v>190.99</v>
      </c>
      <c r="AE211" s="200">
        <f>ROUND(AD211*AC211,2)</f>
        <v>572.97</v>
      </c>
      <c r="AR211" s="129" t="s">
        <v>235</v>
      </c>
      <c r="AT211" s="129" t="s">
        <v>231</v>
      </c>
      <c r="AU211" s="129" t="s">
        <v>76</v>
      </c>
      <c r="AY211" s="13" t="s">
        <v>228</v>
      </c>
      <c r="BE211" s="130">
        <f>IF(N211="základná",J211,0)</f>
        <v>0</v>
      </c>
      <c r="BF211" s="130">
        <f>IF(N211="znížená",J211,0)</f>
        <v>572.97</v>
      </c>
      <c r="BG211" s="130">
        <f>IF(N211="zákl. prenesená",J211,0)</f>
        <v>0</v>
      </c>
      <c r="BH211" s="130">
        <f>IF(N211="zníž. prenesená",J211,0)</f>
        <v>0</v>
      </c>
      <c r="BI211" s="130">
        <f>IF(N211="nulová",J211,0)</f>
        <v>0</v>
      </c>
      <c r="BJ211" s="13" t="s">
        <v>76</v>
      </c>
      <c r="BK211" s="130">
        <f>ROUND(I211*H211,2)</f>
        <v>572.97</v>
      </c>
      <c r="BL211" s="13" t="s">
        <v>235</v>
      </c>
      <c r="BM211" s="129" t="s">
        <v>441</v>
      </c>
    </row>
    <row r="212" spans="2:65" s="1" customFormat="1" ht="24" customHeight="1" x14ac:dyDescent="0.2">
      <c r="B212" s="118"/>
      <c r="C212" s="119" t="s">
        <v>337</v>
      </c>
      <c r="D212" s="119" t="s">
        <v>231</v>
      </c>
      <c r="E212" s="120" t="s">
        <v>4778</v>
      </c>
      <c r="F212" s="121" t="s">
        <v>4779</v>
      </c>
      <c r="G212" s="122" t="s">
        <v>284</v>
      </c>
      <c r="H212" s="123">
        <v>140</v>
      </c>
      <c r="I212" s="124">
        <v>95.92</v>
      </c>
      <c r="J212" s="124">
        <f>ROUND(I212*H212,2)</f>
        <v>13428.8</v>
      </c>
      <c r="K212" s="121" t="s">
        <v>1</v>
      </c>
      <c r="L212" s="24"/>
      <c r="M212" s="125" t="s">
        <v>1</v>
      </c>
      <c r="N212" s="126" t="s">
        <v>32</v>
      </c>
      <c r="O212" s="127">
        <v>0</v>
      </c>
      <c r="P212" s="127">
        <f>O212*H212</f>
        <v>0</v>
      </c>
      <c r="Q212" s="127">
        <v>0</v>
      </c>
      <c r="R212" s="127">
        <f>Q212*H212</f>
        <v>0</v>
      </c>
      <c r="S212" s="127">
        <v>0</v>
      </c>
      <c r="T212" s="128">
        <f>S212*H212</f>
        <v>0</v>
      </c>
      <c r="W212" s="118"/>
      <c r="X212" s="119" t="s">
        <v>337</v>
      </c>
      <c r="Y212" s="119" t="s">
        <v>231</v>
      </c>
      <c r="Z212" s="120" t="s">
        <v>4778</v>
      </c>
      <c r="AA212" s="121" t="s">
        <v>4779</v>
      </c>
      <c r="AB212" s="122" t="s">
        <v>284</v>
      </c>
      <c r="AC212" s="123">
        <v>140</v>
      </c>
      <c r="AD212" s="124">
        <v>95.92</v>
      </c>
      <c r="AE212" s="200">
        <f>ROUND(AD212*AC212,2)</f>
        <v>13428.8</v>
      </c>
      <c r="AR212" s="129" t="s">
        <v>235</v>
      </c>
      <c r="AT212" s="129" t="s">
        <v>231</v>
      </c>
      <c r="AU212" s="129" t="s">
        <v>76</v>
      </c>
      <c r="AY212" s="13" t="s">
        <v>228</v>
      </c>
      <c r="BE212" s="130">
        <f>IF(N212="základná",J212,0)</f>
        <v>0</v>
      </c>
      <c r="BF212" s="130">
        <f>IF(N212="znížená",J212,0)</f>
        <v>13428.8</v>
      </c>
      <c r="BG212" s="130">
        <f>IF(N212="zákl. prenesená",J212,0)</f>
        <v>0</v>
      </c>
      <c r="BH212" s="130">
        <f>IF(N212="zníž. prenesená",J212,0)</f>
        <v>0</v>
      </c>
      <c r="BI212" s="130">
        <f>IF(N212="nulová",J212,0)</f>
        <v>0</v>
      </c>
      <c r="BJ212" s="13" t="s">
        <v>76</v>
      </c>
      <c r="BK212" s="130">
        <f>ROUND(I212*H212,2)</f>
        <v>13428.8</v>
      </c>
      <c r="BL212" s="13" t="s">
        <v>235</v>
      </c>
      <c r="BM212" s="129" t="s">
        <v>444</v>
      </c>
    </row>
    <row r="213" spans="2:65" s="1" customFormat="1" ht="24" customHeight="1" x14ac:dyDescent="0.2">
      <c r="B213" s="118"/>
      <c r="C213" s="119" t="s">
        <v>445</v>
      </c>
      <c r="D213" s="119" t="s">
        <v>231</v>
      </c>
      <c r="E213" s="120" t="s">
        <v>4780</v>
      </c>
      <c r="F213" s="121" t="s">
        <v>4781</v>
      </c>
      <c r="G213" s="122" t="s">
        <v>1194</v>
      </c>
      <c r="H213" s="123">
        <v>1</v>
      </c>
      <c r="I213" s="124">
        <v>781.59</v>
      </c>
      <c r="J213" s="124">
        <f>ROUND(I213*H213,2)</f>
        <v>781.59</v>
      </c>
      <c r="K213" s="121" t="s">
        <v>1</v>
      </c>
      <c r="L213" s="24"/>
      <c r="M213" s="140" t="s">
        <v>1</v>
      </c>
      <c r="N213" s="141" t="s">
        <v>32</v>
      </c>
      <c r="O213" s="142">
        <v>0</v>
      </c>
      <c r="P213" s="142">
        <f>O213*H213</f>
        <v>0</v>
      </c>
      <c r="Q213" s="142">
        <v>0</v>
      </c>
      <c r="R213" s="142">
        <f>Q213*H213</f>
        <v>0</v>
      </c>
      <c r="S213" s="142">
        <v>0</v>
      </c>
      <c r="T213" s="143">
        <f>S213*H213</f>
        <v>0</v>
      </c>
      <c r="W213" s="118"/>
      <c r="X213" s="119" t="s">
        <v>445</v>
      </c>
      <c r="Y213" s="119" t="s">
        <v>231</v>
      </c>
      <c r="Z213" s="120" t="s">
        <v>4780</v>
      </c>
      <c r="AA213" s="121" t="s">
        <v>4781</v>
      </c>
      <c r="AB213" s="122" t="s">
        <v>1194</v>
      </c>
      <c r="AC213" s="123">
        <v>1</v>
      </c>
      <c r="AD213" s="124">
        <v>781.59</v>
      </c>
      <c r="AE213" s="200">
        <f>ROUND(AD213*AC213,2)</f>
        <v>781.59</v>
      </c>
      <c r="AR213" s="129" t="s">
        <v>235</v>
      </c>
      <c r="AT213" s="129" t="s">
        <v>231</v>
      </c>
      <c r="AU213" s="129" t="s">
        <v>76</v>
      </c>
      <c r="AY213" s="13" t="s">
        <v>228</v>
      </c>
      <c r="BE213" s="130">
        <f>IF(N213="základná",J213,0)</f>
        <v>0</v>
      </c>
      <c r="BF213" s="130">
        <f>IF(N213="znížená",J213,0)</f>
        <v>781.59</v>
      </c>
      <c r="BG213" s="130">
        <f>IF(N213="zákl. prenesená",J213,0)</f>
        <v>0</v>
      </c>
      <c r="BH213" s="130">
        <f>IF(N213="zníž. prenesená",J213,0)</f>
        <v>0</v>
      </c>
      <c r="BI213" s="130">
        <f>IF(N213="nulová",J213,0)</f>
        <v>0</v>
      </c>
      <c r="BJ213" s="13" t="s">
        <v>76</v>
      </c>
      <c r="BK213" s="130">
        <f>ROUND(I213*H213,2)</f>
        <v>781.59</v>
      </c>
      <c r="BL213" s="13" t="s">
        <v>235</v>
      </c>
      <c r="BM213" s="129" t="s">
        <v>448</v>
      </c>
    </row>
    <row r="214" spans="2:65" s="1" customFormat="1" ht="7.05" customHeight="1" x14ac:dyDescent="0.2">
      <c r="B214" s="33"/>
      <c r="C214" s="34"/>
      <c r="D214" s="34"/>
      <c r="E214" s="34"/>
      <c r="F214" s="34"/>
      <c r="G214" s="34"/>
      <c r="H214" s="34"/>
      <c r="I214" s="34"/>
      <c r="J214" s="34"/>
      <c r="K214" s="34"/>
      <c r="L214" s="24"/>
      <c r="W214" s="33"/>
      <c r="X214" s="34"/>
      <c r="Y214" s="34"/>
      <c r="Z214" s="34"/>
      <c r="AA214" s="34"/>
      <c r="AB214" s="34"/>
      <c r="AC214" s="34"/>
      <c r="AD214" s="34"/>
      <c r="AE214" s="250"/>
    </row>
  </sheetData>
  <autoFilter ref="C119:K213" xr:uid="{00000000-0009-0000-0000-000027000000}"/>
  <mergeCells count="27">
    <mergeCell ref="Z109:AE109"/>
    <mergeCell ref="Z110:AC110"/>
    <mergeCell ref="Z112:AC112"/>
    <mergeCell ref="W82:AE82"/>
    <mergeCell ref="Z84:AE84"/>
    <mergeCell ref="Z85:AC85"/>
    <mergeCell ref="Z87:AC87"/>
    <mergeCell ref="X107:AE107"/>
    <mergeCell ref="Y4:AE4"/>
    <mergeCell ref="AA6:AE7"/>
    <mergeCell ref="Z9:AC9"/>
    <mergeCell ref="Z18:AC18"/>
    <mergeCell ref="Z27:AC27"/>
    <mergeCell ref="E87:H87"/>
    <mergeCell ref="E110:H110"/>
    <mergeCell ref="E112:H112"/>
    <mergeCell ref="L2:V2"/>
    <mergeCell ref="E9:H9"/>
    <mergeCell ref="E18:H18"/>
    <mergeCell ref="E27:H27"/>
    <mergeCell ref="E85:H85"/>
    <mergeCell ref="D4:J4"/>
    <mergeCell ref="F6:J7"/>
    <mergeCell ref="B82:J82"/>
    <mergeCell ref="E84:J84"/>
    <mergeCell ref="C107:J107"/>
    <mergeCell ref="E109:J109"/>
  </mergeCells>
  <pageMargins left="0.39374999999999999" right="0.39374999999999999" top="0.39374999999999999" bottom="0.39374999999999999" header="0" footer="0"/>
  <pageSetup paperSize="9" scale="89" fitToHeight="100" orientation="portrait" blackAndWhite="1" r:id="rId1"/>
  <headerFooter>
    <oddFooter>&amp;CStrana &amp;P z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FF00"/>
    <pageSetUpPr fitToPage="1"/>
  </sheetPr>
  <dimension ref="A1:BM307"/>
  <sheetViews>
    <sheetView showGridLines="0" tabSelected="1" topLeftCell="A109" zoomScale="80" zoomScaleNormal="80" workbookViewId="0">
      <selection activeCell="F129" sqref="F129"/>
    </sheetView>
  </sheetViews>
  <sheetFormatPr defaultColWidth="8.7109375" defaultRowHeight="10.199999999999999" x14ac:dyDescent="0.2"/>
  <cols>
    <col min="1" max="1" width="8.28515625" customWidth="1"/>
    <col min="2" max="2" width="1.7109375" customWidth="1"/>
    <col min="3" max="4" width="4.28515625" customWidth="1"/>
    <col min="5" max="5" width="17.28515625" customWidth="1"/>
    <col min="6" max="6" width="50.7109375" customWidth="1"/>
    <col min="7" max="7" width="7" customWidth="1"/>
    <col min="8" max="8" width="11.42578125" customWidth="1"/>
    <col min="9" max="10" width="20.28515625" customWidth="1"/>
    <col min="11" max="11" width="20.28515625" hidden="1" customWidth="1"/>
    <col min="12" max="12" width="12.42578125" customWidth="1"/>
    <col min="13" max="13" width="10.7109375" hidden="1" customWidth="1"/>
    <col min="14" max="14" width="9.28515625" hidden="1"/>
    <col min="15" max="20" width="14.28515625" hidden="1" customWidth="1"/>
    <col min="21" max="21" width="3.7109375" customWidth="1"/>
    <col min="22" max="22" width="12.28515625" customWidth="1"/>
    <col min="23" max="23" width="1.7109375" style="474" customWidth="1"/>
    <col min="24" max="24" width="6.42578125" style="474" customWidth="1"/>
    <col min="25" max="25" width="4.28515625" style="474" customWidth="1"/>
    <col min="26" max="26" width="17.28515625" style="474" customWidth="1"/>
    <col min="27" max="27" width="50.7109375" style="474" customWidth="1"/>
    <col min="28" max="28" width="7" style="474" customWidth="1"/>
    <col min="29" max="29" width="11.42578125" style="474" customWidth="1"/>
    <col min="30" max="31" width="20.28515625" style="474" customWidth="1"/>
    <col min="44" max="65" width="9.28515625" hidden="1"/>
  </cols>
  <sheetData>
    <row r="1" spans="1:46" x14ac:dyDescent="0.2">
      <c r="A1" s="73"/>
    </row>
    <row r="2" spans="1:46" ht="37.049999999999997" customHeight="1" x14ac:dyDescent="0.2">
      <c r="L2" s="1227" t="s">
        <v>5</v>
      </c>
      <c r="M2" s="1225"/>
      <c r="N2" s="1225"/>
      <c r="O2" s="1225"/>
      <c r="P2" s="1225"/>
      <c r="Q2" s="1225"/>
      <c r="R2" s="1225"/>
      <c r="S2" s="1225"/>
      <c r="T2" s="1225"/>
      <c r="U2" s="1225"/>
      <c r="V2" s="1225"/>
      <c r="AT2" s="13" t="s">
        <v>178</v>
      </c>
    </row>
    <row r="3" spans="1:46" ht="7.05" customHeight="1" x14ac:dyDescent="0.2">
      <c r="B3" s="14"/>
      <c r="C3" s="15"/>
      <c r="D3" s="15"/>
      <c r="E3" s="15"/>
      <c r="F3" s="15"/>
      <c r="G3" s="15"/>
      <c r="H3" s="15"/>
      <c r="I3" s="15"/>
      <c r="J3" s="15"/>
      <c r="K3" s="15"/>
      <c r="L3" s="16"/>
      <c r="W3" s="152"/>
      <c r="X3" s="153"/>
      <c r="Y3" s="153"/>
      <c r="Z3" s="153"/>
      <c r="AA3" s="153"/>
      <c r="AB3" s="153"/>
      <c r="AC3" s="153"/>
      <c r="AD3" s="153"/>
      <c r="AE3" s="154"/>
      <c r="AT3" s="13" t="s">
        <v>58</v>
      </c>
    </row>
    <row r="4" spans="1:46" ht="25.05" customHeight="1" x14ac:dyDescent="0.2">
      <c r="B4" s="16"/>
      <c r="C4" s="1165" t="s">
        <v>185</v>
      </c>
      <c r="D4" s="1165"/>
      <c r="E4" s="1165"/>
      <c r="F4" s="1165"/>
      <c r="G4" s="1165"/>
      <c r="H4" s="1165"/>
      <c r="I4" s="1165"/>
      <c r="J4" s="1165"/>
      <c r="L4" s="16"/>
      <c r="M4" s="74" t="s">
        <v>9</v>
      </c>
      <c r="W4" s="155"/>
      <c r="X4" s="1237" t="s">
        <v>185</v>
      </c>
      <c r="Y4" s="1237"/>
      <c r="Z4" s="1237"/>
      <c r="AA4" s="1237"/>
      <c r="AB4" s="1237"/>
      <c r="AC4" s="1237"/>
      <c r="AD4" s="1237"/>
      <c r="AE4" s="1238"/>
      <c r="AT4" s="13" t="s">
        <v>3</v>
      </c>
    </row>
    <row r="5" spans="1:46" ht="7.05" customHeight="1" x14ac:dyDescent="0.2">
      <c r="B5" s="16"/>
      <c r="L5" s="16"/>
      <c r="W5" s="155"/>
      <c r="X5" s="156"/>
      <c r="Y5" s="156"/>
      <c r="Z5" s="156"/>
      <c r="AA5" s="156"/>
      <c r="AB5" s="156"/>
      <c r="AC5" s="156"/>
      <c r="AD5" s="156"/>
      <c r="AE5" s="157"/>
    </row>
    <row r="6" spans="1:46" ht="12" customHeight="1" x14ac:dyDescent="0.2">
      <c r="B6" s="16"/>
      <c r="D6" s="548" t="s">
        <v>12</v>
      </c>
      <c r="F6" s="1254" t="s">
        <v>6176</v>
      </c>
      <c r="G6" s="1254"/>
      <c r="H6" s="1254"/>
      <c r="I6" s="1254"/>
      <c r="J6" s="1254"/>
      <c r="L6" s="16"/>
      <c r="W6" s="155"/>
      <c r="X6" s="156"/>
      <c r="Y6" s="541" t="s">
        <v>12</v>
      </c>
      <c r="Z6" s="156"/>
      <c r="AA6" s="1239" t="s">
        <v>6176</v>
      </c>
      <c r="AB6" s="1239"/>
      <c r="AC6" s="1239"/>
      <c r="AD6" s="1239"/>
      <c r="AE6" s="1240"/>
    </row>
    <row r="7" spans="1:46" ht="25.5" customHeight="1" x14ac:dyDescent="0.2">
      <c r="B7" s="16"/>
      <c r="D7" s="527"/>
      <c r="E7" s="531"/>
      <c r="F7" s="1254"/>
      <c r="G7" s="1254"/>
      <c r="H7" s="1254"/>
      <c r="I7" s="1254"/>
      <c r="J7" s="1254"/>
      <c r="L7" s="16"/>
      <c r="W7" s="155"/>
      <c r="X7" s="156"/>
      <c r="Y7" s="539"/>
      <c r="Z7" s="245"/>
      <c r="AA7" s="1239"/>
      <c r="AB7" s="1239"/>
      <c r="AC7" s="1239"/>
      <c r="AD7" s="1239"/>
      <c r="AE7" s="1240"/>
    </row>
    <row r="8" spans="1:46" s="1" customFormat="1" ht="12" customHeight="1" x14ac:dyDescent="0.2">
      <c r="B8" s="24"/>
      <c r="D8" s="549" t="s">
        <v>186</v>
      </c>
      <c r="F8" s="532" t="s">
        <v>4782</v>
      </c>
      <c r="L8" s="24"/>
      <c r="W8" s="158"/>
      <c r="X8" s="557"/>
      <c r="Y8" s="550" t="s">
        <v>186</v>
      </c>
      <c r="Z8" s="557"/>
      <c r="AA8" s="555" t="s">
        <v>4782</v>
      </c>
      <c r="AB8" s="557"/>
      <c r="AC8" s="557"/>
      <c r="AD8" s="557"/>
      <c r="AE8" s="159"/>
    </row>
    <row r="9" spans="1:46" s="1" customFormat="1" ht="37.049999999999997" customHeight="1" x14ac:dyDescent="0.2">
      <c r="B9" s="24"/>
      <c r="D9" s="521"/>
      <c r="E9" s="1251"/>
      <c r="F9" s="1252"/>
      <c r="G9" s="1252"/>
      <c r="H9" s="1252"/>
      <c r="L9" s="24"/>
      <c r="W9" s="158"/>
      <c r="X9" s="557"/>
      <c r="Y9" s="557"/>
      <c r="Z9" s="1245"/>
      <c r="AA9" s="1246"/>
      <c r="AB9" s="1246"/>
      <c r="AC9" s="1246"/>
      <c r="AD9" s="557"/>
      <c r="AE9" s="159"/>
    </row>
    <row r="10" spans="1:46" s="1" customFormat="1" x14ac:dyDescent="0.2">
      <c r="B10" s="24"/>
      <c r="D10" s="521"/>
      <c r="L10" s="24"/>
      <c r="W10" s="158"/>
      <c r="X10" s="557"/>
      <c r="Y10" s="557"/>
      <c r="Z10" s="557"/>
      <c r="AA10" s="557"/>
      <c r="AB10" s="557"/>
      <c r="AC10" s="557"/>
      <c r="AD10" s="557"/>
      <c r="AE10" s="159"/>
    </row>
    <row r="11" spans="1:46" s="1" customFormat="1" ht="12" customHeight="1" x14ac:dyDescent="0.2">
      <c r="B11" s="24"/>
      <c r="D11" s="528" t="s">
        <v>13</v>
      </c>
      <c r="F11" s="19" t="s">
        <v>1</v>
      </c>
      <c r="I11" s="528" t="s">
        <v>14</v>
      </c>
      <c r="J11" s="19" t="s">
        <v>1</v>
      </c>
      <c r="L11" s="24"/>
      <c r="W11" s="158"/>
      <c r="X11" s="557"/>
      <c r="Y11" s="538" t="s">
        <v>13</v>
      </c>
      <c r="Z11" s="557"/>
      <c r="AA11" s="558" t="s">
        <v>1</v>
      </c>
      <c r="AB11" s="557"/>
      <c r="AC11" s="557"/>
      <c r="AD11" s="538" t="s">
        <v>14</v>
      </c>
      <c r="AE11" s="161" t="s">
        <v>1</v>
      </c>
    </row>
    <row r="12" spans="1:46" s="1" customFormat="1" ht="12" customHeight="1" x14ac:dyDescent="0.2">
      <c r="B12" s="24"/>
      <c r="D12" s="528" t="s">
        <v>15</v>
      </c>
      <c r="F12" s="520" t="s">
        <v>6173</v>
      </c>
      <c r="I12" s="528" t="s">
        <v>17</v>
      </c>
      <c r="J12" s="39"/>
      <c r="L12" s="24"/>
      <c r="W12" s="158"/>
      <c r="X12" s="557"/>
      <c r="Y12" s="538" t="s">
        <v>15</v>
      </c>
      <c r="Z12" s="557"/>
      <c r="AA12" s="558" t="s">
        <v>6173</v>
      </c>
      <c r="AB12" s="557"/>
      <c r="AC12" s="557"/>
      <c r="AD12" s="538" t="s">
        <v>17</v>
      </c>
      <c r="AE12" s="162"/>
    </row>
    <row r="13" spans="1:46" s="1" customFormat="1" ht="10.95" customHeight="1" x14ac:dyDescent="0.2">
      <c r="B13" s="24"/>
      <c r="D13" s="521"/>
      <c r="F13" s="521"/>
      <c r="I13" s="521"/>
      <c r="L13" s="24"/>
      <c r="W13" s="158"/>
      <c r="X13" s="557"/>
      <c r="Y13" s="557"/>
      <c r="Z13" s="557"/>
      <c r="AA13" s="557"/>
      <c r="AB13" s="557"/>
      <c r="AC13" s="557"/>
      <c r="AD13" s="557"/>
      <c r="AE13" s="159"/>
    </row>
    <row r="14" spans="1:46" s="1" customFormat="1" ht="12" customHeight="1" x14ac:dyDescent="0.2">
      <c r="B14" s="24"/>
      <c r="D14" s="528" t="s">
        <v>18</v>
      </c>
      <c r="F14" s="529" t="s">
        <v>6175</v>
      </c>
      <c r="I14" s="528" t="s">
        <v>19</v>
      </c>
      <c r="J14" s="19" t="str">
        <f>IF('Rekapitulácia stavby'!AN10="","",'Rekapitulácia stavby'!AN10)</f>
        <v/>
      </c>
      <c r="L14" s="24"/>
      <c r="W14" s="158"/>
      <c r="X14" s="557"/>
      <c r="Y14" s="538" t="s">
        <v>18</v>
      </c>
      <c r="Z14" s="557"/>
      <c r="AA14" s="576" t="s">
        <v>6175</v>
      </c>
      <c r="AB14" s="557"/>
      <c r="AC14" s="557"/>
      <c r="AD14" s="538" t="s">
        <v>19</v>
      </c>
      <c r="AE14" s="161" t="str">
        <f>IF('Rekapitulácia stavby'!BI10="","",'Rekapitulácia stavby'!BI10)</f>
        <v/>
      </c>
    </row>
    <row r="15" spans="1:46" s="1" customFormat="1" ht="18" customHeight="1" x14ac:dyDescent="0.2">
      <c r="B15" s="24"/>
      <c r="D15" s="521"/>
      <c r="E15" s="19" t="str">
        <f>IF('Rekapitulácia stavby'!E11="","",'Rekapitulácia stavby'!E11)</f>
        <v/>
      </c>
      <c r="F15" s="521"/>
      <c r="I15" s="528" t="s">
        <v>20</v>
      </c>
      <c r="J15" s="19" t="str">
        <f>IF('Rekapitulácia stavby'!AN11="","",'Rekapitulácia stavby'!AN11)</f>
        <v/>
      </c>
      <c r="L15" s="24"/>
      <c r="W15" s="158"/>
      <c r="X15" s="557"/>
      <c r="Y15" s="557"/>
      <c r="Z15" s="558" t="str">
        <f>E15</f>
        <v/>
      </c>
      <c r="AA15" s="557"/>
      <c r="AB15" s="557"/>
      <c r="AC15" s="557"/>
      <c r="AD15" s="538" t="s">
        <v>20</v>
      </c>
      <c r="AE15" s="161" t="str">
        <f>IF('Rekapitulácia stavby'!BI11="","",'Rekapitulácia stavby'!BI11)</f>
        <v/>
      </c>
    </row>
    <row r="16" spans="1:46" s="1" customFormat="1" ht="7.05" customHeight="1" x14ac:dyDescent="0.2">
      <c r="B16" s="24"/>
      <c r="D16" s="521"/>
      <c r="F16" s="521"/>
      <c r="I16" s="521"/>
      <c r="L16" s="24"/>
      <c r="W16" s="158"/>
      <c r="X16" s="557"/>
      <c r="Y16" s="557"/>
      <c r="Z16" s="557"/>
      <c r="AA16" s="557"/>
      <c r="AB16" s="557"/>
      <c r="AC16" s="557"/>
      <c r="AD16" s="557"/>
      <c r="AE16" s="159"/>
    </row>
    <row r="17" spans="2:31" s="1" customFormat="1" ht="12" customHeight="1" x14ac:dyDescent="0.2">
      <c r="B17" s="24"/>
      <c r="D17" s="528" t="s">
        <v>21</v>
      </c>
      <c r="F17" s="529" t="s">
        <v>5202</v>
      </c>
      <c r="I17" s="528" t="s">
        <v>19</v>
      </c>
      <c r="J17" s="19"/>
      <c r="L17" s="24"/>
      <c r="W17" s="158"/>
      <c r="X17" s="557"/>
      <c r="Y17" s="538" t="s">
        <v>21</v>
      </c>
      <c r="Z17" s="557"/>
      <c r="AA17" s="576" t="s">
        <v>5202</v>
      </c>
      <c r="AB17" s="557"/>
      <c r="AC17" s="557"/>
      <c r="AD17" s="538" t="s">
        <v>19</v>
      </c>
      <c r="AE17" s="161"/>
    </row>
    <row r="18" spans="2:31" s="1" customFormat="1" ht="18" customHeight="1" x14ac:dyDescent="0.2">
      <c r="B18" s="24"/>
      <c r="D18" s="521"/>
      <c r="E18" s="1161"/>
      <c r="F18" s="1161"/>
      <c r="G18" s="1161"/>
      <c r="H18" s="1161"/>
      <c r="I18" s="528" t="s">
        <v>20</v>
      </c>
      <c r="J18" s="19" t="str">
        <f>'Rekapitulácia stavby'!AN14</f>
        <v/>
      </c>
      <c r="L18" s="24"/>
      <c r="W18" s="158"/>
      <c r="X18" s="557"/>
      <c r="Y18" s="557"/>
      <c r="Z18" s="1247"/>
      <c r="AA18" s="1247"/>
      <c r="AB18" s="1247"/>
      <c r="AC18" s="1247"/>
      <c r="AD18" s="538" t="s">
        <v>20</v>
      </c>
      <c r="AE18" s="161"/>
    </row>
    <row r="19" spans="2:31" s="1" customFormat="1" ht="7.05" customHeight="1" x14ac:dyDescent="0.2">
      <c r="B19" s="24"/>
      <c r="D19" s="521"/>
      <c r="I19" s="521"/>
      <c r="L19" s="24"/>
      <c r="W19" s="158"/>
      <c r="X19" s="557"/>
      <c r="Y19" s="557"/>
      <c r="Z19" s="557"/>
      <c r="AA19" s="557"/>
      <c r="AB19" s="557"/>
      <c r="AC19" s="557"/>
      <c r="AD19" s="557"/>
      <c r="AE19" s="159"/>
    </row>
    <row r="20" spans="2:31" s="1" customFormat="1" ht="12" customHeight="1" x14ac:dyDescent="0.2">
      <c r="B20" s="24"/>
      <c r="D20" s="528" t="s">
        <v>22</v>
      </c>
      <c r="I20" s="528" t="s">
        <v>19</v>
      </c>
      <c r="J20" s="19" t="str">
        <f>IF('Rekapitulácia stavby'!AN16="","",'Rekapitulácia stavby'!AN16)</f>
        <v/>
      </c>
      <c r="L20" s="24"/>
      <c r="W20" s="158"/>
      <c r="X20" s="557"/>
      <c r="Y20" s="538" t="s">
        <v>22</v>
      </c>
      <c r="Z20" s="557"/>
      <c r="AA20" s="557"/>
      <c r="AB20" s="557"/>
      <c r="AC20" s="557"/>
      <c r="AD20" s="538" t="s">
        <v>19</v>
      </c>
      <c r="AE20" s="161" t="str">
        <f>IF('Rekapitulácia stavby'!BI16="","",'Rekapitulácia stavby'!BI16)</f>
        <v/>
      </c>
    </row>
    <row r="21" spans="2:31" s="1" customFormat="1" ht="18" customHeight="1" x14ac:dyDescent="0.2">
      <c r="B21" s="24"/>
      <c r="D21" s="521"/>
      <c r="E21" s="19" t="str">
        <f>IF('Rekapitulácia stavby'!E17="","",'Rekapitulácia stavby'!E17)</f>
        <v xml:space="preserve"> </v>
      </c>
      <c r="I21" s="528" t="s">
        <v>20</v>
      </c>
      <c r="J21" s="19" t="str">
        <f>IF('Rekapitulácia stavby'!AN17="","",'Rekapitulácia stavby'!AN17)</f>
        <v/>
      </c>
      <c r="L21" s="24"/>
      <c r="W21" s="158"/>
      <c r="X21" s="557"/>
      <c r="Y21" s="557"/>
      <c r="Z21" s="558" t="str">
        <f>IF('Rekapitulácia stavby'!Z17="","",'Rekapitulácia stavby'!Z17)</f>
        <v/>
      </c>
      <c r="AA21" s="557"/>
      <c r="AB21" s="557"/>
      <c r="AC21" s="557"/>
      <c r="AD21" s="538" t="s">
        <v>20</v>
      </c>
      <c r="AE21" s="161" t="str">
        <f>IF('Rekapitulácia stavby'!BI17="","",'Rekapitulácia stavby'!BI17)</f>
        <v/>
      </c>
    </row>
    <row r="22" spans="2:31" s="1" customFormat="1" ht="7.05" customHeight="1" x14ac:dyDescent="0.2">
      <c r="B22" s="24"/>
      <c r="D22" s="521"/>
      <c r="I22" s="521"/>
      <c r="L22" s="24"/>
      <c r="W22" s="158"/>
      <c r="X22" s="557"/>
      <c r="Y22" s="557"/>
      <c r="Z22" s="557"/>
      <c r="AA22" s="557"/>
      <c r="AB22" s="557"/>
      <c r="AC22" s="557"/>
      <c r="AD22" s="557"/>
      <c r="AE22" s="159"/>
    </row>
    <row r="23" spans="2:31" s="1" customFormat="1" ht="12" customHeight="1" x14ac:dyDescent="0.2">
      <c r="B23" s="24"/>
      <c r="D23" s="528" t="s">
        <v>24</v>
      </c>
      <c r="I23" s="528" t="s">
        <v>19</v>
      </c>
      <c r="J23" s="19" t="str">
        <f>IF('Rekapitulácia stavby'!AN19="","",'Rekapitulácia stavby'!AN19)</f>
        <v/>
      </c>
      <c r="L23" s="24"/>
      <c r="W23" s="158"/>
      <c r="X23" s="557"/>
      <c r="Y23" s="538" t="s">
        <v>24</v>
      </c>
      <c r="Z23" s="557"/>
      <c r="AA23" s="557"/>
      <c r="AB23" s="557"/>
      <c r="AC23" s="557"/>
      <c r="AD23" s="538" t="s">
        <v>19</v>
      </c>
      <c r="AE23" s="161" t="str">
        <f>IF('Rekapitulácia stavby'!BI19="","",'Rekapitulácia stavby'!BI19)</f>
        <v/>
      </c>
    </row>
    <row r="24" spans="2:31" s="1" customFormat="1" ht="18" customHeight="1" x14ac:dyDescent="0.2">
      <c r="B24" s="24"/>
      <c r="D24" s="521"/>
      <c r="E24" s="19" t="str">
        <f>IF('Rekapitulácia stavby'!E20="","",'Rekapitulácia stavby'!E20)</f>
        <v xml:space="preserve"> </v>
      </c>
      <c r="I24" s="528" t="s">
        <v>20</v>
      </c>
      <c r="J24" s="19" t="str">
        <f>IF('Rekapitulácia stavby'!AN20="","",'Rekapitulácia stavby'!AN20)</f>
        <v/>
      </c>
      <c r="L24" s="24"/>
      <c r="W24" s="158"/>
      <c r="X24" s="557"/>
      <c r="Y24" s="557"/>
      <c r="Z24" s="558" t="str">
        <f>IF('Rekapitulácia stavby'!Z20="","",'Rekapitulácia stavby'!Z20)</f>
        <v/>
      </c>
      <c r="AA24" s="557"/>
      <c r="AB24" s="557"/>
      <c r="AC24" s="557"/>
      <c r="AD24" s="538" t="s">
        <v>20</v>
      </c>
      <c r="AE24" s="161" t="str">
        <f>IF('Rekapitulácia stavby'!BI20="","",'Rekapitulácia stavby'!BI20)</f>
        <v/>
      </c>
    </row>
    <row r="25" spans="2:31" s="1" customFormat="1" ht="7.05" customHeight="1" x14ac:dyDescent="0.2">
      <c r="B25" s="24"/>
      <c r="D25" s="521"/>
      <c r="L25" s="24"/>
      <c r="W25" s="158"/>
      <c r="X25" s="557"/>
      <c r="Y25" s="557"/>
      <c r="Z25" s="557"/>
      <c r="AA25" s="557"/>
      <c r="AB25" s="557"/>
      <c r="AC25" s="557"/>
      <c r="AD25" s="557"/>
      <c r="AE25" s="159"/>
    </row>
    <row r="26" spans="2:31" s="1" customFormat="1" ht="12" customHeight="1" x14ac:dyDescent="0.2">
      <c r="B26" s="24"/>
      <c r="D26" s="528" t="s">
        <v>25</v>
      </c>
      <c r="L26" s="24"/>
      <c r="W26" s="158"/>
      <c r="X26" s="557"/>
      <c r="Y26" s="538" t="s">
        <v>25</v>
      </c>
      <c r="Z26" s="557"/>
      <c r="AA26" s="557"/>
      <c r="AB26" s="557"/>
      <c r="AC26" s="557"/>
      <c r="AD26" s="557"/>
      <c r="AE26" s="159"/>
    </row>
    <row r="27" spans="2:31" s="7" customFormat="1" ht="16.5" customHeight="1" x14ac:dyDescent="0.2">
      <c r="B27" s="75"/>
      <c r="E27" s="1228" t="s">
        <v>1</v>
      </c>
      <c r="F27" s="1228"/>
      <c r="G27" s="1228"/>
      <c r="H27" s="1228"/>
      <c r="L27" s="75"/>
      <c r="W27" s="163"/>
      <c r="X27" s="164"/>
      <c r="Y27" s="164"/>
      <c r="Z27" s="1248" t="s">
        <v>1</v>
      </c>
      <c r="AA27" s="1248"/>
      <c r="AB27" s="1248"/>
      <c r="AC27" s="1248"/>
      <c r="AD27" s="164"/>
      <c r="AE27" s="165"/>
    </row>
    <row r="28" spans="2:31" s="1" customFormat="1" ht="7.05" customHeight="1" x14ac:dyDescent="0.2">
      <c r="B28" s="24"/>
      <c r="L28" s="24"/>
      <c r="W28" s="158"/>
      <c r="X28" s="557"/>
      <c r="Y28" s="557"/>
      <c r="Z28" s="557"/>
      <c r="AA28" s="557"/>
      <c r="AB28" s="557"/>
      <c r="AC28" s="557"/>
      <c r="AD28" s="557"/>
      <c r="AE28" s="159"/>
    </row>
    <row r="29" spans="2:31" s="1" customFormat="1" ht="7.05" customHeight="1" x14ac:dyDescent="0.2">
      <c r="B29" s="24"/>
      <c r="D29" s="40"/>
      <c r="E29" s="40"/>
      <c r="F29" s="40"/>
      <c r="G29" s="40"/>
      <c r="H29" s="40"/>
      <c r="I29" s="40"/>
      <c r="J29" s="40"/>
      <c r="K29" s="40"/>
      <c r="L29" s="24"/>
      <c r="W29" s="158"/>
      <c r="X29" s="557"/>
      <c r="Y29" s="40"/>
      <c r="Z29" s="40"/>
      <c r="AA29" s="40"/>
      <c r="AB29" s="40"/>
      <c r="AC29" s="40"/>
      <c r="AD29" s="40"/>
      <c r="AE29" s="166"/>
    </row>
    <row r="30" spans="2:31" s="1" customFormat="1" ht="25.2" customHeight="1" x14ac:dyDescent="0.2">
      <c r="B30" s="24"/>
      <c r="D30" s="76" t="s">
        <v>26</v>
      </c>
      <c r="J30" s="53">
        <f>ROUND(J128, 2)</f>
        <v>352425</v>
      </c>
      <c r="L30" s="24"/>
      <c r="W30" s="158"/>
      <c r="X30" s="557"/>
      <c r="Y30" s="167" t="s">
        <v>26</v>
      </c>
      <c r="Z30" s="557"/>
      <c r="AA30" s="557"/>
      <c r="AB30" s="557"/>
      <c r="AC30" s="557"/>
      <c r="AD30" s="557"/>
      <c r="AE30" s="168">
        <f>ROUND(AE128, 2)</f>
        <v>343445.59</v>
      </c>
    </row>
    <row r="31" spans="2:31" s="1" customFormat="1" ht="7.05" customHeight="1" x14ac:dyDescent="0.2">
      <c r="B31" s="24"/>
      <c r="D31" s="40"/>
      <c r="E31" s="40"/>
      <c r="F31" s="40"/>
      <c r="G31" s="40"/>
      <c r="H31" s="40"/>
      <c r="I31" s="40"/>
      <c r="J31" s="40"/>
      <c r="K31" s="40"/>
      <c r="L31" s="24"/>
      <c r="W31" s="158"/>
      <c r="X31" s="557"/>
      <c r="Y31" s="40"/>
      <c r="Z31" s="40"/>
      <c r="AA31" s="40"/>
      <c r="AB31" s="40"/>
      <c r="AC31" s="40"/>
      <c r="AD31" s="40"/>
      <c r="AE31" s="166"/>
    </row>
    <row r="32" spans="2:31" s="1" customFormat="1" ht="14.55" customHeight="1" x14ac:dyDescent="0.2">
      <c r="B32" s="24"/>
      <c r="D32" s="521"/>
      <c r="E32" s="521"/>
      <c r="F32" s="534" t="s">
        <v>28</v>
      </c>
      <c r="G32" s="521"/>
      <c r="H32" s="521"/>
      <c r="I32" s="534" t="s">
        <v>27</v>
      </c>
      <c r="J32" s="534" t="s">
        <v>29</v>
      </c>
      <c r="L32" s="24"/>
      <c r="W32" s="158"/>
      <c r="X32" s="557"/>
      <c r="Y32" s="557"/>
      <c r="Z32" s="557"/>
      <c r="AA32" s="542" t="s">
        <v>28</v>
      </c>
      <c r="AB32" s="557"/>
      <c r="AC32" s="557"/>
      <c r="AD32" s="542" t="s">
        <v>27</v>
      </c>
      <c r="AE32" s="543" t="s">
        <v>29</v>
      </c>
    </row>
    <row r="33" spans="2:31" s="1" customFormat="1" ht="14.55" customHeight="1" x14ac:dyDescent="0.2">
      <c r="B33" s="24"/>
      <c r="D33" s="13" t="s">
        <v>30</v>
      </c>
      <c r="E33" s="528" t="s">
        <v>31</v>
      </c>
      <c r="F33" s="398">
        <f>ROUND((SUM(BE128:BE306)),  2)</f>
        <v>0</v>
      </c>
      <c r="G33" s="521"/>
      <c r="H33" s="521"/>
      <c r="I33" s="535">
        <v>0.2</v>
      </c>
      <c r="J33" s="398">
        <f>ROUND(((SUM(BE128:BE306))*I33),  2)</f>
        <v>0</v>
      </c>
      <c r="L33" s="24"/>
      <c r="W33" s="158"/>
      <c r="X33" s="557"/>
      <c r="Y33" s="544" t="s">
        <v>30</v>
      </c>
      <c r="Z33" s="538" t="s">
        <v>31</v>
      </c>
      <c r="AA33" s="545">
        <f>ROUND((SUM(BZ128:BZ306)),  2)</f>
        <v>0</v>
      </c>
      <c r="AB33" s="557"/>
      <c r="AC33" s="557"/>
      <c r="AD33" s="546">
        <v>0.2</v>
      </c>
      <c r="AE33" s="547">
        <f>ROUND(((SUM(BZ128:BZ306))*AD33),  2)</f>
        <v>0</v>
      </c>
    </row>
    <row r="34" spans="2:31" s="1" customFormat="1" ht="14.55" customHeight="1" x14ac:dyDescent="0.2">
      <c r="B34" s="24"/>
      <c r="D34" s="521"/>
      <c r="E34" s="528" t="s">
        <v>32</v>
      </c>
      <c r="F34" s="398">
        <f>ROUND((SUM(BF128:BF306)),  2)</f>
        <v>341102.58</v>
      </c>
      <c r="G34" s="521"/>
      <c r="H34" s="521"/>
      <c r="I34" s="535">
        <v>0.2</v>
      </c>
      <c r="J34" s="398">
        <f>ROUND(((SUM(BF128:BF306))*I34),  2)</f>
        <v>68220.52</v>
      </c>
      <c r="L34" s="24"/>
      <c r="W34" s="158"/>
      <c r="X34" s="557"/>
      <c r="Y34" s="557"/>
      <c r="Z34" s="538" t="s">
        <v>32</v>
      </c>
      <c r="AA34" s="545">
        <f>AE30</f>
        <v>343445.59</v>
      </c>
      <c r="AB34" s="557"/>
      <c r="AC34" s="557"/>
      <c r="AD34" s="546">
        <v>0.2</v>
      </c>
      <c r="AE34" s="547">
        <f>AA34*0.2</f>
        <v>68689.118000000002</v>
      </c>
    </row>
    <row r="35" spans="2:31" s="1" customFormat="1" ht="14.55" hidden="1" customHeight="1" x14ac:dyDescent="0.2">
      <c r="B35" s="24"/>
      <c r="E35" s="21" t="s">
        <v>33</v>
      </c>
      <c r="F35" s="78">
        <f>ROUND((SUM(BG128:BG306)),  2)</f>
        <v>0</v>
      </c>
      <c r="I35" s="79">
        <v>0.2</v>
      </c>
      <c r="J35" s="78">
        <f>0</f>
        <v>0</v>
      </c>
      <c r="L35" s="24"/>
      <c r="W35" s="158"/>
      <c r="X35" s="557"/>
      <c r="Y35" s="557"/>
      <c r="Z35" s="559" t="s">
        <v>33</v>
      </c>
      <c r="AA35" s="170">
        <f>ROUND((SUM(CB128:CB306)),  2)</f>
        <v>0</v>
      </c>
      <c r="AB35" s="557"/>
      <c r="AC35" s="557"/>
      <c r="AD35" s="171">
        <v>0.2</v>
      </c>
      <c r="AE35" s="172">
        <f>0</f>
        <v>0</v>
      </c>
    </row>
    <row r="36" spans="2:31" s="1" customFormat="1" ht="14.55" hidden="1" customHeight="1" x14ac:dyDescent="0.2">
      <c r="B36" s="24"/>
      <c r="E36" s="21" t="s">
        <v>34</v>
      </c>
      <c r="F36" s="78">
        <f>ROUND((SUM(BH128:BH306)),  2)</f>
        <v>0</v>
      </c>
      <c r="I36" s="79">
        <v>0.2</v>
      </c>
      <c r="J36" s="78">
        <f>0</f>
        <v>0</v>
      </c>
      <c r="L36" s="24"/>
      <c r="W36" s="158"/>
      <c r="X36" s="557"/>
      <c r="Y36" s="557"/>
      <c r="Z36" s="559" t="s">
        <v>34</v>
      </c>
      <c r="AA36" s="170">
        <f>ROUND((SUM(CC128:CC306)),  2)</f>
        <v>0</v>
      </c>
      <c r="AB36" s="557"/>
      <c r="AC36" s="557"/>
      <c r="AD36" s="171">
        <v>0.2</v>
      </c>
      <c r="AE36" s="172">
        <f>0</f>
        <v>0</v>
      </c>
    </row>
    <row r="37" spans="2:31" s="1" customFormat="1" ht="14.55" hidden="1" customHeight="1" x14ac:dyDescent="0.2">
      <c r="B37" s="24"/>
      <c r="E37" s="21" t="s">
        <v>35</v>
      </c>
      <c r="F37" s="78">
        <f>ROUND((SUM(BI128:BI306)),  2)</f>
        <v>0</v>
      </c>
      <c r="I37" s="79">
        <v>0</v>
      </c>
      <c r="J37" s="78">
        <f>0</f>
        <v>0</v>
      </c>
      <c r="L37" s="24"/>
      <c r="W37" s="158"/>
      <c r="X37" s="557"/>
      <c r="Y37" s="557"/>
      <c r="Z37" s="559" t="s">
        <v>35</v>
      </c>
      <c r="AA37" s="170">
        <f>ROUND((SUM(CD128:CD306)),  2)</f>
        <v>0</v>
      </c>
      <c r="AB37" s="557"/>
      <c r="AC37" s="557"/>
      <c r="AD37" s="171">
        <v>0</v>
      </c>
      <c r="AE37" s="172">
        <f>0</f>
        <v>0</v>
      </c>
    </row>
    <row r="38" spans="2:31" s="1" customFormat="1" ht="7.05" customHeight="1" x14ac:dyDescent="0.2">
      <c r="B38" s="24"/>
      <c r="L38" s="24"/>
      <c r="W38" s="158"/>
      <c r="X38" s="557"/>
      <c r="Y38" s="557"/>
      <c r="Z38" s="557"/>
      <c r="AA38" s="557"/>
      <c r="AB38" s="557"/>
      <c r="AC38" s="557"/>
      <c r="AD38" s="557"/>
      <c r="AE38" s="159"/>
    </row>
    <row r="39" spans="2:31" s="1" customFormat="1" ht="25.2" customHeight="1" x14ac:dyDescent="0.2">
      <c r="B39" s="24"/>
      <c r="C39" s="80"/>
      <c r="D39" s="81" t="s">
        <v>36</v>
      </c>
      <c r="E39" s="44"/>
      <c r="F39" s="44"/>
      <c r="G39" s="82" t="s">
        <v>37</v>
      </c>
      <c r="H39" s="83" t="s">
        <v>38</v>
      </c>
      <c r="I39" s="44"/>
      <c r="J39" s="84">
        <f>SUM(J30:J37)</f>
        <v>420645.52</v>
      </c>
      <c r="K39" s="85"/>
      <c r="L39" s="24"/>
      <c r="W39" s="158"/>
      <c r="X39" s="173"/>
      <c r="Y39" s="81" t="s">
        <v>36</v>
      </c>
      <c r="Z39" s="44"/>
      <c r="AA39" s="44"/>
      <c r="AB39" s="82" t="s">
        <v>37</v>
      </c>
      <c r="AC39" s="83" t="s">
        <v>38</v>
      </c>
      <c r="AD39" s="44"/>
      <c r="AE39" s="174">
        <f>SUM(AE30:AE37)</f>
        <v>412134.70800000004</v>
      </c>
    </row>
    <row r="40" spans="2:31" s="1" customFormat="1" ht="14.55" customHeight="1" x14ac:dyDescent="0.2">
      <c r="B40" s="24"/>
      <c r="L40" s="24"/>
      <c r="W40" s="158"/>
      <c r="X40" s="557"/>
      <c r="Y40" s="557"/>
      <c r="Z40" s="557"/>
      <c r="AA40" s="557"/>
      <c r="AB40" s="557"/>
      <c r="AC40" s="557"/>
      <c r="AD40" s="557"/>
      <c r="AE40" s="159"/>
    </row>
    <row r="41" spans="2:31" ht="14.55" customHeight="1" x14ac:dyDescent="0.2">
      <c r="B41" s="16"/>
      <c r="L41" s="16"/>
      <c r="W41" s="155"/>
      <c r="X41" s="156"/>
      <c r="Y41" s="156"/>
      <c r="Z41" s="156"/>
      <c r="AA41" s="156"/>
      <c r="AB41" s="156"/>
      <c r="AC41" s="156"/>
      <c r="AD41" s="156"/>
      <c r="AE41" s="157"/>
    </row>
    <row r="42" spans="2:31" ht="14.55" customHeight="1" x14ac:dyDescent="0.2">
      <c r="B42" s="16"/>
      <c r="L42" s="16"/>
      <c r="W42" s="155"/>
      <c r="X42" s="156"/>
      <c r="Y42" s="156"/>
      <c r="Z42" s="156"/>
      <c r="AA42" s="156"/>
      <c r="AB42" s="156"/>
      <c r="AC42" s="156"/>
      <c r="AD42" s="156"/>
      <c r="AE42" s="157"/>
    </row>
    <row r="43" spans="2:31" ht="14.55" customHeight="1" x14ac:dyDescent="0.2">
      <c r="B43" s="16"/>
      <c r="L43" s="16"/>
      <c r="W43" s="155"/>
      <c r="X43" s="156"/>
      <c r="Y43" s="156"/>
      <c r="Z43" s="156"/>
      <c r="AA43" s="156"/>
      <c r="AB43" s="156"/>
      <c r="AC43" s="156"/>
      <c r="AD43" s="156"/>
      <c r="AE43" s="157"/>
    </row>
    <row r="44" spans="2:31" ht="14.55" customHeight="1" x14ac:dyDescent="0.2">
      <c r="B44" s="16"/>
      <c r="L44" s="16"/>
      <c r="W44" s="155"/>
      <c r="X44" s="156"/>
      <c r="Y44" s="156"/>
      <c r="Z44" s="156"/>
      <c r="AA44" s="156"/>
      <c r="AB44" s="156"/>
      <c r="AC44" s="156"/>
      <c r="AD44" s="156"/>
      <c r="AE44" s="157"/>
    </row>
    <row r="45" spans="2:31" ht="14.55" customHeight="1" x14ac:dyDescent="0.2">
      <c r="B45" s="16"/>
      <c r="L45" s="16"/>
      <c r="W45" s="155"/>
      <c r="X45" s="156"/>
      <c r="Y45" s="156"/>
      <c r="Z45" s="156"/>
      <c r="AA45" s="156"/>
      <c r="AB45" s="156"/>
      <c r="AC45" s="156"/>
      <c r="AD45" s="156"/>
      <c r="AE45" s="157"/>
    </row>
    <row r="46" spans="2:31" ht="14.55" customHeight="1" x14ac:dyDescent="0.2">
      <c r="B46" s="16"/>
      <c r="L46" s="16"/>
      <c r="W46" s="155"/>
      <c r="X46" s="156"/>
      <c r="Y46" s="156"/>
      <c r="Z46" s="156"/>
      <c r="AA46" s="156"/>
      <c r="AB46" s="156"/>
      <c r="AC46" s="156"/>
      <c r="AD46" s="156"/>
      <c r="AE46" s="157"/>
    </row>
    <row r="47" spans="2:31" ht="14.55" customHeight="1" x14ac:dyDescent="0.2">
      <c r="B47" s="16"/>
      <c r="L47" s="16"/>
      <c r="W47" s="155"/>
      <c r="X47" s="156"/>
      <c r="Y47" s="156"/>
      <c r="Z47" s="156"/>
      <c r="AA47" s="156"/>
      <c r="AB47" s="156"/>
      <c r="AC47" s="156"/>
      <c r="AD47" s="156"/>
      <c r="AE47" s="157"/>
    </row>
    <row r="48" spans="2:31" ht="14.55" customHeight="1" x14ac:dyDescent="0.2">
      <c r="B48" s="16"/>
      <c r="L48" s="16"/>
      <c r="W48" s="155"/>
      <c r="X48" s="156"/>
      <c r="Y48" s="156"/>
      <c r="Z48" s="156"/>
      <c r="AA48" s="156"/>
      <c r="AB48" s="156"/>
      <c r="AC48" s="156"/>
      <c r="AD48" s="156"/>
      <c r="AE48" s="157"/>
    </row>
    <row r="49" spans="2:31" ht="14.55" customHeight="1" x14ac:dyDescent="0.2">
      <c r="B49" s="16"/>
      <c r="D49" s="156"/>
      <c r="E49" s="156"/>
      <c r="F49" s="156"/>
      <c r="G49" s="156"/>
      <c r="H49" s="156"/>
      <c r="I49" s="156"/>
      <c r="J49" s="156"/>
      <c r="L49" s="16"/>
      <c r="W49" s="155"/>
      <c r="X49" s="156"/>
      <c r="Y49" s="156"/>
      <c r="Z49" s="156"/>
      <c r="AA49" s="156"/>
      <c r="AB49" s="156"/>
      <c r="AC49" s="156"/>
      <c r="AD49" s="156"/>
      <c r="AE49" s="157"/>
    </row>
    <row r="50" spans="2:31" s="1" customFormat="1" ht="14.55" customHeight="1" x14ac:dyDescent="0.2">
      <c r="B50" s="24"/>
      <c r="D50" s="530"/>
      <c r="E50" s="523"/>
      <c r="F50" s="523"/>
      <c r="G50" s="530"/>
      <c r="H50" s="523"/>
      <c r="I50" s="523"/>
      <c r="J50" s="523"/>
      <c r="K50" s="32"/>
      <c r="L50" s="24"/>
      <c r="W50" s="158"/>
      <c r="X50" s="557"/>
      <c r="Y50" s="530"/>
      <c r="Z50" s="557"/>
      <c r="AA50" s="557"/>
      <c r="AB50" s="530"/>
      <c r="AC50" s="557"/>
      <c r="AD50" s="557"/>
      <c r="AE50" s="159"/>
    </row>
    <row r="51" spans="2:31" x14ac:dyDescent="0.2">
      <c r="B51" s="16"/>
      <c r="D51" s="156"/>
      <c r="E51" s="156"/>
      <c r="F51" s="156"/>
      <c r="G51" s="156"/>
      <c r="H51" s="156"/>
      <c r="I51" s="156"/>
      <c r="J51" s="156"/>
      <c r="L51" s="16"/>
      <c r="W51" s="155"/>
      <c r="X51" s="156"/>
      <c r="Y51" s="156"/>
      <c r="Z51" s="156"/>
      <c r="AA51" s="156"/>
      <c r="AB51" s="156"/>
      <c r="AC51" s="156"/>
      <c r="AD51" s="156"/>
      <c r="AE51" s="157"/>
    </row>
    <row r="52" spans="2:31" x14ac:dyDescent="0.2">
      <c r="B52" s="16"/>
      <c r="D52" s="156"/>
      <c r="E52" s="156"/>
      <c r="F52" s="156"/>
      <c r="G52" s="156"/>
      <c r="H52" s="156"/>
      <c r="I52" s="156"/>
      <c r="J52" s="156"/>
      <c r="L52" s="16"/>
      <c r="W52" s="155"/>
      <c r="X52" s="156"/>
      <c r="Y52" s="156"/>
      <c r="Z52" s="156"/>
      <c r="AA52" s="156"/>
      <c r="AB52" s="156"/>
      <c r="AC52" s="156"/>
      <c r="AD52" s="156"/>
      <c r="AE52" s="157"/>
    </row>
    <row r="53" spans="2:31" x14ac:dyDescent="0.2">
      <c r="B53" s="16"/>
      <c r="D53" s="156"/>
      <c r="E53" s="156"/>
      <c r="F53" s="156"/>
      <c r="G53" s="156"/>
      <c r="H53" s="156"/>
      <c r="I53" s="156"/>
      <c r="J53" s="156"/>
      <c r="L53" s="16"/>
      <c r="W53" s="155"/>
      <c r="X53" s="156"/>
      <c r="Y53" s="156"/>
      <c r="Z53" s="156"/>
      <c r="AA53" s="156"/>
      <c r="AB53" s="156"/>
      <c r="AC53" s="156"/>
      <c r="AD53" s="156"/>
      <c r="AE53" s="157"/>
    </row>
    <row r="54" spans="2:31" x14ac:dyDescent="0.2">
      <c r="B54" s="16"/>
      <c r="D54" s="156"/>
      <c r="E54" s="156"/>
      <c r="F54" s="156"/>
      <c r="G54" s="156"/>
      <c r="H54" s="156"/>
      <c r="I54" s="156"/>
      <c r="J54" s="156"/>
      <c r="L54" s="16"/>
      <c r="W54" s="155"/>
      <c r="X54" s="156"/>
      <c r="Y54" s="156"/>
      <c r="Z54" s="156"/>
      <c r="AA54" s="156"/>
      <c r="AB54" s="156"/>
      <c r="AC54" s="156"/>
      <c r="AD54" s="156"/>
      <c r="AE54" s="157"/>
    </row>
    <row r="55" spans="2:31" x14ac:dyDescent="0.2">
      <c r="B55" s="16"/>
      <c r="D55" s="156"/>
      <c r="E55" s="156"/>
      <c r="F55" s="156"/>
      <c r="G55" s="156"/>
      <c r="H55" s="156"/>
      <c r="I55" s="156"/>
      <c r="J55" s="156"/>
      <c r="L55" s="16"/>
      <c r="W55" s="155"/>
      <c r="X55" s="156"/>
      <c r="Y55" s="156"/>
      <c r="Z55" s="156"/>
      <c r="AA55" s="156"/>
      <c r="AB55" s="156"/>
      <c r="AC55" s="156"/>
      <c r="AD55" s="156"/>
      <c r="AE55" s="157"/>
    </row>
    <row r="56" spans="2:31" x14ac:dyDescent="0.2">
      <c r="B56" s="16"/>
      <c r="D56" s="156"/>
      <c r="E56" s="156"/>
      <c r="F56" s="156"/>
      <c r="G56" s="156"/>
      <c r="H56" s="156"/>
      <c r="I56" s="156"/>
      <c r="J56" s="156"/>
      <c r="L56" s="16"/>
      <c r="W56" s="155"/>
      <c r="X56" s="156"/>
      <c r="Y56" s="156"/>
      <c r="Z56" s="156"/>
      <c r="AA56" s="156"/>
      <c r="AB56" s="156"/>
      <c r="AC56" s="156"/>
      <c r="AD56" s="156"/>
      <c r="AE56" s="157"/>
    </row>
    <row r="57" spans="2:31" x14ac:dyDescent="0.2">
      <c r="B57" s="16"/>
      <c r="D57" s="156"/>
      <c r="E57" s="156"/>
      <c r="F57" s="156"/>
      <c r="G57" s="156"/>
      <c r="H57" s="156"/>
      <c r="I57" s="156"/>
      <c r="J57" s="156"/>
      <c r="L57" s="16"/>
      <c r="W57" s="155"/>
      <c r="X57" s="156"/>
      <c r="Y57" s="156"/>
      <c r="Z57" s="156"/>
      <c r="AA57" s="156"/>
      <c r="AB57" s="156"/>
      <c r="AC57" s="156"/>
      <c r="AD57" s="156"/>
      <c r="AE57" s="157"/>
    </row>
    <row r="58" spans="2:31" x14ac:dyDescent="0.2">
      <c r="B58" s="16"/>
      <c r="D58" s="156"/>
      <c r="E58" s="156"/>
      <c r="F58" s="156"/>
      <c r="G58" s="156"/>
      <c r="H58" s="156"/>
      <c r="I58" s="156"/>
      <c r="J58" s="156"/>
      <c r="L58" s="16"/>
      <c r="W58" s="155"/>
      <c r="X58" s="156"/>
      <c r="Y58" s="156"/>
      <c r="Z58" s="156"/>
      <c r="AA58" s="156"/>
      <c r="AB58" s="156"/>
      <c r="AC58" s="156"/>
      <c r="AD58" s="156"/>
      <c r="AE58" s="157"/>
    </row>
    <row r="59" spans="2:31" x14ac:dyDescent="0.2">
      <c r="B59" s="16"/>
      <c r="D59" s="156"/>
      <c r="E59" s="156"/>
      <c r="F59" s="156"/>
      <c r="G59" s="156"/>
      <c r="H59" s="156"/>
      <c r="I59" s="156"/>
      <c r="J59" s="156"/>
      <c r="L59" s="16"/>
      <c r="W59" s="155"/>
      <c r="X59" s="156"/>
      <c r="Y59" s="156"/>
      <c r="Z59" s="156"/>
      <c r="AA59" s="156"/>
      <c r="AB59" s="156"/>
      <c r="AC59" s="156"/>
      <c r="AD59" s="156"/>
      <c r="AE59" s="157"/>
    </row>
    <row r="60" spans="2:31" x14ac:dyDescent="0.2">
      <c r="B60" s="16"/>
      <c r="D60" s="156"/>
      <c r="E60" s="156"/>
      <c r="F60" s="156"/>
      <c r="G60" s="156"/>
      <c r="H60" s="156"/>
      <c r="I60" s="156"/>
      <c r="J60" s="156"/>
      <c r="L60" s="16"/>
      <c r="W60" s="155"/>
      <c r="X60" s="156"/>
      <c r="Y60" s="156"/>
      <c r="Z60" s="156"/>
      <c r="AA60" s="156"/>
      <c r="AB60" s="156"/>
      <c r="AC60" s="156"/>
      <c r="AD60" s="156"/>
      <c r="AE60" s="157"/>
    </row>
    <row r="61" spans="2:31" s="1" customFormat="1" ht="13.2" x14ac:dyDescent="0.2">
      <c r="B61" s="24"/>
      <c r="D61" s="522"/>
      <c r="E61" s="523"/>
      <c r="F61" s="536"/>
      <c r="G61" s="522"/>
      <c r="H61" s="523"/>
      <c r="I61" s="523"/>
      <c r="J61" s="169"/>
      <c r="K61" s="26"/>
      <c r="L61" s="24"/>
      <c r="W61" s="158"/>
      <c r="X61" s="557"/>
      <c r="Y61" s="559"/>
      <c r="Z61" s="557"/>
      <c r="AA61" s="536"/>
      <c r="AB61" s="559"/>
      <c r="AC61" s="557"/>
      <c r="AD61" s="557"/>
      <c r="AE61" s="577"/>
    </row>
    <row r="62" spans="2:31" x14ac:dyDescent="0.2">
      <c r="B62" s="16"/>
      <c r="D62" s="156"/>
      <c r="E62" s="156"/>
      <c r="F62" s="156"/>
      <c r="G62" s="156"/>
      <c r="H62" s="156"/>
      <c r="I62" s="156"/>
      <c r="J62" s="156"/>
      <c r="L62" s="16"/>
      <c r="W62" s="155"/>
      <c r="X62" s="156"/>
      <c r="Y62" s="156"/>
      <c r="Z62" s="156"/>
      <c r="AA62" s="156"/>
      <c r="AB62" s="156"/>
      <c r="AC62" s="156"/>
      <c r="AD62" s="156"/>
      <c r="AE62" s="157"/>
    </row>
    <row r="63" spans="2:31" x14ac:dyDescent="0.2">
      <c r="B63" s="16"/>
      <c r="D63" s="156"/>
      <c r="E63" s="156"/>
      <c r="F63" s="156"/>
      <c r="G63" s="156"/>
      <c r="H63" s="156"/>
      <c r="I63" s="156"/>
      <c r="J63" s="156"/>
      <c r="L63" s="16"/>
      <c r="W63" s="155"/>
      <c r="X63" s="156"/>
      <c r="Y63" s="156"/>
      <c r="Z63" s="156"/>
      <c r="AA63" s="156"/>
      <c r="AB63" s="156"/>
      <c r="AC63" s="156"/>
      <c r="AD63" s="156"/>
      <c r="AE63" s="157"/>
    </row>
    <row r="64" spans="2:31" x14ac:dyDescent="0.2">
      <c r="B64" s="16"/>
      <c r="D64" s="156"/>
      <c r="E64" s="156"/>
      <c r="F64" s="156"/>
      <c r="G64" s="156"/>
      <c r="H64" s="156"/>
      <c r="I64" s="156"/>
      <c r="J64" s="156"/>
      <c r="L64" s="16"/>
      <c r="W64" s="155"/>
      <c r="X64" s="156"/>
      <c r="Y64" s="156"/>
      <c r="Z64" s="156"/>
      <c r="AA64" s="156"/>
      <c r="AB64" s="156"/>
      <c r="AC64" s="156"/>
      <c r="AD64" s="156"/>
      <c r="AE64" s="157"/>
    </row>
    <row r="65" spans="2:31" s="1" customFormat="1" ht="13.2" x14ac:dyDescent="0.2">
      <c r="B65" s="24"/>
      <c r="D65" s="530"/>
      <c r="E65" s="523"/>
      <c r="F65" s="523"/>
      <c r="G65" s="530"/>
      <c r="H65" s="523"/>
      <c r="I65" s="523"/>
      <c r="J65" s="523"/>
      <c r="K65" s="32"/>
      <c r="L65" s="24"/>
      <c r="W65" s="158"/>
      <c r="X65" s="557"/>
      <c r="Y65" s="530"/>
      <c r="Z65" s="557"/>
      <c r="AA65" s="557"/>
      <c r="AB65" s="530"/>
      <c r="AC65" s="557"/>
      <c r="AD65" s="557"/>
      <c r="AE65" s="159"/>
    </row>
    <row r="66" spans="2:31" x14ac:dyDescent="0.2">
      <c r="B66" s="16"/>
      <c r="D66" s="156"/>
      <c r="E66" s="156"/>
      <c r="F66" s="156"/>
      <c r="G66" s="156"/>
      <c r="H66" s="156"/>
      <c r="I66" s="156"/>
      <c r="J66" s="156"/>
      <c r="L66" s="16"/>
      <c r="W66" s="155"/>
      <c r="X66" s="156"/>
      <c r="Y66" s="156"/>
      <c r="Z66" s="156"/>
      <c r="AA66" s="156"/>
      <c r="AB66" s="156"/>
      <c r="AC66" s="156"/>
      <c r="AD66" s="156"/>
      <c r="AE66" s="157"/>
    </row>
    <row r="67" spans="2:31" x14ac:dyDescent="0.2">
      <c r="B67" s="16"/>
      <c r="D67" s="156"/>
      <c r="E67" s="156"/>
      <c r="F67" s="156"/>
      <c r="G67" s="156"/>
      <c r="H67" s="156"/>
      <c r="I67" s="156"/>
      <c r="J67" s="156"/>
      <c r="L67" s="16"/>
      <c r="W67" s="155"/>
      <c r="X67" s="156"/>
      <c r="Y67" s="156"/>
      <c r="Z67" s="156"/>
      <c r="AA67" s="156"/>
      <c r="AB67" s="156"/>
      <c r="AC67" s="156"/>
      <c r="AD67" s="156"/>
      <c r="AE67" s="157"/>
    </row>
    <row r="68" spans="2:31" x14ac:dyDescent="0.2">
      <c r="B68" s="16"/>
      <c r="D68" s="156"/>
      <c r="E68" s="156"/>
      <c r="F68" s="156"/>
      <c r="G68" s="156"/>
      <c r="H68" s="156"/>
      <c r="I68" s="156"/>
      <c r="J68" s="156"/>
      <c r="L68" s="16"/>
      <c r="W68" s="155"/>
      <c r="X68" s="156"/>
      <c r="Y68" s="156"/>
      <c r="Z68" s="156"/>
      <c r="AA68" s="156"/>
      <c r="AB68" s="156"/>
      <c r="AC68" s="156"/>
      <c r="AD68" s="156"/>
      <c r="AE68" s="157"/>
    </row>
    <row r="69" spans="2:31" x14ac:dyDescent="0.2">
      <c r="B69" s="16"/>
      <c r="D69" s="156"/>
      <c r="E69" s="156"/>
      <c r="F69" s="156"/>
      <c r="G69" s="156"/>
      <c r="H69" s="156"/>
      <c r="I69" s="156"/>
      <c r="J69" s="156"/>
      <c r="L69" s="16"/>
      <c r="W69" s="155"/>
      <c r="X69" s="156"/>
      <c r="Y69" s="156"/>
      <c r="Z69" s="156"/>
      <c r="AA69" s="156"/>
      <c r="AB69" s="156"/>
      <c r="AC69" s="156"/>
      <c r="AD69" s="156"/>
      <c r="AE69" s="157"/>
    </row>
    <row r="70" spans="2:31" x14ac:dyDescent="0.2">
      <c r="B70" s="16"/>
      <c r="D70" s="156"/>
      <c r="E70" s="156"/>
      <c r="F70" s="156"/>
      <c r="G70" s="156"/>
      <c r="H70" s="156"/>
      <c r="I70" s="156"/>
      <c r="J70" s="156"/>
      <c r="L70" s="16"/>
      <c r="W70" s="155"/>
      <c r="X70" s="156"/>
      <c r="Y70" s="156"/>
      <c r="Z70" s="156"/>
      <c r="AA70" s="156"/>
      <c r="AB70" s="156"/>
      <c r="AC70" s="156"/>
      <c r="AD70" s="156"/>
      <c r="AE70" s="157"/>
    </row>
    <row r="71" spans="2:31" x14ac:dyDescent="0.2">
      <c r="B71" s="16"/>
      <c r="D71" s="156"/>
      <c r="E71" s="156"/>
      <c r="F71" s="156"/>
      <c r="G71" s="156"/>
      <c r="H71" s="156"/>
      <c r="I71" s="156"/>
      <c r="J71" s="156"/>
      <c r="L71" s="16"/>
      <c r="W71" s="155"/>
      <c r="X71" s="156"/>
      <c r="Y71" s="156"/>
      <c r="Z71" s="156"/>
      <c r="AA71" s="156"/>
      <c r="AB71" s="156"/>
      <c r="AC71" s="156"/>
      <c r="AD71" s="156"/>
      <c r="AE71" s="157"/>
    </row>
    <row r="72" spans="2:31" x14ac:dyDescent="0.2">
      <c r="B72" s="16"/>
      <c r="D72" s="156"/>
      <c r="E72" s="156"/>
      <c r="F72" s="156"/>
      <c r="G72" s="156"/>
      <c r="H72" s="156"/>
      <c r="I72" s="156"/>
      <c r="J72" s="156"/>
      <c r="L72" s="16"/>
      <c r="W72" s="155"/>
      <c r="X72" s="156"/>
      <c r="Y72" s="156"/>
      <c r="Z72" s="156"/>
      <c r="AA72" s="156"/>
      <c r="AB72" s="156"/>
      <c r="AC72" s="156"/>
      <c r="AD72" s="156"/>
      <c r="AE72" s="157"/>
    </row>
    <row r="73" spans="2:31" x14ac:dyDescent="0.2">
      <c r="B73" s="16"/>
      <c r="D73" s="156"/>
      <c r="E73" s="156"/>
      <c r="F73" s="156"/>
      <c r="G73" s="156"/>
      <c r="H73" s="156"/>
      <c r="I73" s="156"/>
      <c r="J73" s="156"/>
      <c r="L73" s="16"/>
      <c r="W73" s="155"/>
      <c r="X73" s="156"/>
      <c r="Y73" s="156"/>
      <c r="Z73" s="156"/>
      <c r="AA73" s="156"/>
      <c r="AB73" s="156"/>
      <c r="AC73" s="156"/>
      <c r="AD73" s="156"/>
      <c r="AE73" s="157"/>
    </row>
    <row r="74" spans="2:31" x14ac:dyDescent="0.2">
      <c r="B74" s="16"/>
      <c r="D74" s="156"/>
      <c r="E74" s="156"/>
      <c r="F74" s="156"/>
      <c r="G74" s="156"/>
      <c r="H74" s="156"/>
      <c r="I74" s="156"/>
      <c r="J74" s="156"/>
      <c r="L74" s="16"/>
      <c r="W74" s="155"/>
      <c r="X74" s="156"/>
      <c r="Y74" s="156"/>
      <c r="Z74" s="156"/>
      <c r="AA74" s="156"/>
      <c r="AB74" s="156"/>
      <c r="AC74" s="156"/>
      <c r="AD74" s="156"/>
      <c r="AE74" s="157"/>
    </row>
    <row r="75" spans="2:31" x14ac:dyDescent="0.2">
      <c r="B75" s="16"/>
      <c r="D75" s="156"/>
      <c r="E75" s="156"/>
      <c r="F75" s="156"/>
      <c r="G75" s="156"/>
      <c r="H75" s="156"/>
      <c r="I75" s="156"/>
      <c r="J75" s="156"/>
      <c r="L75" s="16"/>
      <c r="W75" s="155"/>
      <c r="X75" s="156"/>
      <c r="Y75" s="156"/>
      <c r="Z75" s="156"/>
      <c r="AA75" s="156"/>
      <c r="AB75" s="156"/>
      <c r="AC75" s="156"/>
      <c r="AD75" s="156"/>
      <c r="AE75" s="157"/>
    </row>
    <row r="76" spans="2:31" s="1" customFormat="1" ht="13.2" x14ac:dyDescent="0.2">
      <c r="B76" s="24"/>
      <c r="D76" s="522"/>
      <c r="E76" s="523"/>
      <c r="F76" s="536"/>
      <c r="G76" s="522"/>
      <c r="H76" s="523"/>
      <c r="I76" s="523"/>
      <c r="J76" s="169"/>
      <c r="K76" s="26"/>
      <c r="L76" s="24"/>
      <c r="W76" s="158"/>
      <c r="X76" s="557"/>
      <c r="Y76" s="559"/>
      <c r="Z76" s="557"/>
      <c r="AA76" s="536"/>
      <c r="AB76" s="559"/>
      <c r="AC76" s="557"/>
      <c r="AD76" s="557"/>
      <c r="AE76" s="577"/>
    </row>
    <row r="77" spans="2:31" s="1" customFormat="1" ht="14.55" customHeight="1" x14ac:dyDescent="0.2">
      <c r="B77" s="33"/>
      <c r="C77" s="34"/>
      <c r="D77" s="34"/>
      <c r="E77" s="34"/>
      <c r="F77" s="34"/>
      <c r="G77" s="34"/>
      <c r="H77" s="34"/>
      <c r="I77" s="34"/>
      <c r="J77" s="34"/>
      <c r="K77" s="34"/>
      <c r="L77" s="24"/>
      <c r="W77" s="175"/>
      <c r="X77" s="176"/>
      <c r="Y77" s="176"/>
      <c r="Z77" s="176"/>
      <c r="AA77" s="176"/>
      <c r="AB77" s="176"/>
      <c r="AC77" s="176"/>
      <c r="AD77" s="176"/>
      <c r="AE77" s="177"/>
    </row>
    <row r="81" spans="2:47" s="1" customFormat="1" ht="7.05" customHeight="1" x14ac:dyDescent="0.2">
      <c r="B81" s="35"/>
      <c r="C81" s="36"/>
      <c r="D81" s="36"/>
      <c r="E81" s="36"/>
      <c r="F81" s="36"/>
      <c r="G81" s="36"/>
      <c r="H81" s="36"/>
      <c r="I81" s="36"/>
      <c r="J81" s="36"/>
      <c r="K81" s="36"/>
      <c r="L81" s="24"/>
      <c r="W81" s="178"/>
      <c r="X81" s="179"/>
      <c r="Y81" s="179"/>
      <c r="Z81" s="179"/>
      <c r="AA81" s="179"/>
      <c r="AB81" s="179"/>
      <c r="AC81" s="179"/>
      <c r="AD81" s="179"/>
      <c r="AE81" s="180"/>
    </row>
    <row r="82" spans="2:47" s="1" customFormat="1" ht="25.05" customHeight="1" x14ac:dyDescent="0.2">
      <c r="B82" s="24"/>
      <c r="C82" s="1165" t="s">
        <v>188</v>
      </c>
      <c r="D82" s="1165"/>
      <c r="E82" s="1165"/>
      <c r="F82" s="1165"/>
      <c r="G82" s="1165"/>
      <c r="H82" s="1165"/>
      <c r="I82" s="1165"/>
      <c r="J82" s="1165"/>
      <c r="L82" s="24"/>
      <c r="W82" s="158"/>
      <c r="X82" s="1237" t="s">
        <v>188</v>
      </c>
      <c r="Y82" s="1237"/>
      <c r="Z82" s="1237"/>
      <c r="AA82" s="1237"/>
      <c r="AB82" s="1237"/>
      <c r="AC82" s="1237"/>
      <c r="AD82" s="1237"/>
      <c r="AE82" s="1238"/>
    </row>
    <row r="83" spans="2:47" s="1" customFormat="1" ht="7.05" customHeight="1" x14ac:dyDescent="0.2">
      <c r="B83" s="24"/>
      <c r="L83" s="24"/>
      <c r="W83" s="158"/>
      <c r="X83" s="557"/>
      <c r="Y83" s="557"/>
      <c r="Z83" s="557"/>
      <c r="AA83" s="557"/>
      <c r="AB83" s="557"/>
      <c r="AC83" s="557"/>
      <c r="AD83" s="557"/>
      <c r="AE83" s="159"/>
    </row>
    <row r="84" spans="2:47" s="1" customFormat="1" ht="12" customHeight="1" x14ac:dyDescent="0.2">
      <c r="B84" s="24"/>
      <c r="C84" s="528" t="s">
        <v>12</v>
      </c>
      <c r="E84" s="1242" t="s">
        <v>6177</v>
      </c>
      <c r="F84" s="1242"/>
      <c r="G84" s="1242"/>
      <c r="H84" s="1242"/>
      <c r="I84" s="1242"/>
      <c r="J84" s="1242"/>
      <c r="L84" s="24"/>
      <c r="W84" s="158"/>
      <c r="X84" s="538" t="s">
        <v>12</v>
      </c>
      <c r="Y84" s="557"/>
      <c r="Z84" s="1163" t="s">
        <v>6177</v>
      </c>
      <c r="AA84" s="1163"/>
      <c r="AB84" s="1163"/>
      <c r="AC84" s="1163"/>
      <c r="AD84" s="1163"/>
      <c r="AE84" s="1241"/>
    </row>
    <row r="85" spans="2:47" s="1" customFormat="1" ht="23.55" customHeight="1" x14ac:dyDescent="0.2">
      <c r="B85" s="24"/>
      <c r="C85" s="521"/>
      <c r="E85" s="1243"/>
      <c r="F85" s="1244"/>
      <c r="G85" s="1244"/>
      <c r="H85" s="1244"/>
      <c r="L85" s="24"/>
      <c r="W85" s="158"/>
      <c r="X85" s="557"/>
      <c r="Y85" s="557"/>
      <c r="Z85" s="1249"/>
      <c r="AA85" s="1250"/>
      <c r="AB85" s="1250"/>
      <c r="AC85" s="1250"/>
      <c r="AD85" s="557"/>
      <c r="AE85" s="159"/>
    </row>
    <row r="86" spans="2:47" s="1" customFormat="1" ht="12" customHeight="1" x14ac:dyDescent="0.2">
      <c r="B86" s="24"/>
      <c r="C86" s="528" t="s">
        <v>186</v>
      </c>
      <c r="F86" s="532" t="s">
        <v>4782</v>
      </c>
      <c r="L86" s="24"/>
      <c r="W86" s="158"/>
      <c r="X86" s="538" t="s">
        <v>186</v>
      </c>
      <c r="Y86" s="557"/>
      <c r="Z86" s="557"/>
      <c r="AA86" s="555" t="s">
        <v>4782</v>
      </c>
      <c r="AB86" s="557"/>
      <c r="AC86" s="557"/>
      <c r="AD86" s="557"/>
      <c r="AE86" s="159"/>
    </row>
    <row r="87" spans="2:47" s="1" customFormat="1" ht="16.5" customHeight="1" x14ac:dyDescent="0.2">
      <c r="B87" s="24"/>
      <c r="C87" s="521"/>
      <c r="E87" s="1251"/>
      <c r="F87" s="1252"/>
      <c r="G87" s="1252"/>
      <c r="H87" s="1252"/>
      <c r="L87" s="24"/>
      <c r="W87" s="158"/>
      <c r="X87" s="557"/>
      <c r="Y87" s="557"/>
      <c r="Z87" s="1245"/>
      <c r="AA87" s="1246"/>
      <c r="AB87" s="1246"/>
      <c r="AC87" s="1246"/>
      <c r="AD87" s="557"/>
      <c r="AE87" s="159"/>
    </row>
    <row r="88" spans="2:47" s="1" customFormat="1" ht="7.05" customHeight="1" x14ac:dyDescent="0.2">
      <c r="B88" s="24"/>
      <c r="C88" s="521"/>
      <c r="L88" s="24"/>
      <c r="W88" s="158"/>
      <c r="X88" s="557"/>
      <c r="Y88" s="557"/>
      <c r="Z88" s="557"/>
      <c r="AA88" s="557"/>
      <c r="AB88" s="557"/>
      <c r="AC88" s="557"/>
      <c r="AD88" s="557"/>
      <c r="AE88" s="159"/>
    </row>
    <row r="89" spans="2:47" s="1" customFormat="1" ht="12" customHeight="1" x14ac:dyDescent="0.2">
      <c r="B89" s="24"/>
      <c r="C89" s="528" t="s">
        <v>15</v>
      </c>
      <c r="F89" s="19" t="str">
        <f>F12</f>
        <v>Kuzmányho nábrežie 28, 960 01 Zvolen</v>
      </c>
      <c r="I89" s="528" t="s">
        <v>17</v>
      </c>
      <c r="J89" s="39" t="str">
        <f>IF(J12="","",J12)</f>
        <v/>
      </c>
      <c r="L89" s="24"/>
      <c r="W89" s="158"/>
      <c r="X89" s="538" t="s">
        <v>15</v>
      </c>
      <c r="Y89" s="557"/>
      <c r="Z89" s="557"/>
      <c r="AA89" s="558" t="str">
        <f>AA12</f>
        <v>Kuzmányho nábrežie 28, 960 01 Zvolen</v>
      </c>
      <c r="AB89" s="557"/>
      <c r="AC89" s="557"/>
      <c r="AD89" s="538" t="s">
        <v>17</v>
      </c>
      <c r="AE89" s="162" t="str">
        <f>IF(AE12="","",AE12)</f>
        <v/>
      </c>
    </row>
    <row r="90" spans="2:47" s="1" customFormat="1" ht="7.05" customHeight="1" x14ac:dyDescent="0.2">
      <c r="B90" s="24"/>
      <c r="C90" s="521"/>
      <c r="I90" s="521"/>
      <c r="L90" s="24"/>
      <c r="W90" s="158"/>
      <c r="X90" s="557"/>
      <c r="Y90" s="557"/>
      <c r="Z90" s="557"/>
      <c r="AA90" s="557"/>
      <c r="AB90" s="557"/>
      <c r="AC90" s="557"/>
      <c r="AD90" s="557"/>
      <c r="AE90" s="159"/>
    </row>
    <row r="91" spans="2:47" s="1" customFormat="1" ht="15.3" customHeight="1" x14ac:dyDescent="0.2">
      <c r="B91" s="24"/>
      <c r="C91" s="528" t="s">
        <v>18</v>
      </c>
      <c r="F91" s="529" t="s">
        <v>6175</v>
      </c>
      <c r="I91" s="528" t="s">
        <v>22</v>
      </c>
      <c r="J91" s="22" t="str">
        <f>E21</f>
        <v xml:space="preserve"> </v>
      </c>
      <c r="L91" s="24"/>
      <c r="W91" s="158"/>
      <c r="X91" s="538" t="s">
        <v>18</v>
      </c>
      <c r="Y91" s="557"/>
      <c r="Z91" s="557"/>
      <c r="AA91" s="576" t="s">
        <v>6175</v>
      </c>
      <c r="AB91" s="557"/>
      <c r="AC91" s="557"/>
      <c r="AD91" s="538" t="s">
        <v>22</v>
      </c>
      <c r="AE91" s="181" t="str">
        <f>Z21</f>
        <v/>
      </c>
    </row>
    <row r="92" spans="2:47" s="1" customFormat="1" ht="15.3" customHeight="1" x14ac:dyDescent="0.2">
      <c r="B92" s="24"/>
      <c r="C92" s="528" t="s">
        <v>21</v>
      </c>
      <c r="F92" s="529" t="s">
        <v>5202</v>
      </c>
      <c r="I92" s="528" t="s">
        <v>24</v>
      </c>
      <c r="J92" s="22" t="str">
        <f>E24</f>
        <v xml:space="preserve"> </v>
      </c>
      <c r="L92" s="24"/>
      <c r="W92" s="158"/>
      <c r="X92" s="538" t="s">
        <v>21</v>
      </c>
      <c r="Y92" s="557"/>
      <c r="Z92" s="557"/>
      <c r="AA92" s="576" t="s">
        <v>5202</v>
      </c>
      <c r="AB92" s="557"/>
      <c r="AC92" s="557"/>
      <c r="AD92" s="538" t="s">
        <v>24</v>
      </c>
      <c r="AE92" s="181" t="str">
        <f>Z24</f>
        <v/>
      </c>
    </row>
    <row r="93" spans="2:47" s="1" customFormat="1" ht="10.199999999999999" customHeight="1" x14ac:dyDescent="0.2">
      <c r="B93" s="24"/>
      <c r="L93" s="24"/>
      <c r="W93" s="158"/>
      <c r="X93" s="557"/>
      <c r="Y93" s="557"/>
      <c r="Z93" s="557"/>
      <c r="AA93" s="557"/>
      <c r="AB93" s="557"/>
      <c r="AC93" s="557"/>
      <c r="AD93" s="557"/>
      <c r="AE93" s="159"/>
    </row>
    <row r="94" spans="2:47" s="1" customFormat="1" ht="29.25" customHeight="1" x14ac:dyDescent="0.2">
      <c r="B94" s="24"/>
      <c r="C94" s="86" t="s">
        <v>189</v>
      </c>
      <c r="D94" s="80"/>
      <c r="E94" s="80"/>
      <c r="F94" s="80"/>
      <c r="G94" s="80"/>
      <c r="H94" s="80"/>
      <c r="I94" s="80"/>
      <c r="J94" s="87" t="s">
        <v>190</v>
      </c>
      <c r="K94" s="80"/>
      <c r="L94" s="24"/>
      <c r="W94" s="158"/>
      <c r="X94" s="182" t="s">
        <v>189</v>
      </c>
      <c r="Y94" s="173"/>
      <c r="Z94" s="173"/>
      <c r="AA94" s="173"/>
      <c r="AB94" s="173"/>
      <c r="AC94" s="173"/>
      <c r="AD94" s="173"/>
      <c r="AE94" s="183" t="s">
        <v>190</v>
      </c>
    </row>
    <row r="95" spans="2:47" s="1" customFormat="1" ht="10.199999999999999" customHeight="1" x14ac:dyDescent="0.2">
      <c r="B95" s="24"/>
      <c r="L95" s="24"/>
      <c r="W95" s="158"/>
      <c r="X95" s="557"/>
      <c r="Y95" s="557"/>
      <c r="Z95" s="557"/>
      <c r="AA95" s="557"/>
      <c r="AB95" s="557"/>
      <c r="AC95" s="557"/>
      <c r="AD95" s="557"/>
      <c r="AE95" s="159"/>
    </row>
    <row r="96" spans="2:47" s="1" customFormat="1" ht="22.95" customHeight="1" x14ac:dyDescent="0.2">
      <c r="B96" s="24"/>
      <c r="C96" s="88" t="s">
        <v>191</v>
      </c>
      <c r="J96" s="53">
        <f>J128</f>
        <v>352425.00000000006</v>
      </c>
      <c r="L96" s="24"/>
      <c r="W96" s="158"/>
      <c r="X96" s="184" t="s">
        <v>191</v>
      </c>
      <c r="Y96" s="557"/>
      <c r="Z96" s="557"/>
      <c r="AA96" s="557"/>
      <c r="AB96" s="557"/>
      <c r="AC96" s="557"/>
      <c r="AD96" s="557"/>
      <c r="AE96" s="168">
        <f>AE128</f>
        <v>343445.59</v>
      </c>
      <c r="AU96" s="13" t="s">
        <v>192</v>
      </c>
    </row>
    <row r="97" spans="2:31" s="8" customFormat="1" ht="25.05" customHeight="1" x14ac:dyDescent="0.2">
      <c r="B97" s="89"/>
      <c r="D97" s="90" t="s">
        <v>4783</v>
      </c>
      <c r="E97" s="91"/>
      <c r="F97" s="91"/>
      <c r="G97" s="91"/>
      <c r="H97" s="91"/>
      <c r="I97" s="91"/>
      <c r="J97" s="92">
        <f>J129</f>
        <v>352425.00000000006</v>
      </c>
      <c r="L97" s="89"/>
      <c r="W97" s="185"/>
      <c r="X97" s="186"/>
      <c r="Y97" s="90" t="s">
        <v>4783</v>
      </c>
      <c r="Z97" s="91"/>
      <c r="AA97" s="91"/>
      <c r="AB97" s="91"/>
      <c r="AC97" s="91"/>
      <c r="AD97" s="91"/>
      <c r="AE97" s="187">
        <f>AE129</f>
        <v>343445.59</v>
      </c>
    </row>
    <row r="98" spans="2:31" s="9" customFormat="1" ht="19.95" customHeight="1" x14ac:dyDescent="0.2">
      <c r="B98" s="93"/>
      <c r="D98" s="94" t="s">
        <v>4784</v>
      </c>
      <c r="E98" s="95"/>
      <c r="F98" s="95"/>
      <c r="G98" s="95"/>
      <c r="H98" s="95"/>
      <c r="I98" s="95"/>
      <c r="J98" s="96">
        <f>J130</f>
        <v>242032.09000000003</v>
      </c>
      <c r="L98" s="93"/>
      <c r="W98" s="188"/>
      <c r="X98" s="189"/>
      <c r="Y98" s="94" t="s">
        <v>4784</v>
      </c>
      <c r="Z98" s="95"/>
      <c r="AA98" s="95"/>
      <c r="AB98" s="95"/>
      <c r="AC98" s="95"/>
      <c r="AD98" s="95"/>
      <c r="AE98" s="190">
        <f>AE130</f>
        <v>232148.64000000004</v>
      </c>
    </row>
    <row r="99" spans="2:31" s="9" customFormat="1" ht="19.95" customHeight="1" x14ac:dyDescent="0.2">
      <c r="B99" s="93"/>
      <c r="D99" s="94" t="s">
        <v>4785</v>
      </c>
      <c r="E99" s="95"/>
      <c r="F99" s="95"/>
      <c r="G99" s="95"/>
      <c r="H99" s="95"/>
      <c r="I99" s="95"/>
      <c r="J99" s="96">
        <f>J203</f>
        <v>1103.72</v>
      </c>
      <c r="L99" s="93"/>
      <c r="W99" s="188"/>
      <c r="X99" s="189"/>
      <c r="Y99" s="94" t="s">
        <v>4785</v>
      </c>
      <c r="Z99" s="95"/>
      <c r="AA99" s="95"/>
      <c r="AB99" s="95"/>
      <c r="AC99" s="95"/>
      <c r="AD99" s="95"/>
      <c r="AE99" s="190">
        <f>AE203</f>
        <v>1103.72</v>
      </c>
    </row>
    <row r="100" spans="2:31" s="9" customFormat="1" ht="19.95" customHeight="1" x14ac:dyDescent="0.2">
      <c r="B100" s="93"/>
      <c r="D100" s="94" t="s">
        <v>4786</v>
      </c>
      <c r="E100" s="95"/>
      <c r="F100" s="95"/>
      <c r="G100" s="95"/>
      <c r="H100" s="95"/>
      <c r="I100" s="95"/>
      <c r="J100" s="96">
        <f>J206</f>
        <v>22523.94</v>
      </c>
      <c r="L100" s="93"/>
      <c r="W100" s="188"/>
      <c r="X100" s="189"/>
      <c r="Y100" s="94" t="s">
        <v>4786</v>
      </c>
      <c r="Z100" s="95"/>
      <c r="AA100" s="95"/>
      <c r="AB100" s="95"/>
      <c r="AC100" s="95"/>
      <c r="AD100" s="95"/>
      <c r="AE100" s="190">
        <f>AE206</f>
        <v>22523.94</v>
      </c>
    </row>
    <row r="101" spans="2:31" s="9" customFormat="1" ht="19.95" customHeight="1" x14ac:dyDescent="0.2">
      <c r="B101" s="93"/>
      <c r="D101" s="94" t="s">
        <v>4083</v>
      </c>
      <c r="E101" s="95"/>
      <c r="F101" s="95"/>
      <c r="G101" s="95"/>
      <c r="H101" s="95"/>
      <c r="I101" s="95"/>
      <c r="J101" s="96">
        <f>J212</f>
        <v>424.4</v>
      </c>
      <c r="L101" s="93"/>
      <c r="W101" s="188"/>
      <c r="X101" s="189"/>
      <c r="Y101" s="94" t="s">
        <v>4083</v>
      </c>
      <c r="Z101" s="95"/>
      <c r="AA101" s="95"/>
      <c r="AB101" s="95"/>
      <c r="AC101" s="95"/>
      <c r="AD101" s="95"/>
      <c r="AE101" s="190">
        <f>AE212</f>
        <v>424.4</v>
      </c>
    </row>
    <row r="102" spans="2:31" s="9" customFormat="1" ht="19.95" customHeight="1" x14ac:dyDescent="0.2">
      <c r="B102" s="93"/>
      <c r="D102" s="94" t="s">
        <v>4084</v>
      </c>
      <c r="E102" s="95"/>
      <c r="F102" s="95"/>
      <c r="G102" s="95"/>
      <c r="H102" s="95"/>
      <c r="I102" s="95"/>
      <c r="J102" s="96">
        <f>J215</f>
        <v>36786.920000000013</v>
      </c>
      <c r="L102" s="93"/>
      <c r="W102" s="188"/>
      <c r="X102" s="189"/>
      <c r="Y102" s="94" t="s">
        <v>4084</v>
      </c>
      <c r="Z102" s="95"/>
      <c r="AA102" s="95"/>
      <c r="AB102" s="95"/>
      <c r="AC102" s="95"/>
      <c r="AD102" s="95"/>
      <c r="AE102" s="190">
        <f>AE215</f>
        <v>36786.920000000013</v>
      </c>
    </row>
    <row r="103" spans="2:31" s="9" customFormat="1" ht="19.95" customHeight="1" x14ac:dyDescent="0.2">
      <c r="B103" s="93"/>
      <c r="D103" s="94" t="s">
        <v>4787</v>
      </c>
      <c r="E103" s="95"/>
      <c r="F103" s="95"/>
      <c r="G103" s="95"/>
      <c r="H103" s="95"/>
      <c r="I103" s="95"/>
      <c r="J103" s="96">
        <f>J235</f>
        <v>12665.19</v>
      </c>
      <c r="L103" s="93"/>
      <c r="W103" s="188"/>
      <c r="X103" s="189"/>
      <c r="Y103" s="94" t="s">
        <v>4787</v>
      </c>
      <c r="Z103" s="95"/>
      <c r="AA103" s="95"/>
      <c r="AB103" s="95"/>
      <c r="AC103" s="95"/>
      <c r="AD103" s="95"/>
      <c r="AE103" s="190">
        <f>AE235</f>
        <v>12665.19</v>
      </c>
    </row>
    <row r="104" spans="2:31" s="9" customFormat="1" ht="19.95" customHeight="1" x14ac:dyDescent="0.2">
      <c r="B104" s="93"/>
      <c r="D104" s="94" t="s">
        <v>4785</v>
      </c>
      <c r="E104" s="95"/>
      <c r="F104" s="95"/>
      <c r="G104" s="95"/>
      <c r="H104" s="95"/>
      <c r="I104" s="95"/>
      <c r="J104" s="96">
        <f>J250</f>
        <v>99.99</v>
      </c>
      <c r="L104" s="93"/>
      <c r="W104" s="188"/>
      <c r="X104" s="189"/>
      <c r="Y104" s="94" t="s">
        <v>4785</v>
      </c>
      <c r="Z104" s="95"/>
      <c r="AA104" s="95"/>
      <c r="AB104" s="95"/>
      <c r="AC104" s="95"/>
      <c r="AD104" s="95"/>
      <c r="AE104" s="190">
        <f>AE250</f>
        <v>99.99</v>
      </c>
    </row>
    <row r="105" spans="2:31" s="9" customFormat="1" ht="19.95" customHeight="1" x14ac:dyDescent="0.2">
      <c r="B105" s="93"/>
      <c r="D105" s="94" t="s">
        <v>4788</v>
      </c>
      <c r="E105" s="95"/>
      <c r="F105" s="95"/>
      <c r="G105" s="95"/>
      <c r="H105" s="95"/>
      <c r="I105" s="95"/>
      <c r="J105" s="96">
        <f>J253</f>
        <v>9269.7899999999991</v>
      </c>
      <c r="L105" s="93"/>
      <c r="W105" s="188"/>
      <c r="X105" s="189"/>
      <c r="Y105" s="94" t="s">
        <v>4788</v>
      </c>
      <c r="Z105" s="95"/>
      <c r="AA105" s="95"/>
      <c r="AB105" s="95"/>
      <c r="AC105" s="95"/>
      <c r="AD105" s="95"/>
      <c r="AE105" s="190">
        <f>AE253</f>
        <v>9269.7899999999991</v>
      </c>
    </row>
    <row r="106" spans="2:31" s="9" customFormat="1" ht="19.95" customHeight="1" x14ac:dyDescent="0.2">
      <c r="B106" s="93"/>
      <c r="D106" s="94" t="s">
        <v>4083</v>
      </c>
      <c r="E106" s="95"/>
      <c r="F106" s="95"/>
      <c r="G106" s="95"/>
      <c r="H106" s="95"/>
      <c r="I106" s="95"/>
      <c r="J106" s="96">
        <f>J259</f>
        <v>33.39</v>
      </c>
      <c r="L106" s="93"/>
      <c r="W106" s="188"/>
      <c r="X106" s="189"/>
      <c r="Y106" s="94" t="s">
        <v>4083</v>
      </c>
      <c r="Z106" s="95"/>
      <c r="AA106" s="95"/>
      <c r="AB106" s="95"/>
      <c r="AC106" s="95"/>
      <c r="AD106" s="95"/>
      <c r="AE106" s="190">
        <f>AE259</f>
        <v>33.39</v>
      </c>
    </row>
    <row r="107" spans="2:31" s="9" customFormat="1" ht="19.95" customHeight="1" x14ac:dyDescent="0.2">
      <c r="B107" s="93"/>
      <c r="D107" s="94" t="s">
        <v>4084</v>
      </c>
      <c r="E107" s="95"/>
      <c r="F107" s="95"/>
      <c r="G107" s="95"/>
      <c r="H107" s="95"/>
      <c r="I107" s="95"/>
      <c r="J107" s="96">
        <f>J262</f>
        <v>7176.76</v>
      </c>
      <c r="L107" s="93"/>
      <c r="W107" s="188"/>
      <c r="X107" s="189"/>
      <c r="Y107" s="94" t="s">
        <v>4084</v>
      </c>
      <c r="Z107" s="95"/>
      <c r="AA107" s="95"/>
      <c r="AB107" s="95"/>
      <c r="AC107" s="95"/>
      <c r="AD107" s="95"/>
      <c r="AE107" s="190">
        <f>AE262</f>
        <v>7176.76</v>
      </c>
    </row>
    <row r="108" spans="2:31" s="9" customFormat="1" ht="19.95" customHeight="1" x14ac:dyDescent="0.2">
      <c r="B108" s="93"/>
      <c r="D108" s="94" t="s">
        <v>4789</v>
      </c>
      <c r="E108" s="95"/>
      <c r="F108" s="95"/>
      <c r="G108" s="95"/>
      <c r="H108" s="95"/>
      <c r="I108" s="95"/>
      <c r="J108" s="96">
        <f>J275</f>
        <v>20308.810000000001</v>
      </c>
      <c r="L108" s="93"/>
      <c r="W108" s="188"/>
      <c r="X108" s="189"/>
      <c r="Y108" s="94" t="s">
        <v>4789</v>
      </c>
      <c r="Z108" s="95"/>
      <c r="AA108" s="95"/>
      <c r="AB108" s="95"/>
      <c r="AC108" s="95"/>
      <c r="AD108" s="95"/>
      <c r="AE108" s="190">
        <f>AE275</f>
        <v>21212.85</v>
      </c>
    </row>
    <row r="109" spans="2:31" s="1" customFormat="1" ht="21.75" customHeight="1" x14ac:dyDescent="0.2">
      <c r="B109" s="24"/>
      <c r="L109" s="24"/>
      <c r="W109" s="158"/>
      <c r="X109" s="557"/>
      <c r="Y109" s="557"/>
      <c r="Z109" s="557"/>
      <c r="AA109" s="557"/>
      <c r="AB109" s="557"/>
      <c r="AC109" s="557"/>
      <c r="AD109" s="557"/>
      <c r="AE109" s="159"/>
    </row>
    <row r="110" spans="2:31" s="1" customFormat="1" ht="7.05" customHeight="1" x14ac:dyDescent="0.2">
      <c r="B110" s="33"/>
      <c r="C110" s="34"/>
      <c r="D110" s="34"/>
      <c r="E110" s="34"/>
      <c r="F110" s="34"/>
      <c r="G110" s="34"/>
      <c r="H110" s="34"/>
      <c r="I110" s="34"/>
      <c r="J110" s="34"/>
      <c r="K110" s="34"/>
      <c r="L110" s="24"/>
      <c r="W110" s="175"/>
      <c r="X110" s="176"/>
      <c r="Y110" s="176"/>
      <c r="Z110" s="176"/>
      <c r="AA110" s="176"/>
      <c r="AB110" s="176"/>
      <c r="AC110" s="176"/>
      <c r="AD110" s="176"/>
      <c r="AE110" s="177"/>
    </row>
    <row r="114" spans="2:63" s="1" customFormat="1" ht="7.05" customHeight="1" x14ac:dyDescent="0.2">
      <c r="B114" s="35"/>
      <c r="C114" s="36"/>
      <c r="D114" s="36"/>
      <c r="E114" s="36"/>
      <c r="F114" s="36"/>
      <c r="G114" s="36"/>
      <c r="H114" s="36"/>
      <c r="I114" s="36"/>
      <c r="J114" s="36"/>
      <c r="K114" s="36"/>
      <c r="L114" s="24"/>
      <c r="W114" s="178"/>
      <c r="X114" s="179"/>
      <c r="Y114" s="179"/>
      <c r="Z114" s="179"/>
      <c r="AA114" s="179"/>
      <c r="AB114" s="179"/>
      <c r="AC114" s="179"/>
      <c r="AD114" s="179"/>
      <c r="AE114" s="180"/>
    </row>
    <row r="115" spans="2:63" s="1" customFormat="1" ht="25.05" customHeight="1" x14ac:dyDescent="0.2">
      <c r="B115" s="24"/>
      <c r="C115" s="1165" t="s">
        <v>214</v>
      </c>
      <c r="D115" s="1165"/>
      <c r="E115" s="1165"/>
      <c r="F115" s="1165"/>
      <c r="G115" s="1165"/>
      <c r="H115" s="1165"/>
      <c r="I115" s="1165"/>
      <c r="J115" s="1165"/>
      <c r="L115" s="24"/>
      <c r="W115" s="1255" t="s">
        <v>214</v>
      </c>
      <c r="X115" s="1237"/>
      <c r="Y115" s="1237"/>
      <c r="Z115" s="1237"/>
      <c r="AA115" s="1237"/>
      <c r="AB115" s="1237"/>
      <c r="AC115" s="1237"/>
      <c r="AD115" s="1237"/>
      <c r="AE115" s="1238"/>
    </row>
    <row r="116" spans="2:63" s="1" customFormat="1" ht="7.05" customHeight="1" x14ac:dyDescent="0.2">
      <c r="B116" s="24"/>
      <c r="L116" s="24"/>
      <c r="W116" s="158"/>
      <c r="X116" s="557"/>
      <c r="Y116" s="557"/>
      <c r="Z116" s="557"/>
      <c r="AA116" s="557"/>
      <c r="AB116" s="557"/>
      <c r="AC116" s="557"/>
      <c r="AD116" s="557"/>
      <c r="AE116" s="159"/>
    </row>
    <row r="117" spans="2:63" s="1" customFormat="1" ht="12" customHeight="1" x14ac:dyDescent="0.2">
      <c r="B117" s="24"/>
      <c r="C117" s="528" t="s">
        <v>12</v>
      </c>
      <c r="E117" s="1242" t="s">
        <v>6177</v>
      </c>
      <c r="F117" s="1242"/>
      <c r="G117" s="1242"/>
      <c r="H117" s="1242"/>
      <c r="I117" s="1242"/>
      <c r="J117" s="1242"/>
      <c r="L117" s="24"/>
      <c r="W117" s="158"/>
      <c r="X117" s="538" t="s">
        <v>12</v>
      </c>
      <c r="Y117" s="557"/>
      <c r="Z117" s="1163" t="s">
        <v>6177</v>
      </c>
      <c r="AA117" s="1163"/>
      <c r="AB117" s="1163"/>
      <c r="AC117" s="1163"/>
      <c r="AD117" s="1163"/>
      <c r="AE117" s="1241"/>
    </row>
    <row r="118" spans="2:63" s="1" customFormat="1" ht="22.95" customHeight="1" x14ac:dyDescent="0.2">
      <c r="B118" s="24"/>
      <c r="C118" s="521"/>
      <c r="E118" s="1243"/>
      <c r="F118" s="1244"/>
      <c r="G118" s="1244"/>
      <c r="H118" s="1244"/>
      <c r="L118" s="24"/>
      <c r="W118" s="158"/>
      <c r="X118" s="557"/>
      <c r="Y118" s="557"/>
      <c r="Z118" s="1249"/>
      <c r="AA118" s="1250"/>
      <c r="AB118" s="1250"/>
      <c r="AC118" s="1250"/>
      <c r="AD118" s="557"/>
      <c r="AE118" s="159"/>
    </row>
    <row r="119" spans="2:63" s="1" customFormat="1" ht="12" customHeight="1" x14ac:dyDescent="0.2">
      <c r="B119" s="24"/>
      <c r="C119" s="528" t="s">
        <v>186</v>
      </c>
      <c r="F119" s="532" t="s">
        <v>4782</v>
      </c>
      <c r="L119" s="24"/>
      <c r="W119" s="158"/>
      <c r="X119" s="538" t="s">
        <v>186</v>
      </c>
      <c r="Y119" s="557"/>
      <c r="Z119" s="557"/>
      <c r="AA119" s="555" t="s">
        <v>4782</v>
      </c>
      <c r="AB119" s="557"/>
      <c r="AC119" s="557"/>
      <c r="AD119" s="557"/>
      <c r="AE119" s="159"/>
    </row>
    <row r="120" spans="2:63" s="1" customFormat="1" ht="16.5" customHeight="1" x14ac:dyDescent="0.2">
      <c r="B120" s="24"/>
      <c r="C120" s="521"/>
      <c r="E120" s="1251"/>
      <c r="F120" s="1252"/>
      <c r="G120" s="1252"/>
      <c r="H120" s="1252"/>
      <c r="L120" s="24"/>
      <c r="W120" s="158"/>
      <c r="X120" s="557"/>
      <c r="Y120" s="557"/>
      <c r="Z120" s="1245"/>
      <c r="AA120" s="1246"/>
      <c r="AB120" s="1246"/>
      <c r="AC120" s="1246"/>
      <c r="AD120" s="557"/>
      <c r="AE120" s="159"/>
    </row>
    <row r="121" spans="2:63" s="1" customFormat="1" ht="7.05" customHeight="1" x14ac:dyDescent="0.2">
      <c r="B121" s="24"/>
      <c r="C121" s="521"/>
      <c r="L121" s="24"/>
      <c r="W121" s="158"/>
      <c r="X121" s="557"/>
      <c r="Y121" s="557"/>
      <c r="Z121" s="557"/>
      <c r="AA121" s="557"/>
      <c r="AB121" s="557"/>
      <c r="AC121" s="557"/>
      <c r="AD121" s="557"/>
      <c r="AE121" s="159"/>
    </row>
    <row r="122" spans="2:63" s="1" customFormat="1" ht="12" customHeight="1" x14ac:dyDescent="0.2">
      <c r="B122" s="24"/>
      <c r="C122" s="528" t="s">
        <v>15</v>
      </c>
      <c r="F122" s="19" t="str">
        <f>F12</f>
        <v>Kuzmányho nábrežie 28, 960 01 Zvolen</v>
      </c>
      <c r="I122" s="528" t="s">
        <v>17</v>
      </c>
      <c r="J122" s="39" t="str">
        <f>IF(J12="","",J12)</f>
        <v/>
      </c>
      <c r="L122" s="24"/>
      <c r="W122" s="158"/>
      <c r="X122" s="538" t="s">
        <v>15</v>
      </c>
      <c r="Y122" s="557"/>
      <c r="Z122" s="557"/>
      <c r="AA122" s="558" t="str">
        <f>AA12</f>
        <v>Kuzmányho nábrežie 28, 960 01 Zvolen</v>
      </c>
      <c r="AB122" s="557"/>
      <c r="AC122" s="557"/>
      <c r="AD122" s="538" t="s">
        <v>17</v>
      </c>
      <c r="AE122" s="162" t="str">
        <f>IF(AE12="","",AE12)</f>
        <v/>
      </c>
    </row>
    <row r="123" spans="2:63" s="1" customFormat="1" ht="7.05" customHeight="1" x14ac:dyDescent="0.2">
      <c r="B123" s="24"/>
      <c r="C123" s="521"/>
      <c r="I123" s="521"/>
      <c r="L123" s="24"/>
      <c r="W123" s="158"/>
      <c r="X123" s="557"/>
      <c r="Y123" s="557"/>
      <c r="Z123" s="557"/>
      <c r="AA123" s="557"/>
      <c r="AB123" s="557"/>
      <c r="AC123" s="557"/>
      <c r="AD123" s="557"/>
      <c r="AE123" s="159"/>
    </row>
    <row r="124" spans="2:63" s="1" customFormat="1" ht="15.3" customHeight="1" x14ac:dyDescent="0.2">
      <c r="B124" s="24"/>
      <c r="C124" s="528" t="s">
        <v>18</v>
      </c>
      <c r="F124" s="529" t="s">
        <v>6175</v>
      </c>
      <c r="I124" s="528" t="s">
        <v>22</v>
      </c>
      <c r="J124" s="22" t="str">
        <f>E21</f>
        <v xml:space="preserve"> </v>
      </c>
      <c r="L124" s="24"/>
      <c r="W124" s="158"/>
      <c r="X124" s="538" t="s">
        <v>18</v>
      </c>
      <c r="Y124" s="557"/>
      <c r="Z124" s="557"/>
      <c r="AA124" s="576" t="s">
        <v>6175</v>
      </c>
      <c r="AB124" s="557"/>
      <c r="AC124" s="557"/>
      <c r="AD124" s="538" t="s">
        <v>22</v>
      </c>
      <c r="AE124" s="181" t="str">
        <f>Z21</f>
        <v/>
      </c>
    </row>
    <row r="125" spans="2:63" s="1" customFormat="1" ht="15.3" customHeight="1" x14ac:dyDescent="0.2">
      <c r="B125" s="24"/>
      <c r="C125" s="528" t="s">
        <v>21</v>
      </c>
      <c r="F125" s="529" t="s">
        <v>5202</v>
      </c>
      <c r="I125" s="528" t="s">
        <v>24</v>
      </c>
      <c r="J125" s="22" t="str">
        <f>E24</f>
        <v xml:space="preserve"> </v>
      </c>
      <c r="L125" s="24"/>
      <c r="W125" s="158"/>
      <c r="X125" s="538" t="s">
        <v>21</v>
      </c>
      <c r="Y125" s="557"/>
      <c r="Z125" s="557"/>
      <c r="AA125" s="576" t="s">
        <v>5202</v>
      </c>
      <c r="AB125" s="557"/>
      <c r="AC125" s="557"/>
      <c r="AD125" s="538" t="s">
        <v>24</v>
      </c>
      <c r="AE125" s="181" t="str">
        <f>Z24</f>
        <v/>
      </c>
    </row>
    <row r="126" spans="2:63" s="1" customFormat="1" ht="10.199999999999999" customHeight="1" x14ac:dyDescent="0.2">
      <c r="B126" s="24"/>
      <c r="L126" s="24"/>
      <c r="W126" s="158"/>
      <c r="X126" s="557"/>
      <c r="Y126" s="557"/>
      <c r="Z126" s="557"/>
      <c r="AA126" s="557"/>
      <c r="AB126" s="557"/>
      <c r="AC126" s="557"/>
      <c r="AD126" s="557"/>
      <c r="AE126" s="159"/>
    </row>
    <row r="127" spans="2:63" s="10" customFormat="1" ht="29.25" customHeight="1" x14ac:dyDescent="0.2">
      <c r="B127" s="97"/>
      <c r="C127" s="98" t="s">
        <v>215</v>
      </c>
      <c r="D127" s="99" t="s">
        <v>43</v>
      </c>
      <c r="E127" s="99" t="s">
        <v>41</v>
      </c>
      <c r="F127" s="99" t="s">
        <v>42</v>
      </c>
      <c r="G127" s="99" t="s">
        <v>216</v>
      </c>
      <c r="H127" s="99" t="s">
        <v>217</v>
      </c>
      <c r="I127" s="99" t="s">
        <v>218</v>
      </c>
      <c r="J127" s="100" t="s">
        <v>190</v>
      </c>
      <c r="K127" s="101" t="s">
        <v>219</v>
      </c>
      <c r="L127" s="97"/>
      <c r="M127" s="46" t="s">
        <v>1</v>
      </c>
      <c r="N127" s="47" t="s">
        <v>30</v>
      </c>
      <c r="O127" s="47" t="s">
        <v>220</v>
      </c>
      <c r="P127" s="47" t="s">
        <v>221</v>
      </c>
      <c r="Q127" s="47" t="s">
        <v>222</v>
      </c>
      <c r="R127" s="47" t="s">
        <v>223</v>
      </c>
      <c r="S127" s="47" t="s">
        <v>224</v>
      </c>
      <c r="T127" s="48" t="s">
        <v>225</v>
      </c>
      <c r="W127" s="191"/>
      <c r="X127" s="98" t="s">
        <v>215</v>
      </c>
      <c r="Y127" s="99" t="s">
        <v>43</v>
      </c>
      <c r="Z127" s="99" t="s">
        <v>41</v>
      </c>
      <c r="AA127" s="99" t="s">
        <v>42</v>
      </c>
      <c r="AB127" s="99" t="s">
        <v>216</v>
      </c>
      <c r="AC127" s="99" t="s">
        <v>217</v>
      </c>
      <c r="AD127" s="99" t="s">
        <v>218</v>
      </c>
      <c r="AE127" s="192" t="s">
        <v>190</v>
      </c>
      <c r="AF127" s="228" t="s">
        <v>5220</v>
      </c>
    </row>
    <row r="128" spans="2:63" s="1" customFormat="1" ht="22.95" customHeight="1" x14ac:dyDescent="0.3">
      <c r="B128" s="24"/>
      <c r="C128" s="51" t="s">
        <v>191</v>
      </c>
      <c r="J128" s="102">
        <f>BK128</f>
        <v>352425.00000000006</v>
      </c>
      <c r="L128" s="24"/>
      <c r="M128" s="49"/>
      <c r="N128" s="40"/>
      <c r="O128" s="40"/>
      <c r="P128" s="103">
        <f>P129</f>
        <v>0</v>
      </c>
      <c r="Q128" s="40"/>
      <c r="R128" s="103">
        <f>R129</f>
        <v>0</v>
      </c>
      <c r="S128" s="40"/>
      <c r="T128" s="104">
        <f>T129</f>
        <v>0</v>
      </c>
      <c r="W128" s="158"/>
      <c r="X128" s="193" t="s">
        <v>191</v>
      </c>
      <c r="Y128" s="557"/>
      <c r="Z128" s="557"/>
      <c r="AA128" s="557"/>
      <c r="AB128" s="557"/>
      <c r="AC128" s="557"/>
      <c r="AD128" s="557"/>
      <c r="AE128" s="194">
        <f>AE129</f>
        <v>343445.59</v>
      </c>
      <c r="AF128" s="227"/>
      <c r="AG128" s="130"/>
      <c r="AT128" s="13" t="s">
        <v>57</v>
      </c>
      <c r="AU128" s="13" t="s">
        <v>192</v>
      </c>
      <c r="BK128" s="105">
        <f>BK129</f>
        <v>352425.00000000006</v>
      </c>
    </row>
    <row r="129" spans="2:65" s="11" customFormat="1" ht="25.95" customHeight="1" x14ac:dyDescent="0.25">
      <c r="B129" s="106"/>
      <c r="D129" s="107" t="s">
        <v>57</v>
      </c>
      <c r="E129" s="108" t="s">
        <v>4790</v>
      </c>
      <c r="F129" s="108" t="s">
        <v>2671</v>
      </c>
      <c r="J129" s="109">
        <f>BK129</f>
        <v>352425.00000000006</v>
      </c>
      <c r="L129" s="106"/>
      <c r="M129" s="110"/>
      <c r="N129" s="111"/>
      <c r="O129" s="111"/>
      <c r="P129" s="112">
        <f>P130+P203+P206+P212+P215+P235+P250+P253+P259+P262+P275</f>
        <v>0</v>
      </c>
      <c r="Q129" s="111"/>
      <c r="R129" s="112">
        <f>R130+R203+R206+R212+R215+R235+R250+R253+R259+R262+R275</f>
        <v>0</v>
      </c>
      <c r="S129" s="111"/>
      <c r="T129" s="113">
        <f>T130+T203+T206+T212+T215+T235+T250+T253+T259+T262+T275</f>
        <v>0</v>
      </c>
      <c r="W129" s="195"/>
      <c r="X129" s="111"/>
      <c r="Y129" s="196" t="s">
        <v>57</v>
      </c>
      <c r="Z129" s="197" t="s">
        <v>4790</v>
      </c>
      <c r="AA129" s="197" t="s">
        <v>2671</v>
      </c>
      <c r="AB129" s="111"/>
      <c r="AC129" s="111"/>
      <c r="AD129" s="111"/>
      <c r="AE129" s="198">
        <f>AE130+AE203+AE206+AE212+AE215+AE235+AE250+AE253+AE259+AE262+AE275</f>
        <v>343445.59</v>
      </c>
      <c r="AF129" s="248"/>
      <c r="AR129" s="107" t="s">
        <v>63</v>
      </c>
      <c r="AT129" s="114" t="s">
        <v>57</v>
      </c>
      <c r="AU129" s="114" t="s">
        <v>58</v>
      </c>
      <c r="AY129" s="107" t="s">
        <v>228</v>
      </c>
      <c r="BK129" s="115">
        <f>BK130+BK203+BK206+BK212+BK215+BK235+BK250+BK253+BK259+BK262+BK275</f>
        <v>352425.00000000006</v>
      </c>
    </row>
    <row r="130" spans="2:65" s="11" customFormat="1" ht="22.95" customHeight="1" x14ac:dyDescent="0.25">
      <c r="B130" s="106"/>
      <c r="D130" s="107" t="s">
        <v>57</v>
      </c>
      <c r="E130" s="116" t="s">
        <v>1201</v>
      </c>
      <c r="F130" s="116" t="s">
        <v>4791</v>
      </c>
      <c r="J130" s="117">
        <f>BK130</f>
        <v>242032.09000000003</v>
      </c>
      <c r="L130" s="106"/>
      <c r="M130" s="110"/>
      <c r="N130" s="111"/>
      <c r="O130" s="111"/>
      <c r="P130" s="112">
        <f>SUM(P131:P202)</f>
        <v>0</v>
      </c>
      <c r="Q130" s="111"/>
      <c r="R130" s="112">
        <f>SUM(R131:R202)</f>
        <v>0</v>
      </c>
      <c r="S130" s="111"/>
      <c r="T130" s="113">
        <f>SUM(T131:T202)</f>
        <v>0</v>
      </c>
      <c r="W130" s="195"/>
      <c r="X130" s="111"/>
      <c r="Y130" s="196" t="s">
        <v>57</v>
      </c>
      <c r="Z130" s="201" t="s">
        <v>1201</v>
      </c>
      <c r="AA130" s="201" t="s">
        <v>4791</v>
      </c>
      <c r="AB130" s="111"/>
      <c r="AC130" s="111"/>
      <c r="AD130" s="111"/>
      <c r="AE130" s="202">
        <f>SUM(AE131:AE202)</f>
        <v>232148.64000000004</v>
      </c>
      <c r="AF130" s="248"/>
      <c r="AR130" s="107" t="s">
        <v>63</v>
      </c>
      <c r="AT130" s="114" t="s">
        <v>57</v>
      </c>
      <c r="AU130" s="114" t="s">
        <v>63</v>
      </c>
      <c r="AY130" s="107" t="s">
        <v>228</v>
      </c>
      <c r="BK130" s="115">
        <f>SUM(BK131:BK202)</f>
        <v>242032.09000000003</v>
      </c>
    </row>
    <row r="131" spans="2:65" s="1" customFormat="1" ht="82.5" customHeight="1" x14ac:dyDescent="0.2">
      <c r="B131" s="118"/>
      <c r="C131" s="205" t="s">
        <v>63</v>
      </c>
      <c r="D131" s="119" t="s">
        <v>231</v>
      </c>
      <c r="E131" s="120" t="s">
        <v>4792</v>
      </c>
      <c r="F131" s="121" t="s">
        <v>4793</v>
      </c>
      <c r="G131" s="122" t="s">
        <v>1194</v>
      </c>
      <c r="H131" s="206">
        <v>2</v>
      </c>
      <c r="I131" s="124">
        <v>40389.56</v>
      </c>
      <c r="J131" s="124">
        <f t="shared" ref="J131:J172" si="0">ROUND(I131*H131,2)</f>
        <v>80779.12</v>
      </c>
      <c r="K131" s="121" t="s">
        <v>1</v>
      </c>
      <c r="L131" s="473"/>
      <c r="M131" s="125" t="s">
        <v>1</v>
      </c>
      <c r="N131" s="126" t="s">
        <v>32</v>
      </c>
      <c r="O131" s="127">
        <v>0</v>
      </c>
      <c r="P131" s="127">
        <f t="shared" ref="P131:P172" si="1">O131*H131</f>
        <v>0</v>
      </c>
      <c r="Q131" s="127">
        <v>0</v>
      </c>
      <c r="R131" s="127">
        <f t="shared" ref="R131:R172" si="2">Q131*H131</f>
        <v>0</v>
      </c>
      <c r="S131" s="127">
        <v>0</v>
      </c>
      <c r="T131" s="128">
        <f t="shared" ref="T131:T172" si="3">S131*H131</f>
        <v>0</v>
      </c>
      <c r="W131" s="199"/>
      <c r="X131" s="205" t="s">
        <v>63</v>
      </c>
      <c r="Y131" s="119" t="s">
        <v>231</v>
      </c>
      <c r="Z131" s="120" t="s">
        <v>4792</v>
      </c>
      <c r="AA131" s="121" t="s">
        <v>4793</v>
      </c>
      <c r="AB131" s="122" t="s">
        <v>1194</v>
      </c>
      <c r="AC131" s="206">
        <v>0</v>
      </c>
      <c r="AD131" s="124">
        <v>40389.56</v>
      </c>
      <c r="AE131" s="200">
        <f t="shared" ref="AE131:AE202" si="4">ROUND(AD131*AC131,2)</f>
        <v>0</v>
      </c>
      <c r="AF131" s="248">
        <v>11</v>
      </c>
      <c r="AR131" s="129" t="s">
        <v>235</v>
      </c>
      <c r="AT131" s="129" t="s">
        <v>231</v>
      </c>
      <c r="AU131" s="129" t="s">
        <v>76</v>
      </c>
      <c r="AY131" s="13" t="s">
        <v>228</v>
      </c>
      <c r="BE131" s="130">
        <f t="shared" ref="BE131:BE172" si="5">IF(N131="základná",J131,0)</f>
        <v>0</v>
      </c>
      <c r="BF131" s="130">
        <f t="shared" ref="BF131:BF172" si="6">IF(N131="znížená",J131,0)</f>
        <v>80779.12</v>
      </c>
      <c r="BG131" s="130">
        <f t="shared" ref="BG131:BG172" si="7">IF(N131="zákl. prenesená",J131,0)</f>
        <v>0</v>
      </c>
      <c r="BH131" s="130">
        <f t="shared" ref="BH131:BH172" si="8">IF(N131="zníž. prenesená",J131,0)</f>
        <v>0</v>
      </c>
      <c r="BI131" s="130">
        <f t="shared" ref="BI131:BI172" si="9">IF(N131="nulová",J131,0)</f>
        <v>0</v>
      </c>
      <c r="BJ131" s="13" t="s">
        <v>76</v>
      </c>
      <c r="BK131" s="130">
        <f t="shared" ref="BK131:BK172" si="10">ROUND(I131*H131,2)</f>
        <v>80779.12</v>
      </c>
      <c r="BL131" s="13" t="s">
        <v>235</v>
      </c>
      <c r="BM131" s="129" t="s">
        <v>76</v>
      </c>
    </row>
    <row r="132" spans="2:65" s="477" customFormat="1" ht="81.75" customHeight="1" x14ac:dyDescent="0.2">
      <c r="B132" s="118"/>
      <c r="C132" s="1234" t="s">
        <v>5205</v>
      </c>
      <c r="D132" s="1235"/>
      <c r="E132" s="1235"/>
      <c r="F132" s="1235"/>
      <c r="G132" s="1235"/>
      <c r="H132" s="1235"/>
      <c r="I132" s="1235"/>
      <c r="J132" s="1236"/>
      <c r="K132" s="121"/>
      <c r="L132" s="473"/>
      <c r="M132" s="125"/>
      <c r="N132" s="126"/>
      <c r="O132" s="127"/>
      <c r="P132" s="127"/>
      <c r="Q132" s="127"/>
      <c r="R132" s="127"/>
      <c r="S132" s="127"/>
      <c r="T132" s="128"/>
      <c r="W132" s="199"/>
      <c r="X132" s="207" t="s">
        <v>5323</v>
      </c>
      <c r="Y132" s="207"/>
      <c r="Z132" s="208" t="s">
        <v>63</v>
      </c>
      <c r="AA132" s="209" t="s">
        <v>6141</v>
      </c>
      <c r="AB132" s="210" t="s">
        <v>1172</v>
      </c>
      <c r="AC132" s="211">
        <v>2</v>
      </c>
      <c r="AD132" s="212">
        <v>39239</v>
      </c>
      <c r="AE132" s="214">
        <v>78478</v>
      </c>
      <c r="AF132" s="248">
        <v>11</v>
      </c>
      <c r="AR132" s="129"/>
      <c r="AT132" s="129"/>
      <c r="AU132" s="129"/>
      <c r="AY132" s="13"/>
      <c r="BE132" s="130"/>
      <c r="BF132" s="130"/>
      <c r="BG132" s="130"/>
      <c r="BH132" s="130"/>
      <c r="BI132" s="130"/>
      <c r="BJ132" s="13"/>
      <c r="BK132" s="130"/>
      <c r="BL132" s="13"/>
      <c r="BM132" s="129"/>
    </row>
    <row r="133" spans="2:65" s="477" customFormat="1" ht="45.75" customHeight="1" x14ac:dyDescent="0.2">
      <c r="B133" s="118"/>
      <c r="C133" s="1234" t="s">
        <v>5205</v>
      </c>
      <c r="D133" s="1235"/>
      <c r="E133" s="1235"/>
      <c r="F133" s="1235"/>
      <c r="G133" s="1235"/>
      <c r="H133" s="1235"/>
      <c r="I133" s="1235"/>
      <c r="J133" s="1236"/>
      <c r="K133" s="121"/>
      <c r="L133" s="473"/>
      <c r="M133" s="125"/>
      <c r="N133" s="126"/>
      <c r="O133" s="127"/>
      <c r="P133" s="127"/>
      <c r="Q133" s="127"/>
      <c r="R133" s="127"/>
      <c r="S133" s="127"/>
      <c r="T133" s="128"/>
      <c r="W133" s="199"/>
      <c r="X133" s="207" t="s">
        <v>5836</v>
      </c>
      <c r="Y133" s="207"/>
      <c r="Z133" s="208" t="s">
        <v>76</v>
      </c>
      <c r="AA133" s="209" t="s">
        <v>6145</v>
      </c>
      <c r="AB133" s="210" t="s">
        <v>1172</v>
      </c>
      <c r="AC133" s="211">
        <v>2</v>
      </c>
      <c r="AD133" s="212">
        <v>800</v>
      </c>
      <c r="AE133" s="214">
        <v>1600</v>
      </c>
      <c r="AF133" s="248">
        <v>11</v>
      </c>
      <c r="AR133" s="129"/>
      <c r="AT133" s="129"/>
      <c r="AU133" s="129"/>
      <c r="AY133" s="13"/>
      <c r="BE133" s="130"/>
      <c r="BF133" s="130"/>
      <c r="BG133" s="130"/>
      <c r="BH133" s="130"/>
      <c r="BI133" s="130"/>
      <c r="BJ133" s="13"/>
      <c r="BK133" s="130"/>
      <c r="BL133" s="13"/>
      <c r="BM133" s="129"/>
    </row>
    <row r="134" spans="2:65" s="1" customFormat="1" ht="85.5" customHeight="1" x14ac:dyDescent="0.2">
      <c r="B134" s="118"/>
      <c r="C134" s="205" t="s">
        <v>76</v>
      </c>
      <c r="D134" s="119" t="s">
        <v>231</v>
      </c>
      <c r="E134" s="120" t="s">
        <v>4794</v>
      </c>
      <c r="F134" s="121" t="s">
        <v>4795</v>
      </c>
      <c r="G134" s="122" t="s">
        <v>1194</v>
      </c>
      <c r="H134" s="206">
        <v>2</v>
      </c>
      <c r="I134" s="124">
        <v>16614.43</v>
      </c>
      <c r="J134" s="124">
        <f t="shared" si="0"/>
        <v>33228.86</v>
      </c>
      <c r="K134" s="121" t="s">
        <v>1</v>
      </c>
      <c r="L134" s="473"/>
      <c r="M134" s="125" t="s">
        <v>1</v>
      </c>
      <c r="N134" s="126" t="s">
        <v>32</v>
      </c>
      <c r="O134" s="127">
        <v>0</v>
      </c>
      <c r="P134" s="127">
        <f t="shared" si="1"/>
        <v>0</v>
      </c>
      <c r="Q134" s="127">
        <v>0</v>
      </c>
      <c r="R134" s="127">
        <f t="shared" si="2"/>
        <v>0</v>
      </c>
      <c r="S134" s="127">
        <v>0</v>
      </c>
      <c r="T134" s="128">
        <f t="shared" si="3"/>
        <v>0</v>
      </c>
      <c r="W134" s="199"/>
      <c r="X134" s="205" t="s">
        <v>76</v>
      </c>
      <c r="Y134" s="119" t="s">
        <v>231</v>
      </c>
      <c r="Z134" s="120" t="s">
        <v>4794</v>
      </c>
      <c r="AA134" s="121" t="s">
        <v>4795</v>
      </c>
      <c r="AB134" s="122" t="s">
        <v>1194</v>
      </c>
      <c r="AC134" s="206">
        <v>0</v>
      </c>
      <c r="AD134" s="124">
        <v>16614.43</v>
      </c>
      <c r="AE134" s="200">
        <f t="shared" si="4"/>
        <v>0</v>
      </c>
      <c r="AF134" s="248">
        <v>11</v>
      </c>
      <c r="AR134" s="129" t="s">
        <v>235</v>
      </c>
      <c r="AT134" s="129" t="s">
        <v>231</v>
      </c>
      <c r="AU134" s="129" t="s">
        <v>76</v>
      </c>
      <c r="AY134" s="13" t="s">
        <v>228</v>
      </c>
      <c r="BE134" s="130">
        <f t="shared" si="5"/>
        <v>0</v>
      </c>
      <c r="BF134" s="130">
        <f t="shared" si="6"/>
        <v>33228.86</v>
      </c>
      <c r="BG134" s="130">
        <f t="shared" si="7"/>
        <v>0</v>
      </c>
      <c r="BH134" s="130">
        <f t="shared" si="8"/>
        <v>0</v>
      </c>
      <c r="BI134" s="130">
        <f t="shared" si="9"/>
        <v>0</v>
      </c>
      <c r="BJ134" s="13" t="s">
        <v>76</v>
      </c>
      <c r="BK134" s="130">
        <f t="shared" si="10"/>
        <v>33228.86</v>
      </c>
      <c r="BL134" s="13" t="s">
        <v>235</v>
      </c>
      <c r="BM134" s="129" t="s">
        <v>235</v>
      </c>
    </row>
    <row r="135" spans="2:65" s="477" customFormat="1" ht="97.5" customHeight="1" x14ac:dyDescent="0.2">
      <c r="B135" s="118"/>
      <c r="C135" s="1234" t="s">
        <v>5205</v>
      </c>
      <c r="D135" s="1235"/>
      <c r="E135" s="1235"/>
      <c r="F135" s="1235"/>
      <c r="G135" s="1235"/>
      <c r="H135" s="1235"/>
      <c r="I135" s="1235"/>
      <c r="J135" s="1236"/>
      <c r="K135" s="121"/>
      <c r="L135" s="473"/>
      <c r="M135" s="125"/>
      <c r="N135" s="126"/>
      <c r="O135" s="127"/>
      <c r="P135" s="127"/>
      <c r="Q135" s="127"/>
      <c r="R135" s="127"/>
      <c r="S135" s="127"/>
      <c r="T135" s="128"/>
      <c r="W135" s="199"/>
      <c r="X135" s="207" t="s">
        <v>5837</v>
      </c>
      <c r="Y135" s="207"/>
      <c r="Z135" s="208" t="s">
        <v>229</v>
      </c>
      <c r="AA135" s="209" t="s">
        <v>6142</v>
      </c>
      <c r="AB135" s="210" t="s">
        <v>1172</v>
      </c>
      <c r="AC135" s="211">
        <v>2</v>
      </c>
      <c r="AD135" s="212">
        <v>15200</v>
      </c>
      <c r="AE135" s="214">
        <v>30400</v>
      </c>
      <c r="AF135" s="248">
        <v>11</v>
      </c>
      <c r="AR135" s="129"/>
      <c r="AT135" s="129"/>
      <c r="AU135" s="129"/>
      <c r="AY135" s="13"/>
      <c r="BE135" s="130"/>
      <c r="BF135" s="130"/>
      <c r="BG135" s="130"/>
      <c r="BH135" s="130"/>
      <c r="BI135" s="130"/>
      <c r="BJ135" s="13"/>
      <c r="BK135" s="130"/>
      <c r="BL135" s="13"/>
      <c r="BM135" s="129"/>
    </row>
    <row r="136" spans="2:65" s="1" customFormat="1" ht="77.25" customHeight="1" x14ac:dyDescent="0.2">
      <c r="B136" s="118"/>
      <c r="C136" s="205" t="s">
        <v>229</v>
      </c>
      <c r="D136" s="119" t="s">
        <v>231</v>
      </c>
      <c r="E136" s="120" t="s">
        <v>4796</v>
      </c>
      <c r="F136" s="121" t="s">
        <v>4797</v>
      </c>
      <c r="G136" s="122" t="s">
        <v>1194</v>
      </c>
      <c r="H136" s="206">
        <v>1</v>
      </c>
      <c r="I136" s="124">
        <v>6949.46</v>
      </c>
      <c r="J136" s="124">
        <f t="shared" si="0"/>
        <v>6949.46</v>
      </c>
      <c r="K136" s="121" t="s">
        <v>1</v>
      </c>
      <c r="L136" s="473"/>
      <c r="M136" s="125" t="s">
        <v>1</v>
      </c>
      <c r="N136" s="126" t="s">
        <v>32</v>
      </c>
      <c r="O136" s="127">
        <v>0</v>
      </c>
      <c r="P136" s="127">
        <f t="shared" si="1"/>
        <v>0</v>
      </c>
      <c r="Q136" s="127">
        <v>0</v>
      </c>
      <c r="R136" s="127">
        <f t="shared" si="2"/>
        <v>0</v>
      </c>
      <c r="S136" s="127">
        <v>0</v>
      </c>
      <c r="T136" s="128">
        <f t="shared" si="3"/>
        <v>0</v>
      </c>
      <c r="W136" s="199"/>
      <c r="X136" s="205" t="s">
        <v>229</v>
      </c>
      <c r="Y136" s="119" t="s">
        <v>231</v>
      </c>
      <c r="Z136" s="120" t="s">
        <v>4796</v>
      </c>
      <c r="AA136" s="121" t="s">
        <v>4797</v>
      </c>
      <c r="AB136" s="122" t="s">
        <v>1194</v>
      </c>
      <c r="AC136" s="206">
        <v>0</v>
      </c>
      <c r="AD136" s="124">
        <v>6949.46</v>
      </c>
      <c r="AE136" s="200">
        <f t="shared" si="4"/>
        <v>0</v>
      </c>
      <c r="AF136" s="248">
        <v>11</v>
      </c>
      <c r="AR136" s="129" t="s">
        <v>235</v>
      </c>
      <c r="AT136" s="129" t="s">
        <v>231</v>
      </c>
      <c r="AU136" s="129" t="s">
        <v>76</v>
      </c>
      <c r="AY136" s="13" t="s">
        <v>228</v>
      </c>
      <c r="BE136" s="130">
        <f t="shared" si="5"/>
        <v>0</v>
      </c>
      <c r="BF136" s="130">
        <f t="shared" si="6"/>
        <v>6949.46</v>
      </c>
      <c r="BG136" s="130">
        <f t="shared" si="7"/>
        <v>0</v>
      </c>
      <c r="BH136" s="130">
        <f t="shared" si="8"/>
        <v>0</v>
      </c>
      <c r="BI136" s="130">
        <f t="shared" si="9"/>
        <v>0</v>
      </c>
      <c r="BJ136" s="13" t="s">
        <v>76</v>
      </c>
      <c r="BK136" s="130">
        <f t="shared" si="10"/>
        <v>6949.46</v>
      </c>
      <c r="BL136" s="13" t="s">
        <v>235</v>
      </c>
      <c r="BM136" s="129" t="s">
        <v>240</v>
      </c>
    </row>
    <row r="137" spans="2:65" s="477" customFormat="1" ht="89.25" customHeight="1" x14ac:dyDescent="0.2">
      <c r="B137" s="118"/>
      <c r="C137" s="1234" t="s">
        <v>5205</v>
      </c>
      <c r="D137" s="1235"/>
      <c r="E137" s="1235"/>
      <c r="F137" s="1235"/>
      <c r="G137" s="1235"/>
      <c r="H137" s="1235"/>
      <c r="I137" s="1235"/>
      <c r="J137" s="1236"/>
      <c r="K137" s="121"/>
      <c r="L137" s="473"/>
      <c r="M137" s="125"/>
      <c r="N137" s="126"/>
      <c r="O137" s="127"/>
      <c r="P137" s="127"/>
      <c r="Q137" s="127"/>
      <c r="R137" s="127"/>
      <c r="S137" s="127"/>
      <c r="T137" s="128"/>
      <c r="W137" s="199"/>
      <c r="X137" s="207" t="s">
        <v>6028</v>
      </c>
      <c r="Y137" s="207"/>
      <c r="Z137" s="208" t="s">
        <v>240</v>
      </c>
      <c r="AA137" s="209" t="s">
        <v>6143</v>
      </c>
      <c r="AB137" s="210" t="s">
        <v>1172</v>
      </c>
      <c r="AC137" s="211">
        <v>1</v>
      </c>
      <c r="AD137" s="212">
        <v>5906.65</v>
      </c>
      <c r="AE137" s="214">
        <v>5906.65</v>
      </c>
      <c r="AF137" s="248">
        <v>11</v>
      </c>
      <c r="AR137" s="129"/>
      <c r="AT137" s="129"/>
      <c r="AU137" s="129"/>
      <c r="AY137" s="13"/>
      <c r="BE137" s="130"/>
      <c r="BF137" s="130"/>
      <c r="BG137" s="130"/>
      <c r="BH137" s="130"/>
      <c r="BI137" s="130"/>
      <c r="BJ137" s="13"/>
      <c r="BK137" s="130"/>
      <c r="BL137" s="13"/>
      <c r="BM137" s="129"/>
    </row>
    <row r="138" spans="2:65" s="1" customFormat="1" ht="36" customHeight="1" x14ac:dyDescent="0.2">
      <c r="B138" s="118"/>
      <c r="C138" s="119" t="s">
        <v>235</v>
      </c>
      <c r="D138" s="119" t="s">
        <v>231</v>
      </c>
      <c r="E138" s="120" t="s">
        <v>4798</v>
      </c>
      <c r="F138" s="121" t="s">
        <v>4799</v>
      </c>
      <c r="G138" s="122" t="s">
        <v>1194</v>
      </c>
      <c r="H138" s="123">
        <v>2</v>
      </c>
      <c r="I138" s="124">
        <v>1915.65</v>
      </c>
      <c r="J138" s="124">
        <f t="shared" si="0"/>
        <v>3831.3</v>
      </c>
      <c r="K138" s="121" t="s">
        <v>1</v>
      </c>
      <c r="L138" s="472"/>
      <c r="M138" s="125" t="s">
        <v>1</v>
      </c>
      <c r="N138" s="126" t="s">
        <v>32</v>
      </c>
      <c r="O138" s="127">
        <v>0</v>
      </c>
      <c r="P138" s="127">
        <f t="shared" si="1"/>
        <v>0</v>
      </c>
      <c r="Q138" s="127">
        <v>0</v>
      </c>
      <c r="R138" s="127">
        <f t="shared" si="2"/>
        <v>0</v>
      </c>
      <c r="S138" s="127">
        <v>0</v>
      </c>
      <c r="T138" s="128">
        <f t="shared" si="3"/>
        <v>0</v>
      </c>
      <c r="W138" s="199"/>
      <c r="X138" s="119" t="s">
        <v>235</v>
      </c>
      <c r="Y138" s="119" t="s">
        <v>231</v>
      </c>
      <c r="Z138" s="120" t="s">
        <v>4798</v>
      </c>
      <c r="AA138" s="121" t="s">
        <v>4799</v>
      </c>
      <c r="AB138" s="122" t="s">
        <v>1194</v>
      </c>
      <c r="AC138" s="123">
        <v>2</v>
      </c>
      <c r="AD138" s="124">
        <v>1915.65</v>
      </c>
      <c r="AE138" s="200">
        <f t="shared" si="4"/>
        <v>3831.3</v>
      </c>
      <c r="AF138" s="248"/>
      <c r="AR138" s="129" t="s">
        <v>235</v>
      </c>
      <c r="AT138" s="129" t="s">
        <v>231</v>
      </c>
      <c r="AU138" s="129" t="s">
        <v>76</v>
      </c>
      <c r="AY138" s="13" t="s">
        <v>228</v>
      </c>
      <c r="BE138" s="130">
        <f t="shared" si="5"/>
        <v>0</v>
      </c>
      <c r="BF138" s="130">
        <f t="shared" si="6"/>
        <v>3831.3</v>
      </c>
      <c r="BG138" s="130">
        <f t="shared" si="7"/>
        <v>0</v>
      </c>
      <c r="BH138" s="130">
        <f t="shared" si="8"/>
        <v>0</v>
      </c>
      <c r="BI138" s="130">
        <f t="shared" si="9"/>
        <v>0</v>
      </c>
      <c r="BJ138" s="13" t="s">
        <v>76</v>
      </c>
      <c r="BK138" s="130">
        <f t="shared" si="10"/>
        <v>3831.3</v>
      </c>
      <c r="BL138" s="13" t="s">
        <v>235</v>
      </c>
      <c r="BM138" s="129" t="s">
        <v>244</v>
      </c>
    </row>
    <row r="139" spans="2:65" s="1" customFormat="1" ht="56.25" customHeight="1" x14ac:dyDescent="0.2">
      <c r="B139" s="118"/>
      <c r="C139" s="205" t="s">
        <v>245</v>
      </c>
      <c r="D139" s="119" t="s">
        <v>231</v>
      </c>
      <c r="E139" s="120" t="s">
        <v>4800</v>
      </c>
      <c r="F139" s="121" t="s">
        <v>4801</v>
      </c>
      <c r="G139" s="122" t="s">
        <v>1194</v>
      </c>
      <c r="H139" s="206">
        <v>2</v>
      </c>
      <c r="I139" s="124">
        <v>3757</v>
      </c>
      <c r="J139" s="124">
        <f t="shared" si="0"/>
        <v>7514</v>
      </c>
      <c r="K139" s="121" t="s">
        <v>1</v>
      </c>
      <c r="L139" s="472"/>
      <c r="M139" s="125" t="s">
        <v>1</v>
      </c>
      <c r="N139" s="126" t="s">
        <v>32</v>
      </c>
      <c r="O139" s="127">
        <v>0</v>
      </c>
      <c r="P139" s="127">
        <f t="shared" si="1"/>
        <v>0</v>
      </c>
      <c r="Q139" s="127">
        <v>0</v>
      </c>
      <c r="R139" s="127">
        <f t="shared" si="2"/>
        <v>0</v>
      </c>
      <c r="S139" s="127">
        <v>0</v>
      </c>
      <c r="T139" s="128">
        <f t="shared" si="3"/>
        <v>0</v>
      </c>
      <c r="W139" s="199"/>
      <c r="X139" s="205" t="s">
        <v>245</v>
      </c>
      <c r="Y139" s="119" t="s">
        <v>231</v>
      </c>
      <c r="Z139" s="120" t="s">
        <v>4800</v>
      </c>
      <c r="AA139" s="121" t="s">
        <v>4801</v>
      </c>
      <c r="AB139" s="122" t="s">
        <v>1194</v>
      </c>
      <c r="AC139" s="206">
        <v>0</v>
      </c>
      <c r="AD139" s="124">
        <v>3757</v>
      </c>
      <c r="AE139" s="200">
        <f t="shared" si="4"/>
        <v>0</v>
      </c>
      <c r="AF139" s="248">
        <v>11</v>
      </c>
      <c r="AR139" s="129" t="s">
        <v>235</v>
      </c>
      <c r="AT139" s="129" t="s">
        <v>231</v>
      </c>
      <c r="AU139" s="129" t="s">
        <v>76</v>
      </c>
      <c r="AY139" s="13" t="s">
        <v>228</v>
      </c>
      <c r="BE139" s="130">
        <f t="shared" si="5"/>
        <v>0</v>
      </c>
      <c r="BF139" s="130">
        <f t="shared" si="6"/>
        <v>7514</v>
      </c>
      <c r="BG139" s="130">
        <f t="shared" si="7"/>
        <v>0</v>
      </c>
      <c r="BH139" s="130">
        <f t="shared" si="8"/>
        <v>0</v>
      </c>
      <c r="BI139" s="130">
        <f t="shared" si="9"/>
        <v>0</v>
      </c>
      <c r="BJ139" s="13" t="s">
        <v>76</v>
      </c>
      <c r="BK139" s="130">
        <f t="shared" si="10"/>
        <v>7514</v>
      </c>
      <c r="BL139" s="13" t="s">
        <v>235</v>
      </c>
      <c r="BM139" s="129" t="s">
        <v>248</v>
      </c>
    </row>
    <row r="140" spans="2:65" s="477" customFormat="1" ht="88.5" customHeight="1" x14ac:dyDescent="0.2">
      <c r="B140" s="118"/>
      <c r="C140" s="1234" t="s">
        <v>5205</v>
      </c>
      <c r="D140" s="1235"/>
      <c r="E140" s="1235"/>
      <c r="F140" s="1235"/>
      <c r="G140" s="1235"/>
      <c r="H140" s="1235"/>
      <c r="I140" s="1235"/>
      <c r="J140" s="1236"/>
      <c r="K140" s="121"/>
      <c r="L140" s="472"/>
      <c r="M140" s="125"/>
      <c r="N140" s="126"/>
      <c r="O140" s="127"/>
      <c r="P140" s="127"/>
      <c r="Q140" s="127"/>
      <c r="R140" s="127"/>
      <c r="S140" s="127"/>
      <c r="T140" s="128"/>
      <c r="W140" s="199"/>
      <c r="X140" s="207" t="s">
        <v>5329</v>
      </c>
      <c r="Y140" s="207"/>
      <c r="Z140" s="208" t="s">
        <v>244</v>
      </c>
      <c r="AA140" s="209" t="s">
        <v>6144</v>
      </c>
      <c r="AB140" s="210" t="s">
        <v>1172</v>
      </c>
      <c r="AC140" s="211">
        <v>2</v>
      </c>
      <c r="AD140" s="212">
        <v>3757</v>
      </c>
      <c r="AE140" s="214">
        <v>7514</v>
      </c>
      <c r="AF140" s="248">
        <v>11</v>
      </c>
      <c r="AR140" s="129"/>
      <c r="AT140" s="129"/>
      <c r="AU140" s="129"/>
      <c r="AY140" s="13"/>
      <c r="BE140" s="130"/>
      <c r="BF140" s="130"/>
      <c r="BG140" s="130"/>
      <c r="BH140" s="130"/>
      <c r="BI140" s="130"/>
      <c r="BJ140" s="13"/>
      <c r="BK140" s="130"/>
      <c r="BL140" s="13"/>
      <c r="BM140" s="129"/>
    </row>
    <row r="141" spans="2:65" s="1" customFormat="1" ht="60" customHeight="1" x14ac:dyDescent="0.2">
      <c r="B141" s="118"/>
      <c r="C141" s="119" t="s">
        <v>240</v>
      </c>
      <c r="D141" s="119" t="s">
        <v>231</v>
      </c>
      <c r="E141" s="120" t="s">
        <v>4802</v>
      </c>
      <c r="F141" s="121" t="s">
        <v>4803</v>
      </c>
      <c r="G141" s="122" t="s">
        <v>1194</v>
      </c>
      <c r="H141" s="123">
        <v>2</v>
      </c>
      <c r="I141" s="124">
        <v>2706.29</v>
      </c>
      <c r="J141" s="124">
        <f t="shared" si="0"/>
        <v>5412.58</v>
      </c>
      <c r="K141" s="121" t="s">
        <v>1</v>
      </c>
      <c r="L141" s="465"/>
      <c r="M141" s="125" t="s">
        <v>1</v>
      </c>
      <c r="N141" s="126" t="s">
        <v>32</v>
      </c>
      <c r="O141" s="127">
        <v>0</v>
      </c>
      <c r="P141" s="127">
        <f t="shared" si="1"/>
        <v>0</v>
      </c>
      <c r="Q141" s="127">
        <v>0</v>
      </c>
      <c r="R141" s="127">
        <f t="shared" si="2"/>
        <v>0</v>
      </c>
      <c r="S141" s="127">
        <v>0</v>
      </c>
      <c r="T141" s="128">
        <f t="shared" si="3"/>
        <v>0</v>
      </c>
      <c r="W141" s="199"/>
      <c r="X141" s="119" t="s">
        <v>240</v>
      </c>
      <c r="Y141" s="119" t="s">
        <v>231</v>
      </c>
      <c r="Z141" s="120" t="s">
        <v>4802</v>
      </c>
      <c r="AA141" s="121" t="s">
        <v>4803</v>
      </c>
      <c r="AB141" s="122" t="s">
        <v>1194</v>
      </c>
      <c r="AC141" s="123">
        <v>2</v>
      </c>
      <c r="AD141" s="124">
        <v>2706.29</v>
      </c>
      <c r="AE141" s="200">
        <f t="shared" si="4"/>
        <v>5412.58</v>
      </c>
      <c r="AF141" s="248"/>
      <c r="AR141" s="129" t="s">
        <v>235</v>
      </c>
      <c r="AT141" s="129" t="s">
        <v>231</v>
      </c>
      <c r="AU141" s="129" t="s">
        <v>76</v>
      </c>
      <c r="AY141" s="13" t="s">
        <v>228</v>
      </c>
      <c r="BE141" s="130">
        <f t="shared" si="5"/>
        <v>0</v>
      </c>
      <c r="BF141" s="130">
        <f t="shared" si="6"/>
        <v>5412.58</v>
      </c>
      <c r="BG141" s="130">
        <f t="shared" si="7"/>
        <v>0</v>
      </c>
      <c r="BH141" s="130">
        <f t="shared" si="8"/>
        <v>0</v>
      </c>
      <c r="BI141" s="130">
        <f t="shared" si="9"/>
        <v>0</v>
      </c>
      <c r="BJ141" s="13" t="s">
        <v>76</v>
      </c>
      <c r="BK141" s="130">
        <f t="shared" si="10"/>
        <v>5412.58</v>
      </c>
      <c r="BL141" s="13" t="s">
        <v>235</v>
      </c>
      <c r="BM141" s="129" t="s">
        <v>251</v>
      </c>
    </row>
    <row r="142" spans="2:65" s="1" customFormat="1" ht="67.5" customHeight="1" x14ac:dyDescent="0.2">
      <c r="B142" s="118"/>
      <c r="C142" s="119" t="s">
        <v>252</v>
      </c>
      <c r="D142" s="119" t="s">
        <v>231</v>
      </c>
      <c r="E142" s="120" t="s">
        <v>4804</v>
      </c>
      <c r="F142" s="121" t="s">
        <v>4805</v>
      </c>
      <c r="G142" s="122" t="s">
        <v>1194</v>
      </c>
      <c r="H142" s="123">
        <v>2</v>
      </c>
      <c r="I142" s="124">
        <v>4448.95</v>
      </c>
      <c r="J142" s="124">
        <f t="shared" si="0"/>
        <v>8897.9</v>
      </c>
      <c r="K142" s="121" t="s">
        <v>1</v>
      </c>
      <c r="L142" s="465"/>
      <c r="M142" s="125" t="s">
        <v>1</v>
      </c>
      <c r="N142" s="126" t="s">
        <v>32</v>
      </c>
      <c r="O142" s="127">
        <v>0</v>
      </c>
      <c r="P142" s="127">
        <f t="shared" si="1"/>
        <v>0</v>
      </c>
      <c r="Q142" s="127">
        <v>0</v>
      </c>
      <c r="R142" s="127">
        <f t="shared" si="2"/>
        <v>0</v>
      </c>
      <c r="S142" s="127">
        <v>0</v>
      </c>
      <c r="T142" s="128">
        <f t="shared" si="3"/>
        <v>0</v>
      </c>
      <c r="W142" s="199"/>
      <c r="X142" s="119" t="s">
        <v>252</v>
      </c>
      <c r="Y142" s="119" t="s">
        <v>231</v>
      </c>
      <c r="Z142" s="120" t="s">
        <v>4804</v>
      </c>
      <c r="AA142" s="121" t="s">
        <v>4805</v>
      </c>
      <c r="AB142" s="122" t="s">
        <v>1194</v>
      </c>
      <c r="AC142" s="123">
        <v>2</v>
      </c>
      <c r="AD142" s="124">
        <v>4448.95</v>
      </c>
      <c r="AE142" s="200">
        <f t="shared" si="4"/>
        <v>8897.9</v>
      </c>
      <c r="AF142" s="248"/>
      <c r="AR142" s="129" t="s">
        <v>235</v>
      </c>
      <c r="AT142" s="129" t="s">
        <v>231</v>
      </c>
      <c r="AU142" s="129" t="s">
        <v>76</v>
      </c>
      <c r="AY142" s="13" t="s">
        <v>228</v>
      </c>
      <c r="BE142" s="130">
        <f t="shared" si="5"/>
        <v>0</v>
      </c>
      <c r="BF142" s="130">
        <f t="shared" si="6"/>
        <v>8897.9</v>
      </c>
      <c r="BG142" s="130">
        <f t="shared" si="7"/>
        <v>0</v>
      </c>
      <c r="BH142" s="130">
        <f t="shared" si="8"/>
        <v>0</v>
      </c>
      <c r="BI142" s="130">
        <f t="shared" si="9"/>
        <v>0</v>
      </c>
      <c r="BJ142" s="13" t="s">
        <v>76</v>
      </c>
      <c r="BK142" s="130">
        <f t="shared" si="10"/>
        <v>8897.9</v>
      </c>
      <c r="BL142" s="13" t="s">
        <v>235</v>
      </c>
      <c r="BM142" s="129" t="s">
        <v>255</v>
      </c>
    </row>
    <row r="143" spans="2:65" s="1" customFormat="1" ht="66" customHeight="1" x14ac:dyDescent="0.2">
      <c r="B143" s="118"/>
      <c r="C143" s="205" t="s">
        <v>244</v>
      </c>
      <c r="D143" s="119" t="s">
        <v>231</v>
      </c>
      <c r="E143" s="120" t="s">
        <v>4806</v>
      </c>
      <c r="F143" s="121" t="s">
        <v>4807</v>
      </c>
      <c r="G143" s="122" t="s">
        <v>1194</v>
      </c>
      <c r="H143" s="206">
        <v>2</v>
      </c>
      <c r="I143" s="124">
        <v>5394.01</v>
      </c>
      <c r="J143" s="124">
        <f t="shared" si="0"/>
        <v>10788.02</v>
      </c>
      <c r="K143" s="121" t="s">
        <v>1</v>
      </c>
      <c r="L143" s="473"/>
      <c r="M143" s="125" t="s">
        <v>1</v>
      </c>
      <c r="N143" s="126" t="s">
        <v>32</v>
      </c>
      <c r="O143" s="127">
        <v>0</v>
      </c>
      <c r="P143" s="127">
        <f t="shared" si="1"/>
        <v>0</v>
      </c>
      <c r="Q143" s="127">
        <v>0</v>
      </c>
      <c r="R143" s="127">
        <f t="shared" si="2"/>
        <v>0</v>
      </c>
      <c r="S143" s="127">
        <v>0</v>
      </c>
      <c r="T143" s="128">
        <f t="shared" si="3"/>
        <v>0</v>
      </c>
      <c r="W143" s="199"/>
      <c r="X143" s="205" t="s">
        <v>244</v>
      </c>
      <c r="Y143" s="119" t="s">
        <v>231</v>
      </c>
      <c r="Z143" s="120" t="s">
        <v>4806</v>
      </c>
      <c r="AA143" s="121" t="s">
        <v>4807</v>
      </c>
      <c r="AB143" s="122" t="s">
        <v>1194</v>
      </c>
      <c r="AC143" s="206">
        <v>0</v>
      </c>
      <c r="AD143" s="124">
        <v>5394.01</v>
      </c>
      <c r="AE143" s="200">
        <f t="shared" si="4"/>
        <v>0</v>
      </c>
      <c r="AF143" s="248">
        <v>11</v>
      </c>
      <c r="AR143" s="129" t="s">
        <v>235</v>
      </c>
      <c r="AT143" s="129" t="s">
        <v>231</v>
      </c>
      <c r="AU143" s="129" t="s">
        <v>76</v>
      </c>
      <c r="AY143" s="13" t="s">
        <v>228</v>
      </c>
      <c r="BE143" s="130">
        <f t="shared" si="5"/>
        <v>0</v>
      </c>
      <c r="BF143" s="130">
        <f t="shared" si="6"/>
        <v>10788.02</v>
      </c>
      <c r="BG143" s="130">
        <f t="shared" si="7"/>
        <v>0</v>
      </c>
      <c r="BH143" s="130">
        <f t="shared" si="8"/>
        <v>0</v>
      </c>
      <c r="BI143" s="130">
        <f t="shared" si="9"/>
        <v>0</v>
      </c>
      <c r="BJ143" s="13" t="s">
        <v>76</v>
      </c>
      <c r="BK143" s="130">
        <f t="shared" si="10"/>
        <v>10788.02</v>
      </c>
      <c r="BL143" s="13" t="s">
        <v>235</v>
      </c>
      <c r="BM143" s="129" t="s">
        <v>258</v>
      </c>
    </row>
    <row r="144" spans="2:65" s="477" customFormat="1" ht="88.5" customHeight="1" x14ac:dyDescent="0.2">
      <c r="B144" s="118"/>
      <c r="C144" s="1234" t="s">
        <v>5205</v>
      </c>
      <c r="D144" s="1235"/>
      <c r="E144" s="1235"/>
      <c r="F144" s="1235"/>
      <c r="G144" s="1235"/>
      <c r="H144" s="1235"/>
      <c r="I144" s="1235"/>
      <c r="J144" s="1236"/>
      <c r="K144" s="121"/>
      <c r="L144" s="473"/>
      <c r="M144" s="125"/>
      <c r="N144" s="126"/>
      <c r="O144" s="127"/>
      <c r="P144" s="127"/>
      <c r="Q144" s="127"/>
      <c r="R144" s="127"/>
      <c r="S144" s="127"/>
      <c r="T144" s="128"/>
      <c r="W144" s="199"/>
      <c r="X144" s="207" t="s">
        <v>5204</v>
      </c>
      <c r="Y144" s="207"/>
      <c r="Z144" s="208" t="s">
        <v>259</v>
      </c>
      <c r="AA144" s="209" t="s">
        <v>6146</v>
      </c>
      <c r="AB144" s="210" t="s">
        <v>1172</v>
      </c>
      <c r="AC144" s="211">
        <v>2</v>
      </c>
      <c r="AD144" s="212">
        <v>4448.95</v>
      </c>
      <c r="AE144" s="214">
        <v>8897.9</v>
      </c>
      <c r="AF144" s="248">
        <v>11</v>
      </c>
      <c r="AR144" s="129"/>
      <c r="AT144" s="129"/>
      <c r="AU144" s="129"/>
      <c r="AY144" s="13"/>
      <c r="BE144" s="130"/>
      <c r="BF144" s="130"/>
      <c r="BG144" s="130"/>
      <c r="BH144" s="130"/>
      <c r="BI144" s="130"/>
      <c r="BJ144" s="13"/>
      <c r="BK144" s="130"/>
      <c r="BL144" s="13"/>
      <c r="BM144" s="129"/>
    </row>
    <row r="145" spans="2:65" s="1" customFormat="1" ht="84" customHeight="1" x14ac:dyDescent="0.2">
      <c r="B145" s="118"/>
      <c r="C145" s="205" t="s">
        <v>259</v>
      </c>
      <c r="D145" s="119" t="s">
        <v>231</v>
      </c>
      <c r="E145" s="120" t="s">
        <v>4808</v>
      </c>
      <c r="F145" s="121" t="s">
        <v>4809</v>
      </c>
      <c r="G145" s="122" t="s">
        <v>1194</v>
      </c>
      <c r="H145" s="206">
        <v>1</v>
      </c>
      <c r="I145" s="124">
        <v>15307.79</v>
      </c>
      <c r="J145" s="124">
        <f t="shared" si="0"/>
        <v>15307.79</v>
      </c>
      <c r="K145" s="121" t="s">
        <v>1</v>
      </c>
      <c r="L145" s="472"/>
      <c r="M145" s="125" t="s">
        <v>1</v>
      </c>
      <c r="N145" s="126" t="s">
        <v>32</v>
      </c>
      <c r="O145" s="127">
        <v>0</v>
      </c>
      <c r="P145" s="127">
        <f t="shared" si="1"/>
        <v>0</v>
      </c>
      <c r="Q145" s="127">
        <v>0</v>
      </c>
      <c r="R145" s="127">
        <f t="shared" si="2"/>
        <v>0</v>
      </c>
      <c r="S145" s="127">
        <v>0</v>
      </c>
      <c r="T145" s="128">
        <f t="shared" si="3"/>
        <v>0</v>
      </c>
      <c r="W145" s="199"/>
      <c r="X145" s="205" t="s">
        <v>259</v>
      </c>
      <c r="Y145" s="119" t="s">
        <v>231</v>
      </c>
      <c r="Z145" s="120" t="s">
        <v>4808</v>
      </c>
      <c r="AA145" s="121" t="s">
        <v>4809</v>
      </c>
      <c r="AB145" s="122" t="s">
        <v>1194</v>
      </c>
      <c r="AC145" s="206">
        <v>0</v>
      </c>
      <c r="AD145" s="124">
        <v>15307.79</v>
      </c>
      <c r="AE145" s="200">
        <f t="shared" si="4"/>
        <v>0</v>
      </c>
      <c r="AF145" s="248">
        <v>11</v>
      </c>
      <c r="AR145" s="129" t="s">
        <v>235</v>
      </c>
      <c r="AT145" s="129" t="s">
        <v>231</v>
      </c>
      <c r="AU145" s="129" t="s">
        <v>76</v>
      </c>
      <c r="AY145" s="13" t="s">
        <v>228</v>
      </c>
      <c r="BE145" s="130">
        <f t="shared" si="5"/>
        <v>0</v>
      </c>
      <c r="BF145" s="130">
        <f t="shared" si="6"/>
        <v>15307.79</v>
      </c>
      <c r="BG145" s="130">
        <f t="shared" si="7"/>
        <v>0</v>
      </c>
      <c r="BH145" s="130">
        <f t="shared" si="8"/>
        <v>0</v>
      </c>
      <c r="BI145" s="130">
        <f t="shared" si="9"/>
        <v>0</v>
      </c>
      <c r="BJ145" s="13" t="s">
        <v>76</v>
      </c>
      <c r="BK145" s="130">
        <f t="shared" si="10"/>
        <v>15307.79</v>
      </c>
      <c r="BL145" s="13" t="s">
        <v>235</v>
      </c>
      <c r="BM145" s="129" t="s">
        <v>262</v>
      </c>
    </row>
    <row r="146" spans="2:65" s="477" customFormat="1" ht="79.5" customHeight="1" x14ac:dyDescent="0.2">
      <c r="B146" s="118"/>
      <c r="C146" s="1234" t="s">
        <v>5205</v>
      </c>
      <c r="D146" s="1235"/>
      <c r="E146" s="1235"/>
      <c r="F146" s="1235"/>
      <c r="G146" s="1235"/>
      <c r="H146" s="1235"/>
      <c r="I146" s="1235"/>
      <c r="J146" s="1236"/>
      <c r="K146" s="121"/>
      <c r="L146" s="472"/>
      <c r="M146" s="125"/>
      <c r="N146" s="126"/>
      <c r="O146" s="127"/>
      <c r="P146" s="127"/>
      <c r="Q146" s="127"/>
      <c r="R146" s="127"/>
      <c r="S146" s="127"/>
      <c r="T146" s="128"/>
      <c r="W146" s="199"/>
      <c r="X146" s="207" t="s">
        <v>5341</v>
      </c>
      <c r="Y146" s="207"/>
      <c r="Z146" s="208" t="s">
        <v>265</v>
      </c>
      <c r="AA146" s="209" t="s">
        <v>6147</v>
      </c>
      <c r="AB146" s="210" t="s">
        <v>1172</v>
      </c>
      <c r="AC146" s="211">
        <v>1</v>
      </c>
      <c r="AD146" s="212">
        <v>14949</v>
      </c>
      <c r="AE146" s="214">
        <v>14949</v>
      </c>
      <c r="AF146" s="248">
        <v>11</v>
      </c>
      <c r="AR146" s="129"/>
      <c r="AT146" s="129"/>
      <c r="AU146" s="129"/>
      <c r="AY146" s="13"/>
      <c r="BE146" s="130"/>
      <c r="BF146" s="130"/>
      <c r="BG146" s="130"/>
      <c r="BH146" s="130"/>
      <c r="BI146" s="130"/>
      <c r="BJ146" s="13"/>
      <c r="BK146" s="130"/>
      <c r="BL146" s="13"/>
      <c r="BM146" s="129"/>
    </row>
    <row r="147" spans="2:65" s="1" customFormat="1" ht="24" customHeight="1" x14ac:dyDescent="0.2">
      <c r="B147" s="118"/>
      <c r="C147" s="119" t="s">
        <v>248</v>
      </c>
      <c r="D147" s="119" t="s">
        <v>231</v>
      </c>
      <c r="E147" s="120" t="s">
        <v>4810</v>
      </c>
      <c r="F147" s="121" t="s">
        <v>4811</v>
      </c>
      <c r="G147" s="122" t="s">
        <v>1194</v>
      </c>
      <c r="H147" s="123">
        <v>1</v>
      </c>
      <c r="I147" s="124">
        <v>650.16</v>
      </c>
      <c r="J147" s="124">
        <f t="shared" si="0"/>
        <v>650.16</v>
      </c>
      <c r="K147" s="121" t="s">
        <v>1</v>
      </c>
      <c r="L147" s="465"/>
      <c r="M147" s="125" t="s">
        <v>1</v>
      </c>
      <c r="N147" s="126" t="s">
        <v>32</v>
      </c>
      <c r="O147" s="127">
        <v>0</v>
      </c>
      <c r="P147" s="127">
        <f t="shared" si="1"/>
        <v>0</v>
      </c>
      <c r="Q147" s="127">
        <v>0</v>
      </c>
      <c r="R147" s="127">
        <f t="shared" si="2"/>
        <v>0</v>
      </c>
      <c r="S147" s="127">
        <v>0</v>
      </c>
      <c r="T147" s="128">
        <f t="shared" si="3"/>
        <v>0</v>
      </c>
      <c r="W147" s="199"/>
      <c r="X147" s="119" t="s">
        <v>248</v>
      </c>
      <c r="Y147" s="119" t="s">
        <v>231</v>
      </c>
      <c r="Z147" s="120" t="s">
        <v>4810</v>
      </c>
      <c r="AA147" s="121" t="s">
        <v>4811</v>
      </c>
      <c r="AB147" s="122" t="s">
        <v>1194</v>
      </c>
      <c r="AC147" s="123">
        <v>1</v>
      </c>
      <c r="AD147" s="124">
        <v>650.16</v>
      </c>
      <c r="AE147" s="200">
        <f t="shared" si="4"/>
        <v>650.16</v>
      </c>
      <c r="AF147" s="248"/>
      <c r="AR147" s="129" t="s">
        <v>235</v>
      </c>
      <c r="AT147" s="129" t="s">
        <v>231</v>
      </c>
      <c r="AU147" s="129" t="s">
        <v>76</v>
      </c>
      <c r="AY147" s="13" t="s">
        <v>228</v>
      </c>
      <c r="BE147" s="130">
        <f t="shared" si="5"/>
        <v>0</v>
      </c>
      <c r="BF147" s="130">
        <f t="shared" si="6"/>
        <v>650.16</v>
      </c>
      <c r="BG147" s="130">
        <f t="shared" si="7"/>
        <v>0</v>
      </c>
      <c r="BH147" s="130">
        <f t="shared" si="8"/>
        <v>0</v>
      </c>
      <c r="BI147" s="130">
        <f t="shared" si="9"/>
        <v>0</v>
      </c>
      <c r="BJ147" s="13" t="s">
        <v>76</v>
      </c>
      <c r="BK147" s="130">
        <f t="shared" si="10"/>
        <v>650.16</v>
      </c>
      <c r="BL147" s="13" t="s">
        <v>235</v>
      </c>
      <c r="BM147" s="129" t="s">
        <v>7</v>
      </c>
    </row>
    <row r="148" spans="2:65" s="1" customFormat="1" ht="75" customHeight="1" x14ac:dyDescent="0.2">
      <c r="B148" s="118"/>
      <c r="C148" s="205" t="s">
        <v>265</v>
      </c>
      <c r="D148" s="119" t="s">
        <v>231</v>
      </c>
      <c r="E148" s="120" t="s">
        <v>4812</v>
      </c>
      <c r="F148" s="121" t="s">
        <v>4813</v>
      </c>
      <c r="G148" s="122" t="s">
        <v>1194</v>
      </c>
      <c r="H148" s="206">
        <v>1</v>
      </c>
      <c r="I148" s="124">
        <v>4446.63</v>
      </c>
      <c r="J148" s="124">
        <f t="shared" si="0"/>
        <v>4446.63</v>
      </c>
      <c r="K148" s="121" t="s">
        <v>1</v>
      </c>
      <c r="L148" s="472"/>
      <c r="M148" s="125" t="s">
        <v>1</v>
      </c>
      <c r="N148" s="126" t="s">
        <v>32</v>
      </c>
      <c r="O148" s="127">
        <v>0</v>
      </c>
      <c r="P148" s="127">
        <f t="shared" si="1"/>
        <v>0</v>
      </c>
      <c r="Q148" s="127">
        <v>0</v>
      </c>
      <c r="R148" s="127">
        <f t="shared" si="2"/>
        <v>0</v>
      </c>
      <c r="S148" s="127">
        <v>0</v>
      </c>
      <c r="T148" s="128">
        <f t="shared" si="3"/>
        <v>0</v>
      </c>
      <c r="W148" s="199"/>
      <c r="X148" s="205" t="s">
        <v>265</v>
      </c>
      <c r="Y148" s="119" t="s">
        <v>231</v>
      </c>
      <c r="Z148" s="120" t="s">
        <v>4812</v>
      </c>
      <c r="AA148" s="121" t="s">
        <v>4813</v>
      </c>
      <c r="AB148" s="122" t="s">
        <v>1194</v>
      </c>
      <c r="AC148" s="206">
        <v>0</v>
      </c>
      <c r="AD148" s="124">
        <v>4446.63</v>
      </c>
      <c r="AE148" s="200">
        <f t="shared" si="4"/>
        <v>0</v>
      </c>
      <c r="AF148" s="248">
        <v>11</v>
      </c>
      <c r="AR148" s="129" t="s">
        <v>235</v>
      </c>
      <c r="AT148" s="129" t="s">
        <v>231</v>
      </c>
      <c r="AU148" s="129" t="s">
        <v>76</v>
      </c>
      <c r="AY148" s="13" t="s">
        <v>228</v>
      </c>
      <c r="BE148" s="130">
        <f t="shared" si="5"/>
        <v>0</v>
      </c>
      <c r="BF148" s="130">
        <f t="shared" si="6"/>
        <v>4446.63</v>
      </c>
      <c r="BG148" s="130">
        <f t="shared" si="7"/>
        <v>0</v>
      </c>
      <c r="BH148" s="130">
        <f t="shared" si="8"/>
        <v>0</v>
      </c>
      <c r="BI148" s="130">
        <f t="shared" si="9"/>
        <v>0</v>
      </c>
      <c r="BJ148" s="13" t="s">
        <v>76</v>
      </c>
      <c r="BK148" s="130">
        <f t="shared" si="10"/>
        <v>4446.63</v>
      </c>
      <c r="BL148" s="13" t="s">
        <v>235</v>
      </c>
      <c r="BM148" s="129" t="s">
        <v>268</v>
      </c>
    </row>
    <row r="149" spans="2:65" s="477" customFormat="1" ht="81.75" customHeight="1" x14ac:dyDescent="0.2">
      <c r="B149" s="118"/>
      <c r="C149" s="1234" t="s">
        <v>5205</v>
      </c>
      <c r="D149" s="1235"/>
      <c r="E149" s="1235"/>
      <c r="F149" s="1235"/>
      <c r="G149" s="1235"/>
      <c r="H149" s="1235"/>
      <c r="I149" s="1235"/>
      <c r="J149" s="1236"/>
      <c r="K149" s="121"/>
      <c r="L149" s="472"/>
      <c r="M149" s="125"/>
      <c r="N149" s="126"/>
      <c r="O149" s="127"/>
      <c r="P149" s="127"/>
      <c r="Q149" s="127"/>
      <c r="R149" s="127"/>
      <c r="S149" s="127"/>
      <c r="T149" s="128"/>
      <c r="W149" s="199"/>
      <c r="X149" s="207" t="s">
        <v>5342</v>
      </c>
      <c r="Y149" s="207"/>
      <c r="Z149" s="208" t="s">
        <v>273</v>
      </c>
      <c r="AA149" s="209" t="s">
        <v>6148</v>
      </c>
      <c r="AB149" s="210" t="s">
        <v>1172</v>
      </c>
      <c r="AC149" s="211">
        <v>1</v>
      </c>
      <c r="AD149" s="212">
        <v>4880</v>
      </c>
      <c r="AE149" s="214">
        <v>4880</v>
      </c>
      <c r="AF149" s="248">
        <v>11</v>
      </c>
      <c r="AR149" s="129"/>
      <c r="AT149" s="129"/>
      <c r="AU149" s="129"/>
      <c r="AY149" s="13"/>
      <c r="BE149" s="130"/>
      <c r="BF149" s="130"/>
      <c r="BG149" s="130"/>
      <c r="BH149" s="130"/>
      <c r="BI149" s="130"/>
      <c r="BJ149" s="13"/>
      <c r="BK149" s="130"/>
      <c r="BL149" s="13"/>
      <c r="BM149" s="129"/>
    </row>
    <row r="150" spans="2:65" s="1" customFormat="1" ht="81.75" customHeight="1" x14ac:dyDescent="0.2">
      <c r="B150" s="118"/>
      <c r="C150" s="119" t="s">
        <v>251</v>
      </c>
      <c r="D150" s="119" t="s">
        <v>231</v>
      </c>
      <c r="E150" s="120" t="s">
        <v>4814</v>
      </c>
      <c r="F150" s="121" t="s">
        <v>4815</v>
      </c>
      <c r="G150" s="122" t="s">
        <v>1194</v>
      </c>
      <c r="H150" s="123">
        <v>1</v>
      </c>
      <c r="I150" s="124">
        <v>4592.92</v>
      </c>
      <c r="J150" s="124">
        <f t="shared" si="0"/>
        <v>4592.92</v>
      </c>
      <c r="K150" s="121" t="s">
        <v>1</v>
      </c>
      <c r="L150" s="465"/>
      <c r="M150" s="125" t="s">
        <v>1</v>
      </c>
      <c r="N150" s="126" t="s">
        <v>32</v>
      </c>
      <c r="O150" s="127">
        <v>0</v>
      </c>
      <c r="P150" s="127">
        <f t="shared" si="1"/>
        <v>0</v>
      </c>
      <c r="Q150" s="127">
        <v>0</v>
      </c>
      <c r="R150" s="127">
        <f t="shared" si="2"/>
        <v>0</v>
      </c>
      <c r="S150" s="127">
        <v>0</v>
      </c>
      <c r="T150" s="128">
        <f t="shared" si="3"/>
        <v>0</v>
      </c>
      <c r="W150" s="199"/>
      <c r="X150" s="119" t="s">
        <v>251</v>
      </c>
      <c r="Y150" s="119" t="s">
        <v>231</v>
      </c>
      <c r="Z150" s="120" t="s">
        <v>4814</v>
      </c>
      <c r="AA150" s="121" t="s">
        <v>4815</v>
      </c>
      <c r="AB150" s="122" t="s">
        <v>1194</v>
      </c>
      <c r="AC150" s="123">
        <v>1</v>
      </c>
      <c r="AD150" s="124">
        <v>4592.92</v>
      </c>
      <c r="AE150" s="200">
        <f t="shared" si="4"/>
        <v>4592.92</v>
      </c>
      <c r="AF150" s="248"/>
      <c r="AR150" s="129" t="s">
        <v>235</v>
      </c>
      <c r="AT150" s="129" t="s">
        <v>231</v>
      </c>
      <c r="AU150" s="129" t="s">
        <v>76</v>
      </c>
      <c r="AY150" s="13" t="s">
        <v>228</v>
      </c>
      <c r="BE150" s="130">
        <f t="shared" si="5"/>
        <v>0</v>
      </c>
      <c r="BF150" s="130">
        <f t="shared" si="6"/>
        <v>4592.92</v>
      </c>
      <c r="BG150" s="130">
        <f t="shared" si="7"/>
        <v>0</v>
      </c>
      <c r="BH150" s="130">
        <f t="shared" si="8"/>
        <v>0</v>
      </c>
      <c r="BI150" s="130">
        <f t="shared" si="9"/>
        <v>0</v>
      </c>
      <c r="BJ150" s="13" t="s">
        <v>76</v>
      </c>
      <c r="BK150" s="130">
        <f t="shared" si="10"/>
        <v>4592.92</v>
      </c>
      <c r="BL150" s="13" t="s">
        <v>235</v>
      </c>
      <c r="BM150" s="129" t="s">
        <v>272</v>
      </c>
    </row>
    <row r="151" spans="2:65" s="1" customFormat="1" ht="72" customHeight="1" x14ac:dyDescent="0.2">
      <c r="B151" s="118"/>
      <c r="C151" s="205" t="s">
        <v>273</v>
      </c>
      <c r="D151" s="119" t="s">
        <v>231</v>
      </c>
      <c r="E151" s="120" t="s">
        <v>4816</v>
      </c>
      <c r="F151" s="121" t="s">
        <v>4817</v>
      </c>
      <c r="G151" s="122" t="s">
        <v>1194</v>
      </c>
      <c r="H151" s="206">
        <v>1</v>
      </c>
      <c r="I151" s="124">
        <v>2034.07</v>
      </c>
      <c r="J151" s="124">
        <f t="shared" si="0"/>
        <v>2034.07</v>
      </c>
      <c r="K151" s="121" t="s">
        <v>1</v>
      </c>
      <c r="L151" s="473"/>
      <c r="M151" s="125" t="s">
        <v>1</v>
      </c>
      <c r="N151" s="126" t="s">
        <v>32</v>
      </c>
      <c r="O151" s="127">
        <v>0</v>
      </c>
      <c r="P151" s="127">
        <f t="shared" si="1"/>
        <v>0</v>
      </c>
      <c r="Q151" s="127">
        <v>0</v>
      </c>
      <c r="R151" s="127">
        <f t="shared" si="2"/>
        <v>0</v>
      </c>
      <c r="S151" s="127">
        <v>0</v>
      </c>
      <c r="T151" s="128">
        <f t="shared" si="3"/>
        <v>0</v>
      </c>
      <c r="W151" s="199"/>
      <c r="X151" s="205" t="s">
        <v>273</v>
      </c>
      <c r="Y151" s="119" t="s">
        <v>231</v>
      </c>
      <c r="Z151" s="120" t="s">
        <v>4816</v>
      </c>
      <c r="AA151" s="121" t="s">
        <v>4817</v>
      </c>
      <c r="AB151" s="122" t="s">
        <v>1194</v>
      </c>
      <c r="AC151" s="206">
        <v>0</v>
      </c>
      <c r="AD151" s="124">
        <v>2034.07</v>
      </c>
      <c r="AE151" s="200">
        <f t="shared" si="4"/>
        <v>0</v>
      </c>
      <c r="AF151" s="248">
        <v>11</v>
      </c>
      <c r="AR151" s="129" t="s">
        <v>235</v>
      </c>
      <c r="AT151" s="129" t="s">
        <v>231</v>
      </c>
      <c r="AU151" s="129" t="s">
        <v>76</v>
      </c>
      <c r="AY151" s="13" t="s">
        <v>228</v>
      </c>
      <c r="BE151" s="130">
        <f t="shared" si="5"/>
        <v>0</v>
      </c>
      <c r="BF151" s="130">
        <f t="shared" si="6"/>
        <v>2034.07</v>
      </c>
      <c r="BG151" s="130">
        <f t="shared" si="7"/>
        <v>0</v>
      </c>
      <c r="BH151" s="130">
        <f t="shared" si="8"/>
        <v>0</v>
      </c>
      <c r="BI151" s="130">
        <f t="shared" si="9"/>
        <v>0</v>
      </c>
      <c r="BJ151" s="13" t="s">
        <v>76</v>
      </c>
      <c r="BK151" s="130">
        <f t="shared" si="10"/>
        <v>2034.07</v>
      </c>
      <c r="BL151" s="13" t="s">
        <v>235</v>
      </c>
      <c r="BM151" s="129" t="s">
        <v>276</v>
      </c>
    </row>
    <row r="152" spans="2:65" s="477" customFormat="1" ht="87.75" customHeight="1" x14ac:dyDescent="0.2">
      <c r="B152" s="118"/>
      <c r="C152" s="1234" t="s">
        <v>5205</v>
      </c>
      <c r="D152" s="1235"/>
      <c r="E152" s="1235"/>
      <c r="F152" s="1235"/>
      <c r="G152" s="1235"/>
      <c r="H152" s="1235"/>
      <c r="I152" s="1235"/>
      <c r="J152" s="1236"/>
      <c r="K152" s="121"/>
      <c r="L152" s="473"/>
      <c r="M152" s="125"/>
      <c r="N152" s="126"/>
      <c r="O152" s="127"/>
      <c r="P152" s="127"/>
      <c r="Q152" s="127"/>
      <c r="R152" s="127"/>
      <c r="S152" s="127"/>
      <c r="T152" s="128"/>
      <c r="W152" s="199"/>
      <c r="X152" s="207" t="s">
        <v>5344</v>
      </c>
      <c r="Y152" s="207"/>
      <c r="Z152" s="208" t="s">
        <v>281</v>
      </c>
      <c r="AA152" s="209" t="s">
        <v>6149</v>
      </c>
      <c r="AB152" s="210" t="s">
        <v>1172</v>
      </c>
      <c r="AC152" s="211">
        <v>1</v>
      </c>
      <c r="AD152" s="212">
        <v>1958</v>
      </c>
      <c r="AE152" s="214">
        <v>1958</v>
      </c>
      <c r="AF152" s="248">
        <v>11</v>
      </c>
      <c r="AR152" s="129"/>
      <c r="AT152" s="129"/>
      <c r="AU152" s="129"/>
      <c r="AY152" s="13"/>
      <c r="BE152" s="130"/>
      <c r="BF152" s="130"/>
      <c r="BG152" s="130"/>
      <c r="BH152" s="130"/>
      <c r="BI152" s="130"/>
      <c r="BJ152" s="13"/>
      <c r="BK152" s="130"/>
      <c r="BL152" s="13"/>
      <c r="BM152" s="129"/>
    </row>
    <row r="153" spans="2:65" s="1" customFormat="1" ht="74.25" customHeight="1" x14ac:dyDescent="0.2">
      <c r="B153" s="118"/>
      <c r="C153" s="205" t="s">
        <v>255</v>
      </c>
      <c r="D153" s="119" t="s">
        <v>231</v>
      </c>
      <c r="E153" s="120" t="s">
        <v>4818</v>
      </c>
      <c r="F153" s="121" t="s">
        <v>4819</v>
      </c>
      <c r="G153" s="122" t="s">
        <v>1194</v>
      </c>
      <c r="H153" s="206">
        <v>1</v>
      </c>
      <c r="I153" s="124">
        <v>1469.83</v>
      </c>
      <c r="J153" s="124">
        <f t="shared" si="0"/>
        <v>1469.83</v>
      </c>
      <c r="K153" s="121" t="s">
        <v>1</v>
      </c>
      <c r="L153" s="473"/>
      <c r="M153" s="125" t="s">
        <v>1</v>
      </c>
      <c r="N153" s="126" t="s">
        <v>32</v>
      </c>
      <c r="O153" s="127">
        <v>0</v>
      </c>
      <c r="P153" s="127">
        <f t="shared" si="1"/>
        <v>0</v>
      </c>
      <c r="Q153" s="127">
        <v>0</v>
      </c>
      <c r="R153" s="127">
        <f t="shared" si="2"/>
        <v>0</v>
      </c>
      <c r="S153" s="127">
        <v>0</v>
      </c>
      <c r="T153" s="128">
        <f t="shared" si="3"/>
        <v>0</v>
      </c>
      <c r="W153" s="199"/>
      <c r="X153" s="205" t="s">
        <v>255</v>
      </c>
      <c r="Y153" s="119" t="s">
        <v>231</v>
      </c>
      <c r="Z153" s="120" t="s">
        <v>4818</v>
      </c>
      <c r="AA153" s="121" t="s">
        <v>4819</v>
      </c>
      <c r="AB153" s="122" t="s">
        <v>1194</v>
      </c>
      <c r="AC153" s="206">
        <v>0</v>
      </c>
      <c r="AD153" s="124">
        <v>1469.83</v>
      </c>
      <c r="AE153" s="200">
        <f t="shared" si="4"/>
        <v>0</v>
      </c>
      <c r="AF153" s="248">
        <v>11</v>
      </c>
      <c r="AR153" s="129" t="s">
        <v>235</v>
      </c>
      <c r="AT153" s="129" t="s">
        <v>231</v>
      </c>
      <c r="AU153" s="129" t="s">
        <v>76</v>
      </c>
      <c r="AY153" s="13" t="s">
        <v>228</v>
      </c>
      <c r="BE153" s="130">
        <f t="shared" si="5"/>
        <v>0</v>
      </c>
      <c r="BF153" s="130">
        <f t="shared" si="6"/>
        <v>1469.83</v>
      </c>
      <c r="BG153" s="130">
        <f t="shared" si="7"/>
        <v>0</v>
      </c>
      <c r="BH153" s="130">
        <f t="shared" si="8"/>
        <v>0</v>
      </c>
      <c r="BI153" s="130">
        <f t="shared" si="9"/>
        <v>0</v>
      </c>
      <c r="BJ153" s="13" t="s">
        <v>76</v>
      </c>
      <c r="BK153" s="130">
        <f t="shared" si="10"/>
        <v>1469.83</v>
      </c>
      <c r="BL153" s="13" t="s">
        <v>235</v>
      </c>
      <c r="BM153" s="129" t="s">
        <v>280</v>
      </c>
    </row>
    <row r="154" spans="2:65" s="477" customFormat="1" ht="89.25" customHeight="1" x14ac:dyDescent="0.2">
      <c r="B154" s="118"/>
      <c r="C154" s="1234" t="s">
        <v>5205</v>
      </c>
      <c r="D154" s="1235"/>
      <c r="E154" s="1235"/>
      <c r="F154" s="1235"/>
      <c r="G154" s="1235"/>
      <c r="H154" s="1235"/>
      <c r="I154" s="1235"/>
      <c r="J154" s="1236"/>
      <c r="K154" s="121"/>
      <c r="L154" s="473"/>
      <c r="M154" s="125"/>
      <c r="N154" s="126"/>
      <c r="O154" s="127"/>
      <c r="P154" s="127"/>
      <c r="Q154" s="127"/>
      <c r="R154" s="127"/>
      <c r="S154" s="127"/>
      <c r="T154" s="128"/>
      <c r="W154" s="199"/>
      <c r="X154" s="207" t="s">
        <v>5461</v>
      </c>
      <c r="Y154" s="207"/>
      <c r="Z154" s="208" t="s">
        <v>258</v>
      </c>
      <c r="AA154" s="209" t="s">
        <v>6150</v>
      </c>
      <c r="AB154" s="210" t="s">
        <v>1172</v>
      </c>
      <c r="AC154" s="211">
        <v>1</v>
      </c>
      <c r="AD154" s="212">
        <v>1230</v>
      </c>
      <c r="AE154" s="214">
        <v>1230</v>
      </c>
      <c r="AF154" s="248">
        <v>11</v>
      </c>
      <c r="AR154" s="129"/>
      <c r="AT154" s="129"/>
      <c r="AU154" s="129"/>
      <c r="AY154" s="13"/>
      <c r="BE154" s="130"/>
      <c r="BF154" s="130"/>
      <c r="BG154" s="130"/>
      <c r="BH154" s="130"/>
      <c r="BI154" s="130"/>
      <c r="BJ154" s="13"/>
      <c r="BK154" s="130"/>
      <c r="BL154" s="13"/>
      <c r="BM154" s="129"/>
    </row>
    <row r="155" spans="2:65" s="1" customFormat="1" ht="24.75" customHeight="1" x14ac:dyDescent="0.2">
      <c r="B155" s="118"/>
      <c r="C155" s="119" t="s">
        <v>281</v>
      </c>
      <c r="D155" s="119" t="s">
        <v>231</v>
      </c>
      <c r="E155" s="120" t="s">
        <v>4820</v>
      </c>
      <c r="F155" s="121" t="s">
        <v>4821</v>
      </c>
      <c r="G155" s="122" t="s">
        <v>1194</v>
      </c>
      <c r="H155" s="123">
        <v>2</v>
      </c>
      <c r="I155" s="124">
        <v>43.71</v>
      </c>
      <c r="J155" s="124">
        <f t="shared" si="0"/>
        <v>87.42</v>
      </c>
      <c r="K155" s="121" t="s">
        <v>1</v>
      </c>
      <c r="L155" s="465"/>
      <c r="M155" s="125" t="s">
        <v>1</v>
      </c>
      <c r="N155" s="126" t="s">
        <v>32</v>
      </c>
      <c r="O155" s="127">
        <v>0</v>
      </c>
      <c r="P155" s="127">
        <f t="shared" si="1"/>
        <v>0</v>
      </c>
      <c r="Q155" s="127">
        <v>0</v>
      </c>
      <c r="R155" s="127">
        <f t="shared" si="2"/>
        <v>0</v>
      </c>
      <c r="S155" s="127">
        <v>0</v>
      </c>
      <c r="T155" s="128">
        <f t="shared" si="3"/>
        <v>0</v>
      </c>
      <c r="W155" s="199"/>
      <c r="X155" s="119" t="s">
        <v>281</v>
      </c>
      <c r="Y155" s="119" t="s">
        <v>231</v>
      </c>
      <c r="Z155" s="120" t="s">
        <v>4820</v>
      </c>
      <c r="AA155" s="121" t="s">
        <v>4821</v>
      </c>
      <c r="AB155" s="122" t="s">
        <v>1194</v>
      </c>
      <c r="AC155" s="123">
        <v>2</v>
      </c>
      <c r="AD155" s="124">
        <v>43.71</v>
      </c>
      <c r="AE155" s="200">
        <f t="shared" si="4"/>
        <v>87.42</v>
      </c>
      <c r="AR155" s="129" t="s">
        <v>235</v>
      </c>
      <c r="AT155" s="129" t="s">
        <v>231</v>
      </c>
      <c r="AU155" s="129" t="s">
        <v>76</v>
      </c>
      <c r="AY155" s="13" t="s">
        <v>228</v>
      </c>
      <c r="BE155" s="130">
        <f t="shared" si="5"/>
        <v>0</v>
      </c>
      <c r="BF155" s="130">
        <f t="shared" si="6"/>
        <v>87.42</v>
      </c>
      <c r="BG155" s="130">
        <f t="shared" si="7"/>
        <v>0</v>
      </c>
      <c r="BH155" s="130">
        <f t="shared" si="8"/>
        <v>0</v>
      </c>
      <c r="BI155" s="130">
        <f t="shared" si="9"/>
        <v>0</v>
      </c>
      <c r="BJ155" s="13" t="s">
        <v>76</v>
      </c>
      <c r="BK155" s="130">
        <f t="shared" si="10"/>
        <v>87.42</v>
      </c>
      <c r="BL155" s="13" t="s">
        <v>235</v>
      </c>
      <c r="BM155" s="129" t="s">
        <v>285</v>
      </c>
    </row>
    <row r="156" spans="2:65" s="1" customFormat="1" ht="16.5" customHeight="1" x14ac:dyDescent="0.2">
      <c r="B156" s="118"/>
      <c r="C156" s="119" t="s">
        <v>258</v>
      </c>
      <c r="D156" s="119" t="s">
        <v>231</v>
      </c>
      <c r="E156" s="120" t="s">
        <v>4822</v>
      </c>
      <c r="F156" s="121" t="s">
        <v>4823</v>
      </c>
      <c r="G156" s="122" t="s">
        <v>1194</v>
      </c>
      <c r="H156" s="123">
        <v>1</v>
      </c>
      <c r="I156" s="124">
        <v>67.92</v>
      </c>
      <c r="J156" s="124">
        <f t="shared" si="0"/>
        <v>67.92</v>
      </c>
      <c r="K156" s="121" t="s">
        <v>1</v>
      </c>
      <c r="L156" s="465"/>
      <c r="M156" s="125" t="s">
        <v>1</v>
      </c>
      <c r="N156" s="126" t="s">
        <v>32</v>
      </c>
      <c r="O156" s="127">
        <v>0</v>
      </c>
      <c r="P156" s="127">
        <f t="shared" si="1"/>
        <v>0</v>
      </c>
      <c r="Q156" s="127">
        <v>0</v>
      </c>
      <c r="R156" s="127">
        <f t="shared" si="2"/>
        <v>0</v>
      </c>
      <c r="S156" s="127">
        <v>0</v>
      </c>
      <c r="T156" s="128">
        <f t="shared" si="3"/>
        <v>0</v>
      </c>
      <c r="W156" s="199"/>
      <c r="X156" s="119" t="s">
        <v>258</v>
      </c>
      <c r="Y156" s="119" t="s">
        <v>231</v>
      </c>
      <c r="Z156" s="120" t="s">
        <v>4822</v>
      </c>
      <c r="AA156" s="121" t="s">
        <v>4823</v>
      </c>
      <c r="AB156" s="122" t="s">
        <v>1194</v>
      </c>
      <c r="AC156" s="123">
        <v>1</v>
      </c>
      <c r="AD156" s="124">
        <v>67.92</v>
      </c>
      <c r="AE156" s="200">
        <f t="shared" si="4"/>
        <v>67.92</v>
      </c>
      <c r="AR156" s="129" t="s">
        <v>235</v>
      </c>
      <c r="AT156" s="129" t="s">
        <v>231</v>
      </c>
      <c r="AU156" s="129" t="s">
        <v>76</v>
      </c>
      <c r="AY156" s="13" t="s">
        <v>228</v>
      </c>
      <c r="BE156" s="130">
        <f t="shared" si="5"/>
        <v>0</v>
      </c>
      <c r="BF156" s="130">
        <f t="shared" si="6"/>
        <v>67.92</v>
      </c>
      <c r="BG156" s="130">
        <f t="shared" si="7"/>
        <v>0</v>
      </c>
      <c r="BH156" s="130">
        <f t="shared" si="8"/>
        <v>0</v>
      </c>
      <c r="BI156" s="130">
        <f t="shared" si="9"/>
        <v>0</v>
      </c>
      <c r="BJ156" s="13" t="s">
        <v>76</v>
      </c>
      <c r="BK156" s="130">
        <f t="shared" si="10"/>
        <v>67.92</v>
      </c>
      <c r="BL156" s="13" t="s">
        <v>235</v>
      </c>
      <c r="BM156" s="129" t="s">
        <v>288</v>
      </c>
    </row>
    <row r="157" spans="2:65" s="1" customFormat="1" ht="24" customHeight="1" x14ac:dyDescent="0.2">
      <c r="B157" s="118"/>
      <c r="C157" s="119" t="s">
        <v>289</v>
      </c>
      <c r="D157" s="119" t="s">
        <v>231</v>
      </c>
      <c r="E157" s="120" t="s">
        <v>4824</v>
      </c>
      <c r="F157" s="121" t="s">
        <v>4825</v>
      </c>
      <c r="G157" s="122" t="s">
        <v>1194</v>
      </c>
      <c r="H157" s="123">
        <v>1</v>
      </c>
      <c r="I157" s="124">
        <v>65.180000000000007</v>
      </c>
      <c r="J157" s="124">
        <f t="shared" si="0"/>
        <v>65.180000000000007</v>
      </c>
      <c r="K157" s="121" t="s">
        <v>1</v>
      </c>
      <c r="L157" s="465"/>
      <c r="M157" s="125" t="s">
        <v>1</v>
      </c>
      <c r="N157" s="126" t="s">
        <v>32</v>
      </c>
      <c r="O157" s="127">
        <v>0</v>
      </c>
      <c r="P157" s="127">
        <f t="shared" si="1"/>
        <v>0</v>
      </c>
      <c r="Q157" s="127">
        <v>0</v>
      </c>
      <c r="R157" s="127">
        <f t="shared" si="2"/>
        <v>0</v>
      </c>
      <c r="S157" s="127">
        <v>0</v>
      </c>
      <c r="T157" s="128">
        <f t="shared" si="3"/>
        <v>0</v>
      </c>
      <c r="W157" s="199"/>
      <c r="X157" s="119" t="s">
        <v>289</v>
      </c>
      <c r="Y157" s="119" t="s">
        <v>231</v>
      </c>
      <c r="Z157" s="120" t="s">
        <v>4824</v>
      </c>
      <c r="AA157" s="121" t="s">
        <v>4825</v>
      </c>
      <c r="AB157" s="122" t="s">
        <v>1194</v>
      </c>
      <c r="AC157" s="123">
        <v>1</v>
      </c>
      <c r="AD157" s="124">
        <v>65.180000000000007</v>
      </c>
      <c r="AE157" s="200">
        <f t="shared" si="4"/>
        <v>65.180000000000007</v>
      </c>
      <c r="AR157" s="129" t="s">
        <v>235</v>
      </c>
      <c r="AT157" s="129" t="s">
        <v>231</v>
      </c>
      <c r="AU157" s="129" t="s">
        <v>76</v>
      </c>
      <c r="AY157" s="13" t="s">
        <v>228</v>
      </c>
      <c r="BE157" s="130">
        <f t="shared" si="5"/>
        <v>0</v>
      </c>
      <c r="BF157" s="130">
        <f t="shared" si="6"/>
        <v>65.180000000000007</v>
      </c>
      <c r="BG157" s="130">
        <f t="shared" si="7"/>
        <v>0</v>
      </c>
      <c r="BH157" s="130">
        <f t="shared" si="8"/>
        <v>0</v>
      </c>
      <c r="BI157" s="130">
        <f t="shared" si="9"/>
        <v>0</v>
      </c>
      <c r="BJ157" s="13" t="s">
        <v>76</v>
      </c>
      <c r="BK157" s="130">
        <f t="shared" si="10"/>
        <v>65.180000000000007</v>
      </c>
      <c r="BL157" s="13" t="s">
        <v>235</v>
      </c>
      <c r="BM157" s="129" t="s">
        <v>293</v>
      </c>
    </row>
    <row r="158" spans="2:65" s="1" customFormat="1" ht="60" customHeight="1" x14ac:dyDescent="0.2">
      <c r="B158" s="118"/>
      <c r="C158" s="119" t="s">
        <v>262</v>
      </c>
      <c r="D158" s="119" t="s">
        <v>231</v>
      </c>
      <c r="E158" s="120" t="s">
        <v>4826</v>
      </c>
      <c r="F158" s="121" t="s">
        <v>4827</v>
      </c>
      <c r="G158" s="122" t="s">
        <v>1194</v>
      </c>
      <c r="H158" s="123">
        <v>1</v>
      </c>
      <c r="I158" s="124">
        <v>342.5</v>
      </c>
      <c r="J158" s="124">
        <f t="shared" si="0"/>
        <v>342.5</v>
      </c>
      <c r="K158" s="121" t="s">
        <v>1</v>
      </c>
      <c r="L158" s="465"/>
      <c r="M158" s="125" t="s">
        <v>1</v>
      </c>
      <c r="N158" s="126" t="s">
        <v>32</v>
      </c>
      <c r="O158" s="127">
        <v>0</v>
      </c>
      <c r="P158" s="127">
        <f t="shared" si="1"/>
        <v>0</v>
      </c>
      <c r="Q158" s="127">
        <v>0</v>
      </c>
      <c r="R158" s="127">
        <f t="shared" si="2"/>
        <v>0</v>
      </c>
      <c r="S158" s="127">
        <v>0</v>
      </c>
      <c r="T158" s="128">
        <f t="shared" si="3"/>
        <v>0</v>
      </c>
      <c r="W158" s="199"/>
      <c r="X158" s="119" t="s">
        <v>262</v>
      </c>
      <c r="Y158" s="119" t="s">
        <v>231</v>
      </c>
      <c r="Z158" s="120" t="s">
        <v>4826</v>
      </c>
      <c r="AA158" s="121" t="s">
        <v>4827</v>
      </c>
      <c r="AB158" s="122" t="s">
        <v>1194</v>
      </c>
      <c r="AC158" s="123">
        <v>1</v>
      </c>
      <c r="AD158" s="124">
        <v>342.5</v>
      </c>
      <c r="AE158" s="200">
        <f t="shared" si="4"/>
        <v>342.5</v>
      </c>
      <c r="AR158" s="129" t="s">
        <v>235</v>
      </c>
      <c r="AT158" s="129" t="s">
        <v>231</v>
      </c>
      <c r="AU158" s="129" t="s">
        <v>76</v>
      </c>
      <c r="AY158" s="13" t="s">
        <v>228</v>
      </c>
      <c r="BE158" s="130">
        <f t="shared" si="5"/>
        <v>0</v>
      </c>
      <c r="BF158" s="130">
        <f t="shared" si="6"/>
        <v>342.5</v>
      </c>
      <c r="BG158" s="130">
        <f t="shared" si="7"/>
        <v>0</v>
      </c>
      <c r="BH158" s="130">
        <f t="shared" si="8"/>
        <v>0</v>
      </c>
      <c r="BI158" s="130">
        <f t="shared" si="9"/>
        <v>0</v>
      </c>
      <c r="BJ158" s="13" t="s">
        <v>76</v>
      </c>
      <c r="BK158" s="130">
        <f t="shared" si="10"/>
        <v>342.5</v>
      </c>
      <c r="BL158" s="13" t="s">
        <v>235</v>
      </c>
      <c r="BM158" s="129" t="s">
        <v>296</v>
      </c>
    </row>
    <row r="159" spans="2:65" s="1" customFormat="1" ht="24" customHeight="1" x14ac:dyDescent="0.2">
      <c r="B159" s="118"/>
      <c r="C159" s="119" t="s">
        <v>297</v>
      </c>
      <c r="D159" s="119" t="s">
        <v>231</v>
      </c>
      <c r="E159" s="120" t="s">
        <v>4828</v>
      </c>
      <c r="F159" s="121" t="s">
        <v>4829</v>
      </c>
      <c r="G159" s="122" t="s">
        <v>1194</v>
      </c>
      <c r="H159" s="123">
        <v>3</v>
      </c>
      <c r="I159" s="124">
        <v>349.87</v>
      </c>
      <c r="J159" s="124">
        <f t="shared" si="0"/>
        <v>1049.6099999999999</v>
      </c>
      <c r="K159" s="121" t="s">
        <v>1</v>
      </c>
      <c r="L159" s="465"/>
      <c r="M159" s="125" t="s">
        <v>1</v>
      </c>
      <c r="N159" s="126" t="s">
        <v>32</v>
      </c>
      <c r="O159" s="127">
        <v>0</v>
      </c>
      <c r="P159" s="127">
        <f t="shared" si="1"/>
        <v>0</v>
      </c>
      <c r="Q159" s="127">
        <v>0</v>
      </c>
      <c r="R159" s="127">
        <f t="shared" si="2"/>
        <v>0</v>
      </c>
      <c r="S159" s="127">
        <v>0</v>
      </c>
      <c r="T159" s="128">
        <f t="shared" si="3"/>
        <v>0</v>
      </c>
      <c r="W159" s="199"/>
      <c r="X159" s="119" t="s">
        <v>297</v>
      </c>
      <c r="Y159" s="119" t="s">
        <v>231</v>
      </c>
      <c r="Z159" s="120" t="s">
        <v>4828</v>
      </c>
      <c r="AA159" s="121" t="s">
        <v>4829</v>
      </c>
      <c r="AB159" s="122" t="s">
        <v>1194</v>
      </c>
      <c r="AC159" s="123">
        <v>3</v>
      </c>
      <c r="AD159" s="124">
        <v>349.87</v>
      </c>
      <c r="AE159" s="200">
        <f t="shared" si="4"/>
        <v>1049.6099999999999</v>
      </c>
      <c r="AR159" s="129" t="s">
        <v>235</v>
      </c>
      <c r="AT159" s="129" t="s">
        <v>231</v>
      </c>
      <c r="AU159" s="129" t="s">
        <v>76</v>
      </c>
      <c r="AY159" s="13" t="s">
        <v>228</v>
      </c>
      <c r="BE159" s="130">
        <f t="shared" si="5"/>
        <v>0</v>
      </c>
      <c r="BF159" s="130">
        <f t="shared" si="6"/>
        <v>1049.6099999999999</v>
      </c>
      <c r="BG159" s="130">
        <f t="shared" si="7"/>
        <v>0</v>
      </c>
      <c r="BH159" s="130">
        <f t="shared" si="8"/>
        <v>0</v>
      </c>
      <c r="BI159" s="130">
        <f t="shared" si="9"/>
        <v>0</v>
      </c>
      <c r="BJ159" s="13" t="s">
        <v>76</v>
      </c>
      <c r="BK159" s="130">
        <f t="shared" si="10"/>
        <v>1049.6099999999999</v>
      </c>
      <c r="BL159" s="13" t="s">
        <v>235</v>
      </c>
      <c r="BM159" s="129" t="s">
        <v>300</v>
      </c>
    </row>
    <row r="160" spans="2:65" s="1" customFormat="1" ht="24" customHeight="1" x14ac:dyDescent="0.2">
      <c r="B160" s="118"/>
      <c r="C160" s="119" t="s">
        <v>7</v>
      </c>
      <c r="D160" s="119" t="s">
        <v>231</v>
      </c>
      <c r="E160" s="120" t="s">
        <v>4830</v>
      </c>
      <c r="F160" s="121" t="s">
        <v>4831</v>
      </c>
      <c r="G160" s="122" t="s">
        <v>1194</v>
      </c>
      <c r="H160" s="123">
        <v>4</v>
      </c>
      <c r="I160" s="124">
        <v>130.61000000000001</v>
      </c>
      <c r="J160" s="124">
        <f t="shared" si="0"/>
        <v>522.44000000000005</v>
      </c>
      <c r="K160" s="121" t="s">
        <v>1</v>
      </c>
      <c r="L160" s="465"/>
      <c r="M160" s="125" t="s">
        <v>1</v>
      </c>
      <c r="N160" s="126" t="s">
        <v>32</v>
      </c>
      <c r="O160" s="127">
        <v>0</v>
      </c>
      <c r="P160" s="127">
        <f t="shared" si="1"/>
        <v>0</v>
      </c>
      <c r="Q160" s="127">
        <v>0</v>
      </c>
      <c r="R160" s="127">
        <f t="shared" si="2"/>
        <v>0</v>
      </c>
      <c r="S160" s="127">
        <v>0</v>
      </c>
      <c r="T160" s="128">
        <f t="shared" si="3"/>
        <v>0</v>
      </c>
      <c r="W160" s="199"/>
      <c r="X160" s="119" t="s">
        <v>7</v>
      </c>
      <c r="Y160" s="119" t="s">
        <v>231</v>
      </c>
      <c r="Z160" s="120" t="s">
        <v>4830</v>
      </c>
      <c r="AA160" s="121" t="s">
        <v>4831</v>
      </c>
      <c r="AB160" s="122" t="s">
        <v>1194</v>
      </c>
      <c r="AC160" s="123">
        <v>4</v>
      </c>
      <c r="AD160" s="124">
        <v>130.61000000000001</v>
      </c>
      <c r="AE160" s="200">
        <f t="shared" si="4"/>
        <v>522.44000000000005</v>
      </c>
      <c r="AR160" s="129" t="s">
        <v>235</v>
      </c>
      <c r="AT160" s="129" t="s">
        <v>231</v>
      </c>
      <c r="AU160" s="129" t="s">
        <v>76</v>
      </c>
      <c r="AY160" s="13" t="s">
        <v>228</v>
      </c>
      <c r="BE160" s="130">
        <f t="shared" si="5"/>
        <v>0</v>
      </c>
      <c r="BF160" s="130">
        <f t="shared" si="6"/>
        <v>522.44000000000005</v>
      </c>
      <c r="BG160" s="130">
        <f t="shared" si="7"/>
        <v>0</v>
      </c>
      <c r="BH160" s="130">
        <f t="shared" si="8"/>
        <v>0</v>
      </c>
      <c r="BI160" s="130">
        <f t="shared" si="9"/>
        <v>0</v>
      </c>
      <c r="BJ160" s="13" t="s">
        <v>76</v>
      </c>
      <c r="BK160" s="130">
        <f t="shared" si="10"/>
        <v>522.44000000000005</v>
      </c>
      <c r="BL160" s="13" t="s">
        <v>235</v>
      </c>
      <c r="BM160" s="129" t="s">
        <v>303</v>
      </c>
    </row>
    <row r="161" spans="2:65" s="1" customFormat="1" ht="24" customHeight="1" x14ac:dyDescent="0.2">
      <c r="B161" s="118"/>
      <c r="C161" s="119" t="s">
        <v>305</v>
      </c>
      <c r="D161" s="119" t="s">
        <v>231</v>
      </c>
      <c r="E161" s="120" t="s">
        <v>4832</v>
      </c>
      <c r="F161" s="121" t="s">
        <v>4833</v>
      </c>
      <c r="G161" s="122" t="s">
        <v>1194</v>
      </c>
      <c r="H161" s="123">
        <v>4</v>
      </c>
      <c r="I161" s="124">
        <v>171.83</v>
      </c>
      <c r="J161" s="124">
        <f t="shared" si="0"/>
        <v>687.32</v>
      </c>
      <c r="K161" s="121" t="s">
        <v>1</v>
      </c>
      <c r="L161" s="465"/>
      <c r="M161" s="125" t="s">
        <v>1</v>
      </c>
      <c r="N161" s="126" t="s">
        <v>32</v>
      </c>
      <c r="O161" s="127">
        <v>0</v>
      </c>
      <c r="P161" s="127">
        <f t="shared" si="1"/>
        <v>0</v>
      </c>
      <c r="Q161" s="127">
        <v>0</v>
      </c>
      <c r="R161" s="127">
        <f t="shared" si="2"/>
        <v>0</v>
      </c>
      <c r="S161" s="127">
        <v>0</v>
      </c>
      <c r="T161" s="128">
        <f t="shared" si="3"/>
        <v>0</v>
      </c>
      <c r="W161" s="199"/>
      <c r="X161" s="119" t="s">
        <v>305</v>
      </c>
      <c r="Y161" s="119" t="s">
        <v>231</v>
      </c>
      <c r="Z161" s="120" t="s">
        <v>4832</v>
      </c>
      <c r="AA161" s="121" t="s">
        <v>4833</v>
      </c>
      <c r="AB161" s="122" t="s">
        <v>1194</v>
      </c>
      <c r="AC161" s="123">
        <v>4</v>
      </c>
      <c r="AD161" s="124">
        <v>171.83</v>
      </c>
      <c r="AE161" s="200">
        <f t="shared" si="4"/>
        <v>687.32</v>
      </c>
      <c r="AR161" s="129" t="s">
        <v>235</v>
      </c>
      <c r="AT161" s="129" t="s">
        <v>231</v>
      </c>
      <c r="AU161" s="129" t="s">
        <v>76</v>
      </c>
      <c r="AY161" s="13" t="s">
        <v>228</v>
      </c>
      <c r="BE161" s="130">
        <f t="shared" si="5"/>
        <v>0</v>
      </c>
      <c r="BF161" s="130">
        <f t="shared" si="6"/>
        <v>687.32</v>
      </c>
      <c r="BG161" s="130">
        <f t="shared" si="7"/>
        <v>0</v>
      </c>
      <c r="BH161" s="130">
        <f t="shared" si="8"/>
        <v>0</v>
      </c>
      <c r="BI161" s="130">
        <f t="shared" si="9"/>
        <v>0</v>
      </c>
      <c r="BJ161" s="13" t="s">
        <v>76</v>
      </c>
      <c r="BK161" s="130">
        <f t="shared" si="10"/>
        <v>687.32</v>
      </c>
      <c r="BL161" s="13" t="s">
        <v>235</v>
      </c>
      <c r="BM161" s="129" t="s">
        <v>308</v>
      </c>
    </row>
    <row r="162" spans="2:65" s="1" customFormat="1" ht="24" customHeight="1" x14ac:dyDescent="0.2">
      <c r="B162" s="118"/>
      <c r="C162" s="119" t="s">
        <v>268</v>
      </c>
      <c r="D162" s="119" t="s">
        <v>231</v>
      </c>
      <c r="E162" s="120" t="s">
        <v>4834</v>
      </c>
      <c r="F162" s="121" t="s">
        <v>4835</v>
      </c>
      <c r="G162" s="122" t="s">
        <v>1194</v>
      </c>
      <c r="H162" s="123">
        <v>4</v>
      </c>
      <c r="I162" s="124">
        <v>211.3</v>
      </c>
      <c r="J162" s="124">
        <f t="shared" si="0"/>
        <v>845.2</v>
      </c>
      <c r="K162" s="121" t="s">
        <v>1</v>
      </c>
      <c r="L162" s="465"/>
      <c r="M162" s="125" t="s">
        <v>1</v>
      </c>
      <c r="N162" s="126" t="s">
        <v>32</v>
      </c>
      <c r="O162" s="127">
        <v>0</v>
      </c>
      <c r="P162" s="127">
        <f t="shared" si="1"/>
        <v>0</v>
      </c>
      <c r="Q162" s="127">
        <v>0</v>
      </c>
      <c r="R162" s="127">
        <f t="shared" si="2"/>
        <v>0</v>
      </c>
      <c r="S162" s="127">
        <v>0</v>
      </c>
      <c r="T162" s="128">
        <f t="shared" si="3"/>
        <v>0</v>
      </c>
      <c r="W162" s="199"/>
      <c r="X162" s="119" t="s">
        <v>268</v>
      </c>
      <c r="Y162" s="119" t="s">
        <v>231</v>
      </c>
      <c r="Z162" s="120" t="s">
        <v>4834</v>
      </c>
      <c r="AA162" s="121" t="s">
        <v>4835</v>
      </c>
      <c r="AB162" s="122" t="s">
        <v>1194</v>
      </c>
      <c r="AC162" s="123">
        <v>4</v>
      </c>
      <c r="AD162" s="124">
        <v>211.3</v>
      </c>
      <c r="AE162" s="200">
        <f t="shared" si="4"/>
        <v>845.2</v>
      </c>
      <c r="AR162" s="129" t="s">
        <v>235</v>
      </c>
      <c r="AT162" s="129" t="s">
        <v>231</v>
      </c>
      <c r="AU162" s="129" t="s">
        <v>76</v>
      </c>
      <c r="AY162" s="13" t="s">
        <v>228</v>
      </c>
      <c r="BE162" s="130">
        <f t="shared" si="5"/>
        <v>0</v>
      </c>
      <c r="BF162" s="130">
        <f t="shared" si="6"/>
        <v>845.2</v>
      </c>
      <c r="BG162" s="130">
        <f t="shared" si="7"/>
        <v>0</v>
      </c>
      <c r="BH162" s="130">
        <f t="shared" si="8"/>
        <v>0</v>
      </c>
      <c r="BI162" s="130">
        <f t="shared" si="9"/>
        <v>0</v>
      </c>
      <c r="BJ162" s="13" t="s">
        <v>76</v>
      </c>
      <c r="BK162" s="130">
        <f t="shared" si="10"/>
        <v>845.2</v>
      </c>
      <c r="BL162" s="13" t="s">
        <v>235</v>
      </c>
      <c r="BM162" s="129" t="s">
        <v>312</v>
      </c>
    </row>
    <row r="163" spans="2:65" s="1" customFormat="1" ht="24" customHeight="1" x14ac:dyDescent="0.2">
      <c r="B163" s="118"/>
      <c r="C163" s="119" t="s">
        <v>313</v>
      </c>
      <c r="D163" s="119" t="s">
        <v>231</v>
      </c>
      <c r="E163" s="120" t="s">
        <v>4836</v>
      </c>
      <c r="F163" s="121" t="s">
        <v>4837</v>
      </c>
      <c r="G163" s="122" t="s">
        <v>1194</v>
      </c>
      <c r="H163" s="123">
        <v>4</v>
      </c>
      <c r="I163" s="124">
        <v>211.3</v>
      </c>
      <c r="J163" s="124">
        <f t="shared" si="0"/>
        <v>845.2</v>
      </c>
      <c r="K163" s="121" t="s">
        <v>1</v>
      </c>
      <c r="L163" s="465"/>
      <c r="M163" s="125" t="s">
        <v>1</v>
      </c>
      <c r="N163" s="126" t="s">
        <v>32</v>
      </c>
      <c r="O163" s="127">
        <v>0</v>
      </c>
      <c r="P163" s="127">
        <f t="shared" si="1"/>
        <v>0</v>
      </c>
      <c r="Q163" s="127">
        <v>0</v>
      </c>
      <c r="R163" s="127">
        <f t="shared" si="2"/>
        <v>0</v>
      </c>
      <c r="S163" s="127">
        <v>0</v>
      </c>
      <c r="T163" s="128">
        <f t="shared" si="3"/>
        <v>0</v>
      </c>
      <c r="W163" s="199"/>
      <c r="X163" s="119" t="s">
        <v>313</v>
      </c>
      <c r="Y163" s="119" t="s">
        <v>231</v>
      </c>
      <c r="Z163" s="120" t="s">
        <v>4836</v>
      </c>
      <c r="AA163" s="121" t="s">
        <v>4837</v>
      </c>
      <c r="AB163" s="122" t="s">
        <v>1194</v>
      </c>
      <c r="AC163" s="123">
        <v>4</v>
      </c>
      <c r="AD163" s="124">
        <v>211.3</v>
      </c>
      <c r="AE163" s="200">
        <f t="shared" si="4"/>
        <v>845.2</v>
      </c>
      <c r="AR163" s="129" t="s">
        <v>235</v>
      </c>
      <c r="AT163" s="129" t="s">
        <v>231</v>
      </c>
      <c r="AU163" s="129" t="s">
        <v>76</v>
      </c>
      <c r="AY163" s="13" t="s">
        <v>228</v>
      </c>
      <c r="BE163" s="130">
        <f t="shared" si="5"/>
        <v>0</v>
      </c>
      <c r="BF163" s="130">
        <f t="shared" si="6"/>
        <v>845.2</v>
      </c>
      <c r="BG163" s="130">
        <f t="shared" si="7"/>
        <v>0</v>
      </c>
      <c r="BH163" s="130">
        <f t="shared" si="8"/>
        <v>0</v>
      </c>
      <c r="BI163" s="130">
        <f t="shared" si="9"/>
        <v>0</v>
      </c>
      <c r="BJ163" s="13" t="s">
        <v>76</v>
      </c>
      <c r="BK163" s="130">
        <f t="shared" si="10"/>
        <v>845.2</v>
      </c>
      <c r="BL163" s="13" t="s">
        <v>235</v>
      </c>
      <c r="BM163" s="129" t="s">
        <v>316</v>
      </c>
    </row>
    <row r="164" spans="2:65" s="1" customFormat="1" ht="24" customHeight="1" x14ac:dyDescent="0.2">
      <c r="B164" s="118"/>
      <c r="C164" s="119" t="s">
        <v>272</v>
      </c>
      <c r="D164" s="119" t="s">
        <v>231</v>
      </c>
      <c r="E164" s="120" t="s">
        <v>4838</v>
      </c>
      <c r="F164" s="121" t="s">
        <v>4839</v>
      </c>
      <c r="G164" s="122" t="s">
        <v>1194</v>
      </c>
      <c r="H164" s="123">
        <v>4</v>
      </c>
      <c r="I164" s="124">
        <v>269.35000000000002</v>
      </c>
      <c r="J164" s="124">
        <f t="shared" si="0"/>
        <v>1077.4000000000001</v>
      </c>
      <c r="K164" s="121" t="s">
        <v>1</v>
      </c>
      <c r="L164" s="465"/>
      <c r="M164" s="125" t="s">
        <v>1</v>
      </c>
      <c r="N164" s="126" t="s">
        <v>32</v>
      </c>
      <c r="O164" s="127">
        <v>0</v>
      </c>
      <c r="P164" s="127">
        <f t="shared" si="1"/>
        <v>0</v>
      </c>
      <c r="Q164" s="127">
        <v>0</v>
      </c>
      <c r="R164" s="127">
        <f t="shared" si="2"/>
        <v>0</v>
      </c>
      <c r="S164" s="127">
        <v>0</v>
      </c>
      <c r="T164" s="128">
        <f t="shared" si="3"/>
        <v>0</v>
      </c>
      <c r="W164" s="199"/>
      <c r="X164" s="119" t="s">
        <v>272</v>
      </c>
      <c r="Y164" s="119" t="s">
        <v>231</v>
      </c>
      <c r="Z164" s="120" t="s">
        <v>4838</v>
      </c>
      <c r="AA164" s="121" t="s">
        <v>4839</v>
      </c>
      <c r="AB164" s="122" t="s">
        <v>1194</v>
      </c>
      <c r="AC164" s="123">
        <v>4</v>
      </c>
      <c r="AD164" s="124">
        <v>269.35000000000002</v>
      </c>
      <c r="AE164" s="200">
        <f t="shared" si="4"/>
        <v>1077.4000000000001</v>
      </c>
      <c r="AR164" s="129" t="s">
        <v>235</v>
      </c>
      <c r="AT164" s="129" t="s">
        <v>231</v>
      </c>
      <c r="AU164" s="129" t="s">
        <v>76</v>
      </c>
      <c r="AY164" s="13" t="s">
        <v>228</v>
      </c>
      <c r="BE164" s="130">
        <f t="shared" si="5"/>
        <v>0</v>
      </c>
      <c r="BF164" s="130">
        <f t="shared" si="6"/>
        <v>1077.4000000000001</v>
      </c>
      <c r="BG164" s="130">
        <f t="shared" si="7"/>
        <v>0</v>
      </c>
      <c r="BH164" s="130">
        <f t="shared" si="8"/>
        <v>0</v>
      </c>
      <c r="BI164" s="130">
        <f t="shared" si="9"/>
        <v>0</v>
      </c>
      <c r="BJ164" s="13" t="s">
        <v>76</v>
      </c>
      <c r="BK164" s="130">
        <f t="shared" si="10"/>
        <v>1077.4000000000001</v>
      </c>
      <c r="BL164" s="13" t="s">
        <v>235</v>
      </c>
      <c r="BM164" s="129" t="s">
        <v>319</v>
      </c>
    </row>
    <row r="165" spans="2:65" s="1" customFormat="1" ht="16.5" customHeight="1" x14ac:dyDescent="0.2">
      <c r="B165" s="118"/>
      <c r="C165" s="119" t="s">
        <v>320</v>
      </c>
      <c r="D165" s="119" t="s">
        <v>231</v>
      </c>
      <c r="E165" s="120" t="s">
        <v>4088</v>
      </c>
      <c r="F165" s="121" t="s">
        <v>4089</v>
      </c>
      <c r="G165" s="122" t="s">
        <v>1194</v>
      </c>
      <c r="H165" s="123">
        <v>20</v>
      </c>
      <c r="I165" s="124">
        <v>10.16</v>
      </c>
      <c r="J165" s="124">
        <f t="shared" si="0"/>
        <v>203.2</v>
      </c>
      <c r="K165" s="121" t="s">
        <v>1</v>
      </c>
      <c r="L165" s="465"/>
      <c r="M165" s="125" t="s">
        <v>1</v>
      </c>
      <c r="N165" s="126" t="s">
        <v>32</v>
      </c>
      <c r="O165" s="127">
        <v>0</v>
      </c>
      <c r="P165" s="127">
        <f t="shared" si="1"/>
        <v>0</v>
      </c>
      <c r="Q165" s="127">
        <v>0</v>
      </c>
      <c r="R165" s="127">
        <f t="shared" si="2"/>
        <v>0</v>
      </c>
      <c r="S165" s="127">
        <v>0</v>
      </c>
      <c r="T165" s="128">
        <f t="shared" si="3"/>
        <v>0</v>
      </c>
      <c r="W165" s="199"/>
      <c r="X165" s="119" t="s">
        <v>320</v>
      </c>
      <c r="Y165" s="119" t="s">
        <v>231</v>
      </c>
      <c r="Z165" s="120" t="s">
        <v>4088</v>
      </c>
      <c r="AA165" s="121" t="s">
        <v>4089</v>
      </c>
      <c r="AB165" s="122" t="s">
        <v>1194</v>
      </c>
      <c r="AC165" s="123">
        <v>20</v>
      </c>
      <c r="AD165" s="124">
        <v>10.16</v>
      </c>
      <c r="AE165" s="200">
        <f t="shared" si="4"/>
        <v>203.2</v>
      </c>
      <c r="AR165" s="129" t="s">
        <v>235</v>
      </c>
      <c r="AT165" s="129" t="s">
        <v>231</v>
      </c>
      <c r="AU165" s="129" t="s">
        <v>76</v>
      </c>
      <c r="AY165" s="13" t="s">
        <v>228</v>
      </c>
      <c r="BE165" s="130">
        <f t="shared" si="5"/>
        <v>0</v>
      </c>
      <c r="BF165" s="130">
        <f t="shared" si="6"/>
        <v>203.2</v>
      </c>
      <c r="BG165" s="130">
        <f t="shared" si="7"/>
        <v>0</v>
      </c>
      <c r="BH165" s="130">
        <f t="shared" si="8"/>
        <v>0</v>
      </c>
      <c r="BI165" s="130">
        <f t="shared" si="9"/>
        <v>0</v>
      </c>
      <c r="BJ165" s="13" t="s">
        <v>76</v>
      </c>
      <c r="BK165" s="130">
        <f t="shared" si="10"/>
        <v>203.2</v>
      </c>
      <c r="BL165" s="13" t="s">
        <v>235</v>
      </c>
      <c r="BM165" s="129" t="s">
        <v>323</v>
      </c>
    </row>
    <row r="166" spans="2:65" s="1" customFormat="1" ht="24" customHeight="1" x14ac:dyDescent="0.2">
      <c r="B166" s="118"/>
      <c r="C166" s="119" t="s">
        <v>276</v>
      </c>
      <c r="D166" s="119" t="s">
        <v>231</v>
      </c>
      <c r="E166" s="120" t="s">
        <v>4840</v>
      </c>
      <c r="F166" s="121" t="s">
        <v>4841</v>
      </c>
      <c r="G166" s="122" t="s">
        <v>1194</v>
      </c>
      <c r="H166" s="123">
        <v>8</v>
      </c>
      <c r="I166" s="124">
        <v>184.25</v>
      </c>
      <c r="J166" s="124">
        <f t="shared" si="0"/>
        <v>1474</v>
      </c>
      <c r="K166" s="121" t="s">
        <v>1</v>
      </c>
      <c r="L166" s="465"/>
      <c r="M166" s="125" t="s">
        <v>1</v>
      </c>
      <c r="N166" s="126" t="s">
        <v>32</v>
      </c>
      <c r="O166" s="127">
        <v>0</v>
      </c>
      <c r="P166" s="127">
        <f t="shared" si="1"/>
        <v>0</v>
      </c>
      <c r="Q166" s="127">
        <v>0</v>
      </c>
      <c r="R166" s="127">
        <f t="shared" si="2"/>
        <v>0</v>
      </c>
      <c r="S166" s="127">
        <v>0</v>
      </c>
      <c r="T166" s="128">
        <f t="shared" si="3"/>
        <v>0</v>
      </c>
      <c r="W166" s="199"/>
      <c r="X166" s="119" t="s">
        <v>276</v>
      </c>
      <c r="Y166" s="119" t="s">
        <v>231</v>
      </c>
      <c r="Z166" s="120" t="s">
        <v>4840</v>
      </c>
      <c r="AA166" s="121" t="s">
        <v>4841</v>
      </c>
      <c r="AB166" s="122" t="s">
        <v>1194</v>
      </c>
      <c r="AC166" s="123">
        <v>8</v>
      </c>
      <c r="AD166" s="124">
        <v>184.25</v>
      </c>
      <c r="AE166" s="200">
        <f t="shared" si="4"/>
        <v>1474</v>
      </c>
      <c r="AR166" s="129" t="s">
        <v>235</v>
      </c>
      <c r="AT166" s="129" t="s">
        <v>231</v>
      </c>
      <c r="AU166" s="129" t="s">
        <v>76</v>
      </c>
      <c r="AY166" s="13" t="s">
        <v>228</v>
      </c>
      <c r="BE166" s="130">
        <f t="shared" si="5"/>
        <v>0</v>
      </c>
      <c r="BF166" s="130">
        <f t="shared" si="6"/>
        <v>1474</v>
      </c>
      <c r="BG166" s="130">
        <f t="shared" si="7"/>
        <v>0</v>
      </c>
      <c r="BH166" s="130">
        <f t="shared" si="8"/>
        <v>0</v>
      </c>
      <c r="BI166" s="130">
        <f t="shared" si="9"/>
        <v>0</v>
      </c>
      <c r="BJ166" s="13" t="s">
        <v>76</v>
      </c>
      <c r="BK166" s="130">
        <f t="shared" si="10"/>
        <v>1474</v>
      </c>
      <c r="BL166" s="13" t="s">
        <v>235</v>
      </c>
      <c r="BM166" s="129" t="s">
        <v>326</v>
      </c>
    </row>
    <row r="167" spans="2:65" s="1" customFormat="1" ht="24" customHeight="1" x14ac:dyDescent="0.2">
      <c r="B167" s="118"/>
      <c r="C167" s="119" t="s">
        <v>327</v>
      </c>
      <c r="D167" s="119" t="s">
        <v>231</v>
      </c>
      <c r="E167" s="120" t="s">
        <v>4842</v>
      </c>
      <c r="F167" s="121" t="s">
        <v>4843</v>
      </c>
      <c r="G167" s="122" t="s">
        <v>1194</v>
      </c>
      <c r="H167" s="123">
        <v>6</v>
      </c>
      <c r="I167" s="124">
        <v>275.16000000000003</v>
      </c>
      <c r="J167" s="124">
        <f t="shared" si="0"/>
        <v>1650.96</v>
      </c>
      <c r="K167" s="121" t="s">
        <v>1</v>
      </c>
      <c r="L167" s="465"/>
      <c r="M167" s="125" t="s">
        <v>1</v>
      </c>
      <c r="N167" s="126" t="s">
        <v>32</v>
      </c>
      <c r="O167" s="127">
        <v>0</v>
      </c>
      <c r="P167" s="127">
        <f t="shared" si="1"/>
        <v>0</v>
      </c>
      <c r="Q167" s="127">
        <v>0</v>
      </c>
      <c r="R167" s="127">
        <f t="shared" si="2"/>
        <v>0</v>
      </c>
      <c r="S167" s="127">
        <v>0</v>
      </c>
      <c r="T167" s="128">
        <f t="shared" si="3"/>
        <v>0</v>
      </c>
      <c r="W167" s="199"/>
      <c r="X167" s="119" t="s">
        <v>327</v>
      </c>
      <c r="Y167" s="119" t="s">
        <v>231</v>
      </c>
      <c r="Z167" s="120" t="s">
        <v>4842</v>
      </c>
      <c r="AA167" s="121" t="s">
        <v>4843</v>
      </c>
      <c r="AB167" s="122" t="s">
        <v>1194</v>
      </c>
      <c r="AC167" s="123">
        <v>6</v>
      </c>
      <c r="AD167" s="124">
        <v>275.16000000000003</v>
      </c>
      <c r="AE167" s="200">
        <f t="shared" si="4"/>
        <v>1650.96</v>
      </c>
      <c r="AR167" s="129" t="s">
        <v>235</v>
      </c>
      <c r="AT167" s="129" t="s">
        <v>231</v>
      </c>
      <c r="AU167" s="129" t="s">
        <v>76</v>
      </c>
      <c r="AY167" s="13" t="s">
        <v>228</v>
      </c>
      <c r="BE167" s="130">
        <f t="shared" si="5"/>
        <v>0</v>
      </c>
      <c r="BF167" s="130">
        <f t="shared" si="6"/>
        <v>1650.96</v>
      </c>
      <c r="BG167" s="130">
        <f t="shared" si="7"/>
        <v>0</v>
      </c>
      <c r="BH167" s="130">
        <f t="shared" si="8"/>
        <v>0</v>
      </c>
      <c r="BI167" s="130">
        <f t="shared" si="9"/>
        <v>0</v>
      </c>
      <c r="BJ167" s="13" t="s">
        <v>76</v>
      </c>
      <c r="BK167" s="130">
        <f t="shared" si="10"/>
        <v>1650.96</v>
      </c>
      <c r="BL167" s="13" t="s">
        <v>235</v>
      </c>
      <c r="BM167" s="129" t="s">
        <v>330</v>
      </c>
    </row>
    <row r="168" spans="2:65" s="1" customFormat="1" ht="24" customHeight="1" x14ac:dyDescent="0.2">
      <c r="B168" s="118"/>
      <c r="C168" s="119" t="s">
        <v>280</v>
      </c>
      <c r="D168" s="119" t="s">
        <v>231</v>
      </c>
      <c r="E168" s="120" t="s">
        <v>4844</v>
      </c>
      <c r="F168" s="121" t="s">
        <v>4845</v>
      </c>
      <c r="G168" s="122" t="s">
        <v>1194</v>
      </c>
      <c r="H168" s="123">
        <v>26</v>
      </c>
      <c r="I168" s="124">
        <v>341.33</v>
      </c>
      <c r="J168" s="124">
        <f t="shared" si="0"/>
        <v>8874.58</v>
      </c>
      <c r="K168" s="121" t="s">
        <v>1</v>
      </c>
      <c r="L168" s="465"/>
      <c r="M168" s="125" t="s">
        <v>1</v>
      </c>
      <c r="N168" s="126" t="s">
        <v>32</v>
      </c>
      <c r="O168" s="127">
        <v>0</v>
      </c>
      <c r="P168" s="127">
        <f t="shared" si="1"/>
        <v>0</v>
      </c>
      <c r="Q168" s="127">
        <v>0</v>
      </c>
      <c r="R168" s="127">
        <f t="shared" si="2"/>
        <v>0</v>
      </c>
      <c r="S168" s="127">
        <v>0</v>
      </c>
      <c r="T168" s="128">
        <f t="shared" si="3"/>
        <v>0</v>
      </c>
      <c r="W168" s="199"/>
      <c r="X168" s="119" t="s">
        <v>280</v>
      </c>
      <c r="Y168" s="119" t="s">
        <v>231</v>
      </c>
      <c r="Z168" s="120" t="s">
        <v>4844</v>
      </c>
      <c r="AA168" s="121" t="s">
        <v>4845</v>
      </c>
      <c r="AB168" s="122" t="s">
        <v>1194</v>
      </c>
      <c r="AC168" s="123">
        <v>26</v>
      </c>
      <c r="AD168" s="124">
        <v>341.33</v>
      </c>
      <c r="AE168" s="200">
        <f t="shared" si="4"/>
        <v>8874.58</v>
      </c>
      <c r="AR168" s="129" t="s">
        <v>235</v>
      </c>
      <c r="AT168" s="129" t="s">
        <v>231</v>
      </c>
      <c r="AU168" s="129" t="s">
        <v>76</v>
      </c>
      <c r="AY168" s="13" t="s">
        <v>228</v>
      </c>
      <c r="BE168" s="130">
        <f t="shared" si="5"/>
        <v>0</v>
      </c>
      <c r="BF168" s="130">
        <f t="shared" si="6"/>
        <v>8874.58</v>
      </c>
      <c r="BG168" s="130">
        <f t="shared" si="7"/>
        <v>0</v>
      </c>
      <c r="BH168" s="130">
        <f t="shared" si="8"/>
        <v>0</v>
      </c>
      <c r="BI168" s="130">
        <f t="shared" si="9"/>
        <v>0</v>
      </c>
      <c r="BJ168" s="13" t="s">
        <v>76</v>
      </c>
      <c r="BK168" s="130">
        <f t="shared" si="10"/>
        <v>8874.58</v>
      </c>
      <c r="BL168" s="13" t="s">
        <v>235</v>
      </c>
      <c r="BM168" s="129" t="s">
        <v>333</v>
      </c>
    </row>
    <row r="169" spans="2:65" s="1" customFormat="1" ht="24" customHeight="1" x14ac:dyDescent="0.2">
      <c r="B169" s="118"/>
      <c r="C169" s="119" t="s">
        <v>334</v>
      </c>
      <c r="D169" s="119" t="s">
        <v>231</v>
      </c>
      <c r="E169" s="120" t="s">
        <v>4846</v>
      </c>
      <c r="F169" s="121" t="s">
        <v>4847</v>
      </c>
      <c r="G169" s="122" t="s">
        <v>1194</v>
      </c>
      <c r="H169" s="123">
        <v>3</v>
      </c>
      <c r="I169" s="124">
        <v>523.61</v>
      </c>
      <c r="J169" s="124">
        <f t="shared" si="0"/>
        <v>1570.83</v>
      </c>
      <c r="K169" s="121" t="s">
        <v>1</v>
      </c>
      <c r="L169" s="465"/>
      <c r="M169" s="125" t="s">
        <v>1</v>
      </c>
      <c r="N169" s="126" t="s">
        <v>32</v>
      </c>
      <c r="O169" s="127">
        <v>0</v>
      </c>
      <c r="P169" s="127">
        <f t="shared" si="1"/>
        <v>0</v>
      </c>
      <c r="Q169" s="127">
        <v>0</v>
      </c>
      <c r="R169" s="127">
        <f t="shared" si="2"/>
        <v>0</v>
      </c>
      <c r="S169" s="127">
        <v>0</v>
      </c>
      <c r="T169" s="128">
        <f t="shared" si="3"/>
        <v>0</v>
      </c>
      <c r="W169" s="199"/>
      <c r="X169" s="119" t="s">
        <v>334</v>
      </c>
      <c r="Y169" s="119" t="s">
        <v>231</v>
      </c>
      <c r="Z169" s="120" t="s">
        <v>4846</v>
      </c>
      <c r="AA169" s="121" t="s">
        <v>4847</v>
      </c>
      <c r="AB169" s="122" t="s">
        <v>1194</v>
      </c>
      <c r="AC169" s="123">
        <v>3</v>
      </c>
      <c r="AD169" s="124">
        <v>523.61</v>
      </c>
      <c r="AE169" s="200">
        <f t="shared" si="4"/>
        <v>1570.83</v>
      </c>
      <c r="AR169" s="129" t="s">
        <v>235</v>
      </c>
      <c r="AT169" s="129" t="s">
        <v>231</v>
      </c>
      <c r="AU169" s="129" t="s">
        <v>76</v>
      </c>
      <c r="AY169" s="13" t="s">
        <v>228</v>
      </c>
      <c r="BE169" s="130">
        <f t="shared" si="5"/>
        <v>0</v>
      </c>
      <c r="BF169" s="130">
        <f t="shared" si="6"/>
        <v>1570.83</v>
      </c>
      <c r="BG169" s="130">
        <f t="shared" si="7"/>
        <v>0</v>
      </c>
      <c r="BH169" s="130">
        <f t="shared" si="8"/>
        <v>0</v>
      </c>
      <c r="BI169" s="130">
        <f t="shared" si="9"/>
        <v>0</v>
      </c>
      <c r="BJ169" s="13" t="s">
        <v>76</v>
      </c>
      <c r="BK169" s="130">
        <f t="shared" si="10"/>
        <v>1570.83</v>
      </c>
      <c r="BL169" s="13" t="s">
        <v>235</v>
      </c>
      <c r="BM169" s="129" t="s">
        <v>337</v>
      </c>
    </row>
    <row r="170" spans="2:65" s="1" customFormat="1" ht="24" customHeight="1" x14ac:dyDescent="0.2">
      <c r="B170" s="118"/>
      <c r="C170" s="119" t="s">
        <v>285</v>
      </c>
      <c r="D170" s="119" t="s">
        <v>231</v>
      </c>
      <c r="E170" s="120" t="s">
        <v>4848</v>
      </c>
      <c r="F170" s="121" t="s">
        <v>4849</v>
      </c>
      <c r="G170" s="122" t="s">
        <v>1194</v>
      </c>
      <c r="H170" s="123">
        <v>1</v>
      </c>
      <c r="I170" s="124">
        <v>236.84</v>
      </c>
      <c r="J170" s="124">
        <f t="shared" si="0"/>
        <v>236.84</v>
      </c>
      <c r="K170" s="121" t="s">
        <v>1</v>
      </c>
      <c r="L170" s="465"/>
      <c r="M170" s="125" t="s">
        <v>1</v>
      </c>
      <c r="N170" s="126" t="s">
        <v>32</v>
      </c>
      <c r="O170" s="127">
        <v>0</v>
      </c>
      <c r="P170" s="127">
        <f t="shared" si="1"/>
        <v>0</v>
      </c>
      <c r="Q170" s="127">
        <v>0</v>
      </c>
      <c r="R170" s="127">
        <f t="shared" si="2"/>
        <v>0</v>
      </c>
      <c r="S170" s="127">
        <v>0</v>
      </c>
      <c r="T170" s="128">
        <f t="shared" si="3"/>
        <v>0</v>
      </c>
      <c r="W170" s="199"/>
      <c r="X170" s="119" t="s">
        <v>285</v>
      </c>
      <c r="Y170" s="119" t="s">
        <v>231</v>
      </c>
      <c r="Z170" s="120" t="s">
        <v>4848</v>
      </c>
      <c r="AA170" s="121" t="s">
        <v>4849</v>
      </c>
      <c r="AB170" s="122" t="s">
        <v>1194</v>
      </c>
      <c r="AC170" s="123">
        <v>1</v>
      </c>
      <c r="AD170" s="124">
        <v>236.84</v>
      </c>
      <c r="AE170" s="200">
        <f t="shared" si="4"/>
        <v>236.84</v>
      </c>
      <c r="AR170" s="129" t="s">
        <v>235</v>
      </c>
      <c r="AT170" s="129" t="s">
        <v>231</v>
      </c>
      <c r="AU170" s="129" t="s">
        <v>76</v>
      </c>
      <c r="AY170" s="13" t="s">
        <v>228</v>
      </c>
      <c r="BE170" s="130">
        <f t="shared" si="5"/>
        <v>0</v>
      </c>
      <c r="BF170" s="130">
        <f t="shared" si="6"/>
        <v>236.84</v>
      </c>
      <c r="BG170" s="130">
        <f t="shared" si="7"/>
        <v>0</v>
      </c>
      <c r="BH170" s="130">
        <f t="shared" si="8"/>
        <v>0</v>
      </c>
      <c r="BI170" s="130">
        <f t="shared" si="9"/>
        <v>0</v>
      </c>
      <c r="BJ170" s="13" t="s">
        <v>76</v>
      </c>
      <c r="BK170" s="130">
        <f t="shared" si="10"/>
        <v>236.84</v>
      </c>
      <c r="BL170" s="13" t="s">
        <v>235</v>
      </c>
      <c r="BM170" s="129" t="s">
        <v>340</v>
      </c>
    </row>
    <row r="171" spans="2:65" s="1" customFormat="1" ht="24" customHeight="1" x14ac:dyDescent="0.2">
      <c r="B171" s="118"/>
      <c r="C171" s="119" t="s">
        <v>341</v>
      </c>
      <c r="D171" s="119" t="s">
        <v>231</v>
      </c>
      <c r="E171" s="120" t="s">
        <v>4850</v>
      </c>
      <c r="F171" s="121" t="s">
        <v>4851</v>
      </c>
      <c r="G171" s="122" t="s">
        <v>1194</v>
      </c>
      <c r="H171" s="123">
        <v>1</v>
      </c>
      <c r="I171" s="124">
        <v>456.27</v>
      </c>
      <c r="J171" s="124">
        <f t="shared" si="0"/>
        <v>456.27</v>
      </c>
      <c r="K171" s="121" t="s">
        <v>1</v>
      </c>
      <c r="L171" s="465"/>
      <c r="M171" s="125" t="s">
        <v>1</v>
      </c>
      <c r="N171" s="126" t="s">
        <v>32</v>
      </c>
      <c r="O171" s="127">
        <v>0</v>
      </c>
      <c r="P171" s="127">
        <f t="shared" si="1"/>
        <v>0</v>
      </c>
      <c r="Q171" s="127">
        <v>0</v>
      </c>
      <c r="R171" s="127">
        <f t="shared" si="2"/>
        <v>0</v>
      </c>
      <c r="S171" s="127">
        <v>0</v>
      </c>
      <c r="T171" s="128">
        <f t="shared" si="3"/>
        <v>0</v>
      </c>
      <c r="W171" s="199"/>
      <c r="X171" s="119" t="s">
        <v>341</v>
      </c>
      <c r="Y171" s="119" t="s">
        <v>231</v>
      </c>
      <c r="Z171" s="120" t="s">
        <v>4850</v>
      </c>
      <c r="AA171" s="121" t="s">
        <v>4851</v>
      </c>
      <c r="AB171" s="122" t="s">
        <v>1194</v>
      </c>
      <c r="AC171" s="123">
        <v>1</v>
      </c>
      <c r="AD171" s="124">
        <v>456.27</v>
      </c>
      <c r="AE171" s="200">
        <f t="shared" si="4"/>
        <v>456.27</v>
      </c>
      <c r="AR171" s="129" t="s">
        <v>235</v>
      </c>
      <c r="AT171" s="129" t="s">
        <v>231</v>
      </c>
      <c r="AU171" s="129" t="s">
        <v>76</v>
      </c>
      <c r="AY171" s="13" t="s">
        <v>228</v>
      </c>
      <c r="BE171" s="130">
        <f t="shared" si="5"/>
        <v>0</v>
      </c>
      <c r="BF171" s="130">
        <f t="shared" si="6"/>
        <v>456.27</v>
      </c>
      <c r="BG171" s="130">
        <f t="shared" si="7"/>
        <v>0</v>
      </c>
      <c r="BH171" s="130">
        <f t="shared" si="8"/>
        <v>0</v>
      </c>
      <c r="BI171" s="130">
        <f t="shared" si="9"/>
        <v>0</v>
      </c>
      <c r="BJ171" s="13" t="s">
        <v>76</v>
      </c>
      <c r="BK171" s="130">
        <f t="shared" si="10"/>
        <v>456.27</v>
      </c>
      <c r="BL171" s="13" t="s">
        <v>235</v>
      </c>
      <c r="BM171" s="129" t="s">
        <v>344</v>
      </c>
    </row>
    <row r="172" spans="2:65" s="1" customFormat="1" ht="24" customHeight="1" x14ac:dyDescent="0.2">
      <c r="B172" s="118"/>
      <c r="C172" s="119" t="s">
        <v>288</v>
      </c>
      <c r="D172" s="119" t="s">
        <v>231</v>
      </c>
      <c r="E172" s="120" t="s">
        <v>4852</v>
      </c>
      <c r="F172" s="121" t="s">
        <v>4853</v>
      </c>
      <c r="G172" s="122" t="s">
        <v>1194</v>
      </c>
      <c r="H172" s="123">
        <v>5</v>
      </c>
      <c r="I172" s="124">
        <v>624.62</v>
      </c>
      <c r="J172" s="124">
        <f t="shared" si="0"/>
        <v>3123.1</v>
      </c>
      <c r="K172" s="121" t="s">
        <v>1</v>
      </c>
      <c r="L172" s="465"/>
      <c r="M172" s="125" t="s">
        <v>1</v>
      </c>
      <c r="N172" s="126" t="s">
        <v>32</v>
      </c>
      <c r="O172" s="127">
        <v>0</v>
      </c>
      <c r="P172" s="127">
        <f t="shared" si="1"/>
        <v>0</v>
      </c>
      <c r="Q172" s="127">
        <v>0</v>
      </c>
      <c r="R172" s="127">
        <f t="shared" si="2"/>
        <v>0</v>
      </c>
      <c r="S172" s="127">
        <v>0</v>
      </c>
      <c r="T172" s="128">
        <f t="shared" si="3"/>
        <v>0</v>
      </c>
      <c r="W172" s="199"/>
      <c r="X172" s="119" t="s">
        <v>288</v>
      </c>
      <c r="Y172" s="119" t="s">
        <v>231</v>
      </c>
      <c r="Z172" s="120" t="s">
        <v>4852</v>
      </c>
      <c r="AA172" s="121" t="s">
        <v>4853</v>
      </c>
      <c r="AB172" s="122" t="s">
        <v>1194</v>
      </c>
      <c r="AC172" s="123">
        <v>5</v>
      </c>
      <c r="AD172" s="124">
        <v>624.62</v>
      </c>
      <c r="AE172" s="200">
        <f t="shared" si="4"/>
        <v>3123.1</v>
      </c>
      <c r="AR172" s="129" t="s">
        <v>235</v>
      </c>
      <c r="AT172" s="129" t="s">
        <v>231</v>
      </c>
      <c r="AU172" s="129" t="s">
        <v>76</v>
      </c>
      <c r="AY172" s="13" t="s">
        <v>228</v>
      </c>
      <c r="BE172" s="130">
        <f t="shared" si="5"/>
        <v>0</v>
      </c>
      <c r="BF172" s="130">
        <f t="shared" si="6"/>
        <v>3123.1</v>
      </c>
      <c r="BG172" s="130">
        <f t="shared" si="7"/>
        <v>0</v>
      </c>
      <c r="BH172" s="130">
        <f t="shared" si="8"/>
        <v>0</v>
      </c>
      <c r="BI172" s="130">
        <f t="shared" si="9"/>
        <v>0</v>
      </c>
      <c r="BJ172" s="13" t="s">
        <v>76</v>
      </c>
      <c r="BK172" s="130">
        <f t="shared" si="10"/>
        <v>3123.1</v>
      </c>
      <c r="BL172" s="13" t="s">
        <v>235</v>
      </c>
      <c r="BM172" s="129" t="s">
        <v>347</v>
      </c>
    </row>
    <row r="173" spans="2:65" s="1" customFormat="1" ht="24" customHeight="1" x14ac:dyDescent="0.2">
      <c r="B173" s="118"/>
      <c r="C173" s="119" t="s">
        <v>348</v>
      </c>
      <c r="D173" s="119" t="s">
        <v>231</v>
      </c>
      <c r="E173" s="120" t="s">
        <v>4854</v>
      </c>
      <c r="F173" s="121" t="s">
        <v>4855</v>
      </c>
      <c r="G173" s="122" t="s">
        <v>1194</v>
      </c>
      <c r="H173" s="123">
        <v>1</v>
      </c>
      <c r="I173" s="124">
        <v>604.88</v>
      </c>
      <c r="J173" s="124">
        <f t="shared" ref="J173:J202" si="11">ROUND(I173*H173,2)</f>
        <v>604.88</v>
      </c>
      <c r="K173" s="121" t="s">
        <v>1</v>
      </c>
      <c r="L173" s="465"/>
      <c r="M173" s="125" t="s">
        <v>1</v>
      </c>
      <c r="N173" s="126" t="s">
        <v>32</v>
      </c>
      <c r="O173" s="127">
        <v>0</v>
      </c>
      <c r="P173" s="127">
        <f t="shared" ref="P173:P202" si="12">O173*H173</f>
        <v>0</v>
      </c>
      <c r="Q173" s="127">
        <v>0</v>
      </c>
      <c r="R173" s="127">
        <f t="shared" ref="R173:R202" si="13">Q173*H173</f>
        <v>0</v>
      </c>
      <c r="S173" s="127">
        <v>0</v>
      </c>
      <c r="T173" s="128">
        <f t="shared" ref="T173:T202" si="14">S173*H173</f>
        <v>0</v>
      </c>
      <c r="W173" s="199"/>
      <c r="X173" s="119" t="s">
        <v>348</v>
      </c>
      <c r="Y173" s="119" t="s">
        <v>231</v>
      </c>
      <c r="Z173" s="120" t="s">
        <v>4854</v>
      </c>
      <c r="AA173" s="121" t="s">
        <v>4855</v>
      </c>
      <c r="AB173" s="122" t="s">
        <v>1194</v>
      </c>
      <c r="AC173" s="123">
        <v>1</v>
      </c>
      <c r="AD173" s="124">
        <v>604.88</v>
      </c>
      <c r="AE173" s="200">
        <f t="shared" si="4"/>
        <v>604.88</v>
      </c>
      <c r="AR173" s="129" t="s">
        <v>235</v>
      </c>
      <c r="AT173" s="129" t="s">
        <v>231</v>
      </c>
      <c r="AU173" s="129" t="s">
        <v>76</v>
      </c>
      <c r="AY173" s="13" t="s">
        <v>228</v>
      </c>
      <c r="BE173" s="130">
        <f t="shared" ref="BE173:BE202" si="15">IF(N173="základná",J173,0)</f>
        <v>0</v>
      </c>
      <c r="BF173" s="130">
        <f t="shared" ref="BF173:BF202" si="16">IF(N173="znížená",J173,0)</f>
        <v>604.88</v>
      </c>
      <c r="BG173" s="130">
        <f t="shared" ref="BG173:BG202" si="17">IF(N173="zákl. prenesená",J173,0)</f>
        <v>0</v>
      </c>
      <c r="BH173" s="130">
        <f t="shared" ref="BH173:BH202" si="18">IF(N173="zníž. prenesená",J173,0)</f>
        <v>0</v>
      </c>
      <c r="BI173" s="130">
        <f t="shared" ref="BI173:BI202" si="19">IF(N173="nulová",J173,0)</f>
        <v>0</v>
      </c>
      <c r="BJ173" s="13" t="s">
        <v>76</v>
      </c>
      <c r="BK173" s="130">
        <f t="shared" ref="BK173:BK202" si="20">ROUND(I173*H173,2)</f>
        <v>604.88</v>
      </c>
      <c r="BL173" s="13" t="s">
        <v>235</v>
      </c>
      <c r="BM173" s="129" t="s">
        <v>351</v>
      </c>
    </row>
    <row r="174" spans="2:65" s="1" customFormat="1" ht="24" customHeight="1" x14ac:dyDescent="0.2">
      <c r="B174" s="118"/>
      <c r="C174" s="119" t="s">
        <v>293</v>
      </c>
      <c r="D174" s="119" t="s">
        <v>231</v>
      </c>
      <c r="E174" s="120" t="s">
        <v>4856</v>
      </c>
      <c r="F174" s="121" t="s">
        <v>4857</v>
      </c>
      <c r="G174" s="122" t="s">
        <v>1194</v>
      </c>
      <c r="H174" s="123">
        <v>1</v>
      </c>
      <c r="I174" s="124">
        <v>1517.43</v>
      </c>
      <c r="J174" s="124">
        <f t="shared" si="11"/>
        <v>1517.43</v>
      </c>
      <c r="K174" s="121" t="s">
        <v>1</v>
      </c>
      <c r="L174" s="465"/>
      <c r="M174" s="125" t="s">
        <v>1</v>
      </c>
      <c r="N174" s="126" t="s">
        <v>32</v>
      </c>
      <c r="O174" s="127">
        <v>0</v>
      </c>
      <c r="P174" s="127">
        <f t="shared" si="12"/>
        <v>0</v>
      </c>
      <c r="Q174" s="127">
        <v>0</v>
      </c>
      <c r="R174" s="127">
        <f t="shared" si="13"/>
        <v>0</v>
      </c>
      <c r="S174" s="127">
        <v>0</v>
      </c>
      <c r="T174" s="128">
        <f t="shared" si="14"/>
        <v>0</v>
      </c>
      <c r="W174" s="199"/>
      <c r="X174" s="119" t="s">
        <v>293</v>
      </c>
      <c r="Y174" s="119" t="s">
        <v>231</v>
      </c>
      <c r="Z174" s="120" t="s">
        <v>4856</v>
      </c>
      <c r="AA174" s="121" t="s">
        <v>4857</v>
      </c>
      <c r="AB174" s="122" t="s">
        <v>1194</v>
      </c>
      <c r="AC174" s="123">
        <v>1</v>
      </c>
      <c r="AD174" s="124">
        <v>1517.43</v>
      </c>
      <c r="AE174" s="200">
        <f t="shared" si="4"/>
        <v>1517.43</v>
      </c>
      <c r="AR174" s="129" t="s">
        <v>235</v>
      </c>
      <c r="AT174" s="129" t="s">
        <v>231</v>
      </c>
      <c r="AU174" s="129" t="s">
        <v>76</v>
      </c>
      <c r="AY174" s="13" t="s">
        <v>228</v>
      </c>
      <c r="BE174" s="130">
        <f t="shared" si="15"/>
        <v>0</v>
      </c>
      <c r="BF174" s="130">
        <f t="shared" si="16"/>
        <v>1517.43</v>
      </c>
      <c r="BG174" s="130">
        <f t="shared" si="17"/>
        <v>0</v>
      </c>
      <c r="BH174" s="130">
        <f t="shared" si="18"/>
        <v>0</v>
      </c>
      <c r="BI174" s="130">
        <f t="shared" si="19"/>
        <v>0</v>
      </c>
      <c r="BJ174" s="13" t="s">
        <v>76</v>
      </c>
      <c r="BK174" s="130">
        <f t="shared" si="20"/>
        <v>1517.43</v>
      </c>
      <c r="BL174" s="13" t="s">
        <v>235</v>
      </c>
      <c r="BM174" s="129" t="s">
        <v>354</v>
      </c>
    </row>
    <row r="175" spans="2:65" s="1" customFormat="1" ht="24" customHeight="1" x14ac:dyDescent="0.2">
      <c r="B175" s="118"/>
      <c r="C175" s="119" t="s">
        <v>355</v>
      </c>
      <c r="D175" s="119" t="s">
        <v>231</v>
      </c>
      <c r="E175" s="120" t="s">
        <v>4858</v>
      </c>
      <c r="F175" s="121" t="s">
        <v>4859</v>
      </c>
      <c r="G175" s="122" t="s">
        <v>1194</v>
      </c>
      <c r="H175" s="123">
        <v>3</v>
      </c>
      <c r="I175" s="124">
        <v>1774.01</v>
      </c>
      <c r="J175" s="124">
        <f t="shared" si="11"/>
        <v>5322.03</v>
      </c>
      <c r="K175" s="121" t="s">
        <v>1</v>
      </c>
      <c r="L175" s="465"/>
      <c r="M175" s="125" t="s">
        <v>1</v>
      </c>
      <c r="N175" s="126" t="s">
        <v>32</v>
      </c>
      <c r="O175" s="127">
        <v>0</v>
      </c>
      <c r="P175" s="127">
        <f t="shared" si="12"/>
        <v>0</v>
      </c>
      <c r="Q175" s="127">
        <v>0</v>
      </c>
      <c r="R175" s="127">
        <f t="shared" si="13"/>
        <v>0</v>
      </c>
      <c r="S175" s="127">
        <v>0</v>
      </c>
      <c r="T175" s="128">
        <f t="shared" si="14"/>
        <v>0</v>
      </c>
      <c r="W175" s="199"/>
      <c r="X175" s="119" t="s">
        <v>355</v>
      </c>
      <c r="Y175" s="119" t="s">
        <v>231</v>
      </c>
      <c r="Z175" s="120" t="s">
        <v>4858</v>
      </c>
      <c r="AA175" s="121" t="s">
        <v>4859</v>
      </c>
      <c r="AB175" s="122" t="s">
        <v>1194</v>
      </c>
      <c r="AC175" s="123">
        <v>3</v>
      </c>
      <c r="AD175" s="124">
        <v>1774.01</v>
      </c>
      <c r="AE175" s="200">
        <f t="shared" si="4"/>
        <v>5322.03</v>
      </c>
      <c r="AR175" s="129" t="s">
        <v>235</v>
      </c>
      <c r="AT175" s="129" t="s">
        <v>231</v>
      </c>
      <c r="AU175" s="129" t="s">
        <v>76</v>
      </c>
      <c r="AY175" s="13" t="s">
        <v>228</v>
      </c>
      <c r="BE175" s="130">
        <f t="shared" si="15"/>
        <v>0</v>
      </c>
      <c r="BF175" s="130">
        <f t="shared" si="16"/>
        <v>5322.03</v>
      </c>
      <c r="BG175" s="130">
        <f t="shared" si="17"/>
        <v>0</v>
      </c>
      <c r="BH175" s="130">
        <f t="shared" si="18"/>
        <v>0</v>
      </c>
      <c r="BI175" s="130">
        <f t="shared" si="19"/>
        <v>0</v>
      </c>
      <c r="BJ175" s="13" t="s">
        <v>76</v>
      </c>
      <c r="BK175" s="130">
        <f t="shared" si="20"/>
        <v>5322.03</v>
      </c>
      <c r="BL175" s="13" t="s">
        <v>235</v>
      </c>
      <c r="BM175" s="129" t="s">
        <v>358</v>
      </c>
    </row>
    <row r="176" spans="2:65" s="1" customFormat="1" ht="24" customHeight="1" x14ac:dyDescent="0.2">
      <c r="B176" s="118"/>
      <c r="C176" s="119" t="s">
        <v>296</v>
      </c>
      <c r="D176" s="119" t="s">
        <v>231</v>
      </c>
      <c r="E176" s="120" t="s">
        <v>4860</v>
      </c>
      <c r="F176" s="121" t="s">
        <v>4861</v>
      </c>
      <c r="G176" s="122" t="s">
        <v>1194</v>
      </c>
      <c r="H176" s="123">
        <v>2</v>
      </c>
      <c r="I176" s="124">
        <v>2165.27</v>
      </c>
      <c r="J176" s="124">
        <f t="shared" si="11"/>
        <v>4330.54</v>
      </c>
      <c r="K176" s="121" t="s">
        <v>1</v>
      </c>
      <c r="L176" s="465"/>
      <c r="M176" s="125" t="s">
        <v>1</v>
      </c>
      <c r="N176" s="126" t="s">
        <v>32</v>
      </c>
      <c r="O176" s="127">
        <v>0</v>
      </c>
      <c r="P176" s="127">
        <f t="shared" si="12"/>
        <v>0</v>
      </c>
      <c r="Q176" s="127">
        <v>0</v>
      </c>
      <c r="R176" s="127">
        <f t="shared" si="13"/>
        <v>0</v>
      </c>
      <c r="S176" s="127">
        <v>0</v>
      </c>
      <c r="T176" s="128">
        <f t="shared" si="14"/>
        <v>0</v>
      </c>
      <c r="W176" s="199"/>
      <c r="X176" s="119" t="s">
        <v>296</v>
      </c>
      <c r="Y176" s="119" t="s">
        <v>231</v>
      </c>
      <c r="Z176" s="120" t="s">
        <v>4860</v>
      </c>
      <c r="AA176" s="121" t="s">
        <v>4861</v>
      </c>
      <c r="AB176" s="122" t="s">
        <v>1194</v>
      </c>
      <c r="AC176" s="123">
        <v>2</v>
      </c>
      <c r="AD176" s="124">
        <v>2165.27</v>
      </c>
      <c r="AE176" s="200">
        <f t="shared" si="4"/>
        <v>4330.54</v>
      </c>
      <c r="AR176" s="129" t="s">
        <v>235</v>
      </c>
      <c r="AT176" s="129" t="s">
        <v>231</v>
      </c>
      <c r="AU176" s="129" t="s">
        <v>76</v>
      </c>
      <c r="AY176" s="13" t="s">
        <v>228</v>
      </c>
      <c r="BE176" s="130">
        <f t="shared" si="15"/>
        <v>0</v>
      </c>
      <c r="BF176" s="130">
        <f t="shared" si="16"/>
        <v>4330.54</v>
      </c>
      <c r="BG176" s="130">
        <f t="shared" si="17"/>
        <v>0</v>
      </c>
      <c r="BH176" s="130">
        <f t="shared" si="18"/>
        <v>0</v>
      </c>
      <c r="BI176" s="130">
        <f t="shared" si="19"/>
        <v>0</v>
      </c>
      <c r="BJ176" s="13" t="s">
        <v>76</v>
      </c>
      <c r="BK176" s="130">
        <f t="shared" si="20"/>
        <v>4330.54</v>
      </c>
      <c r="BL176" s="13" t="s">
        <v>235</v>
      </c>
      <c r="BM176" s="129" t="s">
        <v>361</v>
      </c>
    </row>
    <row r="177" spans="2:65" s="1" customFormat="1" ht="24" customHeight="1" x14ac:dyDescent="0.2">
      <c r="B177" s="118"/>
      <c r="C177" s="119" t="s">
        <v>362</v>
      </c>
      <c r="D177" s="119" t="s">
        <v>231</v>
      </c>
      <c r="E177" s="120" t="s">
        <v>4862</v>
      </c>
      <c r="F177" s="121" t="s">
        <v>4863</v>
      </c>
      <c r="G177" s="122" t="s">
        <v>1194</v>
      </c>
      <c r="H177" s="123">
        <v>2</v>
      </c>
      <c r="I177" s="124">
        <v>246.13</v>
      </c>
      <c r="J177" s="124">
        <f t="shared" si="11"/>
        <v>492.26</v>
      </c>
      <c r="K177" s="121" t="s">
        <v>1</v>
      </c>
      <c r="L177" s="465"/>
      <c r="M177" s="125" t="s">
        <v>1</v>
      </c>
      <c r="N177" s="126" t="s">
        <v>32</v>
      </c>
      <c r="O177" s="127">
        <v>0</v>
      </c>
      <c r="P177" s="127">
        <f t="shared" si="12"/>
        <v>0</v>
      </c>
      <c r="Q177" s="127">
        <v>0</v>
      </c>
      <c r="R177" s="127">
        <f t="shared" si="13"/>
        <v>0</v>
      </c>
      <c r="S177" s="127">
        <v>0</v>
      </c>
      <c r="T177" s="128">
        <f t="shared" si="14"/>
        <v>0</v>
      </c>
      <c r="W177" s="199"/>
      <c r="X177" s="119" t="s">
        <v>362</v>
      </c>
      <c r="Y177" s="119" t="s">
        <v>231</v>
      </c>
      <c r="Z177" s="120" t="s">
        <v>4862</v>
      </c>
      <c r="AA177" s="121" t="s">
        <v>4863</v>
      </c>
      <c r="AB177" s="122" t="s">
        <v>1194</v>
      </c>
      <c r="AC177" s="123">
        <v>2</v>
      </c>
      <c r="AD177" s="124">
        <v>246.13</v>
      </c>
      <c r="AE177" s="200">
        <f t="shared" si="4"/>
        <v>492.26</v>
      </c>
      <c r="AR177" s="129" t="s">
        <v>235</v>
      </c>
      <c r="AT177" s="129" t="s">
        <v>231</v>
      </c>
      <c r="AU177" s="129" t="s">
        <v>76</v>
      </c>
      <c r="AY177" s="13" t="s">
        <v>228</v>
      </c>
      <c r="BE177" s="130">
        <f t="shared" si="15"/>
        <v>0</v>
      </c>
      <c r="BF177" s="130">
        <f t="shared" si="16"/>
        <v>492.26</v>
      </c>
      <c r="BG177" s="130">
        <f t="shared" si="17"/>
        <v>0</v>
      </c>
      <c r="BH177" s="130">
        <f t="shared" si="18"/>
        <v>0</v>
      </c>
      <c r="BI177" s="130">
        <f t="shared" si="19"/>
        <v>0</v>
      </c>
      <c r="BJ177" s="13" t="s">
        <v>76</v>
      </c>
      <c r="BK177" s="130">
        <f t="shared" si="20"/>
        <v>492.26</v>
      </c>
      <c r="BL177" s="13" t="s">
        <v>235</v>
      </c>
      <c r="BM177" s="129" t="s">
        <v>365</v>
      </c>
    </row>
    <row r="178" spans="2:65" s="1" customFormat="1" ht="24" customHeight="1" x14ac:dyDescent="0.2">
      <c r="B178" s="118"/>
      <c r="C178" s="119" t="s">
        <v>300</v>
      </c>
      <c r="D178" s="119" t="s">
        <v>231</v>
      </c>
      <c r="E178" s="120" t="s">
        <v>4864</v>
      </c>
      <c r="F178" s="121" t="s">
        <v>4865</v>
      </c>
      <c r="G178" s="122" t="s">
        <v>1194</v>
      </c>
      <c r="H178" s="123">
        <v>2</v>
      </c>
      <c r="I178" s="124">
        <v>585.14</v>
      </c>
      <c r="J178" s="124">
        <f t="shared" si="11"/>
        <v>1170.28</v>
      </c>
      <c r="K178" s="121" t="s">
        <v>1</v>
      </c>
      <c r="L178" s="465"/>
      <c r="M178" s="125" t="s">
        <v>1</v>
      </c>
      <c r="N178" s="126" t="s">
        <v>32</v>
      </c>
      <c r="O178" s="127">
        <v>0</v>
      </c>
      <c r="P178" s="127">
        <f t="shared" si="12"/>
        <v>0</v>
      </c>
      <c r="Q178" s="127">
        <v>0</v>
      </c>
      <c r="R178" s="127">
        <f t="shared" si="13"/>
        <v>0</v>
      </c>
      <c r="S178" s="127">
        <v>0</v>
      </c>
      <c r="T178" s="128">
        <f t="shared" si="14"/>
        <v>0</v>
      </c>
      <c r="W178" s="199"/>
      <c r="X178" s="119" t="s">
        <v>300</v>
      </c>
      <c r="Y178" s="119" t="s">
        <v>231</v>
      </c>
      <c r="Z178" s="120" t="s">
        <v>4864</v>
      </c>
      <c r="AA178" s="121" t="s">
        <v>4865</v>
      </c>
      <c r="AB178" s="122" t="s">
        <v>1194</v>
      </c>
      <c r="AC178" s="123">
        <v>2</v>
      </c>
      <c r="AD178" s="124">
        <v>585.14</v>
      </c>
      <c r="AE178" s="200">
        <f t="shared" si="4"/>
        <v>1170.28</v>
      </c>
      <c r="AR178" s="129" t="s">
        <v>235</v>
      </c>
      <c r="AT178" s="129" t="s">
        <v>231</v>
      </c>
      <c r="AU178" s="129" t="s">
        <v>76</v>
      </c>
      <c r="AY178" s="13" t="s">
        <v>228</v>
      </c>
      <c r="BE178" s="130">
        <f t="shared" si="15"/>
        <v>0</v>
      </c>
      <c r="BF178" s="130">
        <f t="shared" si="16"/>
        <v>1170.28</v>
      </c>
      <c r="BG178" s="130">
        <f t="shared" si="17"/>
        <v>0</v>
      </c>
      <c r="BH178" s="130">
        <f t="shared" si="18"/>
        <v>0</v>
      </c>
      <c r="BI178" s="130">
        <f t="shared" si="19"/>
        <v>0</v>
      </c>
      <c r="BJ178" s="13" t="s">
        <v>76</v>
      </c>
      <c r="BK178" s="130">
        <f t="shared" si="20"/>
        <v>1170.28</v>
      </c>
      <c r="BL178" s="13" t="s">
        <v>235</v>
      </c>
      <c r="BM178" s="129" t="s">
        <v>368</v>
      </c>
    </row>
    <row r="179" spans="2:65" s="1" customFormat="1" ht="24" customHeight="1" x14ac:dyDescent="0.2">
      <c r="B179" s="118"/>
      <c r="C179" s="119" t="s">
        <v>369</v>
      </c>
      <c r="D179" s="119" t="s">
        <v>231</v>
      </c>
      <c r="E179" s="120" t="s">
        <v>4866</v>
      </c>
      <c r="F179" s="121" t="s">
        <v>4867</v>
      </c>
      <c r="G179" s="122" t="s">
        <v>1194</v>
      </c>
      <c r="H179" s="123">
        <v>6</v>
      </c>
      <c r="I179" s="124">
        <v>738.4</v>
      </c>
      <c r="J179" s="124">
        <f t="shared" si="11"/>
        <v>4430.3999999999996</v>
      </c>
      <c r="K179" s="121" t="s">
        <v>1</v>
      </c>
      <c r="L179" s="465"/>
      <c r="M179" s="125" t="s">
        <v>1</v>
      </c>
      <c r="N179" s="126" t="s">
        <v>32</v>
      </c>
      <c r="O179" s="127">
        <v>0</v>
      </c>
      <c r="P179" s="127">
        <f t="shared" si="12"/>
        <v>0</v>
      </c>
      <c r="Q179" s="127">
        <v>0</v>
      </c>
      <c r="R179" s="127">
        <f t="shared" si="13"/>
        <v>0</v>
      </c>
      <c r="S179" s="127">
        <v>0</v>
      </c>
      <c r="T179" s="128">
        <f t="shared" si="14"/>
        <v>0</v>
      </c>
      <c r="W179" s="199"/>
      <c r="X179" s="119" t="s">
        <v>369</v>
      </c>
      <c r="Y179" s="119" t="s">
        <v>231</v>
      </c>
      <c r="Z179" s="120" t="s">
        <v>4866</v>
      </c>
      <c r="AA179" s="121" t="s">
        <v>4867</v>
      </c>
      <c r="AB179" s="122" t="s">
        <v>1194</v>
      </c>
      <c r="AC179" s="123">
        <v>6</v>
      </c>
      <c r="AD179" s="124">
        <v>738.4</v>
      </c>
      <c r="AE179" s="200">
        <f t="shared" si="4"/>
        <v>4430.3999999999996</v>
      </c>
      <c r="AR179" s="129" t="s">
        <v>235</v>
      </c>
      <c r="AT179" s="129" t="s">
        <v>231</v>
      </c>
      <c r="AU179" s="129" t="s">
        <v>76</v>
      </c>
      <c r="AY179" s="13" t="s">
        <v>228</v>
      </c>
      <c r="BE179" s="130">
        <f t="shared" si="15"/>
        <v>0</v>
      </c>
      <c r="BF179" s="130">
        <f t="shared" si="16"/>
        <v>4430.3999999999996</v>
      </c>
      <c r="BG179" s="130">
        <f t="shared" si="17"/>
        <v>0</v>
      </c>
      <c r="BH179" s="130">
        <f t="shared" si="18"/>
        <v>0</v>
      </c>
      <c r="BI179" s="130">
        <f t="shared" si="19"/>
        <v>0</v>
      </c>
      <c r="BJ179" s="13" t="s">
        <v>76</v>
      </c>
      <c r="BK179" s="130">
        <f t="shared" si="20"/>
        <v>4430.3999999999996</v>
      </c>
      <c r="BL179" s="13" t="s">
        <v>235</v>
      </c>
      <c r="BM179" s="129" t="s">
        <v>372</v>
      </c>
    </row>
    <row r="180" spans="2:65" s="1" customFormat="1" ht="44.25" customHeight="1" x14ac:dyDescent="0.2">
      <c r="B180" s="118"/>
      <c r="C180" s="205" t="s">
        <v>303</v>
      </c>
      <c r="D180" s="119" t="s">
        <v>231</v>
      </c>
      <c r="E180" s="120" t="s">
        <v>4868</v>
      </c>
      <c r="F180" s="121" t="s">
        <v>4869</v>
      </c>
      <c r="G180" s="122" t="s">
        <v>1194</v>
      </c>
      <c r="H180" s="206">
        <v>2</v>
      </c>
      <c r="I180" s="124">
        <v>3584.01</v>
      </c>
      <c r="J180" s="124">
        <f t="shared" si="11"/>
        <v>7168.02</v>
      </c>
      <c r="K180" s="121" t="s">
        <v>1</v>
      </c>
      <c r="L180" s="473"/>
      <c r="M180" s="125" t="s">
        <v>1</v>
      </c>
      <c r="N180" s="126" t="s">
        <v>32</v>
      </c>
      <c r="O180" s="127">
        <v>0</v>
      </c>
      <c r="P180" s="127">
        <f t="shared" si="12"/>
        <v>0</v>
      </c>
      <c r="Q180" s="127">
        <v>0</v>
      </c>
      <c r="R180" s="127">
        <f t="shared" si="13"/>
        <v>0</v>
      </c>
      <c r="S180" s="127">
        <v>0</v>
      </c>
      <c r="T180" s="128">
        <f t="shared" si="14"/>
        <v>0</v>
      </c>
      <c r="W180" s="199"/>
      <c r="X180" s="205" t="s">
        <v>303</v>
      </c>
      <c r="Y180" s="119" t="s">
        <v>231</v>
      </c>
      <c r="Z180" s="120" t="s">
        <v>4868</v>
      </c>
      <c r="AA180" s="121" t="s">
        <v>4869</v>
      </c>
      <c r="AB180" s="122" t="s">
        <v>1194</v>
      </c>
      <c r="AC180" s="206">
        <v>0</v>
      </c>
      <c r="AD180" s="124">
        <v>3584.01</v>
      </c>
      <c r="AE180" s="200">
        <f t="shared" si="4"/>
        <v>0</v>
      </c>
      <c r="AF180" s="248">
        <v>11</v>
      </c>
      <c r="AR180" s="129" t="s">
        <v>235</v>
      </c>
      <c r="AT180" s="129" t="s">
        <v>231</v>
      </c>
      <c r="AU180" s="129" t="s">
        <v>76</v>
      </c>
      <c r="AY180" s="13" t="s">
        <v>228</v>
      </c>
      <c r="BE180" s="130">
        <f t="shared" si="15"/>
        <v>0</v>
      </c>
      <c r="BF180" s="130">
        <f t="shared" si="16"/>
        <v>7168.02</v>
      </c>
      <c r="BG180" s="130">
        <f t="shared" si="17"/>
        <v>0</v>
      </c>
      <c r="BH180" s="130">
        <f t="shared" si="18"/>
        <v>0</v>
      </c>
      <c r="BI180" s="130">
        <f t="shared" si="19"/>
        <v>0</v>
      </c>
      <c r="BJ180" s="13" t="s">
        <v>76</v>
      </c>
      <c r="BK180" s="130">
        <f t="shared" si="20"/>
        <v>7168.02</v>
      </c>
      <c r="BL180" s="13" t="s">
        <v>235</v>
      </c>
      <c r="BM180" s="129" t="s">
        <v>375</v>
      </c>
    </row>
    <row r="181" spans="2:65" s="477" customFormat="1" ht="73.5" customHeight="1" x14ac:dyDescent="0.2">
      <c r="B181" s="118"/>
      <c r="C181" s="1234" t="s">
        <v>5205</v>
      </c>
      <c r="D181" s="1235"/>
      <c r="E181" s="1235"/>
      <c r="F181" s="1235"/>
      <c r="G181" s="1235"/>
      <c r="H181" s="1235"/>
      <c r="I181" s="1235"/>
      <c r="J181" s="1236"/>
      <c r="K181" s="121"/>
      <c r="L181" s="473"/>
      <c r="M181" s="125"/>
      <c r="N181" s="126"/>
      <c r="O181" s="127"/>
      <c r="P181" s="127"/>
      <c r="Q181" s="127"/>
      <c r="R181" s="127"/>
      <c r="S181" s="127"/>
      <c r="T181" s="128"/>
      <c r="W181" s="199"/>
      <c r="X181" s="207" t="s">
        <v>6152</v>
      </c>
      <c r="Y181" s="207"/>
      <c r="Z181" s="208" t="s">
        <v>289</v>
      </c>
      <c r="AA181" s="209" t="s">
        <v>6151</v>
      </c>
      <c r="AB181" s="210" t="s">
        <v>1172</v>
      </c>
      <c r="AC181" s="211">
        <v>2</v>
      </c>
      <c r="AD181" s="212">
        <v>1994.4</v>
      </c>
      <c r="AE181" s="214">
        <v>3988.8</v>
      </c>
      <c r="AF181" s="248">
        <v>11</v>
      </c>
      <c r="AR181" s="129"/>
      <c r="AT181" s="129"/>
      <c r="AU181" s="129"/>
      <c r="AY181" s="13"/>
      <c r="BE181" s="130"/>
      <c r="BF181" s="130"/>
      <c r="BG181" s="130"/>
      <c r="BH181" s="130"/>
      <c r="BI181" s="130"/>
      <c r="BJ181" s="13"/>
      <c r="BK181" s="130"/>
      <c r="BL181" s="13"/>
      <c r="BM181" s="129"/>
    </row>
    <row r="182" spans="2:65" s="1" customFormat="1" ht="36" customHeight="1" x14ac:dyDescent="0.2">
      <c r="B182" s="118"/>
      <c r="C182" s="119" t="s">
        <v>376</v>
      </c>
      <c r="D182" s="119" t="s">
        <v>231</v>
      </c>
      <c r="E182" s="120" t="s">
        <v>4870</v>
      </c>
      <c r="F182" s="121" t="s">
        <v>4871</v>
      </c>
      <c r="G182" s="122" t="s">
        <v>1194</v>
      </c>
      <c r="H182" s="123">
        <v>1</v>
      </c>
      <c r="I182" s="124">
        <v>275.16000000000003</v>
      </c>
      <c r="J182" s="124">
        <f t="shared" si="11"/>
        <v>275.16000000000003</v>
      </c>
      <c r="K182" s="121" t="s">
        <v>1</v>
      </c>
      <c r="L182" s="465"/>
      <c r="M182" s="125" t="s">
        <v>1</v>
      </c>
      <c r="N182" s="126" t="s">
        <v>32</v>
      </c>
      <c r="O182" s="127">
        <v>0</v>
      </c>
      <c r="P182" s="127">
        <f t="shared" si="12"/>
        <v>0</v>
      </c>
      <c r="Q182" s="127">
        <v>0</v>
      </c>
      <c r="R182" s="127">
        <f t="shared" si="13"/>
        <v>0</v>
      </c>
      <c r="S182" s="127">
        <v>0</v>
      </c>
      <c r="T182" s="128">
        <f t="shared" si="14"/>
        <v>0</v>
      </c>
      <c r="W182" s="199"/>
      <c r="X182" s="119" t="s">
        <v>376</v>
      </c>
      <c r="Y182" s="119" t="s">
        <v>231</v>
      </c>
      <c r="Z182" s="120" t="s">
        <v>4870</v>
      </c>
      <c r="AA182" s="121" t="s">
        <v>4871</v>
      </c>
      <c r="AB182" s="122" t="s">
        <v>1194</v>
      </c>
      <c r="AC182" s="123">
        <v>1</v>
      </c>
      <c r="AD182" s="124">
        <v>275.16000000000003</v>
      </c>
      <c r="AE182" s="200">
        <f t="shared" si="4"/>
        <v>275.16000000000003</v>
      </c>
      <c r="AR182" s="129" t="s">
        <v>235</v>
      </c>
      <c r="AT182" s="129" t="s">
        <v>231</v>
      </c>
      <c r="AU182" s="129" t="s">
        <v>76</v>
      </c>
      <c r="AY182" s="13" t="s">
        <v>228</v>
      </c>
      <c r="BE182" s="130">
        <f t="shared" si="15"/>
        <v>0</v>
      </c>
      <c r="BF182" s="130">
        <f t="shared" si="16"/>
        <v>275.16000000000003</v>
      </c>
      <c r="BG182" s="130">
        <f t="shared" si="17"/>
        <v>0</v>
      </c>
      <c r="BH182" s="130">
        <f t="shared" si="18"/>
        <v>0</v>
      </c>
      <c r="BI182" s="130">
        <f t="shared" si="19"/>
        <v>0</v>
      </c>
      <c r="BJ182" s="13" t="s">
        <v>76</v>
      </c>
      <c r="BK182" s="130">
        <f t="shared" si="20"/>
        <v>275.16000000000003</v>
      </c>
      <c r="BL182" s="13" t="s">
        <v>235</v>
      </c>
      <c r="BM182" s="129" t="s">
        <v>379</v>
      </c>
    </row>
    <row r="183" spans="2:65" s="1" customFormat="1" ht="24" customHeight="1" x14ac:dyDescent="0.2">
      <c r="B183" s="118"/>
      <c r="C183" s="119" t="s">
        <v>308</v>
      </c>
      <c r="D183" s="119" t="s">
        <v>231</v>
      </c>
      <c r="E183" s="120" t="s">
        <v>4872</v>
      </c>
      <c r="F183" s="121" t="s">
        <v>4873</v>
      </c>
      <c r="G183" s="122" t="s">
        <v>1194</v>
      </c>
      <c r="H183" s="123">
        <v>32</v>
      </c>
      <c r="I183" s="124">
        <v>9.06</v>
      </c>
      <c r="J183" s="124">
        <f t="shared" si="11"/>
        <v>289.92</v>
      </c>
      <c r="K183" s="121" t="s">
        <v>1</v>
      </c>
      <c r="L183" s="465"/>
      <c r="M183" s="125" t="s">
        <v>1</v>
      </c>
      <c r="N183" s="126" t="s">
        <v>32</v>
      </c>
      <c r="O183" s="127">
        <v>0</v>
      </c>
      <c r="P183" s="127">
        <f t="shared" si="12"/>
        <v>0</v>
      </c>
      <c r="Q183" s="127">
        <v>0</v>
      </c>
      <c r="R183" s="127">
        <f t="shared" si="13"/>
        <v>0</v>
      </c>
      <c r="S183" s="127">
        <v>0</v>
      </c>
      <c r="T183" s="128">
        <f t="shared" si="14"/>
        <v>0</v>
      </c>
      <c r="W183" s="199"/>
      <c r="X183" s="119" t="s">
        <v>308</v>
      </c>
      <c r="Y183" s="119" t="s">
        <v>231</v>
      </c>
      <c r="Z183" s="120" t="s">
        <v>4872</v>
      </c>
      <c r="AA183" s="121" t="s">
        <v>4873</v>
      </c>
      <c r="AB183" s="122" t="s">
        <v>1194</v>
      </c>
      <c r="AC183" s="123">
        <v>32</v>
      </c>
      <c r="AD183" s="124">
        <v>9.06</v>
      </c>
      <c r="AE183" s="200">
        <f t="shared" si="4"/>
        <v>289.92</v>
      </c>
      <c r="AR183" s="129" t="s">
        <v>235</v>
      </c>
      <c r="AT183" s="129" t="s">
        <v>231</v>
      </c>
      <c r="AU183" s="129" t="s">
        <v>76</v>
      </c>
      <c r="AY183" s="13" t="s">
        <v>228</v>
      </c>
      <c r="BE183" s="130">
        <f t="shared" si="15"/>
        <v>0</v>
      </c>
      <c r="BF183" s="130">
        <f t="shared" si="16"/>
        <v>289.92</v>
      </c>
      <c r="BG183" s="130">
        <f t="shared" si="17"/>
        <v>0</v>
      </c>
      <c r="BH183" s="130">
        <f t="shared" si="18"/>
        <v>0</v>
      </c>
      <c r="BI183" s="130">
        <f t="shared" si="19"/>
        <v>0</v>
      </c>
      <c r="BJ183" s="13" t="s">
        <v>76</v>
      </c>
      <c r="BK183" s="130">
        <f t="shared" si="20"/>
        <v>289.92</v>
      </c>
      <c r="BL183" s="13" t="s">
        <v>235</v>
      </c>
      <c r="BM183" s="129" t="s">
        <v>382</v>
      </c>
    </row>
    <row r="184" spans="2:65" s="1" customFormat="1" ht="24" customHeight="1" x14ac:dyDescent="0.2">
      <c r="B184" s="118"/>
      <c r="C184" s="119" t="s">
        <v>383</v>
      </c>
      <c r="D184" s="119" t="s">
        <v>231</v>
      </c>
      <c r="E184" s="120" t="s">
        <v>4874</v>
      </c>
      <c r="F184" s="121" t="s">
        <v>4875</v>
      </c>
      <c r="G184" s="122" t="s">
        <v>1194</v>
      </c>
      <c r="H184" s="123">
        <v>3</v>
      </c>
      <c r="I184" s="124">
        <v>7.89</v>
      </c>
      <c r="J184" s="124">
        <f t="shared" si="11"/>
        <v>23.67</v>
      </c>
      <c r="K184" s="121" t="s">
        <v>1</v>
      </c>
      <c r="L184" s="465"/>
      <c r="M184" s="125" t="s">
        <v>1</v>
      </c>
      <c r="N184" s="126" t="s">
        <v>32</v>
      </c>
      <c r="O184" s="127">
        <v>0</v>
      </c>
      <c r="P184" s="127">
        <f t="shared" si="12"/>
        <v>0</v>
      </c>
      <c r="Q184" s="127">
        <v>0</v>
      </c>
      <c r="R184" s="127">
        <f t="shared" si="13"/>
        <v>0</v>
      </c>
      <c r="S184" s="127">
        <v>0</v>
      </c>
      <c r="T184" s="128">
        <f t="shared" si="14"/>
        <v>0</v>
      </c>
      <c r="W184" s="199"/>
      <c r="X184" s="119" t="s">
        <v>383</v>
      </c>
      <c r="Y184" s="119" t="s">
        <v>231</v>
      </c>
      <c r="Z184" s="120" t="s">
        <v>4874</v>
      </c>
      <c r="AA184" s="121" t="s">
        <v>4875</v>
      </c>
      <c r="AB184" s="122" t="s">
        <v>1194</v>
      </c>
      <c r="AC184" s="123">
        <v>3</v>
      </c>
      <c r="AD184" s="124">
        <v>7.89</v>
      </c>
      <c r="AE184" s="200">
        <f t="shared" si="4"/>
        <v>23.67</v>
      </c>
      <c r="AR184" s="129" t="s">
        <v>235</v>
      </c>
      <c r="AT184" s="129" t="s">
        <v>231</v>
      </c>
      <c r="AU184" s="129" t="s">
        <v>76</v>
      </c>
      <c r="AY184" s="13" t="s">
        <v>228</v>
      </c>
      <c r="BE184" s="130">
        <f t="shared" si="15"/>
        <v>0</v>
      </c>
      <c r="BF184" s="130">
        <f t="shared" si="16"/>
        <v>23.67</v>
      </c>
      <c r="BG184" s="130">
        <f t="shared" si="17"/>
        <v>0</v>
      </c>
      <c r="BH184" s="130">
        <f t="shared" si="18"/>
        <v>0</v>
      </c>
      <c r="BI184" s="130">
        <f t="shared" si="19"/>
        <v>0</v>
      </c>
      <c r="BJ184" s="13" t="s">
        <v>76</v>
      </c>
      <c r="BK184" s="130">
        <f t="shared" si="20"/>
        <v>23.67</v>
      </c>
      <c r="BL184" s="13" t="s">
        <v>235</v>
      </c>
      <c r="BM184" s="129" t="s">
        <v>386</v>
      </c>
    </row>
    <row r="185" spans="2:65" s="1" customFormat="1" ht="16.5" customHeight="1" x14ac:dyDescent="0.2">
      <c r="B185" s="118"/>
      <c r="C185" s="119" t="s">
        <v>312</v>
      </c>
      <c r="D185" s="119" t="s">
        <v>231</v>
      </c>
      <c r="E185" s="120" t="s">
        <v>4876</v>
      </c>
      <c r="F185" s="121" t="s">
        <v>4877</v>
      </c>
      <c r="G185" s="122" t="s">
        <v>1194</v>
      </c>
      <c r="H185" s="123">
        <v>20</v>
      </c>
      <c r="I185" s="124">
        <v>14.51</v>
      </c>
      <c r="J185" s="124">
        <f t="shared" si="11"/>
        <v>290.2</v>
      </c>
      <c r="K185" s="121" t="s">
        <v>1</v>
      </c>
      <c r="L185" s="465"/>
      <c r="M185" s="125" t="s">
        <v>1</v>
      </c>
      <c r="N185" s="126" t="s">
        <v>32</v>
      </c>
      <c r="O185" s="127">
        <v>0</v>
      </c>
      <c r="P185" s="127">
        <f t="shared" si="12"/>
        <v>0</v>
      </c>
      <c r="Q185" s="127">
        <v>0</v>
      </c>
      <c r="R185" s="127">
        <f t="shared" si="13"/>
        <v>0</v>
      </c>
      <c r="S185" s="127">
        <v>0</v>
      </c>
      <c r="T185" s="128">
        <f t="shared" si="14"/>
        <v>0</v>
      </c>
      <c r="W185" s="199"/>
      <c r="X185" s="119" t="s">
        <v>312</v>
      </c>
      <c r="Y185" s="119" t="s">
        <v>231</v>
      </c>
      <c r="Z185" s="120" t="s">
        <v>4876</v>
      </c>
      <c r="AA185" s="121" t="s">
        <v>4877</v>
      </c>
      <c r="AB185" s="122" t="s">
        <v>1194</v>
      </c>
      <c r="AC185" s="123">
        <v>20</v>
      </c>
      <c r="AD185" s="124">
        <v>14.51</v>
      </c>
      <c r="AE185" s="200">
        <f t="shared" si="4"/>
        <v>290.2</v>
      </c>
      <c r="AR185" s="129" t="s">
        <v>235</v>
      </c>
      <c r="AT185" s="129" t="s">
        <v>231</v>
      </c>
      <c r="AU185" s="129" t="s">
        <v>76</v>
      </c>
      <c r="AY185" s="13" t="s">
        <v>228</v>
      </c>
      <c r="BE185" s="130">
        <f t="shared" si="15"/>
        <v>0</v>
      </c>
      <c r="BF185" s="130">
        <f t="shared" si="16"/>
        <v>290.2</v>
      </c>
      <c r="BG185" s="130">
        <f t="shared" si="17"/>
        <v>0</v>
      </c>
      <c r="BH185" s="130">
        <f t="shared" si="18"/>
        <v>0</v>
      </c>
      <c r="BI185" s="130">
        <f t="shared" si="19"/>
        <v>0</v>
      </c>
      <c r="BJ185" s="13" t="s">
        <v>76</v>
      </c>
      <c r="BK185" s="130">
        <f t="shared" si="20"/>
        <v>290.2</v>
      </c>
      <c r="BL185" s="13" t="s">
        <v>235</v>
      </c>
      <c r="BM185" s="129" t="s">
        <v>389</v>
      </c>
    </row>
    <row r="186" spans="2:65" s="1" customFormat="1" ht="24" customHeight="1" x14ac:dyDescent="0.2">
      <c r="B186" s="118"/>
      <c r="C186" s="119" t="s">
        <v>390</v>
      </c>
      <c r="D186" s="119" t="s">
        <v>231</v>
      </c>
      <c r="E186" s="120" t="s">
        <v>4878</v>
      </c>
      <c r="F186" s="121" t="s">
        <v>4879</v>
      </c>
      <c r="G186" s="122" t="s">
        <v>1194</v>
      </c>
      <c r="H186" s="123">
        <v>1</v>
      </c>
      <c r="I186" s="124">
        <v>11.53</v>
      </c>
      <c r="J186" s="124">
        <f t="shared" si="11"/>
        <v>11.53</v>
      </c>
      <c r="K186" s="121" t="s">
        <v>1</v>
      </c>
      <c r="L186" s="465"/>
      <c r="M186" s="125" t="s">
        <v>1</v>
      </c>
      <c r="N186" s="126" t="s">
        <v>32</v>
      </c>
      <c r="O186" s="127">
        <v>0</v>
      </c>
      <c r="P186" s="127">
        <f t="shared" si="12"/>
        <v>0</v>
      </c>
      <c r="Q186" s="127">
        <v>0</v>
      </c>
      <c r="R186" s="127">
        <f t="shared" si="13"/>
        <v>0</v>
      </c>
      <c r="S186" s="127">
        <v>0</v>
      </c>
      <c r="T186" s="128">
        <f t="shared" si="14"/>
        <v>0</v>
      </c>
      <c r="W186" s="199"/>
      <c r="X186" s="119" t="s">
        <v>390</v>
      </c>
      <c r="Y186" s="119" t="s">
        <v>231</v>
      </c>
      <c r="Z186" s="120" t="s">
        <v>4878</v>
      </c>
      <c r="AA186" s="121" t="s">
        <v>4879</v>
      </c>
      <c r="AB186" s="122" t="s">
        <v>1194</v>
      </c>
      <c r="AC186" s="123">
        <v>1</v>
      </c>
      <c r="AD186" s="124">
        <v>11.53</v>
      </c>
      <c r="AE186" s="200">
        <f t="shared" si="4"/>
        <v>11.53</v>
      </c>
      <c r="AR186" s="129" t="s">
        <v>235</v>
      </c>
      <c r="AT186" s="129" t="s">
        <v>231</v>
      </c>
      <c r="AU186" s="129" t="s">
        <v>76</v>
      </c>
      <c r="AY186" s="13" t="s">
        <v>228</v>
      </c>
      <c r="BE186" s="130">
        <f t="shared" si="15"/>
        <v>0</v>
      </c>
      <c r="BF186" s="130">
        <f t="shared" si="16"/>
        <v>11.53</v>
      </c>
      <c r="BG186" s="130">
        <f t="shared" si="17"/>
        <v>0</v>
      </c>
      <c r="BH186" s="130">
        <f t="shared" si="18"/>
        <v>0</v>
      </c>
      <c r="BI186" s="130">
        <f t="shared" si="19"/>
        <v>0</v>
      </c>
      <c r="BJ186" s="13" t="s">
        <v>76</v>
      </c>
      <c r="BK186" s="130">
        <f t="shared" si="20"/>
        <v>11.53</v>
      </c>
      <c r="BL186" s="13" t="s">
        <v>235</v>
      </c>
      <c r="BM186" s="129" t="s">
        <v>393</v>
      </c>
    </row>
    <row r="187" spans="2:65" s="1" customFormat="1" ht="16.5" customHeight="1" x14ac:dyDescent="0.2">
      <c r="B187" s="118"/>
      <c r="C187" s="119" t="s">
        <v>316</v>
      </c>
      <c r="D187" s="119" t="s">
        <v>231</v>
      </c>
      <c r="E187" s="120" t="s">
        <v>4880</v>
      </c>
      <c r="F187" s="121" t="s">
        <v>4881</v>
      </c>
      <c r="G187" s="122" t="s">
        <v>1194</v>
      </c>
      <c r="H187" s="123">
        <v>6</v>
      </c>
      <c r="I187" s="124">
        <v>12.81</v>
      </c>
      <c r="J187" s="124">
        <f t="shared" si="11"/>
        <v>76.86</v>
      </c>
      <c r="K187" s="121" t="s">
        <v>1</v>
      </c>
      <c r="L187" s="465"/>
      <c r="M187" s="125" t="s">
        <v>1</v>
      </c>
      <c r="N187" s="126" t="s">
        <v>32</v>
      </c>
      <c r="O187" s="127">
        <v>0</v>
      </c>
      <c r="P187" s="127">
        <f t="shared" si="12"/>
        <v>0</v>
      </c>
      <c r="Q187" s="127">
        <v>0</v>
      </c>
      <c r="R187" s="127">
        <f t="shared" si="13"/>
        <v>0</v>
      </c>
      <c r="S187" s="127">
        <v>0</v>
      </c>
      <c r="T187" s="128">
        <f t="shared" si="14"/>
        <v>0</v>
      </c>
      <c r="W187" s="199"/>
      <c r="X187" s="119" t="s">
        <v>316</v>
      </c>
      <c r="Y187" s="119" t="s">
        <v>231</v>
      </c>
      <c r="Z187" s="120" t="s">
        <v>4880</v>
      </c>
      <c r="AA187" s="121" t="s">
        <v>4881</v>
      </c>
      <c r="AB187" s="122" t="s">
        <v>1194</v>
      </c>
      <c r="AC187" s="123">
        <v>6</v>
      </c>
      <c r="AD187" s="124">
        <v>12.81</v>
      </c>
      <c r="AE187" s="200">
        <f t="shared" si="4"/>
        <v>76.86</v>
      </c>
      <c r="AR187" s="129" t="s">
        <v>235</v>
      </c>
      <c r="AT187" s="129" t="s">
        <v>231</v>
      </c>
      <c r="AU187" s="129" t="s">
        <v>76</v>
      </c>
      <c r="AY187" s="13" t="s">
        <v>228</v>
      </c>
      <c r="BE187" s="130">
        <f t="shared" si="15"/>
        <v>0</v>
      </c>
      <c r="BF187" s="130">
        <f t="shared" si="16"/>
        <v>76.86</v>
      </c>
      <c r="BG187" s="130">
        <f t="shared" si="17"/>
        <v>0</v>
      </c>
      <c r="BH187" s="130">
        <f t="shared" si="18"/>
        <v>0</v>
      </c>
      <c r="BI187" s="130">
        <f t="shared" si="19"/>
        <v>0</v>
      </c>
      <c r="BJ187" s="13" t="s">
        <v>76</v>
      </c>
      <c r="BK187" s="130">
        <f t="shared" si="20"/>
        <v>76.86</v>
      </c>
      <c r="BL187" s="13" t="s">
        <v>235</v>
      </c>
      <c r="BM187" s="129" t="s">
        <v>396</v>
      </c>
    </row>
    <row r="188" spans="2:65" s="1" customFormat="1" ht="16.5" customHeight="1" x14ac:dyDescent="0.2">
      <c r="B188" s="118"/>
      <c r="C188" s="119" t="s">
        <v>397</v>
      </c>
      <c r="D188" s="119" t="s">
        <v>231</v>
      </c>
      <c r="E188" s="120" t="s">
        <v>4882</v>
      </c>
      <c r="F188" s="121" t="s">
        <v>4883</v>
      </c>
      <c r="G188" s="122" t="s">
        <v>1194</v>
      </c>
      <c r="H188" s="123">
        <v>1</v>
      </c>
      <c r="I188" s="124">
        <v>15.26</v>
      </c>
      <c r="J188" s="124">
        <f t="shared" si="11"/>
        <v>15.26</v>
      </c>
      <c r="K188" s="121" t="s">
        <v>1</v>
      </c>
      <c r="L188" s="465"/>
      <c r="M188" s="125" t="s">
        <v>1</v>
      </c>
      <c r="N188" s="126" t="s">
        <v>32</v>
      </c>
      <c r="O188" s="127">
        <v>0</v>
      </c>
      <c r="P188" s="127">
        <f t="shared" si="12"/>
        <v>0</v>
      </c>
      <c r="Q188" s="127">
        <v>0</v>
      </c>
      <c r="R188" s="127">
        <f t="shared" si="13"/>
        <v>0</v>
      </c>
      <c r="S188" s="127">
        <v>0</v>
      </c>
      <c r="T188" s="128">
        <f t="shared" si="14"/>
        <v>0</v>
      </c>
      <c r="W188" s="199"/>
      <c r="X188" s="119" t="s">
        <v>397</v>
      </c>
      <c r="Y188" s="119" t="s">
        <v>231</v>
      </c>
      <c r="Z188" s="120" t="s">
        <v>4882</v>
      </c>
      <c r="AA188" s="121" t="s">
        <v>4883</v>
      </c>
      <c r="AB188" s="122" t="s">
        <v>1194</v>
      </c>
      <c r="AC188" s="123">
        <v>1</v>
      </c>
      <c r="AD188" s="124">
        <v>15.26</v>
      </c>
      <c r="AE188" s="200">
        <f t="shared" si="4"/>
        <v>15.26</v>
      </c>
      <c r="AR188" s="129" t="s">
        <v>235</v>
      </c>
      <c r="AT188" s="129" t="s">
        <v>231</v>
      </c>
      <c r="AU188" s="129" t="s">
        <v>76</v>
      </c>
      <c r="AY188" s="13" t="s">
        <v>228</v>
      </c>
      <c r="BE188" s="130">
        <f t="shared" si="15"/>
        <v>0</v>
      </c>
      <c r="BF188" s="130">
        <f t="shared" si="16"/>
        <v>15.26</v>
      </c>
      <c r="BG188" s="130">
        <f t="shared" si="17"/>
        <v>0</v>
      </c>
      <c r="BH188" s="130">
        <f t="shared" si="18"/>
        <v>0</v>
      </c>
      <c r="BI188" s="130">
        <f t="shared" si="19"/>
        <v>0</v>
      </c>
      <c r="BJ188" s="13" t="s">
        <v>76</v>
      </c>
      <c r="BK188" s="130">
        <f t="shared" si="20"/>
        <v>15.26</v>
      </c>
      <c r="BL188" s="13" t="s">
        <v>235</v>
      </c>
      <c r="BM188" s="129" t="s">
        <v>400</v>
      </c>
    </row>
    <row r="189" spans="2:65" s="1" customFormat="1" ht="24" customHeight="1" x14ac:dyDescent="0.2">
      <c r="B189" s="118"/>
      <c r="C189" s="119" t="s">
        <v>319</v>
      </c>
      <c r="D189" s="119" t="s">
        <v>231</v>
      </c>
      <c r="E189" s="120" t="s">
        <v>2682</v>
      </c>
      <c r="F189" s="121" t="s">
        <v>2683</v>
      </c>
      <c r="G189" s="122" t="s">
        <v>1194</v>
      </c>
      <c r="H189" s="123">
        <v>14</v>
      </c>
      <c r="I189" s="124">
        <v>75.7</v>
      </c>
      <c r="J189" s="124">
        <f t="shared" si="11"/>
        <v>1059.8</v>
      </c>
      <c r="K189" s="121" t="s">
        <v>1</v>
      </c>
      <c r="L189" s="465"/>
      <c r="M189" s="125" t="s">
        <v>1</v>
      </c>
      <c r="N189" s="126" t="s">
        <v>32</v>
      </c>
      <c r="O189" s="127">
        <v>0</v>
      </c>
      <c r="P189" s="127">
        <f t="shared" si="12"/>
        <v>0</v>
      </c>
      <c r="Q189" s="127">
        <v>0</v>
      </c>
      <c r="R189" s="127">
        <f t="shared" si="13"/>
        <v>0</v>
      </c>
      <c r="S189" s="127">
        <v>0</v>
      </c>
      <c r="T189" s="128">
        <f t="shared" si="14"/>
        <v>0</v>
      </c>
      <c r="W189" s="199"/>
      <c r="X189" s="119" t="s">
        <v>319</v>
      </c>
      <c r="Y189" s="119" t="s">
        <v>231</v>
      </c>
      <c r="Z189" s="120" t="s">
        <v>2682</v>
      </c>
      <c r="AA189" s="121" t="s">
        <v>2683</v>
      </c>
      <c r="AB189" s="122" t="s">
        <v>1194</v>
      </c>
      <c r="AC189" s="123">
        <v>14</v>
      </c>
      <c r="AD189" s="124">
        <v>75.7</v>
      </c>
      <c r="AE189" s="200">
        <f t="shared" si="4"/>
        <v>1059.8</v>
      </c>
      <c r="AR189" s="129" t="s">
        <v>235</v>
      </c>
      <c r="AT189" s="129" t="s">
        <v>231</v>
      </c>
      <c r="AU189" s="129" t="s">
        <v>76</v>
      </c>
      <c r="AY189" s="13" t="s">
        <v>228</v>
      </c>
      <c r="BE189" s="130">
        <f t="shared" si="15"/>
        <v>0</v>
      </c>
      <c r="BF189" s="130">
        <f t="shared" si="16"/>
        <v>1059.8</v>
      </c>
      <c r="BG189" s="130">
        <f t="shared" si="17"/>
        <v>0</v>
      </c>
      <c r="BH189" s="130">
        <f t="shared" si="18"/>
        <v>0</v>
      </c>
      <c r="BI189" s="130">
        <f t="shared" si="19"/>
        <v>0</v>
      </c>
      <c r="BJ189" s="13" t="s">
        <v>76</v>
      </c>
      <c r="BK189" s="130">
        <f t="shared" si="20"/>
        <v>1059.8</v>
      </c>
      <c r="BL189" s="13" t="s">
        <v>235</v>
      </c>
      <c r="BM189" s="129" t="s">
        <v>404</v>
      </c>
    </row>
    <row r="190" spans="2:65" s="1" customFormat="1" ht="36" customHeight="1" x14ac:dyDescent="0.2">
      <c r="B190" s="118"/>
      <c r="C190" s="119" t="s">
        <v>407</v>
      </c>
      <c r="D190" s="119" t="s">
        <v>231</v>
      </c>
      <c r="E190" s="120" t="s">
        <v>4884</v>
      </c>
      <c r="F190" s="121" t="s">
        <v>4885</v>
      </c>
      <c r="G190" s="122" t="s">
        <v>1194</v>
      </c>
      <c r="H190" s="123">
        <v>2</v>
      </c>
      <c r="I190" s="124">
        <v>110.53</v>
      </c>
      <c r="J190" s="124">
        <f t="shared" si="11"/>
        <v>221.06</v>
      </c>
      <c r="K190" s="121" t="s">
        <v>1</v>
      </c>
      <c r="L190" s="465"/>
      <c r="M190" s="125" t="s">
        <v>1</v>
      </c>
      <c r="N190" s="126" t="s">
        <v>32</v>
      </c>
      <c r="O190" s="127">
        <v>0</v>
      </c>
      <c r="P190" s="127">
        <f t="shared" si="12"/>
        <v>0</v>
      </c>
      <c r="Q190" s="127">
        <v>0</v>
      </c>
      <c r="R190" s="127">
        <f t="shared" si="13"/>
        <v>0</v>
      </c>
      <c r="S190" s="127">
        <v>0</v>
      </c>
      <c r="T190" s="128">
        <f t="shared" si="14"/>
        <v>0</v>
      </c>
      <c r="W190" s="199"/>
      <c r="X190" s="119" t="s">
        <v>407</v>
      </c>
      <c r="Y190" s="119" t="s">
        <v>231</v>
      </c>
      <c r="Z190" s="120" t="s">
        <v>4884</v>
      </c>
      <c r="AA190" s="121" t="s">
        <v>4885</v>
      </c>
      <c r="AB190" s="122" t="s">
        <v>1194</v>
      </c>
      <c r="AC190" s="123">
        <v>2</v>
      </c>
      <c r="AD190" s="124">
        <v>110.53</v>
      </c>
      <c r="AE190" s="200">
        <f t="shared" si="4"/>
        <v>221.06</v>
      </c>
      <c r="AR190" s="129" t="s">
        <v>235</v>
      </c>
      <c r="AT190" s="129" t="s">
        <v>231</v>
      </c>
      <c r="AU190" s="129" t="s">
        <v>76</v>
      </c>
      <c r="AY190" s="13" t="s">
        <v>228</v>
      </c>
      <c r="BE190" s="130">
        <f t="shared" si="15"/>
        <v>0</v>
      </c>
      <c r="BF190" s="130">
        <f t="shared" si="16"/>
        <v>221.06</v>
      </c>
      <c r="BG190" s="130">
        <f t="shared" si="17"/>
        <v>0</v>
      </c>
      <c r="BH190" s="130">
        <f t="shared" si="18"/>
        <v>0</v>
      </c>
      <c r="BI190" s="130">
        <f t="shared" si="19"/>
        <v>0</v>
      </c>
      <c r="BJ190" s="13" t="s">
        <v>76</v>
      </c>
      <c r="BK190" s="130">
        <f t="shared" si="20"/>
        <v>221.06</v>
      </c>
      <c r="BL190" s="13" t="s">
        <v>235</v>
      </c>
      <c r="BM190" s="129" t="s">
        <v>410</v>
      </c>
    </row>
    <row r="191" spans="2:65" s="1" customFormat="1" ht="48" customHeight="1" x14ac:dyDescent="0.2">
      <c r="B191" s="118"/>
      <c r="C191" s="119" t="s">
        <v>323</v>
      </c>
      <c r="D191" s="119" t="s">
        <v>231</v>
      </c>
      <c r="E191" s="120" t="s">
        <v>4144</v>
      </c>
      <c r="F191" s="121" t="s">
        <v>4145</v>
      </c>
      <c r="G191" s="122" t="s">
        <v>1194</v>
      </c>
      <c r="H191" s="123">
        <v>10</v>
      </c>
      <c r="I191" s="124">
        <v>228.72</v>
      </c>
      <c r="J191" s="124">
        <f t="shared" si="11"/>
        <v>2287.1999999999998</v>
      </c>
      <c r="K191" s="121" t="s">
        <v>1</v>
      </c>
      <c r="L191" s="465"/>
      <c r="M191" s="125" t="s">
        <v>1</v>
      </c>
      <c r="N191" s="126" t="s">
        <v>32</v>
      </c>
      <c r="O191" s="127">
        <v>0</v>
      </c>
      <c r="P191" s="127">
        <f t="shared" si="12"/>
        <v>0</v>
      </c>
      <c r="Q191" s="127">
        <v>0</v>
      </c>
      <c r="R191" s="127">
        <f t="shared" si="13"/>
        <v>0</v>
      </c>
      <c r="S191" s="127">
        <v>0</v>
      </c>
      <c r="T191" s="128">
        <f t="shared" si="14"/>
        <v>0</v>
      </c>
      <c r="W191" s="199"/>
      <c r="X191" s="119" t="s">
        <v>323</v>
      </c>
      <c r="Y191" s="119" t="s">
        <v>231</v>
      </c>
      <c r="Z191" s="120" t="s">
        <v>4144</v>
      </c>
      <c r="AA191" s="121" t="s">
        <v>4145</v>
      </c>
      <c r="AB191" s="122" t="s">
        <v>1194</v>
      </c>
      <c r="AC191" s="123">
        <v>10</v>
      </c>
      <c r="AD191" s="124">
        <v>228.72</v>
      </c>
      <c r="AE191" s="200">
        <f t="shared" si="4"/>
        <v>2287.1999999999998</v>
      </c>
      <c r="AR191" s="129" t="s">
        <v>235</v>
      </c>
      <c r="AT191" s="129" t="s">
        <v>231</v>
      </c>
      <c r="AU191" s="129" t="s">
        <v>76</v>
      </c>
      <c r="AY191" s="13" t="s">
        <v>228</v>
      </c>
      <c r="BE191" s="130">
        <f t="shared" si="15"/>
        <v>0</v>
      </c>
      <c r="BF191" s="130">
        <f t="shared" si="16"/>
        <v>2287.1999999999998</v>
      </c>
      <c r="BG191" s="130">
        <f t="shared" si="17"/>
        <v>0</v>
      </c>
      <c r="BH191" s="130">
        <f t="shared" si="18"/>
        <v>0</v>
      </c>
      <c r="BI191" s="130">
        <f t="shared" si="19"/>
        <v>0</v>
      </c>
      <c r="BJ191" s="13" t="s">
        <v>76</v>
      </c>
      <c r="BK191" s="130">
        <f t="shared" si="20"/>
        <v>2287.1999999999998</v>
      </c>
      <c r="BL191" s="13" t="s">
        <v>235</v>
      </c>
      <c r="BM191" s="129" t="s">
        <v>414</v>
      </c>
    </row>
    <row r="192" spans="2:65" s="1" customFormat="1" ht="60" customHeight="1" x14ac:dyDescent="0.2">
      <c r="B192" s="118"/>
      <c r="C192" s="119" t="s">
        <v>415</v>
      </c>
      <c r="D192" s="119" t="s">
        <v>231</v>
      </c>
      <c r="E192" s="120" t="s">
        <v>4886</v>
      </c>
      <c r="F192" s="121" t="s">
        <v>4887</v>
      </c>
      <c r="G192" s="122" t="s">
        <v>1194</v>
      </c>
      <c r="H192" s="123">
        <v>7</v>
      </c>
      <c r="I192" s="124">
        <v>157.9</v>
      </c>
      <c r="J192" s="124">
        <f t="shared" si="11"/>
        <v>1105.3</v>
      </c>
      <c r="K192" s="121" t="s">
        <v>1</v>
      </c>
      <c r="L192" s="465"/>
      <c r="M192" s="125" t="s">
        <v>1</v>
      </c>
      <c r="N192" s="126" t="s">
        <v>32</v>
      </c>
      <c r="O192" s="127">
        <v>0</v>
      </c>
      <c r="P192" s="127">
        <f t="shared" si="12"/>
        <v>0</v>
      </c>
      <c r="Q192" s="127">
        <v>0</v>
      </c>
      <c r="R192" s="127">
        <f t="shared" si="13"/>
        <v>0</v>
      </c>
      <c r="S192" s="127">
        <v>0</v>
      </c>
      <c r="T192" s="128">
        <f t="shared" si="14"/>
        <v>0</v>
      </c>
      <c r="W192" s="199"/>
      <c r="X192" s="119" t="s">
        <v>415</v>
      </c>
      <c r="Y192" s="119" t="s">
        <v>231</v>
      </c>
      <c r="Z192" s="120" t="s">
        <v>4886</v>
      </c>
      <c r="AA192" s="121" t="s">
        <v>4887</v>
      </c>
      <c r="AB192" s="122" t="s">
        <v>1194</v>
      </c>
      <c r="AC192" s="123">
        <v>7</v>
      </c>
      <c r="AD192" s="124">
        <v>157.9</v>
      </c>
      <c r="AE192" s="200">
        <f t="shared" si="4"/>
        <v>1105.3</v>
      </c>
      <c r="AR192" s="129" t="s">
        <v>235</v>
      </c>
      <c r="AT192" s="129" t="s">
        <v>231</v>
      </c>
      <c r="AU192" s="129" t="s">
        <v>76</v>
      </c>
      <c r="AY192" s="13" t="s">
        <v>228</v>
      </c>
      <c r="BE192" s="130">
        <f t="shared" si="15"/>
        <v>0</v>
      </c>
      <c r="BF192" s="130">
        <f t="shared" si="16"/>
        <v>1105.3</v>
      </c>
      <c r="BG192" s="130">
        <f t="shared" si="17"/>
        <v>0</v>
      </c>
      <c r="BH192" s="130">
        <f t="shared" si="18"/>
        <v>0</v>
      </c>
      <c r="BI192" s="130">
        <f t="shared" si="19"/>
        <v>0</v>
      </c>
      <c r="BJ192" s="13" t="s">
        <v>76</v>
      </c>
      <c r="BK192" s="130">
        <f t="shared" si="20"/>
        <v>1105.3</v>
      </c>
      <c r="BL192" s="13" t="s">
        <v>235</v>
      </c>
      <c r="BM192" s="129" t="s">
        <v>418</v>
      </c>
    </row>
    <row r="193" spans="2:65" s="1" customFormat="1" ht="24" customHeight="1" x14ac:dyDescent="0.2">
      <c r="B193" s="118"/>
      <c r="C193" s="119" t="s">
        <v>326</v>
      </c>
      <c r="D193" s="119" t="s">
        <v>231</v>
      </c>
      <c r="E193" s="120" t="s">
        <v>4888</v>
      </c>
      <c r="F193" s="121" t="s">
        <v>4889</v>
      </c>
      <c r="G193" s="122" t="s">
        <v>1194</v>
      </c>
      <c r="H193" s="123">
        <v>9</v>
      </c>
      <c r="I193" s="124">
        <v>9.8699999999999992</v>
      </c>
      <c r="J193" s="124">
        <f t="shared" si="11"/>
        <v>88.83</v>
      </c>
      <c r="K193" s="121" t="s">
        <v>1</v>
      </c>
      <c r="L193" s="465"/>
      <c r="M193" s="125" t="s">
        <v>1</v>
      </c>
      <c r="N193" s="126" t="s">
        <v>32</v>
      </c>
      <c r="O193" s="127">
        <v>0</v>
      </c>
      <c r="P193" s="127">
        <f t="shared" si="12"/>
        <v>0</v>
      </c>
      <c r="Q193" s="127">
        <v>0</v>
      </c>
      <c r="R193" s="127">
        <f t="shared" si="13"/>
        <v>0</v>
      </c>
      <c r="S193" s="127">
        <v>0</v>
      </c>
      <c r="T193" s="128">
        <f t="shared" si="14"/>
        <v>0</v>
      </c>
      <c r="W193" s="199"/>
      <c r="X193" s="119" t="s">
        <v>326</v>
      </c>
      <c r="Y193" s="119" t="s">
        <v>231</v>
      </c>
      <c r="Z193" s="120" t="s">
        <v>4888</v>
      </c>
      <c r="AA193" s="121" t="s">
        <v>4889</v>
      </c>
      <c r="AB193" s="122" t="s">
        <v>1194</v>
      </c>
      <c r="AC193" s="123">
        <v>9</v>
      </c>
      <c r="AD193" s="124">
        <v>9.8699999999999992</v>
      </c>
      <c r="AE193" s="200">
        <f t="shared" si="4"/>
        <v>88.83</v>
      </c>
      <c r="AR193" s="129" t="s">
        <v>235</v>
      </c>
      <c r="AT193" s="129" t="s">
        <v>231</v>
      </c>
      <c r="AU193" s="129" t="s">
        <v>76</v>
      </c>
      <c r="AY193" s="13" t="s">
        <v>228</v>
      </c>
      <c r="BE193" s="130">
        <f t="shared" si="15"/>
        <v>0</v>
      </c>
      <c r="BF193" s="130">
        <f t="shared" si="16"/>
        <v>88.83</v>
      </c>
      <c r="BG193" s="130">
        <f t="shared" si="17"/>
        <v>0</v>
      </c>
      <c r="BH193" s="130">
        <f t="shared" si="18"/>
        <v>0</v>
      </c>
      <c r="BI193" s="130">
        <f t="shared" si="19"/>
        <v>0</v>
      </c>
      <c r="BJ193" s="13" t="s">
        <v>76</v>
      </c>
      <c r="BK193" s="130">
        <f t="shared" si="20"/>
        <v>88.83</v>
      </c>
      <c r="BL193" s="13" t="s">
        <v>235</v>
      </c>
      <c r="BM193" s="129" t="s">
        <v>421</v>
      </c>
    </row>
    <row r="194" spans="2:65" s="1" customFormat="1" ht="24" customHeight="1" x14ac:dyDescent="0.2">
      <c r="B194" s="118"/>
      <c r="C194" s="119" t="s">
        <v>422</v>
      </c>
      <c r="D194" s="119" t="s">
        <v>231</v>
      </c>
      <c r="E194" s="120" t="s">
        <v>4890</v>
      </c>
      <c r="F194" s="121" t="s">
        <v>4891</v>
      </c>
      <c r="G194" s="122" t="s">
        <v>1194</v>
      </c>
      <c r="H194" s="123">
        <v>2</v>
      </c>
      <c r="I194" s="124">
        <v>135.13999999999999</v>
      </c>
      <c r="J194" s="124">
        <f t="shared" si="11"/>
        <v>270.27999999999997</v>
      </c>
      <c r="K194" s="121" t="s">
        <v>1</v>
      </c>
      <c r="L194" s="465"/>
      <c r="M194" s="125" t="s">
        <v>1</v>
      </c>
      <c r="N194" s="126" t="s">
        <v>32</v>
      </c>
      <c r="O194" s="127">
        <v>0</v>
      </c>
      <c r="P194" s="127">
        <f t="shared" si="12"/>
        <v>0</v>
      </c>
      <c r="Q194" s="127">
        <v>0</v>
      </c>
      <c r="R194" s="127">
        <f t="shared" si="13"/>
        <v>0</v>
      </c>
      <c r="S194" s="127">
        <v>0</v>
      </c>
      <c r="T194" s="128">
        <f t="shared" si="14"/>
        <v>0</v>
      </c>
      <c r="W194" s="199"/>
      <c r="X194" s="119" t="s">
        <v>422</v>
      </c>
      <c r="Y194" s="119" t="s">
        <v>231</v>
      </c>
      <c r="Z194" s="120" t="s">
        <v>4890</v>
      </c>
      <c r="AA194" s="121" t="s">
        <v>4891</v>
      </c>
      <c r="AB194" s="122" t="s">
        <v>1194</v>
      </c>
      <c r="AC194" s="123">
        <v>2</v>
      </c>
      <c r="AD194" s="124">
        <v>135.13999999999999</v>
      </c>
      <c r="AE194" s="200">
        <f t="shared" si="4"/>
        <v>270.27999999999997</v>
      </c>
      <c r="AR194" s="129" t="s">
        <v>235</v>
      </c>
      <c r="AT194" s="129" t="s">
        <v>231</v>
      </c>
      <c r="AU194" s="129" t="s">
        <v>76</v>
      </c>
      <c r="AY194" s="13" t="s">
        <v>228</v>
      </c>
      <c r="BE194" s="130">
        <f t="shared" si="15"/>
        <v>0</v>
      </c>
      <c r="BF194" s="130">
        <f t="shared" si="16"/>
        <v>270.27999999999997</v>
      </c>
      <c r="BG194" s="130">
        <f t="shared" si="17"/>
        <v>0</v>
      </c>
      <c r="BH194" s="130">
        <f t="shared" si="18"/>
        <v>0</v>
      </c>
      <c r="BI194" s="130">
        <f t="shared" si="19"/>
        <v>0</v>
      </c>
      <c r="BJ194" s="13" t="s">
        <v>76</v>
      </c>
      <c r="BK194" s="130">
        <f t="shared" si="20"/>
        <v>270.27999999999997</v>
      </c>
      <c r="BL194" s="13" t="s">
        <v>235</v>
      </c>
      <c r="BM194" s="129" t="s">
        <v>425</v>
      </c>
    </row>
    <row r="195" spans="2:65" s="1" customFormat="1" ht="24" customHeight="1" x14ac:dyDescent="0.2">
      <c r="B195" s="118"/>
      <c r="C195" s="119" t="s">
        <v>330</v>
      </c>
      <c r="D195" s="119" t="s">
        <v>231</v>
      </c>
      <c r="E195" s="120" t="s">
        <v>4892</v>
      </c>
      <c r="F195" s="121" t="s">
        <v>4893</v>
      </c>
      <c r="G195" s="122" t="s">
        <v>1194</v>
      </c>
      <c r="H195" s="123">
        <v>4</v>
      </c>
      <c r="I195" s="124">
        <v>40.64</v>
      </c>
      <c r="J195" s="124">
        <f t="shared" si="11"/>
        <v>162.56</v>
      </c>
      <c r="K195" s="121" t="s">
        <v>1</v>
      </c>
      <c r="L195" s="465"/>
      <c r="M195" s="125" t="s">
        <v>1</v>
      </c>
      <c r="N195" s="126" t="s">
        <v>32</v>
      </c>
      <c r="O195" s="127">
        <v>0</v>
      </c>
      <c r="P195" s="127">
        <f t="shared" si="12"/>
        <v>0</v>
      </c>
      <c r="Q195" s="127">
        <v>0</v>
      </c>
      <c r="R195" s="127">
        <f t="shared" si="13"/>
        <v>0</v>
      </c>
      <c r="S195" s="127">
        <v>0</v>
      </c>
      <c r="T195" s="128">
        <f t="shared" si="14"/>
        <v>0</v>
      </c>
      <c r="W195" s="199"/>
      <c r="X195" s="119" t="s">
        <v>330</v>
      </c>
      <c r="Y195" s="119" t="s">
        <v>231</v>
      </c>
      <c r="Z195" s="120" t="s">
        <v>4892</v>
      </c>
      <c r="AA195" s="121" t="s">
        <v>4893</v>
      </c>
      <c r="AB195" s="122" t="s">
        <v>1194</v>
      </c>
      <c r="AC195" s="123">
        <v>4</v>
      </c>
      <c r="AD195" s="124">
        <v>40.64</v>
      </c>
      <c r="AE195" s="200">
        <f t="shared" si="4"/>
        <v>162.56</v>
      </c>
      <c r="AR195" s="129" t="s">
        <v>235</v>
      </c>
      <c r="AT195" s="129" t="s">
        <v>231</v>
      </c>
      <c r="AU195" s="129" t="s">
        <v>76</v>
      </c>
      <c r="AY195" s="13" t="s">
        <v>228</v>
      </c>
      <c r="BE195" s="130">
        <f t="shared" si="15"/>
        <v>0</v>
      </c>
      <c r="BF195" s="130">
        <f t="shared" si="16"/>
        <v>162.56</v>
      </c>
      <c r="BG195" s="130">
        <f t="shared" si="17"/>
        <v>0</v>
      </c>
      <c r="BH195" s="130">
        <f t="shared" si="18"/>
        <v>0</v>
      </c>
      <c r="BI195" s="130">
        <f t="shared" si="19"/>
        <v>0</v>
      </c>
      <c r="BJ195" s="13" t="s">
        <v>76</v>
      </c>
      <c r="BK195" s="130">
        <f t="shared" si="20"/>
        <v>162.56</v>
      </c>
      <c r="BL195" s="13" t="s">
        <v>235</v>
      </c>
      <c r="BM195" s="129" t="s">
        <v>428</v>
      </c>
    </row>
    <row r="196" spans="2:65" s="1" customFormat="1" ht="24" customHeight="1" x14ac:dyDescent="0.2">
      <c r="B196" s="118"/>
      <c r="C196" s="119" t="s">
        <v>429</v>
      </c>
      <c r="D196" s="119" t="s">
        <v>231</v>
      </c>
      <c r="E196" s="120" t="s">
        <v>4894</v>
      </c>
      <c r="F196" s="121" t="s">
        <v>4895</v>
      </c>
      <c r="G196" s="122" t="s">
        <v>1194</v>
      </c>
      <c r="H196" s="123">
        <v>2</v>
      </c>
      <c r="I196" s="124">
        <v>47.8</v>
      </c>
      <c r="J196" s="124">
        <f t="shared" si="11"/>
        <v>95.6</v>
      </c>
      <c r="K196" s="121" t="s">
        <v>1</v>
      </c>
      <c r="L196" s="465"/>
      <c r="M196" s="125" t="s">
        <v>1</v>
      </c>
      <c r="N196" s="126" t="s">
        <v>32</v>
      </c>
      <c r="O196" s="127">
        <v>0</v>
      </c>
      <c r="P196" s="127">
        <f t="shared" si="12"/>
        <v>0</v>
      </c>
      <c r="Q196" s="127">
        <v>0</v>
      </c>
      <c r="R196" s="127">
        <f t="shared" si="13"/>
        <v>0</v>
      </c>
      <c r="S196" s="127">
        <v>0</v>
      </c>
      <c r="T196" s="128">
        <f t="shared" si="14"/>
        <v>0</v>
      </c>
      <c r="W196" s="199"/>
      <c r="X196" s="119" t="s">
        <v>429</v>
      </c>
      <c r="Y196" s="119" t="s">
        <v>231</v>
      </c>
      <c r="Z196" s="120" t="s">
        <v>4894</v>
      </c>
      <c r="AA196" s="121" t="s">
        <v>4895</v>
      </c>
      <c r="AB196" s="122" t="s">
        <v>1194</v>
      </c>
      <c r="AC196" s="123">
        <v>2</v>
      </c>
      <c r="AD196" s="124">
        <v>47.8</v>
      </c>
      <c r="AE196" s="200">
        <f t="shared" si="4"/>
        <v>95.6</v>
      </c>
      <c r="AR196" s="129" t="s">
        <v>235</v>
      </c>
      <c r="AT196" s="129" t="s">
        <v>231</v>
      </c>
      <c r="AU196" s="129" t="s">
        <v>76</v>
      </c>
      <c r="AY196" s="13" t="s">
        <v>228</v>
      </c>
      <c r="BE196" s="130">
        <f t="shared" si="15"/>
        <v>0</v>
      </c>
      <c r="BF196" s="130">
        <f t="shared" si="16"/>
        <v>95.6</v>
      </c>
      <c r="BG196" s="130">
        <f t="shared" si="17"/>
        <v>0</v>
      </c>
      <c r="BH196" s="130">
        <f t="shared" si="18"/>
        <v>0</v>
      </c>
      <c r="BI196" s="130">
        <f t="shared" si="19"/>
        <v>0</v>
      </c>
      <c r="BJ196" s="13" t="s">
        <v>76</v>
      </c>
      <c r="BK196" s="130">
        <f t="shared" si="20"/>
        <v>95.6</v>
      </c>
      <c r="BL196" s="13" t="s">
        <v>235</v>
      </c>
      <c r="BM196" s="129" t="s">
        <v>432</v>
      </c>
    </row>
    <row r="197" spans="2:65" s="1" customFormat="1" ht="24" customHeight="1" x14ac:dyDescent="0.2">
      <c r="B197" s="118"/>
      <c r="C197" s="119" t="s">
        <v>333</v>
      </c>
      <c r="D197" s="119" t="s">
        <v>231</v>
      </c>
      <c r="E197" s="120" t="s">
        <v>4896</v>
      </c>
      <c r="F197" s="121" t="s">
        <v>4897</v>
      </c>
      <c r="G197" s="122" t="s">
        <v>1194</v>
      </c>
      <c r="H197" s="123">
        <v>2</v>
      </c>
      <c r="I197" s="124">
        <v>88.82</v>
      </c>
      <c r="J197" s="124">
        <f t="shared" si="11"/>
        <v>177.64</v>
      </c>
      <c r="K197" s="121" t="s">
        <v>1</v>
      </c>
      <c r="L197" s="465"/>
      <c r="M197" s="125" t="s">
        <v>1</v>
      </c>
      <c r="N197" s="126" t="s">
        <v>32</v>
      </c>
      <c r="O197" s="127">
        <v>0</v>
      </c>
      <c r="P197" s="127">
        <f t="shared" si="12"/>
        <v>0</v>
      </c>
      <c r="Q197" s="127">
        <v>0</v>
      </c>
      <c r="R197" s="127">
        <f t="shared" si="13"/>
        <v>0</v>
      </c>
      <c r="S197" s="127">
        <v>0</v>
      </c>
      <c r="T197" s="128">
        <f t="shared" si="14"/>
        <v>0</v>
      </c>
      <c r="W197" s="199"/>
      <c r="X197" s="119" t="s">
        <v>333</v>
      </c>
      <c r="Y197" s="119" t="s">
        <v>231</v>
      </c>
      <c r="Z197" s="120" t="s">
        <v>4896</v>
      </c>
      <c r="AA197" s="121" t="s">
        <v>4897</v>
      </c>
      <c r="AB197" s="122" t="s">
        <v>1194</v>
      </c>
      <c r="AC197" s="123">
        <v>2</v>
      </c>
      <c r="AD197" s="124">
        <v>88.82</v>
      </c>
      <c r="AE197" s="200">
        <f t="shared" si="4"/>
        <v>177.64</v>
      </c>
      <c r="AR197" s="129" t="s">
        <v>235</v>
      </c>
      <c r="AT197" s="129" t="s">
        <v>231</v>
      </c>
      <c r="AU197" s="129" t="s">
        <v>76</v>
      </c>
      <c r="AY197" s="13" t="s">
        <v>228</v>
      </c>
      <c r="BE197" s="130">
        <f t="shared" si="15"/>
        <v>0</v>
      </c>
      <c r="BF197" s="130">
        <f t="shared" si="16"/>
        <v>177.64</v>
      </c>
      <c r="BG197" s="130">
        <f t="shared" si="17"/>
        <v>0</v>
      </c>
      <c r="BH197" s="130">
        <f t="shared" si="18"/>
        <v>0</v>
      </c>
      <c r="BI197" s="130">
        <f t="shared" si="19"/>
        <v>0</v>
      </c>
      <c r="BJ197" s="13" t="s">
        <v>76</v>
      </c>
      <c r="BK197" s="130">
        <f t="shared" si="20"/>
        <v>177.64</v>
      </c>
      <c r="BL197" s="13" t="s">
        <v>235</v>
      </c>
      <c r="BM197" s="129" t="s">
        <v>435</v>
      </c>
    </row>
    <row r="198" spans="2:65" s="1" customFormat="1" ht="24" customHeight="1" x14ac:dyDescent="0.2">
      <c r="B198" s="118"/>
      <c r="C198" s="119" t="s">
        <v>438</v>
      </c>
      <c r="D198" s="119" t="s">
        <v>231</v>
      </c>
      <c r="E198" s="120" t="s">
        <v>4898</v>
      </c>
      <c r="F198" s="121" t="s">
        <v>4899</v>
      </c>
      <c r="G198" s="122" t="s">
        <v>1194</v>
      </c>
      <c r="H198" s="123">
        <v>2</v>
      </c>
      <c r="I198" s="124">
        <v>111.46</v>
      </c>
      <c r="J198" s="124">
        <f t="shared" si="11"/>
        <v>222.92</v>
      </c>
      <c r="K198" s="121" t="s">
        <v>1</v>
      </c>
      <c r="L198" s="465"/>
      <c r="M198" s="125" t="s">
        <v>1</v>
      </c>
      <c r="N198" s="126" t="s">
        <v>32</v>
      </c>
      <c r="O198" s="127">
        <v>0</v>
      </c>
      <c r="P198" s="127">
        <f t="shared" si="12"/>
        <v>0</v>
      </c>
      <c r="Q198" s="127">
        <v>0</v>
      </c>
      <c r="R198" s="127">
        <f t="shared" si="13"/>
        <v>0</v>
      </c>
      <c r="S198" s="127">
        <v>0</v>
      </c>
      <c r="T198" s="128">
        <f t="shared" si="14"/>
        <v>0</v>
      </c>
      <c r="W198" s="199"/>
      <c r="X198" s="119" t="s">
        <v>438</v>
      </c>
      <c r="Y198" s="119" t="s">
        <v>231</v>
      </c>
      <c r="Z198" s="120" t="s">
        <v>4898</v>
      </c>
      <c r="AA198" s="121" t="s">
        <v>4899</v>
      </c>
      <c r="AB198" s="122" t="s">
        <v>1194</v>
      </c>
      <c r="AC198" s="123">
        <v>2</v>
      </c>
      <c r="AD198" s="124">
        <v>111.46</v>
      </c>
      <c r="AE198" s="200">
        <f t="shared" si="4"/>
        <v>222.92</v>
      </c>
      <c r="AR198" s="129" t="s">
        <v>235</v>
      </c>
      <c r="AT198" s="129" t="s">
        <v>231</v>
      </c>
      <c r="AU198" s="129" t="s">
        <v>76</v>
      </c>
      <c r="AY198" s="13" t="s">
        <v>228</v>
      </c>
      <c r="BE198" s="130">
        <f t="shared" si="15"/>
        <v>0</v>
      </c>
      <c r="BF198" s="130">
        <f t="shared" si="16"/>
        <v>222.92</v>
      </c>
      <c r="BG198" s="130">
        <f t="shared" si="17"/>
        <v>0</v>
      </c>
      <c r="BH198" s="130">
        <f t="shared" si="18"/>
        <v>0</v>
      </c>
      <c r="BI198" s="130">
        <f t="shared" si="19"/>
        <v>0</v>
      </c>
      <c r="BJ198" s="13" t="s">
        <v>76</v>
      </c>
      <c r="BK198" s="130">
        <f t="shared" si="20"/>
        <v>222.92</v>
      </c>
      <c r="BL198" s="13" t="s">
        <v>235</v>
      </c>
      <c r="BM198" s="129" t="s">
        <v>441</v>
      </c>
    </row>
    <row r="199" spans="2:65" s="1" customFormat="1" ht="24" customHeight="1" x14ac:dyDescent="0.2">
      <c r="B199" s="118"/>
      <c r="C199" s="119" t="s">
        <v>337</v>
      </c>
      <c r="D199" s="119" t="s">
        <v>231</v>
      </c>
      <c r="E199" s="120" t="s">
        <v>4900</v>
      </c>
      <c r="F199" s="121" t="s">
        <v>4901</v>
      </c>
      <c r="G199" s="122" t="s">
        <v>1194</v>
      </c>
      <c r="H199" s="123">
        <v>2</v>
      </c>
      <c r="I199" s="124">
        <v>138.16</v>
      </c>
      <c r="J199" s="124">
        <f t="shared" si="11"/>
        <v>276.32</v>
      </c>
      <c r="K199" s="121" t="s">
        <v>1</v>
      </c>
      <c r="L199" s="465"/>
      <c r="M199" s="125" t="s">
        <v>1</v>
      </c>
      <c r="N199" s="126" t="s">
        <v>32</v>
      </c>
      <c r="O199" s="127">
        <v>0</v>
      </c>
      <c r="P199" s="127">
        <f t="shared" si="12"/>
        <v>0</v>
      </c>
      <c r="Q199" s="127">
        <v>0</v>
      </c>
      <c r="R199" s="127">
        <f t="shared" si="13"/>
        <v>0</v>
      </c>
      <c r="S199" s="127">
        <v>0</v>
      </c>
      <c r="T199" s="128">
        <f t="shared" si="14"/>
        <v>0</v>
      </c>
      <c r="W199" s="199"/>
      <c r="X199" s="119" t="s">
        <v>337</v>
      </c>
      <c r="Y199" s="119" t="s">
        <v>231</v>
      </c>
      <c r="Z199" s="120" t="s">
        <v>4900</v>
      </c>
      <c r="AA199" s="121" t="s">
        <v>4901</v>
      </c>
      <c r="AB199" s="122" t="s">
        <v>1194</v>
      </c>
      <c r="AC199" s="123">
        <v>2</v>
      </c>
      <c r="AD199" s="124">
        <v>138.16</v>
      </c>
      <c r="AE199" s="200">
        <f t="shared" si="4"/>
        <v>276.32</v>
      </c>
      <c r="AR199" s="129" t="s">
        <v>235</v>
      </c>
      <c r="AT199" s="129" t="s">
        <v>231</v>
      </c>
      <c r="AU199" s="129" t="s">
        <v>76</v>
      </c>
      <c r="AY199" s="13" t="s">
        <v>228</v>
      </c>
      <c r="BE199" s="130">
        <f t="shared" si="15"/>
        <v>0</v>
      </c>
      <c r="BF199" s="130">
        <f t="shared" si="16"/>
        <v>276.32</v>
      </c>
      <c r="BG199" s="130">
        <f t="shared" si="17"/>
        <v>0</v>
      </c>
      <c r="BH199" s="130">
        <f t="shared" si="18"/>
        <v>0</v>
      </c>
      <c r="BI199" s="130">
        <f t="shared" si="19"/>
        <v>0</v>
      </c>
      <c r="BJ199" s="13" t="s">
        <v>76</v>
      </c>
      <c r="BK199" s="130">
        <f t="shared" si="20"/>
        <v>276.32</v>
      </c>
      <c r="BL199" s="13" t="s">
        <v>235</v>
      </c>
      <c r="BM199" s="129" t="s">
        <v>444</v>
      </c>
    </row>
    <row r="200" spans="2:65" s="1" customFormat="1" ht="24" customHeight="1" x14ac:dyDescent="0.2">
      <c r="B200" s="118"/>
      <c r="C200" s="119" t="s">
        <v>445</v>
      </c>
      <c r="D200" s="119" t="s">
        <v>231</v>
      </c>
      <c r="E200" s="120" t="s">
        <v>4902</v>
      </c>
      <c r="F200" s="121" t="s">
        <v>4903</v>
      </c>
      <c r="G200" s="122" t="s">
        <v>292</v>
      </c>
      <c r="H200" s="123">
        <v>15</v>
      </c>
      <c r="I200" s="124">
        <v>8.65</v>
      </c>
      <c r="J200" s="124">
        <f t="shared" si="11"/>
        <v>129.75</v>
      </c>
      <c r="K200" s="121" t="s">
        <v>1</v>
      </c>
      <c r="L200" s="465"/>
      <c r="M200" s="125" t="s">
        <v>1</v>
      </c>
      <c r="N200" s="126" t="s">
        <v>32</v>
      </c>
      <c r="O200" s="127">
        <v>0</v>
      </c>
      <c r="P200" s="127">
        <f t="shared" si="12"/>
        <v>0</v>
      </c>
      <c r="Q200" s="127">
        <v>0</v>
      </c>
      <c r="R200" s="127">
        <f t="shared" si="13"/>
        <v>0</v>
      </c>
      <c r="S200" s="127">
        <v>0</v>
      </c>
      <c r="T200" s="128">
        <f t="shared" si="14"/>
        <v>0</v>
      </c>
      <c r="W200" s="199"/>
      <c r="X200" s="119" t="s">
        <v>445</v>
      </c>
      <c r="Y200" s="119" t="s">
        <v>231</v>
      </c>
      <c r="Z200" s="120" t="s">
        <v>4902</v>
      </c>
      <c r="AA200" s="121" t="s">
        <v>4903</v>
      </c>
      <c r="AB200" s="122" t="s">
        <v>292</v>
      </c>
      <c r="AC200" s="123">
        <v>15</v>
      </c>
      <c r="AD200" s="124">
        <v>8.65</v>
      </c>
      <c r="AE200" s="200">
        <f t="shared" si="4"/>
        <v>129.75</v>
      </c>
      <c r="AR200" s="129" t="s">
        <v>235</v>
      </c>
      <c r="AT200" s="129" t="s">
        <v>231</v>
      </c>
      <c r="AU200" s="129" t="s">
        <v>76</v>
      </c>
      <c r="AY200" s="13" t="s">
        <v>228</v>
      </c>
      <c r="BE200" s="130">
        <f t="shared" si="15"/>
        <v>0</v>
      </c>
      <c r="BF200" s="130">
        <f t="shared" si="16"/>
        <v>129.75</v>
      </c>
      <c r="BG200" s="130">
        <f t="shared" si="17"/>
        <v>0</v>
      </c>
      <c r="BH200" s="130">
        <f t="shared" si="18"/>
        <v>0</v>
      </c>
      <c r="BI200" s="130">
        <f t="shared" si="19"/>
        <v>0</v>
      </c>
      <c r="BJ200" s="13" t="s">
        <v>76</v>
      </c>
      <c r="BK200" s="130">
        <f t="shared" si="20"/>
        <v>129.75</v>
      </c>
      <c r="BL200" s="13" t="s">
        <v>235</v>
      </c>
      <c r="BM200" s="129" t="s">
        <v>448</v>
      </c>
    </row>
    <row r="201" spans="2:65" s="1" customFormat="1" ht="24" customHeight="1" x14ac:dyDescent="0.2">
      <c r="B201" s="118"/>
      <c r="C201" s="119" t="s">
        <v>340</v>
      </c>
      <c r="D201" s="119" t="s">
        <v>231</v>
      </c>
      <c r="E201" s="120" t="s">
        <v>4904</v>
      </c>
      <c r="F201" s="121" t="s">
        <v>4905</v>
      </c>
      <c r="G201" s="122" t="s">
        <v>292</v>
      </c>
      <c r="H201" s="123">
        <v>10</v>
      </c>
      <c r="I201" s="124">
        <v>11.02</v>
      </c>
      <c r="J201" s="124">
        <f t="shared" si="11"/>
        <v>110.2</v>
      </c>
      <c r="K201" s="121" t="s">
        <v>1</v>
      </c>
      <c r="L201" s="465"/>
      <c r="M201" s="125" t="s">
        <v>1</v>
      </c>
      <c r="N201" s="126" t="s">
        <v>32</v>
      </c>
      <c r="O201" s="127">
        <v>0</v>
      </c>
      <c r="P201" s="127">
        <f t="shared" si="12"/>
        <v>0</v>
      </c>
      <c r="Q201" s="127">
        <v>0</v>
      </c>
      <c r="R201" s="127">
        <f t="shared" si="13"/>
        <v>0</v>
      </c>
      <c r="S201" s="127">
        <v>0</v>
      </c>
      <c r="T201" s="128">
        <f t="shared" si="14"/>
        <v>0</v>
      </c>
      <c r="W201" s="199"/>
      <c r="X201" s="119" t="s">
        <v>340</v>
      </c>
      <c r="Y201" s="119" t="s">
        <v>231</v>
      </c>
      <c r="Z201" s="120" t="s">
        <v>4904</v>
      </c>
      <c r="AA201" s="121" t="s">
        <v>4905</v>
      </c>
      <c r="AB201" s="122" t="s">
        <v>292</v>
      </c>
      <c r="AC201" s="123">
        <v>10</v>
      </c>
      <c r="AD201" s="124">
        <v>11.02</v>
      </c>
      <c r="AE201" s="200">
        <f t="shared" si="4"/>
        <v>110.2</v>
      </c>
      <c r="AR201" s="129" t="s">
        <v>235</v>
      </c>
      <c r="AT201" s="129" t="s">
        <v>231</v>
      </c>
      <c r="AU201" s="129" t="s">
        <v>76</v>
      </c>
      <c r="AY201" s="13" t="s">
        <v>228</v>
      </c>
      <c r="BE201" s="130">
        <f t="shared" si="15"/>
        <v>0</v>
      </c>
      <c r="BF201" s="130">
        <f t="shared" si="16"/>
        <v>110.2</v>
      </c>
      <c r="BG201" s="130">
        <f t="shared" si="17"/>
        <v>0</v>
      </c>
      <c r="BH201" s="130">
        <f t="shared" si="18"/>
        <v>0</v>
      </c>
      <c r="BI201" s="130">
        <f t="shared" si="19"/>
        <v>0</v>
      </c>
      <c r="BJ201" s="13" t="s">
        <v>76</v>
      </c>
      <c r="BK201" s="130">
        <f t="shared" si="20"/>
        <v>110.2</v>
      </c>
      <c r="BL201" s="13" t="s">
        <v>235</v>
      </c>
      <c r="BM201" s="129" t="s">
        <v>451</v>
      </c>
    </row>
    <row r="202" spans="2:65" s="1" customFormat="1" ht="36" customHeight="1" x14ac:dyDescent="0.2">
      <c r="B202" s="118"/>
      <c r="C202" s="119" t="s">
        <v>452</v>
      </c>
      <c r="D202" s="119" t="s">
        <v>231</v>
      </c>
      <c r="E202" s="120" t="s">
        <v>4906</v>
      </c>
      <c r="F202" s="121" t="s">
        <v>4907</v>
      </c>
      <c r="G202" s="122" t="s">
        <v>292</v>
      </c>
      <c r="H202" s="123">
        <v>46</v>
      </c>
      <c r="I202" s="124">
        <v>15.73</v>
      </c>
      <c r="J202" s="124">
        <f t="shared" si="11"/>
        <v>723.58</v>
      </c>
      <c r="K202" s="121" t="s">
        <v>1</v>
      </c>
      <c r="L202" s="465"/>
      <c r="M202" s="125" t="s">
        <v>1</v>
      </c>
      <c r="N202" s="126" t="s">
        <v>32</v>
      </c>
      <c r="O202" s="127">
        <v>0</v>
      </c>
      <c r="P202" s="127">
        <f t="shared" si="12"/>
        <v>0</v>
      </c>
      <c r="Q202" s="127">
        <v>0</v>
      </c>
      <c r="R202" s="127">
        <f t="shared" si="13"/>
        <v>0</v>
      </c>
      <c r="S202" s="127">
        <v>0</v>
      </c>
      <c r="T202" s="128">
        <f t="shared" si="14"/>
        <v>0</v>
      </c>
      <c r="W202" s="199"/>
      <c r="X202" s="119" t="s">
        <v>452</v>
      </c>
      <c r="Y202" s="119" t="s">
        <v>231</v>
      </c>
      <c r="Z202" s="120" t="s">
        <v>4906</v>
      </c>
      <c r="AA202" s="121" t="s">
        <v>4907</v>
      </c>
      <c r="AB202" s="122" t="s">
        <v>292</v>
      </c>
      <c r="AC202" s="123">
        <v>46</v>
      </c>
      <c r="AD202" s="124">
        <v>15.73</v>
      </c>
      <c r="AE202" s="200">
        <f t="shared" si="4"/>
        <v>723.58</v>
      </c>
      <c r="AR202" s="129" t="s">
        <v>235</v>
      </c>
      <c r="AT202" s="129" t="s">
        <v>231</v>
      </c>
      <c r="AU202" s="129" t="s">
        <v>76</v>
      </c>
      <c r="AY202" s="13" t="s">
        <v>228</v>
      </c>
      <c r="BE202" s="130">
        <f t="shared" si="15"/>
        <v>0</v>
      </c>
      <c r="BF202" s="130">
        <f t="shared" si="16"/>
        <v>723.58</v>
      </c>
      <c r="BG202" s="130">
        <f t="shared" si="17"/>
        <v>0</v>
      </c>
      <c r="BH202" s="130">
        <f t="shared" si="18"/>
        <v>0</v>
      </c>
      <c r="BI202" s="130">
        <f t="shared" si="19"/>
        <v>0</v>
      </c>
      <c r="BJ202" s="13" t="s">
        <v>76</v>
      </c>
      <c r="BK202" s="130">
        <f t="shared" si="20"/>
        <v>723.58</v>
      </c>
      <c r="BL202" s="13" t="s">
        <v>235</v>
      </c>
      <c r="BM202" s="129" t="s">
        <v>455</v>
      </c>
    </row>
    <row r="203" spans="2:65" s="11" customFormat="1" ht="22.95" customHeight="1" x14ac:dyDescent="0.25">
      <c r="B203" s="106"/>
      <c r="D203" s="107" t="s">
        <v>57</v>
      </c>
      <c r="E203" s="116" t="s">
        <v>1211</v>
      </c>
      <c r="F203" s="116" t="s">
        <v>4908</v>
      </c>
      <c r="J203" s="117">
        <f>BK203</f>
        <v>1103.72</v>
      </c>
      <c r="L203" s="106"/>
      <c r="M203" s="110"/>
      <c r="N203" s="111"/>
      <c r="O203" s="111"/>
      <c r="P203" s="112">
        <f>SUM(P204:P205)</f>
        <v>0</v>
      </c>
      <c r="Q203" s="111"/>
      <c r="R203" s="112">
        <f>SUM(R204:R205)</f>
        <v>0</v>
      </c>
      <c r="S203" s="111"/>
      <c r="T203" s="113">
        <f>SUM(T204:T205)</f>
        <v>0</v>
      </c>
      <c r="W203" s="195"/>
      <c r="X203" s="111"/>
      <c r="Y203" s="196" t="s">
        <v>57</v>
      </c>
      <c r="Z203" s="201" t="s">
        <v>1211</v>
      </c>
      <c r="AA203" s="201" t="s">
        <v>4908</v>
      </c>
      <c r="AB203" s="111"/>
      <c r="AC203" s="111"/>
      <c r="AD203" s="111"/>
      <c r="AE203" s="202">
        <f>SUM(AE204:AE205)</f>
        <v>1103.72</v>
      </c>
      <c r="AR203" s="107" t="s">
        <v>63</v>
      </c>
      <c r="AT203" s="114" t="s">
        <v>57</v>
      </c>
      <c r="AU203" s="114" t="s">
        <v>63</v>
      </c>
      <c r="AY203" s="107" t="s">
        <v>228</v>
      </c>
      <c r="BK203" s="115">
        <f>SUM(BK204:BK205)</f>
        <v>1103.72</v>
      </c>
    </row>
    <row r="204" spans="2:65" s="1" customFormat="1" ht="16.5" customHeight="1" x14ac:dyDescent="0.2">
      <c r="B204" s="118"/>
      <c r="C204" s="119" t="s">
        <v>344</v>
      </c>
      <c r="D204" s="119" t="s">
        <v>231</v>
      </c>
      <c r="E204" s="120" t="s">
        <v>1205</v>
      </c>
      <c r="F204" s="121" t="s">
        <v>1206</v>
      </c>
      <c r="G204" s="122" t="s">
        <v>292</v>
      </c>
      <c r="H204" s="123">
        <v>52</v>
      </c>
      <c r="I204" s="124">
        <v>14.26</v>
      </c>
      <c r="J204" s="124">
        <f>ROUND(I204*H204,2)</f>
        <v>741.52</v>
      </c>
      <c r="K204" s="121" t="s">
        <v>1</v>
      </c>
      <c r="L204" s="465"/>
      <c r="M204" s="125" t="s">
        <v>1</v>
      </c>
      <c r="N204" s="126" t="s">
        <v>32</v>
      </c>
      <c r="O204" s="127">
        <v>0</v>
      </c>
      <c r="P204" s="127">
        <f>O204*H204</f>
        <v>0</v>
      </c>
      <c r="Q204" s="127">
        <v>0</v>
      </c>
      <c r="R204" s="127">
        <f>Q204*H204</f>
        <v>0</v>
      </c>
      <c r="S204" s="127">
        <v>0</v>
      </c>
      <c r="T204" s="128">
        <f>S204*H204</f>
        <v>0</v>
      </c>
      <c r="W204" s="199"/>
      <c r="X204" s="119" t="s">
        <v>344</v>
      </c>
      <c r="Y204" s="119" t="s">
        <v>231</v>
      </c>
      <c r="Z204" s="120" t="s">
        <v>1205</v>
      </c>
      <c r="AA204" s="121" t="s">
        <v>1206</v>
      </c>
      <c r="AB204" s="122" t="s">
        <v>292</v>
      </c>
      <c r="AC204" s="123">
        <v>52</v>
      </c>
      <c r="AD204" s="124">
        <v>14.26</v>
      </c>
      <c r="AE204" s="200">
        <f>ROUND(AD204*AC204,2)</f>
        <v>741.52</v>
      </c>
      <c r="AR204" s="129" t="s">
        <v>235</v>
      </c>
      <c r="AT204" s="129" t="s">
        <v>231</v>
      </c>
      <c r="AU204" s="129" t="s">
        <v>76</v>
      </c>
      <c r="AY204" s="13" t="s">
        <v>228</v>
      </c>
      <c r="BE204" s="130">
        <f>IF(N204="základná",J204,0)</f>
        <v>0</v>
      </c>
      <c r="BF204" s="130">
        <f>IF(N204="znížená",J204,0)</f>
        <v>741.52</v>
      </c>
      <c r="BG204" s="130">
        <f>IF(N204="zákl. prenesená",J204,0)</f>
        <v>0</v>
      </c>
      <c r="BH204" s="130">
        <f>IF(N204="zníž. prenesená",J204,0)</f>
        <v>0</v>
      </c>
      <c r="BI204" s="130">
        <f>IF(N204="nulová",J204,0)</f>
        <v>0</v>
      </c>
      <c r="BJ204" s="13" t="s">
        <v>76</v>
      </c>
      <c r="BK204" s="130">
        <f>ROUND(I204*H204,2)</f>
        <v>741.52</v>
      </c>
      <c r="BL204" s="13" t="s">
        <v>235</v>
      </c>
      <c r="BM204" s="129" t="s">
        <v>458</v>
      </c>
    </row>
    <row r="205" spans="2:65" s="1" customFormat="1" ht="16.5" customHeight="1" x14ac:dyDescent="0.2">
      <c r="B205" s="118"/>
      <c r="C205" s="119" t="s">
        <v>459</v>
      </c>
      <c r="D205" s="119" t="s">
        <v>231</v>
      </c>
      <c r="E205" s="120" t="s">
        <v>1207</v>
      </c>
      <c r="F205" s="121" t="s">
        <v>1208</v>
      </c>
      <c r="G205" s="122" t="s">
        <v>292</v>
      </c>
      <c r="H205" s="123">
        <v>20</v>
      </c>
      <c r="I205" s="124">
        <v>18.11</v>
      </c>
      <c r="J205" s="124">
        <f>ROUND(I205*H205,2)</f>
        <v>362.2</v>
      </c>
      <c r="K205" s="121" t="s">
        <v>1</v>
      </c>
      <c r="L205" s="465"/>
      <c r="M205" s="125" t="s">
        <v>1</v>
      </c>
      <c r="N205" s="126" t="s">
        <v>32</v>
      </c>
      <c r="O205" s="127">
        <v>0</v>
      </c>
      <c r="P205" s="127">
        <f>O205*H205</f>
        <v>0</v>
      </c>
      <c r="Q205" s="127">
        <v>0</v>
      </c>
      <c r="R205" s="127">
        <f>Q205*H205</f>
        <v>0</v>
      </c>
      <c r="S205" s="127">
        <v>0</v>
      </c>
      <c r="T205" s="128">
        <f>S205*H205</f>
        <v>0</v>
      </c>
      <c r="W205" s="199"/>
      <c r="X205" s="119" t="s">
        <v>459</v>
      </c>
      <c r="Y205" s="119" t="s">
        <v>231</v>
      </c>
      <c r="Z205" s="120" t="s">
        <v>1207</v>
      </c>
      <c r="AA205" s="121" t="s">
        <v>1208</v>
      </c>
      <c r="AB205" s="122" t="s">
        <v>292</v>
      </c>
      <c r="AC205" s="123">
        <v>20</v>
      </c>
      <c r="AD205" s="124">
        <v>18.11</v>
      </c>
      <c r="AE205" s="200">
        <f>ROUND(AD205*AC205,2)</f>
        <v>362.2</v>
      </c>
      <c r="AR205" s="129" t="s">
        <v>235</v>
      </c>
      <c r="AT205" s="129" t="s">
        <v>231</v>
      </c>
      <c r="AU205" s="129" t="s">
        <v>76</v>
      </c>
      <c r="AY205" s="13" t="s">
        <v>228</v>
      </c>
      <c r="BE205" s="130">
        <f>IF(N205="základná",J205,0)</f>
        <v>0</v>
      </c>
      <c r="BF205" s="130">
        <f>IF(N205="znížená",J205,0)</f>
        <v>362.2</v>
      </c>
      <c r="BG205" s="130">
        <f>IF(N205="zákl. prenesená",J205,0)</f>
        <v>0</v>
      </c>
      <c r="BH205" s="130">
        <f>IF(N205="zníž. prenesená",J205,0)</f>
        <v>0</v>
      </c>
      <c r="BI205" s="130">
        <f>IF(N205="nulová",J205,0)</f>
        <v>0</v>
      </c>
      <c r="BJ205" s="13" t="s">
        <v>76</v>
      </c>
      <c r="BK205" s="130">
        <f>ROUND(I205*H205,2)</f>
        <v>362.2</v>
      </c>
      <c r="BL205" s="13" t="s">
        <v>235</v>
      </c>
      <c r="BM205" s="129" t="s">
        <v>462</v>
      </c>
    </row>
    <row r="206" spans="2:65" s="11" customFormat="1" ht="22.95" customHeight="1" x14ac:dyDescent="0.25">
      <c r="B206" s="106"/>
      <c r="D206" s="107" t="s">
        <v>57</v>
      </c>
      <c r="E206" s="116" t="s">
        <v>1215</v>
      </c>
      <c r="F206" s="116" t="s">
        <v>4909</v>
      </c>
      <c r="J206" s="117">
        <f>BK206</f>
        <v>22523.94</v>
      </c>
      <c r="L206" s="106"/>
      <c r="M206" s="110"/>
      <c r="N206" s="111"/>
      <c r="O206" s="111"/>
      <c r="P206" s="112">
        <f>SUM(P207:P211)</f>
        <v>0</v>
      </c>
      <c r="Q206" s="111"/>
      <c r="R206" s="112">
        <f>SUM(R207:R211)</f>
        <v>0</v>
      </c>
      <c r="S206" s="111"/>
      <c r="T206" s="113">
        <f>SUM(T207:T211)</f>
        <v>0</v>
      </c>
      <c r="W206" s="195"/>
      <c r="X206" s="111"/>
      <c r="Y206" s="196" t="s">
        <v>57</v>
      </c>
      <c r="Z206" s="201" t="s">
        <v>1215</v>
      </c>
      <c r="AA206" s="201" t="s">
        <v>4909</v>
      </c>
      <c r="AB206" s="111"/>
      <c r="AC206" s="111"/>
      <c r="AD206" s="111"/>
      <c r="AE206" s="202">
        <f>SUM(AE207:AE211)</f>
        <v>22523.94</v>
      </c>
      <c r="AR206" s="107" t="s">
        <v>63</v>
      </c>
      <c r="AT206" s="114" t="s">
        <v>57</v>
      </c>
      <c r="AU206" s="114" t="s">
        <v>63</v>
      </c>
      <c r="AY206" s="107" t="s">
        <v>228</v>
      </c>
      <c r="BK206" s="115">
        <f>SUM(BK207:BK211)</f>
        <v>22523.94</v>
      </c>
    </row>
    <row r="207" spans="2:65" s="1" customFormat="1" ht="16.5" customHeight="1" x14ac:dyDescent="0.2">
      <c r="B207" s="118"/>
      <c r="C207" s="119" t="s">
        <v>347</v>
      </c>
      <c r="D207" s="119" t="s">
        <v>231</v>
      </c>
      <c r="E207" s="120" t="s">
        <v>4106</v>
      </c>
      <c r="F207" s="121" t="s">
        <v>3601</v>
      </c>
      <c r="G207" s="122" t="s">
        <v>292</v>
      </c>
      <c r="H207" s="123">
        <v>14</v>
      </c>
      <c r="I207" s="124">
        <v>36.659999999999997</v>
      </c>
      <c r="J207" s="124">
        <f>ROUND(I207*H207,2)</f>
        <v>513.24</v>
      </c>
      <c r="K207" s="121" t="s">
        <v>1</v>
      </c>
      <c r="L207" s="465"/>
      <c r="M207" s="125" t="s">
        <v>1</v>
      </c>
      <c r="N207" s="126" t="s">
        <v>32</v>
      </c>
      <c r="O207" s="127">
        <v>0</v>
      </c>
      <c r="P207" s="127">
        <f>O207*H207</f>
        <v>0</v>
      </c>
      <c r="Q207" s="127">
        <v>0</v>
      </c>
      <c r="R207" s="127">
        <f>Q207*H207</f>
        <v>0</v>
      </c>
      <c r="S207" s="127">
        <v>0</v>
      </c>
      <c r="T207" s="128">
        <f>S207*H207</f>
        <v>0</v>
      </c>
      <c r="W207" s="199"/>
      <c r="X207" s="119" t="s">
        <v>347</v>
      </c>
      <c r="Y207" s="119" t="s">
        <v>231</v>
      </c>
      <c r="Z207" s="120" t="s">
        <v>4106</v>
      </c>
      <c r="AA207" s="121" t="s">
        <v>3601</v>
      </c>
      <c r="AB207" s="122" t="s">
        <v>292</v>
      </c>
      <c r="AC207" s="123">
        <v>14</v>
      </c>
      <c r="AD207" s="124">
        <v>36.659999999999997</v>
      </c>
      <c r="AE207" s="200">
        <f>ROUND(AD207*AC207,2)</f>
        <v>513.24</v>
      </c>
      <c r="AR207" s="129" t="s">
        <v>235</v>
      </c>
      <c r="AT207" s="129" t="s">
        <v>231</v>
      </c>
      <c r="AU207" s="129" t="s">
        <v>76</v>
      </c>
      <c r="AY207" s="13" t="s">
        <v>228</v>
      </c>
      <c r="BE207" s="130">
        <f>IF(N207="základná",J207,0)</f>
        <v>0</v>
      </c>
      <c r="BF207" s="130">
        <f>IF(N207="znížená",J207,0)</f>
        <v>513.24</v>
      </c>
      <c r="BG207" s="130">
        <f>IF(N207="zákl. prenesená",J207,0)</f>
        <v>0</v>
      </c>
      <c r="BH207" s="130">
        <f>IF(N207="zníž. prenesená",J207,0)</f>
        <v>0</v>
      </c>
      <c r="BI207" s="130">
        <f>IF(N207="nulová",J207,0)</f>
        <v>0</v>
      </c>
      <c r="BJ207" s="13" t="s">
        <v>76</v>
      </c>
      <c r="BK207" s="130">
        <f>ROUND(I207*H207,2)</f>
        <v>513.24</v>
      </c>
      <c r="BL207" s="13" t="s">
        <v>235</v>
      </c>
      <c r="BM207" s="129" t="s">
        <v>465</v>
      </c>
    </row>
    <row r="208" spans="2:65" s="1" customFormat="1" ht="16.5" customHeight="1" x14ac:dyDescent="0.2">
      <c r="B208" s="118"/>
      <c r="C208" s="119" t="s">
        <v>466</v>
      </c>
      <c r="D208" s="119" t="s">
        <v>231</v>
      </c>
      <c r="E208" s="120" t="s">
        <v>4108</v>
      </c>
      <c r="F208" s="121" t="s">
        <v>4109</v>
      </c>
      <c r="G208" s="122" t="s">
        <v>292</v>
      </c>
      <c r="H208" s="123">
        <v>14</v>
      </c>
      <c r="I208" s="124">
        <v>67.19</v>
      </c>
      <c r="J208" s="124">
        <f>ROUND(I208*H208,2)</f>
        <v>940.66</v>
      </c>
      <c r="K208" s="121" t="s">
        <v>1</v>
      </c>
      <c r="L208" s="465"/>
      <c r="M208" s="125" t="s">
        <v>1</v>
      </c>
      <c r="N208" s="126" t="s">
        <v>32</v>
      </c>
      <c r="O208" s="127">
        <v>0</v>
      </c>
      <c r="P208" s="127">
        <f>O208*H208</f>
        <v>0</v>
      </c>
      <c r="Q208" s="127">
        <v>0</v>
      </c>
      <c r="R208" s="127">
        <f>Q208*H208</f>
        <v>0</v>
      </c>
      <c r="S208" s="127">
        <v>0</v>
      </c>
      <c r="T208" s="128">
        <f>S208*H208</f>
        <v>0</v>
      </c>
      <c r="W208" s="199"/>
      <c r="X208" s="119" t="s">
        <v>466</v>
      </c>
      <c r="Y208" s="119" t="s">
        <v>231</v>
      </c>
      <c r="Z208" s="120" t="s">
        <v>4108</v>
      </c>
      <c r="AA208" s="121" t="s">
        <v>4109</v>
      </c>
      <c r="AB208" s="122" t="s">
        <v>292</v>
      </c>
      <c r="AC208" s="123">
        <v>14</v>
      </c>
      <c r="AD208" s="124">
        <v>67.19</v>
      </c>
      <c r="AE208" s="200">
        <f>ROUND(AD208*AC208,2)</f>
        <v>940.66</v>
      </c>
      <c r="AR208" s="129" t="s">
        <v>235</v>
      </c>
      <c r="AT208" s="129" t="s">
        <v>231</v>
      </c>
      <c r="AU208" s="129" t="s">
        <v>76</v>
      </c>
      <c r="AY208" s="13" t="s">
        <v>228</v>
      </c>
      <c r="BE208" s="130">
        <f>IF(N208="základná",J208,0)</f>
        <v>0</v>
      </c>
      <c r="BF208" s="130">
        <f>IF(N208="znížená",J208,0)</f>
        <v>940.66</v>
      </c>
      <c r="BG208" s="130">
        <f>IF(N208="zákl. prenesená",J208,0)</f>
        <v>0</v>
      </c>
      <c r="BH208" s="130">
        <f>IF(N208="zníž. prenesená",J208,0)</f>
        <v>0</v>
      </c>
      <c r="BI208" s="130">
        <f>IF(N208="nulová",J208,0)</f>
        <v>0</v>
      </c>
      <c r="BJ208" s="13" t="s">
        <v>76</v>
      </c>
      <c r="BK208" s="130">
        <f>ROUND(I208*H208,2)</f>
        <v>940.66</v>
      </c>
      <c r="BL208" s="13" t="s">
        <v>235</v>
      </c>
      <c r="BM208" s="129" t="s">
        <v>469</v>
      </c>
    </row>
    <row r="209" spans="2:65" s="1" customFormat="1" ht="16.5" customHeight="1" x14ac:dyDescent="0.2">
      <c r="B209" s="118"/>
      <c r="C209" s="119" t="s">
        <v>351</v>
      </c>
      <c r="D209" s="119" t="s">
        <v>231</v>
      </c>
      <c r="E209" s="120" t="s">
        <v>4910</v>
      </c>
      <c r="F209" s="121" t="s">
        <v>4911</v>
      </c>
      <c r="G209" s="122" t="s">
        <v>292</v>
      </c>
      <c r="H209" s="123">
        <v>135</v>
      </c>
      <c r="I209" s="124">
        <v>80.290000000000006</v>
      </c>
      <c r="J209" s="124">
        <f>ROUND(I209*H209,2)</f>
        <v>10839.15</v>
      </c>
      <c r="K209" s="121" t="s">
        <v>1</v>
      </c>
      <c r="L209" s="465"/>
      <c r="M209" s="125" t="s">
        <v>1</v>
      </c>
      <c r="N209" s="126" t="s">
        <v>32</v>
      </c>
      <c r="O209" s="127">
        <v>0</v>
      </c>
      <c r="P209" s="127">
        <f>O209*H209</f>
        <v>0</v>
      </c>
      <c r="Q209" s="127">
        <v>0</v>
      </c>
      <c r="R209" s="127">
        <f>Q209*H209</f>
        <v>0</v>
      </c>
      <c r="S209" s="127">
        <v>0</v>
      </c>
      <c r="T209" s="128">
        <f>S209*H209</f>
        <v>0</v>
      </c>
      <c r="W209" s="199"/>
      <c r="X209" s="119" t="s">
        <v>351</v>
      </c>
      <c r="Y209" s="119" t="s">
        <v>231</v>
      </c>
      <c r="Z209" s="120" t="s">
        <v>4910</v>
      </c>
      <c r="AA209" s="121" t="s">
        <v>4911</v>
      </c>
      <c r="AB209" s="122" t="s">
        <v>292</v>
      </c>
      <c r="AC209" s="123">
        <v>135</v>
      </c>
      <c r="AD209" s="124">
        <v>80.290000000000006</v>
      </c>
      <c r="AE209" s="200">
        <f>ROUND(AD209*AC209,2)</f>
        <v>10839.15</v>
      </c>
      <c r="AR209" s="129" t="s">
        <v>235</v>
      </c>
      <c r="AT209" s="129" t="s">
        <v>231</v>
      </c>
      <c r="AU209" s="129" t="s">
        <v>76</v>
      </c>
      <c r="AY209" s="13" t="s">
        <v>228</v>
      </c>
      <c r="BE209" s="130">
        <f>IF(N209="základná",J209,0)</f>
        <v>0</v>
      </c>
      <c r="BF209" s="130">
        <f>IF(N209="znížená",J209,0)</f>
        <v>10839.15</v>
      </c>
      <c r="BG209" s="130">
        <f>IF(N209="zákl. prenesená",J209,0)</f>
        <v>0</v>
      </c>
      <c r="BH209" s="130">
        <f>IF(N209="zníž. prenesená",J209,0)</f>
        <v>0</v>
      </c>
      <c r="BI209" s="130">
        <f>IF(N209="nulová",J209,0)</f>
        <v>0</v>
      </c>
      <c r="BJ209" s="13" t="s">
        <v>76</v>
      </c>
      <c r="BK209" s="130">
        <f>ROUND(I209*H209,2)</f>
        <v>10839.15</v>
      </c>
      <c r="BL209" s="13" t="s">
        <v>235</v>
      </c>
      <c r="BM209" s="129" t="s">
        <v>472</v>
      </c>
    </row>
    <row r="210" spans="2:65" s="1" customFormat="1" ht="16.5" customHeight="1" x14ac:dyDescent="0.2">
      <c r="B210" s="118"/>
      <c r="C210" s="119" t="s">
        <v>473</v>
      </c>
      <c r="D210" s="119" t="s">
        <v>231</v>
      </c>
      <c r="E210" s="120" t="s">
        <v>4912</v>
      </c>
      <c r="F210" s="121" t="s">
        <v>4913</v>
      </c>
      <c r="G210" s="122" t="s">
        <v>292</v>
      </c>
      <c r="H210" s="123">
        <v>91</v>
      </c>
      <c r="I210" s="124">
        <v>111.29</v>
      </c>
      <c r="J210" s="124">
        <f>ROUND(I210*H210,2)</f>
        <v>10127.39</v>
      </c>
      <c r="K210" s="121" t="s">
        <v>1</v>
      </c>
      <c r="L210" s="465"/>
      <c r="M210" s="125" t="s">
        <v>1</v>
      </c>
      <c r="N210" s="126" t="s">
        <v>32</v>
      </c>
      <c r="O210" s="127">
        <v>0</v>
      </c>
      <c r="P210" s="127">
        <f>O210*H210</f>
        <v>0</v>
      </c>
      <c r="Q210" s="127">
        <v>0</v>
      </c>
      <c r="R210" s="127">
        <f>Q210*H210</f>
        <v>0</v>
      </c>
      <c r="S210" s="127">
        <v>0</v>
      </c>
      <c r="T210" s="128">
        <f>S210*H210</f>
        <v>0</v>
      </c>
      <c r="W210" s="199"/>
      <c r="X210" s="119" t="s">
        <v>473</v>
      </c>
      <c r="Y210" s="119" t="s">
        <v>231</v>
      </c>
      <c r="Z210" s="120" t="s">
        <v>4912</v>
      </c>
      <c r="AA210" s="121" t="s">
        <v>4913</v>
      </c>
      <c r="AB210" s="122" t="s">
        <v>292</v>
      </c>
      <c r="AC210" s="123">
        <v>91</v>
      </c>
      <c r="AD210" s="124">
        <v>111.29</v>
      </c>
      <c r="AE210" s="200">
        <f>ROUND(AD210*AC210,2)</f>
        <v>10127.39</v>
      </c>
      <c r="AR210" s="129" t="s">
        <v>235</v>
      </c>
      <c r="AT210" s="129" t="s">
        <v>231</v>
      </c>
      <c r="AU210" s="129" t="s">
        <v>76</v>
      </c>
      <c r="AY210" s="13" t="s">
        <v>228</v>
      </c>
      <c r="BE210" s="130">
        <f>IF(N210="základná",J210,0)</f>
        <v>0</v>
      </c>
      <c r="BF210" s="130">
        <f>IF(N210="znížená",J210,0)</f>
        <v>10127.39</v>
      </c>
      <c r="BG210" s="130">
        <f>IF(N210="zákl. prenesená",J210,0)</f>
        <v>0</v>
      </c>
      <c r="BH210" s="130">
        <f>IF(N210="zníž. prenesená",J210,0)</f>
        <v>0</v>
      </c>
      <c r="BI210" s="130">
        <f>IF(N210="nulová",J210,0)</f>
        <v>0</v>
      </c>
      <c r="BJ210" s="13" t="s">
        <v>76</v>
      </c>
      <c r="BK210" s="130">
        <f>ROUND(I210*H210,2)</f>
        <v>10127.39</v>
      </c>
      <c r="BL210" s="13" t="s">
        <v>235</v>
      </c>
      <c r="BM210" s="129" t="s">
        <v>476</v>
      </c>
    </row>
    <row r="211" spans="2:65" s="1" customFormat="1" ht="24" customHeight="1" x14ac:dyDescent="0.2">
      <c r="B211" s="118"/>
      <c r="C211" s="119" t="s">
        <v>354</v>
      </c>
      <c r="D211" s="119" t="s">
        <v>231</v>
      </c>
      <c r="E211" s="120" t="s">
        <v>4914</v>
      </c>
      <c r="F211" s="121" t="s">
        <v>4915</v>
      </c>
      <c r="G211" s="122" t="s">
        <v>292</v>
      </c>
      <c r="H211" s="123">
        <v>46</v>
      </c>
      <c r="I211" s="124">
        <v>2.25</v>
      </c>
      <c r="J211" s="124">
        <f>ROUND(I211*H211,2)</f>
        <v>103.5</v>
      </c>
      <c r="K211" s="121" t="s">
        <v>1</v>
      </c>
      <c r="L211" s="465"/>
      <c r="M211" s="125" t="s">
        <v>1</v>
      </c>
      <c r="N211" s="126" t="s">
        <v>32</v>
      </c>
      <c r="O211" s="127">
        <v>0</v>
      </c>
      <c r="P211" s="127">
        <f>O211*H211</f>
        <v>0</v>
      </c>
      <c r="Q211" s="127">
        <v>0</v>
      </c>
      <c r="R211" s="127">
        <f>Q211*H211</f>
        <v>0</v>
      </c>
      <c r="S211" s="127">
        <v>0</v>
      </c>
      <c r="T211" s="128">
        <f>S211*H211</f>
        <v>0</v>
      </c>
      <c r="W211" s="199"/>
      <c r="X211" s="119" t="s">
        <v>354</v>
      </c>
      <c r="Y211" s="119" t="s">
        <v>231</v>
      </c>
      <c r="Z211" s="120" t="s">
        <v>4914</v>
      </c>
      <c r="AA211" s="121" t="s">
        <v>4915</v>
      </c>
      <c r="AB211" s="122" t="s">
        <v>292</v>
      </c>
      <c r="AC211" s="123">
        <v>46</v>
      </c>
      <c r="AD211" s="124">
        <v>2.25</v>
      </c>
      <c r="AE211" s="200">
        <f>ROUND(AD211*AC211,2)</f>
        <v>103.5</v>
      </c>
      <c r="AR211" s="129" t="s">
        <v>235</v>
      </c>
      <c r="AT211" s="129" t="s">
        <v>231</v>
      </c>
      <c r="AU211" s="129" t="s">
        <v>76</v>
      </c>
      <c r="AY211" s="13" t="s">
        <v>228</v>
      </c>
      <c r="BE211" s="130">
        <f>IF(N211="základná",J211,0)</f>
        <v>0</v>
      </c>
      <c r="BF211" s="130">
        <f>IF(N211="znížená",J211,0)</f>
        <v>103.5</v>
      </c>
      <c r="BG211" s="130">
        <f>IF(N211="zákl. prenesená",J211,0)</f>
        <v>0</v>
      </c>
      <c r="BH211" s="130">
        <f>IF(N211="zníž. prenesená",J211,0)</f>
        <v>0</v>
      </c>
      <c r="BI211" s="130">
        <f>IF(N211="nulová",J211,0)</f>
        <v>0</v>
      </c>
      <c r="BJ211" s="13" t="s">
        <v>76</v>
      </c>
      <c r="BK211" s="130">
        <f>ROUND(I211*H211,2)</f>
        <v>103.5</v>
      </c>
      <c r="BL211" s="13" t="s">
        <v>235</v>
      </c>
      <c r="BM211" s="129" t="s">
        <v>479</v>
      </c>
    </row>
    <row r="212" spans="2:65" s="11" customFormat="1" ht="22.95" customHeight="1" x14ac:dyDescent="0.25">
      <c r="B212" s="106"/>
      <c r="D212" s="107" t="s">
        <v>57</v>
      </c>
      <c r="E212" s="116" t="s">
        <v>1227</v>
      </c>
      <c r="F212" s="116" t="s">
        <v>4110</v>
      </c>
      <c r="J212" s="117">
        <f>BK212</f>
        <v>424.4</v>
      </c>
      <c r="L212" s="106"/>
      <c r="M212" s="110"/>
      <c r="N212" s="111"/>
      <c r="O212" s="111"/>
      <c r="P212" s="112">
        <f>SUM(P213:P214)</f>
        <v>0</v>
      </c>
      <c r="Q212" s="111"/>
      <c r="R212" s="112">
        <f>SUM(R213:R214)</f>
        <v>0</v>
      </c>
      <c r="S212" s="111"/>
      <c r="T212" s="113">
        <f>SUM(T213:T214)</f>
        <v>0</v>
      </c>
      <c r="W212" s="195"/>
      <c r="X212" s="111"/>
      <c r="Y212" s="196" t="s">
        <v>57</v>
      </c>
      <c r="Z212" s="201" t="s">
        <v>1227</v>
      </c>
      <c r="AA212" s="201" t="s">
        <v>4110</v>
      </c>
      <c r="AB212" s="111"/>
      <c r="AC212" s="111"/>
      <c r="AD212" s="111"/>
      <c r="AE212" s="202">
        <f>SUM(AE213:AE214)</f>
        <v>424.4</v>
      </c>
      <c r="AR212" s="107" t="s">
        <v>63</v>
      </c>
      <c r="AT212" s="114" t="s">
        <v>57</v>
      </c>
      <c r="AU212" s="114" t="s">
        <v>63</v>
      </c>
      <c r="AY212" s="107" t="s">
        <v>228</v>
      </c>
      <c r="BK212" s="115">
        <f>SUM(BK213:BK214)</f>
        <v>424.4</v>
      </c>
    </row>
    <row r="213" spans="2:65" s="1" customFormat="1" ht="16.5" customHeight="1" x14ac:dyDescent="0.2">
      <c r="B213" s="118"/>
      <c r="C213" s="119" t="s">
        <v>480</v>
      </c>
      <c r="D213" s="119" t="s">
        <v>231</v>
      </c>
      <c r="E213" s="120" t="s">
        <v>4916</v>
      </c>
      <c r="F213" s="121" t="s">
        <v>4917</v>
      </c>
      <c r="G213" s="122" t="s">
        <v>292</v>
      </c>
      <c r="H213" s="123">
        <v>52</v>
      </c>
      <c r="I213" s="124">
        <v>5.75</v>
      </c>
      <c r="J213" s="124">
        <f>ROUND(I213*H213,2)</f>
        <v>299</v>
      </c>
      <c r="K213" s="121" t="s">
        <v>1</v>
      </c>
      <c r="L213" s="465"/>
      <c r="M213" s="125" t="s">
        <v>1</v>
      </c>
      <c r="N213" s="126" t="s">
        <v>32</v>
      </c>
      <c r="O213" s="127">
        <v>0</v>
      </c>
      <c r="P213" s="127">
        <f>O213*H213</f>
        <v>0</v>
      </c>
      <c r="Q213" s="127">
        <v>0</v>
      </c>
      <c r="R213" s="127">
        <f>Q213*H213</f>
        <v>0</v>
      </c>
      <c r="S213" s="127">
        <v>0</v>
      </c>
      <c r="T213" s="128">
        <f>S213*H213</f>
        <v>0</v>
      </c>
      <c r="W213" s="199"/>
      <c r="X213" s="119" t="s">
        <v>480</v>
      </c>
      <c r="Y213" s="119" t="s">
        <v>231</v>
      </c>
      <c r="Z213" s="120" t="s">
        <v>4916</v>
      </c>
      <c r="AA213" s="121" t="s">
        <v>4917</v>
      </c>
      <c r="AB213" s="122" t="s">
        <v>292</v>
      </c>
      <c r="AC213" s="123">
        <v>52</v>
      </c>
      <c r="AD213" s="124">
        <v>5.75</v>
      </c>
      <c r="AE213" s="200">
        <f>ROUND(AD213*AC213,2)</f>
        <v>299</v>
      </c>
      <c r="AR213" s="129" t="s">
        <v>235</v>
      </c>
      <c r="AT213" s="129" t="s">
        <v>231</v>
      </c>
      <c r="AU213" s="129" t="s">
        <v>76</v>
      </c>
      <c r="AY213" s="13" t="s">
        <v>228</v>
      </c>
      <c r="BE213" s="130">
        <f>IF(N213="základná",J213,0)</f>
        <v>0</v>
      </c>
      <c r="BF213" s="130">
        <f>IF(N213="znížená",J213,0)</f>
        <v>299</v>
      </c>
      <c r="BG213" s="130">
        <f>IF(N213="zákl. prenesená",J213,0)</f>
        <v>0</v>
      </c>
      <c r="BH213" s="130">
        <f>IF(N213="zníž. prenesená",J213,0)</f>
        <v>0</v>
      </c>
      <c r="BI213" s="130">
        <f>IF(N213="nulová",J213,0)</f>
        <v>0</v>
      </c>
      <c r="BJ213" s="13" t="s">
        <v>76</v>
      </c>
      <c r="BK213" s="130">
        <f>ROUND(I213*H213,2)</f>
        <v>299</v>
      </c>
      <c r="BL213" s="13" t="s">
        <v>235</v>
      </c>
      <c r="BM213" s="129" t="s">
        <v>483</v>
      </c>
    </row>
    <row r="214" spans="2:65" s="1" customFormat="1" ht="16.5" customHeight="1" x14ac:dyDescent="0.2">
      <c r="B214" s="118"/>
      <c r="C214" s="119" t="s">
        <v>358</v>
      </c>
      <c r="D214" s="119" t="s">
        <v>231</v>
      </c>
      <c r="E214" s="120" t="s">
        <v>4111</v>
      </c>
      <c r="F214" s="121" t="s">
        <v>4112</v>
      </c>
      <c r="G214" s="122" t="s">
        <v>292</v>
      </c>
      <c r="H214" s="123">
        <v>20</v>
      </c>
      <c r="I214" s="124">
        <v>6.27</v>
      </c>
      <c r="J214" s="124">
        <f>ROUND(I214*H214,2)</f>
        <v>125.4</v>
      </c>
      <c r="K214" s="121" t="s">
        <v>1</v>
      </c>
      <c r="L214" s="465"/>
      <c r="M214" s="125" t="s">
        <v>1</v>
      </c>
      <c r="N214" s="126" t="s">
        <v>32</v>
      </c>
      <c r="O214" s="127">
        <v>0</v>
      </c>
      <c r="P214" s="127">
        <f>O214*H214</f>
        <v>0</v>
      </c>
      <c r="Q214" s="127">
        <v>0</v>
      </c>
      <c r="R214" s="127">
        <f>Q214*H214</f>
        <v>0</v>
      </c>
      <c r="S214" s="127">
        <v>0</v>
      </c>
      <c r="T214" s="128">
        <f>S214*H214</f>
        <v>0</v>
      </c>
      <c r="W214" s="199"/>
      <c r="X214" s="119" t="s">
        <v>358</v>
      </c>
      <c r="Y214" s="119" t="s">
        <v>231</v>
      </c>
      <c r="Z214" s="120" t="s">
        <v>4111</v>
      </c>
      <c r="AA214" s="121" t="s">
        <v>4112</v>
      </c>
      <c r="AB214" s="122" t="s">
        <v>292</v>
      </c>
      <c r="AC214" s="123">
        <v>20</v>
      </c>
      <c r="AD214" s="124">
        <v>6.27</v>
      </c>
      <c r="AE214" s="200">
        <f>ROUND(AD214*AC214,2)</f>
        <v>125.4</v>
      </c>
      <c r="AR214" s="129" t="s">
        <v>235</v>
      </c>
      <c r="AT214" s="129" t="s">
        <v>231</v>
      </c>
      <c r="AU214" s="129" t="s">
        <v>76</v>
      </c>
      <c r="AY214" s="13" t="s">
        <v>228</v>
      </c>
      <c r="BE214" s="130">
        <f>IF(N214="základná",J214,0)</f>
        <v>0</v>
      </c>
      <c r="BF214" s="130">
        <f>IF(N214="znížená",J214,0)</f>
        <v>125.4</v>
      </c>
      <c r="BG214" s="130">
        <f>IF(N214="zákl. prenesená",J214,0)</f>
        <v>0</v>
      </c>
      <c r="BH214" s="130">
        <f>IF(N214="zníž. prenesená",J214,0)</f>
        <v>0</v>
      </c>
      <c r="BI214" s="130">
        <f>IF(N214="nulová",J214,0)</f>
        <v>0</v>
      </c>
      <c r="BJ214" s="13" t="s">
        <v>76</v>
      </c>
      <c r="BK214" s="130">
        <f>ROUND(I214*H214,2)</f>
        <v>125.4</v>
      </c>
      <c r="BL214" s="13" t="s">
        <v>235</v>
      </c>
      <c r="BM214" s="129" t="s">
        <v>486</v>
      </c>
    </row>
    <row r="215" spans="2:65" s="11" customFormat="1" ht="22.95" customHeight="1" x14ac:dyDescent="0.25">
      <c r="B215" s="106"/>
      <c r="D215" s="107" t="s">
        <v>57</v>
      </c>
      <c r="E215" s="116" t="s">
        <v>1240</v>
      </c>
      <c r="F215" s="116" t="s">
        <v>4113</v>
      </c>
      <c r="J215" s="117">
        <f>BK215</f>
        <v>36786.920000000013</v>
      </c>
      <c r="L215" s="106"/>
      <c r="M215" s="110"/>
      <c r="N215" s="111"/>
      <c r="O215" s="111"/>
      <c r="P215" s="112">
        <f>SUM(P216:P234)</f>
        <v>0</v>
      </c>
      <c r="Q215" s="111"/>
      <c r="R215" s="112">
        <f>SUM(R216:R234)</f>
        <v>0</v>
      </c>
      <c r="S215" s="111"/>
      <c r="T215" s="113">
        <f>SUM(T216:T234)</f>
        <v>0</v>
      </c>
      <c r="W215" s="195"/>
      <c r="X215" s="111"/>
      <c r="Y215" s="196" t="s">
        <v>57</v>
      </c>
      <c r="Z215" s="201" t="s">
        <v>1240</v>
      </c>
      <c r="AA215" s="201" t="s">
        <v>4113</v>
      </c>
      <c r="AB215" s="111"/>
      <c r="AC215" s="111"/>
      <c r="AD215" s="111"/>
      <c r="AE215" s="202">
        <f>SUM(AE216:AE234)</f>
        <v>36786.920000000013</v>
      </c>
      <c r="AR215" s="107" t="s">
        <v>63</v>
      </c>
      <c r="AT215" s="114" t="s">
        <v>57</v>
      </c>
      <c r="AU215" s="114" t="s">
        <v>63</v>
      </c>
      <c r="AY215" s="107" t="s">
        <v>228</v>
      </c>
      <c r="BK215" s="115">
        <f>SUM(BK216:BK234)</f>
        <v>36786.920000000013</v>
      </c>
    </row>
    <row r="216" spans="2:65" s="1" customFormat="1" ht="16.5" customHeight="1" x14ac:dyDescent="0.2">
      <c r="B216" s="118"/>
      <c r="C216" s="119" t="s">
        <v>487</v>
      </c>
      <c r="D216" s="119" t="s">
        <v>231</v>
      </c>
      <c r="E216" s="120" t="s">
        <v>4114</v>
      </c>
      <c r="F216" s="121" t="s">
        <v>4115</v>
      </c>
      <c r="G216" s="122" t="s">
        <v>292</v>
      </c>
      <c r="H216" s="123">
        <v>14</v>
      </c>
      <c r="I216" s="124">
        <v>16.63</v>
      </c>
      <c r="J216" s="124">
        <f t="shared" ref="J216:J234" si="21">ROUND(I216*H216,2)</f>
        <v>232.82</v>
      </c>
      <c r="K216" s="121" t="s">
        <v>1</v>
      </c>
      <c r="L216" s="465"/>
      <c r="M216" s="125" t="s">
        <v>1</v>
      </c>
      <c r="N216" s="126" t="s">
        <v>32</v>
      </c>
      <c r="O216" s="127">
        <v>0</v>
      </c>
      <c r="P216" s="127">
        <f t="shared" ref="P216:P234" si="22">O216*H216</f>
        <v>0</v>
      </c>
      <c r="Q216" s="127">
        <v>0</v>
      </c>
      <c r="R216" s="127">
        <f t="shared" ref="R216:R234" si="23">Q216*H216</f>
        <v>0</v>
      </c>
      <c r="S216" s="127">
        <v>0</v>
      </c>
      <c r="T216" s="128">
        <f t="shared" ref="T216:T234" si="24">S216*H216</f>
        <v>0</v>
      </c>
      <c r="W216" s="199"/>
      <c r="X216" s="119" t="s">
        <v>487</v>
      </c>
      <c r="Y216" s="119" t="s">
        <v>231</v>
      </c>
      <c r="Z216" s="120" t="s">
        <v>4114</v>
      </c>
      <c r="AA216" s="121" t="s">
        <v>4115</v>
      </c>
      <c r="AB216" s="122" t="s">
        <v>292</v>
      </c>
      <c r="AC216" s="123">
        <v>14</v>
      </c>
      <c r="AD216" s="124">
        <v>16.63</v>
      </c>
      <c r="AE216" s="200">
        <f t="shared" ref="AE216:AE234" si="25">ROUND(AD216*AC216,2)</f>
        <v>232.82</v>
      </c>
      <c r="AR216" s="129" t="s">
        <v>235</v>
      </c>
      <c r="AT216" s="129" t="s">
        <v>231</v>
      </c>
      <c r="AU216" s="129" t="s">
        <v>76</v>
      </c>
      <c r="AY216" s="13" t="s">
        <v>228</v>
      </c>
      <c r="BE216" s="130">
        <f t="shared" ref="BE216:BE234" si="26">IF(N216="základná",J216,0)</f>
        <v>0</v>
      </c>
      <c r="BF216" s="130">
        <f t="shared" ref="BF216:BF234" si="27">IF(N216="znížená",J216,0)</f>
        <v>232.82</v>
      </c>
      <c r="BG216" s="130">
        <f t="shared" ref="BG216:BG234" si="28">IF(N216="zákl. prenesená",J216,0)</f>
        <v>0</v>
      </c>
      <c r="BH216" s="130">
        <f t="shared" ref="BH216:BH234" si="29">IF(N216="zníž. prenesená",J216,0)</f>
        <v>0</v>
      </c>
      <c r="BI216" s="130">
        <f t="shared" ref="BI216:BI234" si="30">IF(N216="nulová",J216,0)</f>
        <v>0</v>
      </c>
      <c r="BJ216" s="13" t="s">
        <v>76</v>
      </c>
      <c r="BK216" s="130">
        <f t="shared" ref="BK216:BK234" si="31">ROUND(I216*H216,2)</f>
        <v>232.82</v>
      </c>
      <c r="BL216" s="13" t="s">
        <v>235</v>
      </c>
      <c r="BM216" s="129" t="s">
        <v>490</v>
      </c>
    </row>
    <row r="217" spans="2:65" s="1" customFormat="1" ht="16.5" customHeight="1" x14ac:dyDescent="0.2">
      <c r="B217" s="118"/>
      <c r="C217" s="119" t="s">
        <v>361</v>
      </c>
      <c r="D217" s="119" t="s">
        <v>231</v>
      </c>
      <c r="E217" s="120" t="s">
        <v>4118</v>
      </c>
      <c r="F217" s="121" t="s">
        <v>4119</v>
      </c>
      <c r="G217" s="122" t="s">
        <v>292</v>
      </c>
      <c r="H217" s="123">
        <v>14</v>
      </c>
      <c r="I217" s="124">
        <v>28.25</v>
      </c>
      <c r="J217" s="124">
        <f t="shared" si="21"/>
        <v>395.5</v>
      </c>
      <c r="K217" s="121" t="s">
        <v>1</v>
      </c>
      <c r="L217" s="465"/>
      <c r="M217" s="125" t="s">
        <v>1</v>
      </c>
      <c r="N217" s="126" t="s">
        <v>32</v>
      </c>
      <c r="O217" s="127">
        <v>0</v>
      </c>
      <c r="P217" s="127">
        <f t="shared" si="22"/>
        <v>0</v>
      </c>
      <c r="Q217" s="127">
        <v>0</v>
      </c>
      <c r="R217" s="127">
        <f t="shared" si="23"/>
        <v>0</v>
      </c>
      <c r="S217" s="127">
        <v>0</v>
      </c>
      <c r="T217" s="128">
        <f t="shared" si="24"/>
        <v>0</v>
      </c>
      <c r="W217" s="199"/>
      <c r="X217" s="119" t="s">
        <v>361</v>
      </c>
      <c r="Y217" s="119" t="s">
        <v>231</v>
      </c>
      <c r="Z217" s="120" t="s">
        <v>4118</v>
      </c>
      <c r="AA217" s="121" t="s">
        <v>4119</v>
      </c>
      <c r="AB217" s="122" t="s">
        <v>292</v>
      </c>
      <c r="AC217" s="123">
        <v>14</v>
      </c>
      <c r="AD217" s="124">
        <v>28.25</v>
      </c>
      <c r="AE217" s="200">
        <f t="shared" si="25"/>
        <v>395.5</v>
      </c>
      <c r="AR217" s="129" t="s">
        <v>235</v>
      </c>
      <c r="AT217" s="129" t="s">
        <v>231</v>
      </c>
      <c r="AU217" s="129" t="s">
        <v>76</v>
      </c>
      <c r="AY217" s="13" t="s">
        <v>228</v>
      </c>
      <c r="BE217" s="130">
        <f t="shared" si="26"/>
        <v>0</v>
      </c>
      <c r="BF217" s="130">
        <f t="shared" si="27"/>
        <v>395.5</v>
      </c>
      <c r="BG217" s="130">
        <f t="shared" si="28"/>
        <v>0</v>
      </c>
      <c r="BH217" s="130">
        <f t="shared" si="29"/>
        <v>0</v>
      </c>
      <c r="BI217" s="130">
        <f t="shared" si="30"/>
        <v>0</v>
      </c>
      <c r="BJ217" s="13" t="s">
        <v>76</v>
      </c>
      <c r="BK217" s="130">
        <f t="shared" si="31"/>
        <v>395.5</v>
      </c>
      <c r="BL217" s="13" t="s">
        <v>235</v>
      </c>
      <c r="BM217" s="129" t="s">
        <v>493</v>
      </c>
    </row>
    <row r="218" spans="2:65" s="1" customFormat="1" ht="16.5" customHeight="1" x14ac:dyDescent="0.2">
      <c r="B218" s="118"/>
      <c r="C218" s="119" t="s">
        <v>494</v>
      </c>
      <c r="D218" s="119" t="s">
        <v>231</v>
      </c>
      <c r="E218" s="120" t="s">
        <v>4918</v>
      </c>
      <c r="F218" s="121" t="s">
        <v>4919</v>
      </c>
      <c r="G218" s="122" t="s">
        <v>292</v>
      </c>
      <c r="H218" s="123">
        <v>135</v>
      </c>
      <c r="I218" s="124">
        <v>33.020000000000003</v>
      </c>
      <c r="J218" s="124">
        <f t="shared" si="21"/>
        <v>4457.7</v>
      </c>
      <c r="K218" s="121" t="s">
        <v>1</v>
      </c>
      <c r="L218" s="465"/>
      <c r="M218" s="125" t="s">
        <v>1</v>
      </c>
      <c r="N218" s="126" t="s">
        <v>32</v>
      </c>
      <c r="O218" s="127">
        <v>0</v>
      </c>
      <c r="P218" s="127">
        <f t="shared" si="22"/>
        <v>0</v>
      </c>
      <c r="Q218" s="127">
        <v>0</v>
      </c>
      <c r="R218" s="127">
        <f t="shared" si="23"/>
        <v>0</v>
      </c>
      <c r="S218" s="127">
        <v>0</v>
      </c>
      <c r="T218" s="128">
        <f t="shared" si="24"/>
        <v>0</v>
      </c>
      <c r="W218" s="199"/>
      <c r="X218" s="119" t="s">
        <v>494</v>
      </c>
      <c r="Y218" s="119" t="s">
        <v>231</v>
      </c>
      <c r="Z218" s="120" t="s">
        <v>4918</v>
      </c>
      <c r="AA218" s="121" t="s">
        <v>4919</v>
      </c>
      <c r="AB218" s="122" t="s">
        <v>292</v>
      </c>
      <c r="AC218" s="123">
        <v>135</v>
      </c>
      <c r="AD218" s="124">
        <v>33.020000000000003</v>
      </c>
      <c r="AE218" s="200">
        <f t="shared" si="25"/>
        <v>4457.7</v>
      </c>
      <c r="AR218" s="129" t="s">
        <v>235</v>
      </c>
      <c r="AT218" s="129" t="s">
        <v>231</v>
      </c>
      <c r="AU218" s="129" t="s">
        <v>76</v>
      </c>
      <c r="AY218" s="13" t="s">
        <v>228</v>
      </c>
      <c r="BE218" s="130">
        <f t="shared" si="26"/>
        <v>0</v>
      </c>
      <c r="BF218" s="130">
        <f t="shared" si="27"/>
        <v>4457.7</v>
      </c>
      <c r="BG218" s="130">
        <f t="shared" si="28"/>
        <v>0</v>
      </c>
      <c r="BH218" s="130">
        <f t="shared" si="29"/>
        <v>0</v>
      </c>
      <c r="BI218" s="130">
        <f t="shared" si="30"/>
        <v>0</v>
      </c>
      <c r="BJ218" s="13" t="s">
        <v>76</v>
      </c>
      <c r="BK218" s="130">
        <f t="shared" si="31"/>
        <v>4457.7</v>
      </c>
      <c r="BL218" s="13" t="s">
        <v>235</v>
      </c>
      <c r="BM218" s="129" t="s">
        <v>497</v>
      </c>
    </row>
    <row r="219" spans="2:65" s="1" customFormat="1" ht="24" customHeight="1" x14ac:dyDescent="0.2">
      <c r="B219" s="118"/>
      <c r="C219" s="119" t="s">
        <v>365</v>
      </c>
      <c r="D219" s="119" t="s">
        <v>231</v>
      </c>
      <c r="E219" s="120" t="s">
        <v>4920</v>
      </c>
      <c r="F219" s="121" t="s">
        <v>4921</v>
      </c>
      <c r="G219" s="122" t="s">
        <v>284</v>
      </c>
      <c r="H219" s="123">
        <v>246</v>
      </c>
      <c r="I219" s="124">
        <v>57.45</v>
      </c>
      <c r="J219" s="124">
        <f t="shared" si="21"/>
        <v>14132.7</v>
      </c>
      <c r="K219" s="121" t="s">
        <v>1</v>
      </c>
      <c r="L219" s="465"/>
      <c r="M219" s="125" t="s">
        <v>1</v>
      </c>
      <c r="N219" s="126" t="s">
        <v>32</v>
      </c>
      <c r="O219" s="127">
        <v>0</v>
      </c>
      <c r="P219" s="127">
        <f t="shared" si="22"/>
        <v>0</v>
      </c>
      <c r="Q219" s="127">
        <v>0</v>
      </c>
      <c r="R219" s="127">
        <f t="shared" si="23"/>
        <v>0</v>
      </c>
      <c r="S219" s="127">
        <v>0</v>
      </c>
      <c r="T219" s="128">
        <f t="shared" si="24"/>
        <v>0</v>
      </c>
      <c r="W219" s="199"/>
      <c r="X219" s="119" t="s">
        <v>365</v>
      </c>
      <c r="Y219" s="119" t="s">
        <v>231</v>
      </c>
      <c r="Z219" s="120" t="s">
        <v>4920</v>
      </c>
      <c r="AA219" s="121" t="s">
        <v>4921</v>
      </c>
      <c r="AB219" s="122" t="s">
        <v>284</v>
      </c>
      <c r="AC219" s="123">
        <v>246</v>
      </c>
      <c r="AD219" s="124">
        <v>57.45</v>
      </c>
      <c r="AE219" s="200">
        <f t="shared" si="25"/>
        <v>14132.7</v>
      </c>
      <c r="AR219" s="129" t="s">
        <v>235</v>
      </c>
      <c r="AT219" s="129" t="s">
        <v>231</v>
      </c>
      <c r="AU219" s="129" t="s">
        <v>76</v>
      </c>
      <c r="AY219" s="13" t="s">
        <v>228</v>
      </c>
      <c r="BE219" s="130">
        <f t="shared" si="26"/>
        <v>0</v>
      </c>
      <c r="BF219" s="130">
        <f t="shared" si="27"/>
        <v>14132.7</v>
      </c>
      <c r="BG219" s="130">
        <f t="shared" si="28"/>
        <v>0</v>
      </c>
      <c r="BH219" s="130">
        <f t="shared" si="29"/>
        <v>0</v>
      </c>
      <c r="BI219" s="130">
        <f t="shared" si="30"/>
        <v>0</v>
      </c>
      <c r="BJ219" s="13" t="s">
        <v>76</v>
      </c>
      <c r="BK219" s="130">
        <f t="shared" si="31"/>
        <v>14132.7</v>
      </c>
      <c r="BL219" s="13" t="s">
        <v>235</v>
      </c>
      <c r="BM219" s="129" t="s">
        <v>500</v>
      </c>
    </row>
    <row r="220" spans="2:65" s="1" customFormat="1" ht="24" customHeight="1" x14ac:dyDescent="0.2">
      <c r="B220" s="118"/>
      <c r="C220" s="119" t="s">
        <v>501</v>
      </c>
      <c r="D220" s="119" t="s">
        <v>231</v>
      </c>
      <c r="E220" s="120" t="s">
        <v>4922</v>
      </c>
      <c r="F220" s="121" t="s">
        <v>4923</v>
      </c>
      <c r="G220" s="122" t="s">
        <v>284</v>
      </c>
      <c r="H220" s="123">
        <v>50</v>
      </c>
      <c r="I220" s="124">
        <v>82.61</v>
      </c>
      <c r="J220" s="124">
        <f t="shared" si="21"/>
        <v>4130.5</v>
      </c>
      <c r="K220" s="121" t="s">
        <v>1</v>
      </c>
      <c r="L220" s="465"/>
      <c r="M220" s="125" t="s">
        <v>1</v>
      </c>
      <c r="N220" s="126" t="s">
        <v>32</v>
      </c>
      <c r="O220" s="127">
        <v>0</v>
      </c>
      <c r="P220" s="127">
        <f t="shared" si="22"/>
        <v>0</v>
      </c>
      <c r="Q220" s="127">
        <v>0</v>
      </c>
      <c r="R220" s="127">
        <f t="shared" si="23"/>
        <v>0</v>
      </c>
      <c r="S220" s="127">
        <v>0</v>
      </c>
      <c r="T220" s="128">
        <f t="shared" si="24"/>
        <v>0</v>
      </c>
      <c r="W220" s="199"/>
      <c r="X220" s="119" t="s">
        <v>501</v>
      </c>
      <c r="Y220" s="119" t="s">
        <v>231</v>
      </c>
      <c r="Z220" s="120" t="s">
        <v>4922</v>
      </c>
      <c r="AA220" s="121" t="s">
        <v>4923</v>
      </c>
      <c r="AB220" s="122" t="s">
        <v>284</v>
      </c>
      <c r="AC220" s="123">
        <v>50</v>
      </c>
      <c r="AD220" s="124">
        <v>82.61</v>
      </c>
      <c r="AE220" s="200">
        <f t="shared" si="25"/>
        <v>4130.5</v>
      </c>
      <c r="AR220" s="129" t="s">
        <v>235</v>
      </c>
      <c r="AT220" s="129" t="s">
        <v>231</v>
      </c>
      <c r="AU220" s="129" t="s">
        <v>76</v>
      </c>
      <c r="AY220" s="13" t="s">
        <v>228</v>
      </c>
      <c r="BE220" s="130">
        <f t="shared" si="26"/>
        <v>0</v>
      </c>
      <c r="BF220" s="130">
        <f t="shared" si="27"/>
        <v>4130.5</v>
      </c>
      <c r="BG220" s="130">
        <f t="shared" si="28"/>
        <v>0</v>
      </c>
      <c r="BH220" s="130">
        <f t="shared" si="29"/>
        <v>0</v>
      </c>
      <c r="BI220" s="130">
        <f t="shared" si="30"/>
        <v>0</v>
      </c>
      <c r="BJ220" s="13" t="s">
        <v>76</v>
      </c>
      <c r="BK220" s="130">
        <f t="shared" si="31"/>
        <v>4130.5</v>
      </c>
      <c r="BL220" s="13" t="s">
        <v>235</v>
      </c>
      <c r="BM220" s="129" t="s">
        <v>504</v>
      </c>
    </row>
    <row r="221" spans="2:65" s="1" customFormat="1" ht="16.5" customHeight="1" x14ac:dyDescent="0.2">
      <c r="B221" s="118"/>
      <c r="C221" s="119" t="s">
        <v>368</v>
      </c>
      <c r="D221" s="119" t="s">
        <v>231</v>
      </c>
      <c r="E221" s="120" t="s">
        <v>4124</v>
      </c>
      <c r="F221" s="121" t="s">
        <v>4125</v>
      </c>
      <c r="G221" s="122" t="s">
        <v>284</v>
      </c>
      <c r="H221" s="123">
        <v>56</v>
      </c>
      <c r="I221" s="124">
        <v>56.02</v>
      </c>
      <c r="J221" s="124">
        <f t="shared" si="21"/>
        <v>3137.12</v>
      </c>
      <c r="K221" s="121" t="s">
        <v>1</v>
      </c>
      <c r="L221" s="465"/>
      <c r="M221" s="125" t="s">
        <v>1</v>
      </c>
      <c r="N221" s="126" t="s">
        <v>32</v>
      </c>
      <c r="O221" s="127">
        <v>0</v>
      </c>
      <c r="P221" s="127">
        <f t="shared" si="22"/>
        <v>0</v>
      </c>
      <c r="Q221" s="127">
        <v>0</v>
      </c>
      <c r="R221" s="127">
        <f t="shared" si="23"/>
        <v>0</v>
      </c>
      <c r="S221" s="127">
        <v>0</v>
      </c>
      <c r="T221" s="128">
        <f t="shared" si="24"/>
        <v>0</v>
      </c>
      <c r="W221" s="199"/>
      <c r="X221" s="119" t="s">
        <v>368</v>
      </c>
      <c r="Y221" s="119" t="s">
        <v>231</v>
      </c>
      <c r="Z221" s="120" t="s">
        <v>4124</v>
      </c>
      <c r="AA221" s="121" t="s">
        <v>4125</v>
      </c>
      <c r="AB221" s="122" t="s">
        <v>284</v>
      </c>
      <c r="AC221" s="123">
        <v>56</v>
      </c>
      <c r="AD221" s="124">
        <v>56.02</v>
      </c>
      <c r="AE221" s="200">
        <f t="shared" si="25"/>
        <v>3137.12</v>
      </c>
      <c r="AR221" s="129" t="s">
        <v>235</v>
      </c>
      <c r="AT221" s="129" t="s">
        <v>231</v>
      </c>
      <c r="AU221" s="129" t="s">
        <v>76</v>
      </c>
      <c r="AY221" s="13" t="s">
        <v>228</v>
      </c>
      <c r="BE221" s="130">
        <f t="shared" si="26"/>
        <v>0</v>
      </c>
      <c r="BF221" s="130">
        <f t="shared" si="27"/>
        <v>3137.12</v>
      </c>
      <c r="BG221" s="130">
        <f t="shared" si="28"/>
        <v>0</v>
      </c>
      <c r="BH221" s="130">
        <f t="shared" si="29"/>
        <v>0</v>
      </c>
      <c r="BI221" s="130">
        <f t="shared" si="30"/>
        <v>0</v>
      </c>
      <c r="BJ221" s="13" t="s">
        <v>76</v>
      </c>
      <c r="BK221" s="130">
        <f t="shared" si="31"/>
        <v>3137.12</v>
      </c>
      <c r="BL221" s="13" t="s">
        <v>235</v>
      </c>
      <c r="BM221" s="129" t="s">
        <v>507</v>
      </c>
    </row>
    <row r="222" spans="2:65" s="1" customFormat="1" ht="16.5" customHeight="1" x14ac:dyDescent="0.2">
      <c r="B222" s="118"/>
      <c r="C222" s="119" t="s">
        <v>508</v>
      </c>
      <c r="D222" s="119" t="s">
        <v>231</v>
      </c>
      <c r="E222" s="120" t="s">
        <v>4924</v>
      </c>
      <c r="F222" s="121" t="s">
        <v>4121</v>
      </c>
      <c r="G222" s="122" t="s">
        <v>1172</v>
      </c>
      <c r="H222" s="123">
        <v>1</v>
      </c>
      <c r="I222" s="124">
        <v>580.5</v>
      </c>
      <c r="J222" s="124">
        <f t="shared" si="21"/>
        <v>580.5</v>
      </c>
      <c r="K222" s="121" t="s">
        <v>1</v>
      </c>
      <c r="L222" s="465"/>
      <c r="M222" s="125" t="s">
        <v>1</v>
      </c>
      <c r="N222" s="126" t="s">
        <v>32</v>
      </c>
      <c r="O222" s="127">
        <v>0</v>
      </c>
      <c r="P222" s="127">
        <f t="shared" si="22"/>
        <v>0</v>
      </c>
      <c r="Q222" s="127">
        <v>0</v>
      </c>
      <c r="R222" s="127">
        <f t="shared" si="23"/>
        <v>0</v>
      </c>
      <c r="S222" s="127">
        <v>0</v>
      </c>
      <c r="T222" s="128">
        <f t="shared" si="24"/>
        <v>0</v>
      </c>
      <c r="W222" s="199"/>
      <c r="X222" s="119" t="s">
        <v>508</v>
      </c>
      <c r="Y222" s="119" t="s">
        <v>231</v>
      </c>
      <c r="Z222" s="120" t="s">
        <v>4924</v>
      </c>
      <c r="AA222" s="121" t="s">
        <v>4121</v>
      </c>
      <c r="AB222" s="122" t="s">
        <v>1172</v>
      </c>
      <c r="AC222" s="123">
        <v>1</v>
      </c>
      <c r="AD222" s="124">
        <v>580.5</v>
      </c>
      <c r="AE222" s="200">
        <f t="shared" si="25"/>
        <v>580.5</v>
      </c>
      <c r="AR222" s="129" t="s">
        <v>235</v>
      </c>
      <c r="AT222" s="129" t="s">
        <v>231</v>
      </c>
      <c r="AU222" s="129" t="s">
        <v>76</v>
      </c>
      <c r="AY222" s="13" t="s">
        <v>228</v>
      </c>
      <c r="BE222" s="130">
        <f t="shared" si="26"/>
        <v>0</v>
      </c>
      <c r="BF222" s="130">
        <f t="shared" si="27"/>
        <v>580.5</v>
      </c>
      <c r="BG222" s="130">
        <f t="shared" si="28"/>
        <v>0</v>
      </c>
      <c r="BH222" s="130">
        <f t="shared" si="29"/>
        <v>0</v>
      </c>
      <c r="BI222" s="130">
        <f t="shared" si="30"/>
        <v>0</v>
      </c>
      <c r="BJ222" s="13" t="s">
        <v>76</v>
      </c>
      <c r="BK222" s="130">
        <f t="shared" si="31"/>
        <v>580.5</v>
      </c>
      <c r="BL222" s="13" t="s">
        <v>235</v>
      </c>
      <c r="BM222" s="129" t="s">
        <v>511</v>
      </c>
    </row>
    <row r="223" spans="2:65" s="1" customFormat="1" ht="16.5" customHeight="1" x14ac:dyDescent="0.2">
      <c r="B223" s="118"/>
      <c r="C223" s="119" t="s">
        <v>372</v>
      </c>
      <c r="D223" s="119" t="s">
        <v>231</v>
      </c>
      <c r="E223" s="120" t="s">
        <v>2696</v>
      </c>
      <c r="F223" s="121" t="s">
        <v>2697</v>
      </c>
      <c r="G223" s="122" t="s">
        <v>284</v>
      </c>
      <c r="H223" s="123">
        <v>320</v>
      </c>
      <c r="I223" s="124">
        <v>5.25</v>
      </c>
      <c r="J223" s="124">
        <f t="shared" si="21"/>
        <v>1680</v>
      </c>
      <c r="K223" s="121" t="s">
        <v>1</v>
      </c>
      <c r="L223" s="465"/>
      <c r="M223" s="125" t="s">
        <v>1</v>
      </c>
      <c r="N223" s="126" t="s">
        <v>32</v>
      </c>
      <c r="O223" s="127">
        <v>0</v>
      </c>
      <c r="P223" s="127">
        <f t="shared" si="22"/>
        <v>0</v>
      </c>
      <c r="Q223" s="127">
        <v>0</v>
      </c>
      <c r="R223" s="127">
        <f t="shared" si="23"/>
        <v>0</v>
      </c>
      <c r="S223" s="127">
        <v>0</v>
      </c>
      <c r="T223" s="128">
        <f t="shared" si="24"/>
        <v>0</v>
      </c>
      <c r="W223" s="199"/>
      <c r="X223" s="119" t="s">
        <v>372</v>
      </c>
      <c r="Y223" s="119" t="s">
        <v>231</v>
      </c>
      <c r="Z223" s="120" t="s">
        <v>2696</v>
      </c>
      <c r="AA223" s="121" t="s">
        <v>2697</v>
      </c>
      <c r="AB223" s="122" t="s">
        <v>284</v>
      </c>
      <c r="AC223" s="123">
        <v>320</v>
      </c>
      <c r="AD223" s="124">
        <v>5.25</v>
      </c>
      <c r="AE223" s="200">
        <f t="shared" si="25"/>
        <v>1680</v>
      </c>
      <c r="AR223" s="129" t="s">
        <v>235</v>
      </c>
      <c r="AT223" s="129" t="s">
        <v>231</v>
      </c>
      <c r="AU223" s="129" t="s">
        <v>76</v>
      </c>
      <c r="AY223" s="13" t="s">
        <v>228</v>
      </c>
      <c r="BE223" s="130">
        <f t="shared" si="26"/>
        <v>0</v>
      </c>
      <c r="BF223" s="130">
        <f t="shared" si="27"/>
        <v>1680</v>
      </c>
      <c r="BG223" s="130">
        <f t="shared" si="28"/>
        <v>0</v>
      </c>
      <c r="BH223" s="130">
        <f t="shared" si="29"/>
        <v>0</v>
      </c>
      <c r="BI223" s="130">
        <f t="shared" si="30"/>
        <v>0</v>
      </c>
      <c r="BJ223" s="13" t="s">
        <v>76</v>
      </c>
      <c r="BK223" s="130">
        <f t="shared" si="31"/>
        <v>1680</v>
      </c>
      <c r="BL223" s="13" t="s">
        <v>235</v>
      </c>
      <c r="BM223" s="129" t="s">
        <v>514</v>
      </c>
    </row>
    <row r="224" spans="2:65" s="1" customFormat="1" ht="24" customHeight="1" x14ac:dyDescent="0.2">
      <c r="B224" s="118"/>
      <c r="C224" s="119" t="s">
        <v>515</v>
      </c>
      <c r="D224" s="119" t="s">
        <v>231</v>
      </c>
      <c r="E224" s="120" t="s">
        <v>2698</v>
      </c>
      <c r="F224" s="121" t="s">
        <v>2699</v>
      </c>
      <c r="G224" s="122" t="s">
        <v>284</v>
      </c>
      <c r="H224" s="123">
        <v>10</v>
      </c>
      <c r="I224" s="124">
        <v>7.84</v>
      </c>
      <c r="J224" s="124">
        <f t="shared" si="21"/>
        <v>78.400000000000006</v>
      </c>
      <c r="K224" s="121" t="s">
        <v>1</v>
      </c>
      <c r="L224" s="465"/>
      <c r="M224" s="125" t="s">
        <v>1</v>
      </c>
      <c r="N224" s="126" t="s">
        <v>32</v>
      </c>
      <c r="O224" s="127">
        <v>0</v>
      </c>
      <c r="P224" s="127">
        <f t="shared" si="22"/>
        <v>0</v>
      </c>
      <c r="Q224" s="127">
        <v>0</v>
      </c>
      <c r="R224" s="127">
        <f t="shared" si="23"/>
        <v>0</v>
      </c>
      <c r="S224" s="127">
        <v>0</v>
      </c>
      <c r="T224" s="128">
        <f t="shared" si="24"/>
        <v>0</v>
      </c>
      <c r="W224" s="199"/>
      <c r="X224" s="119" t="s">
        <v>515</v>
      </c>
      <c r="Y224" s="119" t="s">
        <v>231</v>
      </c>
      <c r="Z224" s="120" t="s">
        <v>2698</v>
      </c>
      <c r="AA224" s="121" t="s">
        <v>2699</v>
      </c>
      <c r="AB224" s="122" t="s">
        <v>284</v>
      </c>
      <c r="AC224" s="123">
        <v>10</v>
      </c>
      <c r="AD224" s="124">
        <v>7.84</v>
      </c>
      <c r="AE224" s="200">
        <f t="shared" si="25"/>
        <v>78.400000000000006</v>
      </c>
      <c r="AR224" s="129" t="s">
        <v>235</v>
      </c>
      <c r="AT224" s="129" t="s">
        <v>231</v>
      </c>
      <c r="AU224" s="129" t="s">
        <v>76</v>
      </c>
      <c r="AY224" s="13" t="s">
        <v>228</v>
      </c>
      <c r="BE224" s="130">
        <f t="shared" si="26"/>
        <v>0</v>
      </c>
      <c r="BF224" s="130">
        <f t="shared" si="27"/>
        <v>78.400000000000006</v>
      </c>
      <c r="BG224" s="130">
        <f t="shared" si="28"/>
        <v>0</v>
      </c>
      <c r="BH224" s="130">
        <f t="shared" si="29"/>
        <v>0</v>
      </c>
      <c r="BI224" s="130">
        <f t="shared" si="30"/>
        <v>0</v>
      </c>
      <c r="BJ224" s="13" t="s">
        <v>76</v>
      </c>
      <c r="BK224" s="130">
        <f t="shared" si="31"/>
        <v>78.400000000000006</v>
      </c>
      <c r="BL224" s="13" t="s">
        <v>235</v>
      </c>
      <c r="BM224" s="129" t="s">
        <v>518</v>
      </c>
    </row>
    <row r="225" spans="2:65" s="1" customFormat="1" ht="16.5" customHeight="1" x14ac:dyDescent="0.2">
      <c r="B225" s="118"/>
      <c r="C225" s="119" t="s">
        <v>375</v>
      </c>
      <c r="D225" s="119" t="s">
        <v>231</v>
      </c>
      <c r="E225" s="120" t="s">
        <v>2700</v>
      </c>
      <c r="F225" s="121" t="s">
        <v>2701</v>
      </c>
      <c r="G225" s="122" t="s">
        <v>1194</v>
      </c>
      <c r="H225" s="123">
        <v>30</v>
      </c>
      <c r="I225" s="124">
        <v>7.55</v>
      </c>
      <c r="J225" s="124">
        <f t="shared" si="21"/>
        <v>226.5</v>
      </c>
      <c r="K225" s="121" t="s">
        <v>1</v>
      </c>
      <c r="L225" s="465"/>
      <c r="M225" s="125" t="s">
        <v>1</v>
      </c>
      <c r="N225" s="126" t="s">
        <v>32</v>
      </c>
      <c r="O225" s="127">
        <v>0</v>
      </c>
      <c r="P225" s="127">
        <f t="shared" si="22"/>
        <v>0</v>
      </c>
      <c r="Q225" s="127">
        <v>0</v>
      </c>
      <c r="R225" s="127">
        <f t="shared" si="23"/>
        <v>0</v>
      </c>
      <c r="S225" s="127">
        <v>0</v>
      </c>
      <c r="T225" s="128">
        <f t="shared" si="24"/>
        <v>0</v>
      </c>
      <c r="W225" s="199"/>
      <c r="X225" s="119" t="s">
        <v>375</v>
      </c>
      <c r="Y225" s="119" t="s">
        <v>231</v>
      </c>
      <c r="Z225" s="120" t="s">
        <v>2700</v>
      </c>
      <c r="AA225" s="121" t="s">
        <v>2701</v>
      </c>
      <c r="AB225" s="122" t="s">
        <v>1194</v>
      </c>
      <c r="AC225" s="123">
        <v>30</v>
      </c>
      <c r="AD225" s="124">
        <v>7.55</v>
      </c>
      <c r="AE225" s="200">
        <f t="shared" si="25"/>
        <v>226.5</v>
      </c>
      <c r="AR225" s="129" t="s">
        <v>235</v>
      </c>
      <c r="AT225" s="129" t="s">
        <v>231</v>
      </c>
      <c r="AU225" s="129" t="s">
        <v>76</v>
      </c>
      <c r="AY225" s="13" t="s">
        <v>228</v>
      </c>
      <c r="BE225" s="130">
        <f t="shared" si="26"/>
        <v>0</v>
      </c>
      <c r="BF225" s="130">
        <f t="shared" si="27"/>
        <v>226.5</v>
      </c>
      <c r="BG225" s="130">
        <f t="shared" si="28"/>
        <v>0</v>
      </c>
      <c r="BH225" s="130">
        <f t="shared" si="29"/>
        <v>0</v>
      </c>
      <c r="BI225" s="130">
        <f t="shared" si="30"/>
        <v>0</v>
      </c>
      <c r="BJ225" s="13" t="s">
        <v>76</v>
      </c>
      <c r="BK225" s="130">
        <f t="shared" si="31"/>
        <v>226.5</v>
      </c>
      <c r="BL225" s="13" t="s">
        <v>235</v>
      </c>
      <c r="BM225" s="129" t="s">
        <v>521</v>
      </c>
    </row>
    <row r="226" spans="2:65" s="1" customFormat="1" ht="16.5" customHeight="1" x14ac:dyDescent="0.2">
      <c r="B226" s="118"/>
      <c r="C226" s="119" t="s">
        <v>522</v>
      </c>
      <c r="D226" s="119" t="s">
        <v>231</v>
      </c>
      <c r="E226" s="120" t="s">
        <v>2702</v>
      </c>
      <c r="F226" s="121" t="s">
        <v>2703</v>
      </c>
      <c r="G226" s="122" t="s">
        <v>1194</v>
      </c>
      <c r="H226" s="123">
        <v>60</v>
      </c>
      <c r="I226" s="124">
        <v>5.22</v>
      </c>
      <c r="J226" s="124">
        <f t="shared" si="21"/>
        <v>313.2</v>
      </c>
      <c r="K226" s="121" t="s">
        <v>1</v>
      </c>
      <c r="L226" s="465"/>
      <c r="M226" s="125" t="s">
        <v>1</v>
      </c>
      <c r="N226" s="126" t="s">
        <v>32</v>
      </c>
      <c r="O226" s="127">
        <v>0</v>
      </c>
      <c r="P226" s="127">
        <f t="shared" si="22"/>
        <v>0</v>
      </c>
      <c r="Q226" s="127">
        <v>0</v>
      </c>
      <c r="R226" s="127">
        <f t="shared" si="23"/>
        <v>0</v>
      </c>
      <c r="S226" s="127">
        <v>0</v>
      </c>
      <c r="T226" s="128">
        <f t="shared" si="24"/>
        <v>0</v>
      </c>
      <c r="W226" s="199"/>
      <c r="X226" s="119" t="s">
        <v>522</v>
      </c>
      <c r="Y226" s="119" t="s">
        <v>231</v>
      </c>
      <c r="Z226" s="120" t="s">
        <v>2702</v>
      </c>
      <c r="AA226" s="121" t="s">
        <v>2703</v>
      </c>
      <c r="AB226" s="122" t="s">
        <v>1194</v>
      </c>
      <c r="AC226" s="123">
        <v>60</v>
      </c>
      <c r="AD226" s="124">
        <v>5.22</v>
      </c>
      <c r="AE226" s="200">
        <f t="shared" si="25"/>
        <v>313.2</v>
      </c>
      <c r="AR226" s="129" t="s">
        <v>235</v>
      </c>
      <c r="AT226" s="129" t="s">
        <v>231</v>
      </c>
      <c r="AU226" s="129" t="s">
        <v>76</v>
      </c>
      <c r="AY226" s="13" t="s">
        <v>228</v>
      </c>
      <c r="BE226" s="130">
        <f t="shared" si="26"/>
        <v>0</v>
      </c>
      <c r="BF226" s="130">
        <f t="shared" si="27"/>
        <v>313.2</v>
      </c>
      <c r="BG226" s="130">
        <f t="shared" si="28"/>
        <v>0</v>
      </c>
      <c r="BH226" s="130">
        <f t="shared" si="29"/>
        <v>0</v>
      </c>
      <c r="BI226" s="130">
        <f t="shared" si="30"/>
        <v>0</v>
      </c>
      <c r="BJ226" s="13" t="s">
        <v>76</v>
      </c>
      <c r="BK226" s="130">
        <f t="shared" si="31"/>
        <v>313.2</v>
      </c>
      <c r="BL226" s="13" t="s">
        <v>235</v>
      </c>
      <c r="BM226" s="129" t="s">
        <v>525</v>
      </c>
    </row>
    <row r="227" spans="2:65" s="1" customFormat="1" ht="24" customHeight="1" x14ac:dyDescent="0.2">
      <c r="B227" s="118"/>
      <c r="C227" s="119" t="s">
        <v>379</v>
      </c>
      <c r="D227" s="119" t="s">
        <v>231</v>
      </c>
      <c r="E227" s="120" t="s">
        <v>2704</v>
      </c>
      <c r="F227" s="121" t="s">
        <v>2705</v>
      </c>
      <c r="G227" s="122" t="s">
        <v>1035</v>
      </c>
      <c r="H227" s="123">
        <v>150</v>
      </c>
      <c r="I227" s="124">
        <v>8.84</v>
      </c>
      <c r="J227" s="124">
        <f t="shared" si="21"/>
        <v>1326</v>
      </c>
      <c r="K227" s="121" t="s">
        <v>1</v>
      </c>
      <c r="L227" s="465"/>
      <c r="M227" s="125" t="s">
        <v>1</v>
      </c>
      <c r="N227" s="126" t="s">
        <v>32</v>
      </c>
      <c r="O227" s="127">
        <v>0</v>
      </c>
      <c r="P227" s="127">
        <f t="shared" si="22"/>
        <v>0</v>
      </c>
      <c r="Q227" s="127">
        <v>0</v>
      </c>
      <c r="R227" s="127">
        <f t="shared" si="23"/>
        <v>0</v>
      </c>
      <c r="S227" s="127">
        <v>0</v>
      </c>
      <c r="T227" s="128">
        <f t="shared" si="24"/>
        <v>0</v>
      </c>
      <c r="W227" s="199"/>
      <c r="X227" s="119" t="s">
        <v>379</v>
      </c>
      <c r="Y227" s="119" t="s">
        <v>231</v>
      </c>
      <c r="Z227" s="120" t="s">
        <v>2704</v>
      </c>
      <c r="AA227" s="121" t="s">
        <v>2705</v>
      </c>
      <c r="AB227" s="122" t="s">
        <v>1035</v>
      </c>
      <c r="AC227" s="123">
        <v>150</v>
      </c>
      <c r="AD227" s="124">
        <v>8.84</v>
      </c>
      <c r="AE227" s="200">
        <f t="shared" si="25"/>
        <v>1326</v>
      </c>
      <c r="AR227" s="129" t="s">
        <v>235</v>
      </c>
      <c r="AT227" s="129" t="s">
        <v>231</v>
      </c>
      <c r="AU227" s="129" t="s">
        <v>76</v>
      </c>
      <c r="AY227" s="13" t="s">
        <v>228</v>
      </c>
      <c r="BE227" s="130">
        <f t="shared" si="26"/>
        <v>0</v>
      </c>
      <c r="BF227" s="130">
        <f t="shared" si="27"/>
        <v>1326</v>
      </c>
      <c r="BG227" s="130">
        <f t="shared" si="28"/>
        <v>0</v>
      </c>
      <c r="BH227" s="130">
        <f t="shared" si="29"/>
        <v>0</v>
      </c>
      <c r="BI227" s="130">
        <f t="shared" si="30"/>
        <v>0</v>
      </c>
      <c r="BJ227" s="13" t="s">
        <v>76</v>
      </c>
      <c r="BK227" s="130">
        <f t="shared" si="31"/>
        <v>1326</v>
      </c>
      <c r="BL227" s="13" t="s">
        <v>235</v>
      </c>
      <c r="BM227" s="129" t="s">
        <v>528</v>
      </c>
    </row>
    <row r="228" spans="2:65" s="1" customFormat="1" ht="16.5" customHeight="1" x14ac:dyDescent="0.2">
      <c r="B228" s="118"/>
      <c r="C228" s="119" t="s">
        <v>529</v>
      </c>
      <c r="D228" s="119" t="s">
        <v>231</v>
      </c>
      <c r="E228" s="120" t="s">
        <v>4925</v>
      </c>
      <c r="F228" s="121" t="s">
        <v>4926</v>
      </c>
      <c r="G228" s="122" t="s">
        <v>4927</v>
      </c>
      <c r="H228" s="123">
        <v>860</v>
      </c>
      <c r="I228" s="124">
        <v>4.09</v>
      </c>
      <c r="J228" s="124">
        <f t="shared" si="21"/>
        <v>3517.4</v>
      </c>
      <c r="K228" s="121" t="s">
        <v>1</v>
      </c>
      <c r="L228" s="465"/>
      <c r="M228" s="125" t="s">
        <v>1</v>
      </c>
      <c r="N228" s="126" t="s">
        <v>32</v>
      </c>
      <c r="O228" s="127">
        <v>0</v>
      </c>
      <c r="P228" s="127">
        <f t="shared" si="22"/>
        <v>0</v>
      </c>
      <c r="Q228" s="127">
        <v>0</v>
      </c>
      <c r="R228" s="127">
        <f t="shared" si="23"/>
        <v>0</v>
      </c>
      <c r="S228" s="127">
        <v>0</v>
      </c>
      <c r="T228" s="128">
        <f t="shared" si="24"/>
        <v>0</v>
      </c>
      <c r="W228" s="199"/>
      <c r="X228" s="119" t="s">
        <v>529</v>
      </c>
      <c r="Y228" s="119" t="s">
        <v>231</v>
      </c>
      <c r="Z228" s="120" t="s">
        <v>4925</v>
      </c>
      <c r="AA228" s="121" t="s">
        <v>4926</v>
      </c>
      <c r="AB228" s="122" t="s">
        <v>4927</v>
      </c>
      <c r="AC228" s="123">
        <v>860</v>
      </c>
      <c r="AD228" s="124">
        <v>4.09</v>
      </c>
      <c r="AE228" s="200">
        <f t="shared" si="25"/>
        <v>3517.4</v>
      </c>
      <c r="AR228" s="129" t="s">
        <v>235</v>
      </c>
      <c r="AT228" s="129" t="s">
        <v>231</v>
      </c>
      <c r="AU228" s="129" t="s">
        <v>76</v>
      </c>
      <c r="AY228" s="13" t="s">
        <v>228</v>
      </c>
      <c r="BE228" s="130">
        <f t="shared" si="26"/>
        <v>0</v>
      </c>
      <c r="BF228" s="130">
        <f t="shared" si="27"/>
        <v>3517.4</v>
      </c>
      <c r="BG228" s="130">
        <f t="shared" si="28"/>
        <v>0</v>
      </c>
      <c r="BH228" s="130">
        <f t="shared" si="29"/>
        <v>0</v>
      </c>
      <c r="BI228" s="130">
        <f t="shared" si="30"/>
        <v>0</v>
      </c>
      <c r="BJ228" s="13" t="s">
        <v>76</v>
      </c>
      <c r="BK228" s="130">
        <f t="shared" si="31"/>
        <v>3517.4</v>
      </c>
      <c r="BL228" s="13" t="s">
        <v>235</v>
      </c>
      <c r="BM228" s="129" t="s">
        <v>532</v>
      </c>
    </row>
    <row r="229" spans="2:65" s="1" customFormat="1" ht="16.5" customHeight="1" x14ac:dyDescent="0.2">
      <c r="B229" s="118"/>
      <c r="C229" s="119" t="s">
        <v>382</v>
      </c>
      <c r="D229" s="119" t="s">
        <v>231</v>
      </c>
      <c r="E229" s="120" t="s">
        <v>4928</v>
      </c>
      <c r="F229" s="121" t="s">
        <v>4929</v>
      </c>
      <c r="G229" s="122" t="s">
        <v>1194</v>
      </c>
      <c r="H229" s="123">
        <v>1</v>
      </c>
      <c r="I229" s="124">
        <v>495.75</v>
      </c>
      <c r="J229" s="124">
        <f t="shared" si="21"/>
        <v>495.75</v>
      </c>
      <c r="K229" s="121" t="s">
        <v>1</v>
      </c>
      <c r="L229" s="465"/>
      <c r="M229" s="125" t="s">
        <v>1</v>
      </c>
      <c r="N229" s="126" t="s">
        <v>32</v>
      </c>
      <c r="O229" s="127">
        <v>0</v>
      </c>
      <c r="P229" s="127">
        <f t="shared" si="22"/>
        <v>0</v>
      </c>
      <c r="Q229" s="127">
        <v>0</v>
      </c>
      <c r="R229" s="127">
        <f t="shared" si="23"/>
        <v>0</v>
      </c>
      <c r="S229" s="127">
        <v>0</v>
      </c>
      <c r="T229" s="128">
        <f t="shared" si="24"/>
        <v>0</v>
      </c>
      <c r="W229" s="199"/>
      <c r="X229" s="119" t="s">
        <v>382</v>
      </c>
      <c r="Y229" s="119" t="s">
        <v>231</v>
      </c>
      <c r="Z229" s="120" t="s">
        <v>4928</v>
      </c>
      <c r="AA229" s="121" t="s">
        <v>4929</v>
      </c>
      <c r="AB229" s="122" t="s">
        <v>1194</v>
      </c>
      <c r="AC229" s="123">
        <v>1</v>
      </c>
      <c r="AD229" s="124">
        <v>495.75</v>
      </c>
      <c r="AE229" s="200">
        <f t="shared" si="25"/>
        <v>495.75</v>
      </c>
      <c r="AR229" s="129" t="s">
        <v>235</v>
      </c>
      <c r="AT229" s="129" t="s">
        <v>231</v>
      </c>
      <c r="AU229" s="129" t="s">
        <v>76</v>
      </c>
      <c r="AY229" s="13" t="s">
        <v>228</v>
      </c>
      <c r="BE229" s="130">
        <f t="shared" si="26"/>
        <v>0</v>
      </c>
      <c r="BF229" s="130">
        <f t="shared" si="27"/>
        <v>495.75</v>
      </c>
      <c r="BG229" s="130">
        <f t="shared" si="28"/>
        <v>0</v>
      </c>
      <c r="BH229" s="130">
        <f t="shared" si="29"/>
        <v>0</v>
      </c>
      <c r="BI229" s="130">
        <f t="shared" si="30"/>
        <v>0</v>
      </c>
      <c r="BJ229" s="13" t="s">
        <v>76</v>
      </c>
      <c r="BK229" s="130">
        <f t="shared" si="31"/>
        <v>495.75</v>
      </c>
      <c r="BL229" s="13" t="s">
        <v>235</v>
      </c>
      <c r="BM229" s="129" t="s">
        <v>535</v>
      </c>
    </row>
    <row r="230" spans="2:65" s="1" customFormat="1" ht="16.5" customHeight="1" x14ac:dyDescent="0.2">
      <c r="B230" s="118"/>
      <c r="C230" s="119" t="s">
        <v>536</v>
      </c>
      <c r="D230" s="119" t="s">
        <v>231</v>
      </c>
      <c r="E230" s="120" t="s">
        <v>4930</v>
      </c>
      <c r="F230" s="121" t="s">
        <v>4931</v>
      </c>
      <c r="G230" s="122" t="s">
        <v>1194</v>
      </c>
      <c r="H230" s="123">
        <v>1</v>
      </c>
      <c r="I230" s="124">
        <v>791.8</v>
      </c>
      <c r="J230" s="124">
        <f t="shared" si="21"/>
        <v>791.8</v>
      </c>
      <c r="K230" s="121" t="s">
        <v>1</v>
      </c>
      <c r="L230" s="465"/>
      <c r="M230" s="125" t="s">
        <v>1</v>
      </c>
      <c r="N230" s="126" t="s">
        <v>32</v>
      </c>
      <c r="O230" s="127">
        <v>0</v>
      </c>
      <c r="P230" s="127">
        <f t="shared" si="22"/>
        <v>0</v>
      </c>
      <c r="Q230" s="127">
        <v>0</v>
      </c>
      <c r="R230" s="127">
        <f t="shared" si="23"/>
        <v>0</v>
      </c>
      <c r="S230" s="127">
        <v>0</v>
      </c>
      <c r="T230" s="128">
        <f t="shared" si="24"/>
        <v>0</v>
      </c>
      <c r="W230" s="199"/>
      <c r="X230" s="119" t="s">
        <v>536</v>
      </c>
      <c r="Y230" s="119" t="s">
        <v>231</v>
      </c>
      <c r="Z230" s="120" t="s">
        <v>4930</v>
      </c>
      <c r="AA230" s="121" t="s">
        <v>4931</v>
      </c>
      <c r="AB230" s="122" t="s">
        <v>1194</v>
      </c>
      <c r="AC230" s="123">
        <v>1</v>
      </c>
      <c r="AD230" s="124">
        <v>791.8</v>
      </c>
      <c r="AE230" s="200">
        <f t="shared" si="25"/>
        <v>791.8</v>
      </c>
      <c r="AR230" s="129" t="s">
        <v>235</v>
      </c>
      <c r="AT230" s="129" t="s">
        <v>231</v>
      </c>
      <c r="AU230" s="129" t="s">
        <v>76</v>
      </c>
      <c r="AY230" s="13" t="s">
        <v>228</v>
      </c>
      <c r="BE230" s="130">
        <f t="shared" si="26"/>
        <v>0</v>
      </c>
      <c r="BF230" s="130">
        <f t="shared" si="27"/>
        <v>791.8</v>
      </c>
      <c r="BG230" s="130">
        <f t="shared" si="28"/>
        <v>0</v>
      </c>
      <c r="BH230" s="130">
        <f t="shared" si="29"/>
        <v>0</v>
      </c>
      <c r="BI230" s="130">
        <f t="shared" si="30"/>
        <v>0</v>
      </c>
      <c r="BJ230" s="13" t="s">
        <v>76</v>
      </c>
      <c r="BK230" s="130">
        <f t="shared" si="31"/>
        <v>791.8</v>
      </c>
      <c r="BL230" s="13" t="s">
        <v>235</v>
      </c>
      <c r="BM230" s="129" t="s">
        <v>539</v>
      </c>
    </row>
    <row r="231" spans="2:65" s="1" customFormat="1" ht="16.5" customHeight="1" x14ac:dyDescent="0.2">
      <c r="B231" s="118"/>
      <c r="C231" s="119" t="s">
        <v>386</v>
      </c>
      <c r="D231" s="119" t="s">
        <v>231</v>
      </c>
      <c r="E231" s="120" t="s">
        <v>4932</v>
      </c>
      <c r="F231" s="121" t="s">
        <v>4933</v>
      </c>
      <c r="G231" s="122" t="s">
        <v>1194</v>
      </c>
      <c r="H231" s="123">
        <v>1</v>
      </c>
      <c r="I231" s="124">
        <v>348.3</v>
      </c>
      <c r="J231" s="124">
        <f t="shared" si="21"/>
        <v>348.3</v>
      </c>
      <c r="K231" s="121" t="s">
        <v>1</v>
      </c>
      <c r="L231" s="465"/>
      <c r="M231" s="125" t="s">
        <v>1</v>
      </c>
      <c r="N231" s="126" t="s">
        <v>32</v>
      </c>
      <c r="O231" s="127">
        <v>0</v>
      </c>
      <c r="P231" s="127">
        <f t="shared" si="22"/>
        <v>0</v>
      </c>
      <c r="Q231" s="127">
        <v>0</v>
      </c>
      <c r="R231" s="127">
        <f t="shared" si="23"/>
        <v>0</v>
      </c>
      <c r="S231" s="127">
        <v>0</v>
      </c>
      <c r="T231" s="128">
        <f t="shared" si="24"/>
        <v>0</v>
      </c>
      <c r="W231" s="199"/>
      <c r="X231" s="119" t="s">
        <v>386</v>
      </c>
      <c r="Y231" s="119" t="s">
        <v>231</v>
      </c>
      <c r="Z231" s="120" t="s">
        <v>4932</v>
      </c>
      <c r="AA231" s="121" t="s">
        <v>4933</v>
      </c>
      <c r="AB231" s="122" t="s">
        <v>1194</v>
      </c>
      <c r="AC231" s="123">
        <v>1</v>
      </c>
      <c r="AD231" s="124">
        <v>348.3</v>
      </c>
      <c r="AE231" s="200">
        <f t="shared" si="25"/>
        <v>348.3</v>
      </c>
      <c r="AR231" s="129" t="s">
        <v>235</v>
      </c>
      <c r="AT231" s="129" t="s">
        <v>231</v>
      </c>
      <c r="AU231" s="129" t="s">
        <v>76</v>
      </c>
      <c r="AY231" s="13" t="s">
        <v>228</v>
      </c>
      <c r="BE231" s="130">
        <f t="shared" si="26"/>
        <v>0</v>
      </c>
      <c r="BF231" s="130">
        <f t="shared" si="27"/>
        <v>348.3</v>
      </c>
      <c r="BG231" s="130">
        <f t="shared" si="28"/>
        <v>0</v>
      </c>
      <c r="BH231" s="130">
        <f t="shared" si="29"/>
        <v>0</v>
      </c>
      <c r="BI231" s="130">
        <f t="shared" si="30"/>
        <v>0</v>
      </c>
      <c r="BJ231" s="13" t="s">
        <v>76</v>
      </c>
      <c r="BK231" s="130">
        <f t="shared" si="31"/>
        <v>348.3</v>
      </c>
      <c r="BL231" s="13" t="s">
        <v>235</v>
      </c>
      <c r="BM231" s="129" t="s">
        <v>542</v>
      </c>
    </row>
    <row r="232" spans="2:65" s="1" customFormat="1" ht="16.5" customHeight="1" x14ac:dyDescent="0.2">
      <c r="B232" s="118"/>
      <c r="C232" s="119" t="s">
        <v>543</v>
      </c>
      <c r="D232" s="119" t="s">
        <v>231</v>
      </c>
      <c r="E232" s="120" t="s">
        <v>4934</v>
      </c>
      <c r="F232" s="121" t="s">
        <v>4935</v>
      </c>
      <c r="G232" s="122" t="s">
        <v>1194</v>
      </c>
      <c r="H232" s="123">
        <v>1</v>
      </c>
      <c r="I232" s="124">
        <v>208.98</v>
      </c>
      <c r="J232" s="124">
        <f t="shared" si="21"/>
        <v>208.98</v>
      </c>
      <c r="K232" s="121" t="s">
        <v>1</v>
      </c>
      <c r="L232" s="465"/>
      <c r="M232" s="125" t="s">
        <v>1</v>
      </c>
      <c r="N232" s="126" t="s">
        <v>32</v>
      </c>
      <c r="O232" s="127">
        <v>0</v>
      </c>
      <c r="P232" s="127">
        <f t="shared" si="22"/>
        <v>0</v>
      </c>
      <c r="Q232" s="127">
        <v>0</v>
      </c>
      <c r="R232" s="127">
        <f t="shared" si="23"/>
        <v>0</v>
      </c>
      <c r="S232" s="127">
        <v>0</v>
      </c>
      <c r="T232" s="128">
        <f t="shared" si="24"/>
        <v>0</v>
      </c>
      <c r="W232" s="199"/>
      <c r="X232" s="119" t="s">
        <v>543</v>
      </c>
      <c r="Y232" s="119" t="s">
        <v>231</v>
      </c>
      <c r="Z232" s="120" t="s">
        <v>4934</v>
      </c>
      <c r="AA232" s="121" t="s">
        <v>4935</v>
      </c>
      <c r="AB232" s="122" t="s">
        <v>1194</v>
      </c>
      <c r="AC232" s="123">
        <v>1</v>
      </c>
      <c r="AD232" s="124">
        <v>208.98</v>
      </c>
      <c r="AE232" s="200">
        <f t="shared" si="25"/>
        <v>208.98</v>
      </c>
      <c r="AR232" s="129" t="s">
        <v>235</v>
      </c>
      <c r="AT232" s="129" t="s">
        <v>231</v>
      </c>
      <c r="AU232" s="129" t="s">
        <v>76</v>
      </c>
      <c r="AY232" s="13" t="s">
        <v>228</v>
      </c>
      <c r="BE232" s="130">
        <f t="shared" si="26"/>
        <v>0</v>
      </c>
      <c r="BF232" s="130">
        <f t="shared" si="27"/>
        <v>208.98</v>
      </c>
      <c r="BG232" s="130">
        <f t="shared" si="28"/>
        <v>0</v>
      </c>
      <c r="BH232" s="130">
        <f t="shared" si="29"/>
        <v>0</v>
      </c>
      <c r="BI232" s="130">
        <f t="shared" si="30"/>
        <v>0</v>
      </c>
      <c r="BJ232" s="13" t="s">
        <v>76</v>
      </c>
      <c r="BK232" s="130">
        <f t="shared" si="31"/>
        <v>208.98</v>
      </c>
      <c r="BL232" s="13" t="s">
        <v>235</v>
      </c>
      <c r="BM232" s="129" t="s">
        <v>546</v>
      </c>
    </row>
    <row r="233" spans="2:65" s="1" customFormat="1" ht="16.5" customHeight="1" x14ac:dyDescent="0.2">
      <c r="B233" s="118"/>
      <c r="C233" s="119" t="s">
        <v>389</v>
      </c>
      <c r="D233" s="119" t="s">
        <v>231</v>
      </c>
      <c r="E233" s="120" t="s">
        <v>4936</v>
      </c>
      <c r="F233" s="121" t="s">
        <v>4937</v>
      </c>
      <c r="G233" s="122" t="s">
        <v>1194</v>
      </c>
      <c r="H233" s="123">
        <v>1</v>
      </c>
      <c r="I233" s="124">
        <v>501.55</v>
      </c>
      <c r="J233" s="124">
        <f t="shared" si="21"/>
        <v>501.55</v>
      </c>
      <c r="K233" s="121" t="s">
        <v>1</v>
      </c>
      <c r="L233" s="465"/>
      <c r="M233" s="125" t="s">
        <v>1</v>
      </c>
      <c r="N233" s="126" t="s">
        <v>32</v>
      </c>
      <c r="O233" s="127">
        <v>0</v>
      </c>
      <c r="P233" s="127">
        <f t="shared" si="22"/>
        <v>0</v>
      </c>
      <c r="Q233" s="127">
        <v>0</v>
      </c>
      <c r="R233" s="127">
        <f t="shared" si="23"/>
        <v>0</v>
      </c>
      <c r="S233" s="127">
        <v>0</v>
      </c>
      <c r="T233" s="128">
        <f t="shared" si="24"/>
        <v>0</v>
      </c>
      <c r="W233" s="199"/>
      <c r="X233" s="119" t="s">
        <v>389</v>
      </c>
      <c r="Y233" s="119" t="s">
        <v>231</v>
      </c>
      <c r="Z233" s="120" t="s">
        <v>4936</v>
      </c>
      <c r="AA233" s="121" t="s">
        <v>4937</v>
      </c>
      <c r="AB233" s="122" t="s">
        <v>1194</v>
      </c>
      <c r="AC233" s="123">
        <v>1</v>
      </c>
      <c r="AD233" s="124">
        <v>501.55</v>
      </c>
      <c r="AE233" s="200">
        <f t="shared" si="25"/>
        <v>501.55</v>
      </c>
      <c r="AR233" s="129" t="s">
        <v>235</v>
      </c>
      <c r="AT233" s="129" t="s">
        <v>231</v>
      </c>
      <c r="AU233" s="129" t="s">
        <v>76</v>
      </c>
      <c r="AY233" s="13" t="s">
        <v>228</v>
      </c>
      <c r="BE233" s="130">
        <f t="shared" si="26"/>
        <v>0</v>
      </c>
      <c r="BF233" s="130">
        <f t="shared" si="27"/>
        <v>501.55</v>
      </c>
      <c r="BG233" s="130">
        <f t="shared" si="28"/>
        <v>0</v>
      </c>
      <c r="BH233" s="130">
        <f t="shared" si="29"/>
        <v>0</v>
      </c>
      <c r="BI233" s="130">
        <f t="shared" si="30"/>
        <v>0</v>
      </c>
      <c r="BJ233" s="13" t="s">
        <v>76</v>
      </c>
      <c r="BK233" s="130">
        <f t="shared" si="31"/>
        <v>501.55</v>
      </c>
      <c r="BL233" s="13" t="s">
        <v>235</v>
      </c>
      <c r="BM233" s="129" t="s">
        <v>549</v>
      </c>
    </row>
    <row r="234" spans="2:65" s="1" customFormat="1" ht="16.5" customHeight="1" x14ac:dyDescent="0.2">
      <c r="B234" s="118"/>
      <c r="C234" s="119" t="s">
        <v>552</v>
      </c>
      <c r="D234" s="119" t="s">
        <v>231</v>
      </c>
      <c r="E234" s="120" t="s">
        <v>4938</v>
      </c>
      <c r="F234" s="121" t="s">
        <v>4939</v>
      </c>
      <c r="G234" s="122" t="s">
        <v>1194</v>
      </c>
      <c r="H234" s="123">
        <v>1</v>
      </c>
      <c r="I234" s="124">
        <v>232.2</v>
      </c>
      <c r="J234" s="124">
        <f t="shared" si="21"/>
        <v>232.2</v>
      </c>
      <c r="K234" s="121" t="s">
        <v>1</v>
      </c>
      <c r="L234" s="465"/>
      <c r="M234" s="125" t="s">
        <v>1</v>
      </c>
      <c r="N234" s="126" t="s">
        <v>32</v>
      </c>
      <c r="O234" s="127">
        <v>0</v>
      </c>
      <c r="P234" s="127">
        <f t="shared" si="22"/>
        <v>0</v>
      </c>
      <c r="Q234" s="127">
        <v>0</v>
      </c>
      <c r="R234" s="127">
        <f t="shared" si="23"/>
        <v>0</v>
      </c>
      <c r="S234" s="127">
        <v>0</v>
      </c>
      <c r="T234" s="128">
        <f t="shared" si="24"/>
        <v>0</v>
      </c>
      <c r="W234" s="199"/>
      <c r="X234" s="119" t="s">
        <v>552</v>
      </c>
      <c r="Y234" s="119" t="s">
        <v>231</v>
      </c>
      <c r="Z234" s="120" t="s">
        <v>4938</v>
      </c>
      <c r="AA234" s="121" t="s">
        <v>4939</v>
      </c>
      <c r="AB234" s="122" t="s">
        <v>1194</v>
      </c>
      <c r="AC234" s="123">
        <v>1</v>
      </c>
      <c r="AD234" s="124">
        <v>232.2</v>
      </c>
      <c r="AE234" s="200">
        <f t="shared" si="25"/>
        <v>232.2</v>
      </c>
      <c r="AR234" s="129" t="s">
        <v>235</v>
      </c>
      <c r="AT234" s="129" t="s">
        <v>231</v>
      </c>
      <c r="AU234" s="129" t="s">
        <v>76</v>
      </c>
      <c r="AY234" s="13" t="s">
        <v>228</v>
      </c>
      <c r="BE234" s="130">
        <f t="shared" si="26"/>
        <v>0</v>
      </c>
      <c r="BF234" s="130">
        <f t="shared" si="27"/>
        <v>232.2</v>
      </c>
      <c r="BG234" s="130">
        <f t="shared" si="28"/>
        <v>0</v>
      </c>
      <c r="BH234" s="130">
        <f t="shared" si="29"/>
        <v>0</v>
      </c>
      <c r="BI234" s="130">
        <f t="shared" si="30"/>
        <v>0</v>
      </c>
      <c r="BJ234" s="13" t="s">
        <v>76</v>
      </c>
      <c r="BK234" s="130">
        <f t="shared" si="31"/>
        <v>232.2</v>
      </c>
      <c r="BL234" s="13" t="s">
        <v>235</v>
      </c>
      <c r="BM234" s="129" t="s">
        <v>555</v>
      </c>
    </row>
    <row r="235" spans="2:65" s="11" customFormat="1" ht="22.95" customHeight="1" x14ac:dyDescent="0.25">
      <c r="B235" s="106"/>
      <c r="D235" s="107" t="s">
        <v>57</v>
      </c>
      <c r="E235" s="116" t="s">
        <v>1247</v>
      </c>
      <c r="F235" s="116" t="s">
        <v>4087</v>
      </c>
      <c r="J235" s="117">
        <f>BK235</f>
        <v>12665.19</v>
      </c>
      <c r="L235" s="106"/>
      <c r="M235" s="110"/>
      <c r="N235" s="111"/>
      <c r="O235" s="111"/>
      <c r="P235" s="112">
        <f>SUM(P236:P249)</f>
        <v>0</v>
      </c>
      <c r="Q235" s="111"/>
      <c r="R235" s="112">
        <f>SUM(R236:R249)</f>
        <v>0</v>
      </c>
      <c r="S235" s="111"/>
      <c r="T235" s="113">
        <f>SUM(T236:T249)</f>
        <v>0</v>
      </c>
      <c r="W235" s="195"/>
      <c r="X235" s="111"/>
      <c r="Y235" s="196" t="s">
        <v>57</v>
      </c>
      <c r="Z235" s="201" t="s">
        <v>1247</v>
      </c>
      <c r="AA235" s="201" t="s">
        <v>4087</v>
      </c>
      <c r="AB235" s="111"/>
      <c r="AC235" s="111"/>
      <c r="AD235" s="111"/>
      <c r="AE235" s="202">
        <f>SUM(AE236:AE249)</f>
        <v>12665.19</v>
      </c>
      <c r="AR235" s="107" t="s">
        <v>63</v>
      </c>
      <c r="AT235" s="114" t="s">
        <v>57</v>
      </c>
      <c r="AU235" s="114" t="s">
        <v>63</v>
      </c>
      <c r="AY235" s="107" t="s">
        <v>228</v>
      </c>
      <c r="BK235" s="115">
        <f>SUM(BK236:BK249)</f>
        <v>12665.19</v>
      </c>
    </row>
    <row r="236" spans="2:65" s="1" customFormat="1" ht="16.5" customHeight="1" x14ac:dyDescent="0.2">
      <c r="B236" s="118"/>
      <c r="C236" s="119" t="s">
        <v>393</v>
      </c>
      <c r="D236" s="119" t="s">
        <v>231</v>
      </c>
      <c r="E236" s="120" t="s">
        <v>4088</v>
      </c>
      <c r="F236" s="121" t="s">
        <v>4089</v>
      </c>
      <c r="G236" s="122" t="s">
        <v>1194</v>
      </c>
      <c r="H236" s="123">
        <v>6</v>
      </c>
      <c r="I236" s="124">
        <v>10.16</v>
      </c>
      <c r="J236" s="124">
        <f t="shared" ref="J236:J249" si="32">ROUND(I236*H236,2)</f>
        <v>60.96</v>
      </c>
      <c r="K236" s="121" t="s">
        <v>1</v>
      </c>
      <c r="L236" s="465"/>
      <c r="M236" s="125" t="s">
        <v>1</v>
      </c>
      <c r="N236" s="126" t="s">
        <v>32</v>
      </c>
      <c r="O236" s="127">
        <v>0</v>
      </c>
      <c r="P236" s="127">
        <f t="shared" ref="P236:P249" si="33">O236*H236</f>
        <v>0</v>
      </c>
      <c r="Q236" s="127">
        <v>0</v>
      </c>
      <c r="R236" s="127">
        <f t="shared" ref="R236:R249" si="34">Q236*H236</f>
        <v>0</v>
      </c>
      <c r="S236" s="127">
        <v>0</v>
      </c>
      <c r="T236" s="128">
        <f t="shared" ref="T236:T249" si="35">S236*H236</f>
        <v>0</v>
      </c>
      <c r="W236" s="199"/>
      <c r="X236" s="119" t="s">
        <v>393</v>
      </c>
      <c r="Y236" s="119" t="s">
        <v>231</v>
      </c>
      <c r="Z236" s="120" t="s">
        <v>4088</v>
      </c>
      <c r="AA236" s="121" t="s">
        <v>4089</v>
      </c>
      <c r="AB236" s="122" t="s">
        <v>1194</v>
      </c>
      <c r="AC236" s="123">
        <v>6</v>
      </c>
      <c r="AD236" s="124">
        <v>10.16</v>
      </c>
      <c r="AE236" s="200">
        <f t="shared" ref="AE236:AE249" si="36">ROUND(AD236*AC236,2)</f>
        <v>60.96</v>
      </c>
      <c r="AR236" s="129" t="s">
        <v>235</v>
      </c>
      <c r="AT236" s="129" t="s">
        <v>231</v>
      </c>
      <c r="AU236" s="129" t="s">
        <v>76</v>
      </c>
      <c r="AY236" s="13" t="s">
        <v>228</v>
      </c>
      <c r="BE236" s="130">
        <f t="shared" ref="BE236:BE249" si="37">IF(N236="základná",J236,0)</f>
        <v>0</v>
      </c>
      <c r="BF236" s="130">
        <f t="shared" ref="BF236:BF249" si="38">IF(N236="znížená",J236,0)</f>
        <v>60.96</v>
      </c>
      <c r="BG236" s="130">
        <f t="shared" ref="BG236:BG249" si="39">IF(N236="zákl. prenesená",J236,0)</f>
        <v>0</v>
      </c>
      <c r="BH236" s="130">
        <f t="shared" ref="BH236:BH249" si="40">IF(N236="zníž. prenesená",J236,0)</f>
        <v>0</v>
      </c>
      <c r="BI236" s="130">
        <f t="shared" ref="BI236:BI249" si="41">IF(N236="nulová",J236,0)</f>
        <v>0</v>
      </c>
      <c r="BJ236" s="13" t="s">
        <v>76</v>
      </c>
      <c r="BK236" s="130">
        <f t="shared" ref="BK236:BK249" si="42">ROUND(I236*H236,2)</f>
        <v>60.96</v>
      </c>
      <c r="BL236" s="13" t="s">
        <v>235</v>
      </c>
      <c r="BM236" s="129" t="s">
        <v>562</v>
      </c>
    </row>
    <row r="237" spans="2:65" s="1" customFormat="1" ht="24" customHeight="1" x14ac:dyDescent="0.2">
      <c r="B237" s="118"/>
      <c r="C237" s="119" t="s">
        <v>563</v>
      </c>
      <c r="D237" s="119" t="s">
        <v>231</v>
      </c>
      <c r="E237" s="120" t="s">
        <v>4840</v>
      </c>
      <c r="F237" s="121" t="s">
        <v>4841</v>
      </c>
      <c r="G237" s="122" t="s">
        <v>1194</v>
      </c>
      <c r="H237" s="123">
        <v>3</v>
      </c>
      <c r="I237" s="124">
        <v>184.25</v>
      </c>
      <c r="J237" s="124">
        <f t="shared" si="32"/>
        <v>552.75</v>
      </c>
      <c r="K237" s="121" t="s">
        <v>1</v>
      </c>
      <c r="L237" s="465"/>
      <c r="M237" s="125" t="s">
        <v>1</v>
      </c>
      <c r="N237" s="126" t="s">
        <v>32</v>
      </c>
      <c r="O237" s="127">
        <v>0</v>
      </c>
      <c r="P237" s="127">
        <f t="shared" si="33"/>
        <v>0</v>
      </c>
      <c r="Q237" s="127">
        <v>0</v>
      </c>
      <c r="R237" s="127">
        <f t="shared" si="34"/>
        <v>0</v>
      </c>
      <c r="S237" s="127">
        <v>0</v>
      </c>
      <c r="T237" s="128">
        <f t="shared" si="35"/>
        <v>0</v>
      </c>
      <c r="W237" s="199"/>
      <c r="X237" s="119" t="s">
        <v>563</v>
      </c>
      <c r="Y237" s="119" t="s">
        <v>231</v>
      </c>
      <c r="Z237" s="120" t="s">
        <v>4840</v>
      </c>
      <c r="AA237" s="121" t="s">
        <v>4841</v>
      </c>
      <c r="AB237" s="122" t="s">
        <v>1194</v>
      </c>
      <c r="AC237" s="123">
        <v>3</v>
      </c>
      <c r="AD237" s="124">
        <v>184.25</v>
      </c>
      <c r="AE237" s="200">
        <f t="shared" si="36"/>
        <v>552.75</v>
      </c>
      <c r="AR237" s="129" t="s">
        <v>235</v>
      </c>
      <c r="AT237" s="129" t="s">
        <v>231</v>
      </c>
      <c r="AU237" s="129" t="s">
        <v>76</v>
      </c>
      <c r="AY237" s="13" t="s">
        <v>228</v>
      </c>
      <c r="BE237" s="130">
        <f t="shared" si="37"/>
        <v>0</v>
      </c>
      <c r="BF237" s="130">
        <f t="shared" si="38"/>
        <v>552.75</v>
      </c>
      <c r="BG237" s="130">
        <f t="shared" si="39"/>
        <v>0</v>
      </c>
      <c r="BH237" s="130">
        <f t="shared" si="40"/>
        <v>0</v>
      </c>
      <c r="BI237" s="130">
        <f t="shared" si="41"/>
        <v>0</v>
      </c>
      <c r="BJ237" s="13" t="s">
        <v>76</v>
      </c>
      <c r="BK237" s="130">
        <f t="shared" si="42"/>
        <v>552.75</v>
      </c>
      <c r="BL237" s="13" t="s">
        <v>235</v>
      </c>
      <c r="BM237" s="129" t="s">
        <v>567</v>
      </c>
    </row>
    <row r="238" spans="2:65" s="1" customFormat="1" ht="24" customHeight="1" x14ac:dyDescent="0.2">
      <c r="B238" s="118"/>
      <c r="C238" s="119" t="s">
        <v>396</v>
      </c>
      <c r="D238" s="119" t="s">
        <v>231</v>
      </c>
      <c r="E238" s="120" t="s">
        <v>4940</v>
      </c>
      <c r="F238" s="121" t="s">
        <v>4941</v>
      </c>
      <c r="G238" s="122" t="s">
        <v>1194</v>
      </c>
      <c r="H238" s="123">
        <v>3</v>
      </c>
      <c r="I238" s="124">
        <v>213.62</v>
      </c>
      <c r="J238" s="124">
        <f t="shared" si="32"/>
        <v>640.86</v>
      </c>
      <c r="K238" s="121" t="s">
        <v>1</v>
      </c>
      <c r="L238" s="465"/>
      <c r="M238" s="125" t="s">
        <v>1</v>
      </c>
      <c r="N238" s="126" t="s">
        <v>32</v>
      </c>
      <c r="O238" s="127">
        <v>0</v>
      </c>
      <c r="P238" s="127">
        <f t="shared" si="33"/>
        <v>0</v>
      </c>
      <c r="Q238" s="127">
        <v>0</v>
      </c>
      <c r="R238" s="127">
        <f t="shared" si="34"/>
        <v>0</v>
      </c>
      <c r="S238" s="127">
        <v>0</v>
      </c>
      <c r="T238" s="128">
        <f t="shared" si="35"/>
        <v>0</v>
      </c>
      <c r="W238" s="199"/>
      <c r="X238" s="119" t="s">
        <v>396</v>
      </c>
      <c r="Y238" s="119" t="s">
        <v>231</v>
      </c>
      <c r="Z238" s="120" t="s">
        <v>4940</v>
      </c>
      <c r="AA238" s="121" t="s">
        <v>4941</v>
      </c>
      <c r="AB238" s="122" t="s">
        <v>1194</v>
      </c>
      <c r="AC238" s="123">
        <v>3</v>
      </c>
      <c r="AD238" s="124">
        <v>213.62</v>
      </c>
      <c r="AE238" s="200">
        <f t="shared" si="36"/>
        <v>640.86</v>
      </c>
      <c r="AR238" s="129" t="s">
        <v>235</v>
      </c>
      <c r="AT238" s="129" t="s">
        <v>231</v>
      </c>
      <c r="AU238" s="129" t="s">
        <v>76</v>
      </c>
      <c r="AY238" s="13" t="s">
        <v>228</v>
      </c>
      <c r="BE238" s="130">
        <f t="shared" si="37"/>
        <v>0</v>
      </c>
      <c r="BF238" s="130">
        <f t="shared" si="38"/>
        <v>640.86</v>
      </c>
      <c r="BG238" s="130">
        <f t="shared" si="39"/>
        <v>0</v>
      </c>
      <c r="BH238" s="130">
        <f t="shared" si="40"/>
        <v>0</v>
      </c>
      <c r="BI238" s="130">
        <f t="shared" si="41"/>
        <v>0</v>
      </c>
      <c r="BJ238" s="13" t="s">
        <v>76</v>
      </c>
      <c r="BK238" s="130">
        <f t="shared" si="42"/>
        <v>640.86</v>
      </c>
      <c r="BL238" s="13" t="s">
        <v>235</v>
      </c>
      <c r="BM238" s="129" t="s">
        <v>571</v>
      </c>
    </row>
    <row r="239" spans="2:65" s="1" customFormat="1" ht="24" customHeight="1" x14ac:dyDescent="0.2">
      <c r="B239" s="118"/>
      <c r="C239" s="119" t="s">
        <v>574</v>
      </c>
      <c r="D239" s="119" t="s">
        <v>231</v>
      </c>
      <c r="E239" s="120" t="s">
        <v>4848</v>
      </c>
      <c r="F239" s="121" t="s">
        <v>4849</v>
      </c>
      <c r="G239" s="122" t="s">
        <v>1194</v>
      </c>
      <c r="H239" s="123">
        <v>1</v>
      </c>
      <c r="I239" s="124">
        <v>236.84</v>
      </c>
      <c r="J239" s="124">
        <f t="shared" si="32"/>
        <v>236.84</v>
      </c>
      <c r="K239" s="121" t="s">
        <v>1</v>
      </c>
      <c r="L239" s="465"/>
      <c r="M239" s="125" t="s">
        <v>1</v>
      </c>
      <c r="N239" s="126" t="s">
        <v>32</v>
      </c>
      <c r="O239" s="127">
        <v>0</v>
      </c>
      <c r="P239" s="127">
        <f t="shared" si="33"/>
        <v>0</v>
      </c>
      <c r="Q239" s="127">
        <v>0</v>
      </c>
      <c r="R239" s="127">
        <f t="shared" si="34"/>
        <v>0</v>
      </c>
      <c r="S239" s="127">
        <v>0</v>
      </c>
      <c r="T239" s="128">
        <f t="shared" si="35"/>
        <v>0</v>
      </c>
      <c r="W239" s="199"/>
      <c r="X239" s="119" t="s">
        <v>574</v>
      </c>
      <c r="Y239" s="119" t="s">
        <v>231</v>
      </c>
      <c r="Z239" s="120" t="s">
        <v>4848</v>
      </c>
      <c r="AA239" s="121" t="s">
        <v>4849</v>
      </c>
      <c r="AB239" s="122" t="s">
        <v>1194</v>
      </c>
      <c r="AC239" s="123">
        <v>1</v>
      </c>
      <c r="AD239" s="124">
        <v>236.84</v>
      </c>
      <c r="AE239" s="200">
        <f t="shared" si="36"/>
        <v>236.84</v>
      </c>
      <c r="AR239" s="129" t="s">
        <v>235</v>
      </c>
      <c r="AT239" s="129" t="s">
        <v>231</v>
      </c>
      <c r="AU239" s="129" t="s">
        <v>76</v>
      </c>
      <c r="AY239" s="13" t="s">
        <v>228</v>
      </c>
      <c r="BE239" s="130">
        <f t="shared" si="37"/>
        <v>0</v>
      </c>
      <c r="BF239" s="130">
        <f t="shared" si="38"/>
        <v>236.84</v>
      </c>
      <c r="BG239" s="130">
        <f t="shared" si="39"/>
        <v>0</v>
      </c>
      <c r="BH239" s="130">
        <f t="shared" si="40"/>
        <v>0</v>
      </c>
      <c r="BI239" s="130">
        <f t="shared" si="41"/>
        <v>0</v>
      </c>
      <c r="BJ239" s="13" t="s">
        <v>76</v>
      </c>
      <c r="BK239" s="130">
        <f t="shared" si="42"/>
        <v>236.84</v>
      </c>
      <c r="BL239" s="13" t="s">
        <v>235</v>
      </c>
      <c r="BM239" s="129" t="s">
        <v>577</v>
      </c>
    </row>
    <row r="240" spans="2:65" s="1" customFormat="1" ht="24" customHeight="1" x14ac:dyDescent="0.2">
      <c r="B240" s="118"/>
      <c r="C240" s="119" t="s">
        <v>400</v>
      </c>
      <c r="D240" s="119" t="s">
        <v>231</v>
      </c>
      <c r="E240" s="120" t="s">
        <v>4942</v>
      </c>
      <c r="F240" s="121" t="s">
        <v>4943</v>
      </c>
      <c r="G240" s="122" t="s">
        <v>1194</v>
      </c>
      <c r="H240" s="123">
        <v>1</v>
      </c>
      <c r="I240" s="124">
        <v>428.41</v>
      </c>
      <c r="J240" s="124">
        <f t="shared" si="32"/>
        <v>428.41</v>
      </c>
      <c r="K240" s="121" t="s">
        <v>1</v>
      </c>
      <c r="L240" s="465"/>
      <c r="M240" s="125" t="s">
        <v>1</v>
      </c>
      <c r="N240" s="126" t="s">
        <v>32</v>
      </c>
      <c r="O240" s="127">
        <v>0</v>
      </c>
      <c r="P240" s="127">
        <f t="shared" si="33"/>
        <v>0</v>
      </c>
      <c r="Q240" s="127">
        <v>0</v>
      </c>
      <c r="R240" s="127">
        <f t="shared" si="34"/>
        <v>0</v>
      </c>
      <c r="S240" s="127">
        <v>0</v>
      </c>
      <c r="T240" s="128">
        <f t="shared" si="35"/>
        <v>0</v>
      </c>
      <c r="W240" s="199"/>
      <c r="X240" s="119" t="s">
        <v>400</v>
      </c>
      <c r="Y240" s="119" t="s">
        <v>231</v>
      </c>
      <c r="Z240" s="120" t="s">
        <v>4942</v>
      </c>
      <c r="AA240" s="121" t="s">
        <v>4943</v>
      </c>
      <c r="AB240" s="122" t="s">
        <v>1194</v>
      </c>
      <c r="AC240" s="123">
        <v>1</v>
      </c>
      <c r="AD240" s="124">
        <v>428.41</v>
      </c>
      <c r="AE240" s="200">
        <f t="shared" si="36"/>
        <v>428.41</v>
      </c>
      <c r="AR240" s="129" t="s">
        <v>235</v>
      </c>
      <c r="AT240" s="129" t="s">
        <v>231</v>
      </c>
      <c r="AU240" s="129" t="s">
        <v>76</v>
      </c>
      <c r="AY240" s="13" t="s">
        <v>228</v>
      </c>
      <c r="BE240" s="130">
        <f t="shared" si="37"/>
        <v>0</v>
      </c>
      <c r="BF240" s="130">
        <f t="shared" si="38"/>
        <v>428.41</v>
      </c>
      <c r="BG240" s="130">
        <f t="shared" si="39"/>
        <v>0</v>
      </c>
      <c r="BH240" s="130">
        <f t="shared" si="40"/>
        <v>0</v>
      </c>
      <c r="BI240" s="130">
        <f t="shared" si="41"/>
        <v>0</v>
      </c>
      <c r="BJ240" s="13" t="s">
        <v>76</v>
      </c>
      <c r="BK240" s="130">
        <f t="shared" si="42"/>
        <v>428.41</v>
      </c>
      <c r="BL240" s="13" t="s">
        <v>235</v>
      </c>
      <c r="BM240" s="129" t="s">
        <v>580</v>
      </c>
    </row>
    <row r="241" spans="2:65" s="1" customFormat="1" ht="60" customHeight="1" x14ac:dyDescent="0.2">
      <c r="B241" s="118"/>
      <c r="C241" s="119" t="s">
        <v>405</v>
      </c>
      <c r="D241" s="119" t="s">
        <v>231</v>
      </c>
      <c r="E241" s="120" t="s">
        <v>4944</v>
      </c>
      <c r="F241" s="121" t="s">
        <v>4945</v>
      </c>
      <c r="G241" s="122" t="s">
        <v>1194</v>
      </c>
      <c r="H241" s="123">
        <v>1</v>
      </c>
      <c r="I241" s="124">
        <v>2935.01</v>
      </c>
      <c r="J241" s="124">
        <f t="shared" si="32"/>
        <v>2935.01</v>
      </c>
      <c r="K241" s="121" t="s">
        <v>1</v>
      </c>
      <c r="L241" s="472"/>
      <c r="M241" s="125" t="s">
        <v>1</v>
      </c>
      <c r="N241" s="126" t="s">
        <v>32</v>
      </c>
      <c r="O241" s="127">
        <v>0</v>
      </c>
      <c r="P241" s="127">
        <f t="shared" si="33"/>
        <v>0</v>
      </c>
      <c r="Q241" s="127">
        <v>0</v>
      </c>
      <c r="R241" s="127">
        <f t="shared" si="34"/>
        <v>0</v>
      </c>
      <c r="S241" s="127">
        <v>0</v>
      </c>
      <c r="T241" s="128">
        <f t="shared" si="35"/>
        <v>0</v>
      </c>
      <c r="W241" s="199"/>
      <c r="X241" s="119" t="s">
        <v>405</v>
      </c>
      <c r="Y241" s="119" t="s">
        <v>231</v>
      </c>
      <c r="Z241" s="120" t="s">
        <v>4944</v>
      </c>
      <c r="AA241" s="121" t="s">
        <v>4945</v>
      </c>
      <c r="AB241" s="122" t="s">
        <v>1194</v>
      </c>
      <c r="AC241" s="123">
        <v>1</v>
      </c>
      <c r="AD241" s="124">
        <v>2935.01</v>
      </c>
      <c r="AE241" s="200">
        <f t="shared" si="36"/>
        <v>2935.01</v>
      </c>
      <c r="AR241" s="129" t="s">
        <v>235</v>
      </c>
      <c r="AT241" s="129" t="s">
        <v>231</v>
      </c>
      <c r="AU241" s="129" t="s">
        <v>76</v>
      </c>
      <c r="AY241" s="13" t="s">
        <v>228</v>
      </c>
      <c r="BE241" s="130">
        <f t="shared" si="37"/>
        <v>0</v>
      </c>
      <c r="BF241" s="130">
        <f t="shared" si="38"/>
        <v>2935.01</v>
      </c>
      <c r="BG241" s="130">
        <f t="shared" si="39"/>
        <v>0</v>
      </c>
      <c r="BH241" s="130">
        <f t="shared" si="40"/>
        <v>0</v>
      </c>
      <c r="BI241" s="130">
        <f t="shared" si="41"/>
        <v>0</v>
      </c>
      <c r="BJ241" s="13" t="s">
        <v>76</v>
      </c>
      <c r="BK241" s="130">
        <f t="shared" si="42"/>
        <v>2935.01</v>
      </c>
      <c r="BL241" s="13" t="s">
        <v>235</v>
      </c>
      <c r="BM241" s="129" t="s">
        <v>585</v>
      </c>
    </row>
    <row r="242" spans="2:65" s="1" customFormat="1" ht="72" customHeight="1" x14ac:dyDescent="0.2">
      <c r="B242" s="118"/>
      <c r="C242" s="119" t="s">
        <v>404</v>
      </c>
      <c r="D242" s="119" t="s">
        <v>231</v>
      </c>
      <c r="E242" s="120" t="s">
        <v>4946</v>
      </c>
      <c r="F242" s="121" t="s">
        <v>4947</v>
      </c>
      <c r="G242" s="122" t="s">
        <v>1194</v>
      </c>
      <c r="H242" s="123">
        <v>1</v>
      </c>
      <c r="I242" s="124">
        <v>5390.52</v>
      </c>
      <c r="J242" s="124">
        <f t="shared" si="32"/>
        <v>5390.52</v>
      </c>
      <c r="K242" s="121" t="s">
        <v>1</v>
      </c>
      <c r="L242" s="472"/>
      <c r="M242" s="125" t="s">
        <v>1</v>
      </c>
      <c r="N242" s="126" t="s">
        <v>32</v>
      </c>
      <c r="O242" s="127">
        <v>0</v>
      </c>
      <c r="P242" s="127">
        <f t="shared" si="33"/>
        <v>0</v>
      </c>
      <c r="Q242" s="127">
        <v>0</v>
      </c>
      <c r="R242" s="127">
        <f t="shared" si="34"/>
        <v>0</v>
      </c>
      <c r="S242" s="127">
        <v>0</v>
      </c>
      <c r="T242" s="128">
        <f t="shared" si="35"/>
        <v>0</v>
      </c>
      <c r="W242" s="199"/>
      <c r="X242" s="119" t="s">
        <v>404</v>
      </c>
      <c r="Y242" s="119" t="s">
        <v>231</v>
      </c>
      <c r="Z242" s="120" t="s">
        <v>4946</v>
      </c>
      <c r="AA242" s="121" t="s">
        <v>4947</v>
      </c>
      <c r="AB242" s="122" t="s">
        <v>1194</v>
      </c>
      <c r="AC242" s="123">
        <v>1</v>
      </c>
      <c r="AD242" s="124">
        <v>5390.52</v>
      </c>
      <c r="AE242" s="200">
        <f t="shared" si="36"/>
        <v>5390.52</v>
      </c>
      <c r="AR242" s="129" t="s">
        <v>235</v>
      </c>
      <c r="AT242" s="129" t="s">
        <v>231</v>
      </c>
      <c r="AU242" s="129" t="s">
        <v>76</v>
      </c>
      <c r="AY242" s="13" t="s">
        <v>228</v>
      </c>
      <c r="BE242" s="130">
        <f t="shared" si="37"/>
        <v>0</v>
      </c>
      <c r="BF242" s="130">
        <f t="shared" si="38"/>
        <v>5390.52</v>
      </c>
      <c r="BG242" s="130">
        <f t="shared" si="39"/>
        <v>0</v>
      </c>
      <c r="BH242" s="130">
        <f t="shared" si="40"/>
        <v>0</v>
      </c>
      <c r="BI242" s="130">
        <f t="shared" si="41"/>
        <v>0</v>
      </c>
      <c r="BJ242" s="13" t="s">
        <v>76</v>
      </c>
      <c r="BK242" s="130">
        <f t="shared" si="42"/>
        <v>5390.52</v>
      </c>
      <c r="BL242" s="13" t="s">
        <v>235</v>
      </c>
      <c r="BM242" s="129" t="s">
        <v>588</v>
      </c>
    </row>
    <row r="243" spans="2:65" s="1" customFormat="1" ht="60" customHeight="1" x14ac:dyDescent="0.2">
      <c r="B243" s="118"/>
      <c r="C243" s="119" t="s">
        <v>436</v>
      </c>
      <c r="D243" s="119" t="s">
        <v>231</v>
      </c>
      <c r="E243" s="120" t="s">
        <v>4948</v>
      </c>
      <c r="F243" s="121" t="s">
        <v>4949</v>
      </c>
      <c r="G243" s="122" t="s">
        <v>1194</v>
      </c>
      <c r="H243" s="123">
        <v>2</v>
      </c>
      <c r="I243" s="124">
        <v>603.72</v>
      </c>
      <c r="J243" s="124">
        <f t="shared" si="32"/>
        <v>1207.44</v>
      </c>
      <c r="K243" s="121" t="s">
        <v>1</v>
      </c>
      <c r="L243" s="472"/>
      <c r="M243" s="125" t="s">
        <v>1</v>
      </c>
      <c r="N243" s="126" t="s">
        <v>32</v>
      </c>
      <c r="O243" s="127">
        <v>0</v>
      </c>
      <c r="P243" s="127">
        <f t="shared" si="33"/>
        <v>0</v>
      </c>
      <c r="Q243" s="127">
        <v>0</v>
      </c>
      <c r="R243" s="127">
        <f t="shared" si="34"/>
        <v>0</v>
      </c>
      <c r="S243" s="127">
        <v>0</v>
      </c>
      <c r="T243" s="128">
        <f t="shared" si="35"/>
        <v>0</v>
      </c>
      <c r="W243" s="199"/>
      <c r="X243" s="119" t="s">
        <v>436</v>
      </c>
      <c r="Y243" s="119" t="s">
        <v>231</v>
      </c>
      <c r="Z243" s="120" t="s">
        <v>4948</v>
      </c>
      <c r="AA243" s="121" t="s">
        <v>4949</v>
      </c>
      <c r="AB243" s="122" t="s">
        <v>1194</v>
      </c>
      <c r="AC243" s="123">
        <v>2</v>
      </c>
      <c r="AD243" s="124">
        <v>603.72</v>
      </c>
      <c r="AE243" s="200">
        <f t="shared" si="36"/>
        <v>1207.44</v>
      </c>
      <c r="AR243" s="129" t="s">
        <v>235</v>
      </c>
      <c r="AT243" s="129" t="s">
        <v>231</v>
      </c>
      <c r="AU243" s="129" t="s">
        <v>76</v>
      </c>
      <c r="AY243" s="13" t="s">
        <v>228</v>
      </c>
      <c r="BE243" s="130">
        <f t="shared" si="37"/>
        <v>0</v>
      </c>
      <c r="BF243" s="130">
        <f t="shared" si="38"/>
        <v>1207.44</v>
      </c>
      <c r="BG243" s="130">
        <f t="shared" si="39"/>
        <v>0</v>
      </c>
      <c r="BH243" s="130">
        <f t="shared" si="40"/>
        <v>0</v>
      </c>
      <c r="BI243" s="130">
        <f t="shared" si="41"/>
        <v>0</v>
      </c>
      <c r="BJ243" s="13" t="s">
        <v>76</v>
      </c>
      <c r="BK243" s="130">
        <f t="shared" si="42"/>
        <v>1207.44</v>
      </c>
      <c r="BL243" s="13" t="s">
        <v>235</v>
      </c>
      <c r="BM243" s="129" t="s">
        <v>591</v>
      </c>
    </row>
    <row r="244" spans="2:65" s="1" customFormat="1" ht="24" customHeight="1" x14ac:dyDescent="0.2">
      <c r="B244" s="118"/>
      <c r="C244" s="119" t="s">
        <v>410</v>
      </c>
      <c r="D244" s="119" t="s">
        <v>231</v>
      </c>
      <c r="E244" s="120" t="s">
        <v>2680</v>
      </c>
      <c r="F244" s="121" t="s">
        <v>2681</v>
      </c>
      <c r="G244" s="122" t="s">
        <v>1194</v>
      </c>
      <c r="H244" s="123">
        <v>10</v>
      </c>
      <c r="I244" s="124">
        <v>9.06</v>
      </c>
      <c r="J244" s="124">
        <f t="shared" si="32"/>
        <v>90.6</v>
      </c>
      <c r="K244" s="121" t="s">
        <v>1</v>
      </c>
      <c r="L244" s="465"/>
      <c r="M244" s="125" t="s">
        <v>1</v>
      </c>
      <c r="N244" s="126" t="s">
        <v>32</v>
      </c>
      <c r="O244" s="127">
        <v>0</v>
      </c>
      <c r="P244" s="127">
        <f t="shared" si="33"/>
        <v>0</v>
      </c>
      <c r="Q244" s="127">
        <v>0</v>
      </c>
      <c r="R244" s="127">
        <f t="shared" si="34"/>
        <v>0</v>
      </c>
      <c r="S244" s="127">
        <v>0</v>
      </c>
      <c r="T244" s="128">
        <f t="shared" si="35"/>
        <v>0</v>
      </c>
      <c r="W244" s="199"/>
      <c r="X244" s="119" t="s">
        <v>410</v>
      </c>
      <c r="Y244" s="119" t="s">
        <v>231</v>
      </c>
      <c r="Z244" s="120" t="s">
        <v>2680</v>
      </c>
      <c r="AA244" s="121" t="s">
        <v>2681</v>
      </c>
      <c r="AB244" s="122" t="s">
        <v>1194</v>
      </c>
      <c r="AC244" s="123">
        <v>10</v>
      </c>
      <c r="AD244" s="124">
        <v>9.06</v>
      </c>
      <c r="AE244" s="200">
        <f t="shared" si="36"/>
        <v>90.6</v>
      </c>
      <c r="AR244" s="129" t="s">
        <v>235</v>
      </c>
      <c r="AT244" s="129" t="s">
        <v>231</v>
      </c>
      <c r="AU244" s="129" t="s">
        <v>76</v>
      </c>
      <c r="AY244" s="13" t="s">
        <v>228</v>
      </c>
      <c r="BE244" s="130">
        <f t="shared" si="37"/>
        <v>0</v>
      </c>
      <c r="BF244" s="130">
        <f t="shared" si="38"/>
        <v>90.6</v>
      </c>
      <c r="BG244" s="130">
        <f t="shared" si="39"/>
        <v>0</v>
      </c>
      <c r="BH244" s="130">
        <f t="shared" si="40"/>
        <v>0</v>
      </c>
      <c r="BI244" s="130">
        <f t="shared" si="41"/>
        <v>0</v>
      </c>
      <c r="BJ244" s="13" t="s">
        <v>76</v>
      </c>
      <c r="BK244" s="130">
        <f t="shared" si="42"/>
        <v>90.6</v>
      </c>
      <c r="BL244" s="13" t="s">
        <v>235</v>
      </c>
      <c r="BM244" s="129" t="s">
        <v>594</v>
      </c>
    </row>
    <row r="245" spans="2:65" s="1" customFormat="1" ht="16.5" customHeight="1" x14ac:dyDescent="0.2">
      <c r="B245" s="118"/>
      <c r="C245" s="119" t="s">
        <v>595</v>
      </c>
      <c r="D245" s="119" t="s">
        <v>231</v>
      </c>
      <c r="E245" s="120" t="s">
        <v>4876</v>
      </c>
      <c r="F245" s="121" t="s">
        <v>4877</v>
      </c>
      <c r="G245" s="122" t="s">
        <v>1194</v>
      </c>
      <c r="H245" s="123">
        <v>4</v>
      </c>
      <c r="I245" s="124">
        <v>14.51</v>
      </c>
      <c r="J245" s="124">
        <f t="shared" si="32"/>
        <v>58.04</v>
      </c>
      <c r="K245" s="121" t="s">
        <v>1</v>
      </c>
      <c r="L245" s="465"/>
      <c r="M245" s="125" t="s">
        <v>1</v>
      </c>
      <c r="N245" s="126" t="s">
        <v>32</v>
      </c>
      <c r="O245" s="127">
        <v>0</v>
      </c>
      <c r="P245" s="127">
        <f t="shared" si="33"/>
        <v>0</v>
      </c>
      <c r="Q245" s="127">
        <v>0</v>
      </c>
      <c r="R245" s="127">
        <f t="shared" si="34"/>
        <v>0</v>
      </c>
      <c r="S245" s="127">
        <v>0</v>
      </c>
      <c r="T245" s="128">
        <f t="shared" si="35"/>
        <v>0</v>
      </c>
      <c r="W245" s="199"/>
      <c r="X245" s="119" t="s">
        <v>595</v>
      </c>
      <c r="Y245" s="119" t="s">
        <v>231</v>
      </c>
      <c r="Z245" s="120" t="s">
        <v>4876</v>
      </c>
      <c r="AA245" s="121" t="s">
        <v>4877</v>
      </c>
      <c r="AB245" s="122" t="s">
        <v>1194</v>
      </c>
      <c r="AC245" s="123">
        <v>4</v>
      </c>
      <c r="AD245" s="124">
        <v>14.51</v>
      </c>
      <c r="AE245" s="200">
        <f t="shared" si="36"/>
        <v>58.04</v>
      </c>
      <c r="AR245" s="129" t="s">
        <v>235</v>
      </c>
      <c r="AT245" s="129" t="s">
        <v>231</v>
      </c>
      <c r="AU245" s="129" t="s">
        <v>76</v>
      </c>
      <c r="AY245" s="13" t="s">
        <v>228</v>
      </c>
      <c r="BE245" s="130">
        <f t="shared" si="37"/>
        <v>0</v>
      </c>
      <c r="BF245" s="130">
        <f t="shared" si="38"/>
        <v>58.04</v>
      </c>
      <c r="BG245" s="130">
        <f t="shared" si="39"/>
        <v>0</v>
      </c>
      <c r="BH245" s="130">
        <f t="shared" si="40"/>
        <v>0</v>
      </c>
      <c r="BI245" s="130">
        <f t="shared" si="41"/>
        <v>0</v>
      </c>
      <c r="BJ245" s="13" t="s">
        <v>76</v>
      </c>
      <c r="BK245" s="130">
        <f t="shared" si="42"/>
        <v>58.04</v>
      </c>
      <c r="BL245" s="13" t="s">
        <v>235</v>
      </c>
      <c r="BM245" s="129" t="s">
        <v>598</v>
      </c>
    </row>
    <row r="246" spans="2:65" s="1" customFormat="1" ht="24" customHeight="1" x14ac:dyDescent="0.2">
      <c r="B246" s="118"/>
      <c r="C246" s="119" t="s">
        <v>414</v>
      </c>
      <c r="D246" s="119" t="s">
        <v>231</v>
      </c>
      <c r="E246" s="120" t="s">
        <v>2682</v>
      </c>
      <c r="F246" s="121" t="s">
        <v>2683</v>
      </c>
      <c r="G246" s="122" t="s">
        <v>1194</v>
      </c>
      <c r="H246" s="123">
        <v>4</v>
      </c>
      <c r="I246" s="124">
        <v>75.7</v>
      </c>
      <c r="J246" s="124">
        <f t="shared" si="32"/>
        <v>302.8</v>
      </c>
      <c r="K246" s="121" t="s">
        <v>1</v>
      </c>
      <c r="L246" s="465"/>
      <c r="M246" s="125" t="s">
        <v>1</v>
      </c>
      <c r="N246" s="126" t="s">
        <v>32</v>
      </c>
      <c r="O246" s="127">
        <v>0</v>
      </c>
      <c r="P246" s="127">
        <f t="shared" si="33"/>
        <v>0</v>
      </c>
      <c r="Q246" s="127">
        <v>0</v>
      </c>
      <c r="R246" s="127">
        <f t="shared" si="34"/>
        <v>0</v>
      </c>
      <c r="S246" s="127">
        <v>0</v>
      </c>
      <c r="T246" s="128">
        <f t="shared" si="35"/>
        <v>0</v>
      </c>
      <c r="W246" s="199"/>
      <c r="X246" s="119" t="s">
        <v>414</v>
      </c>
      <c r="Y246" s="119" t="s">
        <v>231</v>
      </c>
      <c r="Z246" s="120" t="s">
        <v>2682</v>
      </c>
      <c r="AA246" s="121" t="s">
        <v>2683</v>
      </c>
      <c r="AB246" s="122" t="s">
        <v>1194</v>
      </c>
      <c r="AC246" s="123">
        <v>4</v>
      </c>
      <c r="AD246" s="124">
        <v>75.7</v>
      </c>
      <c r="AE246" s="200">
        <f t="shared" si="36"/>
        <v>302.8</v>
      </c>
      <c r="AR246" s="129" t="s">
        <v>235</v>
      </c>
      <c r="AT246" s="129" t="s">
        <v>231</v>
      </c>
      <c r="AU246" s="129" t="s">
        <v>76</v>
      </c>
      <c r="AY246" s="13" t="s">
        <v>228</v>
      </c>
      <c r="BE246" s="130">
        <f t="shared" si="37"/>
        <v>0</v>
      </c>
      <c r="BF246" s="130">
        <f t="shared" si="38"/>
        <v>302.8</v>
      </c>
      <c r="BG246" s="130">
        <f t="shared" si="39"/>
        <v>0</v>
      </c>
      <c r="BH246" s="130">
        <f t="shared" si="40"/>
        <v>0</v>
      </c>
      <c r="BI246" s="130">
        <f t="shared" si="41"/>
        <v>0</v>
      </c>
      <c r="BJ246" s="13" t="s">
        <v>76</v>
      </c>
      <c r="BK246" s="130">
        <f t="shared" si="42"/>
        <v>302.8</v>
      </c>
      <c r="BL246" s="13" t="s">
        <v>235</v>
      </c>
      <c r="BM246" s="129" t="s">
        <v>601</v>
      </c>
    </row>
    <row r="247" spans="2:65" s="1" customFormat="1" ht="60" customHeight="1" x14ac:dyDescent="0.2">
      <c r="B247" s="118"/>
      <c r="C247" s="119" t="s">
        <v>602</v>
      </c>
      <c r="D247" s="119" t="s">
        <v>231</v>
      </c>
      <c r="E247" s="120" t="s">
        <v>4100</v>
      </c>
      <c r="F247" s="121" t="s">
        <v>4101</v>
      </c>
      <c r="G247" s="122" t="s">
        <v>1194</v>
      </c>
      <c r="H247" s="123">
        <v>2</v>
      </c>
      <c r="I247" s="124">
        <v>157.9</v>
      </c>
      <c r="J247" s="124">
        <f t="shared" si="32"/>
        <v>315.8</v>
      </c>
      <c r="K247" s="121" t="s">
        <v>1</v>
      </c>
      <c r="L247" s="465"/>
      <c r="M247" s="125" t="s">
        <v>1</v>
      </c>
      <c r="N247" s="126" t="s">
        <v>32</v>
      </c>
      <c r="O247" s="127">
        <v>0</v>
      </c>
      <c r="P247" s="127">
        <f t="shared" si="33"/>
        <v>0</v>
      </c>
      <c r="Q247" s="127">
        <v>0</v>
      </c>
      <c r="R247" s="127">
        <f t="shared" si="34"/>
        <v>0</v>
      </c>
      <c r="S247" s="127">
        <v>0</v>
      </c>
      <c r="T247" s="128">
        <f t="shared" si="35"/>
        <v>0</v>
      </c>
      <c r="W247" s="199"/>
      <c r="X247" s="119" t="s">
        <v>602</v>
      </c>
      <c r="Y247" s="119" t="s">
        <v>231</v>
      </c>
      <c r="Z247" s="120" t="s">
        <v>4100</v>
      </c>
      <c r="AA247" s="121" t="s">
        <v>4101</v>
      </c>
      <c r="AB247" s="122" t="s">
        <v>1194</v>
      </c>
      <c r="AC247" s="123">
        <v>2</v>
      </c>
      <c r="AD247" s="124">
        <v>157.9</v>
      </c>
      <c r="AE247" s="200">
        <f t="shared" si="36"/>
        <v>315.8</v>
      </c>
      <c r="AR247" s="129" t="s">
        <v>235</v>
      </c>
      <c r="AT247" s="129" t="s">
        <v>231</v>
      </c>
      <c r="AU247" s="129" t="s">
        <v>76</v>
      </c>
      <c r="AY247" s="13" t="s">
        <v>228</v>
      </c>
      <c r="BE247" s="130">
        <f t="shared" si="37"/>
        <v>0</v>
      </c>
      <c r="BF247" s="130">
        <f t="shared" si="38"/>
        <v>315.8</v>
      </c>
      <c r="BG247" s="130">
        <f t="shared" si="39"/>
        <v>0</v>
      </c>
      <c r="BH247" s="130">
        <f t="shared" si="40"/>
        <v>0</v>
      </c>
      <c r="BI247" s="130">
        <f t="shared" si="41"/>
        <v>0</v>
      </c>
      <c r="BJ247" s="13" t="s">
        <v>76</v>
      </c>
      <c r="BK247" s="130">
        <f t="shared" si="42"/>
        <v>315.8</v>
      </c>
      <c r="BL247" s="13" t="s">
        <v>235</v>
      </c>
      <c r="BM247" s="129" t="s">
        <v>605</v>
      </c>
    </row>
    <row r="248" spans="2:65" s="1" customFormat="1" ht="24" customHeight="1" x14ac:dyDescent="0.2">
      <c r="B248" s="118"/>
      <c r="C248" s="119" t="s">
        <v>418</v>
      </c>
      <c r="D248" s="119" t="s">
        <v>231</v>
      </c>
      <c r="E248" s="120" t="s">
        <v>4892</v>
      </c>
      <c r="F248" s="121" t="s">
        <v>4893</v>
      </c>
      <c r="G248" s="122" t="s">
        <v>1194</v>
      </c>
      <c r="H248" s="123">
        <v>4</v>
      </c>
      <c r="I248" s="124">
        <v>40.64</v>
      </c>
      <c r="J248" s="124">
        <f t="shared" si="32"/>
        <v>162.56</v>
      </c>
      <c r="K248" s="121" t="s">
        <v>1</v>
      </c>
      <c r="L248" s="465"/>
      <c r="M248" s="125" t="s">
        <v>1</v>
      </c>
      <c r="N248" s="126" t="s">
        <v>32</v>
      </c>
      <c r="O248" s="127">
        <v>0</v>
      </c>
      <c r="P248" s="127">
        <f t="shared" si="33"/>
        <v>0</v>
      </c>
      <c r="Q248" s="127">
        <v>0</v>
      </c>
      <c r="R248" s="127">
        <f t="shared" si="34"/>
        <v>0</v>
      </c>
      <c r="S248" s="127">
        <v>0</v>
      </c>
      <c r="T248" s="128">
        <f t="shared" si="35"/>
        <v>0</v>
      </c>
      <c r="W248" s="199"/>
      <c r="X248" s="119" t="s">
        <v>418</v>
      </c>
      <c r="Y248" s="119" t="s">
        <v>231</v>
      </c>
      <c r="Z248" s="120" t="s">
        <v>4892</v>
      </c>
      <c r="AA248" s="121" t="s">
        <v>4893</v>
      </c>
      <c r="AB248" s="122" t="s">
        <v>1194</v>
      </c>
      <c r="AC248" s="123">
        <v>4</v>
      </c>
      <c r="AD248" s="124">
        <v>40.64</v>
      </c>
      <c r="AE248" s="200">
        <f t="shared" si="36"/>
        <v>162.56</v>
      </c>
      <c r="AR248" s="129" t="s">
        <v>235</v>
      </c>
      <c r="AT248" s="129" t="s">
        <v>231</v>
      </c>
      <c r="AU248" s="129" t="s">
        <v>76</v>
      </c>
      <c r="AY248" s="13" t="s">
        <v>228</v>
      </c>
      <c r="BE248" s="130">
        <f t="shared" si="37"/>
        <v>0</v>
      </c>
      <c r="BF248" s="130">
        <f t="shared" si="38"/>
        <v>162.56</v>
      </c>
      <c r="BG248" s="130">
        <f t="shared" si="39"/>
        <v>0</v>
      </c>
      <c r="BH248" s="130">
        <f t="shared" si="40"/>
        <v>0</v>
      </c>
      <c r="BI248" s="130">
        <f t="shared" si="41"/>
        <v>0</v>
      </c>
      <c r="BJ248" s="13" t="s">
        <v>76</v>
      </c>
      <c r="BK248" s="130">
        <f t="shared" si="42"/>
        <v>162.56</v>
      </c>
      <c r="BL248" s="13" t="s">
        <v>235</v>
      </c>
      <c r="BM248" s="129" t="s">
        <v>610</v>
      </c>
    </row>
    <row r="249" spans="2:65" s="1" customFormat="1" ht="24" customHeight="1" x14ac:dyDescent="0.2">
      <c r="B249" s="118"/>
      <c r="C249" s="119" t="s">
        <v>613</v>
      </c>
      <c r="D249" s="119" t="s">
        <v>231</v>
      </c>
      <c r="E249" s="120" t="s">
        <v>4950</v>
      </c>
      <c r="F249" s="121" t="s">
        <v>4951</v>
      </c>
      <c r="G249" s="122" t="s">
        <v>1194</v>
      </c>
      <c r="H249" s="123">
        <v>4</v>
      </c>
      <c r="I249" s="124">
        <v>70.650000000000006</v>
      </c>
      <c r="J249" s="124">
        <f t="shared" si="32"/>
        <v>282.60000000000002</v>
      </c>
      <c r="K249" s="121" t="s">
        <v>1</v>
      </c>
      <c r="L249" s="465"/>
      <c r="M249" s="125" t="s">
        <v>1</v>
      </c>
      <c r="N249" s="126" t="s">
        <v>32</v>
      </c>
      <c r="O249" s="127">
        <v>0</v>
      </c>
      <c r="P249" s="127">
        <f t="shared" si="33"/>
        <v>0</v>
      </c>
      <c r="Q249" s="127">
        <v>0</v>
      </c>
      <c r="R249" s="127">
        <f t="shared" si="34"/>
        <v>0</v>
      </c>
      <c r="S249" s="127">
        <v>0</v>
      </c>
      <c r="T249" s="128">
        <f t="shared" si="35"/>
        <v>0</v>
      </c>
      <c r="W249" s="199"/>
      <c r="X249" s="119" t="s">
        <v>613</v>
      </c>
      <c r="Y249" s="119" t="s">
        <v>231</v>
      </c>
      <c r="Z249" s="120" t="s">
        <v>4950</v>
      </c>
      <c r="AA249" s="121" t="s">
        <v>4951</v>
      </c>
      <c r="AB249" s="122" t="s">
        <v>1194</v>
      </c>
      <c r="AC249" s="123">
        <v>4</v>
      </c>
      <c r="AD249" s="124">
        <v>70.650000000000006</v>
      </c>
      <c r="AE249" s="200">
        <f t="shared" si="36"/>
        <v>282.60000000000002</v>
      </c>
      <c r="AR249" s="129" t="s">
        <v>235</v>
      </c>
      <c r="AT249" s="129" t="s">
        <v>231</v>
      </c>
      <c r="AU249" s="129" t="s">
        <v>76</v>
      </c>
      <c r="AY249" s="13" t="s">
        <v>228</v>
      </c>
      <c r="BE249" s="130">
        <f t="shared" si="37"/>
        <v>0</v>
      </c>
      <c r="BF249" s="130">
        <f t="shared" si="38"/>
        <v>282.60000000000002</v>
      </c>
      <c r="BG249" s="130">
        <f t="shared" si="39"/>
        <v>0</v>
      </c>
      <c r="BH249" s="130">
        <f t="shared" si="40"/>
        <v>0</v>
      </c>
      <c r="BI249" s="130">
        <f t="shared" si="41"/>
        <v>0</v>
      </c>
      <c r="BJ249" s="13" t="s">
        <v>76</v>
      </c>
      <c r="BK249" s="130">
        <f t="shared" si="42"/>
        <v>282.60000000000002</v>
      </c>
      <c r="BL249" s="13" t="s">
        <v>235</v>
      </c>
      <c r="BM249" s="129" t="s">
        <v>616</v>
      </c>
    </row>
    <row r="250" spans="2:65" s="11" customFormat="1" ht="22.95" customHeight="1" x14ac:dyDescent="0.25">
      <c r="B250" s="106"/>
      <c r="D250" s="107" t="s">
        <v>57</v>
      </c>
      <c r="E250" s="116" t="s">
        <v>1211</v>
      </c>
      <c r="F250" s="116" t="s">
        <v>4908</v>
      </c>
      <c r="J250" s="117">
        <f>BK250</f>
        <v>99.99</v>
      </c>
      <c r="L250" s="106"/>
      <c r="M250" s="110"/>
      <c r="N250" s="111"/>
      <c r="O250" s="111"/>
      <c r="P250" s="112">
        <f>SUM(P251:P252)</f>
        <v>0</v>
      </c>
      <c r="Q250" s="111"/>
      <c r="R250" s="112">
        <f>SUM(R251:R252)</f>
        <v>0</v>
      </c>
      <c r="S250" s="111"/>
      <c r="T250" s="113">
        <f>SUM(T251:T252)</f>
        <v>0</v>
      </c>
      <c r="W250" s="195"/>
      <c r="X250" s="111"/>
      <c r="Y250" s="196" t="s">
        <v>57</v>
      </c>
      <c r="Z250" s="201" t="s">
        <v>1211</v>
      </c>
      <c r="AA250" s="201" t="s">
        <v>4908</v>
      </c>
      <c r="AB250" s="111"/>
      <c r="AC250" s="111"/>
      <c r="AD250" s="111"/>
      <c r="AE250" s="202">
        <f>SUM(AE251:AE252)</f>
        <v>99.99</v>
      </c>
      <c r="AR250" s="107" t="s">
        <v>63</v>
      </c>
      <c r="AT250" s="114" t="s">
        <v>57</v>
      </c>
      <c r="AU250" s="114" t="s">
        <v>63</v>
      </c>
      <c r="AY250" s="107" t="s">
        <v>228</v>
      </c>
      <c r="BK250" s="115">
        <f>SUM(BK251:BK252)</f>
        <v>99.99</v>
      </c>
    </row>
    <row r="251" spans="2:65" s="1" customFormat="1" ht="16.5" customHeight="1" x14ac:dyDescent="0.2">
      <c r="B251" s="118"/>
      <c r="C251" s="119" t="s">
        <v>421</v>
      </c>
      <c r="D251" s="119" t="s">
        <v>231</v>
      </c>
      <c r="E251" s="120" t="s">
        <v>1207</v>
      </c>
      <c r="F251" s="121" t="s">
        <v>1208</v>
      </c>
      <c r="G251" s="122" t="s">
        <v>292</v>
      </c>
      <c r="H251" s="123">
        <v>3</v>
      </c>
      <c r="I251" s="124">
        <v>18.11</v>
      </c>
      <c r="J251" s="124">
        <f>ROUND(I251*H251,2)</f>
        <v>54.33</v>
      </c>
      <c r="K251" s="121" t="s">
        <v>1</v>
      </c>
      <c r="L251" s="465"/>
      <c r="M251" s="125" t="s">
        <v>1</v>
      </c>
      <c r="N251" s="126" t="s">
        <v>32</v>
      </c>
      <c r="O251" s="127">
        <v>0</v>
      </c>
      <c r="P251" s="127">
        <f>O251*H251</f>
        <v>0</v>
      </c>
      <c r="Q251" s="127">
        <v>0</v>
      </c>
      <c r="R251" s="127">
        <f>Q251*H251</f>
        <v>0</v>
      </c>
      <c r="S251" s="127">
        <v>0</v>
      </c>
      <c r="T251" s="128">
        <f>S251*H251</f>
        <v>0</v>
      </c>
      <c r="W251" s="199"/>
      <c r="X251" s="119" t="s">
        <v>421</v>
      </c>
      <c r="Y251" s="119" t="s">
        <v>231</v>
      </c>
      <c r="Z251" s="120" t="s">
        <v>1207</v>
      </c>
      <c r="AA251" s="121" t="s">
        <v>1208</v>
      </c>
      <c r="AB251" s="122" t="s">
        <v>292</v>
      </c>
      <c r="AC251" s="123">
        <v>3</v>
      </c>
      <c r="AD251" s="124">
        <v>18.11</v>
      </c>
      <c r="AE251" s="200">
        <f>ROUND(AD251*AC251,2)</f>
        <v>54.33</v>
      </c>
      <c r="AR251" s="129" t="s">
        <v>235</v>
      </c>
      <c r="AT251" s="129" t="s">
        <v>231</v>
      </c>
      <c r="AU251" s="129" t="s">
        <v>76</v>
      </c>
      <c r="AY251" s="13" t="s">
        <v>228</v>
      </c>
      <c r="BE251" s="130">
        <f>IF(N251="základná",J251,0)</f>
        <v>0</v>
      </c>
      <c r="BF251" s="130">
        <f>IF(N251="znížená",J251,0)</f>
        <v>54.33</v>
      </c>
      <c r="BG251" s="130">
        <f>IF(N251="zákl. prenesená",J251,0)</f>
        <v>0</v>
      </c>
      <c r="BH251" s="130">
        <f>IF(N251="zníž. prenesená",J251,0)</f>
        <v>0</v>
      </c>
      <c r="BI251" s="130">
        <f>IF(N251="nulová",J251,0)</f>
        <v>0</v>
      </c>
      <c r="BJ251" s="13" t="s">
        <v>76</v>
      </c>
      <c r="BK251" s="130">
        <f>ROUND(I251*H251,2)</f>
        <v>54.33</v>
      </c>
      <c r="BL251" s="13" t="s">
        <v>235</v>
      </c>
      <c r="BM251" s="129" t="s">
        <v>619</v>
      </c>
    </row>
    <row r="252" spans="2:65" s="1" customFormat="1" ht="16.5" customHeight="1" x14ac:dyDescent="0.2">
      <c r="B252" s="118"/>
      <c r="C252" s="119" t="s">
        <v>620</v>
      </c>
      <c r="D252" s="119" t="s">
        <v>231</v>
      </c>
      <c r="E252" s="120" t="s">
        <v>1209</v>
      </c>
      <c r="F252" s="121" t="s">
        <v>1210</v>
      </c>
      <c r="G252" s="122" t="s">
        <v>292</v>
      </c>
      <c r="H252" s="123">
        <v>2</v>
      </c>
      <c r="I252" s="124">
        <v>22.83</v>
      </c>
      <c r="J252" s="124">
        <f>ROUND(I252*H252,2)</f>
        <v>45.66</v>
      </c>
      <c r="K252" s="121" t="s">
        <v>1</v>
      </c>
      <c r="L252" s="465"/>
      <c r="M252" s="125" t="s">
        <v>1</v>
      </c>
      <c r="N252" s="126" t="s">
        <v>32</v>
      </c>
      <c r="O252" s="127">
        <v>0</v>
      </c>
      <c r="P252" s="127">
        <f>O252*H252</f>
        <v>0</v>
      </c>
      <c r="Q252" s="127">
        <v>0</v>
      </c>
      <c r="R252" s="127">
        <f>Q252*H252</f>
        <v>0</v>
      </c>
      <c r="S252" s="127">
        <v>0</v>
      </c>
      <c r="T252" s="128">
        <f>S252*H252</f>
        <v>0</v>
      </c>
      <c r="W252" s="199"/>
      <c r="X252" s="119" t="s">
        <v>620</v>
      </c>
      <c r="Y252" s="119" t="s">
        <v>231</v>
      </c>
      <c r="Z252" s="120" t="s">
        <v>1209</v>
      </c>
      <c r="AA252" s="121" t="s">
        <v>1210</v>
      </c>
      <c r="AB252" s="122" t="s">
        <v>292</v>
      </c>
      <c r="AC252" s="123">
        <v>2</v>
      </c>
      <c r="AD252" s="124">
        <v>22.83</v>
      </c>
      <c r="AE252" s="200">
        <f>ROUND(AD252*AC252,2)</f>
        <v>45.66</v>
      </c>
      <c r="AR252" s="129" t="s">
        <v>235</v>
      </c>
      <c r="AT252" s="129" t="s">
        <v>231</v>
      </c>
      <c r="AU252" s="129" t="s">
        <v>76</v>
      </c>
      <c r="AY252" s="13" t="s">
        <v>228</v>
      </c>
      <c r="BE252" s="130">
        <f>IF(N252="základná",J252,0)</f>
        <v>0</v>
      </c>
      <c r="BF252" s="130">
        <f>IF(N252="znížená",J252,0)</f>
        <v>45.66</v>
      </c>
      <c r="BG252" s="130">
        <f>IF(N252="zákl. prenesená",J252,0)</f>
        <v>0</v>
      </c>
      <c r="BH252" s="130">
        <f>IF(N252="zníž. prenesená",J252,0)</f>
        <v>0</v>
      </c>
      <c r="BI252" s="130">
        <f>IF(N252="nulová",J252,0)</f>
        <v>0</v>
      </c>
      <c r="BJ252" s="13" t="s">
        <v>76</v>
      </c>
      <c r="BK252" s="130">
        <f>ROUND(I252*H252,2)</f>
        <v>45.66</v>
      </c>
      <c r="BL252" s="13" t="s">
        <v>235</v>
      </c>
      <c r="BM252" s="129" t="s">
        <v>623</v>
      </c>
    </row>
    <row r="253" spans="2:65" s="11" customFormat="1" ht="22.95" customHeight="1" x14ac:dyDescent="0.25">
      <c r="B253" s="106"/>
      <c r="D253" s="107" t="s">
        <v>57</v>
      </c>
      <c r="E253" s="116" t="s">
        <v>1252</v>
      </c>
      <c r="F253" s="116" t="s">
        <v>4952</v>
      </c>
      <c r="J253" s="117">
        <f>BK253</f>
        <v>9269.7899999999991</v>
      </c>
      <c r="L253" s="106"/>
      <c r="M253" s="110"/>
      <c r="N253" s="111"/>
      <c r="O253" s="111"/>
      <c r="P253" s="112">
        <f>SUM(P254:P258)</f>
        <v>0</v>
      </c>
      <c r="Q253" s="111"/>
      <c r="R253" s="112">
        <f>SUM(R254:R258)</f>
        <v>0</v>
      </c>
      <c r="S253" s="111"/>
      <c r="T253" s="113">
        <f>SUM(T254:T258)</f>
        <v>0</v>
      </c>
      <c r="W253" s="195"/>
      <c r="X253" s="111"/>
      <c r="Y253" s="196" t="s">
        <v>57</v>
      </c>
      <c r="Z253" s="201" t="s">
        <v>1252</v>
      </c>
      <c r="AA253" s="201" t="s">
        <v>4952</v>
      </c>
      <c r="AB253" s="111"/>
      <c r="AC253" s="111"/>
      <c r="AD253" s="111"/>
      <c r="AE253" s="202">
        <f>SUM(AE254:AE258)</f>
        <v>9269.7899999999991</v>
      </c>
      <c r="AR253" s="107" t="s">
        <v>63</v>
      </c>
      <c r="AT253" s="114" t="s">
        <v>57</v>
      </c>
      <c r="AU253" s="114" t="s">
        <v>63</v>
      </c>
      <c r="AY253" s="107" t="s">
        <v>228</v>
      </c>
      <c r="BK253" s="115">
        <f>SUM(BK254:BK258)</f>
        <v>9269.7899999999991</v>
      </c>
    </row>
    <row r="254" spans="2:65" s="1" customFormat="1" ht="16.5" customHeight="1" x14ac:dyDescent="0.2">
      <c r="B254" s="118"/>
      <c r="C254" s="119" t="s">
        <v>425</v>
      </c>
      <c r="D254" s="119" t="s">
        <v>231</v>
      </c>
      <c r="E254" s="120" t="s">
        <v>4106</v>
      </c>
      <c r="F254" s="121" t="s">
        <v>3601</v>
      </c>
      <c r="G254" s="122" t="s">
        <v>292</v>
      </c>
      <c r="H254" s="123">
        <v>35</v>
      </c>
      <c r="I254" s="124">
        <v>36.659999999999997</v>
      </c>
      <c r="J254" s="124">
        <f>ROUND(I254*H254,2)</f>
        <v>1283.0999999999999</v>
      </c>
      <c r="K254" s="121" t="s">
        <v>1</v>
      </c>
      <c r="L254" s="465"/>
      <c r="M254" s="125" t="s">
        <v>1</v>
      </c>
      <c r="N254" s="126" t="s">
        <v>32</v>
      </c>
      <c r="O254" s="127">
        <v>0</v>
      </c>
      <c r="P254" s="127">
        <f>O254*H254</f>
        <v>0</v>
      </c>
      <c r="Q254" s="127">
        <v>0</v>
      </c>
      <c r="R254" s="127">
        <f>Q254*H254</f>
        <v>0</v>
      </c>
      <c r="S254" s="127">
        <v>0</v>
      </c>
      <c r="T254" s="128">
        <f>S254*H254</f>
        <v>0</v>
      </c>
      <c r="W254" s="199"/>
      <c r="X254" s="119" t="s">
        <v>425</v>
      </c>
      <c r="Y254" s="119" t="s">
        <v>231</v>
      </c>
      <c r="Z254" s="120" t="s">
        <v>4106</v>
      </c>
      <c r="AA254" s="121" t="s">
        <v>3601</v>
      </c>
      <c r="AB254" s="122" t="s">
        <v>292</v>
      </c>
      <c r="AC254" s="123">
        <v>35</v>
      </c>
      <c r="AD254" s="124">
        <v>36.659999999999997</v>
      </c>
      <c r="AE254" s="200">
        <f>ROUND(AD254*AC254,2)</f>
        <v>1283.0999999999999</v>
      </c>
      <c r="AR254" s="129" t="s">
        <v>235</v>
      </c>
      <c r="AT254" s="129" t="s">
        <v>231</v>
      </c>
      <c r="AU254" s="129" t="s">
        <v>76</v>
      </c>
      <c r="AY254" s="13" t="s">
        <v>228</v>
      </c>
      <c r="BE254" s="130">
        <f>IF(N254="základná",J254,0)</f>
        <v>0</v>
      </c>
      <c r="BF254" s="130">
        <f>IF(N254="znížená",J254,0)</f>
        <v>1283.0999999999999</v>
      </c>
      <c r="BG254" s="130">
        <f>IF(N254="zákl. prenesená",J254,0)</f>
        <v>0</v>
      </c>
      <c r="BH254" s="130">
        <f>IF(N254="zníž. prenesená",J254,0)</f>
        <v>0</v>
      </c>
      <c r="BI254" s="130">
        <f>IF(N254="nulová",J254,0)</f>
        <v>0</v>
      </c>
      <c r="BJ254" s="13" t="s">
        <v>76</v>
      </c>
      <c r="BK254" s="130">
        <f>ROUND(I254*H254,2)</f>
        <v>1283.0999999999999</v>
      </c>
      <c r="BL254" s="13" t="s">
        <v>235</v>
      </c>
      <c r="BM254" s="129" t="s">
        <v>626</v>
      </c>
    </row>
    <row r="255" spans="2:65" s="1" customFormat="1" ht="16.5" customHeight="1" x14ac:dyDescent="0.2">
      <c r="B255" s="118"/>
      <c r="C255" s="119" t="s">
        <v>627</v>
      </c>
      <c r="D255" s="119" t="s">
        <v>231</v>
      </c>
      <c r="E255" s="120" t="s">
        <v>4107</v>
      </c>
      <c r="F255" s="121" t="s">
        <v>3603</v>
      </c>
      <c r="G255" s="122" t="s">
        <v>292</v>
      </c>
      <c r="H255" s="123">
        <v>15</v>
      </c>
      <c r="I255" s="124">
        <v>47.94</v>
      </c>
      <c r="J255" s="124">
        <f>ROUND(I255*H255,2)</f>
        <v>719.1</v>
      </c>
      <c r="K255" s="121" t="s">
        <v>1</v>
      </c>
      <c r="L255" s="465"/>
      <c r="M255" s="125" t="s">
        <v>1</v>
      </c>
      <c r="N255" s="126" t="s">
        <v>32</v>
      </c>
      <c r="O255" s="127">
        <v>0</v>
      </c>
      <c r="P255" s="127">
        <f>O255*H255</f>
        <v>0</v>
      </c>
      <c r="Q255" s="127">
        <v>0</v>
      </c>
      <c r="R255" s="127">
        <f>Q255*H255</f>
        <v>0</v>
      </c>
      <c r="S255" s="127">
        <v>0</v>
      </c>
      <c r="T255" s="128">
        <f>S255*H255</f>
        <v>0</v>
      </c>
      <c r="W255" s="199"/>
      <c r="X255" s="119" t="s">
        <v>627</v>
      </c>
      <c r="Y255" s="119" t="s">
        <v>231</v>
      </c>
      <c r="Z255" s="120" t="s">
        <v>4107</v>
      </c>
      <c r="AA255" s="121" t="s">
        <v>3603</v>
      </c>
      <c r="AB255" s="122" t="s">
        <v>292</v>
      </c>
      <c r="AC255" s="123">
        <v>15</v>
      </c>
      <c r="AD255" s="124">
        <v>47.94</v>
      </c>
      <c r="AE255" s="200">
        <f>ROUND(AD255*AC255,2)</f>
        <v>719.1</v>
      </c>
      <c r="AR255" s="129" t="s">
        <v>235</v>
      </c>
      <c r="AT255" s="129" t="s">
        <v>231</v>
      </c>
      <c r="AU255" s="129" t="s">
        <v>76</v>
      </c>
      <c r="AY255" s="13" t="s">
        <v>228</v>
      </c>
      <c r="BE255" s="130">
        <f>IF(N255="základná",J255,0)</f>
        <v>0</v>
      </c>
      <c r="BF255" s="130">
        <f>IF(N255="znížená",J255,0)</f>
        <v>719.1</v>
      </c>
      <c r="BG255" s="130">
        <f>IF(N255="zákl. prenesená",J255,0)</f>
        <v>0</v>
      </c>
      <c r="BH255" s="130">
        <f>IF(N255="zníž. prenesená",J255,0)</f>
        <v>0</v>
      </c>
      <c r="BI255" s="130">
        <f>IF(N255="nulová",J255,0)</f>
        <v>0</v>
      </c>
      <c r="BJ255" s="13" t="s">
        <v>76</v>
      </c>
      <c r="BK255" s="130">
        <f>ROUND(I255*H255,2)</f>
        <v>719.1</v>
      </c>
      <c r="BL255" s="13" t="s">
        <v>235</v>
      </c>
      <c r="BM255" s="129" t="s">
        <v>630</v>
      </c>
    </row>
    <row r="256" spans="2:65" s="1" customFormat="1" ht="16.5" customHeight="1" x14ac:dyDescent="0.2">
      <c r="B256" s="118"/>
      <c r="C256" s="119" t="s">
        <v>428</v>
      </c>
      <c r="D256" s="119" t="s">
        <v>231</v>
      </c>
      <c r="E256" s="120" t="s">
        <v>4953</v>
      </c>
      <c r="F256" s="121" t="s">
        <v>4513</v>
      </c>
      <c r="G256" s="122" t="s">
        <v>292</v>
      </c>
      <c r="H256" s="123">
        <v>52</v>
      </c>
      <c r="I256" s="124">
        <v>58.87</v>
      </c>
      <c r="J256" s="124">
        <f>ROUND(I256*H256,2)</f>
        <v>3061.24</v>
      </c>
      <c r="K256" s="121" t="s">
        <v>1</v>
      </c>
      <c r="L256" s="465"/>
      <c r="M256" s="125" t="s">
        <v>1</v>
      </c>
      <c r="N256" s="126" t="s">
        <v>32</v>
      </c>
      <c r="O256" s="127">
        <v>0</v>
      </c>
      <c r="P256" s="127">
        <f>O256*H256</f>
        <v>0</v>
      </c>
      <c r="Q256" s="127">
        <v>0</v>
      </c>
      <c r="R256" s="127">
        <f>Q256*H256</f>
        <v>0</v>
      </c>
      <c r="S256" s="127">
        <v>0</v>
      </c>
      <c r="T256" s="128">
        <f>S256*H256</f>
        <v>0</v>
      </c>
      <c r="W256" s="199"/>
      <c r="X256" s="119" t="s">
        <v>428</v>
      </c>
      <c r="Y256" s="119" t="s">
        <v>231</v>
      </c>
      <c r="Z256" s="120" t="s">
        <v>4953</v>
      </c>
      <c r="AA256" s="121" t="s">
        <v>4513</v>
      </c>
      <c r="AB256" s="122" t="s">
        <v>292</v>
      </c>
      <c r="AC256" s="123">
        <v>52</v>
      </c>
      <c r="AD256" s="124">
        <v>58.87</v>
      </c>
      <c r="AE256" s="200">
        <f>ROUND(AD256*AC256,2)</f>
        <v>3061.24</v>
      </c>
      <c r="AR256" s="129" t="s">
        <v>235</v>
      </c>
      <c r="AT256" s="129" t="s">
        <v>231</v>
      </c>
      <c r="AU256" s="129" t="s">
        <v>76</v>
      </c>
      <c r="AY256" s="13" t="s">
        <v>228</v>
      </c>
      <c r="BE256" s="130">
        <f>IF(N256="základná",J256,0)</f>
        <v>0</v>
      </c>
      <c r="BF256" s="130">
        <f>IF(N256="znížená",J256,0)</f>
        <v>3061.24</v>
      </c>
      <c r="BG256" s="130">
        <f>IF(N256="zákl. prenesená",J256,0)</f>
        <v>0</v>
      </c>
      <c r="BH256" s="130">
        <f>IF(N256="zníž. prenesená",J256,0)</f>
        <v>0</v>
      </c>
      <c r="BI256" s="130">
        <f>IF(N256="nulová",J256,0)</f>
        <v>0</v>
      </c>
      <c r="BJ256" s="13" t="s">
        <v>76</v>
      </c>
      <c r="BK256" s="130">
        <f>ROUND(I256*H256,2)</f>
        <v>3061.24</v>
      </c>
      <c r="BL256" s="13" t="s">
        <v>235</v>
      </c>
      <c r="BM256" s="129" t="s">
        <v>635</v>
      </c>
    </row>
    <row r="257" spans="2:65" s="1" customFormat="1" ht="16.5" customHeight="1" x14ac:dyDescent="0.2">
      <c r="B257" s="118"/>
      <c r="C257" s="119" t="s">
        <v>636</v>
      </c>
      <c r="D257" s="119" t="s">
        <v>231</v>
      </c>
      <c r="E257" s="120" t="s">
        <v>4108</v>
      </c>
      <c r="F257" s="121" t="s">
        <v>4109</v>
      </c>
      <c r="G257" s="122" t="s">
        <v>292</v>
      </c>
      <c r="H257" s="123">
        <v>16</v>
      </c>
      <c r="I257" s="124">
        <v>67.19</v>
      </c>
      <c r="J257" s="124">
        <f>ROUND(I257*H257,2)</f>
        <v>1075.04</v>
      </c>
      <c r="K257" s="121" t="s">
        <v>1</v>
      </c>
      <c r="L257" s="465"/>
      <c r="M257" s="125" t="s">
        <v>1</v>
      </c>
      <c r="N257" s="126" t="s">
        <v>32</v>
      </c>
      <c r="O257" s="127">
        <v>0</v>
      </c>
      <c r="P257" s="127">
        <f>O257*H257</f>
        <v>0</v>
      </c>
      <c r="Q257" s="127">
        <v>0</v>
      </c>
      <c r="R257" s="127">
        <f>Q257*H257</f>
        <v>0</v>
      </c>
      <c r="S257" s="127">
        <v>0</v>
      </c>
      <c r="T257" s="128">
        <f>S257*H257</f>
        <v>0</v>
      </c>
      <c r="W257" s="199"/>
      <c r="X257" s="119" t="s">
        <v>636</v>
      </c>
      <c r="Y257" s="119" t="s">
        <v>231</v>
      </c>
      <c r="Z257" s="120" t="s">
        <v>4108</v>
      </c>
      <c r="AA257" s="121" t="s">
        <v>4109</v>
      </c>
      <c r="AB257" s="122" t="s">
        <v>292</v>
      </c>
      <c r="AC257" s="123">
        <v>16</v>
      </c>
      <c r="AD257" s="124">
        <v>67.19</v>
      </c>
      <c r="AE257" s="200">
        <f>ROUND(AD257*AC257,2)</f>
        <v>1075.04</v>
      </c>
      <c r="AR257" s="129" t="s">
        <v>235</v>
      </c>
      <c r="AT257" s="129" t="s">
        <v>231</v>
      </c>
      <c r="AU257" s="129" t="s">
        <v>76</v>
      </c>
      <c r="AY257" s="13" t="s">
        <v>228</v>
      </c>
      <c r="BE257" s="130">
        <f>IF(N257="základná",J257,0)</f>
        <v>0</v>
      </c>
      <c r="BF257" s="130">
        <f>IF(N257="znížená",J257,0)</f>
        <v>1075.04</v>
      </c>
      <c r="BG257" s="130">
        <f>IF(N257="zákl. prenesená",J257,0)</f>
        <v>0</v>
      </c>
      <c r="BH257" s="130">
        <f>IF(N257="zníž. prenesená",J257,0)</f>
        <v>0</v>
      </c>
      <c r="BI257" s="130">
        <f>IF(N257="nulová",J257,0)</f>
        <v>0</v>
      </c>
      <c r="BJ257" s="13" t="s">
        <v>76</v>
      </c>
      <c r="BK257" s="130">
        <f>ROUND(I257*H257,2)</f>
        <v>1075.04</v>
      </c>
      <c r="BL257" s="13" t="s">
        <v>235</v>
      </c>
      <c r="BM257" s="129" t="s">
        <v>639</v>
      </c>
    </row>
    <row r="258" spans="2:65" s="1" customFormat="1" ht="16.5" customHeight="1" x14ac:dyDescent="0.2">
      <c r="B258" s="118"/>
      <c r="C258" s="119" t="s">
        <v>432</v>
      </c>
      <c r="D258" s="119" t="s">
        <v>231</v>
      </c>
      <c r="E258" s="120" t="s">
        <v>4910</v>
      </c>
      <c r="F258" s="121" t="s">
        <v>4911</v>
      </c>
      <c r="G258" s="122" t="s">
        <v>292</v>
      </c>
      <c r="H258" s="123">
        <v>39</v>
      </c>
      <c r="I258" s="124">
        <v>80.290000000000006</v>
      </c>
      <c r="J258" s="124">
        <f>ROUND(I258*H258,2)</f>
        <v>3131.31</v>
      </c>
      <c r="K258" s="121" t="s">
        <v>1</v>
      </c>
      <c r="L258" s="465"/>
      <c r="M258" s="125" t="s">
        <v>1</v>
      </c>
      <c r="N258" s="126" t="s">
        <v>32</v>
      </c>
      <c r="O258" s="127">
        <v>0</v>
      </c>
      <c r="P258" s="127">
        <f>O258*H258</f>
        <v>0</v>
      </c>
      <c r="Q258" s="127">
        <v>0</v>
      </c>
      <c r="R258" s="127">
        <f>Q258*H258</f>
        <v>0</v>
      </c>
      <c r="S258" s="127">
        <v>0</v>
      </c>
      <c r="T258" s="128">
        <f>S258*H258</f>
        <v>0</v>
      </c>
      <c r="W258" s="199"/>
      <c r="X258" s="119" t="s">
        <v>432</v>
      </c>
      <c r="Y258" s="119" t="s">
        <v>231</v>
      </c>
      <c r="Z258" s="120" t="s">
        <v>4910</v>
      </c>
      <c r="AA258" s="121" t="s">
        <v>4911</v>
      </c>
      <c r="AB258" s="122" t="s">
        <v>292</v>
      </c>
      <c r="AC258" s="123">
        <v>39</v>
      </c>
      <c r="AD258" s="124">
        <v>80.290000000000006</v>
      </c>
      <c r="AE258" s="200">
        <f>ROUND(AD258*AC258,2)</f>
        <v>3131.31</v>
      </c>
      <c r="AR258" s="129" t="s">
        <v>235</v>
      </c>
      <c r="AT258" s="129" t="s">
        <v>231</v>
      </c>
      <c r="AU258" s="129" t="s">
        <v>76</v>
      </c>
      <c r="AY258" s="13" t="s">
        <v>228</v>
      </c>
      <c r="BE258" s="130">
        <f>IF(N258="základná",J258,0)</f>
        <v>0</v>
      </c>
      <c r="BF258" s="130">
        <f>IF(N258="znížená",J258,0)</f>
        <v>3131.31</v>
      </c>
      <c r="BG258" s="130">
        <f>IF(N258="zákl. prenesená",J258,0)</f>
        <v>0</v>
      </c>
      <c r="BH258" s="130">
        <f>IF(N258="zníž. prenesená",J258,0)</f>
        <v>0</v>
      </c>
      <c r="BI258" s="130">
        <f>IF(N258="nulová",J258,0)</f>
        <v>0</v>
      </c>
      <c r="BJ258" s="13" t="s">
        <v>76</v>
      </c>
      <c r="BK258" s="130">
        <f>ROUND(I258*H258,2)</f>
        <v>3131.31</v>
      </c>
      <c r="BL258" s="13" t="s">
        <v>235</v>
      </c>
      <c r="BM258" s="129" t="s">
        <v>642</v>
      </c>
    </row>
    <row r="259" spans="2:65" s="11" customFormat="1" ht="22.95" customHeight="1" x14ac:dyDescent="0.25">
      <c r="B259" s="106"/>
      <c r="D259" s="107" t="s">
        <v>57</v>
      </c>
      <c r="E259" s="116" t="s">
        <v>1227</v>
      </c>
      <c r="F259" s="116" t="s">
        <v>4110</v>
      </c>
      <c r="J259" s="117">
        <f>BK259</f>
        <v>33.39</v>
      </c>
      <c r="L259" s="106"/>
      <c r="M259" s="110"/>
      <c r="N259" s="111"/>
      <c r="O259" s="111"/>
      <c r="P259" s="112">
        <f>SUM(P260:P261)</f>
        <v>0</v>
      </c>
      <c r="Q259" s="111"/>
      <c r="R259" s="112">
        <f>SUM(R260:R261)</f>
        <v>0</v>
      </c>
      <c r="S259" s="111"/>
      <c r="T259" s="113">
        <f>SUM(T260:T261)</f>
        <v>0</v>
      </c>
      <c r="W259" s="195"/>
      <c r="X259" s="111"/>
      <c r="Y259" s="196" t="s">
        <v>57</v>
      </c>
      <c r="Z259" s="201" t="s">
        <v>1227</v>
      </c>
      <c r="AA259" s="201" t="s">
        <v>4110</v>
      </c>
      <c r="AB259" s="111"/>
      <c r="AC259" s="111"/>
      <c r="AD259" s="111"/>
      <c r="AE259" s="202">
        <f>SUM(AE260:AE261)</f>
        <v>33.39</v>
      </c>
      <c r="AR259" s="107" t="s">
        <v>63</v>
      </c>
      <c r="AT259" s="114" t="s">
        <v>57</v>
      </c>
      <c r="AU259" s="114" t="s">
        <v>63</v>
      </c>
      <c r="AY259" s="107" t="s">
        <v>228</v>
      </c>
      <c r="BK259" s="115">
        <f>SUM(BK260:BK261)</f>
        <v>33.39</v>
      </c>
    </row>
    <row r="260" spans="2:65" s="1" customFormat="1" ht="16.5" customHeight="1" x14ac:dyDescent="0.2">
      <c r="B260" s="118"/>
      <c r="C260" s="119" t="s">
        <v>643</v>
      </c>
      <c r="D260" s="119" t="s">
        <v>231</v>
      </c>
      <c r="E260" s="120" t="s">
        <v>4111</v>
      </c>
      <c r="F260" s="121" t="s">
        <v>4112</v>
      </c>
      <c r="G260" s="122" t="s">
        <v>292</v>
      </c>
      <c r="H260" s="123">
        <v>3</v>
      </c>
      <c r="I260" s="124">
        <v>6.27</v>
      </c>
      <c r="J260" s="124">
        <f>ROUND(I260*H260,2)</f>
        <v>18.809999999999999</v>
      </c>
      <c r="K260" s="121" t="s">
        <v>1</v>
      </c>
      <c r="L260" s="465"/>
      <c r="M260" s="125" t="s">
        <v>1</v>
      </c>
      <c r="N260" s="126" t="s">
        <v>32</v>
      </c>
      <c r="O260" s="127">
        <v>0</v>
      </c>
      <c r="P260" s="127">
        <f>O260*H260</f>
        <v>0</v>
      </c>
      <c r="Q260" s="127">
        <v>0</v>
      </c>
      <c r="R260" s="127">
        <f>Q260*H260</f>
        <v>0</v>
      </c>
      <c r="S260" s="127">
        <v>0</v>
      </c>
      <c r="T260" s="128">
        <f>S260*H260</f>
        <v>0</v>
      </c>
      <c r="W260" s="199"/>
      <c r="X260" s="119" t="s">
        <v>643</v>
      </c>
      <c r="Y260" s="119" t="s">
        <v>231</v>
      </c>
      <c r="Z260" s="120" t="s">
        <v>4111</v>
      </c>
      <c r="AA260" s="121" t="s">
        <v>4112</v>
      </c>
      <c r="AB260" s="122" t="s">
        <v>292</v>
      </c>
      <c r="AC260" s="123">
        <v>3</v>
      </c>
      <c r="AD260" s="124">
        <v>6.27</v>
      </c>
      <c r="AE260" s="200">
        <f>ROUND(AD260*AC260,2)</f>
        <v>18.809999999999999</v>
      </c>
      <c r="AR260" s="129" t="s">
        <v>235</v>
      </c>
      <c r="AT260" s="129" t="s">
        <v>231</v>
      </c>
      <c r="AU260" s="129" t="s">
        <v>76</v>
      </c>
      <c r="AY260" s="13" t="s">
        <v>228</v>
      </c>
      <c r="BE260" s="130">
        <f>IF(N260="základná",J260,0)</f>
        <v>0</v>
      </c>
      <c r="BF260" s="130">
        <f>IF(N260="znížená",J260,0)</f>
        <v>18.809999999999999</v>
      </c>
      <c r="BG260" s="130">
        <f>IF(N260="zákl. prenesená",J260,0)</f>
        <v>0</v>
      </c>
      <c r="BH260" s="130">
        <f>IF(N260="zníž. prenesená",J260,0)</f>
        <v>0</v>
      </c>
      <c r="BI260" s="130">
        <f>IF(N260="nulová",J260,0)</f>
        <v>0</v>
      </c>
      <c r="BJ260" s="13" t="s">
        <v>76</v>
      </c>
      <c r="BK260" s="130">
        <f>ROUND(I260*H260,2)</f>
        <v>18.809999999999999</v>
      </c>
      <c r="BL260" s="13" t="s">
        <v>235</v>
      </c>
      <c r="BM260" s="129" t="s">
        <v>646</v>
      </c>
    </row>
    <row r="261" spans="2:65" s="1" customFormat="1" ht="16.5" customHeight="1" x14ac:dyDescent="0.2">
      <c r="B261" s="118"/>
      <c r="C261" s="119" t="s">
        <v>435</v>
      </c>
      <c r="D261" s="119" t="s">
        <v>231</v>
      </c>
      <c r="E261" s="120" t="s">
        <v>4954</v>
      </c>
      <c r="F261" s="121" t="s">
        <v>4955</v>
      </c>
      <c r="G261" s="122" t="s">
        <v>292</v>
      </c>
      <c r="H261" s="123">
        <v>2</v>
      </c>
      <c r="I261" s="124">
        <v>7.29</v>
      </c>
      <c r="J261" s="124">
        <f>ROUND(I261*H261,2)</f>
        <v>14.58</v>
      </c>
      <c r="K261" s="121" t="s">
        <v>1</v>
      </c>
      <c r="L261" s="465"/>
      <c r="M261" s="125" t="s">
        <v>1</v>
      </c>
      <c r="N261" s="126" t="s">
        <v>32</v>
      </c>
      <c r="O261" s="127">
        <v>0</v>
      </c>
      <c r="P261" s="127">
        <f>O261*H261</f>
        <v>0</v>
      </c>
      <c r="Q261" s="127">
        <v>0</v>
      </c>
      <c r="R261" s="127">
        <f>Q261*H261</f>
        <v>0</v>
      </c>
      <c r="S261" s="127">
        <v>0</v>
      </c>
      <c r="T261" s="128">
        <f>S261*H261</f>
        <v>0</v>
      </c>
      <c r="W261" s="199"/>
      <c r="X261" s="119" t="s">
        <v>435</v>
      </c>
      <c r="Y261" s="119" t="s">
        <v>231</v>
      </c>
      <c r="Z261" s="120" t="s">
        <v>4954</v>
      </c>
      <c r="AA261" s="121" t="s">
        <v>4955</v>
      </c>
      <c r="AB261" s="122" t="s">
        <v>292</v>
      </c>
      <c r="AC261" s="123">
        <v>2</v>
      </c>
      <c r="AD261" s="124">
        <v>7.29</v>
      </c>
      <c r="AE261" s="200">
        <f>ROUND(AD261*AC261,2)</f>
        <v>14.58</v>
      </c>
      <c r="AR261" s="129" t="s">
        <v>235</v>
      </c>
      <c r="AT261" s="129" t="s">
        <v>231</v>
      </c>
      <c r="AU261" s="129" t="s">
        <v>76</v>
      </c>
      <c r="AY261" s="13" t="s">
        <v>228</v>
      </c>
      <c r="BE261" s="130">
        <f>IF(N261="základná",J261,0)</f>
        <v>0</v>
      </c>
      <c r="BF261" s="130">
        <f>IF(N261="znížená",J261,0)</f>
        <v>14.58</v>
      </c>
      <c r="BG261" s="130">
        <f>IF(N261="zákl. prenesená",J261,0)</f>
        <v>0</v>
      </c>
      <c r="BH261" s="130">
        <f>IF(N261="zníž. prenesená",J261,0)</f>
        <v>0</v>
      </c>
      <c r="BI261" s="130">
        <f>IF(N261="nulová",J261,0)</f>
        <v>0</v>
      </c>
      <c r="BJ261" s="13" t="s">
        <v>76</v>
      </c>
      <c r="BK261" s="130">
        <f>ROUND(I261*H261,2)</f>
        <v>14.58</v>
      </c>
      <c r="BL261" s="13" t="s">
        <v>235</v>
      </c>
      <c r="BM261" s="129" t="s">
        <v>649</v>
      </c>
    </row>
    <row r="262" spans="2:65" s="11" customFormat="1" ht="22.95" customHeight="1" x14ac:dyDescent="0.25">
      <c r="B262" s="106"/>
      <c r="D262" s="107" t="s">
        <v>57</v>
      </c>
      <c r="E262" s="116" t="s">
        <v>1240</v>
      </c>
      <c r="F262" s="116" t="s">
        <v>4113</v>
      </c>
      <c r="J262" s="117">
        <f>BK262</f>
        <v>7176.76</v>
      </c>
      <c r="L262" s="106"/>
      <c r="M262" s="110"/>
      <c r="N262" s="111"/>
      <c r="O262" s="111"/>
      <c r="P262" s="112">
        <f>SUM(P263:P274)</f>
        <v>0</v>
      </c>
      <c r="Q262" s="111"/>
      <c r="R262" s="112">
        <f>SUM(R263:R274)</f>
        <v>0</v>
      </c>
      <c r="S262" s="111"/>
      <c r="T262" s="113">
        <f>SUM(T263:T274)</f>
        <v>0</v>
      </c>
      <c r="W262" s="195"/>
      <c r="X262" s="111"/>
      <c r="Y262" s="196" t="s">
        <v>57</v>
      </c>
      <c r="Z262" s="201" t="s">
        <v>1240</v>
      </c>
      <c r="AA262" s="201" t="s">
        <v>4113</v>
      </c>
      <c r="AB262" s="111"/>
      <c r="AC262" s="111"/>
      <c r="AD262" s="111"/>
      <c r="AE262" s="202">
        <f>SUM(AE263:AE274)</f>
        <v>7176.76</v>
      </c>
      <c r="AR262" s="107" t="s">
        <v>63</v>
      </c>
      <c r="AT262" s="114" t="s">
        <v>57</v>
      </c>
      <c r="AU262" s="114" t="s">
        <v>63</v>
      </c>
      <c r="AY262" s="107" t="s">
        <v>228</v>
      </c>
      <c r="BK262" s="115">
        <f>SUM(BK263:BK274)</f>
        <v>7176.76</v>
      </c>
    </row>
    <row r="263" spans="2:65" s="1" customFormat="1" ht="16.5" customHeight="1" x14ac:dyDescent="0.2">
      <c r="B263" s="118"/>
      <c r="C263" s="119" t="s">
        <v>650</v>
      </c>
      <c r="D263" s="119" t="s">
        <v>231</v>
      </c>
      <c r="E263" s="120" t="s">
        <v>4114</v>
      </c>
      <c r="F263" s="121" t="s">
        <v>4115</v>
      </c>
      <c r="G263" s="122" t="s">
        <v>292</v>
      </c>
      <c r="H263" s="123">
        <v>35</v>
      </c>
      <c r="I263" s="124">
        <v>16.63</v>
      </c>
      <c r="J263" s="124">
        <f t="shared" ref="J263:J274" si="43">ROUND(I263*H263,2)</f>
        <v>582.04999999999995</v>
      </c>
      <c r="K263" s="121" t="s">
        <v>1</v>
      </c>
      <c r="L263" s="465"/>
      <c r="M263" s="125" t="s">
        <v>1</v>
      </c>
      <c r="N263" s="126" t="s">
        <v>32</v>
      </c>
      <c r="O263" s="127">
        <v>0</v>
      </c>
      <c r="P263" s="127">
        <f t="shared" ref="P263:P274" si="44">O263*H263</f>
        <v>0</v>
      </c>
      <c r="Q263" s="127">
        <v>0</v>
      </c>
      <c r="R263" s="127">
        <f t="shared" ref="R263:R274" si="45">Q263*H263</f>
        <v>0</v>
      </c>
      <c r="S263" s="127">
        <v>0</v>
      </c>
      <c r="T263" s="128">
        <f t="shared" ref="T263:T274" si="46">S263*H263</f>
        <v>0</v>
      </c>
      <c r="W263" s="199"/>
      <c r="X263" s="119" t="s">
        <v>650</v>
      </c>
      <c r="Y263" s="119" t="s">
        <v>231</v>
      </c>
      <c r="Z263" s="120" t="s">
        <v>4114</v>
      </c>
      <c r="AA263" s="121" t="s">
        <v>4115</v>
      </c>
      <c r="AB263" s="122" t="s">
        <v>292</v>
      </c>
      <c r="AC263" s="123">
        <v>35</v>
      </c>
      <c r="AD263" s="124">
        <v>16.63</v>
      </c>
      <c r="AE263" s="200">
        <f t="shared" ref="AE263:AE274" si="47">ROUND(AD263*AC263,2)</f>
        <v>582.04999999999995</v>
      </c>
      <c r="AR263" s="129" t="s">
        <v>235</v>
      </c>
      <c r="AT263" s="129" t="s">
        <v>231</v>
      </c>
      <c r="AU263" s="129" t="s">
        <v>76</v>
      </c>
      <c r="AY263" s="13" t="s">
        <v>228</v>
      </c>
      <c r="BE263" s="130">
        <f t="shared" ref="BE263:BE274" si="48">IF(N263="základná",J263,0)</f>
        <v>0</v>
      </c>
      <c r="BF263" s="130">
        <f t="shared" ref="BF263:BF274" si="49">IF(N263="znížená",J263,0)</f>
        <v>582.04999999999995</v>
      </c>
      <c r="BG263" s="130">
        <f t="shared" ref="BG263:BG274" si="50">IF(N263="zákl. prenesená",J263,0)</f>
        <v>0</v>
      </c>
      <c r="BH263" s="130">
        <f t="shared" ref="BH263:BH274" si="51">IF(N263="zníž. prenesená",J263,0)</f>
        <v>0</v>
      </c>
      <c r="BI263" s="130">
        <f t="shared" ref="BI263:BI274" si="52">IF(N263="nulová",J263,0)</f>
        <v>0</v>
      </c>
      <c r="BJ263" s="13" t="s">
        <v>76</v>
      </c>
      <c r="BK263" s="130">
        <f t="shared" ref="BK263:BK274" si="53">ROUND(I263*H263,2)</f>
        <v>582.04999999999995</v>
      </c>
      <c r="BL263" s="13" t="s">
        <v>235</v>
      </c>
      <c r="BM263" s="129" t="s">
        <v>653</v>
      </c>
    </row>
    <row r="264" spans="2:65" s="1" customFormat="1" ht="16.5" customHeight="1" x14ac:dyDescent="0.2">
      <c r="B264" s="118"/>
      <c r="C264" s="119" t="s">
        <v>441</v>
      </c>
      <c r="D264" s="119" t="s">
        <v>231</v>
      </c>
      <c r="E264" s="120" t="s">
        <v>4116</v>
      </c>
      <c r="F264" s="121" t="s">
        <v>4117</v>
      </c>
      <c r="G264" s="122" t="s">
        <v>292</v>
      </c>
      <c r="H264" s="123">
        <v>15</v>
      </c>
      <c r="I264" s="124">
        <v>19.11</v>
      </c>
      <c r="J264" s="124">
        <f t="shared" si="43"/>
        <v>286.64999999999998</v>
      </c>
      <c r="K264" s="121" t="s">
        <v>1</v>
      </c>
      <c r="L264" s="465"/>
      <c r="M264" s="125" t="s">
        <v>1</v>
      </c>
      <c r="N264" s="126" t="s">
        <v>32</v>
      </c>
      <c r="O264" s="127">
        <v>0</v>
      </c>
      <c r="P264" s="127">
        <f t="shared" si="44"/>
        <v>0</v>
      </c>
      <c r="Q264" s="127">
        <v>0</v>
      </c>
      <c r="R264" s="127">
        <f t="shared" si="45"/>
        <v>0</v>
      </c>
      <c r="S264" s="127">
        <v>0</v>
      </c>
      <c r="T264" s="128">
        <f t="shared" si="46"/>
        <v>0</v>
      </c>
      <c r="W264" s="199"/>
      <c r="X264" s="119" t="s">
        <v>441</v>
      </c>
      <c r="Y264" s="119" t="s">
        <v>231</v>
      </c>
      <c r="Z264" s="120" t="s">
        <v>4116</v>
      </c>
      <c r="AA264" s="121" t="s">
        <v>4117</v>
      </c>
      <c r="AB264" s="122" t="s">
        <v>292</v>
      </c>
      <c r="AC264" s="123">
        <v>15</v>
      </c>
      <c r="AD264" s="124">
        <v>19.11</v>
      </c>
      <c r="AE264" s="200">
        <f t="shared" si="47"/>
        <v>286.64999999999998</v>
      </c>
      <c r="AR264" s="129" t="s">
        <v>235</v>
      </c>
      <c r="AT264" s="129" t="s">
        <v>231</v>
      </c>
      <c r="AU264" s="129" t="s">
        <v>76</v>
      </c>
      <c r="AY264" s="13" t="s">
        <v>228</v>
      </c>
      <c r="BE264" s="130">
        <f t="shared" si="48"/>
        <v>0</v>
      </c>
      <c r="BF264" s="130">
        <f t="shared" si="49"/>
        <v>286.64999999999998</v>
      </c>
      <c r="BG264" s="130">
        <f t="shared" si="50"/>
        <v>0</v>
      </c>
      <c r="BH264" s="130">
        <f t="shared" si="51"/>
        <v>0</v>
      </c>
      <c r="BI264" s="130">
        <f t="shared" si="52"/>
        <v>0</v>
      </c>
      <c r="BJ264" s="13" t="s">
        <v>76</v>
      </c>
      <c r="BK264" s="130">
        <f t="shared" si="53"/>
        <v>286.64999999999998</v>
      </c>
      <c r="BL264" s="13" t="s">
        <v>235</v>
      </c>
      <c r="BM264" s="129" t="s">
        <v>656</v>
      </c>
    </row>
    <row r="265" spans="2:65" s="1" customFormat="1" ht="16.5" customHeight="1" x14ac:dyDescent="0.2">
      <c r="B265" s="118"/>
      <c r="C265" s="119" t="s">
        <v>657</v>
      </c>
      <c r="D265" s="119" t="s">
        <v>231</v>
      </c>
      <c r="E265" s="120" t="s">
        <v>4956</v>
      </c>
      <c r="F265" s="121" t="s">
        <v>4957</v>
      </c>
      <c r="G265" s="122" t="s">
        <v>292</v>
      </c>
      <c r="H265" s="123">
        <v>52</v>
      </c>
      <c r="I265" s="124">
        <v>25.32</v>
      </c>
      <c r="J265" s="124">
        <f t="shared" si="43"/>
        <v>1316.64</v>
      </c>
      <c r="K265" s="121" t="s">
        <v>1</v>
      </c>
      <c r="L265" s="465"/>
      <c r="M265" s="125" t="s">
        <v>1</v>
      </c>
      <c r="N265" s="126" t="s">
        <v>32</v>
      </c>
      <c r="O265" s="127">
        <v>0</v>
      </c>
      <c r="P265" s="127">
        <f t="shared" si="44"/>
        <v>0</v>
      </c>
      <c r="Q265" s="127">
        <v>0</v>
      </c>
      <c r="R265" s="127">
        <f t="shared" si="45"/>
        <v>0</v>
      </c>
      <c r="S265" s="127">
        <v>0</v>
      </c>
      <c r="T265" s="128">
        <f t="shared" si="46"/>
        <v>0</v>
      </c>
      <c r="W265" s="199"/>
      <c r="X265" s="119" t="s">
        <v>657</v>
      </c>
      <c r="Y265" s="119" t="s">
        <v>231</v>
      </c>
      <c r="Z265" s="120" t="s">
        <v>4956</v>
      </c>
      <c r="AA265" s="121" t="s">
        <v>4957</v>
      </c>
      <c r="AB265" s="122" t="s">
        <v>292</v>
      </c>
      <c r="AC265" s="123">
        <v>52</v>
      </c>
      <c r="AD265" s="124">
        <v>25.32</v>
      </c>
      <c r="AE265" s="200">
        <f t="shared" si="47"/>
        <v>1316.64</v>
      </c>
      <c r="AR265" s="129" t="s">
        <v>235</v>
      </c>
      <c r="AT265" s="129" t="s">
        <v>231</v>
      </c>
      <c r="AU265" s="129" t="s">
        <v>76</v>
      </c>
      <c r="AY265" s="13" t="s">
        <v>228</v>
      </c>
      <c r="BE265" s="130">
        <f t="shared" si="48"/>
        <v>0</v>
      </c>
      <c r="BF265" s="130">
        <f t="shared" si="49"/>
        <v>1316.64</v>
      </c>
      <c r="BG265" s="130">
        <f t="shared" si="50"/>
        <v>0</v>
      </c>
      <c r="BH265" s="130">
        <f t="shared" si="51"/>
        <v>0</v>
      </c>
      <c r="BI265" s="130">
        <f t="shared" si="52"/>
        <v>0</v>
      </c>
      <c r="BJ265" s="13" t="s">
        <v>76</v>
      </c>
      <c r="BK265" s="130">
        <f t="shared" si="53"/>
        <v>1316.64</v>
      </c>
      <c r="BL265" s="13" t="s">
        <v>235</v>
      </c>
      <c r="BM265" s="129" t="s">
        <v>660</v>
      </c>
    </row>
    <row r="266" spans="2:65" s="1" customFormat="1" ht="16.5" customHeight="1" x14ac:dyDescent="0.2">
      <c r="B266" s="118"/>
      <c r="C266" s="119" t="s">
        <v>444</v>
      </c>
      <c r="D266" s="119" t="s">
        <v>231</v>
      </c>
      <c r="E266" s="120" t="s">
        <v>4118</v>
      </c>
      <c r="F266" s="121" t="s">
        <v>4119</v>
      </c>
      <c r="G266" s="122" t="s">
        <v>292</v>
      </c>
      <c r="H266" s="123">
        <v>16</v>
      </c>
      <c r="I266" s="124">
        <v>28.25</v>
      </c>
      <c r="J266" s="124">
        <f t="shared" si="43"/>
        <v>452</v>
      </c>
      <c r="K266" s="121" t="s">
        <v>1</v>
      </c>
      <c r="L266" s="465"/>
      <c r="M266" s="125" t="s">
        <v>1</v>
      </c>
      <c r="N266" s="126" t="s">
        <v>32</v>
      </c>
      <c r="O266" s="127">
        <v>0</v>
      </c>
      <c r="P266" s="127">
        <f t="shared" si="44"/>
        <v>0</v>
      </c>
      <c r="Q266" s="127">
        <v>0</v>
      </c>
      <c r="R266" s="127">
        <f t="shared" si="45"/>
        <v>0</v>
      </c>
      <c r="S266" s="127">
        <v>0</v>
      </c>
      <c r="T266" s="128">
        <f t="shared" si="46"/>
        <v>0</v>
      </c>
      <c r="W266" s="199"/>
      <c r="X266" s="119" t="s">
        <v>444</v>
      </c>
      <c r="Y266" s="119" t="s">
        <v>231</v>
      </c>
      <c r="Z266" s="120" t="s">
        <v>4118</v>
      </c>
      <c r="AA266" s="121" t="s">
        <v>4119</v>
      </c>
      <c r="AB266" s="122" t="s">
        <v>292</v>
      </c>
      <c r="AC266" s="123">
        <v>16</v>
      </c>
      <c r="AD266" s="124">
        <v>28.25</v>
      </c>
      <c r="AE266" s="200">
        <f t="shared" si="47"/>
        <v>452</v>
      </c>
      <c r="AR266" s="129" t="s">
        <v>235</v>
      </c>
      <c r="AT266" s="129" t="s">
        <v>231</v>
      </c>
      <c r="AU266" s="129" t="s">
        <v>76</v>
      </c>
      <c r="AY266" s="13" t="s">
        <v>228</v>
      </c>
      <c r="BE266" s="130">
        <f t="shared" si="48"/>
        <v>0</v>
      </c>
      <c r="BF266" s="130">
        <f t="shared" si="49"/>
        <v>452</v>
      </c>
      <c r="BG266" s="130">
        <f t="shared" si="50"/>
        <v>0</v>
      </c>
      <c r="BH266" s="130">
        <f t="shared" si="51"/>
        <v>0</v>
      </c>
      <c r="BI266" s="130">
        <f t="shared" si="52"/>
        <v>0</v>
      </c>
      <c r="BJ266" s="13" t="s">
        <v>76</v>
      </c>
      <c r="BK266" s="130">
        <f t="shared" si="53"/>
        <v>452</v>
      </c>
      <c r="BL266" s="13" t="s">
        <v>235</v>
      </c>
      <c r="BM266" s="129" t="s">
        <v>663</v>
      </c>
    </row>
    <row r="267" spans="2:65" s="1" customFormat="1" ht="16.5" customHeight="1" x14ac:dyDescent="0.2">
      <c r="B267" s="118"/>
      <c r="C267" s="119" t="s">
        <v>664</v>
      </c>
      <c r="D267" s="119" t="s">
        <v>231</v>
      </c>
      <c r="E267" s="120" t="s">
        <v>4918</v>
      </c>
      <c r="F267" s="121" t="s">
        <v>4919</v>
      </c>
      <c r="G267" s="122" t="s">
        <v>292</v>
      </c>
      <c r="H267" s="123">
        <v>39</v>
      </c>
      <c r="I267" s="124">
        <v>33.020000000000003</v>
      </c>
      <c r="J267" s="124">
        <f t="shared" si="43"/>
        <v>1287.78</v>
      </c>
      <c r="K267" s="121" t="s">
        <v>1</v>
      </c>
      <c r="L267" s="465"/>
      <c r="M267" s="125" t="s">
        <v>1</v>
      </c>
      <c r="N267" s="126" t="s">
        <v>32</v>
      </c>
      <c r="O267" s="127">
        <v>0</v>
      </c>
      <c r="P267" s="127">
        <f t="shared" si="44"/>
        <v>0</v>
      </c>
      <c r="Q267" s="127">
        <v>0</v>
      </c>
      <c r="R267" s="127">
        <f t="shared" si="45"/>
        <v>0</v>
      </c>
      <c r="S267" s="127">
        <v>0</v>
      </c>
      <c r="T267" s="128">
        <f t="shared" si="46"/>
        <v>0</v>
      </c>
      <c r="W267" s="199"/>
      <c r="X267" s="119" t="s">
        <v>664</v>
      </c>
      <c r="Y267" s="119" t="s">
        <v>231</v>
      </c>
      <c r="Z267" s="120" t="s">
        <v>4918</v>
      </c>
      <c r="AA267" s="121" t="s">
        <v>4919</v>
      </c>
      <c r="AB267" s="122" t="s">
        <v>292</v>
      </c>
      <c r="AC267" s="123">
        <v>39</v>
      </c>
      <c r="AD267" s="124">
        <v>33.020000000000003</v>
      </c>
      <c r="AE267" s="200">
        <f t="shared" si="47"/>
        <v>1287.78</v>
      </c>
      <c r="AR267" s="129" t="s">
        <v>235</v>
      </c>
      <c r="AT267" s="129" t="s">
        <v>231</v>
      </c>
      <c r="AU267" s="129" t="s">
        <v>76</v>
      </c>
      <c r="AY267" s="13" t="s">
        <v>228</v>
      </c>
      <c r="BE267" s="130">
        <f t="shared" si="48"/>
        <v>0</v>
      </c>
      <c r="BF267" s="130">
        <f t="shared" si="49"/>
        <v>1287.78</v>
      </c>
      <c r="BG267" s="130">
        <f t="shared" si="50"/>
        <v>0</v>
      </c>
      <c r="BH267" s="130">
        <f t="shared" si="51"/>
        <v>0</v>
      </c>
      <c r="BI267" s="130">
        <f t="shared" si="52"/>
        <v>0</v>
      </c>
      <c r="BJ267" s="13" t="s">
        <v>76</v>
      </c>
      <c r="BK267" s="130">
        <f t="shared" si="53"/>
        <v>1287.78</v>
      </c>
      <c r="BL267" s="13" t="s">
        <v>235</v>
      </c>
      <c r="BM267" s="129" t="s">
        <v>667</v>
      </c>
    </row>
    <row r="268" spans="2:65" s="1" customFormat="1" ht="24" customHeight="1" x14ac:dyDescent="0.2">
      <c r="B268" s="118"/>
      <c r="C268" s="119" t="s">
        <v>448</v>
      </c>
      <c r="D268" s="119" t="s">
        <v>231</v>
      </c>
      <c r="E268" s="120" t="s">
        <v>2694</v>
      </c>
      <c r="F268" s="121" t="s">
        <v>2695</v>
      </c>
      <c r="G268" s="122" t="s">
        <v>284</v>
      </c>
      <c r="H268" s="123">
        <v>22</v>
      </c>
      <c r="I268" s="124">
        <v>57.45</v>
      </c>
      <c r="J268" s="124">
        <f t="shared" si="43"/>
        <v>1263.9000000000001</v>
      </c>
      <c r="K268" s="121" t="s">
        <v>1</v>
      </c>
      <c r="L268" s="465"/>
      <c r="M268" s="125" t="s">
        <v>1</v>
      </c>
      <c r="N268" s="126" t="s">
        <v>32</v>
      </c>
      <c r="O268" s="127">
        <v>0</v>
      </c>
      <c r="P268" s="127">
        <f t="shared" si="44"/>
        <v>0</v>
      </c>
      <c r="Q268" s="127">
        <v>0</v>
      </c>
      <c r="R268" s="127">
        <f t="shared" si="45"/>
        <v>0</v>
      </c>
      <c r="S268" s="127">
        <v>0</v>
      </c>
      <c r="T268" s="128">
        <f t="shared" si="46"/>
        <v>0</v>
      </c>
      <c r="W268" s="199"/>
      <c r="X268" s="119" t="s">
        <v>448</v>
      </c>
      <c r="Y268" s="119" t="s">
        <v>231</v>
      </c>
      <c r="Z268" s="120" t="s">
        <v>2694</v>
      </c>
      <c r="AA268" s="121" t="s">
        <v>2695</v>
      </c>
      <c r="AB268" s="122" t="s">
        <v>284</v>
      </c>
      <c r="AC268" s="123">
        <v>22</v>
      </c>
      <c r="AD268" s="124">
        <v>57.45</v>
      </c>
      <c r="AE268" s="200">
        <f t="shared" si="47"/>
        <v>1263.9000000000001</v>
      </c>
      <c r="AR268" s="129" t="s">
        <v>235</v>
      </c>
      <c r="AT268" s="129" t="s">
        <v>231</v>
      </c>
      <c r="AU268" s="129" t="s">
        <v>76</v>
      </c>
      <c r="AY268" s="13" t="s">
        <v>228</v>
      </c>
      <c r="BE268" s="130">
        <f t="shared" si="48"/>
        <v>0</v>
      </c>
      <c r="BF268" s="130">
        <f t="shared" si="49"/>
        <v>1263.9000000000001</v>
      </c>
      <c r="BG268" s="130">
        <f t="shared" si="50"/>
        <v>0</v>
      </c>
      <c r="BH268" s="130">
        <f t="shared" si="51"/>
        <v>0</v>
      </c>
      <c r="BI268" s="130">
        <f t="shared" si="52"/>
        <v>0</v>
      </c>
      <c r="BJ268" s="13" t="s">
        <v>76</v>
      </c>
      <c r="BK268" s="130">
        <f t="shared" si="53"/>
        <v>1263.9000000000001</v>
      </c>
      <c r="BL268" s="13" t="s">
        <v>235</v>
      </c>
      <c r="BM268" s="129" t="s">
        <v>670</v>
      </c>
    </row>
    <row r="269" spans="2:65" s="1" customFormat="1" ht="16.5" customHeight="1" x14ac:dyDescent="0.2">
      <c r="B269" s="118"/>
      <c r="C269" s="119" t="s">
        <v>671</v>
      </c>
      <c r="D269" s="119" t="s">
        <v>231</v>
      </c>
      <c r="E269" s="120" t="s">
        <v>4958</v>
      </c>
      <c r="F269" s="121" t="s">
        <v>4121</v>
      </c>
      <c r="G269" s="122" t="s">
        <v>1194</v>
      </c>
      <c r="H269" s="123">
        <v>1</v>
      </c>
      <c r="I269" s="124">
        <v>406.35</v>
      </c>
      <c r="J269" s="124">
        <f t="shared" si="43"/>
        <v>406.35</v>
      </c>
      <c r="K269" s="121" t="s">
        <v>1</v>
      </c>
      <c r="L269" s="465"/>
      <c r="M269" s="125" t="s">
        <v>1</v>
      </c>
      <c r="N269" s="126" t="s">
        <v>32</v>
      </c>
      <c r="O269" s="127">
        <v>0</v>
      </c>
      <c r="P269" s="127">
        <f t="shared" si="44"/>
        <v>0</v>
      </c>
      <c r="Q269" s="127">
        <v>0</v>
      </c>
      <c r="R269" s="127">
        <f t="shared" si="45"/>
        <v>0</v>
      </c>
      <c r="S269" s="127">
        <v>0</v>
      </c>
      <c r="T269" s="128">
        <f t="shared" si="46"/>
        <v>0</v>
      </c>
      <c r="W269" s="199"/>
      <c r="X269" s="119" t="s">
        <v>671</v>
      </c>
      <c r="Y269" s="119" t="s">
        <v>231</v>
      </c>
      <c r="Z269" s="120" t="s">
        <v>4958</v>
      </c>
      <c r="AA269" s="121" t="s">
        <v>4121</v>
      </c>
      <c r="AB269" s="122" t="s">
        <v>1194</v>
      </c>
      <c r="AC269" s="123">
        <v>1</v>
      </c>
      <c r="AD269" s="124">
        <v>406.35</v>
      </c>
      <c r="AE269" s="200">
        <f t="shared" si="47"/>
        <v>406.35</v>
      </c>
      <c r="AR269" s="129" t="s">
        <v>235</v>
      </c>
      <c r="AT269" s="129" t="s">
        <v>231</v>
      </c>
      <c r="AU269" s="129" t="s">
        <v>76</v>
      </c>
      <c r="AY269" s="13" t="s">
        <v>228</v>
      </c>
      <c r="BE269" s="130">
        <f t="shared" si="48"/>
        <v>0</v>
      </c>
      <c r="BF269" s="130">
        <f t="shared" si="49"/>
        <v>406.35</v>
      </c>
      <c r="BG269" s="130">
        <f t="shared" si="50"/>
        <v>0</v>
      </c>
      <c r="BH269" s="130">
        <f t="shared" si="51"/>
        <v>0</v>
      </c>
      <c r="BI269" s="130">
        <f t="shared" si="52"/>
        <v>0</v>
      </c>
      <c r="BJ269" s="13" t="s">
        <v>76</v>
      </c>
      <c r="BK269" s="130">
        <f t="shared" si="53"/>
        <v>406.35</v>
      </c>
      <c r="BL269" s="13" t="s">
        <v>235</v>
      </c>
      <c r="BM269" s="129" t="s">
        <v>674</v>
      </c>
    </row>
    <row r="270" spans="2:65" s="1" customFormat="1" ht="16.5" customHeight="1" x14ac:dyDescent="0.2">
      <c r="B270" s="118"/>
      <c r="C270" s="119" t="s">
        <v>451</v>
      </c>
      <c r="D270" s="119" t="s">
        <v>231</v>
      </c>
      <c r="E270" s="120" t="s">
        <v>2696</v>
      </c>
      <c r="F270" s="121" t="s">
        <v>2697</v>
      </c>
      <c r="G270" s="122" t="s">
        <v>284</v>
      </c>
      <c r="H270" s="123">
        <v>135</v>
      </c>
      <c r="I270" s="124">
        <v>5.25</v>
      </c>
      <c r="J270" s="124">
        <f t="shared" si="43"/>
        <v>708.75</v>
      </c>
      <c r="K270" s="121" t="s">
        <v>1</v>
      </c>
      <c r="L270" s="465"/>
      <c r="M270" s="125" t="s">
        <v>1</v>
      </c>
      <c r="N270" s="126" t="s">
        <v>32</v>
      </c>
      <c r="O270" s="127">
        <v>0</v>
      </c>
      <c r="P270" s="127">
        <f t="shared" si="44"/>
        <v>0</v>
      </c>
      <c r="Q270" s="127">
        <v>0</v>
      </c>
      <c r="R270" s="127">
        <f t="shared" si="45"/>
        <v>0</v>
      </c>
      <c r="S270" s="127">
        <v>0</v>
      </c>
      <c r="T270" s="128">
        <f t="shared" si="46"/>
        <v>0</v>
      </c>
      <c r="W270" s="199"/>
      <c r="X270" s="119" t="s">
        <v>451</v>
      </c>
      <c r="Y270" s="119" t="s">
        <v>231</v>
      </c>
      <c r="Z270" s="120" t="s">
        <v>2696</v>
      </c>
      <c r="AA270" s="121" t="s">
        <v>2697</v>
      </c>
      <c r="AB270" s="122" t="s">
        <v>284</v>
      </c>
      <c r="AC270" s="123">
        <v>135</v>
      </c>
      <c r="AD270" s="124">
        <v>5.25</v>
      </c>
      <c r="AE270" s="200">
        <f t="shared" si="47"/>
        <v>708.75</v>
      </c>
      <c r="AR270" s="129" t="s">
        <v>235</v>
      </c>
      <c r="AT270" s="129" t="s">
        <v>231</v>
      </c>
      <c r="AU270" s="129" t="s">
        <v>76</v>
      </c>
      <c r="AY270" s="13" t="s">
        <v>228</v>
      </c>
      <c r="BE270" s="130">
        <f t="shared" si="48"/>
        <v>0</v>
      </c>
      <c r="BF270" s="130">
        <f t="shared" si="49"/>
        <v>708.75</v>
      </c>
      <c r="BG270" s="130">
        <f t="shared" si="50"/>
        <v>0</v>
      </c>
      <c r="BH270" s="130">
        <f t="shared" si="51"/>
        <v>0</v>
      </c>
      <c r="BI270" s="130">
        <f t="shared" si="52"/>
        <v>0</v>
      </c>
      <c r="BJ270" s="13" t="s">
        <v>76</v>
      </c>
      <c r="BK270" s="130">
        <f t="shared" si="53"/>
        <v>708.75</v>
      </c>
      <c r="BL270" s="13" t="s">
        <v>235</v>
      </c>
      <c r="BM270" s="129" t="s">
        <v>677</v>
      </c>
    </row>
    <row r="271" spans="2:65" s="1" customFormat="1" ht="24" customHeight="1" x14ac:dyDescent="0.2">
      <c r="B271" s="118"/>
      <c r="C271" s="119" t="s">
        <v>678</v>
      </c>
      <c r="D271" s="119" t="s">
        <v>231</v>
      </c>
      <c r="E271" s="120" t="s">
        <v>2698</v>
      </c>
      <c r="F271" s="121" t="s">
        <v>2699</v>
      </c>
      <c r="G271" s="122" t="s">
        <v>284</v>
      </c>
      <c r="H271" s="123">
        <v>5</v>
      </c>
      <c r="I271" s="124">
        <v>7.84</v>
      </c>
      <c r="J271" s="124">
        <f t="shared" si="43"/>
        <v>39.200000000000003</v>
      </c>
      <c r="K271" s="121" t="s">
        <v>1</v>
      </c>
      <c r="L271" s="465"/>
      <c r="M271" s="125" t="s">
        <v>1</v>
      </c>
      <c r="N271" s="126" t="s">
        <v>32</v>
      </c>
      <c r="O271" s="127">
        <v>0</v>
      </c>
      <c r="P271" s="127">
        <f t="shared" si="44"/>
        <v>0</v>
      </c>
      <c r="Q271" s="127">
        <v>0</v>
      </c>
      <c r="R271" s="127">
        <f t="shared" si="45"/>
        <v>0</v>
      </c>
      <c r="S271" s="127">
        <v>0</v>
      </c>
      <c r="T271" s="128">
        <f t="shared" si="46"/>
        <v>0</v>
      </c>
      <c r="W271" s="199"/>
      <c r="X271" s="119" t="s">
        <v>678</v>
      </c>
      <c r="Y271" s="119" t="s">
        <v>231</v>
      </c>
      <c r="Z271" s="120" t="s">
        <v>2698</v>
      </c>
      <c r="AA271" s="121" t="s">
        <v>2699</v>
      </c>
      <c r="AB271" s="122" t="s">
        <v>284</v>
      </c>
      <c r="AC271" s="123">
        <v>5</v>
      </c>
      <c r="AD271" s="124">
        <v>7.84</v>
      </c>
      <c r="AE271" s="200">
        <f t="shared" si="47"/>
        <v>39.200000000000003</v>
      </c>
      <c r="AR271" s="129" t="s">
        <v>235</v>
      </c>
      <c r="AT271" s="129" t="s">
        <v>231</v>
      </c>
      <c r="AU271" s="129" t="s">
        <v>76</v>
      </c>
      <c r="AY271" s="13" t="s">
        <v>228</v>
      </c>
      <c r="BE271" s="130">
        <f t="shared" si="48"/>
        <v>0</v>
      </c>
      <c r="BF271" s="130">
        <f t="shared" si="49"/>
        <v>39.200000000000003</v>
      </c>
      <c r="BG271" s="130">
        <f t="shared" si="50"/>
        <v>0</v>
      </c>
      <c r="BH271" s="130">
        <f t="shared" si="51"/>
        <v>0</v>
      </c>
      <c r="BI271" s="130">
        <f t="shared" si="52"/>
        <v>0</v>
      </c>
      <c r="BJ271" s="13" t="s">
        <v>76</v>
      </c>
      <c r="BK271" s="130">
        <f t="shared" si="53"/>
        <v>39.200000000000003</v>
      </c>
      <c r="BL271" s="13" t="s">
        <v>235</v>
      </c>
      <c r="BM271" s="129" t="s">
        <v>681</v>
      </c>
    </row>
    <row r="272" spans="2:65" s="1" customFormat="1" ht="16.5" customHeight="1" x14ac:dyDescent="0.2">
      <c r="B272" s="118"/>
      <c r="C272" s="119" t="s">
        <v>455</v>
      </c>
      <c r="D272" s="119" t="s">
        <v>231</v>
      </c>
      <c r="E272" s="120" t="s">
        <v>2700</v>
      </c>
      <c r="F272" s="121" t="s">
        <v>2701</v>
      </c>
      <c r="G272" s="122" t="s">
        <v>1194</v>
      </c>
      <c r="H272" s="123">
        <v>8</v>
      </c>
      <c r="I272" s="124">
        <v>7.55</v>
      </c>
      <c r="J272" s="124">
        <f t="shared" si="43"/>
        <v>60.4</v>
      </c>
      <c r="K272" s="121" t="s">
        <v>1</v>
      </c>
      <c r="L272" s="465"/>
      <c r="M272" s="125" t="s">
        <v>1</v>
      </c>
      <c r="N272" s="126" t="s">
        <v>32</v>
      </c>
      <c r="O272" s="127">
        <v>0</v>
      </c>
      <c r="P272" s="127">
        <f t="shared" si="44"/>
        <v>0</v>
      </c>
      <c r="Q272" s="127">
        <v>0</v>
      </c>
      <c r="R272" s="127">
        <f t="shared" si="45"/>
        <v>0</v>
      </c>
      <c r="S272" s="127">
        <v>0</v>
      </c>
      <c r="T272" s="128">
        <f t="shared" si="46"/>
        <v>0</v>
      </c>
      <c r="W272" s="199"/>
      <c r="X272" s="119" t="s">
        <v>455</v>
      </c>
      <c r="Y272" s="119" t="s">
        <v>231</v>
      </c>
      <c r="Z272" s="120" t="s">
        <v>2700</v>
      </c>
      <c r="AA272" s="121" t="s">
        <v>2701</v>
      </c>
      <c r="AB272" s="122" t="s">
        <v>1194</v>
      </c>
      <c r="AC272" s="123">
        <v>8</v>
      </c>
      <c r="AD272" s="124">
        <v>7.55</v>
      </c>
      <c r="AE272" s="200">
        <f t="shared" si="47"/>
        <v>60.4</v>
      </c>
      <c r="AR272" s="129" t="s">
        <v>235</v>
      </c>
      <c r="AT272" s="129" t="s">
        <v>231</v>
      </c>
      <c r="AU272" s="129" t="s">
        <v>76</v>
      </c>
      <c r="AY272" s="13" t="s">
        <v>228</v>
      </c>
      <c r="BE272" s="130">
        <f t="shared" si="48"/>
        <v>0</v>
      </c>
      <c r="BF272" s="130">
        <f t="shared" si="49"/>
        <v>60.4</v>
      </c>
      <c r="BG272" s="130">
        <f t="shared" si="50"/>
        <v>0</v>
      </c>
      <c r="BH272" s="130">
        <f t="shared" si="51"/>
        <v>0</v>
      </c>
      <c r="BI272" s="130">
        <f t="shared" si="52"/>
        <v>0</v>
      </c>
      <c r="BJ272" s="13" t="s">
        <v>76</v>
      </c>
      <c r="BK272" s="130">
        <f t="shared" si="53"/>
        <v>60.4</v>
      </c>
      <c r="BL272" s="13" t="s">
        <v>235</v>
      </c>
      <c r="BM272" s="129" t="s">
        <v>684</v>
      </c>
    </row>
    <row r="273" spans="2:65" s="1" customFormat="1" ht="16.5" customHeight="1" x14ac:dyDescent="0.2">
      <c r="B273" s="118"/>
      <c r="C273" s="119" t="s">
        <v>685</v>
      </c>
      <c r="D273" s="119" t="s">
        <v>231</v>
      </c>
      <c r="E273" s="120" t="s">
        <v>2702</v>
      </c>
      <c r="F273" s="121" t="s">
        <v>2703</v>
      </c>
      <c r="G273" s="122" t="s">
        <v>1194</v>
      </c>
      <c r="H273" s="123">
        <v>16</v>
      </c>
      <c r="I273" s="124">
        <v>5.22</v>
      </c>
      <c r="J273" s="124">
        <f t="shared" si="43"/>
        <v>83.52</v>
      </c>
      <c r="K273" s="121" t="s">
        <v>1</v>
      </c>
      <c r="L273" s="465"/>
      <c r="M273" s="125" t="s">
        <v>1</v>
      </c>
      <c r="N273" s="126" t="s">
        <v>32</v>
      </c>
      <c r="O273" s="127">
        <v>0</v>
      </c>
      <c r="P273" s="127">
        <f t="shared" si="44"/>
        <v>0</v>
      </c>
      <c r="Q273" s="127">
        <v>0</v>
      </c>
      <c r="R273" s="127">
        <f t="shared" si="45"/>
        <v>0</v>
      </c>
      <c r="S273" s="127">
        <v>0</v>
      </c>
      <c r="T273" s="128">
        <f t="shared" si="46"/>
        <v>0</v>
      </c>
      <c r="W273" s="199"/>
      <c r="X273" s="119" t="s">
        <v>685</v>
      </c>
      <c r="Y273" s="119" t="s">
        <v>231</v>
      </c>
      <c r="Z273" s="120" t="s">
        <v>2702</v>
      </c>
      <c r="AA273" s="121" t="s">
        <v>2703</v>
      </c>
      <c r="AB273" s="122" t="s">
        <v>1194</v>
      </c>
      <c r="AC273" s="123">
        <v>16</v>
      </c>
      <c r="AD273" s="124">
        <v>5.22</v>
      </c>
      <c r="AE273" s="200">
        <f t="shared" si="47"/>
        <v>83.52</v>
      </c>
      <c r="AR273" s="129" t="s">
        <v>235</v>
      </c>
      <c r="AT273" s="129" t="s">
        <v>231</v>
      </c>
      <c r="AU273" s="129" t="s">
        <v>76</v>
      </c>
      <c r="AY273" s="13" t="s">
        <v>228</v>
      </c>
      <c r="BE273" s="130">
        <f t="shared" si="48"/>
        <v>0</v>
      </c>
      <c r="BF273" s="130">
        <f t="shared" si="49"/>
        <v>83.52</v>
      </c>
      <c r="BG273" s="130">
        <f t="shared" si="50"/>
        <v>0</v>
      </c>
      <c r="BH273" s="130">
        <f t="shared" si="51"/>
        <v>0</v>
      </c>
      <c r="BI273" s="130">
        <f t="shared" si="52"/>
        <v>0</v>
      </c>
      <c r="BJ273" s="13" t="s">
        <v>76</v>
      </c>
      <c r="BK273" s="130">
        <f t="shared" si="53"/>
        <v>83.52</v>
      </c>
      <c r="BL273" s="13" t="s">
        <v>235</v>
      </c>
      <c r="BM273" s="129" t="s">
        <v>688</v>
      </c>
    </row>
    <row r="274" spans="2:65" s="1" customFormat="1" ht="24" customHeight="1" x14ac:dyDescent="0.2">
      <c r="B274" s="118"/>
      <c r="C274" s="119" t="s">
        <v>458</v>
      </c>
      <c r="D274" s="119" t="s">
        <v>231</v>
      </c>
      <c r="E274" s="120" t="s">
        <v>2704</v>
      </c>
      <c r="F274" s="121" t="s">
        <v>2705</v>
      </c>
      <c r="G274" s="122" t="s">
        <v>1035</v>
      </c>
      <c r="H274" s="123">
        <v>78</v>
      </c>
      <c r="I274" s="124">
        <v>8.84</v>
      </c>
      <c r="J274" s="124">
        <f t="shared" si="43"/>
        <v>689.52</v>
      </c>
      <c r="K274" s="121" t="s">
        <v>1</v>
      </c>
      <c r="L274" s="465"/>
      <c r="M274" s="125" t="s">
        <v>1</v>
      </c>
      <c r="N274" s="126" t="s">
        <v>32</v>
      </c>
      <c r="O274" s="127">
        <v>0</v>
      </c>
      <c r="P274" s="127">
        <f t="shared" si="44"/>
        <v>0</v>
      </c>
      <c r="Q274" s="127">
        <v>0</v>
      </c>
      <c r="R274" s="127">
        <f t="shared" si="45"/>
        <v>0</v>
      </c>
      <c r="S274" s="127">
        <v>0</v>
      </c>
      <c r="T274" s="128">
        <f t="shared" si="46"/>
        <v>0</v>
      </c>
      <c r="W274" s="199"/>
      <c r="X274" s="119" t="s">
        <v>458</v>
      </c>
      <c r="Y274" s="119" t="s">
        <v>231</v>
      </c>
      <c r="Z274" s="120" t="s">
        <v>2704</v>
      </c>
      <c r="AA274" s="121" t="s">
        <v>2705</v>
      </c>
      <c r="AB274" s="122" t="s">
        <v>1035</v>
      </c>
      <c r="AC274" s="123">
        <v>78</v>
      </c>
      <c r="AD274" s="124">
        <v>8.84</v>
      </c>
      <c r="AE274" s="200">
        <f t="shared" si="47"/>
        <v>689.52</v>
      </c>
      <c r="AR274" s="129" t="s">
        <v>235</v>
      </c>
      <c r="AT274" s="129" t="s">
        <v>231</v>
      </c>
      <c r="AU274" s="129" t="s">
        <v>76</v>
      </c>
      <c r="AY274" s="13" t="s">
        <v>228</v>
      </c>
      <c r="BE274" s="130">
        <f t="shared" si="48"/>
        <v>0</v>
      </c>
      <c r="BF274" s="130">
        <f t="shared" si="49"/>
        <v>689.52</v>
      </c>
      <c r="BG274" s="130">
        <f t="shared" si="50"/>
        <v>0</v>
      </c>
      <c r="BH274" s="130">
        <f t="shared" si="51"/>
        <v>0</v>
      </c>
      <c r="BI274" s="130">
        <f t="shared" si="52"/>
        <v>0</v>
      </c>
      <c r="BJ274" s="13" t="s">
        <v>76</v>
      </c>
      <c r="BK274" s="130">
        <f t="shared" si="53"/>
        <v>689.52</v>
      </c>
      <c r="BL274" s="13" t="s">
        <v>235</v>
      </c>
      <c r="BM274" s="129" t="s">
        <v>691</v>
      </c>
    </row>
    <row r="275" spans="2:65" s="11" customFormat="1" ht="22.95" customHeight="1" x14ac:dyDescent="0.25">
      <c r="B275" s="106"/>
      <c r="D275" s="107" t="s">
        <v>57</v>
      </c>
      <c r="E275" s="116" t="s">
        <v>1269</v>
      </c>
      <c r="F275" s="116" t="s">
        <v>2706</v>
      </c>
      <c r="J275" s="117">
        <f>BK275</f>
        <v>20308.810000000001</v>
      </c>
      <c r="L275" s="106"/>
      <c r="M275" s="110"/>
      <c r="N275" s="111"/>
      <c r="O275" s="111"/>
      <c r="P275" s="112"/>
      <c r="Q275" s="111"/>
      <c r="R275" s="112"/>
      <c r="S275" s="111"/>
      <c r="T275" s="113"/>
      <c r="W275" s="195"/>
      <c r="X275" s="111"/>
      <c r="Y275" s="196" t="s">
        <v>57</v>
      </c>
      <c r="Z275" s="201" t="s">
        <v>1269</v>
      </c>
      <c r="AA275" s="201" t="s">
        <v>2706</v>
      </c>
      <c r="AB275" s="111"/>
      <c r="AC275" s="111"/>
      <c r="AD275" s="111"/>
      <c r="AE275" s="202">
        <f>SUM(AE276:AE306)</f>
        <v>21212.85</v>
      </c>
      <c r="AR275" s="107" t="s">
        <v>63</v>
      </c>
      <c r="AT275" s="114" t="s">
        <v>57</v>
      </c>
      <c r="AU275" s="114" t="s">
        <v>63</v>
      </c>
      <c r="AY275" s="107" t="s">
        <v>228</v>
      </c>
      <c r="BK275" s="115">
        <f>SUM(BK276:BK306)</f>
        <v>20308.810000000001</v>
      </c>
    </row>
    <row r="276" spans="2:65" s="1" customFormat="1" ht="16.5" customHeight="1" x14ac:dyDescent="0.2">
      <c r="B276" s="118"/>
      <c r="C276" s="119" t="s">
        <v>692</v>
      </c>
      <c r="D276" s="119" t="s">
        <v>231</v>
      </c>
      <c r="E276" s="120" t="s">
        <v>2719</v>
      </c>
      <c r="F276" s="121" t="s">
        <v>2720</v>
      </c>
      <c r="G276" s="122" t="s">
        <v>1194</v>
      </c>
      <c r="H276" s="123">
        <v>3</v>
      </c>
      <c r="I276" s="124">
        <v>17.260000000000002</v>
      </c>
      <c r="J276" s="124">
        <f t="shared" ref="J276:J306" si="54">ROUND(I276*H276,2)</f>
        <v>51.78</v>
      </c>
      <c r="K276" s="121" t="s">
        <v>1</v>
      </c>
      <c r="L276" s="465"/>
      <c r="M276" s="125"/>
      <c r="N276" s="126"/>
      <c r="O276" s="127"/>
      <c r="P276" s="127"/>
      <c r="Q276" s="127"/>
      <c r="R276" s="127"/>
      <c r="S276" s="127"/>
      <c r="T276" s="128"/>
      <c r="W276" s="199"/>
      <c r="X276" s="119" t="s">
        <v>692</v>
      </c>
      <c r="Y276" s="119" t="s">
        <v>231</v>
      </c>
      <c r="Z276" s="120" t="s">
        <v>2719</v>
      </c>
      <c r="AA276" s="121" t="s">
        <v>2720</v>
      </c>
      <c r="AB276" s="122" t="s">
        <v>1194</v>
      </c>
      <c r="AC276" s="123">
        <v>3</v>
      </c>
      <c r="AD276" s="124">
        <v>17.260000000000002</v>
      </c>
      <c r="AE276" s="946">
        <f t="shared" ref="AE276:AE306" si="55">ROUND(AD276*AC276,2)</f>
        <v>51.78</v>
      </c>
      <c r="AR276" s="129" t="s">
        <v>235</v>
      </c>
      <c r="AT276" s="129" t="s">
        <v>231</v>
      </c>
      <c r="AU276" s="129" t="s">
        <v>76</v>
      </c>
      <c r="AY276" s="13" t="s">
        <v>228</v>
      </c>
      <c r="BE276" s="130">
        <f t="shared" ref="BE276:BE306" si="56">IF(N276="základná",J276,0)</f>
        <v>0</v>
      </c>
      <c r="BF276" s="130">
        <f t="shared" ref="BF276:BF306" si="57">IF(N276="znížená",J276,0)</f>
        <v>0</v>
      </c>
      <c r="BG276" s="130">
        <f t="shared" ref="BG276:BG306" si="58">IF(N276="zákl. prenesená",J276,0)</f>
        <v>0</v>
      </c>
      <c r="BH276" s="130">
        <f t="shared" ref="BH276:BH306" si="59">IF(N276="zníž. prenesená",J276,0)</f>
        <v>0</v>
      </c>
      <c r="BI276" s="130">
        <f t="shared" ref="BI276:BI306" si="60">IF(N276="nulová",J276,0)</f>
        <v>0</v>
      </c>
      <c r="BJ276" s="13" t="s">
        <v>76</v>
      </c>
      <c r="BK276" s="130">
        <f t="shared" ref="BK276:BK306" si="61">ROUND(I276*H276,2)</f>
        <v>51.78</v>
      </c>
      <c r="BL276" s="13" t="s">
        <v>235</v>
      </c>
      <c r="BM276" s="129" t="s">
        <v>695</v>
      </c>
    </row>
    <row r="277" spans="2:65" s="1" customFormat="1" ht="16.5" customHeight="1" x14ac:dyDescent="0.2">
      <c r="B277" s="118"/>
      <c r="C277" s="119" t="s">
        <v>462</v>
      </c>
      <c r="D277" s="119" t="s">
        <v>231</v>
      </c>
      <c r="E277" s="120" t="s">
        <v>4130</v>
      </c>
      <c r="F277" s="121" t="s">
        <v>4131</v>
      </c>
      <c r="G277" s="122" t="s">
        <v>1194</v>
      </c>
      <c r="H277" s="123">
        <v>3</v>
      </c>
      <c r="I277" s="124">
        <v>35.26</v>
      </c>
      <c r="J277" s="124">
        <f t="shared" si="54"/>
        <v>105.78</v>
      </c>
      <c r="K277" s="121" t="s">
        <v>1</v>
      </c>
      <c r="L277" s="465"/>
      <c r="M277" s="125"/>
      <c r="N277" s="126"/>
      <c r="O277" s="127"/>
      <c r="P277" s="127"/>
      <c r="Q277" s="127"/>
      <c r="R277" s="127"/>
      <c r="S277" s="127"/>
      <c r="T277" s="128"/>
      <c r="W277" s="199"/>
      <c r="X277" s="119" t="s">
        <v>462</v>
      </c>
      <c r="Y277" s="119" t="s">
        <v>231</v>
      </c>
      <c r="Z277" s="120" t="s">
        <v>4130</v>
      </c>
      <c r="AA277" s="121" t="s">
        <v>4131</v>
      </c>
      <c r="AB277" s="122" t="s">
        <v>1194</v>
      </c>
      <c r="AC277" s="123">
        <v>3</v>
      </c>
      <c r="AD277" s="124">
        <v>35.26</v>
      </c>
      <c r="AE277" s="946">
        <f t="shared" si="55"/>
        <v>105.78</v>
      </c>
      <c r="AR277" s="129" t="s">
        <v>235</v>
      </c>
      <c r="AT277" s="129" t="s">
        <v>231</v>
      </c>
      <c r="AU277" s="129" t="s">
        <v>76</v>
      </c>
      <c r="AY277" s="13" t="s">
        <v>228</v>
      </c>
      <c r="BE277" s="130">
        <f t="shared" si="56"/>
        <v>0</v>
      </c>
      <c r="BF277" s="130">
        <f t="shared" si="57"/>
        <v>0</v>
      </c>
      <c r="BG277" s="130">
        <f t="shared" si="58"/>
        <v>0</v>
      </c>
      <c r="BH277" s="130">
        <f t="shared" si="59"/>
        <v>0</v>
      </c>
      <c r="BI277" s="130">
        <f t="shared" si="60"/>
        <v>0</v>
      </c>
      <c r="BJ277" s="13" t="s">
        <v>76</v>
      </c>
      <c r="BK277" s="130">
        <f t="shared" si="61"/>
        <v>105.78</v>
      </c>
      <c r="BL277" s="13" t="s">
        <v>235</v>
      </c>
      <c r="BM277" s="129" t="s">
        <v>698</v>
      </c>
    </row>
    <row r="278" spans="2:65" s="1" customFormat="1" ht="16.5" customHeight="1" x14ac:dyDescent="0.2">
      <c r="B278" s="118"/>
      <c r="C278" s="119" t="s">
        <v>699</v>
      </c>
      <c r="D278" s="119" t="s">
        <v>231</v>
      </c>
      <c r="E278" s="120" t="s">
        <v>4959</v>
      </c>
      <c r="F278" s="121" t="s">
        <v>4960</v>
      </c>
      <c r="G278" s="122" t="s">
        <v>1194</v>
      </c>
      <c r="H278" s="123">
        <v>6</v>
      </c>
      <c r="I278" s="124">
        <v>53.56</v>
      </c>
      <c r="J278" s="124">
        <f t="shared" si="54"/>
        <v>321.36</v>
      </c>
      <c r="K278" s="121" t="s">
        <v>1</v>
      </c>
      <c r="L278" s="465"/>
      <c r="M278" s="125"/>
      <c r="N278" s="126"/>
      <c r="O278" s="127"/>
      <c r="P278" s="127"/>
      <c r="Q278" s="127"/>
      <c r="R278" s="127"/>
      <c r="S278" s="127"/>
      <c r="T278" s="128"/>
      <c r="W278" s="199"/>
      <c r="X278" s="119" t="s">
        <v>699</v>
      </c>
      <c r="Y278" s="119" t="s">
        <v>231</v>
      </c>
      <c r="Z278" s="120" t="s">
        <v>4959</v>
      </c>
      <c r="AA278" s="121" t="s">
        <v>4960</v>
      </c>
      <c r="AB278" s="122" t="s">
        <v>1194</v>
      </c>
      <c r="AC278" s="123">
        <v>6</v>
      </c>
      <c r="AD278" s="124">
        <v>53.56</v>
      </c>
      <c r="AE278" s="946">
        <f t="shared" si="55"/>
        <v>321.36</v>
      </c>
      <c r="AR278" s="129" t="s">
        <v>235</v>
      </c>
      <c r="AT278" s="129" t="s">
        <v>231</v>
      </c>
      <c r="AU278" s="129" t="s">
        <v>76</v>
      </c>
      <c r="AY278" s="13" t="s">
        <v>228</v>
      </c>
      <c r="BE278" s="130">
        <f t="shared" si="56"/>
        <v>0</v>
      </c>
      <c r="BF278" s="130">
        <f t="shared" si="57"/>
        <v>0</v>
      </c>
      <c r="BG278" s="130">
        <f t="shared" si="58"/>
        <v>0</v>
      </c>
      <c r="BH278" s="130">
        <f t="shared" si="59"/>
        <v>0</v>
      </c>
      <c r="BI278" s="130">
        <f t="shared" si="60"/>
        <v>0</v>
      </c>
      <c r="BJ278" s="13" t="s">
        <v>76</v>
      </c>
      <c r="BK278" s="130">
        <f t="shared" si="61"/>
        <v>321.36</v>
      </c>
      <c r="BL278" s="13" t="s">
        <v>235</v>
      </c>
      <c r="BM278" s="129" t="s">
        <v>702</v>
      </c>
    </row>
    <row r="279" spans="2:65" s="1" customFormat="1" ht="16.5" customHeight="1" x14ac:dyDescent="0.2">
      <c r="B279" s="118"/>
      <c r="C279" s="119" t="s">
        <v>465</v>
      </c>
      <c r="D279" s="119" t="s">
        <v>231</v>
      </c>
      <c r="E279" s="120" t="s">
        <v>2723</v>
      </c>
      <c r="F279" s="121" t="s">
        <v>2724</v>
      </c>
      <c r="G279" s="122" t="s">
        <v>1194</v>
      </c>
      <c r="H279" s="123">
        <v>1</v>
      </c>
      <c r="I279" s="124">
        <v>15.46</v>
      </c>
      <c r="J279" s="124">
        <f t="shared" si="54"/>
        <v>15.46</v>
      </c>
      <c r="K279" s="121" t="s">
        <v>1</v>
      </c>
      <c r="L279" s="465"/>
      <c r="M279" s="125"/>
      <c r="N279" s="126"/>
      <c r="O279" s="127"/>
      <c r="P279" s="127"/>
      <c r="Q279" s="127"/>
      <c r="R279" s="127"/>
      <c r="S279" s="127"/>
      <c r="T279" s="128"/>
      <c r="W279" s="199"/>
      <c r="X279" s="119" t="s">
        <v>465</v>
      </c>
      <c r="Y279" s="119" t="s">
        <v>231</v>
      </c>
      <c r="Z279" s="120" t="s">
        <v>2723</v>
      </c>
      <c r="AA279" s="121" t="s">
        <v>2724</v>
      </c>
      <c r="AB279" s="122" t="s">
        <v>1194</v>
      </c>
      <c r="AC279" s="123">
        <v>1</v>
      </c>
      <c r="AD279" s="124">
        <v>15.46</v>
      </c>
      <c r="AE279" s="946">
        <f t="shared" si="55"/>
        <v>15.46</v>
      </c>
      <c r="AR279" s="129" t="s">
        <v>235</v>
      </c>
      <c r="AT279" s="129" t="s">
        <v>231</v>
      </c>
      <c r="AU279" s="129" t="s">
        <v>76</v>
      </c>
      <c r="AY279" s="13" t="s">
        <v>228</v>
      </c>
      <c r="BE279" s="130">
        <f t="shared" si="56"/>
        <v>0</v>
      </c>
      <c r="BF279" s="130">
        <f t="shared" si="57"/>
        <v>0</v>
      </c>
      <c r="BG279" s="130">
        <f t="shared" si="58"/>
        <v>0</v>
      </c>
      <c r="BH279" s="130">
        <f t="shared" si="59"/>
        <v>0</v>
      </c>
      <c r="BI279" s="130">
        <f t="shared" si="60"/>
        <v>0</v>
      </c>
      <c r="BJ279" s="13" t="s">
        <v>76</v>
      </c>
      <c r="BK279" s="130">
        <f t="shared" si="61"/>
        <v>15.46</v>
      </c>
      <c r="BL279" s="13" t="s">
        <v>235</v>
      </c>
      <c r="BM279" s="129" t="s">
        <v>705</v>
      </c>
    </row>
    <row r="280" spans="2:65" s="1" customFormat="1" ht="16.5" customHeight="1" x14ac:dyDescent="0.2">
      <c r="B280" s="118"/>
      <c r="C280" s="119" t="s">
        <v>706</v>
      </c>
      <c r="D280" s="119" t="s">
        <v>231</v>
      </c>
      <c r="E280" s="120" t="s">
        <v>4134</v>
      </c>
      <c r="F280" s="121" t="s">
        <v>4135</v>
      </c>
      <c r="G280" s="122" t="s">
        <v>1194</v>
      </c>
      <c r="H280" s="123">
        <v>1</v>
      </c>
      <c r="I280" s="124">
        <v>41.19</v>
      </c>
      <c r="J280" s="124">
        <f t="shared" si="54"/>
        <v>41.19</v>
      </c>
      <c r="K280" s="121" t="s">
        <v>1</v>
      </c>
      <c r="L280" s="465"/>
      <c r="M280" s="125"/>
      <c r="N280" s="126"/>
      <c r="O280" s="127"/>
      <c r="P280" s="127"/>
      <c r="Q280" s="127"/>
      <c r="R280" s="127"/>
      <c r="S280" s="127"/>
      <c r="T280" s="128"/>
      <c r="W280" s="199"/>
      <c r="X280" s="119" t="s">
        <v>706</v>
      </c>
      <c r="Y280" s="119" t="s">
        <v>231</v>
      </c>
      <c r="Z280" s="120" t="s">
        <v>4134</v>
      </c>
      <c r="AA280" s="121" t="s">
        <v>4135</v>
      </c>
      <c r="AB280" s="122" t="s">
        <v>1194</v>
      </c>
      <c r="AC280" s="123">
        <v>1</v>
      </c>
      <c r="AD280" s="124">
        <v>41.19</v>
      </c>
      <c r="AE280" s="946">
        <f t="shared" si="55"/>
        <v>41.19</v>
      </c>
      <c r="AR280" s="129" t="s">
        <v>235</v>
      </c>
      <c r="AT280" s="129" t="s">
        <v>231</v>
      </c>
      <c r="AU280" s="129" t="s">
        <v>76</v>
      </c>
      <c r="AY280" s="13" t="s">
        <v>228</v>
      </c>
      <c r="BE280" s="130">
        <f t="shared" si="56"/>
        <v>0</v>
      </c>
      <c r="BF280" s="130">
        <f t="shared" si="57"/>
        <v>0</v>
      </c>
      <c r="BG280" s="130">
        <f t="shared" si="58"/>
        <v>0</v>
      </c>
      <c r="BH280" s="130">
        <f t="shared" si="59"/>
        <v>0</v>
      </c>
      <c r="BI280" s="130">
        <f t="shared" si="60"/>
        <v>0</v>
      </c>
      <c r="BJ280" s="13" t="s">
        <v>76</v>
      </c>
      <c r="BK280" s="130">
        <f t="shared" si="61"/>
        <v>41.19</v>
      </c>
      <c r="BL280" s="13" t="s">
        <v>235</v>
      </c>
      <c r="BM280" s="129" t="s">
        <v>709</v>
      </c>
    </row>
    <row r="281" spans="2:65" s="1" customFormat="1" ht="16.5" customHeight="1" x14ac:dyDescent="0.2">
      <c r="B281" s="118"/>
      <c r="C281" s="119" t="s">
        <v>469</v>
      </c>
      <c r="D281" s="119" t="s">
        <v>231</v>
      </c>
      <c r="E281" s="120" t="s">
        <v>4961</v>
      </c>
      <c r="F281" s="121" t="s">
        <v>4962</v>
      </c>
      <c r="G281" s="122" t="s">
        <v>1194</v>
      </c>
      <c r="H281" s="123">
        <v>2</v>
      </c>
      <c r="I281" s="124">
        <v>72.56</v>
      </c>
      <c r="J281" s="124">
        <f t="shared" si="54"/>
        <v>145.12</v>
      </c>
      <c r="K281" s="121" t="s">
        <v>1</v>
      </c>
      <c r="L281" s="465"/>
      <c r="M281" s="125"/>
      <c r="N281" s="126"/>
      <c r="O281" s="127"/>
      <c r="P281" s="127"/>
      <c r="Q281" s="127"/>
      <c r="R281" s="127"/>
      <c r="S281" s="127"/>
      <c r="T281" s="128"/>
      <c r="W281" s="199"/>
      <c r="X281" s="119" t="s">
        <v>469</v>
      </c>
      <c r="Y281" s="119" t="s">
        <v>231</v>
      </c>
      <c r="Z281" s="120" t="s">
        <v>4961</v>
      </c>
      <c r="AA281" s="121" t="s">
        <v>4962</v>
      </c>
      <c r="AB281" s="122" t="s">
        <v>1194</v>
      </c>
      <c r="AC281" s="123">
        <v>2</v>
      </c>
      <c r="AD281" s="124">
        <v>72.56</v>
      </c>
      <c r="AE281" s="946">
        <f t="shared" si="55"/>
        <v>145.12</v>
      </c>
      <c r="AR281" s="129" t="s">
        <v>235</v>
      </c>
      <c r="AT281" s="129" t="s">
        <v>231</v>
      </c>
      <c r="AU281" s="129" t="s">
        <v>76</v>
      </c>
      <c r="AY281" s="13" t="s">
        <v>228</v>
      </c>
      <c r="BE281" s="130">
        <f t="shared" si="56"/>
        <v>0</v>
      </c>
      <c r="BF281" s="130">
        <f t="shared" si="57"/>
        <v>0</v>
      </c>
      <c r="BG281" s="130">
        <f t="shared" si="58"/>
        <v>0</v>
      </c>
      <c r="BH281" s="130">
        <f t="shared" si="59"/>
        <v>0</v>
      </c>
      <c r="BI281" s="130">
        <f t="shared" si="60"/>
        <v>0</v>
      </c>
      <c r="BJ281" s="13" t="s">
        <v>76</v>
      </c>
      <c r="BK281" s="130">
        <f t="shared" si="61"/>
        <v>145.12</v>
      </c>
      <c r="BL281" s="13" t="s">
        <v>235</v>
      </c>
      <c r="BM281" s="129" t="s">
        <v>712</v>
      </c>
    </row>
    <row r="282" spans="2:65" s="1" customFormat="1" ht="36" customHeight="1" x14ac:dyDescent="0.2">
      <c r="B282" s="118"/>
      <c r="C282" s="205" t="s">
        <v>713</v>
      </c>
      <c r="D282" s="119" t="s">
        <v>231</v>
      </c>
      <c r="E282" s="120" t="s">
        <v>4963</v>
      </c>
      <c r="F282" s="121" t="s">
        <v>4964</v>
      </c>
      <c r="G282" s="122" t="s">
        <v>1194</v>
      </c>
      <c r="H282" s="206">
        <v>1</v>
      </c>
      <c r="I282" s="124">
        <v>260.06</v>
      </c>
      <c r="J282" s="124">
        <f t="shared" si="54"/>
        <v>260.06</v>
      </c>
      <c r="K282" s="121" t="s">
        <v>1</v>
      </c>
      <c r="L282" s="472"/>
      <c r="M282" s="125"/>
      <c r="N282" s="126"/>
      <c r="O282" s="127"/>
      <c r="P282" s="127"/>
      <c r="Q282" s="127"/>
      <c r="R282" s="127"/>
      <c r="S282" s="127"/>
      <c r="T282" s="128"/>
      <c r="W282" s="199"/>
      <c r="X282" s="205" t="s">
        <v>713</v>
      </c>
      <c r="Y282" s="119" t="s">
        <v>231</v>
      </c>
      <c r="Z282" s="120" t="s">
        <v>4963</v>
      </c>
      <c r="AA282" s="121" t="s">
        <v>4964</v>
      </c>
      <c r="AB282" s="122" t="s">
        <v>1194</v>
      </c>
      <c r="AC282" s="206">
        <v>0</v>
      </c>
      <c r="AD282" s="124">
        <v>260.06</v>
      </c>
      <c r="AE282" s="946">
        <f t="shared" si="55"/>
        <v>0</v>
      </c>
      <c r="AF282" s="248">
        <v>11</v>
      </c>
      <c r="AR282" s="129" t="s">
        <v>235</v>
      </c>
      <c r="AT282" s="129" t="s">
        <v>231</v>
      </c>
      <c r="AU282" s="129" t="s">
        <v>76</v>
      </c>
      <c r="AY282" s="13" t="s">
        <v>228</v>
      </c>
      <c r="BE282" s="130">
        <f t="shared" si="56"/>
        <v>0</v>
      </c>
      <c r="BF282" s="130">
        <f t="shared" si="57"/>
        <v>0</v>
      </c>
      <c r="BG282" s="130">
        <f t="shared" si="58"/>
        <v>0</v>
      </c>
      <c r="BH282" s="130">
        <f t="shared" si="59"/>
        <v>0</v>
      </c>
      <c r="BI282" s="130">
        <f t="shared" si="60"/>
        <v>0</v>
      </c>
      <c r="BJ282" s="13" t="s">
        <v>76</v>
      </c>
      <c r="BK282" s="130">
        <f t="shared" si="61"/>
        <v>260.06</v>
      </c>
      <c r="BL282" s="13" t="s">
        <v>235</v>
      </c>
      <c r="BM282" s="129" t="s">
        <v>716</v>
      </c>
    </row>
    <row r="283" spans="2:65" s="477" customFormat="1" ht="36" customHeight="1" x14ac:dyDescent="0.2">
      <c r="B283" s="118"/>
      <c r="C283" s="1234" t="s">
        <v>5205</v>
      </c>
      <c r="D283" s="1235"/>
      <c r="E283" s="1235"/>
      <c r="F283" s="1235"/>
      <c r="G283" s="1235"/>
      <c r="H283" s="1235"/>
      <c r="I283" s="1235"/>
      <c r="J283" s="1236"/>
      <c r="K283" s="121"/>
      <c r="L283" s="472"/>
      <c r="M283" s="125"/>
      <c r="N283" s="126"/>
      <c r="O283" s="127"/>
      <c r="P283" s="127"/>
      <c r="Q283" s="127"/>
      <c r="R283" s="127"/>
      <c r="S283" s="127"/>
      <c r="T283" s="128"/>
      <c r="W283" s="199"/>
      <c r="X283" s="207" t="s">
        <v>6155</v>
      </c>
      <c r="Y283" s="207"/>
      <c r="Z283" s="208" t="s">
        <v>508</v>
      </c>
      <c r="AA283" s="209" t="s">
        <v>6153</v>
      </c>
      <c r="AB283" s="210" t="s">
        <v>1172</v>
      </c>
      <c r="AC283" s="211">
        <v>1</v>
      </c>
      <c r="AD283" s="212">
        <v>860.93</v>
      </c>
      <c r="AE283" s="1078">
        <f t="shared" si="55"/>
        <v>860.93</v>
      </c>
      <c r="AF283" s="248">
        <v>11</v>
      </c>
      <c r="AR283" s="129"/>
      <c r="AT283" s="129"/>
      <c r="AU283" s="129"/>
      <c r="AY283" s="13"/>
      <c r="BE283" s="130"/>
      <c r="BF283" s="130"/>
      <c r="BG283" s="130"/>
      <c r="BH283" s="130"/>
      <c r="BI283" s="130"/>
      <c r="BJ283" s="13"/>
      <c r="BK283" s="130"/>
      <c r="BL283" s="13"/>
      <c r="BM283" s="129"/>
    </row>
    <row r="284" spans="2:65" s="1" customFormat="1" ht="36" customHeight="1" x14ac:dyDescent="0.2">
      <c r="B284" s="118"/>
      <c r="C284" s="205" t="s">
        <v>472</v>
      </c>
      <c r="D284" s="119" t="s">
        <v>231</v>
      </c>
      <c r="E284" s="120" t="s">
        <v>4965</v>
      </c>
      <c r="F284" s="121" t="s">
        <v>4966</v>
      </c>
      <c r="G284" s="122" t="s">
        <v>1194</v>
      </c>
      <c r="H284" s="206">
        <v>1</v>
      </c>
      <c r="I284" s="124">
        <v>629.26</v>
      </c>
      <c r="J284" s="124">
        <f t="shared" si="54"/>
        <v>629.26</v>
      </c>
      <c r="K284" s="121" t="s">
        <v>1</v>
      </c>
      <c r="L284" s="472"/>
      <c r="M284" s="125"/>
      <c r="N284" s="126"/>
      <c r="O284" s="127"/>
      <c r="P284" s="127"/>
      <c r="Q284" s="127"/>
      <c r="R284" s="127"/>
      <c r="S284" s="127"/>
      <c r="T284" s="128"/>
      <c r="W284" s="199"/>
      <c r="X284" s="205" t="s">
        <v>472</v>
      </c>
      <c r="Y284" s="119" t="s">
        <v>231</v>
      </c>
      <c r="Z284" s="120" t="s">
        <v>4965</v>
      </c>
      <c r="AA284" s="121" t="s">
        <v>4966</v>
      </c>
      <c r="AB284" s="122" t="s">
        <v>1194</v>
      </c>
      <c r="AC284" s="206">
        <v>0</v>
      </c>
      <c r="AD284" s="124">
        <v>629.26</v>
      </c>
      <c r="AE284" s="946">
        <f t="shared" si="55"/>
        <v>0</v>
      </c>
      <c r="AF284" s="248">
        <v>11</v>
      </c>
      <c r="AR284" s="129" t="s">
        <v>235</v>
      </c>
      <c r="AT284" s="129" t="s">
        <v>231</v>
      </c>
      <c r="AU284" s="129" t="s">
        <v>76</v>
      </c>
      <c r="AY284" s="13" t="s">
        <v>228</v>
      </c>
      <c r="BE284" s="130">
        <f t="shared" si="56"/>
        <v>0</v>
      </c>
      <c r="BF284" s="130">
        <f t="shared" si="57"/>
        <v>0</v>
      </c>
      <c r="BG284" s="130">
        <f t="shared" si="58"/>
        <v>0</v>
      </c>
      <c r="BH284" s="130">
        <f t="shared" si="59"/>
        <v>0</v>
      </c>
      <c r="BI284" s="130">
        <f t="shared" si="60"/>
        <v>0</v>
      </c>
      <c r="BJ284" s="13" t="s">
        <v>76</v>
      </c>
      <c r="BK284" s="130">
        <f t="shared" si="61"/>
        <v>629.26</v>
      </c>
      <c r="BL284" s="13" t="s">
        <v>235</v>
      </c>
      <c r="BM284" s="129" t="s">
        <v>721</v>
      </c>
    </row>
    <row r="285" spans="2:65" s="477" customFormat="1" ht="36" customHeight="1" x14ac:dyDescent="0.2">
      <c r="B285" s="118"/>
      <c r="C285" s="1234" t="s">
        <v>5205</v>
      </c>
      <c r="D285" s="1235"/>
      <c r="E285" s="1235"/>
      <c r="F285" s="1235"/>
      <c r="G285" s="1235"/>
      <c r="H285" s="1235"/>
      <c r="I285" s="1235"/>
      <c r="J285" s="1236"/>
      <c r="K285" s="121"/>
      <c r="L285" s="472"/>
      <c r="M285" s="125"/>
      <c r="N285" s="126"/>
      <c r="O285" s="127"/>
      <c r="P285" s="127"/>
      <c r="Q285" s="127"/>
      <c r="R285" s="127"/>
      <c r="S285" s="127"/>
      <c r="T285" s="128"/>
      <c r="W285" s="199"/>
      <c r="X285" s="207" t="s">
        <v>6156</v>
      </c>
      <c r="Y285" s="207"/>
      <c r="Z285" s="208" t="s">
        <v>372</v>
      </c>
      <c r="AA285" s="209" t="s">
        <v>6154</v>
      </c>
      <c r="AB285" s="210" t="s">
        <v>1172</v>
      </c>
      <c r="AC285" s="211">
        <v>1</v>
      </c>
      <c r="AD285" s="212">
        <v>932.43</v>
      </c>
      <c r="AE285" s="1078">
        <f t="shared" si="55"/>
        <v>932.43</v>
      </c>
      <c r="AF285" s="248">
        <v>11</v>
      </c>
      <c r="AR285" s="129"/>
      <c r="AT285" s="129"/>
      <c r="AU285" s="129"/>
      <c r="AY285" s="13"/>
      <c r="BE285" s="130"/>
      <c r="BF285" s="130"/>
      <c r="BG285" s="130"/>
      <c r="BH285" s="130"/>
      <c r="BI285" s="130"/>
      <c r="BJ285" s="13"/>
      <c r="BK285" s="130"/>
      <c r="BL285" s="13"/>
      <c r="BM285" s="129"/>
    </row>
    <row r="286" spans="2:65" s="1" customFormat="1" ht="48" customHeight="1" x14ac:dyDescent="0.2">
      <c r="B286" s="118"/>
      <c r="C286" s="119" t="s">
        <v>722</v>
      </c>
      <c r="D286" s="119" t="s">
        <v>231</v>
      </c>
      <c r="E286" s="120" t="s">
        <v>4967</v>
      </c>
      <c r="F286" s="121" t="s">
        <v>4968</v>
      </c>
      <c r="G286" s="122" t="s">
        <v>1194</v>
      </c>
      <c r="H286" s="123">
        <v>1</v>
      </c>
      <c r="I286" s="124">
        <v>474.85</v>
      </c>
      <c r="J286" s="124">
        <f t="shared" si="54"/>
        <v>474.85</v>
      </c>
      <c r="K286" s="121" t="s">
        <v>1</v>
      </c>
      <c r="L286" s="472"/>
      <c r="M286" s="125" t="s">
        <v>1</v>
      </c>
      <c r="N286" s="126" t="s">
        <v>32</v>
      </c>
      <c r="O286" s="127">
        <v>0</v>
      </c>
      <c r="P286" s="127">
        <f t="shared" ref="P286:P298" si="62">O286*H286</f>
        <v>0</v>
      </c>
      <c r="Q286" s="127">
        <v>0</v>
      </c>
      <c r="R286" s="127">
        <f t="shared" ref="R286:R298" si="63">Q286*H286</f>
        <v>0</v>
      </c>
      <c r="S286" s="127">
        <v>0</v>
      </c>
      <c r="T286" s="128">
        <f t="shared" ref="T286:T298" si="64">S286*H286</f>
        <v>0</v>
      </c>
      <c r="W286" s="199"/>
      <c r="X286" s="119" t="s">
        <v>722</v>
      </c>
      <c r="Y286" s="119" t="s">
        <v>231</v>
      </c>
      <c r="Z286" s="120" t="s">
        <v>4967</v>
      </c>
      <c r="AA286" s="121" t="s">
        <v>4968</v>
      </c>
      <c r="AB286" s="122" t="s">
        <v>1194</v>
      </c>
      <c r="AC286" s="123">
        <v>1</v>
      </c>
      <c r="AD286" s="124">
        <v>474.85</v>
      </c>
      <c r="AE286" s="946">
        <f t="shared" si="55"/>
        <v>474.85</v>
      </c>
      <c r="AR286" s="129" t="s">
        <v>235</v>
      </c>
      <c r="AT286" s="129" t="s">
        <v>231</v>
      </c>
      <c r="AU286" s="129" t="s">
        <v>76</v>
      </c>
      <c r="AY286" s="13" t="s">
        <v>228</v>
      </c>
      <c r="BE286" s="130">
        <f t="shared" si="56"/>
        <v>0</v>
      </c>
      <c r="BF286" s="130">
        <f t="shared" si="57"/>
        <v>474.85</v>
      </c>
      <c r="BG286" s="130">
        <f t="shared" si="58"/>
        <v>0</v>
      </c>
      <c r="BH286" s="130">
        <f t="shared" si="59"/>
        <v>0</v>
      </c>
      <c r="BI286" s="130">
        <f t="shared" si="60"/>
        <v>0</v>
      </c>
      <c r="BJ286" s="13" t="s">
        <v>76</v>
      </c>
      <c r="BK286" s="130">
        <f t="shared" si="61"/>
        <v>474.85</v>
      </c>
      <c r="BL286" s="13" t="s">
        <v>235</v>
      </c>
      <c r="BM286" s="129" t="s">
        <v>725</v>
      </c>
    </row>
    <row r="287" spans="2:65" s="1" customFormat="1" ht="60" customHeight="1" x14ac:dyDescent="0.2">
      <c r="B287" s="118"/>
      <c r="C287" s="119" t="s">
        <v>476</v>
      </c>
      <c r="D287" s="119" t="s">
        <v>231</v>
      </c>
      <c r="E287" s="120" t="s">
        <v>4142</v>
      </c>
      <c r="F287" s="121" t="s">
        <v>4143</v>
      </c>
      <c r="G287" s="122" t="s">
        <v>1194</v>
      </c>
      <c r="H287" s="123">
        <v>1</v>
      </c>
      <c r="I287" s="124">
        <v>1396.68</v>
      </c>
      <c r="J287" s="124">
        <f t="shared" si="54"/>
        <v>1396.68</v>
      </c>
      <c r="K287" s="121" t="s">
        <v>1</v>
      </c>
      <c r="L287" s="472"/>
      <c r="M287" s="125" t="s">
        <v>1</v>
      </c>
      <c r="N287" s="126" t="s">
        <v>32</v>
      </c>
      <c r="O287" s="127">
        <v>0</v>
      </c>
      <c r="P287" s="127">
        <f t="shared" si="62"/>
        <v>0</v>
      </c>
      <c r="Q287" s="127">
        <v>0</v>
      </c>
      <c r="R287" s="127">
        <f t="shared" si="63"/>
        <v>0</v>
      </c>
      <c r="S287" s="127">
        <v>0</v>
      </c>
      <c r="T287" s="128">
        <f t="shared" si="64"/>
        <v>0</v>
      </c>
      <c r="W287" s="199"/>
      <c r="X287" s="119" t="s">
        <v>476</v>
      </c>
      <c r="Y287" s="119" t="s">
        <v>231</v>
      </c>
      <c r="Z287" s="120" t="s">
        <v>4142</v>
      </c>
      <c r="AA287" s="121" t="s">
        <v>4143</v>
      </c>
      <c r="AB287" s="122" t="s">
        <v>1194</v>
      </c>
      <c r="AC287" s="123">
        <v>1</v>
      </c>
      <c r="AD287" s="124">
        <v>1396.68</v>
      </c>
      <c r="AE287" s="946">
        <f t="shared" si="55"/>
        <v>1396.68</v>
      </c>
      <c r="AR287" s="129" t="s">
        <v>235</v>
      </c>
      <c r="AT287" s="129" t="s">
        <v>231</v>
      </c>
      <c r="AU287" s="129" t="s">
        <v>76</v>
      </c>
      <c r="AY287" s="13" t="s">
        <v>228</v>
      </c>
      <c r="BE287" s="130">
        <f t="shared" si="56"/>
        <v>0</v>
      </c>
      <c r="BF287" s="130">
        <f t="shared" si="57"/>
        <v>1396.68</v>
      </c>
      <c r="BG287" s="130">
        <f t="shared" si="58"/>
        <v>0</v>
      </c>
      <c r="BH287" s="130">
        <f t="shared" si="59"/>
        <v>0</v>
      </c>
      <c r="BI287" s="130">
        <f t="shared" si="60"/>
        <v>0</v>
      </c>
      <c r="BJ287" s="13" t="s">
        <v>76</v>
      </c>
      <c r="BK287" s="130">
        <f t="shared" si="61"/>
        <v>1396.68</v>
      </c>
      <c r="BL287" s="13" t="s">
        <v>235</v>
      </c>
      <c r="BM287" s="129" t="s">
        <v>728</v>
      </c>
    </row>
    <row r="288" spans="2:65" s="1" customFormat="1" ht="60" customHeight="1" x14ac:dyDescent="0.2">
      <c r="B288" s="118"/>
      <c r="C288" s="119" t="s">
        <v>729</v>
      </c>
      <c r="D288" s="119" t="s">
        <v>231</v>
      </c>
      <c r="E288" s="120" t="s">
        <v>2678</v>
      </c>
      <c r="F288" s="121" t="s">
        <v>2679</v>
      </c>
      <c r="G288" s="122" t="s">
        <v>1194</v>
      </c>
      <c r="H288" s="123">
        <v>2</v>
      </c>
      <c r="I288" s="124">
        <v>1444.28</v>
      </c>
      <c r="J288" s="124">
        <f t="shared" si="54"/>
        <v>2888.56</v>
      </c>
      <c r="K288" s="121" t="s">
        <v>1</v>
      </c>
      <c r="L288" s="472"/>
      <c r="M288" s="125" t="s">
        <v>1</v>
      </c>
      <c r="N288" s="126" t="s">
        <v>32</v>
      </c>
      <c r="O288" s="127">
        <v>0</v>
      </c>
      <c r="P288" s="127">
        <f t="shared" si="62"/>
        <v>0</v>
      </c>
      <c r="Q288" s="127">
        <v>0</v>
      </c>
      <c r="R288" s="127">
        <f t="shared" si="63"/>
        <v>0</v>
      </c>
      <c r="S288" s="127">
        <v>0</v>
      </c>
      <c r="T288" s="128">
        <f t="shared" si="64"/>
        <v>0</v>
      </c>
      <c r="W288" s="199"/>
      <c r="X288" s="119" t="s">
        <v>729</v>
      </c>
      <c r="Y288" s="119" t="s">
        <v>231</v>
      </c>
      <c r="Z288" s="120" t="s">
        <v>2678</v>
      </c>
      <c r="AA288" s="121" t="s">
        <v>2679</v>
      </c>
      <c r="AB288" s="122" t="s">
        <v>1194</v>
      </c>
      <c r="AC288" s="123">
        <v>2</v>
      </c>
      <c r="AD288" s="124">
        <v>1444.28</v>
      </c>
      <c r="AE288" s="946">
        <f t="shared" si="55"/>
        <v>2888.56</v>
      </c>
      <c r="AR288" s="129" t="s">
        <v>235</v>
      </c>
      <c r="AT288" s="129" t="s">
        <v>231</v>
      </c>
      <c r="AU288" s="129" t="s">
        <v>76</v>
      </c>
      <c r="AY288" s="13" t="s">
        <v>228</v>
      </c>
      <c r="BE288" s="130">
        <f t="shared" si="56"/>
        <v>0</v>
      </c>
      <c r="BF288" s="130">
        <f t="shared" si="57"/>
        <v>2888.56</v>
      </c>
      <c r="BG288" s="130">
        <f t="shared" si="58"/>
        <v>0</v>
      </c>
      <c r="BH288" s="130">
        <f t="shared" si="59"/>
        <v>0</v>
      </c>
      <c r="BI288" s="130">
        <f t="shared" si="60"/>
        <v>0</v>
      </c>
      <c r="BJ288" s="13" t="s">
        <v>76</v>
      </c>
      <c r="BK288" s="130">
        <f t="shared" si="61"/>
        <v>2888.56</v>
      </c>
      <c r="BL288" s="13" t="s">
        <v>235</v>
      </c>
      <c r="BM288" s="129" t="s">
        <v>732</v>
      </c>
    </row>
    <row r="289" spans="2:65" s="1" customFormat="1" ht="24" customHeight="1" x14ac:dyDescent="0.2">
      <c r="B289" s="118"/>
      <c r="C289" s="119" t="s">
        <v>479</v>
      </c>
      <c r="D289" s="119" t="s">
        <v>231</v>
      </c>
      <c r="E289" s="120" t="s">
        <v>2680</v>
      </c>
      <c r="F289" s="121" t="s">
        <v>2681</v>
      </c>
      <c r="G289" s="122" t="s">
        <v>1194</v>
      </c>
      <c r="H289" s="123">
        <v>9</v>
      </c>
      <c r="I289" s="124">
        <v>9.06</v>
      </c>
      <c r="J289" s="124">
        <f t="shared" si="54"/>
        <v>81.540000000000006</v>
      </c>
      <c r="K289" s="121" t="s">
        <v>1</v>
      </c>
      <c r="L289" s="465"/>
      <c r="M289" s="125" t="s">
        <v>1</v>
      </c>
      <c r="N289" s="126" t="s">
        <v>32</v>
      </c>
      <c r="O289" s="127">
        <v>0</v>
      </c>
      <c r="P289" s="127">
        <f t="shared" si="62"/>
        <v>0</v>
      </c>
      <c r="Q289" s="127">
        <v>0</v>
      </c>
      <c r="R289" s="127">
        <f t="shared" si="63"/>
        <v>0</v>
      </c>
      <c r="S289" s="127">
        <v>0</v>
      </c>
      <c r="T289" s="128">
        <f t="shared" si="64"/>
        <v>0</v>
      </c>
      <c r="W289" s="199"/>
      <c r="X289" s="119" t="s">
        <v>479</v>
      </c>
      <c r="Y289" s="119" t="s">
        <v>231</v>
      </c>
      <c r="Z289" s="120" t="s">
        <v>2680</v>
      </c>
      <c r="AA289" s="121" t="s">
        <v>2681</v>
      </c>
      <c r="AB289" s="122" t="s">
        <v>1194</v>
      </c>
      <c r="AC289" s="123">
        <v>9</v>
      </c>
      <c r="AD289" s="124">
        <v>9.06</v>
      </c>
      <c r="AE289" s="946">
        <f t="shared" si="55"/>
        <v>81.540000000000006</v>
      </c>
      <c r="AR289" s="129" t="s">
        <v>235</v>
      </c>
      <c r="AT289" s="129" t="s">
        <v>231</v>
      </c>
      <c r="AU289" s="129" t="s">
        <v>76</v>
      </c>
      <c r="AY289" s="13" t="s">
        <v>228</v>
      </c>
      <c r="BE289" s="130">
        <f t="shared" si="56"/>
        <v>0</v>
      </c>
      <c r="BF289" s="130">
        <f t="shared" si="57"/>
        <v>81.540000000000006</v>
      </c>
      <c r="BG289" s="130">
        <f t="shared" si="58"/>
        <v>0</v>
      </c>
      <c r="BH289" s="130">
        <f t="shared" si="59"/>
        <v>0</v>
      </c>
      <c r="BI289" s="130">
        <f t="shared" si="60"/>
        <v>0</v>
      </c>
      <c r="BJ289" s="13" t="s">
        <v>76</v>
      </c>
      <c r="BK289" s="130">
        <f t="shared" si="61"/>
        <v>81.540000000000006</v>
      </c>
      <c r="BL289" s="13" t="s">
        <v>235</v>
      </c>
      <c r="BM289" s="129" t="s">
        <v>735</v>
      </c>
    </row>
    <row r="290" spans="2:65" s="1" customFormat="1" ht="24" customHeight="1" x14ac:dyDescent="0.2">
      <c r="B290" s="118"/>
      <c r="C290" s="119" t="s">
        <v>736</v>
      </c>
      <c r="D290" s="119" t="s">
        <v>231</v>
      </c>
      <c r="E290" s="120" t="s">
        <v>2731</v>
      </c>
      <c r="F290" s="121" t="s">
        <v>2732</v>
      </c>
      <c r="G290" s="122" t="s">
        <v>1194</v>
      </c>
      <c r="H290" s="123">
        <v>10</v>
      </c>
      <c r="I290" s="124">
        <v>56.02</v>
      </c>
      <c r="J290" s="124">
        <f t="shared" si="54"/>
        <v>560.20000000000005</v>
      </c>
      <c r="K290" s="121" t="s">
        <v>1</v>
      </c>
      <c r="L290" s="465"/>
      <c r="M290" s="125" t="s">
        <v>1</v>
      </c>
      <c r="N290" s="126" t="s">
        <v>32</v>
      </c>
      <c r="O290" s="127">
        <v>0</v>
      </c>
      <c r="P290" s="127">
        <f t="shared" si="62"/>
        <v>0</v>
      </c>
      <c r="Q290" s="127">
        <v>0</v>
      </c>
      <c r="R290" s="127">
        <f t="shared" si="63"/>
        <v>0</v>
      </c>
      <c r="S290" s="127">
        <v>0</v>
      </c>
      <c r="T290" s="128">
        <f t="shared" si="64"/>
        <v>0</v>
      </c>
      <c r="W290" s="199"/>
      <c r="X290" s="119" t="s">
        <v>736</v>
      </c>
      <c r="Y290" s="119" t="s">
        <v>231</v>
      </c>
      <c r="Z290" s="120" t="s">
        <v>2731</v>
      </c>
      <c r="AA290" s="121" t="s">
        <v>2732</v>
      </c>
      <c r="AB290" s="122" t="s">
        <v>1194</v>
      </c>
      <c r="AC290" s="123">
        <v>10</v>
      </c>
      <c r="AD290" s="124">
        <v>56.02</v>
      </c>
      <c r="AE290" s="946">
        <f t="shared" si="55"/>
        <v>560.20000000000005</v>
      </c>
      <c r="AR290" s="129" t="s">
        <v>235</v>
      </c>
      <c r="AT290" s="129" t="s">
        <v>231</v>
      </c>
      <c r="AU290" s="129" t="s">
        <v>76</v>
      </c>
      <c r="AY290" s="13" t="s">
        <v>228</v>
      </c>
      <c r="BE290" s="130">
        <f t="shared" si="56"/>
        <v>0</v>
      </c>
      <c r="BF290" s="130">
        <f t="shared" si="57"/>
        <v>560.20000000000005</v>
      </c>
      <c r="BG290" s="130">
        <f t="shared" si="58"/>
        <v>0</v>
      </c>
      <c r="BH290" s="130">
        <f t="shared" si="59"/>
        <v>0</v>
      </c>
      <c r="BI290" s="130">
        <f t="shared" si="60"/>
        <v>0</v>
      </c>
      <c r="BJ290" s="13" t="s">
        <v>76</v>
      </c>
      <c r="BK290" s="130">
        <f t="shared" si="61"/>
        <v>560.20000000000005</v>
      </c>
      <c r="BL290" s="13" t="s">
        <v>235</v>
      </c>
      <c r="BM290" s="129" t="s">
        <v>739</v>
      </c>
    </row>
    <row r="291" spans="2:65" s="1" customFormat="1" ht="60" customHeight="1" x14ac:dyDescent="0.2">
      <c r="B291" s="118"/>
      <c r="C291" s="119" t="s">
        <v>483</v>
      </c>
      <c r="D291" s="119" t="s">
        <v>231</v>
      </c>
      <c r="E291" s="120" t="s">
        <v>4100</v>
      </c>
      <c r="F291" s="121" t="s">
        <v>4101</v>
      </c>
      <c r="G291" s="122" t="s">
        <v>1194</v>
      </c>
      <c r="H291" s="123">
        <v>4</v>
      </c>
      <c r="I291" s="124">
        <v>157.9</v>
      </c>
      <c r="J291" s="124">
        <f t="shared" si="54"/>
        <v>631.6</v>
      </c>
      <c r="K291" s="121" t="s">
        <v>1</v>
      </c>
      <c r="L291" s="465"/>
      <c r="M291" s="125" t="s">
        <v>1</v>
      </c>
      <c r="N291" s="126" t="s">
        <v>32</v>
      </c>
      <c r="O291" s="127">
        <v>0</v>
      </c>
      <c r="P291" s="127">
        <f t="shared" si="62"/>
        <v>0</v>
      </c>
      <c r="Q291" s="127">
        <v>0</v>
      </c>
      <c r="R291" s="127">
        <f t="shared" si="63"/>
        <v>0</v>
      </c>
      <c r="S291" s="127">
        <v>0</v>
      </c>
      <c r="T291" s="128">
        <f t="shared" si="64"/>
        <v>0</v>
      </c>
      <c r="W291" s="199"/>
      <c r="X291" s="119" t="s">
        <v>483</v>
      </c>
      <c r="Y291" s="119" t="s">
        <v>231</v>
      </c>
      <c r="Z291" s="120" t="s">
        <v>4100</v>
      </c>
      <c r="AA291" s="121" t="s">
        <v>4101</v>
      </c>
      <c r="AB291" s="122" t="s">
        <v>1194</v>
      </c>
      <c r="AC291" s="123">
        <v>4</v>
      </c>
      <c r="AD291" s="124">
        <v>157.9</v>
      </c>
      <c r="AE291" s="946">
        <f t="shared" si="55"/>
        <v>631.6</v>
      </c>
      <c r="AR291" s="129" t="s">
        <v>235</v>
      </c>
      <c r="AT291" s="129" t="s">
        <v>231</v>
      </c>
      <c r="AU291" s="129" t="s">
        <v>76</v>
      </c>
      <c r="AY291" s="13" t="s">
        <v>228</v>
      </c>
      <c r="BE291" s="130">
        <f t="shared" si="56"/>
        <v>0</v>
      </c>
      <c r="BF291" s="130">
        <f t="shared" si="57"/>
        <v>631.6</v>
      </c>
      <c r="BG291" s="130">
        <f t="shared" si="58"/>
        <v>0</v>
      </c>
      <c r="BH291" s="130">
        <f t="shared" si="59"/>
        <v>0</v>
      </c>
      <c r="BI291" s="130">
        <f t="shared" si="60"/>
        <v>0</v>
      </c>
      <c r="BJ291" s="13" t="s">
        <v>76</v>
      </c>
      <c r="BK291" s="130">
        <f t="shared" si="61"/>
        <v>631.6</v>
      </c>
      <c r="BL291" s="13" t="s">
        <v>235</v>
      </c>
      <c r="BM291" s="129" t="s">
        <v>742</v>
      </c>
    </row>
    <row r="292" spans="2:65" s="1" customFormat="1" ht="48" customHeight="1" x14ac:dyDescent="0.2">
      <c r="B292" s="118"/>
      <c r="C292" s="119" t="s">
        <v>743</v>
      </c>
      <c r="D292" s="119" t="s">
        <v>231</v>
      </c>
      <c r="E292" s="120" t="s">
        <v>4144</v>
      </c>
      <c r="F292" s="121" t="s">
        <v>4145</v>
      </c>
      <c r="G292" s="122" t="s">
        <v>1194</v>
      </c>
      <c r="H292" s="123">
        <v>2</v>
      </c>
      <c r="I292" s="124">
        <v>228.72</v>
      </c>
      <c r="J292" s="124">
        <f t="shared" si="54"/>
        <v>457.44</v>
      </c>
      <c r="K292" s="121" t="s">
        <v>1</v>
      </c>
      <c r="L292" s="465"/>
      <c r="M292" s="125" t="s">
        <v>1</v>
      </c>
      <c r="N292" s="126" t="s">
        <v>32</v>
      </c>
      <c r="O292" s="127">
        <v>0</v>
      </c>
      <c r="P292" s="127">
        <f t="shared" si="62"/>
        <v>0</v>
      </c>
      <c r="Q292" s="127">
        <v>0</v>
      </c>
      <c r="R292" s="127">
        <f t="shared" si="63"/>
        <v>0</v>
      </c>
      <c r="S292" s="127">
        <v>0</v>
      </c>
      <c r="T292" s="128">
        <f t="shared" si="64"/>
        <v>0</v>
      </c>
      <c r="W292" s="199"/>
      <c r="X292" s="119" t="s">
        <v>743</v>
      </c>
      <c r="Y292" s="119" t="s">
        <v>231</v>
      </c>
      <c r="Z292" s="120" t="s">
        <v>4144</v>
      </c>
      <c r="AA292" s="121" t="s">
        <v>4145</v>
      </c>
      <c r="AB292" s="122" t="s">
        <v>1194</v>
      </c>
      <c r="AC292" s="123">
        <v>2</v>
      </c>
      <c r="AD292" s="124">
        <v>228.72</v>
      </c>
      <c r="AE292" s="946">
        <f t="shared" si="55"/>
        <v>457.44</v>
      </c>
      <c r="AR292" s="129" t="s">
        <v>235</v>
      </c>
      <c r="AT292" s="129" t="s">
        <v>231</v>
      </c>
      <c r="AU292" s="129" t="s">
        <v>76</v>
      </c>
      <c r="AY292" s="13" t="s">
        <v>228</v>
      </c>
      <c r="BE292" s="130">
        <f t="shared" si="56"/>
        <v>0</v>
      </c>
      <c r="BF292" s="130">
        <f t="shared" si="57"/>
        <v>457.44</v>
      </c>
      <c r="BG292" s="130">
        <f t="shared" si="58"/>
        <v>0</v>
      </c>
      <c r="BH292" s="130">
        <f t="shared" si="59"/>
        <v>0</v>
      </c>
      <c r="BI292" s="130">
        <f t="shared" si="60"/>
        <v>0</v>
      </c>
      <c r="BJ292" s="13" t="s">
        <v>76</v>
      </c>
      <c r="BK292" s="130">
        <f t="shared" si="61"/>
        <v>457.44</v>
      </c>
      <c r="BL292" s="13" t="s">
        <v>235</v>
      </c>
      <c r="BM292" s="129" t="s">
        <v>746</v>
      </c>
    </row>
    <row r="293" spans="2:65" s="1" customFormat="1" ht="16.5" customHeight="1" x14ac:dyDescent="0.2">
      <c r="B293" s="118"/>
      <c r="C293" s="119" t="s">
        <v>486</v>
      </c>
      <c r="D293" s="119" t="s">
        <v>231</v>
      </c>
      <c r="E293" s="120" t="s">
        <v>2737</v>
      </c>
      <c r="F293" s="121" t="s">
        <v>2738</v>
      </c>
      <c r="G293" s="122" t="s">
        <v>1194</v>
      </c>
      <c r="H293" s="123">
        <v>4</v>
      </c>
      <c r="I293" s="124">
        <v>10.68</v>
      </c>
      <c r="J293" s="124">
        <f t="shared" si="54"/>
        <v>42.72</v>
      </c>
      <c r="K293" s="121" t="s">
        <v>1</v>
      </c>
      <c r="L293" s="465"/>
      <c r="M293" s="125" t="s">
        <v>1</v>
      </c>
      <c r="N293" s="126" t="s">
        <v>32</v>
      </c>
      <c r="O293" s="127">
        <v>0</v>
      </c>
      <c r="P293" s="127">
        <f t="shared" si="62"/>
        <v>0</v>
      </c>
      <c r="Q293" s="127">
        <v>0</v>
      </c>
      <c r="R293" s="127">
        <f t="shared" si="63"/>
        <v>0</v>
      </c>
      <c r="S293" s="127">
        <v>0</v>
      </c>
      <c r="T293" s="128">
        <f t="shared" si="64"/>
        <v>0</v>
      </c>
      <c r="W293" s="199"/>
      <c r="X293" s="119" t="s">
        <v>486</v>
      </c>
      <c r="Y293" s="119" t="s">
        <v>231</v>
      </c>
      <c r="Z293" s="120" t="s">
        <v>2737</v>
      </c>
      <c r="AA293" s="121" t="s">
        <v>2738</v>
      </c>
      <c r="AB293" s="122" t="s">
        <v>1194</v>
      </c>
      <c r="AC293" s="123">
        <v>4</v>
      </c>
      <c r="AD293" s="124">
        <v>10.68</v>
      </c>
      <c r="AE293" s="946">
        <f t="shared" si="55"/>
        <v>42.72</v>
      </c>
      <c r="AR293" s="129" t="s">
        <v>235</v>
      </c>
      <c r="AT293" s="129" t="s">
        <v>231</v>
      </c>
      <c r="AU293" s="129" t="s">
        <v>76</v>
      </c>
      <c r="AY293" s="13" t="s">
        <v>228</v>
      </c>
      <c r="BE293" s="130">
        <f t="shared" si="56"/>
        <v>0</v>
      </c>
      <c r="BF293" s="130">
        <f t="shared" si="57"/>
        <v>42.72</v>
      </c>
      <c r="BG293" s="130">
        <f t="shared" si="58"/>
        <v>0</v>
      </c>
      <c r="BH293" s="130">
        <f t="shared" si="59"/>
        <v>0</v>
      </c>
      <c r="BI293" s="130">
        <f t="shared" si="60"/>
        <v>0</v>
      </c>
      <c r="BJ293" s="13" t="s">
        <v>76</v>
      </c>
      <c r="BK293" s="130">
        <f t="shared" si="61"/>
        <v>42.72</v>
      </c>
      <c r="BL293" s="13" t="s">
        <v>235</v>
      </c>
      <c r="BM293" s="129" t="s">
        <v>749</v>
      </c>
    </row>
    <row r="294" spans="2:65" s="1" customFormat="1" ht="16.5" customHeight="1" x14ac:dyDescent="0.2">
      <c r="B294" s="118"/>
      <c r="C294" s="119" t="s">
        <v>750</v>
      </c>
      <c r="D294" s="119" t="s">
        <v>231</v>
      </c>
      <c r="E294" s="120" t="s">
        <v>4148</v>
      </c>
      <c r="F294" s="121" t="s">
        <v>4149</v>
      </c>
      <c r="G294" s="122" t="s">
        <v>1194</v>
      </c>
      <c r="H294" s="123">
        <v>4</v>
      </c>
      <c r="I294" s="124">
        <v>24.96</v>
      </c>
      <c r="J294" s="124">
        <f t="shared" si="54"/>
        <v>99.84</v>
      </c>
      <c r="K294" s="121" t="s">
        <v>1</v>
      </c>
      <c r="L294" s="465"/>
      <c r="M294" s="125" t="s">
        <v>1</v>
      </c>
      <c r="N294" s="126" t="s">
        <v>32</v>
      </c>
      <c r="O294" s="127">
        <v>0</v>
      </c>
      <c r="P294" s="127">
        <f t="shared" si="62"/>
        <v>0</v>
      </c>
      <c r="Q294" s="127">
        <v>0</v>
      </c>
      <c r="R294" s="127">
        <f t="shared" si="63"/>
        <v>0</v>
      </c>
      <c r="S294" s="127">
        <v>0</v>
      </c>
      <c r="T294" s="128">
        <f t="shared" si="64"/>
        <v>0</v>
      </c>
      <c r="W294" s="199"/>
      <c r="X294" s="119" t="s">
        <v>750</v>
      </c>
      <c r="Y294" s="119" t="s">
        <v>231</v>
      </c>
      <c r="Z294" s="120" t="s">
        <v>4148</v>
      </c>
      <c r="AA294" s="121" t="s">
        <v>4149</v>
      </c>
      <c r="AB294" s="122" t="s">
        <v>1194</v>
      </c>
      <c r="AC294" s="123">
        <v>4</v>
      </c>
      <c r="AD294" s="124">
        <v>24.96</v>
      </c>
      <c r="AE294" s="946">
        <f t="shared" si="55"/>
        <v>99.84</v>
      </c>
      <c r="AR294" s="129" t="s">
        <v>235</v>
      </c>
      <c r="AT294" s="129" t="s">
        <v>231</v>
      </c>
      <c r="AU294" s="129" t="s">
        <v>76</v>
      </c>
      <c r="AY294" s="13" t="s">
        <v>228</v>
      </c>
      <c r="BE294" s="130">
        <f t="shared" si="56"/>
        <v>0</v>
      </c>
      <c r="BF294" s="130">
        <f t="shared" si="57"/>
        <v>99.84</v>
      </c>
      <c r="BG294" s="130">
        <f t="shared" si="58"/>
        <v>0</v>
      </c>
      <c r="BH294" s="130">
        <f t="shared" si="59"/>
        <v>0</v>
      </c>
      <c r="BI294" s="130">
        <f t="shared" si="60"/>
        <v>0</v>
      </c>
      <c r="BJ294" s="13" t="s">
        <v>76</v>
      </c>
      <c r="BK294" s="130">
        <f t="shared" si="61"/>
        <v>99.84</v>
      </c>
      <c r="BL294" s="13" t="s">
        <v>235</v>
      </c>
      <c r="BM294" s="129" t="s">
        <v>753</v>
      </c>
    </row>
    <row r="295" spans="2:65" s="1" customFormat="1" ht="16.5" customHeight="1" x14ac:dyDescent="0.2">
      <c r="B295" s="118"/>
      <c r="C295" s="119" t="s">
        <v>490</v>
      </c>
      <c r="D295" s="119" t="s">
        <v>231</v>
      </c>
      <c r="E295" s="120" t="s">
        <v>4969</v>
      </c>
      <c r="F295" s="121" t="s">
        <v>4970</v>
      </c>
      <c r="G295" s="122" t="s">
        <v>1194</v>
      </c>
      <c r="H295" s="123">
        <v>8</v>
      </c>
      <c r="I295" s="124">
        <v>47.6</v>
      </c>
      <c r="J295" s="124">
        <f t="shared" si="54"/>
        <v>380.8</v>
      </c>
      <c r="K295" s="121" t="s">
        <v>1</v>
      </c>
      <c r="L295" s="465"/>
      <c r="M295" s="125" t="s">
        <v>1</v>
      </c>
      <c r="N295" s="126" t="s">
        <v>32</v>
      </c>
      <c r="O295" s="127">
        <v>0</v>
      </c>
      <c r="P295" s="127">
        <f t="shared" si="62"/>
        <v>0</v>
      </c>
      <c r="Q295" s="127">
        <v>0</v>
      </c>
      <c r="R295" s="127">
        <f t="shared" si="63"/>
        <v>0</v>
      </c>
      <c r="S295" s="127">
        <v>0</v>
      </c>
      <c r="T295" s="128">
        <f t="shared" si="64"/>
        <v>0</v>
      </c>
      <c r="W295" s="199"/>
      <c r="X295" s="119" t="s">
        <v>490</v>
      </c>
      <c r="Y295" s="119" t="s">
        <v>231</v>
      </c>
      <c r="Z295" s="120" t="s">
        <v>4969</v>
      </c>
      <c r="AA295" s="121" t="s">
        <v>4970</v>
      </c>
      <c r="AB295" s="122" t="s">
        <v>1194</v>
      </c>
      <c r="AC295" s="123">
        <v>8</v>
      </c>
      <c r="AD295" s="124">
        <v>47.6</v>
      </c>
      <c r="AE295" s="946">
        <f t="shared" si="55"/>
        <v>380.8</v>
      </c>
      <c r="AR295" s="129" t="s">
        <v>235</v>
      </c>
      <c r="AT295" s="129" t="s">
        <v>231</v>
      </c>
      <c r="AU295" s="129" t="s">
        <v>76</v>
      </c>
      <c r="AY295" s="13" t="s">
        <v>228</v>
      </c>
      <c r="BE295" s="130">
        <f t="shared" si="56"/>
        <v>0</v>
      </c>
      <c r="BF295" s="130">
        <f t="shared" si="57"/>
        <v>380.8</v>
      </c>
      <c r="BG295" s="130">
        <f t="shared" si="58"/>
        <v>0</v>
      </c>
      <c r="BH295" s="130">
        <f t="shared" si="59"/>
        <v>0</v>
      </c>
      <c r="BI295" s="130">
        <f t="shared" si="60"/>
        <v>0</v>
      </c>
      <c r="BJ295" s="13" t="s">
        <v>76</v>
      </c>
      <c r="BK295" s="130">
        <f t="shared" si="61"/>
        <v>380.8</v>
      </c>
      <c r="BL295" s="13" t="s">
        <v>235</v>
      </c>
      <c r="BM295" s="129" t="s">
        <v>756</v>
      </c>
    </row>
    <row r="296" spans="2:65" s="1" customFormat="1" ht="16.5" customHeight="1" x14ac:dyDescent="0.2">
      <c r="B296" s="118"/>
      <c r="C296" s="119" t="s">
        <v>757</v>
      </c>
      <c r="D296" s="119" t="s">
        <v>231</v>
      </c>
      <c r="E296" s="120" t="s">
        <v>4971</v>
      </c>
      <c r="F296" s="121" t="s">
        <v>4972</v>
      </c>
      <c r="G296" s="122" t="s">
        <v>1194</v>
      </c>
      <c r="H296" s="123">
        <v>2</v>
      </c>
      <c r="I296" s="124">
        <v>215.95</v>
      </c>
      <c r="J296" s="124">
        <f t="shared" si="54"/>
        <v>431.9</v>
      </c>
      <c r="K296" s="121" t="s">
        <v>1</v>
      </c>
      <c r="L296" s="465"/>
      <c r="M296" s="125" t="s">
        <v>1</v>
      </c>
      <c r="N296" s="126" t="s">
        <v>32</v>
      </c>
      <c r="O296" s="127">
        <v>0</v>
      </c>
      <c r="P296" s="127">
        <f t="shared" si="62"/>
        <v>0</v>
      </c>
      <c r="Q296" s="127">
        <v>0</v>
      </c>
      <c r="R296" s="127">
        <f t="shared" si="63"/>
        <v>0</v>
      </c>
      <c r="S296" s="127">
        <v>0</v>
      </c>
      <c r="T296" s="128">
        <f t="shared" si="64"/>
        <v>0</v>
      </c>
      <c r="W296" s="199"/>
      <c r="X296" s="119" t="s">
        <v>757</v>
      </c>
      <c r="Y296" s="119" t="s">
        <v>231</v>
      </c>
      <c r="Z296" s="120" t="s">
        <v>4971</v>
      </c>
      <c r="AA296" s="121" t="s">
        <v>4972</v>
      </c>
      <c r="AB296" s="122" t="s">
        <v>1194</v>
      </c>
      <c r="AC296" s="123">
        <v>2</v>
      </c>
      <c r="AD296" s="124">
        <v>215.95</v>
      </c>
      <c r="AE296" s="946">
        <f t="shared" si="55"/>
        <v>431.9</v>
      </c>
      <c r="AR296" s="129" t="s">
        <v>235</v>
      </c>
      <c r="AT296" s="129" t="s">
        <v>231</v>
      </c>
      <c r="AU296" s="129" t="s">
        <v>76</v>
      </c>
      <c r="AY296" s="13" t="s">
        <v>228</v>
      </c>
      <c r="BE296" s="130">
        <f t="shared" si="56"/>
        <v>0</v>
      </c>
      <c r="BF296" s="130">
        <f t="shared" si="57"/>
        <v>431.9</v>
      </c>
      <c r="BG296" s="130">
        <f t="shared" si="58"/>
        <v>0</v>
      </c>
      <c r="BH296" s="130">
        <f t="shared" si="59"/>
        <v>0</v>
      </c>
      <c r="BI296" s="130">
        <f t="shared" si="60"/>
        <v>0</v>
      </c>
      <c r="BJ296" s="13" t="s">
        <v>76</v>
      </c>
      <c r="BK296" s="130">
        <f t="shared" si="61"/>
        <v>431.9</v>
      </c>
      <c r="BL296" s="13" t="s">
        <v>235</v>
      </c>
      <c r="BM296" s="129" t="s">
        <v>760</v>
      </c>
    </row>
    <row r="297" spans="2:65" s="1" customFormat="1" ht="48" customHeight="1" x14ac:dyDescent="0.2">
      <c r="B297" s="118"/>
      <c r="C297" s="119" t="s">
        <v>493</v>
      </c>
      <c r="D297" s="119" t="s">
        <v>231</v>
      </c>
      <c r="E297" s="120" t="s">
        <v>4973</v>
      </c>
      <c r="F297" s="121" t="s">
        <v>4974</v>
      </c>
      <c r="G297" s="122" t="s">
        <v>1194</v>
      </c>
      <c r="H297" s="123">
        <v>4</v>
      </c>
      <c r="I297" s="124">
        <v>251.94</v>
      </c>
      <c r="J297" s="124">
        <f t="shared" si="54"/>
        <v>1007.76</v>
      </c>
      <c r="K297" s="121" t="s">
        <v>1</v>
      </c>
      <c r="L297" s="465"/>
      <c r="M297" s="125" t="s">
        <v>1</v>
      </c>
      <c r="N297" s="126" t="s">
        <v>32</v>
      </c>
      <c r="O297" s="127">
        <v>0</v>
      </c>
      <c r="P297" s="127">
        <f t="shared" si="62"/>
        <v>0</v>
      </c>
      <c r="Q297" s="127">
        <v>0</v>
      </c>
      <c r="R297" s="127">
        <f t="shared" si="63"/>
        <v>0</v>
      </c>
      <c r="S297" s="127">
        <v>0</v>
      </c>
      <c r="T297" s="128">
        <f t="shared" si="64"/>
        <v>0</v>
      </c>
      <c r="W297" s="199"/>
      <c r="X297" s="119" t="s">
        <v>493</v>
      </c>
      <c r="Y297" s="119" t="s">
        <v>231</v>
      </c>
      <c r="Z297" s="120" t="s">
        <v>4973</v>
      </c>
      <c r="AA297" s="121" t="s">
        <v>4974</v>
      </c>
      <c r="AB297" s="122" t="s">
        <v>1194</v>
      </c>
      <c r="AC297" s="123">
        <v>4</v>
      </c>
      <c r="AD297" s="124">
        <v>251.94</v>
      </c>
      <c r="AE297" s="946">
        <f t="shared" si="55"/>
        <v>1007.76</v>
      </c>
      <c r="AR297" s="129" t="s">
        <v>235</v>
      </c>
      <c r="AT297" s="129" t="s">
        <v>231</v>
      </c>
      <c r="AU297" s="129" t="s">
        <v>76</v>
      </c>
      <c r="AY297" s="13" t="s">
        <v>228</v>
      </c>
      <c r="BE297" s="130">
        <f t="shared" si="56"/>
        <v>0</v>
      </c>
      <c r="BF297" s="130">
        <f t="shared" si="57"/>
        <v>1007.76</v>
      </c>
      <c r="BG297" s="130">
        <f t="shared" si="58"/>
        <v>0</v>
      </c>
      <c r="BH297" s="130">
        <f t="shared" si="59"/>
        <v>0</v>
      </c>
      <c r="BI297" s="130">
        <f t="shared" si="60"/>
        <v>0</v>
      </c>
      <c r="BJ297" s="13" t="s">
        <v>76</v>
      </c>
      <c r="BK297" s="130">
        <f t="shared" si="61"/>
        <v>1007.76</v>
      </c>
      <c r="BL297" s="13" t="s">
        <v>235</v>
      </c>
      <c r="BM297" s="129" t="s">
        <v>763</v>
      </c>
    </row>
    <row r="298" spans="2:65" s="1" customFormat="1" ht="36" customHeight="1" x14ac:dyDescent="0.2">
      <c r="B298" s="118"/>
      <c r="C298" s="119" t="s">
        <v>764</v>
      </c>
      <c r="D298" s="119" t="s">
        <v>231</v>
      </c>
      <c r="E298" s="120" t="s">
        <v>4975</v>
      </c>
      <c r="F298" s="121" t="s">
        <v>4976</v>
      </c>
      <c r="G298" s="122" t="s">
        <v>292</v>
      </c>
      <c r="H298" s="123">
        <v>25</v>
      </c>
      <c r="I298" s="124">
        <v>21.3</v>
      </c>
      <c r="J298" s="124">
        <f t="shared" si="54"/>
        <v>532.5</v>
      </c>
      <c r="K298" s="121" t="s">
        <v>1</v>
      </c>
      <c r="L298" s="465"/>
      <c r="M298" s="125" t="s">
        <v>1</v>
      </c>
      <c r="N298" s="126" t="s">
        <v>32</v>
      </c>
      <c r="O298" s="127">
        <v>0</v>
      </c>
      <c r="P298" s="127">
        <f t="shared" si="62"/>
        <v>0</v>
      </c>
      <c r="Q298" s="127">
        <v>0</v>
      </c>
      <c r="R298" s="127">
        <f t="shared" si="63"/>
        <v>0</v>
      </c>
      <c r="S298" s="127">
        <v>0</v>
      </c>
      <c r="T298" s="128">
        <f t="shared" si="64"/>
        <v>0</v>
      </c>
      <c r="W298" s="199"/>
      <c r="X298" s="119" t="s">
        <v>764</v>
      </c>
      <c r="Y298" s="119" t="s">
        <v>231</v>
      </c>
      <c r="Z298" s="120" t="s">
        <v>4975</v>
      </c>
      <c r="AA298" s="121" t="s">
        <v>4976</v>
      </c>
      <c r="AB298" s="122" t="s">
        <v>292</v>
      </c>
      <c r="AC298" s="123">
        <v>25</v>
      </c>
      <c r="AD298" s="124">
        <v>21.3</v>
      </c>
      <c r="AE298" s="946">
        <f t="shared" si="55"/>
        <v>532.5</v>
      </c>
      <c r="AR298" s="129" t="s">
        <v>235</v>
      </c>
      <c r="AT298" s="129" t="s">
        <v>231</v>
      </c>
      <c r="AU298" s="129" t="s">
        <v>76</v>
      </c>
      <c r="AY298" s="13" t="s">
        <v>228</v>
      </c>
      <c r="BE298" s="130">
        <f t="shared" si="56"/>
        <v>0</v>
      </c>
      <c r="BF298" s="130">
        <f t="shared" si="57"/>
        <v>532.5</v>
      </c>
      <c r="BG298" s="130">
        <f t="shared" si="58"/>
        <v>0</v>
      </c>
      <c r="BH298" s="130">
        <f t="shared" si="59"/>
        <v>0</v>
      </c>
      <c r="BI298" s="130">
        <f t="shared" si="60"/>
        <v>0</v>
      </c>
      <c r="BJ298" s="13" t="s">
        <v>76</v>
      </c>
      <c r="BK298" s="130">
        <f t="shared" si="61"/>
        <v>532.5</v>
      </c>
      <c r="BL298" s="13" t="s">
        <v>235</v>
      </c>
      <c r="BM298" s="129" t="s">
        <v>767</v>
      </c>
    </row>
    <row r="299" spans="2:65" s="1" customFormat="1" ht="36" customHeight="1" x14ac:dyDescent="0.2">
      <c r="B299" s="118"/>
      <c r="C299" s="119" t="s">
        <v>497</v>
      </c>
      <c r="D299" s="119" t="s">
        <v>231</v>
      </c>
      <c r="E299" s="120" t="s">
        <v>4977</v>
      </c>
      <c r="F299" s="121" t="s">
        <v>4978</v>
      </c>
      <c r="G299" s="122" t="s">
        <v>292</v>
      </c>
      <c r="H299" s="123">
        <v>25</v>
      </c>
      <c r="I299" s="124">
        <v>31.14</v>
      </c>
      <c r="J299" s="124">
        <f t="shared" si="54"/>
        <v>778.5</v>
      </c>
      <c r="K299" s="121" t="s">
        <v>1</v>
      </c>
      <c r="L299" s="465"/>
      <c r="M299" s="125"/>
      <c r="N299" s="126"/>
      <c r="O299" s="127"/>
      <c r="P299" s="127"/>
      <c r="Q299" s="127"/>
      <c r="R299" s="127"/>
      <c r="S299" s="127"/>
      <c r="T299" s="128"/>
      <c r="W299" s="199"/>
      <c r="X299" s="119" t="s">
        <v>497</v>
      </c>
      <c r="Y299" s="119" t="s">
        <v>231</v>
      </c>
      <c r="Z299" s="120" t="s">
        <v>4977</v>
      </c>
      <c r="AA299" s="121" t="s">
        <v>4978</v>
      </c>
      <c r="AB299" s="122" t="s">
        <v>292</v>
      </c>
      <c r="AC299" s="123">
        <v>25</v>
      </c>
      <c r="AD299" s="124">
        <v>31.14</v>
      </c>
      <c r="AE299" s="946">
        <f t="shared" si="55"/>
        <v>778.5</v>
      </c>
      <c r="AR299" s="129" t="s">
        <v>235</v>
      </c>
      <c r="AT299" s="129" t="s">
        <v>231</v>
      </c>
      <c r="AU299" s="129" t="s">
        <v>76</v>
      </c>
      <c r="AY299" s="13" t="s">
        <v>228</v>
      </c>
      <c r="BE299" s="130">
        <f t="shared" si="56"/>
        <v>0</v>
      </c>
      <c r="BF299" s="130">
        <f t="shared" si="57"/>
        <v>0</v>
      </c>
      <c r="BG299" s="130">
        <f t="shared" si="58"/>
        <v>0</v>
      </c>
      <c r="BH299" s="130">
        <f t="shared" si="59"/>
        <v>0</v>
      </c>
      <c r="BI299" s="130">
        <f t="shared" si="60"/>
        <v>0</v>
      </c>
      <c r="BJ299" s="13" t="s">
        <v>76</v>
      </c>
      <c r="BK299" s="130">
        <f t="shared" si="61"/>
        <v>778.5</v>
      </c>
      <c r="BL299" s="13" t="s">
        <v>235</v>
      </c>
      <c r="BM299" s="129" t="s">
        <v>770</v>
      </c>
    </row>
    <row r="300" spans="2:65" s="1" customFormat="1" ht="36" customHeight="1" x14ac:dyDescent="0.2">
      <c r="B300" s="118"/>
      <c r="C300" s="119" t="s">
        <v>771</v>
      </c>
      <c r="D300" s="119" t="s">
        <v>231</v>
      </c>
      <c r="E300" s="120" t="s">
        <v>4979</v>
      </c>
      <c r="F300" s="121" t="s">
        <v>4980</v>
      </c>
      <c r="G300" s="122" t="s">
        <v>292</v>
      </c>
      <c r="H300" s="123">
        <v>40</v>
      </c>
      <c r="I300" s="124">
        <v>37.119999999999997</v>
      </c>
      <c r="J300" s="124">
        <f t="shared" si="54"/>
        <v>1484.8</v>
      </c>
      <c r="K300" s="121" t="s">
        <v>1</v>
      </c>
      <c r="L300" s="465"/>
      <c r="M300" s="125"/>
      <c r="N300" s="126"/>
      <c r="O300" s="127"/>
      <c r="P300" s="127"/>
      <c r="Q300" s="127"/>
      <c r="R300" s="127"/>
      <c r="S300" s="127"/>
      <c r="T300" s="128"/>
      <c r="W300" s="199"/>
      <c r="X300" s="119" t="s">
        <v>771</v>
      </c>
      <c r="Y300" s="119" t="s">
        <v>231</v>
      </c>
      <c r="Z300" s="120" t="s">
        <v>4979</v>
      </c>
      <c r="AA300" s="121" t="s">
        <v>4980</v>
      </c>
      <c r="AB300" s="122" t="s">
        <v>292</v>
      </c>
      <c r="AC300" s="123">
        <v>40</v>
      </c>
      <c r="AD300" s="124">
        <v>37.119999999999997</v>
      </c>
      <c r="AE300" s="946">
        <f t="shared" si="55"/>
        <v>1484.8</v>
      </c>
      <c r="AR300" s="129" t="s">
        <v>235</v>
      </c>
      <c r="AT300" s="129" t="s">
        <v>231</v>
      </c>
      <c r="AU300" s="129" t="s">
        <v>76</v>
      </c>
      <c r="AY300" s="13" t="s">
        <v>228</v>
      </c>
      <c r="BE300" s="130">
        <f t="shared" si="56"/>
        <v>0</v>
      </c>
      <c r="BF300" s="130">
        <f t="shared" si="57"/>
        <v>0</v>
      </c>
      <c r="BG300" s="130">
        <f t="shared" si="58"/>
        <v>0</v>
      </c>
      <c r="BH300" s="130">
        <f t="shared" si="59"/>
        <v>0</v>
      </c>
      <c r="BI300" s="130">
        <f t="shared" si="60"/>
        <v>0</v>
      </c>
      <c r="BJ300" s="13" t="s">
        <v>76</v>
      </c>
      <c r="BK300" s="130">
        <f t="shared" si="61"/>
        <v>1484.8</v>
      </c>
      <c r="BL300" s="13" t="s">
        <v>235</v>
      </c>
      <c r="BM300" s="129" t="s">
        <v>774</v>
      </c>
    </row>
    <row r="301" spans="2:65" s="1" customFormat="1" ht="36" customHeight="1" x14ac:dyDescent="0.2">
      <c r="B301" s="118"/>
      <c r="C301" s="119" t="s">
        <v>500</v>
      </c>
      <c r="D301" s="119" t="s">
        <v>231</v>
      </c>
      <c r="E301" s="120" t="s">
        <v>4981</v>
      </c>
      <c r="F301" s="121" t="s">
        <v>4982</v>
      </c>
      <c r="G301" s="122" t="s">
        <v>292</v>
      </c>
      <c r="H301" s="123">
        <v>84</v>
      </c>
      <c r="I301" s="124">
        <v>42.04</v>
      </c>
      <c r="J301" s="124">
        <f t="shared" si="54"/>
        <v>3531.36</v>
      </c>
      <c r="K301" s="121" t="s">
        <v>1</v>
      </c>
      <c r="L301" s="465"/>
      <c r="M301" s="125"/>
      <c r="N301" s="126"/>
      <c r="O301" s="127"/>
      <c r="P301" s="127"/>
      <c r="Q301" s="127"/>
      <c r="R301" s="127"/>
      <c r="S301" s="127"/>
      <c r="T301" s="128"/>
      <c r="W301" s="199"/>
      <c r="X301" s="119" t="s">
        <v>500</v>
      </c>
      <c r="Y301" s="119" t="s">
        <v>231</v>
      </c>
      <c r="Z301" s="120" t="s">
        <v>4981</v>
      </c>
      <c r="AA301" s="121" t="s">
        <v>4982</v>
      </c>
      <c r="AB301" s="122" t="s">
        <v>292</v>
      </c>
      <c r="AC301" s="123">
        <v>84</v>
      </c>
      <c r="AD301" s="124">
        <v>42.04</v>
      </c>
      <c r="AE301" s="946">
        <f t="shared" si="55"/>
        <v>3531.36</v>
      </c>
      <c r="AR301" s="129" t="s">
        <v>235</v>
      </c>
      <c r="AT301" s="129" t="s">
        <v>231</v>
      </c>
      <c r="AU301" s="129" t="s">
        <v>76</v>
      </c>
      <c r="AY301" s="13" t="s">
        <v>228</v>
      </c>
      <c r="BE301" s="130">
        <f t="shared" si="56"/>
        <v>0</v>
      </c>
      <c r="BF301" s="130">
        <f t="shared" si="57"/>
        <v>0</v>
      </c>
      <c r="BG301" s="130">
        <f t="shared" si="58"/>
        <v>0</v>
      </c>
      <c r="BH301" s="130">
        <f t="shared" si="59"/>
        <v>0</v>
      </c>
      <c r="BI301" s="130">
        <f t="shared" si="60"/>
        <v>0</v>
      </c>
      <c r="BJ301" s="13" t="s">
        <v>76</v>
      </c>
      <c r="BK301" s="130">
        <f t="shared" si="61"/>
        <v>3531.36</v>
      </c>
      <c r="BL301" s="13" t="s">
        <v>235</v>
      </c>
      <c r="BM301" s="129" t="s">
        <v>777</v>
      </c>
    </row>
    <row r="302" spans="2:65" s="1" customFormat="1" ht="36" customHeight="1" x14ac:dyDescent="0.2">
      <c r="B302" s="118"/>
      <c r="C302" s="119" t="s">
        <v>778</v>
      </c>
      <c r="D302" s="119" t="s">
        <v>231</v>
      </c>
      <c r="E302" s="120" t="s">
        <v>4983</v>
      </c>
      <c r="F302" s="121" t="s">
        <v>4984</v>
      </c>
      <c r="G302" s="122" t="s">
        <v>292</v>
      </c>
      <c r="H302" s="123">
        <v>23</v>
      </c>
      <c r="I302" s="124">
        <v>56.18</v>
      </c>
      <c r="J302" s="124">
        <f t="shared" si="54"/>
        <v>1292.1400000000001</v>
      </c>
      <c r="K302" s="121" t="s">
        <v>1</v>
      </c>
      <c r="L302" s="465"/>
      <c r="M302" s="125"/>
      <c r="N302" s="126"/>
      <c r="O302" s="127"/>
      <c r="P302" s="127"/>
      <c r="Q302" s="127"/>
      <c r="R302" s="127"/>
      <c r="S302" s="127"/>
      <c r="T302" s="128"/>
      <c r="W302" s="199"/>
      <c r="X302" s="119" t="s">
        <v>778</v>
      </c>
      <c r="Y302" s="119" t="s">
        <v>231</v>
      </c>
      <c r="Z302" s="120" t="s">
        <v>4983</v>
      </c>
      <c r="AA302" s="121" t="s">
        <v>4984</v>
      </c>
      <c r="AB302" s="122" t="s">
        <v>292</v>
      </c>
      <c r="AC302" s="123">
        <v>23</v>
      </c>
      <c r="AD302" s="124">
        <v>56.18</v>
      </c>
      <c r="AE302" s="946">
        <f t="shared" si="55"/>
        <v>1292.1400000000001</v>
      </c>
      <c r="AR302" s="129" t="s">
        <v>235</v>
      </c>
      <c r="AT302" s="129" t="s">
        <v>231</v>
      </c>
      <c r="AU302" s="129" t="s">
        <v>76</v>
      </c>
      <c r="AY302" s="13" t="s">
        <v>228</v>
      </c>
      <c r="BE302" s="130">
        <f t="shared" si="56"/>
        <v>0</v>
      </c>
      <c r="BF302" s="130">
        <f t="shared" si="57"/>
        <v>0</v>
      </c>
      <c r="BG302" s="130">
        <f t="shared" si="58"/>
        <v>0</v>
      </c>
      <c r="BH302" s="130">
        <f t="shared" si="59"/>
        <v>0</v>
      </c>
      <c r="BI302" s="130">
        <f t="shared" si="60"/>
        <v>0</v>
      </c>
      <c r="BJ302" s="13" t="s">
        <v>76</v>
      </c>
      <c r="BK302" s="130">
        <f t="shared" si="61"/>
        <v>1292.1400000000001</v>
      </c>
      <c r="BL302" s="13" t="s">
        <v>235</v>
      </c>
      <c r="BM302" s="129" t="s">
        <v>781</v>
      </c>
    </row>
    <row r="303" spans="2:65" s="1" customFormat="1" ht="36" customHeight="1" x14ac:dyDescent="0.2">
      <c r="B303" s="118"/>
      <c r="C303" s="119" t="s">
        <v>504</v>
      </c>
      <c r="D303" s="119" t="s">
        <v>231</v>
      </c>
      <c r="E303" s="120" t="s">
        <v>4985</v>
      </c>
      <c r="F303" s="121" t="s">
        <v>4986</v>
      </c>
      <c r="G303" s="122" t="s">
        <v>292</v>
      </c>
      <c r="H303" s="123">
        <v>26</v>
      </c>
      <c r="I303" s="124">
        <v>69.06</v>
      </c>
      <c r="J303" s="124">
        <f t="shared" si="54"/>
        <v>1795.56</v>
      </c>
      <c r="K303" s="121" t="s">
        <v>1</v>
      </c>
      <c r="L303" s="465"/>
      <c r="M303" s="125"/>
      <c r="N303" s="126"/>
      <c r="O303" s="127"/>
      <c r="P303" s="127"/>
      <c r="Q303" s="127"/>
      <c r="R303" s="127"/>
      <c r="S303" s="127"/>
      <c r="T303" s="128"/>
      <c r="W303" s="199"/>
      <c r="X303" s="119" t="s">
        <v>504</v>
      </c>
      <c r="Y303" s="119" t="s">
        <v>231</v>
      </c>
      <c r="Z303" s="120" t="s">
        <v>4985</v>
      </c>
      <c r="AA303" s="121" t="s">
        <v>4986</v>
      </c>
      <c r="AB303" s="122" t="s">
        <v>292</v>
      </c>
      <c r="AC303" s="123">
        <v>26</v>
      </c>
      <c r="AD303" s="124">
        <v>69.06</v>
      </c>
      <c r="AE303" s="946">
        <f t="shared" si="55"/>
        <v>1795.56</v>
      </c>
      <c r="AR303" s="129" t="s">
        <v>235</v>
      </c>
      <c r="AT303" s="129" t="s">
        <v>231</v>
      </c>
      <c r="AU303" s="129" t="s">
        <v>76</v>
      </c>
      <c r="AY303" s="13" t="s">
        <v>228</v>
      </c>
      <c r="BE303" s="130">
        <f t="shared" si="56"/>
        <v>0</v>
      </c>
      <c r="BF303" s="130">
        <f t="shared" si="57"/>
        <v>0</v>
      </c>
      <c r="BG303" s="130">
        <f t="shared" si="58"/>
        <v>0</v>
      </c>
      <c r="BH303" s="130">
        <f t="shared" si="59"/>
        <v>0</v>
      </c>
      <c r="BI303" s="130">
        <f t="shared" si="60"/>
        <v>0</v>
      </c>
      <c r="BJ303" s="13" t="s">
        <v>76</v>
      </c>
      <c r="BK303" s="130">
        <f t="shared" si="61"/>
        <v>1795.56</v>
      </c>
      <c r="BL303" s="13" t="s">
        <v>235</v>
      </c>
      <c r="BM303" s="129" t="s">
        <v>784</v>
      </c>
    </row>
    <row r="304" spans="2:65" s="1" customFormat="1" ht="24" customHeight="1" x14ac:dyDescent="0.2">
      <c r="B304" s="118"/>
      <c r="C304" s="119" t="s">
        <v>787</v>
      </c>
      <c r="D304" s="119" t="s">
        <v>231</v>
      </c>
      <c r="E304" s="120" t="s">
        <v>2713</v>
      </c>
      <c r="F304" s="121" t="s">
        <v>2714</v>
      </c>
      <c r="G304" s="122" t="s">
        <v>570</v>
      </c>
      <c r="H304" s="123">
        <v>1</v>
      </c>
      <c r="I304" s="124">
        <v>174.15</v>
      </c>
      <c r="J304" s="124">
        <f t="shared" si="54"/>
        <v>174.15</v>
      </c>
      <c r="K304" s="121" t="s">
        <v>1</v>
      </c>
      <c r="L304" s="465"/>
      <c r="M304" s="125"/>
      <c r="N304" s="126"/>
      <c r="O304" s="127"/>
      <c r="P304" s="127"/>
      <c r="Q304" s="127"/>
      <c r="R304" s="127"/>
      <c r="S304" s="127"/>
      <c r="T304" s="128"/>
      <c r="W304" s="199"/>
      <c r="X304" s="119" t="s">
        <v>787</v>
      </c>
      <c r="Y304" s="119" t="s">
        <v>231</v>
      </c>
      <c r="Z304" s="120" t="s">
        <v>2713</v>
      </c>
      <c r="AA304" s="121" t="s">
        <v>2714</v>
      </c>
      <c r="AB304" s="122" t="s">
        <v>570</v>
      </c>
      <c r="AC304" s="123">
        <v>1</v>
      </c>
      <c r="AD304" s="124">
        <v>174.15</v>
      </c>
      <c r="AE304" s="946">
        <f t="shared" si="55"/>
        <v>174.15</v>
      </c>
      <c r="AR304" s="129" t="s">
        <v>235</v>
      </c>
      <c r="AT304" s="129" t="s">
        <v>231</v>
      </c>
      <c r="AU304" s="129" t="s">
        <v>76</v>
      </c>
      <c r="AY304" s="13" t="s">
        <v>228</v>
      </c>
      <c r="BE304" s="130">
        <f t="shared" si="56"/>
        <v>0</v>
      </c>
      <c r="BF304" s="130">
        <f t="shared" si="57"/>
        <v>0</v>
      </c>
      <c r="BG304" s="130">
        <f t="shared" si="58"/>
        <v>0</v>
      </c>
      <c r="BH304" s="130">
        <f t="shared" si="59"/>
        <v>0</v>
      </c>
      <c r="BI304" s="130">
        <f t="shared" si="60"/>
        <v>0</v>
      </c>
      <c r="BJ304" s="13" t="s">
        <v>76</v>
      </c>
      <c r="BK304" s="130">
        <f t="shared" si="61"/>
        <v>174.15</v>
      </c>
      <c r="BL304" s="13" t="s">
        <v>235</v>
      </c>
      <c r="BM304" s="129" t="s">
        <v>790</v>
      </c>
    </row>
    <row r="305" spans="2:65" s="1" customFormat="1" ht="36" customHeight="1" x14ac:dyDescent="0.2">
      <c r="B305" s="118"/>
      <c r="C305" s="119" t="s">
        <v>507</v>
      </c>
      <c r="D305" s="119" t="s">
        <v>231</v>
      </c>
      <c r="E305" s="120" t="s">
        <v>4987</v>
      </c>
      <c r="F305" s="121" t="s">
        <v>4988</v>
      </c>
      <c r="G305" s="122" t="s">
        <v>284</v>
      </c>
      <c r="H305" s="123">
        <v>20</v>
      </c>
      <c r="I305" s="124">
        <v>17.38</v>
      </c>
      <c r="J305" s="124">
        <f t="shared" si="54"/>
        <v>347.6</v>
      </c>
      <c r="K305" s="121" t="s">
        <v>1</v>
      </c>
      <c r="L305" s="465"/>
      <c r="M305" s="125"/>
      <c r="N305" s="126"/>
      <c r="O305" s="127"/>
      <c r="P305" s="127"/>
      <c r="Q305" s="127"/>
      <c r="R305" s="127"/>
      <c r="S305" s="127"/>
      <c r="T305" s="128"/>
      <c r="W305" s="199"/>
      <c r="X305" s="119" t="s">
        <v>507</v>
      </c>
      <c r="Y305" s="119" t="s">
        <v>231</v>
      </c>
      <c r="Z305" s="120" t="s">
        <v>4987</v>
      </c>
      <c r="AA305" s="121" t="s">
        <v>4988</v>
      </c>
      <c r="AB305" s="122" t="s">
        <v>284</v>
      </c>
      <c r="AC305" s="123">
        <v>20</v>
      </c>
      <c r="AD305" s="124">
        <v>17.38</v>
      </c>
      <c r="AE305" s="946">
        <f t="shared" si="55"/>
        <v>347.6</v>
      </c>
      <c r="AR305" s="129" t="s">
        <v>235</v>
      </c>
      <c r="AT305" s="129" t="s">
        <v>231</v>
      </c>
      <c r="AU305" s="129" t="s">
        <v>76</v>
      </c>
      <c r="AY305" s="13" t="s">
        <v>228</v>
      </c>
      <c r="BE305" s="130">
        <f t="shared" si="56"/>
        <v>0</v>
      </c>
      <c r="BF305" s="130">
        <f t="shared" si="57"/>
        <v>0</v>
      </c>
      <c r="BG305" s="130">
        <f t="shared" si="58"/>
        <v>0</v>
      </c>
      <c r="BH305" s="130">
        <f t="shared" si="59"/>
        <v>0</v>
      </c>
      <c r="BI305" s="130">
        <f t="shared" si="60"/>
        <v>0</v>
      </c>
      <c r="BJ305" s="13" t="s">
        <v>76</v>
      </c>
      <c r="BK305" s="130">
        <f t="shared" si="61"/>
        <v>347.6</v>
      </c>
      <c r="BL305" s="13" t="s">
        <v>235</v>
      </c>
      <c r="BM305" s="129" t="s">
        <v>793</v>
      </c>
    </row>
    <row r="306" spans="2:65" s="1" customFormat="1" ht="16.5" customHeight="1" x14ac:dyDescent="0.2">
      <c r="B306" s="118"/>
      <c r="C306" s="119" t="s">
        <v>794</v>
      </c>
      <c r="D306" s="119" t="s">
        <v>231</v>
      </c>
      <c r="E306" s="120" t="s">
        <v>4989</v>
      </c>
      <c r="F306" s="121" t="s">
        <v>4990</v>
      </c>
      <c r="G306" s="122" t="s">
        <v>1194</v>
      </c>
      <c r="H306" s="123">
        <v>1</v>
      </c>
      <c r="I306" s="124">
        <v>348.3</v>
      </c>
      <c r="J306" s="124">
        <f t="shared" si="54"/>
        <v>348.3</v>
      </c>
      <c r="K306" s="121" t="s">
        <v>1</v>
      </c>
      <c r="L306" s="465"/>
      <c r="M306" s="140"/>
      <c r="N306" s="141"/>
      <c r="O306" s="142"/>
      <c r="P306" s="142"/>
      <c r="Q306" s="142"/>
      <c r="R306" s="142"/>
      <c r="S306" s="142"/>
      <c r="T306" s="143"/>
      <c r="W306" s="199"/>
      <c r="X306" s="119" t="s">
        <v>794</v>
      </c>
      <c r="Y306" s="119" t="s">
        <v>231</v>
      </c>
      <c r="Z306" s="120" t="s">
        <v>4989</v>
      </c>
      <c r="AA306" s="121" t="s">
        <v>4990</v>
      </c>
      <c r="AB306" s="122" t="s">
        <v>1194</v>
      </c>
      <c r="AC306" s="123">
        <v>1</v>
      </c>
      <c r="AD306" s="124">
        <v>348.3</v>
      </c>
      <c r="AE306" s="200">
        <f t="shared" si="55"/>
        <v>348.3</v>
      </c>
      <c r="AR306" s="129" t="s">
        <v>235</v>
      </c>
      <c r="AT306" s="129" t="s">
        <v>231</v>
      </c>
      <c r="AU306" s="129" t="s">
        <v>76</v>
      </c>
      <c r="AY306" s="13" t="s">
        <v>228</v>
      </c>
      <c r="BE306" s="130">
        <f t="shared" si="56"/>
        <v>0</v>
      </c>
      <c r="BF306" s="130">
        <f t="shared" si="57"/>
        <v>0</v>
      </c>
      <c r="BG306" s="130">
        <f t="shared" si="58"/>
        <v>0</v>
      </c>
      <c r="BH306" s="130">
        <f t="shared" si="59"/>
        <v>0</v>
      </c>
      <c r="BI306" s="130">
        <f t="shared" si="60"/>
        <v>0</v>
      </c>
      <c r="BJ306" s="13" t="s">
        <v>76</v>
      </c>
      <c r="BK306" s="130">
        <f t="shared" si="61"/>
        <v>348.3</v>
      </c>
      <c r="BL306" s="13" t="s">
        <v>235</v>
      </c>
      <c r="BM306" s="129" t="s">
        <v>797</v>
      </c>
    </row>
    <row r="307" spans="2:65" s="1" customFormat="1" ht="7.05" customHeight="1" x14ac:dyDescent="0.2">
      <c r="B307" s="33"/>
      <c r="C307" s="34"/>
      <c r="D307" s="34"/>
      <c r="E307" s="34"/>
      <c r="F307" s="34"/>
      <c r="G307" s="34"/>
      <c r="H307" s="34"/>
      <c r="I307" s="34"/>
      <c r="J307" s="34"/>
      <c r="K307" s="34"/>
      <c r="L307" s="24"/>
      <c r="W307" s="175"/>
      <c r="X307" s="176"/>
      <c r="Y307" s="176"/>
      <c r="Z307" s="176"/>
      <c r="AA307" s="176"/>
      <c r="AB307" s="176"/>
      <c r="AC307" s="176"/>
      <c r="AD307" s="176"/>
      <c r="AE307" s="177"/>
    </row>
  </sheetData>
  <autoFilter ref="C127:K306" xr:uid="{00000000-0009-0000-0000-000028000000}"/>
  <mergeCells count="40">
    <mergeCell ref="C285:J285"/>
    <mergeCell ref="C149:J149"/>
    <mergeCell ref="C152:J152"/>
    <mergeCell ref="C154:J154"/>
    <mergeCell ref="C181:J181"/>
    <mergeCell ref="C283:J283"/>
    <mergeCell ref="C137:J137"/>
    <mergeCell ref="C140:J140"/>
    <mergeCell ref="C133:J133"/>
    <mergeCell ref="C144:J144"/>
    <mergeCell ref="C146:J146"/>
    <mergeCell ref="C135:J135"/>
    <mergeCell ref="Z85:AC85"/>
    <mergeCell ref="Z87:AC87"/>
    <mergeCell ref="Z118:AC118"/>
    <mergeCell ref="Z120:AC120"/>
    <mergeCell ref="C132:J132"/>
    <mergeCell ref="E85:H85"/>
    <mergeCell ref="E87:H87"/>
    <mergeCell ref="E118:H118"/>
    <mergeCell ref="E120:H120"/>
    <mergeCell ref="W115:AE115"/>
    <mergeCell ref="Z117:AE117"/>
    <mergeCell ref="C115:J115"/>
    <mergeCell ref="E117:J117"/>
    <mergeCell ref="L2:V2"/>
    <mergeCell ref="E9:H9"/>
    <mergeCell ref="E18:H18"/>
    <mergeCell ref="E27:H27"/>
    <mergeCell ref="C4:J4"/>
    <mergeCell ref="F6:J7"/>
    <mergeCell ref="X4:AE4"/>
    <mergeCell ref="AA6:AE7"/>
    <mergeCell ref="X82:AE82"/>
    <mergeCell ref="Z84:AE84"/>
    <mergeCell ref="C82:J82"/>
    <mergeCell ref="E84:J84"/>
    <mergeCell ref="Z9:AC9"/>
    <mergeCell ref="Z18:AC18"/>
    <mergeCell ref="Z27:AC27"/>
  </mergeCells>
  <pageMargins left="0.39370078740157483" right="0.39370078740157483" top="0.39370078740157483" bottom="0.39370078740157483" header="0" footer="0"/>
  <pageSetup paperSize="9" scale="89" fitToHeight="100" orientation="portrait" r:id="rId1"/>
  <headerFooter>
    <oddFooter>&amp;CStrana &amp;P z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BM434"/>
  <sheetViews>
    <sheetView showGridLines="0" topLeftCell="A94" zoomScale="111" zoomScaleNormal="25" workbookViewId="0">
      <selection activeCell="J98" sqref="J98:J106"/>
    </sheetView>
  </sheetViews>
  <sheetFormatPr defaultColWidth="8.7109375" defaultRowHeight="10.199999999999999" x14ac:dyDescent="0.2"/>
  <cols>
    <col min="1" max="1" width="8.28515625" customWidth="1"/>
    <col min="2" max="2" width="1.7109375" customWidth="1"/>
    <col min="3" max="4" width="4.28515625" customWidth="1"/>
    <col min="5" max="5" width="17.28515625" customWidth="1"/>
    <col min="6" max="6" width="50.7109375" customWidth="1"/>
    <col min="7" max="7" width="7" customWidth="1"/>
    <col min="8" max="8" width="11.42578125" customWidth="1"/>
    <col min="9" max="10" width="20.28515625" customWidth="1"/>
    <col min="11" max="11" width="20.28515625" hidden="1" customWidth="1"/>
    <col min="12" max="12" width="9.28515625" customWidth="1"/>
    <col min="13" max="13" width="10.7109375" hidden="1" customWidth="1"/>
    <col min="14" max="14" width="9.28515625" hidden="1"/>
    <col min="15" max="20" width="14.28515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1" spans="1:46" x14ac:dyDescent="0.2">
      <c r="A1" s="73"/>
    </row>
    <row r="2" spans="1:46" ht="37.049999999999997" customHeight="1" x14ac:dyDescent="0.2">
      <c r="L2" s="1227" t="s">
        <v>5</v>
      </c>
      <c r="M2" s="1225"/>
      <c r="N2" s="1225"/>
      <c r="O2" s="1225"/>
      <c r="P2" s="1225"/>
      <c r="Q2" s="1225"/>
      <c r="R2" s="1225"/>
      <c r="S2" s="1225"/>
      <c r="T2" s="1225"/>
      <c r="U2" s="1225"/>
      <c r="V2" s="1225"/>
      <c r="AT2" s="13" t="s">
        <v>181</v>
      </c>
    </row>
    <row r="3" spans="1:46" ht="7.05" customHeight="1" x14ac:dyDescent="0.2">
      <c r="B3" s="14"/>
      <c r="C3" s="15"/>
      <c r="D3" s="15"/>
      <c r="E3" s="15"/>
      <c r="F3" s="15"/>
      <c r="G3" s="15"/>
      <c r="H3" s="15"/>
      <c r="I3" s="15"/>
      <c r="J3" s="15"/>
      <c r="K3" s="15"/>
      <c r="L3" s="16"/>
      <c r="AT3" s="13" t="s">
        <v>58</v>
      </c>
    </row>
    <row r="4" spans="1:46" ht="25.05" customHeight="1" x14ac:dyDescent="0.2">
      <c r="B4" s="16"/>
      <c r="C4" s="1165" t="s">
        <v>185</v>
      </c>
      <c r="D4" s="1165"/>
      <c r="E4" s="1165"/>
      <c r="F4" s="1165"/>
      <c r="G4" s="1165"/>
      <c r="H4" s="1165"/>
      <c r="I4" s="1165"/>
      <c r="J4" s="1165"/>
      <c r="L4" s="16"/>
      <c r="M4" s="74" t="s">
        <v>9</v>
      </c>
      <c r="AT4" s="13" t="s">
        <v>3</v>
      </c>
    </row>
    <row r="5" spans="1:46" ht="7.05" customHeight="1" x14ac:dyDescent="0.2">
      <c r="B5" s="16"/>
      <c r="L5" s="16"/>
    </row>
    <row r="6" spans="1:46" ht="12" customHeight="1" x14ac:dyDescent="0.2">
      <c r="B6" s="16"/>
      <c r="D6" s="548" t="s">
        <v>12</v>
      </c>
      <c r="F6" s="1254" t="s">
        <v>6176</v>
      </c>
      <c r="G6" s="1254"/>
      <c r="H6" s="1254"/>
      <c r="I6" s="1254"/>
      <c r="J6" s="1254"/>
      <c r="L6" s="16"/>
    </row>
    <row r="7" spans="1:46" ht="22.95" customHeight="1" x14ac:dyDescent="0.2">
      <c r="B7" s="16"/>
      <c r="D7" s="527"/>
      <c r="E7" s="531"/>
      <c r="F7" s="1254"/>
      <c r="G7" s="1254"/>
      <c r="H7" s="1254"/>
      <c r="I7" s="1254"/>
      <c r="J7" s="1254"/>
      <c r="L7" s="16"/>
    </row>
    <row r="8" spans="1:46" s="1" customFormat="1" ht="12" customHeight="1" x14ac:dyDescent="0.2">
      <c r="B8" s="24"/>
      <c r="D8" s="549" t="s">
        <v>186</v>
      </c>
      <c r="F8" s="532" t="s">
        <v>4991</v>
      </c>
      <c r="L8" s="24"/>
    </row>
    <row r="9" spans="1:46" s="1" customFormat="1" ht="37.049999999999997" customHeight="1" x14ac:dyDescent="0.2">
      <c r="B9" s="24"/>
      <c r="D9" s="521"/>
      <c r="E9" s="1251"/>
      <c r="F9" s="1252"/>
      <c r="G9" s="1252"/>
      <c r="H9" s="1252"/>
      <c r="L9" s="24"/>
    </row>
    <row r="10" spans="1:46" s="1" customFormat="1" x14ac:dyDescent="0.2">
      <c r="B10" s="24"/>
      <c r="D10" s="521"/>
      <c r="L10" s="24"/>
    </row>
    <row r="11" spans="1:46" s="1" customFormat="1" ht="12" customHeight="1" x14ac:dyDescent="0.2">
      <c r="B11" s="24"/>
      <c r="D11" s="528" t="s">
        <v>13</v>
      </c>
      <c r="F11" s="19" t="s">
        <v>1</v>
      </c>
      <c r="I11" s="528" t="s">
        <v>14</v>
      </c>
      <c r="J11" s="19" t="s">
        <v>1</v>
      </c>
      <c r="L11" s="24"/>
    </row>
    <row r="12" spans="1:46" s="1" customFormat="1" ht="12" customHeight="1" x14ac:dyDescent="0.2">
      <c r="B12" s="24"/>
      <c r="D12" s="528" t="s">
        <v>15</v>
      </c>
      <c r="F12" s="520" t="s">
        <v>6173</v>
      </c>
      <c r="I12" s="528" t="s">
        <v>17</v>
      </c>
      <c r="J12" s="39"/>
      <c r="L12" s="24"/>
    </row>
    <row r="13" spans="1:46" s="1" customFormat="1" ht="10.95" customHeight="1" x14ac:dyDescent="0.2">
      <c r="B13" s="24"/>
      <c r="D13" s="521"/>
      <c r="F13" s="521"/>
      <c r="I13" s="521"/>
      <c r="L13" s="24"/>
    </row>
    <row r="14" spans="1:46" s="1" customFormat="1" ht="12" customHeight="1" x14ac:dyDescent="0.2">
      <c r="B14" s="24"/>
      <c r="D14" s="528" t="s">
        <v>18</v>
      </c>
      <c r="F14" s="529" t="s">
        <v>6175</v>
      </c>
      <c r="I14" s="528" t="s">
        <v>19</v>
      </c>
      <c r="J14" s="19" t="str">
        <f>IF('Rekapitulácia stavby'!AN10="","",'Rekapitulácia stavby'!AN10)</f>
        <v/>
      </c>
      <c r="L14" s="24"/>
    </row>
    <row r="15" spans="1:46" s="1" customFormat="1" ht="18" customHeight="1" x14ac:dyDescent="0.2">
      <c r="B15" s="24"/>
      <c r="D15" s="521"/>
      <c r="E15" s="19" t="str">
        <f>IF('Rekapitulácia stavby'!E11="","",'Rekapitulácia stavby'!E11)</f>
        <v/>
      </c>
      <c r="F15" s="521"/>
      <c r="I15" s="528" t="s">
        <v>20</v>
      </c>
      <c r="J15" s="19" t="str">
        <f>IF('Rekapitulácia stavby'!AN11="","",'Rekapitulácia stavby'!AN11)</f>
        <v/>
      </c>
      <c r="L15" s="24"/>
    </row>
    <row r="16" spans="1:46" s="1" customFormat="1" ht="7.05" customHeight="1" x14ac:dyDescent="0.2">
      <c r="B16" s="24"/>
      <c r="D16" s="521"/>
      <c r="F16" s="521"/>
      <c r="I16" s="521"/>
      <c r="L16" s="24"/>
    </row>
    <row r="17" spans="2:12" s="1" customFormat="1" ht="12" customHeight="1" x14ac:dyDescent="0.2">
      <c r="B17" s="24"/>
      <c r="D17" s="528" t="s">
        <v>21</v>
      </c>
      <c r="F17" s="529" t="s">
        <v>5202</v>
      </c>
      <c r="I17" s="528" t="s">
        <v>19</v>
      </c>
      <c r="J17" s="19"/>
      <c r="L17" s="24"/>
    </row>
    <row r="18" spans="2:12" s="1" customFormat="1" ht="18" customHeight="1" x14ac:dyDescent="0.2">
      <c r="B18" s="24"/>
      <c r="D18" s="521"/>
      <c r="E18" s="1161"/>
      <c r="F18" s="1161"/>
      <c r="G18" s="1161"/>
      <c r="H18" s="1161"/>
      <c r="I18" s="528" t="s">
        <v>20</v>
      </c>
      <c r="J18" s="19" t="str">
        <f>'Rekapitulácia stavby'!AN14</f>
        <v/>
      </c>
      <c r="L18" s="24"/>
    </row>
    <row r="19" spans="2:12" s="1" customFormat="1" ht="7.05" customHeight="1" x14ac:dyDescent="0.2">
      <c r="B19" s="24"/>
      <c r="D19" s="521"/>
      <c r="I19" s="521"/>
      <c r="L19" s="24"/>
    </row>
    <row r="20" spans="2:12" s="1" customFormat="1" ht="12" customHeight="1" x14ac:dyDescent="0.2">
      <c r="B20" s="24"/>
      <c r="D20" s="528" t="s">
        <v>22</v>
      </c>
      <c r="I20" s="528" t="s">
        <v>19</v>
      </c>
      <c r="J20" s="19" t="str">
        <f>IF('Rekapitulácia stavby'!AN16="","",'Rekapitulácia stavby'!AN16)</f>
        <v/>
      </c>
      <c r="L20" s="24"/>
    </row>
    <row r="21" spans="2:12" s="1" customFormat="1" ht="18" customHeight="1" x14ac:dyDescent="0.2">
      <c r="B21" s="24"/>
      <c r="D21" s="521"/>
      <c r="E21" s="19" t="str">
        <f>IF('Rekapitulácia stavby'!E17="","",'Rekapitulácia stavby'!E17)</f>
        <v xml:space="preserve"> </v>
      </c>
      <c r="I21" s="528" t="s">
        <v>20</v>
      </c>
      <c r="J21" s="19" t="str">
        <f>IF('Rekapitulácia stavby'!AN17="","",'Rekapitulácia stavby'!AN17)</f>
        <v/>
      </c>
      <c r="L21" s="24"/>
    </row>
    <row r="22" spans="2:12" s="1" customFormat="1" ht="7.05" customHeight="1" x14ac:dyDescent="0.2">
      <c r="B22" s="24"/>
      <c r="D22" s="521"/>
      <c r="I22" s="521"/>
      <c r="L22" s="24"/>
    </row>
    <row r="23" spans="2:12" s="1" customFormat="1" ht="12" customHeight="1" x14ac:dyDescent="0.2">
      <c r="B23" s="24"/>
      <c r="D23" s="528" t="s">
        <v>24</v>
      </c>
      <c r="I23" s="528" t="s">
        <v>19</v>
      </c>
      <c r="J23" s="19" t="str">
        <f>IF('Rekapitulácia stavby'!AN19="","",'Rekapitulácia stavby'!AN19)</f>
        <v/>
      </c>
      <c r="L23" s="24"/>
    </row>
    <row r="24" spans="2:12" s="1" customFormat="1" ht="18" customHeight="1" x14ac:dyDescent="0.2">
      <c r="B24" s="24"/>
      <c r="D24" s="521"/>
      <c r="E24" s="19" t="str">
        <f>IF('Rekapitulácia stavby'!E20="","",'Rekapitulácia stavby'!E20)</f>
        <v xml:space="preserve"> </v>
      </c>
      <c r="I24" s="528" t="s">
        <v>20</v>
      </c>
      <c r="J24" s="19" t="str">
        <f>IF('Rekapitulácia stavby'!AN20="","",'Rekapitulácia stavby'!AN20)</f>
        <v/>
      </c>
      <c r="L24" s="24"/>
    </row>
    <row r="25" spans="2:12" s="1" customFormat="1" ht="7.05" customHeight="1" x14ac:dyDescent="0.2">
      <c r="B25" s="24"/>
      <c r="D25" s="521"/>
      <c r="L25" s="24"/>
    </row>
    <row r="26" spans="2:12" s="1" customFormat="1" ht="12" customHeight="1" x14ac:dyDescent="0.2">
      <c r="B26" s="24"/>
      <c r="D26" s="528" t="s">
        <v>25</v>
      </c>
      <c r="L26" s="24"/>
    </row>
    <row r="27" spans="2:12" s="7" customFormat="1" ht="16.5" customHeight="1" x14ac:dyDescent="0.2">
      <c r="B27" s="75"/>
      <c r="E27" s="1228" t="s">
        <v>1</v>
      </c>
      <c r="F27" s="1228"/>
      <c r="G27" s="1228"/>
      <c r="H27" s="1228"/>
      <c r="L27" s="75"/>
    </row>
    <row r="28" spans="2:12" s="1" customFormat="1" ht="7.05" customHeight="1" x14ac:dyDescent="0.2">
      <c r="B28" s="24"/>
      <c r="L28" s="24"/>
    </row>
    <row r="29" spans="2:12" s="1" customFormat="1" ht="7.05" customHeight="1" x14ac:dyDescent="0.2">
      <c r="B29" s="24"/>
      <c r="D29" s="40"/>
      <c r="E29" s="40"/>
      <c r="F29" s="40"/>
      <c r="G29" s="40"/>
      <c r="H29" s="40"/>
      <c r="I29" s="40"/>
      <c r="J29" s="40"/>
      <c r="K29" s="40"/>
      <c r="L29" s="24"/>
    </row>
    <row r="30" spans="2:12" s="1" customFormat="1" ht="25.2" customHeight="1" x14ac:dyDescent="0.2">
      <c r="B30" s="24"/>
      <c r="D30" s="76" t="s">
        <v>26</v>
      </c>
      <c r="J30" s="53">
        <f>ROUND(J144, 2)</f>
        <v>124843.55</v>
      </c>
      <c r="L30" s="24"/>
    </row>
    <row r="31" spans="2:12" s="1" customFormat="1" ht="7.05" customHeight="1" x14ac:dyDescent="0.2">
      <c r="B31" s="24"/>
      <c r="D31" s="40"/>
      <c r="E31" s="40"/>
      <c r="F31" s="40"/>
      <c r="G31" s="40"/>
      <c r="H31" s="40"/>
      <c r="I31" s="40"/>
      <c r="J31" s="40"/>
      <c r="K31" s="40"/>
      <c r="L31" s="24"/>
    </row>
    <row r="32" spans="2:12" s="1" customFormat="1" ht="14.55" customHeight="1" x14ac:dyDescent="0.2">
      <c r="B32" s="24"/>
      <c r="D32" s="521"/>
      <c r="E32" s="521"/>
      <c r="F32" s="534" t="s">
        <v>28</v>
      </c>
      <c r="G32" s="521"/>
      <c r="H32" s="521"/>
      <c r="I32" s="534" t="s">
        <v>27</v>
      </c>
      <c r="J32" s="534" t="s">
        <v>29</v>
      </c>
      <c r="L32" s="24"/>
    </row>
    <row r="33" spans="2:12" s="1" customFormat="1" ht="14.55" customHeight="1" x14ac:dyDescent="0.2">
      <c r="B33" s="24"/>
      <c r="D33" s="13" t="s">
        <v>30</v>
      </c>
      <c r="E33" s="528" t="s">
        <v>31</v>
      </c>
      <c r="F33" s="398">
        <f>ROUND((SUM(BE144:BE433)),  2)</f>
        <v>0</v>
      </c>
      <c r="G33" s="521"/>
      <c r="H33" s="521"/>
      <c r="I33" s="535">
        <v>0.2</v>
      </c>
      <c r="J33" s="398">
        <f>ROUND(((SUM(BE144:BE433))*I33),  2)</f>
        <v>0</v>
      </c>
      <c r="L33" s="24"/>
    </row>
    <row r="34" spans="2:12" s="1" customFormat="1" ht="14.55" customHeight="1" x14ac:dyDescent="0.2">
      <c r="B34" s="24"/>
      <c r="D34" s="521"/>
      <c r="E34" s="528" t="s">
        <v>32</v>
      </c>
      <c r="F34" s="398">
        <f>ROUND((SUM(BF144:BF433)),  2)</f>
        <v>124843.55</v>
      </c>
      <c r="G34" s="521"/>
      <c r="H34" s="521"/>
      <c r="I34" s="535">
        <v>0.2</v>
      </c>
      <c r="J34" s="398">
        <f>ROUND(((SUM(BF144:BF433))*I34),  2)</f>
        <v>24968.71</v>
      </c>
      <c r="L34" s="24"/>
    </row>
    <row r="35" spans="2:12" s="1" customFormat="1" ht="14.55" hidden="1" customHeight="1" x14ac:dyDescent="0.2">
      <c r="B35" s="24"/>
      <c r="E35" s="21" t="s">
        <v>33</v>
      </c>
      <c r="F35" s="78">
        <f>ROUND((SUM(BG144:BG433)),  2)</f>
        <v>0</v>
      </c>
      <c r="I35" s="79">
        <v>0.2</v>
      </c>
      <c r="J35" s="78">
        <f>0</f>
        <v>0</v>
      </c>
      <c r="L35" s="24"/>
    </row>
    <row r="36" spans="2:12" s="1" customFormat="1" ht="14.55" hidden="1" customHeight="1" x14ac:dyDescent="0.2">
      <c r="B36" s="24"/>
      <c r="E36" s="21" t="s">
        <v>34</v>
      </c>
      <c r="F36" s="78">
        <f>ROUND((SUM(BH144:BH433)),  2)</f>
        <v>0</v>
      </c>
      <c r="I36" s="79">
        <v>0.2</v>
      </c>
      <c r="J36" s="78">
        <f>0</f>
        <v>0</v>
      </c>
      <c r="L36" s="24"/>
    </row>
    <row r="37" spans="2:12" s="1" customFormat="1" ht="14.55" hidden="1" customHeight="1" x14ac:dyDescent="0.2">
      <c r="B37" s="24"/>
      <c r="E37" s="21" t="s">
        <v>35</v>
      </c>
      <c r="F37" s="78">
        <f>ROUND((SUM(BI144:BI433)),  2)</f>
        <v>0</v>
      </c>
      <c r="I37" s="79">
        <v>0</v>
      </c>
      <c r="J37" s="78">
        <f>0</f>
        <v>0</v>
      </c>
      <c r="L37" s="24"/>
    </row>
    <row r="38" spans="2:12" s="1" customFormat="1" ht="7.05" customHeight="1" x14ac:dyDescent="0.2">
      <c r="B38" s="24"/>
      <c r="L38" s="24"/>
    </row>
    <row r="39" spans="2:12" s="1" customFormat="1" ht="25.2" customHeight="1" x14ac:dyDescent="0.2">
      <c r="B39" s="24"/>
      <c r="C39" s="80"/>
      <c r="D39" s="81" t="s">
        <v>36</v>
      </c>
      <c r="E39" s="44"/>
      <c r="F39" s="44"/>
      <c r="G39" s="82" t="s">
        <v>37</v>
      </c>
      <c r="H39" s="83" t="s">
        <v>38</v>
      </c>
      <c r="I39" s="44"/>
      <c r="J39" s="84">
        <f>SUM(J30:J37)</f>
        <v>149812.26</v>
      </c>
      <c r="K39" s="85"/>
      <c r="L39" s="24"/>
    </row>
    <row r="40" spans="2:12" s="1" customFormat="1" ht="14.55" customHeight="1" x14ac:dyDescent="0.2">
      <c r="B40" s="24"/>
      <c r="L40" s="24"/>
    </row>
    <row r="41" spans="2:12" ht="14.55" customHeight="1" x14ac:dyDescent="0.2">
      <c r="B41" s="16"/>
      <c r="L41" s="16"/>
    </row>
    <row r="42" spans="2:12" ht="14.55" customHeight="1" x14ac:dyDescent="0.2">
      <c r="B42" s="16"/>
      <c r="L42" s="16"/>
    </row>
    <row r="43" spans="2:12" ht="14.55" customHeight="1" x14ac:dyDescent="0.2">
      <c r="B43" s="16"/>
      <c r="L43" s="16"/>
    </row>
    <row r="44" spans="2:12" ht="14.55" customHeight="1" x14ac:dyDescent="0.2">
      <c r="B44" s="16"/>
      <c r="L44" s="16"/>
    </row>
    <row r="45" spans="2:12" ht="14.55" customHeight="1" x14ac:dyDescent="0.2">
      <c r="B45" s="16"/>
      <c r="L45" s="16"/>
    </row>
    <row r="46" spans="2:12" ht="14.55" customHeight="1" x14ac:dyDescent="0.2">
      <c r="B46" s="16"/>
      <c r="L46" s="16"/>
    </row>
    <row r="47" spans="2:12" ht="14.55" customHeight="1" x14ac:dyDescent="0.2">
      <c r="B47" s="16"/>
      <c r="L47" s="16"/>
    </row>
    <row r="48" spans="2:12" ht="14.55" customHeight="1" x14ac:dyDescent="0.2">
      <c r="B48" s="16"/>
      <c r="L48" s="16"/>
    </row>
    <row r="49" spans="2:12" ht="14.55" customHeight="1" x14ac:dyDescent="0.2">
      <c r="B49" s="16"/>
      <c r="D49" s="156"/>
      <c r="E49" s="156"/>
      <c r="F49" s="156"/>
      <c r="G49" s="156"/>
      <c r="H49" s="156"/>
      <c r="I49" s="156"/>
      <c r="J49" s="156"/>
      <c r="L49" s="16"/>
    </row>
    <row r="50" spans="2:12" s="1" customFormat="1" ht="14.55" customHeight="1" x14ac:dyDescent="0.2">
      <c r="B50" s="24"/>
      <c r="D50" s="530"/>
      <c r="E50" s="523"/>
      <c r="F50" s="523"/>
      <c r="G50" s="530"/>
      <c r="H50" s="523"/>
      <c r="I50" s="523"/>
      <c r="J50" s="523"/>
      <c r="K50" s="32"/>
      <c r="L50" s="24"/>
    </row>
    <row r="51" spans="2:12" x14ac:dyDescent="0.2">
      <c r="B51" s="16"/>
      <c r="D51" s="156"/>
      <c r="E51" s="156"/>
      <c r="F51" s="156"/>
      <c r="G51" s="156"/>
      <c r="H51" s="156"/>
      <c r="I51" s="156"/>
      <c r="J51" s="156"/>
      <c r="L51" s="16"/>
    </row>
    <row r="52" spans="2:12" x14ac:dyDescent="0.2">
      <c r="B52" s="16"/>
      <c r="D52" s="156"/>
      <c r="E52" s="156"/>
      <c r="F52" s="156"/>
      <c r="G52" s="156"/>
      <c r="H52" s="156"/>
      <c r="I52" s="156"/>
      <c r="J52" s="156"/>
      <c r="L52" s="16"/>
    </row>
    <row r="53" spans="2:12" x14ac:dyDescent="0.2">
      <c r="B53" s="16"/>
      <c r="D53" s="156"/>
      <c r="E53" s="156"/>
      <c r="F53" s="156"/>
      <c r="G53" s="156"/>
      <c r="H53" s="156"/>
      <c r="I53" s="156"/>
      <c r="J53" s="156"/>
      <c r="L53" s="16"/>
    </row>
    <row r="54" spans="2:12" x14ac:dyDescent="0.2">
      <c r="B54" s="16"/>
      <c r="D54" s="156"/>
      <c r="E54" s="156"/>
      <c r="F54" s="156"/>
      <c r="G54" s="156"/>
      <c r="H54" s="156"/>
      <c r="I54" s="156"/>
      <c r="J54" s="156"/>
      <c r="L54" s="16"/>
    </row>
    <row r="55" spans="2:12" x14ac:dyDescent="0.2">
      <c r="B55" s="16"/>
      <c r="D55" s="156"/>
      <c r="E55" s="156"/>
      <c r="F55" s="156"/>
      <c r="G55" s="156"/>
      <c r="H55" s="156"/>
      <c r="I55" s="156"/>
      <c r="J55" s="156"/>
      <c r="L55" s="16"/>
    </row>
    <row r="56" spans="2:12" x14ac:dyDescent="0.2">
      <c r="B56" s="16"/>
      <c r="D56" s="156"/>
      <c r="E56" s="156"/>
      <c r="F56" s="156"/>
      <c r="G56" s="156"/>
      <c r="H56" s="156"/>
      <c r="I56" s="156"/>
      <c r="J56" s="156"/>
      <c r="L56" s="16"/>
    </row>
    <row r="57" spans="2:12" x14ac:dyDescent="0.2">
      <c r="B57" s="16"/>
      <c r="D57" s="156"/>
      <c r="E57" s="156"/>
      <c r="F57" s="156"/>
      <c r="G57" s="156"/>
      <c r="H57" s="156"/>
      <c r="I57" s="156"/>
      <c r="J57" s="156"/>
      <c r="L57" s="16"/>
    </row>
    <row r="58" spans="2:12" x14ac:dyDescent="0.2">
      <c r="B58" s="16"/>
      <c r="D58" s="156"/>
      <c r="E58" s="156"/>
      <c r="F58" s="156"/>
      <c r="G58" s="156"/>
      <c r="H58" s="156"/>
      <c r="I58" s="156"/>
      <c r="J58" s="156"/>
      <c r="L58" s="16"/>
    </row>
    <row r="59" spans="2:12" x14ac:dyDescent="0.2">
      <c r="B59" s="16"/>
      <c r="D59" s="156"/>
      <c r="E59" s="156"/>
      <c r="F59" s="156"/>
      <c r="G59" s="156"/>
      <c r="H59" s="156"/>
      <c r="I59" s="156"/>
      <c r="J59" s="156"/>
      <c r="L59" s="16"/>
    </row>
    <row r="60" spans="2:12" x14ac:dyDescent="0.2">
      <c r="B60" s="16"/>
      <c r="D60" s="156"/>
      <c r="E60" s="156"/>
      <c r="F60" s="156"/>
      <c r="G60" s="156"/>
      <c r="H60" s="156"/>
      <c r="I60" s="156"/>
      <c r="J60" s="156"/>
      <c r="L60" s="16"/>
    </row>
    <row r="61" spans="2:12" s="1" customFormat="1" ht="13.2" x14ac:dyDescent="0.2">
      <c r="B61" s="24"/>
      <c r="D61" s="522"/>
      <c r="E61" s="523"/>
      <c r="F61" s="536"/>
      <c r="G61" s="522"/>
      <c r="H61" s="523"/>
      <c r="I61" s="523"/>
      <c r="J61" s="169"/>
      <c r="K61" s="26"/>
      <c r="L61" s="24"/>
    </row>
    <row r="62" spans="2:12" x14ac:dyDescent="0.2">
      <c r="B62" s="16"/>
      <c r="D62" s="156"/>
      <c r="E62" s="156"/>
      <c r="F62" s="156"/>
      <c r="G62" s="156"/>
      <c r="H62" s="156"/>
      <c r="I62" s="156"/>
      <c r="J62" s="156"/>
      <c r="L62" s="16"/>
    </row>
    <row r="63" spans="2:12" x14ac:dyDescent="0.2">
      <c r="B63" s="16"/>
      <c r="D63" s="156"/>
      <c r="E63" s="156"/>
      <c r="F63" s="156"/>
      <c r="G63" s="156"/>
      <c r="H63" s="156"/>
      <c r="I63" s="156"/>
      <c r="J63" s="156"/>
      <c r="L63" s="16"/>
    </row>
    <row r="64" spans="2:12" x14ac:dyDescent="0.2">
      <c r="B64" s="16"/>
      <c r="D64" s="156"/>
      <c r="E64" s="156"/>
      <c r="F64" s="156"/>
      <c r="G64" s="156"/>
      <c r="H64" s="156"/>
      <c r="I64" s="156"/>
      <c r="J64" s="156"/>
      <c r="L64" s="16"/>
    </row>
    <row r="65" spans="2:12" s="1" customFormat="1" ht="13.2" x14ac:dyDescent="0.2">
      <c r="B65" s="24"/>
      <c r="D65" s="530"/>
      <c r="E65" s="523"/>
      <c r="F65" s="523"/>
      <c r="G65" s="530"/>
      <c r="H65" s="523"/>
      <c r="I65" s="523"/>
      <c r="J65" s="523"/>
      <c r="K65" s="32"/>
      <c r="L65" s="24"/>
    </row>
    <row r="66" spans="2:12" x14ac:dyDescent="0.2">
      <c r="B66" s="16"/>
      <c r="D66" s="156"/>
      <c r="E66" s="156"/>
      <c r="F66" s="156"/>
      <c r="G66" s="156"/>
      <c r="H66" s="156"/>
      <c r="I66" s="156"/>
      <c r="J66" s="156"/>
      <c r="L66" s="16"/>
    </row>
    <row r="67" spans="2:12" x14ac:dyDescent="0.2">
      <c r="B67" s="16"/>
      <c r="D67" s="156"/>
      <c r="E67" s="156"/>
      <c r="F67" s="156"/>
      <c r="G67" s="156"/>
      <c r="H67" s="156"/>
      <c r="I67" s="156"/>
      <c r="J67" s="156"/>
      <c r="L67" s="16"/>
    </row>
    <row r="68" spans="2:12" x14ac:dyDescent="0.2">
      <c r="B68" s="16"/>
      <c r="D68" s="156"/>
      <c r="E68" s="156"/>
      <c r="F68" s="156"/>
      <c r="G68" s="156"/>
      <c r="H68" s="156"/>
      <c r="I68" s="156"/>
      <c r="J68" s="156"/>
      <c r="L68" s="16"/>
    </row>
    <row r="69" spans="2:12" x14ac:dyDescent="0.2">
      <c r="B69" s="16"/>
      <c r="D69" s="156"/>
      <c r="E69" s="156"/>
      <c r="F69" s="156"/>
      <c r="G69" s="156"/>
      <c r="H69" s="156"/>
      <c r="I69" s="156"/>
      <c r="J69" s="156"/>
      <c r="L69" s="16"/>
    </row>
    <row r="70" spans="2:12" x14ac:dyDescent="0.2">
      <c r="B70" s="16"/>
      <c r="D70" s="156"/>
      <c r="E70" s="156"/>
      <c r="F70" s="156"/>
      <c r="G70" s="156"/>
      <c r="H70" s="156"/>
      <c r="I70" s="156"/>
      <c r="J70" s="156"/>
      <c r="L70" s="16"/>
    </row>
    <row r="71" spans="2:12" x14ac:dyDescent="0.2">
      <c r="B71" s="16"/>
      <c r="D71" s="156"/>
      <c r="E71" s="156"/>
      <c r="F71" s="156"/>
      <c r="G71" s="156"/>
      <c r="H71" s="156"/>
      <c r="I71" s="156"/>
      <c r="J71" s="156"/>
      <c r="L71" s="16"/>
    </row>
    <row r="72" spans="2:12" x14ac:dyDescent="0.2">
      <c r="B72" s="16"/>
      <c r="D72" s="156"/>
      <c r="E72" s="156"/>
      <c r="F72" s="156"/>
      <c r="G72" s="156"/>
      <c r="H72" s="156"/>
      <c r="I72" s="156"/>
      <c r="J72" s="156"/>
      <c r="L72" s="16"/>
    </row>
    <row r="73" spans="2:12" x14ac:dyDescent="0.2">
      <c r="B73" s="16"/>
      <c r="D73" s="156"/>
      <c r="E73" s="156"/>
      <c r="F73" s="156"/>
      <c r="G73" s="156"/>
      <c r="H73" s="156"/>
      <c r="I73" s="156"/>
      <c r="J73" s="156"/>
      <c r="L73" s="16"/>
    </row>
    <row r="74" spans="2:12" x14ac:dyDescent="0.2">
      <c r="B74" s="16"/>
      <c r="D74" s="156"/>
      <c r="E74" s="156"/>
      <c r="F74" s="156"/>
      <c r="G74" s="156"/>
      <c r="H74" s="156"/>
      <c r="I74" s="156"/>
      <c r="J74" s="156"/>
      <c r="L74" s="16"/>
    </row>
    <row r="75" spans="2:12" x14ac:dyDescent="0.2">
      <c r="B75" s="16"/>
      <c r="D75" s="156"/>
      <c r="E75" s="156"/>
      <c r="F75" s="156"/>
      <c r="G75" s="156"/>
      <c r="H75" s="156"/>
      <c r="I75" s="156"/>
      <c r="J75" s="156"/>
      <c r="L75" s="16"/>
    </row>
    <row r="76" spans="2:12" s="1" customFormat="1" ht="13.2" x14ac:dyDescent="0.2">
      <c r="B76" s="24"/>
      <c r="D76" s="522"/>
      <c r="E76" s="523"/>
      <c r="F76" s="536"/>
      <c r="G76" s="522"/>
      <c r="H76" s="523"/>
      <c r="I76" s="523"/>
      <c r="J76" s="169"/>
      <c r="K76" s="26"/>
      <c r="L76" s="24"/>
    </row>
    <row r="77" spans="2:12" s="1" customFormat="1" ht="14.55" customHeight="1" x14ac:dyDescent="0.2">
      <c r="B77" s="33"/>
      <c r="C77" s="34"/>
      <c r="D77" s="34"/>
      <c r="E77" s="34"/>
      <c r="F77" s="34"/>
      <c r="G77" s="34"/>
      <c r="H77" s="34"/>
      <c r="I77" s="34"/>
      <c r="J77" s="34"/>
      <c r="K77" s="34"/>
      <c r="L77" s="24"/>
    </row>
    <row r="81" spans="2:47" s="1" customFormat="1" ht="7.05" customHeight="1" x14ac:dyDescent="0.2">
      <c r="B81" s="35"/>
      <c r="C81" s="36"/>
      <c r="D81" s="36"/>
      <c r="E81" s="36"/>
      <c r="F81" s="36"/>
      <c r="G81" s="36"/>
      <c r="H81" s="36"/>
      <c r="I81" s="36"/>
      <c r="J81" s="36"/>
      <c r="K81" s="36"/>
      <c r="L81" s="24"/>
    </row>
    <row r="82" spans="2:47" s="1" customFormat="1" ht="25.05" customHeight="1" x14ac:dyDescent="0.2">
      <c r="B82" s="24"/>
      <c r="C82" s="1165" t="s">
        <v>188</v>
      </c>
      <c r="D82" s="1165"/>
      <c r="E82" s="1165"/>
      <c r="F82" s="1165"/>
      <c r="G82" s="1165"/>
      <c r="H82" s="1165"/>
      <c r="I82" s="1165"/>
      <c r="J82" s="1165"/>
      <c r="L82" s="24"/>
    </row>
    <row r="83" spans="2:47" s="1" customFormat="1" ht="7.05" customHeight="1" x14ac:dyDescent="0.2">
      <c r="B83" s="24"/>
      <c r="L83" s="24"/>
    </row>
    <row r="84" spans="2:47" s="1" customFormat="1" ht="12" customHeight="1" x14ac:dyDescent="0.2">
      <c r="B84" s="24"/>
      <c r="C84" s="528" t="s">
        <v>12</v>
      </c>
      <c r="E84" s="1242" t="s">
        <v>6177</v>
      </c>
      <c r="F84" s="1242"/>
      <c r="G84" s="1242"/>
      <c r="H84" s="1242"/>
      <c r="I84" s="1242"/>
      <c r="J84" s="1242"/>
      <c r="L84" s="24"/>
    </row>
    <row r="85" spans="2:47" s="1" customFormat="1" ht="24.45" customHeight="1" x14ac:dyDescent="0.2">
      <c r="B85" s="24"/>
      <c r="C85" s="521"/>
      <c r="E85" s="1243"/>
      <c r="F85" s="1244"/>
      <c r="G85" s="1244"/>
      <c r="H85" s="1244"/>
      <c r="L85" s="24"/>
    </row>
    <row r="86" spans="2:47" s="1" customFormat="1" ht="12" customHeight="1" x14ac:dyDescent="0.2">
      <c r="B86" s="24"/>
      <c r="C86" s="528" t="s">
        <v>186</v>
      </c>
      <c r="F86" s="532" t="s">
        <v>4991</v>
      </c>
      <c r="L86" s="24"/>
    </row>
    <row r="87" spans="2:47" s="1" customFormat="1" ht="16.5" customHeight="1" x14ac:dyDescent="0.2">
      <c r="B87" s="24"/>
      <c r="C87" s="521"/>
      <c r="E87" s="1251"/>
      <c r="F87" s="1252"/>
      <c r="G87" s="1252"/>
      <c r="H87" s="1252"/>
      <c r="L87" s="24"/>
    </row>
    <row r="88" spans="2:47" s="1" customFormat="1" ht="7.05" customHeight="1" x14ac:dyDescent="0.2">
      <c r="B88" s="24"/>
      <c r="C88" s="521"/>
      <c r="L88" s="24"/>
    </row>
    <row r="89" spans="2:47" s="1" customFormat="1" ht="12" customHeight="1" x14ac:dyDescent="0.2">
      <c r="B89" s="24"/>
      <c r="C89" s="528" t="s">
        <v>15</v>
      </c>
      <c r="F89" s="19" t="str">
        <f>F12</f>
        <v>Kuzmányho nábrežie 28, 960 01 Zvolen</v>
      </c>
      <c r="I89" s="528" t="s">
        <v>17</v>
      </c>
      <c r="J89" s="39" t="str">
        <f>IF(J12="","",J12)</f>
        <v/>
      </c>
      <c r="L89" s="24"/>
    </row>
    <row r="90" spans="2:47" s="1" customFormat="1" ht="7.05" customHeight="1" x14ac:dyDescent="0.2">
      <c r="B90" s="24"/>
      <c r="C90" s="521"/>
      <c r="I90" s="521"/>
      <c r="L90" s="24"/>
    </row>
    <row r="91" spans="2:47" s="1" customFormat="1" ht="15.3" customHeight="1" x14ac:dyDescent="0.2">
      <c r="B91" s="24"/>
      <c r="C91" s="528" t="s">
        <v>18</v>
      </c>
      <c r="F91" s="529" t="s">
        <v>6175</v>
      </c>
      <c r="I91" s="528" t="s">
        <v>22</v>
      </c>
      <c r="J91" s="22" t="str">
        <f>E21</f>
        <v xml:space="preserve"> </v>
      </c>
      <c r="L91" s="24"/>
    </row>
    <row r="92" spans="2:47" s="1" customFormat="1" ht="15.3" customHeight="1" x14ac:dyDescent="0.2">
      <c r="B92" s="24"/>
      <c r="C92" s="528" t="s">
        <v>21</v>
      </c>
      <c r="F92" s="529" t="s">
        <v>5202</v>
      </c>
      <c r="I92" s="528" t="s">
        <v>24</v>
      </c>
      <c r="J92" s="22" t="str">
        <f>E24</f>
        <v xml:space="preserve"> </v>
      </c>
      <c r="L92" s="24"/>
    </row>
    <row r="93" spans="2:47" s="1" customFormat="1" ht="10.199999999999999" customHeight="1" x14ac:dyDescent="0.2">
      <c r="B93" s="24"/>
      <c r="L93" s="24"/>
    </row>
    <row r="94" spans="2:47" s="1" customFormat="1" ht="29.25" customHeight="1" x14ac:dyDescent="0.2">
      <c r="B94" s="24"/>
      <c r="C94" s="86" t="s">
        <v>189</v>
      </c>
      <c r="D94" s="80"/>
      <c r="E94" s="80"/>
      <c r="F94" s="80"/>
      <c r="G94" s="80"/>
      <c r="H94" s="80"/>
      <c r="I94" s="80"/>
      <c r="J94" s="87" t="s">
        <v>190</v>
      </c>
      <c r="K94" s="80"/>
      <c r="L94" s="24"/>
    </row>
    <row r="95" spans="2:47" s="1" customFormat="1" ht="10.199999999999999" customHeight="1" x14ac:dyDescent="0.2">
      <c r="B95" s="24"/>
      <c r="L95" s="24"/>
    </row>
    <row r="96" spans="2:47" s="1" customFormat="1" ht="22.95" customHeight="1" x14ac:dyDescent="0.2">
      <c r="B96" s="24"/>
      <c r="C96" s="88" t="s">
        <v>191</v>
      </c>
      <c r="J96" s="53">
        <f>J144</f>
        <v>124843.55</v>
      </c>
      <c r="L96" s="24"/>
      <c r="AU96" s="13" t="s">
        <v>192</v>
      </c>
    </row>
    <row r="97" spans="2:12" s="8" customFormat="1" ht="25.05" customHeight="1" x14ac:dyDescent="0.2">
      <c r="B97" s="89"/>
      <c r="D97" s="90" t="s">
        <v>4992</v>
      </c>
      <c r="E97" s="91"/>
      <c r="F97" s="91"/>
      <c r="G97" s="91"/>
      <c r="H97" s="91"/>
      <c r="I97" s="91"/>
      <c r="J97" s="92">
        <f>J145</f>
        <v>41539.249999999993</v>
      </c>
      <c r="L97" s="89"/>
    </row>
    <row r="98" spans="2:12" s="9" customFormat="1" ht="19.95" customHeight="1" x14ac:dyDescent="0.2">
      <c r="B98" s="93"/>
      <c r="D98" s="94" t="s">
        <v>4993</v>
      </c>
      <c r="E98" s="95"/>
      <c r="F98" s="95"/>
      <c r="G98" s="95"/>
      <c r="H98" s="95"/>
      <c r="I98" s="95"/>
      <c r="J98" s="96">
        <f>J146</f>
        <v>0</v>
      </c>
      <c r="L98" s="93"/>
    </row>
    <row r="99" spans="2:12" s="9" customFormat="1" ht="19.95" customHeight="1" x14ac:dyDescent="0.2">
      <c r="B99" s="93"/>
      <c r="D99" s="94" t="s">
        <v>4994</v>
      </c>
      <c r="E99" s="95"/>
      <c r="F99" s="95"/>
      <c r="G99" s="95"/>
      <c r="H99" s="95"/>
      <c r="I99" s="95"/>
      <c r="J99" s="96">
        <f>J147</f>
        <v>0</v>
      </c>
      <c r="L99" s="93"/>
    </row>
    <row r="100" spans="2:12" s="9" customFormat="1" ht="19.95" customHeight="1" x14ac:dyDescent="0.2">
      <c r="B100" s="93"/>
      <c r="D100" s="94" t="s">
        <v>4995</v>
      </c>
      <c r="E100" s="95"/>
      <c r="F100" s="95"/>
      <c r="G100" s="95"/>
      <c r="H100" s="95"/>
      <c r="I100" s="95"/>
      <c r="J100" s="96">
        <f>J148</f>
        <v>16044.34</v>
      </c>
      <c r="L100" s="93"/>
    </row>
    <row r="101" spans="2:12" s="9" customFormat="1" ht="19.95" customHeight="1" x14ac:dyDescent="0.2">
      <c r="B101" s="93"/>
      <c r="D101" s="94" t="s">
        <v>4996</v>
      </c>
      <c r="E101" s="95"/>
      <c r="F101" s="95"/>
      <c r="G101" s="95"/>
      <c r="H101" s="95"/>
      <c r="I101" s="95"/>
      <c r="J101" s="96">
        <f>J160</f>
        <v>1108.19</v>
      </c>
      <c r="L101" s="93"/>
    </row>
    <row r="102" spans="2:12" s="9" customFormat="1" ht="19.95" customHeight="1" x14ac:dyDescent="0.2">
      <c r="B102" s="93"/>
      <c r="D102" s="94" t="s">
        <v>4997</v>
      </c>
      <c r="E102" s="95"/>
      <c r="F102" s="95"/>
      <c r="G102" s="95"/>
      <c r="H102" s="95"/>
      <c r="I102" s="95"/>
      <c r="J102" s="96">
        <f>J168</f>
        <v>10952.79</v>
      </c>
      <c r="L102" s="93"/>
    </row>
    <row r="103" spans="2:12" s="9" customFormat="1" ht="19.95" customHeight="1" x14ac:dyDescent="0.2">
      <c r="B103" s="93"/>
      <c r="D103" s="94" t="s">
        <v>4998</v>
      </c>
      <c r="E103" s="95"/>
      <c r="F103" s="95"/>
      <c r="G103" s="95"/>
      <c r="H103" s="95"/>
      <c r="I103" s="95"/>
      <c r="J103" s="96">
        <f>J200</f>
        <v>2513.7399999999998</v>
      </c>
      <c r="L103" s="93"/>
    </row>
    <row r="104" spans="2:12" s="9" customFormat="1" ht="19.95" customHeight="1" x14ac:dyDescent="0.2">
      <c r="B104" s="93"/>
      <c r="D104" s="94" t="s">
        <v>4999</v>
      </c>
      <c r="E104" s="95"/>
      <c r="F104" s="95"/>
      <c r="G104" s="95"/>
      <c r="H104" s="95"/>
      <c r="I104" s="95"/>
      <c r="J104" s="96">
        <f>J204</f>
        <v>0</v>
      </c>
      <c r="L104" s="93"/>
    </row>
    <row r="105" spans="2:12" s="9" customFormat="1" ht="19.95" customHeight="1" x14ac:dyDescent="0.2">
      <c r="B105" s="93"/>
      <c r="D105" s="94" t="s">
        <v>5000</v>
      </c>
      <c r="E105" s="95"/>
      <c r="F105" s="95"/>
      <c r="G105" s="95"/>
      <c r="H105" s="95"/>
      <c r="I105" s="95"/>
      <c r="J105" s="96">
        <f>J205</f>
        <v>8798.909999999998</v>
      </c>
      <c r="L105" s="93"/>
    </row>
    <row r="106" spans="2:12" s="9" customFormat="1" ht="19.95" customHeight="1" x14ac:dyDescent="0.2">
      <c r="B106" s="93"/>
      <c r="D106" s="94" t="s">
        <v>5001</v>
      </c>
      <c r="E106" s="95"/>
      <c r="F106" s="95"/>
      <c r="G106" s="95"/>
      <c r="H106" s="95"/>
      <c r="I106" s="95"/>
      <c r="J106" s="96">
        <f>J245</f>
        <v>2121.2799999999997</v>
      </c>
      <c r="L106" s="93"/>
    </row>
    <row r="107" spans="2:12" s="8" customFormat="1" ht="25.05" customHeight="1" x14ac:dyDescent="0.2">
      <c r="B107" s="89"/>
      <c r="D107" s="90" t="s">
        <v>5002</v>
      </c>
      <c r="E107" s="91"/>
      <c r="F107" s="91"/>
      <c r="G107" s="91"/>
      <c r="H107" s="91"/>
      <c r="I107" s="91"/>
      <c r="J107" s="92">
        <f>J250</f>
        <v>71075.820000000007</v>
      </c>
      <c r="L107" s="89"/>
    </row>
    <row r="108" spans="2:12" s="9" customFormat="1" ht="19.95" customHeight="1" x14ac:dyDescent="0.2">
      <c r="B108" s="93"/>
      <c r="D108" s="94" t="s">
        <v>4994</v>
      </c>
      <c r="E108" s="95"/>
      <c r="F108" s="95"/>
      <c r="G108" s="95"/>
      <c r="H108" s="95"/>
      <c r="I108" s="95"/>
      <c r="J108" s="96">
        <f>J251</f>
        <v>0</v>
      </c>
      <c r="L108" s="93"/>
    </row>
    <row r="109" spans="2:12" s="9" customFormat="1" ht="19.95" customHeight="1" x14ac:dyDescent="0.2">
      <c r="B109" s="93"/>
      <c r="D109" s="94" t="s">
        <v>4995</v>
      </c>
      <c r="E109" s="95"/>
      <c r="F109" s="95"/>
      <c r="G109" s="95"/>
      <c r="H109" s="95"/>
      <c r="I109" s="95"/>
      <c r="J109" s="96">
        <f>J252</f>
        <v>13980.39</v>
      </c>
      <c r="L109" s="93"/>
    </row>
    <row r="110" spans="2:12" s="9" customFormat="1" ht="19.95" customHeight="1" x14ac:dyDescent="0.2">
      <c r="B110" s="93"/>
      <c r="D110" s="94" t="s">
        <v>4996</v>
      </c>
      <c r="E110" s="95"/>
      <c r="F110" s="95"/>
      <c r="G110" s="95"/>
      <c r="H110" s="95"/>
      <c r="I110" s="95"/>
      <c r="J110" s="96">
        <f>J261</f>
        <v>1936.61</v>
      </c>
      <c r="L110" s="93"/>
    </row>
    <row r="111" spans="2:12" s="9" customFormat="1" ht="19.95" customHeight="1" x14ac:dyDescent="0.2">
      <c r="B111" s="93"/>
      <c r="D111" s="94" t="s">
        <v>4997</v>
      </c>
      <c r="E111" s="95"/>
      <c r="F111" s="95"/>
      <c r="G111" s="95"/>
      <c r="H111" s="95"/>
      <c r="I111" s="95"/>
      <c r="J111" s="96">
        <f>J268</f>
        <v>23444.509999999995</v>
      </c>
      <c r="L111" s="93"/>
    </row>
    <row r="112" spans="2:12" s="9" customFormat="1" ht="19.95" customHeight="1" x14ac:dyDescent="0.2">
      <c r="B112" s="93"/>
      <c r="D112" s="94" t="s">
        <v>4998</v>
      </c>
      <c r="E112" s="95"/>
      <c r="F112" s="95"/>
      <c r="G112" s="95"/>
      <c r="H112" s="95"/>
      <c r="I112" s="95"/>
      <c r="J112" s="96">
        <f>J302</f>
        <v>3851.62</v>
      </c>
      <c r="L112" s="93"/>
    </row>
    <row r="113" spans="2:12" s="9" customFormat="1" ht="19.95" customHeight="1" x14ac:dyDescent="0.2">
      <c r="B113" s="93"/>
      <c r="D113" s="94" t="s">
        <v>4999</v>
      </c>
      <c r="E113" s="95"/>
      <c r="F113" s="95"/>
      <c r="G113" s="95"/>
      <c r="H113" s="95"/>
      <c r="I113" s="95"/>
      <c r="J113" s="96">
        <f>J306</f>
        <v>0</v>
      </c>
      <c r="L113" s="93"/>
    </row>
    <row r="114" spans="2:12" s="9" customFormat="1" ht="19.95" customHeight="1" x14ac:dyDescent="0.2">
      <c r="B114" s="93"/>
      <c r="D114" s="94" t="s">
        <v>5000</v>
      </c>
      <c r="E114" s="95"/>
      <c r="F114" s="95"/>
      <c r="G114" s="95"/>
      <c r="H114" s="95"/>
      <c r="I114" s="95"/>
      <c r="J114" s="96">
        <f>J307</f>
        <v>23286.880000000005</v>
      </c>
      <c r="L114" s="93"/>
    </row>
    <row r="115" spans="2:12" s="9" customFormat="1" ht="19.95" customHeight="1" x14ac:dyDescent="0.2">
      <c r="B115" s="93"/>
      <c r="D115" s="94" t="s">
        <v>5001</v>
      </c>
      <c r="E115" s="95"/>
      <c r="F115" s="95"/>
      <c r="G115" s="95"/>
      <c r="H115" s="95"/>
      <c r="I115" s="95"/>
      <c r="J115" s="96">
        <f>J349</f>
        <v>4575.8099999999995</v>
      </c>
      <c r="L115" s="93"/>
    </row>
    <row r="116" spans="2:12" s="8" customFormat="1" ht="25.05" customHeight="1" x14ac:dyDescent="0.2">
      <c r="B116" s="89"/>
      <c r="D116" s="90" t="s">
        <v>5003</v>
      </c>
      <c r="E116" s="91"/>
      <c r="F116" s="91"/>
      <c r="G116" s="91"/>
      <c r="H116" s="91"/>
      <c r="I116" s="91"/>
      <c r="J116" s="92">
        <f>J354</f>
        <v>12228.479999999998</v>
      </c>
      <c r="L116" s="89"/>
    </row>
    <row r="117" spans="2:12" s="9" customFormat="1" ht="19.95" customHeight="1" x14ac:dyDescent="0.2">
      <c r="B117" s="93"/>
      <c r="D117" s="94" t="s">
        <v>4994</v>
      </c>
      <c r="E117" s="95"/>
      <c r="F117" s="95"/>
      <c r="G117" s="95"/>
      <c r="H117" s="95"/>
      <c r="I117" s="95"/>
      <c r="J117" s="96">
        <f>J355</f>
        <v>0</v>
      </c>
      <c r="L117" s="93"/>
    </row>
    <row r="118" spans="2:12" s="9" customFormat="1" ht="19.95" customHeight="1" x14ac:dyDescent="0.2">
      <c r="B118" s="93"/>
      <c r="D118" s="94" t="s">
        <v>4995</v>
      </c>
      <c r="E118" s="95"/>
      <c r="F118" s="95"/>
      <c r="G118" s="95"/>
      <c r="H118" s="95"/>
      <c r="I118" s="95"/>
      <c r="J118" s="96">
        <f>J356</f>
        <v>981.35</v>
      </c>
      <c r="L118" s="93"/>
    </row>
    <row r="119" spans="2:12" s="9" customFormat="1" ht="19.95" customHeight="1" x14ac:dyDescent="0.2">
      <c r="B119" s="93"/>
      <c r="D119" s="94" t="s">
        <v>4996</v>
      </c>
      <c r="E119" s="95"/>
      <c r="F119" s="95"/>
      <c r="G119" s="95"/>
      <c r="H119" s="95"/>
      <c r="I119" s="95"/>
      <c r="J119" s="96">
        <f>J361</f>
        <v>770.42000000000007</v>
      </c>
      <c r="L119" s="93"/>
    </row>
    <row r="120" spans="2:12" s="9" customFormat="1" ht="19.95" customHeight="1" x14ac:dyDescent="0.2">
      <c r="B120" s="93"/>
      <c r="D120" s="94" t="s">
        <v>4997</v>
      </c>
      <c r="E120" s="95"/>
      <c r="F120" s="95"/>
      <c r="G120" s="95"/>
      <c r="H120" s="95"/>
      <c r="I120" s="95"/>
      <c r="J120" s="96">
        <f>J366</f>
        <v>4171.21</v>
      </c>
      <c r="L120" s="93"/>
    </row>
    <row r="121" spans="2:12" s="9" customFormat="1" ht="19.95" customHeight="1" x14ac:dyDescent="0.2">
      <c r="B121" s="93"/>
      <c r="D121" s="94" t="s">
        <v>4998</v>
      </c>
      <c r="E121" s="95"/>
      <c r="F121" s="95"/>
      <c r="G121" s="95"/>
      <c r="H121" s="95"/>
      <c r="I121" s="95"/>
      <c r="J121" s="96">
        <f>J392</f>
        <v>529.57999999999993</v>
      </c>
      <c r="L121" s="93"/>
    </row>
    <row r="122" spans="2:12" s="9" customFormat="1" ht="19.95" customHeight="1" x14ac:dyDescent="0.2">
      <c r="B122" s="93"/>
      <c r="D122" s="94" t="s">
        <v>4999</v>
      </c>
      <c r="E122" s="95"/>
      <c r="F122" s="95"/>
      <c r="G122" s="95"/>
      <c r="H122" s="95"/>
      <c r="I122" s="95"/>
      <c r="J122" s="96">
        <f>J396</f>
        <v>0</v>
      </c>
      <c r="L122" s="93"/>
    </row>
    <row r="123" spans="2:12" s="9" customFormat="1" ht="19.95" customHeight="1" x14ac:dyDescent="0.2">
      <c r="B123" s="93"/>
      <c r="D123" s="94" t="s">
        <v>5000</v>
      </c>
      <c r="E123" s="95"/>
      <c r="F123" s="95"/>
      <c r="G123" s="95"/>
      <c r="H123" s="95"/>
      <c r="I123" s="95"/>
      <c r="J123" s="96">
        <f>J397</f>
        <v>4626.4299999999985</v>
      </c>
      <c r="L123" s="93"/>
    </row>
    <row r="124" spans="2:12" s="9" customFormat="1" ht="19.95" customHeight="1" x14ac:dyDescent="0.2">
      <c r="B124" s="93"/>
      <c r="D124" s="94" t="s">
        <v>5001</v>
      </c>
      <c r="E124" s="95"/>
      <c r="F124" s="95"/>
      <c r="G124" s="95"/>
      <c r="H124" s="95"/>
      <c r="I124" s="95"/>
      <c r="J124" s="96">
        <f>J429</f>
        <v>1149.49</v>
      </c>
      <c r="L124" s="93"/>
    </row>
    <row r="125" spans="2:12" s="1" customFormat="1" ht="21.75" customHeight="1" x14ac:dyDescent="0.2">
      <c r="B125" s="24"/>
      <c r="L125" s="24"/>
    </row>
    <row r="126" spans="2:12" s="1" customFormat="1" ht="7.05" customHeight="1" x14ac:dyDescent="0.2">
      <c r="B126" s="33"/>
      <c r="C126" s="34"/>
      <c r="D126" s="34"/>
      <c r="E126" s="34"/>
      <c r="F126" s="34"/>
      <c r="G126" s="34"/>
      <c r="H126" s="34"/>
      <c r="I126" s="34"/>
      <c r="J126" s="34"/>
      <c r="K126" s="34"/>
      <c r="L126" s="24"/>
    </row>
    <row r="130" spans="2:63" s="1" customFormat="1" ht="7.05" customHeight="1" x14ac:dyDescent="0.2">
      <c r="B130" s="35"/>
      <c r="C130" s="36"/>
      <c r="D130" s="36"/>
      <c r="E130" s="36"/>
      <c r="F130" s="36"/>
      <c r="G130" s="36"/>
      <c r="H130" s="36"/>
      <c r="I130" s="36"/>
      <c r="J130" s="36"/>
      <c r="K130" s="36"/>
      <c r="L130" s="24"/>
    </row>
    <row r="131" spans="2:63" s="1" customFormat="1" ht="25.05" customHeight="1" x14ac:dyDescent="0.2">
      <c r="B131" s="24"/>
      <c r="C131" s="1165" t="s">
        <v>214</v>
      </c>
      <c r="D131" s="1165"/>
      <c r="E131" s="1165"/>
      <c r="F131" s="1165"/>
      <c r="G131" s="1165"/>
      <c r="H131" s="1165"/>
      <c r="I131" s="1165"/>
      <c r="J131" s="1165"/>
      <c r="L131" s="24"/>
    </row>
    <row r="132" spans="2:63" s="1" customFormat="1" ht="7.05" customHeight="1" x14ac:dyDescent="0.2">
      <c r="B132" s="24"/>
      <c r="L132" s="24"/>
    </row>
    <row r="133" spans="2:63" s="1" customFormat="1" ht="12" customHeight="1" x14ac:dyDescent="0.2">
      <c r="B133" s="24"/>
      <c r="C133" s="528" t="s">
        <v>12</v>
      </c>
      <c r="E133" s="1242" t="s">
        <v>6177</v>
      </c>
      <c r="F133" s="1242"/>
      <c r="G133" s="1242"/>
      <c r="H133" s="1242"/>
      <c r="I133" s="1242"/>
      <c r="J133" s="1242"/>
      <c r="L133" s="24"/>
    </row>
    <row r="134" spans="2:63" s="1" customFormat="1" ht="23.55" customHeight="1" x14ac:dyDescent="0.2">
      <c r="B134" s="24"/>
      <c r="C134" s="521"/>
      <c r="E134" s="1243"/>
      <c r="F134" s="1244"/>
      <c r="G134" s="1244"/>
      <c r="H134" s="1244"/>
      <c r="L134" s="24"/>
    </row>
    <row r="135" spans="2:63" s="1" customFormat="1" ht="12" customHeight="1" x14ac:dyDescent="0.2">
      <c r="B135" s="24"/>
      <c r="C135" s="528" t="s">
        <v>186</v>
      </c>
      <c r="F135" s="532" t="s">
        <v>4991</v>
      </c>
      <c r="L135" s="24"/>
    </row>
    <row r="136" spans="2:63" s="1" customFormat="1" ht="16.5" customHeight="1" x14ac:dyDescent="0.2">
      <c r="B136" s="24"/>
      <c r="C136" s="521"/>
      <c r="E136" s="1251"/>
      <c r="F136" s="1252"/>
      <c r="G136" s="1252"/>
      <c r="H136" s="1252"/>
      <c r="L136" s="24"/>
    </row>
    <row r="137" spans="2:63" s="1" customFormat="1" ht="7.05" customHeight="1" x14ac:dyDescent="0.2">
      <c r="B137" s="24"/>
      <c r="C137" s="521"/>
      <c r="L137" s="24"/>
    </row>
    <row r="138" spans="2:63" s="1" customFormat="1" ht="12" customHeight="1" x14ac:dyDescent="0.2">
      <c r="B138" s="24"/>
      <c r="C138" s="528" t="s">
        <v>15</v>
      </c>
      <c r="F138" s="19" t="str">
        <f>F12</f>
        <v>Kuzmányho nábrežie 28, 960 01 Zvolen</v>
      </c>
      <c r="I138" s="528" t="s">
        <v>17</v>
      </c>
      <c r="J138" s="39" t="str">
        <f>IF(J12="","",J12)</f>
        <v/>
      </c>
      <c r="L138" s="24"/>
    </row>
    <row r="139" spans="2:63" s="1" customFormat="1" ht="7.05" customHeight="1" x14ac:dyDescent="0.2">
      <c r="B139" s="24"/>
      <c r="C139" s="521"/>
      <c r="I139" s="521"/>
      <c r="L139" s="24"/>
    </row>
    <row r="140" spans="2:63" s="1" customFormat="1" ht="15.3" customHeight="1" x14ac:dyDescent="0.2">
      <c r="B140" s="24"/>
      <c r="C140" s="528" t="s">
        <v>18</v>
      </c>
      <c r="F140" s="529" t="s">
        <v>6175</v>
      </c>
      <c r="I140" s="528" t="s">
        <v>22</v>
      </c>
      <c r="J140" s="22" t="str">
        <f>E21</f>
        <v xml:space="preserve"> </v>
      </c>
      <c r="L140" s="24"/>
    </row>
    <row r="141" spans="2:63" s="1" customFormat="1" ht="15.3" customHeight="1" x14ac:dyDescent="0.2">
      <c r="B141" s="24"/>
      <c r="C141" s="528" t="s">
        <v>21</v>
      </c>
      <c r="F141" s="529" t="s">
        <v>5202</v>
      </c>
      <c r="I141" s="528" t="s">
        <v>24</v>
      </c>
      <c r="J141" s="22" t="str">
        <f>E24</f>
        <v xml:space="preserve"> </v>
      </c>
      <c r="L141" s="24"/>
    </row>
    <row r="142" spans="2:63" s="1" customFormat="1" ht="10.199999999999999" customHeight="1" x14ac:dyDescent="0.2">
      <c r="B142" s="24"/>
      <c r="L142" s="24"/>
    </row>
    <row r="143" spans="2:63" s="10" customFormat="1" ht="29.25" customHeight="1" x14ac:dyDescent="0.2">
      <c r="B143" s="97"/>
      <c r="C143" s="98" t="s">
        <v>215</v>
      </c>
      <c r="D143" s="99" t="s">
        <v>43</v>
      </c>
      <c r="E143" s="99" t="s">
        <v>41</v>
      </c>
      <c r="F143" s="99" t="s">
        <v>42</v>
      </c>
      <c r="G143" s="99" t="s">
        <v>216</v>
      </c>
      <c r="H143" s="99" t="s">
        <v>217</v>
      </c>
      <c r="I143" s="99" t="s">
        <v>218</v>
      </c>
      <c r="J143" s="100" t="s">
        <v>190</v>
      </c>
      <c r="K143" s="101" t="s">
        <v>219</v>
      </c>
      <c r="L143" s="97"/>
      <c r="M143" s="46" t="s">
        <v>1</v>
      </c>
      <c r="N143" s="47" t="s">
        <v>30</v>
      </c>
      <c r="O143" s="47" t="s">
        <v>220</v>
      </c>
      <c r="P143" s="47" t="s">
        <v>221</v>
      </c>
      <c r="Q143" s="47" t="s">
        <v>222</v>
      </c>
      <c r="R143" s="47" t="s">
        <v>223</v>
      </c>
      <c r="S143" s="47" t="s">
        <v>224</v>
      </c>
      <c r="T143" s="48" t="s">
        <v>225</v>
      </c>
    </row>
    <row r="144" spans="2:63" s="1" customFormat="1" ht="22.95" customHeight="1" x14ac:dyDescent="0.3">
      <c r="B144" s="24"/>
      <c r="C144" s="51" t="s">
        <v>191</v>
      </c>
      <c r="J144" s="102">
        <f>BK144</f>
        <v>124843.55</v>
      </c>
      <c r="L144" s="24"/>
      <c r="M144" s="49"/>
      <c r="N144" s="40"/>
      <c r="O144" s="40"/>
      <c r="P144" s="103">
        <f>P145+P250+P354</f>
        <v>0</v>
      </c>
      <c r="Q144" s="40"/>
      <c r="R144" s="103">
        <f>R145+R250+R354</f>
        <v>0</v>
      </c>
      <c r="S144" s="40"/>
      <c r="T144" s="104">
        <f>T145+T250+T354</f>
        <v>0</v>
      </c>
      <c r="AT144" s="13" t="s">
        <v>57</v>
      </c>
      <c r="AU144" s="13" t="s">
        <v>192</v>
      </c>
      <c r="BK144" s="105">
        <f>BK145+BK250+BK354</f>
        <v>124843.55</v>
      </c>
    </row>
    <row r="145" spans="2:65" s="11" customFormat="1" ht="25.95" customHeight="1" x14ac:dyDescent="0.25">
      <c r="B145" s="106"/>
      <c r="D145" s="107" t="s">
        <v>57</v>
      </c>
      <c r="E145" s="108" t="s">
        <v>5004</v>
      </c>
      <c r="F145" s="108" t="s">
        <v>2754</v>
      </c>
      <c r="J145" s="109">
        <f>BK145</f>
        <v>41539.249999999993</v>
      </c>
      <c r="L145" s="106"/>
      <c r="M145" s="110"/>
      <c r="N145" s="111"/>
      <c r="O145" s="111"/>
      <c r="P145" s="112">
        <f>P146+P147+P148+P160+P168+P200+P204+P205+P245</f>
        <v>0</v>
      </c>
      <c r="Q145" s="111"/>
      <c r="R145" s="112">
        <f>R146+R147+R148+R160+R168+R200+R204+R205+R245</f>
        <v>0</v>
      </c>
      <c r="S145" s="111"/>
      <c r="T145" s="113">
        <f>T146+T147+T148+T160+T168+T200+T204+T205+T245</f>
        <v>0</v>
      </c>
      <c r="AR145" s="107" t="s">
        <v>63</v>
      </c>
      <c r="AT145" s="114" t="s">
        <v>57</v>
      </c>
      <c r="AU145" s="114" t="s">
        <v>58</v>
      </c>
      <c r="AY145" s="107" t="s">
        <v>228</v>
      </c>
      <c r="BK145" s="115">
        <f>BK146+BK147+BK148+BK160+BK168+BK200+BK204+BK205+BK245</f>
        <v>41539.249999999993</v>
      </c>
    </row>
    <row r="146" spans="2:65" s="11" customFormat="1" ht="22.95" customHeight="1" x14ac:dyDescent="0.25">
      <c r="B146" s="106"/>
      <c r="D146" s="107" t="s">
        <v>57</v>
      </c>
      <c r="E146" s="116" t="s">
        <v>1201</v>
      </c>
      <c r="F146" s="116" t="s">
        <v>5005</v>
      </c>
      <c r="J146" s="117">
        <f>BK146</f>
        <v>0</v>
      </c>
      <c r="L146" s="106"/>
      <c r="M146" s="110"/>
      <c r="N146" s="111"/>
      <c r="O146" s="111"/>
      <c r="P146" s="112">
        <v>0</v>
      </c>
      <c r="Q146" s="111"/>
      <c r="R146" s="112">
        <v>0</v>
      </c>
      <c r="S146" s="111"/>
      <c r="T146" s="113">
        <v>0</v>
      </c>
      <c r="AR146" s="107" t="s">
        <v>63</v>
      </c>
      <c r="AT146" s="114" t="s">
        <v>57</v>
      </c>
      <c r="AU146" s="114" t="s">
        <v>63</v>
      </c>
      <c r="AY146" s="107" t="s">
        <v>228</v>
      </c>
      <c r="BK146" s="115">
        <v>0</v>
      </c>
    </row>
    <row r="147" spans="2:65" s="11" customFormat="1" ht="22.95" customHeight="1" x14ac:dyDescent="0.25">
      <c r="B147" s="106"/>
      <c r="D147" s="107" t="s">
        <v>57</v>
      </c>
      <c r="E147" s="116" t="s">
        <v>1211</v>
      </c>
      <c r="F147" s="116" t="s">
        <v>2756</v>
      </c>
      <c r="J147" s="117">
        <f>BK147</f>
        <v>0</v>
      </c>
      <c r="L147" s="106"/>
      <c r="M147" s="110"/>
      <c r="N147" s="111"/>
      <c r="O147" s="111"/>
      <c r="P147" s="112">
        <v>0</v>
      </c>
      <c r="Q147" s="111"/>
      <c r="R147" s="112">
        <v>0</v>
      </c>
      <c r="S147" s="111"/>
      <c r="T147" s="113">
        <v>0</v>
      </c>
      <c r="AR147" s="107" t="s">
        <v>63</v>
      </c>
      <c r="AT147" s="114" t="s">
        <v>57</v>
      </c>
      <c r="AU147" s="114" t="s">
        <v>63</v>
      </c>
      <c r="AY147" s="107" t="s">
        <v>228</v>
      </c>
      <c r="BK147" s="115">
        <v>0</v>
      </c>
    </row>
    <row r="148" spans="2:65" s="11" customFormat="1" ht="22.95" customHeight="1" x14ac:dyDescent="0.25">
      <c r="B148" s="106"/>
      <c r="D148" s="107" t="s">
        <v>57</v>
      </c>
      <c r="E148" s="116" t="s">
        <v>1215</v>
      </c>
      <c r="F148" s="116" t="s">
        <v>2757</v>
      </c>
      <c r="J148" s="117">
        <f>BK148</f>
        <v>16044.34</v>
      </c>
      <c r="L148" s="106"/>
      <c r="M148" s="110"/>
      <c r="N148" s="111"/>
      <c r="O148" s="111"/>
      <c r="P148" s="112">
        <f>SUM(P149:P159)</f>
        <v>0</v>
      </c>
      <c r="Q148" s="111"/>
      <c r="R148" s="112">
        <f>SUM(R149:R159)</f>
        <v>0</v>
      </c>
      <c r="S148" s="111"/>
      <c r="T148" s="113">
        <f>SUM(T149:T159)</f>
        <v>0</v>
      </c>
      <c r="AR148" s="107" t="s">
        <v>63</v>
      </c>
      <c r="AT148" s="114" t="s">
        <v>57</v>
      </c>
      <c r="AU148" s="114" t="s">
        <v>63</v>
      </c>
      <c r="AY148" s="107" t="s">
        <v>228</v>
      </c>
      <c r="BK148" s="115">
        <f>SUM(BK149:BK159)</f>
        <v>16044.34</v>
      </c>
    </row>
    <row r="149" spans="2:65" s="1" customFormat="1" ht="24" customHeight="1" x14ac:dyDescent="0.2">
      <c r="B149" s="118"/>
      <c r="C149" s="119" t="s">
        <v>63</v>
      </c>
      <c r="D149" s="119" t="s">
        <v>231</v>
      </c>
      <c r="E149" s="120" t="s">
        <v>5006</v>
      </c>
      <c r="F149" s="121" t="s">
        <v>5007</v>
      </c>
      <c r="G149" s="122" t="s">
        <v>243</v>
      </c>
      <c r="H149" s="123">
        <v>1</v>
      </c>
      <c r="I149" s="124">
        <v>3431.34</v>
      </c>
      <c r="J149" s="124">
        <f t="shared" ref="J149:J159" si="0">ROUND(I149*H149,2)</f>
        <v>3431.34</v>
      </c>
      <c r="K149" s="121" t="s">
        <v>1</v>
      </c>
      <c r="L149" s="24"/>
      <c r="M149" s="125" t="s">
        <v>1</v>
      </c>
      <c r="N149" s="126" t="s">
        <v>32</v>
      </c>
      <c r="O149" s="127">
        <v>0</v>
      </c>
      <c r="P149" s="127">
        <f t="shared" ref="P149:P159" si="1">O149*H149</f>
        <v>0</v>
      </c>
      <c r="Q149" s="127">
        <v>0</v>
      </c>
      <c r="R149" s="127">
        <f t="shared" ref="R149:R159" si="2">Q149*H149</f>
        <v>0</v>
      </c>
      <c r="S149" s="127">
        <v>0</v>
      </c>
      <c r="T149" s="128">
        <f t="shared" ref="T149:T159" si="3">S149*H149</f>
        <v>0</v>
      </c>
      <c r="AR149" s="129" t="s">
        <v>235</v>
      </c>
      <c r="AT149" s="129" t="s">
        <v>231</v>
      </c>
      <c r="AU149" s="129" t="s">
        <v>76</v>
      </c>
      <c r="AY149" s="13" t="s">
        <v>228</v>
      </c>
      <c r="BE149" s="130">
        <f t="shared" ref="BE149:BE159" si="4">IF(N149="základná",J149,0)</f>
        <v>0</v>
      </c>
      <c r="BF149" s="130">
        <f t="shared" ref="BF149:BF159" si="5">IF(N149="znížená",J149,0)</f>
        <v>3431.34</v>
      </c>
      <c r="BG149" s="130">
        <f t="shared" ref="BG149:BG159" si="6">IF(N149="zákl. prenesená",J149,0)</f>
        <v>0</v>
      </c>
      <c r="BH149" s="130">
        <f t="shared" ref="BH149:BH159" si="7">IF(N149="zníž. prenesená",J149,0)</f>
        <v>0</v>
      </c>
      <c r="BI149" s="130">
        <f t="shared" ref="BI149:BI159" si="8">IF(N149="nulová",J149,0)</f>
        <v>0</v>
      </c>
      <c r="BJ149" s="13" t="s">
        <v>76</v>
      </c>
      <c r="BK149" s="130">
        <f t="shared" ref="BK149:BK159" si="9">ROUND(I149*H149,2)</f>
        <v>3431.34</v>
      </c>
      <c r="BL149" s="13" t="s">
        <v>235</v>
      </c>
      <c r="BM149" s="129" t="s">
        <v>76</v>
      </c>
    </row>
    <row r="150" spans="2:65" s="1" customFormat="1" ht="24" customHeight="1" x14ac:dyDescent="0.2">
      <c r="B150" s="118"/>
      <c r="C150" s="119" t="s">
        <v>76</v>
      </c>
      <c r="D150" s="119" t="s">
        <v>231</v>
      </c>
      <c r="E150" s="120" t="s">
        <v>5008</v>
      </c>
      <c r="F150" s="121" t="s">
        <v>5009</v>
      </c>
      <c r="G150" s="122" t="s">
        <v>243</v>
      </c>
      <c r="H150" s="123">
        <v>1</v>
      </c>
      <c r="I150" s="124">
        <v>3431.34</v>
      </c>
      <c r="J150" s="124">
        <f t="shared" si="0"/>
        <v>3431.34</v>
      </c>
      <c r="K150" s="121" t="s">
        <v>1</v>
      </c>
      <c r="L150" s="24"/>
      <c r="M150" s="125" t="s">
        <v>1</v>
      </c>
      <c r="N150" s="126" t="s">
        <v>32</v>
      </c>
      <c r="O150" s="127">
        <v>0</v>
      </c>
      <c r="P150" s="127">
        <f t="shared" si="1"/>
        <v>0</v>
      </c>
      <c r="Q150" s="127">
        <v>0</v>
      </c>
      <c r="R150" s="127">
        <f t="shared" si="2"/>
        <v>0</v>
      </c>
      <c r="S150" s="127">
        <v>0</v>
      </c>
      <c r="T150" s="128">
        <f t="shared" si="3"/>
        <v>0</v>
      </c>
      <c r="AR150" s="129" t="s">
        <v>235</v>
      </c>
      <c r="AT150" s="129" t="s">
        <v>231</v>
      </c>
      <c r="AU150" s="129" t="s">
        <v>76</v>
      </c>
      <c r="AY150" s="13" t="s">
        <v>228</v>
      </c>
      <c r="BE150" s="130">
        <f t="shared" si="4"/>
        <v>0</v>
      </c>
      <c r="BF150" s="130">
        <f t="shared" si="5"/>
        <v>3431.34</v>
      </c>
      <c r="BG150" s="130">
        <f t="shared" si="6"/>
        <v>0</v>
      </c>
      <c r="BH150" s="130">
        <f t="shared" si="7"/>
        <v>0</v>
      </c>
      <c r="BI150" s="130">
        <f t="shared" si="8"/>
        <v>0</v>
      </c>
      <c r="BJ150" s="13" t="s">
        <v>76</v>
      </c>
      <c r="BK150" s="130">
        <f t="shared" si="9"/>
        <v>3431.34</v>
      </c>
      <c r="BL150" s="13" t="s">
        <v>235</v>
      </c>
      <c r="BM150" s="129" t="s">
        <v>235</v>
      </c>
    </row>
    <row r="151" spans="2:65" s="1" customFormat="1" ht="36" customHeight="1" x14ac:dyDescent="0.2">
      <c r="B151" s="118"/>
      <c r="C151" s="119" t="s">
        <v>229</v>
      </c>
      <c r="D151" s="119" t="s">
        <v>231</v>
      </c>
      <c r="E151" s="120" t="s">
        <v>4173</v>
      </c>
      <c r="F151" s="121" t="s">
        <v>2761</v>
      </c>
      <c r="G151" s="122" t="s">
        <v>243</v>
      </c>
      <c r="H151" s="123">
        <v>7</v>
      </c>
      <c r="I151" s="124">
        <v>160.22</v>
      </c>
      <c r="J151" s="124">
        <f t="shared" si="0"/>
        <v>1121.54</v>
      </c>
      <c r="K151" s="121" t="s">
        <v>1</v>
      </c>
      <c r="L151" s="24"/>
      <c r="M151" s="125" t="s">
        <v>1</v>
      </c>
      <c r="N151" s="126" t="s">
        <v>32</v>
      </c>
      <c r="O151" s="127">
        <v>0</v>
      </c>
      <c r="P151" s="127">
        <f t="shared" si="1"/>
        <v>0</v>
      </c>
      <c r="Q151" s="127">
        <v>0</v>
      </c>
      <c r="R151" s="127">
        <f t="shared" si="2"/>
        <v>0</v>
      </c>
      <c r="S151" s="127">
        <v>0</v>
      </c>
      <c r="T151" s="128">
        <f t="shared" si="3"/>
        <v>0</v>
      </c>
      <c r="AR151" s="129" t="s">
        <v>235</v>
      </c>
      <c r="AT151" s="129" t="s">
        <v>231</v>
      </c>
      <c r="AU151" s="129" t="s">
        <v>76</v>
      </c>
      <c r="AY151" s="13" t="s">
        <v>228</v>
      </c>
      <c r="BE151" s="130">
        <f t="shared" si="4"/>
        <v>0</v>
      </c>
      <c r="BF151" s="130">
        <f t="shared" si="5"/>
        <v>1121.54</v>
      </c>
      <c r="BG151" s="130">
        <f t="shared" si="6"/>
        <v>0</v>
      </c>
      <c r="BH151" s="130">
        <f t="shared" si="7"/>
        <v>0</v>
      </c>
      <c r="BI151" s="130">
        <f t="shared" si="8"/>
        <v>0</v>
      </c>
      <c r="BJ151" s="13" t="s">
        <v>76</v>
      </c>
      <c r="BK151" s="130">
        <f t="shared" si="9"/>
        <v>1121.54</v>
      </c>
      <c r="BL151" s="13" t="s">
        <v>235</v>
      </c>
      <c r="BM151" s="129" t="s">
        <v>240</v>
      </c>
    </row>
    <row r="152" spans="2:65" s="1" customFormat="1" ht="24" customHeight="1" x14ac:dyDescent="0.2">
      <c r="B152" s="118"/>
      <c r="C152" s="119" t="s">
        <v>235</v>
      </c>
      <c r="D152" s="119" t="s">
        <v>231</v>
      </c>
      <c r="E152" s="120" t="s">
        <v>4174</v>
      </c>
      <c r="F152" s="121" t="s">
        <v>4175</v>
      </c>
      <c r="G152" s="122" t="s">
        <v>243</v>
      </c>
      <c r="H152" s="123">
        <v>1</v>
      </c>
      <c r="I152" s="124">
        <v>82.78</v>
      </c>
      <c r="J152" s="124">
        <f t="shared" si="0"/>
        <v>82.78</v>
      </c>
      <c r="K152" s="121" t="s">
        <v>1</v>
      </c>
      <c r="L152" s="24"/>
      <c r="M152" s="125" t="s">
        <v>1</v>
      </c>
      <c r="N152" s="126" t="s">
        <v>32</v>
      </c>
      <c r="O152" s="127">
        <v>0</v>
      </c>
      <c r="P152" s="127">
        <f t="shared" si="1"/>
        <v>0</v>
      </c>
      <c r="Q152" s="127">
        <v>0</v>
      </c>
      <c r="R152" s="127">
        <f t="shared" si="2"/>
        <v>0</v>
      </c>
      <c r="S152" s="127">
        <v>0</v>
      </c>
      <c r="T152" s="128">
        <f t="shared" si="3"/>
        <v>0</v>
      </c>
      <c r="AR152" s="129" t="s">
        <v>235</v>
      </c>
      <c r="AT152" s="129" t="s">
        <v>231</v>
      </c>
      <c r="AU152" s="129" t="s">
        <v>76</v>
      </c>
      <c r="AY152" s="13" t="s">
        <v>228</v>
      </c>
      <c r="BE152" s="130">
        <f t="shared" si="4"/>
        <v>0</v>
      </c>
      <c r="BF152" s="130">
        <f t="shared" si="5"/>
        <v>82.78</v>
      </c>
      <c r="BG152" s="130">
        <f t="shared" si="6"/>
        <v>0</v>
      </c>
      <c r="BH152" s="130">
        <f t="shared" si="7"/>
        <v>0</v>
      </c>
      <c r="BI152" s="130">
        <f t="shared" si="8"/>
        <v>0</v>
      </c>
      <c r="BJ152" s="13" t="s">
        <v>76</v>
      </c>
      <c r="BK152" s="130">
        <f t="shared" si="9"/>
        <v>82.78</v>
      </c>
      <c r="BL152" s="13" t="s">
        <v>235</v>
      </c>
      <c r="BM152" s="129" t="s">
        <v>244</v>
      </c>
    </row>
    <row r="153" spans="2:65" s="1" customFormat="1" ht="24" customHeight="1" x14ac:dyDescent="0.2">
      <c r="B153" s="118"/>
      <c r="C153" s="119" t="s">
        <v>245</v>
      </c>
      <c r="D153" s="119" t="s">
        <v>231</v>
      </c>
      <c r="E153" s="120" t="s">
        <v>4176</v>
      </c>
      <c r="F153" s="121" t="s">
        <v>2763</v>
      </c>
      <c r="G153" s="122" t="s">
        <v>243</v>
      </c>
      <c r="H153" s="123">
        <v>3</v>
      </c>
      <c r="I153" s="124">
        <v>60.02</v>
      </c>
      <c r="J153" s="124">
        <f t="shared" si="0"/>
        <v>180.06</v>
      </c>
      <c r="K153" s="121" t="s">
        <v>1</v>
      </c>
      <c r="L153" s="24"/>
      <c r="M153" s="125" t="s">
        <v>1</v>
      </c>
      <c r="N153" s="126" t="s">
        <v>32</v>
      </c>
      <c r="O153" s="127">
        <v>0</v>
      </c>
      <c r="P153" s="127">
        <f t="shared" si="1"/>
        <v>0</v>
      </c>
      <c r="Q153" s="127">
        <v>0</v>
      </c>
      <c r="R153" s="127">
        <f t="shared" si="2"/>
        <v>0</v>
      </c>
      <c r="S153" s="127">
        <v>0</v>
      </c>
      <c r="T153" s="128">
        <f t="shared" si="3"/>
        <v>0</v>
      </c>
      <c r="AR153" s="129" t="s">
        <v>235</v>
      </c>
      <c r="AT153" s="129" t="s">
        <v>231</v>
      </c>
      <c r="AU153" s="129" t="s">
        <v>76</v>
      </c>
      <c r="AY153" s="13" t="s">
        <v>228</v>
      </c>
      <c r="BE153" s="130">
        <f t="shared" si="4"/>
        <v>0</v>
      </c>
      <c r="BF153" s="130">
        <f t="shared" si="5"/>
        <v>180.06</v>
      </c>
      <c r="BG153" s="130">
        <f t="shared" si="6"/>
        <v>0</v>
      </c>
      <c r="BH153" s="130">
        <f t="shared" si="7"/>
        <v>0</v>
      </c>
      <c r="BI153" s="130">
        <f t="shared" si="8"/>
        <v>0</v>
      </c>
      <c r="BJ153" s="13" t="s">
        <v>76</v>
      </c>
      <c r="BK153" s="130">
        <f t="shared" si="9"/>
        <v>180.06</v>
      </c>
      <c r="BL153" s="13" t="s">
        <v>235</v>
      </c>
      <c r="BM153" s="129" t="s">
        <v>248</v>
      </c>
    </row>
    <row r="154" spans="2:65" s="1" customFormat="1" ht="24" customHeight="1" x14ac:dyDescent="0.2">
      <c r="B154" s="118"/>
      <c r="C154" s="119" t="s">
        <v>240</v>
      </c>
      <c r="D154" s="119" t="s">
        <v>231</v>
      </c>
      <c r="E154" s="120" t="s">
        <v>4177</v>
      </c>
      <c r="F154" s="121" t="s">
        <v>2765</v>
      </c>
      <c r="G154" s="122" t="s">
        <v>243</v>
      </c>
      <c r="H154" s="123">
        <v>3</v>
      </c>
      <c r="I154" s="124">
        <v>33.380000000000003</v>
      </c>
      <c r="J154" s="124">
        <f t="shared" si="0"/>
        <v>100.14</v>
      </c>
      <c r="K154" s="121" t="s">
        <v>1</v>
      </c>
      <c r="L154" s="24"/>
      <c r="M154" s="125" t="s">
        <v>1</v>
      </c>
      <c r="N154" s="126" t="s">
        <v>32</v>
      </c>
      <c r="O154" s="127">
        <v>0</v>
      </c>
      <c r="P154" s="127">
        <f t="shared" si="1"/>
        <v>0</v>
      </c>
      <c r="Q154" s="127">
        <v>0</v>
      </c>
      <c r="R154" s="127">
        <f t="shared" si="2"/>
        <v>0</v>
      </c>
      <c r="S154" s="127">
        <v>0</v>
      </c>
      <c r="T154" s="128">
        <f t="shared" si="3"/>
        <v>0</v>
      </c>
      <c r="AR154" s="129" t="s">
        <v>235</v>
      </c>
      <c r="AT154" s="129" t="s">
        <v>231</v>
      </c>
      <c r="AU154" s="129" t="s">
        <v>76</v>
      </c>
      <c r="AY154" s="13" t="s">
        <v>228</v>
      </c>
      <c r="BE154" s="130">
        <f t="shared" si="4"/>
        <v>0</v>
      </c>
      <c r="BF154" s="130">
        <f t="shared" si="5"/>
        <v>100.14</v>
      </c>
      <c r="BG154" s="130">
        <f t="shared" si="6"/>
        <v>0</v>
      </c>
      <c r="BH154" s="130">
        <f t="shared" si="7"/>
        <v>0</v>
      </c>
      <c r="BI154" s="130">
        <f t="shared" si="8"/>
        <v>0</v>
      </c>
      <c r="BJ154" s="13" t="s">
        <v>76</v>
      </c>
      <c r="BK154" s="130">
        <f t="shared" si="9"/>
        <v>100.14</v>
      </c>
      <c r="BL154" s="13" t="s">
        <v>235</v>
      </c>
      <c r="BM154" s="129" t="s">
        <v>251</v>
      </c>
    </row>
    <row r="155" spans="2:65" s="1" customFormat="1" ht="24" customHeight="1" x14ac:dyDescent="0.2">
      <c r="B155" s="118"/>
      <c r="C155" s="119" t="s">
        <v>252</v>
      </c>
      <c r="D155" s="119" t="s">
        <v>231</v>
      </c>
      <c r="E155" s="120" t="s">
        <v>5010</v>
      </c>
      <c r="F155" s="121" t="s">
        <v>5011</v>
      </c>
      <c r="G155" s="122" t="s">
        <v>243</v>
      </c>
      <c r="H155" s="123">
        <v>1</v>
      </c>
      <c r="I155" s="124">
        <v>1863.87</v>
      </c>
      <c r="J155" s="124">
        <f t="shared" si="0"/>
        <v>1863.87</v>
      </c>
      <c r="K155" s="121" t="s">
        <v>1</v>
      </c>
      <c r="L155" s="24"/>
      <c r="M155" s="125" t="s">
        <v>1</v>
      </c>
      <c r="N155" s="126" t="s">
        <v>32</v>
      </c>
      <c r="O155" s="127">
        <v>0</v>
      </c>
      <c r="P155" s="127">
        <f t="shared" si="1"/>
        <v>0</v>
      </c>
      <c r="Q155" s="127">
        <v>0</v>
      </c>
      <c r="R155" s="127">
        <f t="shared" si="2"/>
        <v>0</v>
      </c>
      <c r="S155" s="127">
        <v>0</v>
      </c>
      <c r="T155" s="128">
        <f t="shared" si="3"/>
        <v>0</v>
      </c>
      <c r="AR155" s="129" t="s">
        <v>235</v>
      </c>
      <c r="AT155" s="129" t="s">
        <v>231</v>
      </c>
      <c r="AU155" s="129" t="s">
        <v>76</v>
      </c>
      <c r="AY155" s="13" t="s">
        <v>228</v>
      </c>
      <c r="BE155" s="130">
        <f t="shared" si="4"/>
        <v>0</v>
      </c>
      <c r="BF155" s="130">
        <f t="shared" si="5"/>
        <v>1863.87</v>
      </c>
      <c r="BG155" s="130">
        <f t="shared" si="6"/>
        <v>0</v>
      </c>
      <c r="BH155" s="130">
        <f t="shared" si="7"/>
        <v>0</v>
      </c>
      <c r="BI155" s="130">
        <f t="shared" si="8"/>
        <v>0</v>
      </c>
      <c r="BJ155" s="13" t="s">
        <v>76</v>
      </c>
      <c r="BK155" s="130">
        <f t="shared" si="9"/>
        <v>1863.87</v>
      </c>
      <c r="BL155" s="13" t="s">
        <v>235</v>
      </c>
      <c r="BM155" s="129" t="s">
        <v>255</v>
      </c>
    </row>
    <row r="156" spans="2:65" s="1" customFormat="1" ht="24" customHeight="1" x14ac:dyDescent="0.2">
      <c r="B156" s="118"/>
      <c r="C156" s="119" t="s">
        <v>244</v>
      </c>
      <c r="D156" s="119" t="s">
        <v>231</v>
      </c>
      <c r="E156" s="120" t="s">
        <v>5012</v>
      </c>
      <c r="F156" s="121" t="s">
        <v>5013</v>
      </c>
      <c r="G156" s="122" t="s">
        <v>243</v>
      </c>
      <c r="H156" s="123">
        <v>3</v>
      </c>
      <c r="I156" s="124">
        <v>1265.72</v>
      </c>
      <c r="J156" s="124">
        <f t="shared" si="0"/>
        <v>3797.16</v>
      </c>
      <c r="K156" s="121" t="s">
        <v>1</v>
      </c>
      <c r="L156" s="24"/>
      <c r="M156" s="125" t="s">
        <v>1</v>
      </c>
      <c r="N156" s="126" t="s">
        <v>32</v>
      </c>
      <c r="O156" s="127">
        <v>0</v>
      </c>
      <c r="P156" s="127">
        <f t="shared" si="1"/>
        <v>0</v>
      </c>
      <c r="Q156" s="127">
        <v>0</v>
      </c>
      <c r="R156" s="127">
        <f t="shared" si="2"/>
        <v>0</v>
      </c>
      <c r="S156" s="127">
        <v>0</v>
      </c>
      <c r="T156" s="128">
        <f t="shared" si="3"/>
        <v>0</v>
      </c>
      <c r="AR156" s="129" t="s">
        <v>235</v>
      </c>
      <c r="AT156" s="129" t="s">
        <v>231</v>
      </c>
      <c r="AU156" s="129" t="s">
        <v>76</v>
      </c>
      <c r="AY156" s="13" t="s">
        <v>228</v>
      </c>
      <c r="BE156" s="130">
        <f t="shared" si="4"/>
        <v>0</v>
      </c>
      <c r="BF156" s="130">
        <f t="shared" si="5"/>
        <v>3797.16</v>
      </c>
      <c r="BG156" s="130">
        <f t="shared" si="6"/>
        <v>0</v>
      </c>
      <c r="BH156" s="130">
        <f t="shared" si="7"/>
        <v>0</v>
      </c>
      <c r="BI156" s="130">
        <f t="shared" si="8"/>
        <v>0</v>
      </c>
      <c r="BJ156" s="13" t="s">
        <v>76</v>
      </c>
      <c r="BK156" s="130">
        <f t="shared" si="9"/>
        <v>3797.16</v>
      </c>
      <c r="BL156" s="13" t="s">
        <v>235</v>
      </c>
      <c r="BM156" s="129" t="s">
        <v>258</v>
      </c>
    </row>
    <row r="157" spans="2:65" s="1" customFormat="1" ht="24" customHeight="1" x14ac:dyDescent="0.2">
      <c r="B157" s="118"/>
      <c r="C157" s="119" t="s">
        <v>259</v>
      </c>
      <c r="D157" s="119" t="s">
        <v>231</v>
      </c>
      <c r="E157" s="120" t="s">
        <v>5014</v>
      </c>
      <c r="F157" s="121" t="s">
        <v>5015</v>
      </c>
      <c r="G157" s="122" t="s">
        <v>243</v>
      </c>
      <c r="H157" s="123">
        <v>1</v>
      </c>
      <c r="I157" s="124">
        <v>835.8</v>
      </c>
      <c r="J157" s="124">
        <f t="shared" si="0"/>
        <v>835.8</v>
      </c>
      <c r="K157" s="121" t="s">
        <v>1</v>
      </c>
      <c r="L157" s="24"/>
      <c r="M157" s="125" t="s">
        <v>1</v>
      </c>
      <c r="N157" s="126" t="s">
        <v>32</v>
      </c>
      <c r="O157" s="127">
        <v>0</v>
      </c>
      <c r="P157" s="127">
        <f t="shared" si="1"/>
        <v>0</v>
      </c>
      <c r="Q157" s="127">
        <v>0</v>
      </c>
      <c r="R157" s="127">
        <f t="shared" si="2"/>
        <v>0</v>
      </c>
      <c r="S157" s="127">
        <v>0</v>
      </c>
      <c r="T157" s="128">
        <f t="shared" si="3"/>
        <v>0</v>
      </c>
      <c r="AR157" s="129" t="s">
        <v>235</v>
      </c>
      <c r="AT157" s="129" t="s">
        <v>231</v>
      </c>
      <c r="AU157" s="129" t="s">
        <v>76</v>
      </c>
      <c r="AY157" s="13" t="s">
        <v>228</v>
      </c>
      <c r="BE157" s="130">
        <f t="shared" si="4"/>
        <v>0</v>
      </c>
      <c r="BF157" s="130">
        <f t="shared" si="5"/>
        <v>835.8</v>
      </c>
      <c r="BG157" s="130">
        <f t="shared" si="6"/>
        <v>0</v>
      </c>
      <c r="BH157" s="130">
        <f t="shared" si="7"/>
        <v>0</v>
      </c>
      <c r="BI157" s="130">
        <f t="shared" si="8"/>
        <v>0</v>
      </c>
      <c r="BJ157" s="13" t="s">
        <v>76</v>
      </c>
      <c r="BK157" s="130">
        <f t="shared" si="9"/>
        <v>835.8</v>
      </c>
      <c r="BL157" s="13" t="s">
        <v>235</v>
      </c>
      <c r="BM157" s="129" t="s">
        <v>262</v>
      </c>
    </row>
    <row r="158" spans="2:65" s="1" customFormat="1" ht="24" customHeight="1" x14ac:dyDescent="0.2">
      <c r="B158" s="118"/>
      <c r="C158" s="119" t="s">
        <v>248</v>
      </c>
      <c r="D158" s="119" t="s">
        <v>231</v>
      </c>
      <c r="E158" s="120" t="s">
        <v>4180</v>
      </c>
      <c r="F158" s="121" t="s">
        <v>4181</v>
      </c>
      <c r="G158" s="122" t="s">
        <v>243</v>
      </c>
      <c r="H158" s="123">
        <v>1</v>
      </c>
      <c r="I158" s="124">
        <v>1000.03</v>
      </c>
      <c r="J158" s="124">
        <f t="shared" si="0"/>
        <v>1000.03</v>
      </c>
      <c r="K158" s="121" t="s">
        <v>1</v>
      </c>
      <c r="L158" s="24"/>
      <c r="M158" s="125" t="s">
        <v>1</v>
      </c>
      <c r="N158" s="126" t="s">
        <v>32</v>
      </c>
      <c r="O158" s="127">
        <v>0</v>
      </c>
      <c r="P158" s="127">
        <f t="shared" si="1"/>
        <v>0</v>
      </c>
      <c r="Q158" s="127">
        <v>0</v>
      </c>
      <c r="R158" s="127">
        <f t="shared" si="2"/>
        <v>0</v>
      </c>
      <c r="S158" s="127">
        <v>0</v>
      </c>
      <c r="T158" s="128">
        <f t="shared" si="3"/>
        <v>0</v>
      </c>
      <c r="AR158" s="129" t="s">
        <v>235</v>
      </c>
      <c r="AT158" s="129" t="s">
        <v>231</v>
      </c>
      <c r="AU158" s="129" t="s">
        <v>76</v>
      </c>
      <c r="AY158" s="13" t="s">
        <v>228</v>
      </c>
      <c r="BE158" s="130">
        <f t="shared" si="4"/>
        <v>0</v>
      </c>
      <c r="BF158" s="130">
        <f t="shared" si="5"/>
        <v>1000.03</v>
      </c>
      <c r="BG158" s="130">
        <f t="shared" si="6"/>
        <v>0</v>
      </c>
      <c r="BH158" s="130">
        <f t="shared" si="7"/>
        <v>0</v>
      </c>
      <c r="BI158" s="130">
        <f t="shared" si="8"/>
        <v>0</v>
      </c>
      <c r="BJ158" s="13" t="s">
        <v>76</v>
      </c>
      <c r="BK158" s="130">
        <f t="shared" si="9"/>
        <v>1000.03</v>
      </c>
      <c r="BL158" s="13" t="s">
        <v>235</v>
      </c>
      <c r="BM158" s="129" t="s">
        <v>7</v>
      </c>
    </row>
    <row r="159" spans="2:65" s="1" customFormat="1" ht="24" customHeight="1" x14ac:dyDescent="0.2">
      <c r="B159" s="118"/>
      <c r="C159" s="119" t="s">
        <v>265</v>
      </c>
      <c r="D159" s="119" t="s">
        <v>231</v>
      </c>
      <c r="E159" s="120" t="s">
        <v>4182</v>
      </c>
      <c r="F159" s="121" t="s">
        <v>2771</v>
      </c>
      <c r="G159" s="122" t="s">
        <v>243</v>
      </c>
      <c r="H159" s="123">
        <v>3</v>
      </c>
      <c r="I159" s="124">
        <v>66.760000000000005</v>
      </c>
      <c r="J159" s="124">
        <f t="shared" si="0"/>
        <v>200.28</v>
      </c>
      <c r="K159" s="121" t="s">
        <v>1</v>
      </c>
      <c r="L159" s="24"/>
      <c r="M159" s="125" t="s">
        <v>1</v>
      </c>
      <c r="N159" s="126" t="s">
        <v>32</v>
      </c>
      <c r="O159" s="127">
        <v>0</v>
      </c>
      <c r="P159" s="127">
        <f t="shared" si="1"/>
        <v>0</v>
      </c>
      <c r="Q159" s="127">
        <v>0</v>
      </c>
      <c r="R159" s="127">
        <f t="shared" si="2"/>
        <v>0</v>
      </c>
      <c r="S159" s="127">
        <v>0</v>
      </c>
      <c r="T159" s="128">
        <f t="shared" si="3"/>
        <v>0</v>
      </c>
      <c r="AR159" s="129" t="s">
        <v>235</v>
      </c>
      <c r="AT159" s="129" t="s">
        <v>231</v>
      </c>
      <c r="AU159" s="129" t="s">
        <v>76</v>
      </c>
      <c r="AY159" s="13" t="s">
        <v>228</v>
      </c>
      <c r="BE159" s="130">
        <f t="shared" si="4"/>
        <v>0</v>
      </c>
      <c r="BF159" s="130">
        <f t="shared" si="5"/>
        <v>200.28</v>
      </c>
      <c r="BG159" s="130">
        <f t="shared" si="6"/>
        <v>0</v>
      </c>
      <c r="BH159" s="130">
        <f t="shared" si="7"/>
        <v>0</v>
      </c>
      <c r="BI159" s="130">
        <f t="shared" si="8"/>
        <v>0</v>
      </c>
      <c r="BJ159" s="13" t="s">
        <v>76</v>
      </c>
      <c r="BK159" s="130">
        <f t="shared" si="9"/>
        <v>200.28</v>
      </c>
      <c r="BL159" s="13" t="s">
        <v>235</v>
      </c>
      <c r="BM159" s="129" t="s">
        <v>268</v>
      </c>
    </row>
    <row r="160" spans="2:65" s="11" customFormat="1" ht="22.95" customHeight="1" x14ac:dyDescent="0.25">
      <c r="B160" s="106"/>
      <c r="D160" s="107" t="s">
        <v>57</v>
      </c>
      <c r="E160" s="116" t="s">
        <v>1227</v>
      </c>
      <c r="F160" s="116" t="s">
        <v>2772</v>
      </c>
      <c r="J160" s="117">
        <f>BK160</f>
        <v>1108.19</v>
      </c>
      <c r="L160" s="106"/>
      <c r="M160" s="110"/>
      <c r="N160" s="111"/>
      <c r="O160" s="111"/>
      <c r="P160" s="112">
        <f>SUM(P161:P167)</f>
        <v>0</v>
      </c>
      <c r="Q160" s="111"/>
      <c r="R160" s="112">
        <f>SUM(R161:R167)</f>
        <v>0</v>
      </c>
      <c r="S160" s="111"/>
      <c r="T160" s="113">
        <f>SUM(T161:T167)</f>
        <v>0</v>
      </c>
      <c r="AR160" s="107" t="s">
        <v>63</v>
      </c>
      <c r="AT160" s="114" t="s">
        <v>57</v>
      </c>
      <c r="AU160" s="114" t="s">
        <v>63</v>
      </c>
      <c r="AY160" s="107" t="s">
        <v>228</v>
      </c>
      <c r="BK160" s="115">
        <f>SUM(BK161:BK167)</f>
        <v>1108.19</v>
      </c>
    </row>
    <row r="161" spans="2:65" s="1" customFormat="1" ht="16.5" customHeight="1" x14ac:dyDescent="0.2">
      <c r="B161" s="118"/>
      <c r="C161" s="119" t="s">
        <v>251</v>
      </c>
      <c r="D161" s="119" t="s">
        <v>231</v>
      </c>
      <c r="E161" s="120" t="s">
        <v>4183</v>
      </c>
      <c r="F161" s="121" t="s">
        <v>2774</v>
      </c>
      <c r="G161" s="122" t="s">
        <v>243</v>
      </c>
      <c r="H161" s="123">
        <v>2</v>
      </c>
      <c r="I161" s="124">
        <v>103.7</v>
      </c>
      <c r="J161" s="124">
        <f t="shared" ref="J161:J167" si="10">ROUND(I161*H161,2)</f>
        <v>207.4</v>
      </c>
      <c r="K161" s="121" t="s">
        <v>1</v>
      </c>
      <c r="L161" s="24"/>
      <c r="M161" s="125" t="s">
        <v>1</v>
      </c>
      <c r="N161" s="126" t="s">
        <v>32</v>
      </c>
      <c r="O161" s="127">
        <v>0</v>
      </c>
      <c r="P161" s="127">
        <f t="shared" ref="P161:P167" si="11">O161*H161</f>
        <v>0</v>
      </c>
      <c r="Q161" s="127">
        <v>0</v>
      </c>
      <c r="R161" s="127">
        <f t="shared" ref="R161:R167" si="12">Q161*H161</f>
        <v>0</v>
      </c>
      <c r="S161" s="127">
        <v>0</v>
      </c>
      <c r="T161" s="128">
        <f t="shared" ref="T161:T167" si="13">S161*H161</f>
        <v>0</v>
      </c>
      <c r="AR161" s="129" t="s">
        <v>235</v>
      </c>
      <c r="AT161" s="129" t="s">
        <v>231</v>
      </c>
      <c r="AU161" s="129" t="s">
        <v>76</v>
      </c>
      <c r="AY161" s="13" t="s">
        <v>228</v>
      </c>
      <c r="BE161" s="130">
        <f t="shared" ref="BE161:BE167" si="14">IF(N161="základná",J161,0)</f>
        <v>0</v>
      </c>
      <c r="BF161" s="130">
        <f t="shared" ref="BF161:BF167" si="15">IF(N161="znížená",J161,0)</f>
        <v>207.4</v>
      </c>
      <c r="BG161" s="130">
        <f t="shared" ref="BG161:BG167" si="16">IF(N161="zákl. prenesená",J161,0)</f>
        <v>0</v>
      </c>
      <c r="BH161" s="130">
        <f t="shared" ref="BH161:BH167" si="17">IF(N161="zníž. prenesená",J161,0)</f>
        <v>0</v>
      </c>
      <c r="BI161" s="130">
        <f t="shared" ref="BI161:BI167" si="18">IF(N161="nulová",J161,0)</f>
        <v>0</v>
      </c>
      <c r="BJ161" s="13" t="s">
        <v>76</v>
      </c>
      <c r="BK161" s="130">
        <f t="shared" ref="BK161:BK167" si="19">ROUND(I161*H161,2)</f>
        <v>207.4</v>
      </c>
      <c r="BL161" s="13" t="s">
        <v>235</v>
      </c>
      <c r="BM161" s="129" t="s">
        <v>272</v>
      </c>
    </row>
    <row r="162" spans="2:65" s="1" customFormat="1" ht="16.5" customHeight="1" x14ac:dyDescent="0.2">
      <c r="B162" s="118"/>
      <c r="C162" s="119" t="s">
        <v>273</v>
      </c>
      <c r="D162" s="119" t="s">
        <v>231</v>
      </c>
      <c r="E162" s="120" t="s">
        <v>4184</v>
      </c>
      <c r="F162" s="121" t="s">
        <v>2776</v>
      </c>
      <c r="G162" s="122" t="s">
        <v>243</v>
      </c>
      <c r="H162" s="123">
        <v>17</v>
      </c>
      <c r="I162" s="124">
        <v>16.7</v>
      </c>
      <c r="J162" s="124">
        <f t="shared" si="10"/>
        <v>283.89999999999998</v>
      </c>
      <c r="K162" s="121" t="s">
        <v>1</v>
      </c>
      <c r="L162" s="24"/>
      <c r="M162" s="125" t="s">
        <v>1</v>
      </c>
      <c r="N162" s="126" t="s">
        <v>32</v>
      </c>
      <c r="O162" s="127">
        <v>0</v>
      </c>
      <c r="P162" s="127">
        <f t="shared" si="11"/>
        <v>0</v>
      </c>
      <c r="Q162" s="127">
        <v>0</v>
      </c>
      <c r="R162" s="127">
        <f t="shared" si="12"/>
        <v>0</v>
      </c>
      <c r="S162" s="127">
        <v>0</v>
      </c>
      <c r="T162" s="128">
        <f t="shared" si="13"/>
        <v>0</v>
      </c>
      <c r="AR162" s="129" t="s">
        <v>235</v>
      </c>
      <c r="AT162" s="129" t="s">
        <v>231</v>
      </c>
      <c r="AU162" s="129" t="s">
        <v>76</v>
      </c>
      <c r="AY162" s="13" t="s">
        <v>228</v>
      </c>
      <c r="BE162" s="130">
        <f t="shared" si="14"/>
        <v>0</v>
      </c>
      <c r="BF162" s="130">
        <f t="shared" si="15"/>
        <v>283.89999999999998</v>
      </c>
      <c r="BG162" s="130">
        <f t="shared" si="16"/>
        <v>0</v>
      </c>
      <c r="BH162" s="130">
        <f t="shared" si="17"/>
        <v>0</v>
      </c>
      <c r="BI162" s="130">
        <f t="shared" si="18"/>
        <v>0</v>
      </c>
      <c r="BJ162" s="13" t="s">
        <v>76</v>
      </c>
      <c r="BK162" s="130">
        <f t="shared" si="19"/>
        <v>283.89999999999998</v>
      </c>
      <c r="BL162" s="13" t="s">
        <v>235</v>
      </c>
      <c r="BM162" s="129" t="s">
        <v>276</v>
      </c>
    </row>
    <row r="163" spans="2:65" s="1" customFormat="1" ht="16.5" customHeight="1" x14ac:dyDescent="0.2">
      <c r="B163" s="118"/>
      <c r="C163" s="119" t="s">
        <v>255</v>
      </c>
      <c r="D163" s="119" t="s">
        <v>231</v>
      </c>
      <c r="E163" s="120" t="s">
        <v>4185</v>
      </c>
      <c r="F163" s="121" t="s">
        <v>2778</v>
      </c>
      <c r="G163" s="122" t="s">
        <v>243</v>
      </c>
      <c r="H163" s="123">
        <v>4</v>
      </c>
      <c r="I163" s="124">
        <v>106.81</v>
      </c>
      <c r="J163" s="124">
        <f t="shared" si="10"/>
        <v>427.24</v>
      </c>
      <c r="K163" s="121" t="s">
        <v>1</v>
      </c>
      <c r="L163" s="24"/>
      <c r="M163" s="125" t="s">
        <v>1</v>
      </c>
      <c r="N163" s="126" t="s">
        <v>32</v>
      </c>
      <c r="O163" s="127">
        <v>0</v>
      </c>
      <c r="P163" s="127">
        <f t="shared" si="11"/>
        <v>0</v>
      </c>
      <c r="Q163" s="127">
        <v>0</v>
      </c>
      <c r="R163" s="127">
        <f t="shared" si="12"/>
        <v>0</v>
      </c>
      <c r="S163" s="127">
        <v>0</v>
      </c>
      <c r="T163" s="128">
        <f t="shared" si="13"/>
        <v>0</v>
      </c>
      <c r="AR163" s="129" t="s">
        <v>235</v>
      </c>
      <c r="AT163" s="129" t="s">
        <v>231</v>
      </c>
      <c r="AU163" s="129" t="s">
        <v>76</v>
      </c>
      <c r="AY163" s="13" t="s">
        <v>228</v>
      </c>
      <c r="BE163" s="130">
        <f t="shared" si="14"/>
        <v>0</v>
      </c>
      <c r="BF163" s="130">
        <f t="shared" si="15"/>
        <v>427.24</v>
      </c>
      <c r="BG163" s="130">
        <f t="shared" si="16"/>
        <v>0</v>
      </c>
      <c r="BH163" s="130">
        <f t="shared" si="17"/>
        <v>0</v>
      </c>
      <c r="BI163" s="130">
        <f t="shared" si="18"/>
        <v>0</v>
      </c>
      <c r="BJ163" s="13" t="s">
        <v>76</v>
      </c>
      <c r="BK163" s="130">
        <f t="shared" si="19"/>
        <v>427.24</v>
      </c>
      <c r="BL163" s="13" t="s">
        <v>235</v>
      </c>
      <c r="BM163" s="129" t="s">
        <v>280</v>
      </c>
    </row>
    <row r="164" spans="2:65" s="1" customFormat="1" ht="16.5" customHeight="1" x14ac:dyDescent="0.2">
      <c r="B164" s="118"/>
      <c r="C164" s="119" t="s">
        <v>281</v>
      </c>
      <c r="D164" s="119" t="s">
        <v>231</v>
      </c>
      <c r="E164" s="120" t="s">
        <v>4186</v>
      </c>
      <c r="F164" s="121" t="s">
        <v>4187</v>
      </c>
      <c r="G164" s="122" t="s">
        <v>243</v>
      </c>
      <c r="H164" s="123">
        <v>1</v>
      </c>
      <c r="I164" s="124">
        <v>20.7</v>
      </c>
      <c r="J164" s="124">
        <f t="shared" si="10"/>
        <v>20.7</v>
      </c>
      <c r="K164" s="121" t="s">
        <v>1</v>
      </c>
      <c r="L164" s="24"/>
      <c r="M164" s="125" t="s">
        <v>1</v>
      </c>
      <c r="N164" s="126" t="s">
        <v>32</v>
      </c>
      <c r="O164" s="127">
        <v>0</v>
      </c>
      <c r="P164" s="127">
        <f t="shared" si="11"/>
        <v>0</v>
      </c>
      <c r="Q164" s="127">
        <v>0</v>
      </c>
      <c r="R164" s="127">
        <f t="shared" si="12"/>
        <v>0</v>
      </c>
      <c r="S164" s="127">
        <v>0</v>
      </c>
      <c r="T164" s="128">
        <f t="shared" si="13"/>
        <v>0</v>
      </c>
      <c r="AR164" s="129" t="s">
        <v>235</v>
      </c>
      <c r="AT164" s="129" t="s">
        <v>231</v>
      </c>
      <c r="AU164" s="129" t="s">
        <v>76</v>
      </c>
      <c r="AY164" s="13" t="s">
        <v>228</v>
      </c>
      <c r="BE164" s="130">
        <f t="shared" si="14"/>
        <v>0</v>
      </c>
      <c r="BF164" s="130">
        <f t="shared" si="15"/>
        <v>20.7</v>
      </c>
      <c r="BG164" s="130">
        <f t="shared" si="16"/>
        <v>0</v>
      </c>
      <c r="BH164" s="130">
        <f t="shared" si="17"/>
        <v>0</v>
      </c>
      <c r="BI164" s="130">
        <f t="shared" si="18"/>
        <v>0</v>
      </c>
      <c r="BJ164" s="13" t="s">
        <v>76</v>
      </c>
      <c r="BK164" s="130">
        <f t="shared" si="19"/>
        <v>20.7</v>
      </c>
      <c r="BL164" s="13" t="s">
        <v>235</v>
      </c>
      <c r="BM164" s="129" t="s">
        <v>285</v>
      </c>
    </row>
    <row r="165" spans="2:65" s="1" customFormat="1" ht="16.5" customHeight="1" x14ac:dyDescent="0.2">
      <c r="B165" s="118"/>
      <c r="C165" s="119" t="s">
        <v>258</v>
      </c>
      <c r="D165" s="119" t="s">
        <v>231</v>
      </c>
      <c r="E165" s="120" t="s">
        <v>4188</v>
      </c>
      <c r="F165" s="121" t="s">
        <v>4189</v>
      </c>
      <c r="G165" s="122" t="s">
        <v>243</v>
      </c>
      <c r="H165" s="123">
        <v>2</v>
      </c>
      <c r="I165" s="124">
        <v>16.7</v>
      </c>
      <c r="J165" s="124">
        <f t="shared" si="10"/>
        <v>33.4</v>
      </c>
      <c r="K165" s="121" t="s">
        <v>1</v>
      </c>
      <c r="L165" s="24"/>
      <c r="M165" s="125" t="s">
        <v>1</v>
      </c>
      <c r="N165" s="126" t="s">
        <v>32</v>
      </c>
      <c r="O165" s="127">
        <v>0</v>
      </c>
      <c r="P165" s="127">
        <f t="shared" si="11"/>
        <v>0</v>
      </c>
      <c r="Q165" s="127">
        <v>0</v>
      </c>
      <c r="R165" s="127">
        <f t="shared" si="12"/>
        <v>0</v>
      </c>
      <c r="S165" s="127">
        <v>0</v>
      </c>
      <c r="T165" s="128">
        <f t="shared" si="13"/>
        <v>0</v>
      </c>
      <c r="AR165" s="129" t="s">
        <v>235</v>
      </c>
      <c r="AT165" s="129" t="s">
        <v>231</v>
      </c>
      <c r="AU165" s="129" t="s">
        <v>76</v>
      </c>
      <c r="AY165" s="13" t="s">
        <v>228</v>
      </c>
      <c r="BE165" s="130">
        <f t="shared" si="14"/>
        <v>0</v>
      </c>
      <c r="BF165" s="130">
        <f t="shared" si="15"/>
        <v>33.4</v>
      </c>
      <c r="BG165" s="130">
        <f t="shared" si="16"/>
        <v>0</v>
      </c>
      <c r="BH165" s="130">
        <f t="shared" si="17"/>
        <v>0</v>
      </c>
      <c r="BI165" s="130">
        <f t="shared" si="18"/>
        <v>0</v>
      </c>
      <c r="BJ165" s="13" t="s">
        <v>76</v>
      </c>
      <c r="BK165" s="130">
        <f t="shared" si="19"/>
        <v>33.4</v>
      </c>
      <c r="BL165" s="13" t="s">
        <v>235</v>
      </c>
      <c r="BM165" s="129" t="s">
        <v>288</v>
      </c>
    </row>
    <row r="166" spans="2:65" s="1" customFormat="1" ht="16.5" customHeight="1" x14ac:dyDescent="0.2">
      <c r="B166" s="118"/>
      <c r="C166" s="119" t="s">
        <v>289</v>
      </c>
      <c r="D166" s="119" t="s">
        <v>231</v>
      </c>
      <c r="E166" s="120" t="s">
        <v>4190</v>
      </c>
      <c r="F166" s="121" t="s">
        <v>2780</v>
      </c>
      <c r="G166" s="122" t="s">
        <v>243</v>
      </c>
      <c r="H166" s="123">
        <v>4</v>
      </c>
      <c r="I166" s="124">
        <v>11.35</v>
      </c>
      <c r="J166" s="124">
        <f t="shared" si="10"/>
        <v>45.4</v>
      </c>
      <c r="K166" s="121" t="s">
        <v>1</v>
      </c>
      <c r="L166" s="24"/>
      <c r="M166" s="125" t="s">
        <v>1</v>
      </c>
      <c r="N166" s="126" t="s">
        <v>32</v>
      </c>
      <c r="O166" s="127">
        <v>0</v>
      </c>
      <c r="P166" s="127">
        <f t="shared" si="11"/>
        <v>0</v>
      </c>
      <c r="Q166" s="127">
        <v>0</v>
      </c>
      <c r="R166" s="127">
        <f t="shared" si="12"/>
        <v>0</v>
      </c>
      <c r="S166" s="127">
        <v>0</v>
      </c>
      <c r="T166" s="128">
        <f t="shared" si="13"/>
        <v>0</v>
      </c>
      <c r="AR166" s="129" t="s">
        <v>235</v>
      </c>
      <c r="AT166" s="129" t="s">
        <v>231</v>
      </c>
      <c r="AU166" s="129" t="s">
        <v>76</v>
      </c>
      <c r="AY166" s="13" t="s">
        <v>228</v>
      </c>
      <c r="BE166" s="130">
        <f t="shared" si="14"/>
        <v>0</v>
      </c>
      <c r="BF166" s="130">
        <f t="shared" si="15"/>
        <v>45.4</v>
      </c>
      <c r="BG166" s="130">
        <f t="shared" si="16"/>
        <v>0</v>
      </c>
      <c r="BH166" s="130">
        <f t="shared" si="17"/>
        <v>0</v>
      </c>
      <c r="BI166" s="130">
        <f t="shared" si="18"/>
        <v>0</v>
      </c>
      <c r="BJ166" s="13" t="s">
        <v>76</v>
      </c>
      <c r="BK166" s="130">
        <f t="shared" si="19"/>
        <v>45.4</v>
      </c>
      <c r="BL166" s="13" t="s">
        <v>235</v>
      </c>
      <c r="BM166" s="129" t="s">
        <v>293</v>
      </c>
    </row>
    <row r="167" spans="2:65" s="1" customFormat="1" ht="16.5" customHeight="1" x14ac:dyDescent="0.2">
      <c r="B167" s="118"/>
      <c r="C167" s="119" t="s">
        <v>262</v>
      </c>
      <c r="D167" s="119" t="s">
        <v>231</v>
      </c>
      <c r="E167" s="120" t="s">
        <v>4191</v>
      </c>
      <c r="F167" s="121" t="s">
        <v>2782</v>
      </c>
      <c r="G167" s="122" t="s">
        <v>243</v>
      </c>
      <c r="H167" s="123">
        <v>3</v>
      </c>
      <c r="I167" s="124">
        <v>30.05</v>
      </c>
      <c r="J167" s="124">
        <f t="shared" si="10"/>
        <v>90.15</v>
      </c>
      <c r="K167" s="121" t="s">
        <v>1</v>
      </c>
      <c r="L167" s="24"/>
      <c r="M167" s="125" t="s">
        <v>1</v>
      </c>
      <c r="N167" s="126" t="s">
        <v>32</v>
      </c>
      <c r="O167" s="127">
        <v>0</v>
      </c>
      <c r="P167" s="127">
        <f t="shared" si="11"/>
        <v>0</v>
      </c>
      <c r="Q167" s="127">
        <v>0</v>
      </c>
      <c r="R167" s="127">
        <f t="shared" si="12"/>
        <v>0</v>
      </c>
      <c r="S167" s="127">
        <v>0</v>
      </c>
      <c r="T167" s="128">
        <f t="shared" si="13"/>
        <v>0</v>
      </c>
      <c r="AR167" s="129" t="s">
        <v>235</v>
      </c>
      <c r="AT167" s="129" t="s">
        <v>231</v>
      </c>
      <c r="AU167" s="129" t="s">
        <v>76</v>
      </c>
      <c r="AY167" s="13" t="s">
        <v>228</v>
      </c>
      <c r="BE167" s="130">
        <f t="shared" si="14"/>
        <v>0</v>
      </c>
      <c r="BF167" s="130">
        <f t="shared" si="15"/>
        <v>90.15</v>
      </c>
      <c r="BG167" s="130">
        <f t="shared" si="16"/>
        <v>0</v>
      </c>
      <c r="BH167" s="130">
        <f t="shared" si="17"/>
        <v>0</v>
      </c>
      <c r="BI167" s="130">
        <f t="shared" si="18"/>
        <v>0</v>
      </c>
      <c r="BJ167" s="13" t="s">
        <v>76</v>
      </c>
      <c r="BK167" s="130">
        <f t="shared" si="19"/>
        <v>90.15</v>
      </c>
      <c r="BL167" s="13" t="s">
        <v>235</v>
      </c>
      <c r="BM167" s="129" t="s">
        <v>296</v>
      </c>
    </row>
    <row r="168" spans="2:65" s="11" customFormat="1" ht="22.95" customHeight="1" x14ac:dyDescent="0.25">
      <c r="B168" s="106"/>
      <c r="D168" s="107" t="s">
        <v>57</v>
      </c>
      <c r="E168" s="116" t="s">
        <v>1240</v>
      </c>
      <c r="F168" s="116" t="s">
        <v>2783</v>
      </c>
      <c r="J168" s="117">
        <f>BK168</f>
        <v>10952.79</v>
      </c>
      <c r="L168" s="106"/>
      <c r="M168" s="110"/>
      <c r="N168" s="111"/>
      <c r="O168" s="111"/>
      <c r="P168" s="112">
        <f>SUM(P169:P199)</f>
        <v>0</v>
      </c>
      <c r="Q168" s="111"/>
      <c r="R168" s="112">
        <f>SUM(R169:R199)</f>
        <v>0</v>
      </c>
      <c r="S168" s="111"/>
      <c r="T168" s="113">
        <f>SUM(T169:T199)</f>
        <v>0</v>
      </c>
      <c r="AR168" s="107" t="s">
        <v>63</v>
      </c>
      <c r="AT168" s="114" t="s">
        <v>57</v>
      </c>
      <c r="AU168" s="114" t="s">
        <v>63</v>
      </c>
      <c r="AY168" s="107" t="s">
        <v>228</v>
      </c>
      <c r="BK168" s="115">
        <f>SUM(BK169:BK199)</f>
        <v>10952.79</v>
      </c>
    </row>
    <row r="169" spans="2:65" s="1" customFormat="1" ht="24" customHeight="1" x14ac:dyDescent="0.2">
      <c r="B169" s="118"/>
      <c r="C169" s="119" t="s">
        <v>297</v>
      </c>
      <c r="D169" s="119" t="s">
        <v>231</v>
      </c>
      <c r="E169" s="120" t="s">
        <v>5016</v>
      </c>
      <c r="F169" s="121" t="s">
        <v>5017</v>
      </c>
      <c r="G169" s="122" t="s">
        <v>292</v>
      </c>
      <c r="H169" s="123">
        <v>120</v>
      </c>
      <c r="I169" s="124">
        <v>2.31</v>
      </c>
      <c r="J169" s="124">
        <f t="shared" ref="J169:J199" si="20">ROUND(I169*H169,2)</f>
        <v>277.2</v>
      </c>
      <c r="K169" s="121" t="s">
        <v>1</v>
      </c>
      <c r="L169" s="24"/>
      <c r="M169" s="125" t="s">
        <v>1</v>
      </c>
      <c r="N169" s="126" t="s">
        <v>32</v>
      </c>
      <c r="O169" s="127">
        <v>0</v>
      </c>
      <c r="P169" s="127">
        <f t="shared" ref="P169:P199" si="21">O169*H169</f>
        <v>0</v>
      </c>
      <c r="Q169" s="127">
        <v>0</v>
      </c>
      <c r="R169" s="127">
        <f t="shared" ref="R169:R199" si="22">Q169*H169</f>
        <v>0</v>
      </c>
      <c r="S169" s="127">
        <v>0</v>
      </c>
      <c r="T169" s="128">
        <f t="shared" ref="T169:T199" si="23">S169*H169</f>
        <v>0</v>
      </c>
      <c r="AR169" s="129" t="s">
        <v>235</v>
      </c>
      <c r="AT169" s="129" t="s">
        <v>231</v>
      </c>
      <c r="AU169" s="129" t="s">
        <v>76</v>
      </c>
      <c r="AY169" s="13" t="s">
        <v>228</v>
      </c>
      <c r="BE169" s="130">
        <f t="shared" ref="BE169:BE199" si="24">IF(N169="základná",J169,0)</f>
        <v>0</v>
      </c>
      <c r="BF169" s="130">
        <f t="shared" ref="BF169:BF199" si="25">IF(N169="znížená",J169,0)</f>
        <v>277.2</v>
      </c>
      <c r="BG169" s="130">
        <f t="shared" ref="BG169:BG199" si="26">IF(N169="zákl. prenesená",J169,0)</f>
        <v>0</v>
      </c>
      <c r="BH169" s="130">
        <f t="shared" ref="BH169:BH199" si="27">IF(N169="zníž. prenesená",J169,0)</f>
        <v>0</v>
      </c>
      <c r="BI169" s="130">
        <f t="shared" ref="BI169:BI199" si="28">IF(N169="nulová",J169,0)</f>
        <v>0</v>
      </c>
      <c r="BJ169" s="13" t="s">
        <v>76</v>
      </c>
      <c r="BK169" s="130">
        <f t="shared" ref="BK169:BK199" si="29">ROUND(I169*H169,2)</f>
        <v>277.2</v>
      </c>
      <c r="BL169" s="13" t="s">
        <v>235</v>
      </c>
      <c r="BM169" s="129" t="s">
        <v>300</v>
      </c>
    </row>
    <row r="170" spans="2:65" s="1" customFormat="1" ht="24" customHeight="1" x14ac:dyDescent="0.2">
      <c r="B170" s="118"/>
      <c r="C170" s="119" t="s">
        <v>7</v>
      </c>
      <c r="D170" s="119" t="s">
        <v>231</v>
      </c>
      <c r="E170" s="120" t="s">
        <v>5018</v>
      </c>
      <c r="F170" s="121" t="s">
        <v>5019</v>
      </c>
      <c r="G170" s="122" t="s">
        <v>292</v>
      </c>
      <c r="H170" s="123">
        <v>50</v>
      </c>
      <c r="I170" s="124">
        <v>1.47</v>
      </c>
      <c r="J170" s="124">
        <f t="shared" si="20"/>
        <v>73.5</v>
      </c>
      <c r="K170" s="121" t="s">
        <v>1</v>
      </c>
      <c r="L170" s="24"/>
      <c r="M170" s="125" t="s">
        <v>1</v>
      </c>
      <c r="N170" s="126" t="s">
        <v>32</v>
      </c>
      <c r="O170" s="127">
        <v>0</v>
      </c>
      <c r="P170" s="127">
        <f t="shared" si="21"/>
        <v>0</v>
      </c>
      <c r="Q170" s="127">
        <v>0</v>
      </c>
      <c r="R170" s="127">
        <f t="shared" si="22"/>
        <v>0</v>
      </c>
      <c r="S170" s="127">
        <v>0</v>
      </c>
      <c r="T170" s="128">
        <f t="shared" si="23"/>
        <v>0</v>
      </c>
      <c r="AR170" s="129" t="s">
        <v>235</v>
      </c>
      <c r="AT170" s="129" t="s">
        <v>231</v>
      </c>
      <c r="AU170" s="129" t="s">
        <v>76</v>
      </c>
      <c r="AY170" s="13" t="s">
        <v>228</v>
      </c>
      <c r="BE170" s="130">
        <f t="shared" si="24"/>
        <v>0</v>
      </c>
      <c r="BF170" s="130">
        <f t="shared" si="25"/>
        <v>73.5</v>
      </c>
      <c r="BG170" s="130">
        <f t="shared" si="26"/>
        <v>0</v>
      </c>
      <c r="BH170" s="130">
        <f t="shared" si="27"/>
        <v>0</v>
      </c>
      <c r="BI170" s="130">
        <f t="shared" si="28"/>
        <v>0</v>
      </c>
      <c r="BJ170" s="13" t="s">
        <v>76</v>
      </c>
      <c r="BK170" s="130">
        <f t="shared" si="29"/>
        <v>73.5</v>
      </c>
      <c r="BL170" s="13" t="s">
        <v>235</v>
      </c>
      <c r="BM170" s="129" t="s">
        <v>303</v>
      </c>
    </row>
    <row r="171" spans="2:65" s="1" customFormat="1" ht="24" customHeight="1" x14ac:dyDescent="0.2">
      <c r="B171" s="118"/>
      <c r="C171" s="119" t="s">
        <v>305</v>
      </c>
      <c r="D171" s="119" t="s">
        <v>231</v>
      </c>
      <c r="E171" s="120" t="s">
        <v>5020</v>
      </c>
      <c r="F171" s="121" t="s">
        <v>5021</v>
      </c>
      <c r="G171" s="122" t="s">
        <v>292</v>
      </c>
      <c r="H171" s="123">
        <v>50</v>
      </c>
      <c r="I171" s="124">
        <v>1.3</v>
      </c>
      <c r="J171" s="124">
        <f t="shared" si="20"/>
        <v>65</v>
      </c>
      <c r="K171" s="121" t="s">
        <v>1</v>
      </c>
      <c r="L171" s="24"/>
      <c r="M171" s="125" t="s">
        <v>1</v>
      </c>
      <c r="N171" s="126" t="s">
        <v>32</v>
      </c>
      <c r="O171" s="127">
        <v>0</v>
      </c>
      <c r="P171" s="127">
        <f t="shared" si="21"/>
        <v>0</v>
      </c>
      <c r="Q171" s="127">
        <v>0</v>
      </c>
      <c r="R171" s="127">
        <f t="shared" si="22"/>
        <v>0</v>
      </c>
      <c r="S171" s="127">
        <v>0</v>
      </c>
      <c r="T171" s="128">
        <f t="shared" si="23"/>
        <v>0</v>
      </c>
      <c r="AR171" s="129" t="s">
        <v>235</v>
      </c>
      <c r="AT171" s="129" t="s">
        <v>231</v>
      </c>
      <c r="AU171" s="129" t="s">
        <v>76</v>
      </c>
      <c r="AY171" s="13" t="s">
        <v>228</v>
      </c>
      <c r="BE171" s="130">
        <f t="shared" si="24"/>
        <v>0</v>
      </c>
      <c r="BF171" s="130">
        <f t="shared" si="25"/>
        <v>65</v>
      </c>
      <c r="BG171" s="130">
        <f t="shared" si="26"/>
        <v>0</v>
      </c>
      <c r="BH171" s="130">
        <f t="shared" si="27"/>
        <v>0</v>
      </c>
      <c r="BI171" s="130">
        <f t="shared" si="28"/>
        <v>0</v>
      </c>
      <c r="BJ171" s="13" t="s">
        <v>76</v>
      </c>
      <c r="BK171" s="130">
        <f t="shared" si="29"/>
        <v>65</v>
      </c>
      <c r="BL171" s="13" t="s">
        <v>235</v>
      </c>
      <c r="BM171" s="129" t="s">
        <v>308</v>
      </c>
    </row>
    <row r="172" spans="2:65" s="1" customFormat="1" ht="24" customHeight="1" x14ac:dyDescent="0.2">
      <c r="B172" s="118"/>
      <c r="C172" s="119" t="s">
        <v>268</v>
      </c>
      <c r="D172" s="119" t="s">
        <v>231</v>
      </c>
      <c r="E172" s="120" t="s">
        <v>2786</v>
      </c>
      <c r="F172" s="121" t="s">
        <v>2787</v>
      </c>
      <c r="G172" s="122" t="s">
        <v>292</v>
      </c>
      <c r="H172" s="123">
        <v>100</v>
      </c>
      <c r="I172" s="124">
        <v>1.24</v>
      </c>
      <c r="J172" s="124">
        <f t="shared" si="20"/>
        <v>124</v>
      </c>
      <c r="K172" s="121" t="s">
        <v>1</v>
      </c>
      <c r="L172" s="24"/>
      <c r="M172" s="125" t="s">
        <v>1</v>
      </c>
      <c r="N172" s="126" t="s">
        <v>32</v>
      </c>
      <c r="O172" s="127">
        <v>0</v>
      </c>
      <c r="P172" s="127">
        <f t="shared" si="21"/>
        <v>0</v>
      </c>
      <c r="Q172" s="127">
        <v>0</v>
      </c>
      <c r="R172" s="127">
        <f t="shared" si="22"/>
        <v>0</v>
      </c>
      <c r="S172" s="127">
        <v>0</v>
      </c>
      <c r="T172" s="128">
        <f t="shared" si="23"/>
        <v>0</v>
      </c>
      <c r="AR172" s="129" t="s">
        <v>235</v>
      </c>
      <c r="AT172" s="129" t="s">
        <v>231</v>
      </c>
      <c r="AU172" s="129" t="s">
        <v>76</v>
      </c>
      <c r="AY172" s="13" t="s">
        <v>228</v>
      </c>
      <c r="BE172" s="130">
        <f t="shared" si="24"/>
        <v>0</v>
      </c>
      <c r="BF172" s="130">
        <f t="shared" si="25"/>
        <v>124</v>
      </c>
      <c r="BG172" s="130">
        <f t="shared" si="26"/>
        <v>0</v>
      </c>
      <c r="BH172" s="130">
        <f t="shared" si="27"/>
        <v>0</v>
      </c>
      <c r="BI172" s="130">
        <f t="shared" si="28"/>
        <v>0</v>
      </c>
      <c r="BJ172" s="13" t="s">
        <v>76</v>
      </c>
      <c r="BK172" s="130">
        <f t="shared" si="29"/>
        <v>124</v>
      </c>
      <c r="BL172" s="13" t="s">
        <v>235</v>
      </c>
      <c r="BM172" s="129" t="s">
        <v>312</v>
      </c>
    </row>
    <row r="173" spans="2:65" s="1" customFormat="1" ht="24" customHeight="1" x14ac:dyDescent="0.2">
      <c r="B173" s="118"/>
      <c r="C173" s="119" t="s">
        <v>313</v>
      </c>
      <c r="D173" s="119" t="s">
        <v>231</v>
      </c>
      <c r="E173" s="120" t="s">
        <v>2790</v>
      </c>
      <c r="F173" s="121" t="s">
        <v>2791</v>
      </c>
      <c r="G173" s="122" t="s">
        <v>292</v>
      </c>
      <c r="H173" s="123">
        <v>190</v>
      </c>
      <c r="I173" s="124">
        <v>1.24</v>
      </c>
      <c r="J173" s="124">
        <f t="shared" si="20"/>
        <v>235.6</v>
      </c>
      <c r="K173" s="121" t="s">
        <v>1</v>
      </c>
      <c r="L173" s="24"/>
      <c r="M173" s="125" t="s">
        <v>1</v>
      </c>
      <c r="N173" s="126" t="s">
        <v>32</v>
      </c>
      <c r="O173" s="127">
        <v>0</v>
      </c>
      <c r="P173" s="127">
        <f t="shared" si="21"/>
        <v>0</v>
      </c>
      <c r="Q173" s="127">
        <v>0</v>
      </c>
      <c r="R173" s="127">
        <f t="shared" si="22"/>
        <v>0</v>
      </c>
      <c r="S173" s="127">
        <v>0</v>
      </c>
      <c r="T173" s="128">
        <f t="shared" si="23"/>
        <v>0</v>
      </c>
      <c r="AR173" s="129" t="s">
        <v>235</v>
      </c>
      <c r="AT173" s="129" t="s">
        <v>231</v>
      </c>
      <c r="AU173" s="129" t="s">
        <v>76</v>
      </c>
      <c r="AY173" s="13" t="s">
        <v>228</v>
      </c>
      <c r="BE173" s="130">
        <f t="shared" si="24"/>
        <v>0</v>
      </c>
      <c r="BF173" s="130">
        <f t="shared" si="25"/>
        <v>235.6</v>
      </c>
      <c r="BG173" s="130">
        <f t="shared" si="26"/>
        <v>0</v>
      </c>
      <c r="BH173" s="130">
        <f t="shared" si="27"/>
        <v>0</v>
      </c>
      <c r="BI173" s="130">
        <f t="shared" si="28"/>
        <v>0</v>
      </c>
      <c r="BJ173" s="13" t="s">
        <v>76</v>
      </c>
      <c r="BK173" s="130">
        <f t="shared" si="29"/>
        <v>235.6</v>
      </c>
      <c r="BL173" s="13" t="s">
        <v>235</v>
      </c>
      <c r="BM173" s="129" t="s">
        <v>316</v>
      </c>
    </row>
    <row r="174" spans="2:65" s="1" customFormat="1" ht="16.5" customHeight="1" x14ac:dyDescent="0.2">
      <c r="B174" s="118"/>
      <c r="C174" s="119" t="s">
        <v>272</v>
      </c>
      <c r="D174" s="119" t="s">
        <v>231</v>
      </c>
      <c r="E174" s="120" t="s">
        <v>2792</v>
      </c>
      <c r="F174" s="121" t="s">
        <v>2793</v>
      </c>
      <c r="G174" s="122" t="s">
        <v>292</v>
      </c>
      <c r="H174" s="123">
        <v>320</v>
      </c>
      <c r="I174" s="124">
        <v>1.24</v>
      </c>
      <c r="J174" s="124">
        <f t="shared" si="20"/>
        <v>396.8</v>
      </c>
      <c r="K174" s="121" t="s">
        <v>1</v>
      </c>
      <c r="L174" s="24"/>
      <c r="M174" s="125" t="s">
        <v>1</v>
      </c>
      <c r="N174" s="126" t="s">
        <v>32</v>
      </c>
      <c r="O174" s="127">
        <v>0</v>
      </c>
      <c r="P174" s="127">
        <f t="shared" si="21"/>
        <v>0</v>
      </c>
      <c r="Q174" s="127">
        <v>0</v>
      </c>
      <c r="R174" s="127">
        <f t="shared" si="22"/>
        <v>0</v>
      </c>
      <c r="S174" s="127">
        <v>0</v>
      </c>
      <c r="T174" s="128">
        <f t="shared" si="23"/>
        <v>0</v>
      </c>
      <c r="AR174" s="129" t="s">
        <v>235</v>
      </c>
      <c r="AT174" s="129" t="s">
        <v>231</v>
      </c>
      <c r="AU174" s="129" t="s">
        <v>76</v>
      </c>
      <c r="AY174" s="13" t="s">
        <v>228</v>
      </c>
      <c r="BE174" s="130">
        <f t="shared" si="24"/>
        <v>0</v>
      </c>
      <c r="BF174" s="130">
        <f t="shared" si="25"/>
        <v>396.8</v>
      </c>
      <c r="BG174" s="130">
        <f t="shared" si="26"/>
        <v>0</v>
      </c>
      <c r="BH174" s="130">
        <f t="shared" si="27"/>
        <v>0</v>
      </c>
      <c r="BI174" s="130">
        <f t="shared" si="28"/>
        <v>0</v>
      </c>
      <c r="BJ174" s="13" t="s">
        <v>76</v>
      </c>
      <c r="BK174" s="130">
        <f t="shared" si="29"/>
        <v>396.8</v>
      </c>
      <c r="BL174" s="13" t="s">
        <v>235</v>
      </c>
      <c r="BM174" s="129" t="s">
        <v>319</v>
      </c>
    </row>
    <row r="175" spans="2:65" s="1" customFormat="1" ht="16.5" customHeight="1" x14ac:dyDescent="0.2">
      <c r="B175" s="118"/>
      <c r="C175" s="119" t="s">
        <v>320</v>
      </c>
      <c r="D175" s="119" t="s">
        <v>231</v>
      </c>
      <c r="E175" s="120" t="s">
        <v>2794</v>
      </c>
      <c r="F175" s="121" t="s">
        <v>2795</v>
      </c>
      <c r="G175" s="122" t="s">
        <v>292</v>
      </c>
      <c r="H175" s="123">
        <v>280</v>
      </c>
      <c r="I175" s="124">
        <v>1.24</v>
      </c>
      <c r="J175" s="124">
        <f t="shared" si="20"/>
        <v>347.2</v>
      </c>
      <c r="K175" s="121" t="s">
        <v>1</v>
      </c>
      <c r="L175" s="24"/>
      <c r="M175" s="125" t="s">
        <v>1</v>
      </c>
      <c r="N175" s="126" t="s">
        <v>32</v>
      </c>
      <c r="O175" s="127">
        <v>0</v>
      </c>
      <c r="P175" s="127">
        <f t="shared" si="21"/>
        <v>0</v>
      </c>
      <c r="Q175" s="127">
        <v>0</v>
      </c>
      <c r="R175" s="127">
        <f t="shared" si="22"/>
        <v>0</v>
      </c>
      <c r="S175" s="127">
        <v>0</v>
      </c>
      <c r="T175" s="128">
        <f t="shared" si="23"/>
        <v>0</v>
      </c>
      <c r="AR175" s="129" t="s">
        <v>235</v>
      </c>
      <c r="AT175" s="129" t="s">
        <v>231</v>
      </c>
      <c r="AU175" s="129" t="s">
        <v>76</v>
      </c>
      <c r="AY175" s="13" t="s">
        <v>228</v>
      </c>
      <c r="BE175" s="130">
        <f t="shared" si="24"/>
        <v>0</v>
      </c>
      <c r="BF175" s="130">
        <f t="shared" si="25"/>
        <v>347.2</v>
      </c>
      <c r="BG175" s="130">
        <f t="shared" si="26"/>
        <v>0</v>
      </c>
      <c r="BH175" s="130">
        <f t="shared" si="27"/>
        <v>0</v>
      </c>
      <c r="BI175" s="130">
        <f t="shared" si="28"/>
        <v>0</v>
      </c>
      <c r="BJ175" s="13" t="s">
        <v>76</v>
      </c>
      <c r="BK175" s="130">
        <f t="shared" si="29"/>
        <v>347.2</v>
      </c>
      <c r="BL175" s="13" t="s">
        <v>235</v>
      </c>
      <c r="BM175" s="129" t="s">
        <v>323</v>
      </c>
    </row>
    <row r="176" spans="2:65" s="1" customFormat="1" ht="16.5" customHeight="1" x14ac:dyDescent="0.2">
      <c r="B176" s="118"/>
      <c r="C176" s="119" t="s">
        <v>276</v>
      </c>
      <c r="D176" s="119" t="s">
        <v>231</v>
      </c>
      <c r="E176" s="120" t="s">
        <v>2796</v>
      </c>
      <c r="F176" s="121" t="s">
        <v>2797</v>
      </c>
      <c r="G176" s="122" t="s">
        <v>292</v>
      </c>
      <c r="H176" s="123">
        <v>160</v>
      </c>
      <c r="I176" s="124">
        <v>0.8</v>
      </c>
      <c r="J176" s="124">
        <f t="shared" si="20"/>
        <v>128</v>
      </c>
      <c r="K176" s="121" t="s">
        <v>1</v>
      </c>
      <c r="L176" s="24"/>
      <c r="M176" s="125" t="s">
        <v>1</v>
      </c>
      <c r="N176" s="126" t="s">
        <v>32</v>
      </c>
      <c r="O176" s="127">
        <v>0</v>
      </c>
      <c r="P176" s="127">
        <f t="shared" si="21"/>
        <v>0</v>
      </c>
      <c r="Q176" s="127">
        <v>0</v>
      </c>
      <c r="R176" s="127">
        <f t="shared" si="22"/>
        <v>0</v>
      </c>
      <c r="S176" s="127">
        <v>0</v>
      </c>
      <c r="T176" s="128">
        <f t="shared" si="23"/>
        <v>0</v>
      </c>
      <c r="AR176" s="129" t="s">
        <v>235</v>
      </c>
      <c r="AT176" s="129" t="s">
        <v>231</v>
      </c>
      <c r="AU176" s="129" t="s">
        <v>76</v>
      </c>
      <c r="AY176" s="13" t="s">
        <v>228</v>
      </c>
      <c r="BE176" s="130">
        <f t="shared" si="24"/>
        <v>0</v>
      </c>
      <c r="BF176" s="130">
        <f t="shared" si="25"/>
        <v>128</v>
      </c>
      <c r="BG176" s="130">
        <f t="shared" si="26"/>
        <v>0</v>
      </c>
      <c r="BH176" s="130">
        <f t="shared" si="27"/>
        <v>0</v>
      </c>
      <c r="BI176" s="130">
        <f t="shared" si="28"/>
        <v>0</v>
      </c>
      <c r="BJ176" s="13" t="s">
        <v>76</v>
      </c>
      <c r="BK176" s="130">
        <f t="shared" si="29"/>
        <v>128</v>
      </c>
      <c r="BL176" s="13" t="s">
        <v>235</v>
      </c>
      <c r="BM176" s="129" t="s">
        <v>326</v>
      </c>
    </row>
    <row r="177" spans="2:65" s="1" customFormat="1" ht="24" customHeight="1" x14ac:dyDescent="0.2">
      <c r="B177" s="118"/>
      <c r="C177" s="119" t="s">
        <v>327</v>
      </c>
      <c r="D177" s="119" t="s">
        <v>231</v>
      </c>
      <c r="E177" s="120" t="s">
        <v>2798</v>
      </c>
      <c r="F177" s="121" t="s">
        <v>2799</v>
      </c>
      <c r="G177" s="122" t="s">
        <v>292</v>
      </c>
      <c r="H177" s="123">
        <v>160</v>
      </c>
      <c r="I177" s="124">
        <v>0.8</v>
      </c>
      <c r="J177" s="124">
        <f t="shared" si="20"/>
        <v>128</v>
      </c>
      <c r="K177" s="121" t="s">
        <v>1</v>
      </c>
      <c r="L177" s="24"/>
      <c r="M177" s="125" t="s">
        <v>1</v>
      </c>
      <c r="N177" s="126" t="s">
        <v>32</v>
      </c>
      <c r="O177" s="127">
        <v>0</v>
      </c>
      <c r="P177" s="127">
        <f t="shared" si="21"/>
        <v>0</v>
      </c>
      <c r="Q177" s="127">
        <v>0</v>
      </c>
      <c r="R177" s="127">
        <f t="shared" si="22"/>
        <v>0</v>
      </c>
      <c r="S177" s="127">
        <v>0</v>
      </c>
      <c r="T177" s="128">
        <f t="shared" si="23"/>
        <v>0</v>
      </c>
      <c r="AR177" s="129" t="s">
        <v>235</v>
      </c>
      <c r="AT177" s="129" t="s">
        <v>231</v>
      </c>
      <c r="AU177" s="129" t="s">
        <v>76</v>
      </c>
      <c r="AY177" s="13" t="s">
        <v>228</v>
      </c>
      <c r="BE177" s="130">
        <f t="shared" si="24"/>
        <v>0</v>
      </c>
      <c r="BF177" s="130">
        <f t="shared" si="25"/>
        <v>128</v>
      </c>
      <c r="BG177" s="130">
        <f t="shared" si="26"/>
        <v>0</v>
      </c>
      <c r="BH177" s="130">
        <f t="shared" si="27"/>
        <v>0</v>
      </c>
      <c r="BI177" s="130">
        <f t="shared" si="28"/>
        <v>0</v>
      </c>
      <c r="BJ177" s="13" t="s">
        <v>76</v>
      </c>
      <c r="BK177" s="130">
        <f t="shared" si="29"/>
        <v>128</v>
      </c>
      <c r="BL177" s="13" t="s">
        <v>235</v>
      </c>
      <c r="BM177" s="129" t="s">
        <v>330</v>
      </c>
    </row>
    <row r="178" spans="2:65" s="1" customFormat="1" ht="24" customHeight="1" x14ac:dyDescent="0.2">
      <c r="B178" s="118"/>
      <c r="C178" s="119" t="s">
        <v>280</v>
      </c>
      <c r="D178" s="119" t="s">
        <v>231</v>
      </c>
      <c r="E178" s="120" t="s">
        <v>4196</v>
      </c>
      <c r="F178" s="121" t="s">
        <v>4197</v>
      </c>
      <c r="G178" s="122" t="s">
        <v>243</v>
      </c>
      <c r="H178" s="123">
        <v>6</v>
      </c>
      <c r="I178" s="124">
        <v>15.66</v>
      </c>
      <c r="J178" s="124">
        <f t="shared" si="20"/>
        <v>93.96</v>
      </c>
      <c r="K178" s="121" t="s">
        <v>1</v>
      </c>
      <c r="L178" s="24"/>
      <c r="M178" s="125" t="s">
        <v>1</v>
      </c>
      <c r="N178" s="126" t="s">
        <v>32</v>
      </c>
      <c r="O178" s="127">
        <v>0</v>
      </c>
      <c r="P178" s="127">
        <f t="shared" si="21"/>
        <v>0</v>
      </c>
      <c r="Q178" s="127">
        <v>0</v>
      </c>
      <c r="R178" s="127">
        <f t="shared" si="22"/>
        <v>0</v>
      </c>
      <c r="S178" s="127">
        <v>0</v>
      </c>
      <c r="T178" s="128">
        <f t="shared" si="23"/>
        <v>0</v>
      </c>
      <c r="AR178" s="129" t="s">
        <v>235</v>
      </c>
      <c r="AT178" s="129" t="s">
        <v>231</v>
      </c>
      <c r="AU178" s="129" t="s">
        <v>76</v>
      </c>
      <c r="AY178" s="13" t="s">
        <v>228</v>
      </c>
      <c r="BE178" s="130">
        <f t="shared" si="24"/>
        <v>0</v>
      </c>
      <c r="BF178" s="130">
        <f t="shared" si="25"/>
        <v>93.96</v>
      </c>
      <c r="BG178" s="130">
        <f t="shared" si="26"/>
        <v>0</v>
      </c>
      <c r="BH178" s="130">
        <f t="shared" si="27"/>
        <v>0</v>
      </c>
      <c r="BI178" s="130">
        <f t="shared" si="28"/>
        <v>0</v>
      </c>
      <c r="BJ178" s="13" t="s">
        <v>76</v>
      </c>
      <c r="BK178" s="130">
        <f t="shared" si="29"/>
        <v>93.96</v>
      </c>
      <c r="BL178" s="13" t="s">
        <v>235</v>
      </c>
      <c r="BM178" s="129" t="s">
        <v>333</v>
      </c>
    </row>
    <row r="179" spans="2:65" s="1" customFormat="1" ht="24" customHeight="1" x14ac:dyDescent="0.2">
      <c r="B179" s="118"/>
      <c r="C179" s="119" t="s">
        <v>334</v>
      </c>
      <c r="D179" s="119" t="s">
        <v>231</v>
      </c>
      <c r="E179" s="120" t="s">
        <v>4198</v>
      </c>
      <c r="F179" s="121" t="s">
        <v>2801</v>
      </c>
      <c r="G179" s="122" t="s">
        <v>243</v>
      </c>
      <c r="H179" s="123">
        <v>44</v>
      </c>
      <c r="I179" s="124">
        <v>6.4</v>
      </c>
      <c r="J179" s="124">
        <f t="shared" si="20"/>
        <v>281.60000000000002</v>
      </c>
      <c r="K179" s="121" t="s">
        <v>1</v>
      </c>
      <c r="L179" s="24"/>
      <c r="M179" s="125" t="s">
        <v>1</v>
      </c>
      <c r="N179" s="126" t="s">
        <v>32</v>
      </c>
      <c r="O179" s="127">
        <v>0</v>
      </c>
      <c r="P179" s="127">
        <f t="shared" si="21"/>
        <v>0</v>
      </c>
      <c r="Q179" s="127">
        <v>0</v>
      </c>
      <c r="R179" s="127">
        <f t="shared" si="22"/>
        <v>0</v>
      </c>
      <c r="S179" s="127">
        <v>0</v>
      </c>
      <c r="T179" s="128">
        <f t="shared" si="23"/>
        <v>0</v>
      </c>
      <c r="AR179" s="129" t="s">
        <v>235</v>
      </c>
      <c r="AT179" s="129" t="s">
        <v>231</v>
      </c>
      <c r="AU179" s="129" t="s">
        <v>76</v>
      </c>
      <c r="AY179" s="13" t="s">
        <v>228</v>
      </c>
      <c r="BE179" s="130">
        <f t="shared" si="24"/>
        <v>0</v>
      </c>
      <c r="BF179" s="130">
        <f t="shared" si="25"/>
        <v>281.60000000000002</v>
      </c>
      <c r="BG179" s="130">
        <f t="shared" si="26"/>
        <v>0</v>
      </c>
      <c r="BH179" s="130">
        <f t="shared" si="27"/>
        <v>0</v>
      </c>
      <c r="BI179" s="130">
        <f t="shared" si="28"/>
        <v>0</v>
      </c>
      <c r="BJ179" s="13" t="s">
        <v>76</v>
      </c>
      <c r="BK179" s="130">
        <f t="shared" si="29"/>
        <v>281.60000000000002</v>
      </c>
      <c r="BL179" s="13" t="s">
        <v>235</v>
      </c>
      <c r="BM179" s="129" t="s">
        <v>337</v>
      </c>
    </row>
    <row r="180" spans="2:65" s="1" customFormat="1" ht="24" customHeight="1" x14ac:dyDescent="0.2">
      <c r="B180" s="118"/>
      <c r="C180" s="119" t="s">
        <v>285</v>
      </c>
      <c r="D180" s="119" t="s">
        <v>231</v>
      </c>
      <c r="E180" s="120" t="s">
        <v>4199</v>
      </c>
      <c r="F180" s="121" t="s">
        <v>2803</v>
      </c>
      <c r="G180" s="122" t="s">
        <v>243</v>
      </c>
      <c r="H180" s="123">
        <v>28</v>
      </c>
      <c r="I180" s="124">
        <v>10.88</v>
      </c>
      <c r="J180" s="124">
        <f t="shared" si="20"/>
        <v>304.64</v>
      </c>
      <c r="K180" s="121" t="s">
        <v>1</v>
      </c>
      <c r="L180" s="24"/>
      <c r="M180" s="125" t="s">
        <v>1</v>
      </c>
      <c r="N180" s="126" t="s">
        <v>32</v>
      </c>
      <c r="O180" s="127">
        <v>0</v>
      </c>
      <c r="P180" s="127">
        <f t="shared" si="21"/>
        <v>0</v>
      </c>
      <c r="Q180" s="127">
        <v>0</v>
      </c>
      <c r="R180" s="127">
        <f t="shared" si="22"/>
        <v>0</v>
      </c>
      <c r="S180" s="127">
        <v>0</v>
      </c>
      <c r="T180" s="128">
        <f t="shared" si="23"/>
        <v>0</v>
      </c>
      <c r="AR180" s="129" t="s">
        <v>235</v>
      </c>
      <c r="AT180" s="129" t="s">
        <v>231</v>
      </c>
      <c r="AU180" s="129" t="s">
        <v>76</v>
      </c>
      <c r="AY180" s="13" t="s">
        <v>228</v>
      </c>
      <c r="BE180" s="130">
        <f t="shared" si="24"/>
        <v>0</v>
      </c>
      <c r="BF180" s="130">
        <f t="shared" si="25"/>
        <v>304.64</v>
      </c>
      <c r="BG180" s="130">
        <f t="shared" si="26"/>
        <v>0</v>
      </c>
      <c r="BH180" s="130">
        <f t="shared" si="27"/>
        <v>0</v>
      </c>
      <c r="BI180" s="130">
        <f t="shared" si="28"/>
        <v>0</v>
      </c>
      <c r="BJ180" s="13" t="s">
        <v>76</v>
      </c>
      <c r="BK180" s="130">
        <f t="shared" si="29"/>
        <v>304.64</v>
      </c>
      <c r="BL180" s="13" t="s">
        <v>235</v>
      </c>
      <c r="BM180" s="129" t="s">
        <v>340</v>
      </c>
    </row>
    <row r="181" spans="2:65" s="1" customFormat="1" ht="16.5" customHeight="1" x14ac:dyDescent="0.2">
      <c r="B181" s="118"/>
      <c r="C181" s="119" t="s">
        <v>341</v>
      </c>
      <c r="D181" s="119" t="s">
        <v>231</v>
      </c>
      <c r="E181" s="120" t="s">
        <v>4200</v>
      </c>
      <c r="F181" s="121" t="s">
        <v>2805</v>
      </c>
      <c r="G181" s="122" t="s">
        <v>243</v>
      </c>
      <c r="H181" s="123">
        <v>94</v>
      </c>
      <c r="I181" s="124">
        <v>1.07</v>
      </c>
      <c r="J181" s="124">
        <f t="shared" si="20"/>
        <v>100.58</v>
      </c>
      <c r="K181" s="121" t="s">
        <v>1</v>
      </c>
      <c r="L181" s="24"/>
      <c r="M181" s="125" t="s">
        <v>1</v>
      </c>
      <c r="N181" s="126" t="s">
        <v>32</v>
      </c>
      <c r="O181" s="127">
        <v>0</v>
      </c>
      <c r="P181" s="127">
        <f t="shared" si="21"/>
        <v>0</v>
      </c>
      <c r="Q181" s="127">
        <v>0</v>
      </c>
      <c r="R181" s="127">
        <f t="shared" si="22"/>
        <v>0</v>
      </c>
      <c r="S181" s="127">
        <v>0</v>
      </c>
      <c r="T181" s="128">
        <f t="shared" si="23"/>
        <v>0</v>
      </c>
      <c r="AR181" s="129" t="s">
        <v>235</v>
      </c>
      <c r="AT181" s="129" t="s">
        <v>231</v>
      </c>
      <c r="AU181" s="129" t="s">
        <v>76</v>
      </c>
      <c r="AY181" s="13" t="s">
        <v>228</v>
      </c>
      <c r="BE181" s="130">
        <f t="shared" si="24"/>
        <v>0</v>
      </c>
      <c r="BF181" s="130">
        <f t="shared" si="25"/>
        <v>100.58</v>
      </c>
      <c r="BG181" s="130">
        <f t="shared" si="26"/>
        <v>0</v>
      </c>
      <c r="BH181" s="130">
        <f t="shared" si="27"/>
        <v>0</v>
      </c>
      <c r="BI181" s="130">
        <f t="shared" si="28"/>
        <v>0</v>
      </c>
      <c r="BJ181" s="13" t="s">
        <v>76</v>
      </c>
      <c r="BK181" s="130">
        <f t="shared" si="29"/>
        <v>100.58</v>
      </c>
      <c r="BL181" s="13" t="s">
        <v>235</v>
      </c>
      <c r="BM181" s="129" t="s">
        <v>344</v>
      </c>
    </row>
    <row r="182" spans="2:65" s="1" customFormat="1" ht="16.5" customHeight="1" x14ac:dyDescent="0.2">
      <c r="B182" s="118"/>
      <c r="C182" s="119" t="s">
        <v>288</v>
      </c>
      <c r="D182" s="119" t="s">
        <v>231</v>
      </c>
      <c r="E182" s="120" t="s">
        <v>4201</v>
      </c>
      <c r="F182" s="121" t="s">
        <v>2807</v>
      </c>
      <c r="G182" s="122" t="s">
        <v>243</v>
      </c>
      <c r="H182" s="123">
        <v>22</v>
      </c>
      <c r="I182" s="124">
        <v>4.68</v>
      </c>
      <c r="J182" s="124">
        <f t="shared" si="20"/>
        <v>102.96</v>
      </c>
      <c r="K182" s="121" t="s">
        <v>1</v>
      </c>
      <c r="L182" s="24"/>
      <c r="M182" s="125" t="s">
        <v>1</v>
      </c>
      <c r="N182" s="126" t="s">
        <v>32</v>
      </c>
      <c r="O182" s="127">
        <v>0</v>
      </c>
      <c r="P182" s="127">
        <f t="shared" si="21"/>
        <v>0</v>
      </c>
      <c r="Q182" s="127">
        <v>0</v>
      </c>
      <c r="R182" s="127">
        <f t="shared" si="22"/>
        <v>0</v>
      </c>
      <c r="S182" s="127">
        <v>0</v>
      </c>
      <c r="T182" s="128">
        <f t="shared" si="23"/>
        <v>0</v>
      </c>
      <c r="AR182" s="129" t="s">
        <v>235</v>
      </c>
      <c r="AT182" s="129" t="s">
        <v>231</v>
      </c>
      <c r="AU182" s="129" t="s">
        <v>76</v>
      </c>
      <c r="AY182" s="13" t="s">
        <v>228</v>
      </c>
      <c r="BE182" s="130">
        <f t="shared" si="24"/>
        <v>0</v>
      </c>
      <c r="BF182" s="130">
        <f t="shared" si="25"/>
        <v>102.96</v>
      </c>
      <c r="BG182" s="130">
        <f t="shared" si="26"/>
        <v>0</v>
      </c>
      <c r="BH182" s="130">
        <f t="shared" si="27"/>
        <v>0</v>
      </c>
      <c r="BI182" s="130">
        <f t="shared" si="28"/>
        <v>0</v>
      </c>
      <c r="BJ182" s="13" t="s">
        <v>76</v>
      </c>
      <c r="BK182" s="130">
        <f t="shared" si="29"/>
        <v>102.96</v>
      </c>
      <c r="BL182" s="13" t="s">
        <v>235</v>
      </c>
      <c r="BM182" s="129" t="s">
        <v>347</v>
      </c>
    </row>
    <row r="183" spans="2:65" s="1" customFormat="1" ht="24" customHeight="1" x14ac:dyDescent="0.2">
      <c r="B183" s="118"/>
      <c r="C183" s="119" t="s">
        <v>348</v>
      </c>
      <c r="D183" s="119" t="s">
        <v>231</v>
      </c>
      <c r="E183" s="120" t="s">
        <v>2808</v>
      </c>
      <c r="F183" s="121" t="s">
        <v>2809</v>
      </c>
      <c r="G183" s="122" t="s">
        <v>292</v>
      </c>
      <c r="H183" s="123">
        <v>40</v>
      </c>
      <c r="I183" s="124">
        <v>8.7899999999999991</v>
      </c>
      <c r="J183" s="124">
        <f t="shared" si="20"/>
        <v>351.6</v>
      </c>
      <c r="K183" s="121" t="s">
        <v>1</v>
      </c>
      <c r="L183" s="24"/>
      <c r="M183" s="125" t="s">
        <v>1</v>
      </c>
      <c r="N183" s="126" t="s">
        <v>32</v>
      </c>
      <c r="O183" s="127">
        <v>0</v>
      </c>
      <c r="P183" s="127">
        <f t="shared" si="21"/>
        <v>0</v>
      </c>
      <c r="Q183" s="127">
        <v>0</v>
      </c>
      <c r="R183" s="127">
        <f t="shared" si="22"/>
        <v>0</v>
      </c>
      <c r="S183" s="127">
        <v>0</v>
      </c>
      <c r="T183" s="128">
        <f t="shared" si="23"/>
        <v>0</v>
      </c>
      <c r="AR183" s="129" t="s">
        <v>235</v>
      </c>
      <c r="AT183" s="129" t="s">
        <v>231</v>
      </c>
      <c r="AU183" s="129" t="s">
        <v>76</v>
      </c>
      <c r="AY183" s="13" t="s">
        <v>228</v>
      </c>
      <c r="BE183" s="130">
        <f t="shared" si="24"/>
        <v>0</v>
      </c>
      <c r="BF183" s="130">
        <f t="shared" si="25"/>
        <v>351.6</v>
      </c>
      <c r="BG183" s="130">
        <f t="shared" si="26"/>
        <v>0</v>
      </c>
      <c r="BH183" s="130">
        <f t="shared" si="27"/>
        <v>0</v>
      </c>
      <c r="BI183" s="130">
        <f t="shared" si="28"/>
        <v>0</v>
      </c>
      <c r="BJ183" s="13" t="s">
        <v>76</v>
      </c>
      <c r="BK183" s="130">
        <f t="shared" si="29"/>
        <v>351.6</v>
      </c>
      <c r="BL183" s="13" t="s">
        <v>235</v>
      </c>
      <c r="BM183" s="129" t="s">
        <v>351</v>
      </c>
    </row>
    <row r="184" spans="2:65" s="1" customFormat="1" ht="24" customHeight="1" x14ac:dyDescent="0.2">
      <c r="B184" s="118"/>
      <c r="C184" s="119" t="s">
        <v>293</v>
      </c>
      <c r="D184" s="119" t="s">
        <v>231</v>
      </c>
      <c r="E184" s="120" t="s">
        <v>2810</v>
      </c>
      <c r="F184" s="121" t="s">
        <v>2811</v>
      </c>
      <c r="G184" s="122" t="s">
        <v>292</v>
      </c>
      <c r="H184" s="123">
        <v>80</v>
      </c>
      <c r="I184" s="124">
        <v>7.92</v>
      </c>
      <c r="J184" s="124">
        <f t="shared" si="20"/>
        <v>633.6</v>
      </c>
      <c r="K184" s="121" t="s">
        <v>1</v>
      </c>
      <c r="L184" s="24"/>
      <c r="M184" s="125" t="s">
        <v>1</v>
      </c>
      <c r="N184" s="126" t="s">
        <v>32</v>
      </c>
      <c r="O184" s="127">
        <v>0</v>
      </c>
      <c r="P184" s="127">
        <f t="shared" si="21"/>
        <v>0</v>
      </c>
      <c r="Q184" s="127">
        <v>0</v>
      </c>
      <c r="R184" s="127">
        <f t="shared" si="22"/>
        <v>0</v>
      </c>
      <c r="S184" s="127">
        <v>0</v>
      </c>
      <c r="T184" s="128">
        <f t="shared" si="23"/>
        <v>0</v>
      </c>
      <c r="AR184" s="129" t="s">
        <v>235</v>
      </c>
      <c r="AT184" s="129" t="s">
        <v>231</v>
      </c>
      <c r="AU184" s="129" t="s">
        <v>76</v>
      </c>
      <c r="AY184" s="13" t="s">
        <v>228</v>
      </c>
      <c r="BE184" s="130">
        <f t="shared" si="24"/>
        <v>0</v>
      </c>
      <c r="BF184" s="130">
        <f t="shared" si="25"/>
        <v>633.6</v>
      </c>
      <c r="BG184" s="130">
        <f t="shared" si="26"/>
        <v>0</v>
      </c>
      <c r="BH184" s="130">
        <f t="shared" si="27"/>
        <v>0</v>
      </c>
      <c r="BI184" s="130">
        <f t="shared" si="28"/>
        <v>0</v>
      </c>
      <c r="BJ184" s="13" t="s">
        <v>76</v>
      </c>
      <c r="BK184" s="130">
        <f t="shared" si="29"/>
        <v>633.6</v>
      </c>
      <c r="BL184" s="13" t="s">
        <v>235</v>
      </c>
      <c r="BM184" s="129" t="s">
        <v>354</v>
      </c>
    </row>
    <row r="185" spans="2:65" s="1" customFormat="1" ht="24" customHeight="1" x14ac:dyDescent="0.2">
      <c r="B185" s="118"/>
      <c r="C185" s="119" t="s">
        <v>355</v>
      </c>
      <c r="D185" s="119" t="s">
        <v>231</v>
      </c>
      <c r="E185" s="120" t="s">
        <v>2812</v>
      </c>
      <c r="F185" s="121" t="s">
        <v>2813</v>
      </c>
      <c r="G185" s="122" t="s">
        <v>292</v>
      </c>
      <c r="H185" s="123">
        <v>80</v>
      </c>
      <c r="I185" s="124">
        <v>7.92</v>
      </c>
      <c r="J185" s="124">
        <f t="shared" si="20"/>
        <v>633.6</v>
      </c>
      <c r="K185" s="121" t="s">
        <v>1</v>
      </c>
      <c r="L185" s="24"/>
      <c r="M185" s="125" t="s">
        <v>1</v>
      </c>
      <c r="N185" s="126" t="s">
        <v>32</v>
      </c>
      <c r="O185" s="127">
        <v>0</v>
      </c>
      <c r="P185" s="127">
        <f t="shared" si="21"/>
        <v>0</v>
      </c>
      <c r="Q185" s="127">
        <v>0</v>
      </c>
      <c r="R185" s="127">
        <f t="shared" si="22"/>
        <v>0</v>
      </c>
      <c r="S185" s="127">
        <v>0</v>
      </c>
      <c r="T185" s="128">
        <f t="shared" si="23"/>
        <v>0</v>
      </c>
      <c r="AR185" s="129" t="s">
        <v>235</v>
      </c>
      <c r="AT185" s="129" t="s">
        <v>231</v>
      </c>
      <c r="AU185" s="129" t="s">
        <v>76</v>
      </c>
      <c r="AY185" s="13" t="s">
        <v>228</v>
      </c>
      <c r="BE185" s="130">
        <f t="shared" si="24"/>
        <v>0</v>
      </c>
      <c r="BF185" s="130">
        <f t="shared" si="25"/>
        <v>633.6</v>
      </c>
      <c r="BG185" s="130">
        <f t="shared" si="26"/>
        <v>0</v>
      </c>
      <c r="BH185" s="130">
        <f t="shared" si="27"/>
        <v>0</v>
      </c>
      <c r="BI185" s="130">
        <f t="shared" si="28"/>
        <v>0</v>
      </c>
      <c r="BJ185" s="13" t="s">
        <v>76</v>
      </c>
      <c r="BK185" s="130">
        <f t="shared" si="29"/>
        <v>633.6</v>
      </c>
      <c r="BL185" s="13" t="s">
        <v>235</v>
      </c>
      <c r="BM185" s="129" t="s">
        <v>358</v>
      </c>
    </row>
    <row r="186" spans="2:65" s="1" customFormat="1" ht="24" customHeight="1" x14ac:dyDescent="0.2">
      <c r="B186" s="118"/>
      <c r="C186" s="119" t="s">
        <v>296</v>
      </c>
      <c r="D186" s="119" t="s">
        <v>231</v>
      </c>
      <c r="E186" s="120" t="s">
        <v>2814</v>
      </c>
      <c r="F186" s="121" t="s">
        <v>2815</v>
      </c>
      <c r="G186" s="122" t="s">
        <v>292</v>
      </c>
      <c r="H186" s="123">
        <v>63</v>
      </c>
      <c r="I186" s="124">
        <v>1.21</v>
      </c>
      <c r="J186" s="124">
        <f t="shared" si="20"/>
        <v>76.23</v>
      </c>
      <c r="K186" s="121" t="s">
        <v>1</v>
      </c>
      <c r="L186" s="24"/>
      <c r="M186" s="125" t="s">
        <v>1</v>
      </c>
      <c r="N186" s="126" t="s">
        <v>32</v>
      </c>
      <c r="O186" s="127">
        <v>0</v>
      </c>
      <c r="P186" s="127">
        <f t="shared" si="21"/>
        <v>0</v>
      </c>
      <c r="Q186" s="127">
        <v>0</v>
      </c>
      <c r="R186" s="127">
        <f t="shared" si="22"/>
        <v>0</v>
      </c>
      <c r="S186" s="127">
        <v>0</v>
      </c>
      <c r="T186" s="128">
        <f t="shared" si="23"/>
        <v>0</v>
      </c>
      <c r="AR186" s="129" t="s">
        <v>235</v>
      </c>
      <c r="AT186" s="129" t="s">
        <v>231</v>
      </c>
      <c r="AU186" s="129" t="s">
        <v>76</v>
      </c>
      <c r="AY186" s="13" t="s">
        <v>228</v>
      </c>
      <c r="BE186" s="130">
        <f t="shared" si="24"/>
        <v>0</v>
      </c>
      <c r="BF186" s="130">
        <f t="shared" si="25"/>
        <v>76.23</v>
      </c>
      <c r="BG186" s="130">
        <f t="shared" si="26"/>
        <v>0</v>
      </c>
      <c r="BH186" s="130">
        <f t="shared" si="27"/>
        <v>0</v>
      </c>
      <c r="BI186" s="130">
        <f t="shared" si="28"/>
        <v>0</v>
      </c>
      <c r="BJ186" s="13" t="s">
        <v>76</v>
      </c>
      <c r="BK186" s="130">
        <f t="shared" si="29"/>
        <v>76.23</v>
      </c>
      <c r="BL186" s="13" t="s">
        <v>235</v>
      </c>
      <c r="BM186" s="129" t="s">
        <v>361</v>
      </c>
    </row>
    <row r="187" spans="2:65" s="1" customFormat="1" ht="24" customHeight="1" x14ac:dyDescent="0.2">
      <c r="B187" s="118"/>
      <c r="C187" s="119" t="s">
        <v>362</v>
      </c>
      <c r="D187" s="119" t="s">
        <v>231</v>
      </c>
      <c r="E187" s="120" t="s">
        <v>2816</v>
      </c>
      <c r="F187" s="121" t="s">
        <v>2817</v>
      </c>
      <c r="G187" s="122" t="s">
        <v>292</v>
      </c>
      <c r="H187" s="123">
        <v>21</v>
      </c>
      <c r="I187" s="124">
        <v>1.21</v>
      </c>
      <c r="J187" s="124">
        <f t="shared" si="20"/>
        <v>25.41</v>
      </c>
      <c r="K187" s="121" t="s">
        <v>1</v>
      </c>
      <c r="L187" s="24"/>
      <c r="M187" s="125" t="s">
        <v>1</v>
      </c>
      <c r="N187" s="126" t="s">
        <v>32</v>
      </c>
      <c r="O187" s="127">
        <v>0</v>
      </c>
      <c r="P187" s="127">
        <f t="shared" si="21"/>
        <v>0</v>
      </c>
      <c r="Q187" s="127">
        <v>0</v>
      </c>
      <c r="R187" s="127">
        <f t="shared" si="22"/>
        <v>0</v>
      </c>
      <c r="S187" s="127">
        <v>0</v>
      </c>
      <c r="T187" s="128">
        <f t="shared" si="23"/>
        <v>0</v>
      </c>
      <c r="AR187" s="129" t="s">
        <v>235</v>
      </c>
      <c r="AT187" s="129" t="s">
        <v>231</v>
      </c>
      <c r="AU187" s="129" t="s">
        <v>76</v>
      </c>
      <c r="AY187" s="13" t="s">
        <v>228</v>
      </c>
      <c r="BE187" s="130">
        <f t="shared" si="24"/>
        <v>0</v>
      </c>
      <c r="BF187" s="130">
        <f t="shared" si="25"/>
        <v>25.41</v>
      </c>
      <c r="BG187" s="130">
        <f t="shared" si="26"/>
        <v>0</v>
      </c>
      <c r="BH187" s="130">
        <f t="shared" si="27"/>
        <v>0</v>
      </c>
      <c r="BI187" s="130">
        <f t="shared" si="28"/>
        <v>0</v>
      </c>
      <c r="BJ187" s="13" t="s">
        <v>76</v>
      </c>
      <c r="BK187" s="130">
        <f t="shared" si="29"/>
        <v>25.41</v>
      </c>
      <c r="BL187" s="13" t="s">
        <v>235</v>
      </c>
      <c r="BM187" s="129" t="s">
        <v>365</v>
      </c>
    </row>
    <row r="188" spans="2:65" s="1" customFormat="1" ht="24" customHeight="1" x14ac:dyDescent="0.2">
      <c r="B188" s="118"/>
      <c r="C188" s="119" t="s">
        <v>300</v>
      </c>
      <c r="D188" s="119" t="s">
        <v>231</v>
      </c>
      <c r="E188" s="120" t="s">
        <v>2818</v>
      </c>
      <c r="F188" s="121" t="s">
        <v>2819</v>
      </c>
      <c r="G188" s="122" t="s">
        <v>292</v>
      </c>
      <c r="H188" s="123">
        <v>200</v>
      </c>
      <c r="I188" s="124">
        <v>1.68</v>
      </c>
      <c r="J188" s="124">
        <f t="shared" si="20"/>
        <v>336</v>
      </c>
      <c r="K188" s="121" t="s">
        <v>1</v>
      </c>
      <c r="L188" s="24"/>
      <c r="M188" s="125" t="s">
        <v>1</v>
      </c>
      <c r="N188" s="126" t="s">
        <v>32</v>
      </c>
      <c r="O188" s="127">
        <v>0</v>
      </c>
      <c r="P188" s="127">
        <f t="shared" si="21"/>
        <v>0</v>
      </c>
      <c r="Q188" s="127">
        <v>0</v>
      </c>
      <c r="R188" s="127">
        <f t="shared" si="22"/>
        <v>0</v>
      </c>
      <c r="S188" s="127">
        <v>0</v>
      </c>
      <c r="T188" s="128">
        <f t="shared" si="23"/>
        <v>0</v>
      </c>
      <c r="AR188" s="129" t="s">
        <v>235</v>
      </c>
      <c r="AT188" s="129" t="s">
        <v>231</v>
      </c>
      <c r="AU188" s="129" t="s">
        <v>76</v>
      </c>
      <c r="AY188" s="13" t="s">
        <v>228</v>
      </c>
      <c r="BE188" s="130">
        <f t="shared" si="24"/>
        <v>0</v>
      </c>
      <c r="BF188" s="130">
        <f t="shared" si="25"/>
        <v>336</v>
      </c>
      <c r="BG188" s="130">
        <f t="shared" si="26"/>
        <v>0</v>
      </c>
      <c r="BH188" s="130">
        <f t="shared" si="27"/>
        <v>0</v>
      </c>
      <c r="BI188" s="130">
        <f t="shared" si="28"/>
        <v>0</v>
      </c>
      <c r="BJ188" s="13" t="s">
        <v>76</v>
      </c>
      <c r="BK188" s="130">
        <f t="shared" si="29"/>
        <v>336</v>
      </c>
      <c r="BL188" s="13" t="s">
        <v>235</v>
      </c>
      <c r="BM188" s="129" t="s">
        <v>368</v>
      </c>
    </row>
    <row r="189" spans="2:65" s="1" customFormat="1" ht="24" customHeight="1" x14ac:dyDescent="0.2">
      <c r="B189" s="118"/>
      <c r="C189" s="119" t="s">
        <v>369</v>
      </c>
      <c r="D189" s="119" t="s">
        <v>231</v>
      </c>
      <c r="E189" s="120" t="s">
        <v>2820</v>
      </c>
      <c r="F189" s="121" t="s">
        <v>2821</v>
      </c>
      <c r="G189" s="122" t="s">
        <v>292</v>
      </c>
      <c r="H189" s="123">
        <v>32</v>
      </c>
      <c r="I189" s="124">
        <v>5.12</v>
      </c>
      <c r="J189" s="124">
        <f t="shared" si="20"/>
        <v>163.84</v>
      </c>
      <c r="K189" s="121" t="s">
        <v>1</v>
      </c>
      <c r="L189" s="24"/>
      <c r="M189" s="125" t="s">
        <v>1</v>
      </c>
      <c r="N189" s="126" t="s">
        <v>32</v>
      </c>
      <c r="O189" s="127">
        <v>0</v>
      </c>
      <c r="P189" s="127">
        <f t="shared" si="21"/>
        <v>0</v>
      </c>
      <c r="Q189" s="127">
        <v>0</v>
      </c>
      <c r="R189" s="127">
        <f t="shared" si="22"/>
        <v>0</v>
      </c>
      <c r="S189" s="127">
        <v>0</v>
      </c>
      <c r="T189" s="128">
        <f t="shared" si="23"/>
        <v>0</v>
      </c>
      <c r="AR189" s="129" t="s">
        <v>235</v>
      </c>
      <c r="AT189" s="129" t="s">
        <v>231</v>
      </c>
      <c r="AU189" s="129" t="s">
        <v>76</v>
      </c>
      <c r="AY189" s="13" t="s">
        <v>228</v>
      </c>
      <c r="BE189" s="130">
        <f t="shared" si="24"/>
        <v>0</v>
      </c>
      <c r="BF189" s="130">
        <f t="shared" si="25"/>
        <v>163.84</v>
      </c>
      <c r="BG189" s="130">
        <f t="shared" si="26"/>
        <v>0</v>
      </c>
      <c r="BH189" s="130">
        <f t="shared" si="27"/>
        <v>0</v>
      </c>
      <c r="BI189" s="130">
        <f t="shared" si="28"/>
        <v>0</v>
      </c>
      <c r="BJ189" s="13" t="s">
        <v>76</v>
      </c>
      <c r="BK189" s="130">
        <f t="shared" si="29"/>
        <v>163.84</v>
      </c>
      <c r="BL189" s="13" t="s">
        <v>235</v>
      </c>
      <c r="BM189" s="129" t="s">
        <v>372</v>
      </c>
    </row>
    <row r="190" spans="2:65" s="1" customFormat="1" ht="24" customHeight="1" x14ac:dyDescent="0.2">
      <c r="B190" s="118"/>
      <c r="C190" s="119" t="s">
        <v>303</v>
      </c>
      <c r="D190" s="119" t="s">
        <v>231</v>
      </c>
      <c r="E190" s="120" t="s">
        <v>4202</v>
      </c>
      <c r="F190" s="121" t="s">
        <v>2823</v>
      </c>
      <c r="G190" s="122" t="s">
        <v>243</v>
      </c>
      <c r="H190" s="123">
        <v>8</v>
      </c>
      <c r="I190" s="124">
        <v>3.45</v>
      </c>
      <c r="J190" s="124">
        <f t="shared" si="20"/>
        <v>27.6</v>
      </c>
      <c r="K190" s="121" t="s">
        <v>1</v>
      </c>
      <c r="L190" s="24"/>
      <c r="M190" s="125" t="s">
        <v>1</v>
      </c>
      <c r="N190" s="126" t="s">
        <v>32</v>
      </c>
      <c r="O190" s="127">
        <v>0</v>
      </c>
      <c r="P190" s="127">
        <f t="shared" si="21"/>
        <v>0</v>
      </c>
      <c r="Q190" s="127">
        <v>0</v>
      </c>
      <c r="R190" s="127">
        <f t="shared" si="22"/>
        <v>0</v>
      </c>
      <c r="S190" s="127">
        <v>0</v>
      </c>
      <c r="T190" s="128">
        <f t="shared" si="23"/>
        <v>0</v>
      </c>
      <c r="AR190" s="129" t="s">
        <v>235</v>
      </c>
      <c r="AT190" s="129" t="s">
        <v>231</v>
      </c>
      <c r="AU190" s="129" t="s">
        <v>76</v>
      </c>
      <c r="AY190" s="13" t="s">
        <v>228</v>
      </c>
      <c r="BE190" s="130">
        <f t="shared" si="24"/>
        <v>0</v>
      </c>
      <c r="BF190" s="130">
        <f t="shared" si="25"/>
        <v>27.6</v>
      </c>
      <c r="BG190" s="130">
        <f t="shared" si="26"/>
        <v>0</v>
      </c>
      <c r="BH190" s="130">
        <f t="shared" si="27"/>
        <v>0</v>
      </c>
      <c r="BI190" s="130">
        <f t="shared" si="28"/>
        <v>0</v>
      </c>
      <c r="BJ190" s="13" t="s">
        <v>76</v>
      </c>
      <c r="BK190" s="130">
        <f t="shared" si="29"/>
        <v>27.6</v>
      </c>
      <c r="BL190" s="13" t="s">
        <v>235</v>
      </c>
      <c r="BM190" s="129" t="s">
        <v>375</v>
      </c>
    </row>
    <row r="191" spans="2:65" s="1" customFormat="1" ht="24" customHeight="1" x14ac:dyDescent="0.2">
      <c r="B191" s="118"/>
      <c r="C191" s="119" t="s">
        <v>376</v>
      </c>
      <c r="D191" s="119" t="s">
        <v>231</v>
      </c>
      <c r="E191" s="120" t="s">
        <v>4203</v>
      </c>
      <c r="F191" s="121" t="s">
        <v>2825</v>
      </c>
      <c r="G191" s="122" t="s">
        <v>243</v>
      </c>
      <c r="H191" s="123">
        <v>8</v>
      </c>
      <c r="I191" s="124">
        <v>3.45</v>
      </c>
      <c r="J191" s="124">
        <f t="shared" si="20"/>
        <v>27.6</v>
      </c>
      <c r="K191" s="121" t="s">
        <v>1</v>
      </c>
      <c r="L191" s="24"/>
      <c r="M191" s="125" t="s">
        <v>1</v>
      </c>
      <c r="N191" s="126" t="s">
        <v>32</v>
      </c>
      <c r="O191" s="127">
        <v>0</v>
      </c>
      <c r="P191" s="127">
        <f t="shared" si="21"/>
        <v>0</v>
      </c>
      <c r="Q191" s="127">
        <v>0</v>
      </c>
      <c r="R191" s="127">
        <f t="shared" si="22"/>
        <v>0</v>
      </c>
      <c r="S191" s="127">
        <v>0</v>
      </c>
      <c r="T191" s="128">
        <f t="shared" si="23"/>
        <v>0</v>
      </c>
      <c r="AR191" s="129" t="s">
        <v>235</v>
      </c>
      <c r="AT191" s="129" t="s">
        <v>231</v>
      </c>
      <c r="AU191" s="129" t="s">
        <v>76</v>
      </c>
      <c r="AY191" s="13" t="s">
        <v>228</v>
      </c>
      <c r="BE191" s="130">
        <f t="shared" si="24"/>
        <v>0</v>
      </c>
      <c r="BF191" s="130">
        <f t="shared" si="25"/>
        <v>27.6</v>
      </c>
      <c r="BG191" s="130">
        <f t="shared" si="26"/>
        <v>0</v>
      </c>
      <c r="BH191" s="130">
        <f t="shared" si="27"/>
        <v>0</v>
      </c>
      <c r="BI191" s="130">
        <f t="shared" si="28"/>
        <v>0</v>
      </c>
      <c r="BJ191" s="13" t="s">
        <v>76</v>
      </c>
      <c r="BK191" s="130">
        <f t="shared" si="29"/>
        <v>27.6</v>
      </c>
      <c r="BL191" s="13" t="s">
        <v>235</v>
      </c>
      <c r="BM191" s="129" t="s">
        <v>379</v>
      </c>
    </row>
    <row r="192" spans="2:65" s="1" customFormat="1" ht="24" customHeight="1" x14ac:dyDescent="0.2">
      <c r="B192" s="118"/>
      <c r="C192" s="119" t="s">
        <v>308</v>
      </c>
      <c r="D192" s="119" t="s">
        <v>231</v>
      </c>
      <c r="E192" s="120" t="s">
        <v>2826</v>
      </c>
      <c r="F192" s="121" t="s">
        <v>2827</v>
      </c>
      <c r="G192" s="122" t="s">
        <v>284</v>
      </c>
      <c r="H192" s="123">
        <v>0.8</v>
      </c>
      <c r="I192" s="124">
        <v>226.98</v>
      </c>
      <c r="J192" s="124">
        <f t="shared" si="20"/>
        <v>181.58</v>
      </c>
      <c r="K192" s="121" t="s">
        <v>1</v>
      </c>
      <c r="L192" s="24"/>
      <c r="M192" s="125" t="s">
        <v>1</v>
      </c>
      <c r="N192" s="126" t="s">
        <v>32</v>
      </c>
      <c r="O192" s="127">
        <v>0</v>
      </c>
      <c r="P192" s="127">
        <f t="shared" si="21"/>
        <v>0</v>
      </c>
      <c r="Q192" s="127">
        <v>0</v>
      </c>
      <c r="R192" s="127">
        <f t="shared" si="22"/>
        <v>0</v>
      </c>
      <c r="S192" s="127">
        <v>0</v>
      </c>
      <c r="T192" s="128">
        <f t="shared" si="23"/>
        <v>0</v>
      </c>
      <c r="AR192" s="129" t="s">
        <v>235</v>
      </c>
      <c r="AT192" s="129" t="s">
        <v>231</v>
      </c>
      <c r="AU192" s="129" t="s">
        <v>76</v>
      </c>
      <c r="AY192" s="13" t="s">
        <v>228</v>
      </c>
      <c r="BE192" s="130">
        <f t="shared" si="24"/>
        <v>0</v>
      </c>
      <c r="BF192" s="130">
        <f t="shared" si="25"/>
        <v>181.58</v>
      </c>
      <c r="BG192" s="130">
        <f t="shared" si="26"/>
        <v>0</v>
      </c>
      <c r="BH192" s="130">
        <f t="shared" si="27"/>
        <v>0</v>
      </c>
      <c r="BI192" s="130">
        <f t="shared" si="28"/>
        <v>0</v>
      </c>
      <c r="BJ192" s="13" t="s">
        <v>76</v>
      </c>
      <c r="BK192" s="130">
        <f t="shared" si="29"/>
        <v>181.58</v>
      </c>
      <c r="BL192" s="13" t="s">
        <v>235</v>
      </c>
      <c r="BM192" s="129" t="s">
        <v>382</v>
      </c>
    </row>
    <row r="193" spans="2:65" s="1" customFormat="1" ht="16.5" customHeight="1" x14ac:dyDescent="0.2">
      <c r="B193" s="118"/>
      <c r="C193" s="119" t="s">
        <v>383</v>
      </c>
      <c r="D193" s="119" t="s">
        <v>231</v>
      </c>
      <c r="E193" s="120" t="s">
        <v>2828</v>
      </c>
      <c r="F193" s="121" t="s">
        <v>2829</v>
      </c>
      <c r="G193" s="122" t="s">
        <v>284</v>
      </c>
      <c r="H193" s="123">
        <v>2.5</v>
      </c>
      <c r="I193" s="124">
        <v>66.760000000000005</v>
      </c>
      <c r="J193" s="124">
        <f t="shared" si="20"/>
        <v>166.9</v>
      </c>
      <c r="K193" s="121" t="s">
        <v>1</v>
      </c>
      <c r="L193" s="24"/>
      <c r="M193" s="125" t="s">
        <v>1</v>
      </c>
      <c r="N193" s="126" t="s">
        <v>32</v>
      </c>
      <c r="O193" s="127">
        <v>0</v>
      </c>
      <c r="P193" s="127">
        <f t="shared" si="21"/>
        <v>0</v>
      </c>
      <c r="Q193" s="127">
        <v>0</v>
      </c>
      <c r="R193" s="127">
        <f t="shared" si="22"/>
        <v>0</v>
      </c>
      <c r="S193" s="127">
        <v>0</v>
      </c>
      <c r="T193" s="128">
        <f t="shared" si="23"/>
        <v>0</v>
      </c>
      <c r="AR193" s="129" t="s">
        <v>235</v>
      </c>
      <c r="AT193" s="129" t="s">
        <v>231</v>
      </c>
      <c r="AU193" s="129" t="s">
        <v>76</v>
      </c>
      <c r="AY193" s="13" t="s">
        <v>228</v>
      </c>
      <c r="BE193" s="130">
        <f t="shared" si="24"/>
        <v>0</v>
      </c>
      <c r="BF193" s="130">
        <f t="shared" si="25"/>
        <v>166.9</v>
      </c>
      <c r="BG193" s="130">
        <f t="shared" si="26"/>
        <v>0</v>
      </c>
      <c r="BH193" s="130">
        <f t="shared" si="27"/>
        <v>0</v>
      </c>
      <c r="BI193" s="130">
        <f t="shared" si="28"/>
        <v>0</v>
      </c>
      <c r="BJ193" s="13" t="s">
        <v>76</v>
      </c>
      <c r="BK193" s="130">
        <f t="shared" si="29"/>
        <v>166.9</v>
      </c>
      <c r="BL193" s="13" t="s">
        <v>235</v>
      </c>
      <c r="BM193" s="129" t="s">
        <v>386</v>
      </c>
    </row>
    <row r="194" spans="2:65" s="1" customFormat="1" ht="24" customHeight="1" x14ac:dyDescent="0.2">
      <c r="B194" s="118"/>
      <c r="C194" s="119" t="s">
        <v>312</v>
      </c>
      <c r="D194" s="119" t="s">
        <v>231</v>
      </c>
      <c r="E194" s="120" t="s">
        <v>2830</v>
      </c>
      <c r="F194" s="121" t="s">
        <v>2831</v>
      </c>
      <c r="G194" s="122" t="s">
        <v>1035</v>
      </c>
      <c r="H194" s="123">
        <v>200</v>
      </c>
      <c r="I194" s="124">
        <v>2.0099999999999998</v>
      </c>
      <c r="J194" s="124">
        <f t="shared" si="20"/>
        <v>402</v>
      </c>
      <c r="K194" s="121" t="s">
        <v>1</v>
      </c>
      <c r="L194" s="24"/>
      <c r="M194" s="125" t="s">
        <v>1</v>
      </c>
      <c r="N194" s="126" t="s">
        <v>32</v>
      </c>
      <c r="O194" s="127">
        <v>0</v>
      </c>
      <c r="P194" s="127">
        <f t="shared" si="21"/>
        <v>0</v>
      </c>
      <c r="Q194" s="127">
        <v>0</v>
      </c>
      <c r="R194" s="127">
        <f t="shared" si="22"/>
        <v>0</v>
      </c>
      <c r="S194" s="127">
        <v>0</v>
      </c>
      <c r="T194" s="128">
        <f t="shared" si="23"/>
        <v>0</v>
      </c>
      <c r="AR194" s="129" t="s">
        <v>235</v>
      </c>
      <c r="AT194" s="129" t="s">
        <v>231</v>
      </c>
      <c r="AU194" s="129" t="s">
        <v>76</v>
      </c>
      <c r="AY194" s="13" t="s">
        <v>228</v>
      </c>
      <c r="BE194" s="130">
        <f t="shared" si="24"/>
        <v>0</v>
      </c>
      <c r="BF194" s="130">
        <f t="shared" si="25"/>
        <v>402</v>
      </c>
      <c r="BG194" s="130">
        <f t="shared" si="26"/>
        <v>0</v>
      </c>
      <c r="BH194" s="130">
        <f t="shared" si="27"/>
        <v>0</v>
      </c>
      <c r="BI194" s="130">
        <f t="shared" si="28"/>
        <v>0</v>
      </c>
      <c r="BJ194" s="13" t="s">
        <v>76</v>
      </c>
      <c r="BK194" s="130">
        <f t="shared" si="29"/>
        <v>402</v>
      </c>
      <c r="BL194" s="13" t="s">
        <v>235</v>
      </c>
      <c r="BM194" s="129" t="s">
        <v>389</v>
      </c>
    </row>
    <row r="195" spans="2:65" s="1" customFormat="1" ht="16.5" customHeight="1" x14ac:dyDescent="0.2">
      <c r="B195" s="118"/>
      <c r="C195" s="119" t="s">
        <v>390</v>
      </c>
      <c r="D195" s="119" t="s">
        <v>231</v>
      </c>
      <c r="E195" s="120" t="s">
        <v>2832</v>
      </c>
      <c r="F195" s="121" t="s">
        <v>2833</v>
      </c>
      <c r="G195" s="122" t="s">
        <v>1112</v>
      </c>
      <c r="H195" s="123">
        <v>40</v>
      </c>
      <c r="I195" s="124">
        <v>16.02</v>
      </c>
      <c r="J195" s="124">
        <f t="shared" si="20"/>
        <v>640.79999999999995</v>
      </c>
      <c r="K195" s="121" t="s">
        <v>1</v>
      </c>
      <c r="L195" s="24"/>
      <c r="M195" s="125" t="s">
        <v>1</v>
      </c>
      <c r="N195" s="126" t="s">
        <v>32</v>
      </c>
      <c r="O195" s="127">
        <v>0</v>
      </c>
      <c r="P195" s="127">
        <f t="shared" si="21"/>
        <v>0</v>
      </c>
      <c r="Q195" s="127">
        <v>0</v>
      </c>
      <c r="R195" s="127">
        <f t="shared" si="22"/>
        <v>0</v>
      </c>
      <c r="S195" s="127">
        <v>0</v>
      </c>
      <c r="T195" s="128">
        <f t="shared" si="23"/>
        <v>0</v>
      </c>
      <c r="AR195" s="129" t="s">
        <v>235</v>
      </c>
      <c r="AT195" s="129" t="s">
        <v>231</v>
      </c>
      <c r="AU195" s="129" t="s">
        <v>76</v>
      </c>
      <c r="AY195" s="13" t="s">
        <v>228</v>
      </c>
      <c r="BE195" s="130">
        <f t="shared" si="24"/>
        <v>0</v>
      </c>
      <c r="BF195" s="130">
        <f t="shared" si="25"/>
        <v>640.79999999999995</v>
      </c>
      <c r="BG195" s="130">
        <f t="shared" si="26"/>
        <v>0</v>
      </c>
      <c r="BH195" s="130">
        <f t="shared" si="27"/>
        <v>0</v>
      </c>
      <c r="BI195" s="130">
        <f t="shared" si="28"/>
        <v>0</v>
      </c>
      <c r="BJ195" s="13" t="s">
        <v>76</v>
      </c>
      <c r="BK195" s="130">
        <f t="shared" si="29"/>
        <v>640.79999999999995</v>
      </c>
      <c r="BL195" s="13" t="s">
        <v>235</v>
      </c>
      <c r="BM195" s="129" t="s">
        <v>393</v>
      </c>
    </row>
    <row r="196" spans="2:65" s="1" customFormat="1" ht="24" customHeight="1" x14ac:dyDescent="0.2">
      <c r="B196" s="118"/>
      <c r="C196" s="119" t="s">
        <v>316</v>
      </c>
      <c r="D196" s="119" t="s">
        <v>231</v>
      </c>
      <c r="E196" s="120" t="s">
        <v>2834</v>
      </c>
      <c r="F196" s="121" t="s">
        <v>2835</v>
      </c>
      <c r="G196" s="122" t="s">
        <v>1112</v>
      </c>
      <c r="H196" s="123">
        <v>20</v>
      </c>
      <c r="I196" s="124">
        <v>18.690000000000001</v>
      </c>
      <c r="J196" s="124">
        <f t="shared" si="20"/>
        <v>373.8</v>
      </c>
      <c r="K196" s="121" t="s">
        <v>1</v>
      </c>
      <c r="L196" s="24"/>
      <c r="M196" s="125" t="s">
        <v>1</v>
      </c>
      <c r="N196" s="126" t="s">
        <v>32</v>
      </c>
      <c r="O196" s="127">
        <v>0</v>
      </c>
      <c r="P196" s="127">
        <f t="shared" si="21"/>
        <v>0</v>
      </c>
      <c r="Q196" s="127">
        <v>0</v>
      </c>
      <c r="R196" s="127">
        <f t="shared" si="22"/>
        <v>0</v>
      </c>
      <c r="S196" s="127">
        <v>0</v>
      </c>
      <c r="T196" s="128">
        <f t="shared" si="23"/>
        <v>0</v>
      </c>
      <c r="AR196" s="129" t="s">
        <v>235</v>
      </c>
      <c r="AT196" s="129" t="s">
        <v>231</v>
      </c>
      <c r="AU196" s="129" t="s">
        <v>76</v>
      </c>
      <c r="AY196" s="13" t="s">
        <v>228</v>
      </c>
      <c r="BE196" s="130">
        <f t="shared" si="24"/>
        <v>0</v>
      </c>
      <c r="BF196" s="130">
        <f t="shared" si="25"/>
        <v>373.8</v>
      </c>
      <c r="BG196" s="130">
        <f t="shared" si="26"/>
        <v>0</v>
      </c>
      <c r="BH196" s="130">
        <f t="shared" si="27"/>
        <v>0</v>
      </c>
      <c r="BI196" s="130">
        <f t="shared" si="28"/>
        <v>0</v>
      </c>
      <c r="BJ196" s="13" t="s">
        <v>76</v>
      </c>
      <c r="BK196" s="130">
        <f t="shared" si="29"/>
        <v>373.8</v>
      </c>
      <c r="BL196" s="13" t="s">
        <v>235</v>
      </c>
      <c r="BM196" s="129" t="s">
        <v>396</v>
      </c>
    </row>
    <row r="197" spans="2:65" s="1" customFormat="1" ht="16.5" customHeight="1" x14ac:dyDescent="0.2">
      <c r="B197" s="118"/>
      <c r="C197" s="119" t="s">
        <v>397</v>
      </c>
      <c r="D197" s="119" t="s">
        <v>231</v>
      </c>
      <c r="E197" s="120" t="s">
        <v>5022</v>
      </c>
      <c r="F197" s="121" t="s">
        <v>2837</v>
      </c>
      <c r="G197" s="122" t="s">
        <v>5023</v>
      </c>
      <c r="H197" s="123">
        <v>1.25</v>
      </c>
      <c r="I197" s="124">
        <v>1431.51</v>
      </c>
      <c r="J197" s="124">
        <f t="shared" si="20"/>
        <v>1789.39</v>
      </c>
      <c r="K197" s="121" t="s">
        <v>1</v>
      </c>
      <c r="L197" s="24"/>
      <c r="M197" s="125" t="s">
        <v>1</v>
      </c>
      <c r="N197" s="126" t="s">
        <v>32</v>
      </c>
      <c r="O197" s="127">
        <v>0</v>
      </c>
      <c r="P197" s="127">
        <f t="shared" si="21"/>
        <v>0</v>
      </c>
      <c r="Q197" s="127">
        <v>0</v>
      </c>
      <c r="R197" s="127">
        <f t="shared" si="22"/>
        <v>0</v>
      </c>
      <c r="S197" s="127">
        <v>0</v>
      </c>
      <c r="T197" s="128">
        <f t="shared" si="23"/>
        <v>0</v>
      </c>
      <c r="AR197" s="129" t="s">
        <v>235</v>
      </c>
      <c r="AT197" s="129" t="s">
        <v>231</v>
      </c>
      <c r="AU197" s="129" t="s">
        <v>76</v>
      </c>
      <c r="AY197" s="13" t="s">
        <v>228</v>
      </c>
      <c r="BE197" s="130">
        <f t="shared" si="24"/>
        <v>0</v>
      </c>
      <c r="BF197" s="130">
        <f t="shared" si="25"/>
        <v>1789.39</v>
      </c>
      <c r="BG197" s="130">
        <f t="shared" si="26"/>
        <v>0</v>
      </c>
      <c r="BH197" s="130">
        <f t="shared" si="27"/>
        <v>0</v>
      </c>
      <c r="BI197" s="130">
        <f t="shared" si="28"/>
        <v>0</v>
      </c>
      <c r="BJ197" s="13" t="s">
        <v>76</v>
      </c>
      <c r="BK197" s="130">
        <f t="shared" si="29"/>
        <v>1789.39</v>
      </c>
      <c r="BL197" s="13" t="s">
        <v>235</v>
      </c>
      <c r="BM197" s="129" t="s">
        <v>400</v>
      </c>
    </row>
    <row r="198" spans="2:65" s="1" customFormat="1" ht="24" customHeight="1" x14ac:dyDescent="0.2">
      <c r="B198" s="118"/>
      <c r="C198" s="119" t="s">
        <v>319</v>
      </c>
      <c r="D198" s="119" t="s">
        <v>231</v>
      </c>
      <c r="E198" s="120" t="s">
        <v>2838</v>
      </c>
      <c r="F198" s="121" t="s">
        <v>2839</v>
      </c>
      <c r="G198" s="122" t="s">
        <v>1112</v>
      </c>
      <c r="H198" s="123">
        <v>20</v>
      </c>
      <c r="I198" s="124">
        <v>69.78</v>
      </c>
      <c r="J198" s="124">
        <f t="shared" si="20"/>
        <v>1395.6</v>
      </c>
      <c r="K198" s="121" t="s">
        <v>1</v>
      </c>
      <c r="L198" s="24"/>
      <c r="M198" s="125" t="s">
        <v>1</v>
      </c>
      <c r="N198" s="126" t="s">
        <v>32</v>
      </c>
      <c r="O198" s="127">
        <v>0</v>
      </c>
      <c r="P198" s="127">
        <f t="shared" si="21"/>
        <v>0</v>
      </c>
      <c r="Q198" s="127">
        <v>0</v>
      </c>
      <c r="R198" s="127">
        <f t="shared" si="22"/>
        <v>0</v>
      </c>
      <c r="S198" s="127">
        <v>0</v>
      </c>
      <c r="T198" s="128">
        <f t="shared" si="23"/>
        <v>0</v>
      </c>
      <c r="AR198" s="129" t="s">
        <v>235</v>
      </c>
      <c r="AT198" s="129" t="s">
        <v>231</v>
      </c>
      <c r="AU198" s="129" t="s">
        <v>76</v>
      </c>
      <c r="AY198" s="13" t="s">
        <v>228</v>
      </c>
      <c r="BE198" s="130">
        <f t="shared" si="24"/>
        <v>0</v>
      </c>
      <c r="BF198" s="130">
        <f t="shared" si="25"/>
        <v>1395.6</v>
      </c>
      <c r="BG198" s="130">
        <f t="shared" si="26"/>
        <v>0</v>
      </c>
      <c r="BH198" s="130">
        <f t="shared" si="27"/>
        <v>0</v>
      </c>
      <c r="BI198" s="130">
        <f t="shared" si="28"/>
        <v>0</v>
      </c>
      <c r="BJ198" s="13" t="s">
        <v>76</v>
      </c>
      <c r="BK198" s="130">
        <f t="shared" si="29"/>
        <v>1395.6</v>
      </c>
      <c r="BL198" s="13" t="s">
        <v>235</v>
      </c>
      <c r="BM198" s="129" t="s">
        <v>404</v>
      </c>
    </row>
    <row r="199" spans="2:65" s="1" customFormat="1" ht="16.5" customHeight="1" x14ac:dyDescent="0.2">
      <c r="B199" s="118"/>
      <c r="C199" s="119" t="s">
        <v>407</v>
      </c>
      <c r="D199" s="119" t="s">
        <v>231</v>
      </c>
      <c r="E199" s="120" t="s">
        <v>2840</v>
      </c>
      <c r="F199" s="121" t="s">
        <v>2841</v>
      </c>
      <c r="G199" s="122" t="s">
        <v>1112</v>
      </c>
      <c r="H199" s="123">
        <v>20</v>
      </c>
      <c r="I199" s="124">
        <v>53.41</v>
      </c>
      <c r="J199" s="124">
        <f t="shared" si="20"/>
        <v>1068.2</v>
      </c>
      <c r="K199" s="121" t="s">
        <v>1</v>
      </c>
      <c r="L199" s="24"/>
      <c r="M199" s="125" t="s">
        <v>1</v>
      </c>
      <c r="N199" s="126" t="s">
        <v>32</v>
      </c>
      <c r="O199" s="127">
        <v>0</v>
      </c>
      <c r="P199" s="127">
        <f t="shared" si="21"/>
        <v>0</v>
      </c>
      <c r="Q199" s="127">
        <v>0</v>
      </c>
      <c r="R199" s="127">
        <f t="shared" si="22"/>
        <v>0</v>
      </c>
      <c r="S199" s="127">
        <v>0</v>
      </c>
      <c r="T199" s="128">
        <f t="shared" si="23"/>
        <v>0</v>
      </c>
      <c r="AR199" s="129" t="s">
        <v>235</v>
      </c>
      <c r="AT199" s="129" t="s">
        <v>231</v>
      </c>
      <c r="AU199" s="129" t="s">
        <v>76</v>
      </c>
      <c r="AY199" s="13" t="s">
        <v>228</v>
      </c>
      <c r="BE199" s="130">
        <f t="shared" si="24"/>
        <v>0</v>
      </c>
      <c r="BF199" s="130">
        <f t="shared" si="25"/>
        <v>1068.2</v>
      </c>
      <c r="BG199" s="130">
        <f t="shared" si="26"/>
        <v>0</v>
      </c>
      <c r="BH199" s="130">
        <f t="shared" si="27"/>
        <v>0</v>
      </c>
      <c r="BI199" s="130">
        <f t="shared" si="28"/>
        <v>0</v>
      </c>
      <c r="BJ199" s="13" t="s">
        <v>76</v>
      </c>
      <c r="BK199" s="130">
        <f t="shared" si="29"/>
        <v>1068.2</v>
      </c>
      <c r="BL199" s="13" t="s">
        <v>235</v>
      </c>
      <c r="BM199" s="129" t="s">
        <v>410</v>
      </c>
    </row>
    <row r="200" spans="2:65" s="11" customFormat="1" ht="22.95" customHeight="1" x14ac:dyDescent="0.25">
      <c r="B200" s="106"/>
      <c r="D200" s="107" t="s">
        <v>57</v>
      </c>
      <c r="E200" s="116" t="s">
        <v>1247</v>
      </c>
      <c r="F200" s="116" t="s">
        <v>2842</v>
      </c>
      <c r="J200" s="117">
        <f>BK200</f>
        <v>2513.7399999999998</v>
      </c>
      <c r="L200" s="106"/>
      <c r="M200" s="110"/>
      <c r="N200" s="111"/>
      <c r="O200" s="111"/>
      <c r="P200" s="112">
        <f>SUM(P201:P203)</f>
        <v>0</v>
      </c>
      <c r="Q200" s="111"/>
      <c r="R200" s="112">
        <f>SUM(R201:R203)</f>
        <v>0</v>
      </c>
      <c r="S200" s="111"/>
      <c r="T200" s="113">
        <f>SUM(T201:T203)</f>
        <v>0</v>
      </c>
      <c r="AR200" s="107" t="s">
        <v>63</v>
      </c>
      <c r="AT200" s="114" t="s">
        <v>57</v>
      </c>
      <c r="AU200" s="114" t="s">
        <v>63</v>
      </c>
      <c r="AY200" s="107" t="s">
        <v>228</v>
      </c>
      <c r="BK200" s="115">
        <f>SUM(BK201:BK203)</f>
        <v>2513.7399999999998</v>
      </c>
    </row>
    <row r="201" spans="2:65" s="1" customFormat="1" ht="16.5" customHeight="1" x14ac:dyDescent="0.2">
      <c r="B201" s="118"/>
      <c r="C201" s="119" t="s">
        <v>323</v>
      </c>
      <c r="D201" s="119" t="s">
        <v>231</v>
      </c>
      <c r="E201" s="120" t="s">
        <v>2843</v>
      </c>
      <c r="F201" s="121" t="s">
        <v>2844</v>
      </c>
      <c r="G201" s="122" t="s">
        <v>570</v>
      </c>
      <c r="H201" s="123">
        <v>243</v>
      </c>
      <c r="I201" s="124">
        <v>4.6399999999999997</v>
      </c>
      <c r="J201" s="124">
        <f>ROUND(I201*H201,2)</f>
        <v>1127.52</v>
      </c>
      <c r="K201" s="121" t="s">
        <v>1</v>
      </c>
      <c r="L201" s="24"/>
      <c r="M201" s="125" t="s">
        <v>1</v>
      </c>
      <c r="N201" s="126" t="s">
        <v>32</v>
      </c>
      <c r="O201" s="127">
        <v>0</v>
      </c>
      <c r="P201" s="127">
        <f>O201*H201</f>
        <v>0</v>
      </c>
      <c r="Q201" s="127">
        <v>0</v>
      </c>
      <c r="R201" s="127">
        <f>Q201*H201</f>
        <v>0</v>
      </c>
      <c r="S201" s="127">
        <v>0</v>
      </c>
      <c r="T201" s="128">
        <f>S201*H201</f>
        <v>0</v>
      </c>
      <c r="AR201" s="129" t="s">
        <v>235</v>
      </c>
      <c r="AT201" s="129" t="s">
        <v>231</v>
      </c>
      <c r="AU201" s="129" t="s">
        <v>76</v>
      </c>
      <c r="AY201" s="13" t="s">
        <v>228</v>
      </c>
      <c r="BE201" s="130">
        <f>IF(N201="základná",J201,0)</f>
        <v>0</v>
      </c>
      <c r="BF201" s="130">
        <f>IF(N201="znížená",J201,0)</f>
        <v>1127.52</v>
      </c>
      <c r="BG201" s="130">
        <f>IF(N201="zákl. prenesená",J201,0)</f>
        <v>0</v>
      </c>
      <c r="BH201" s="130">
        <f>IF(N201="zníž. prenesená",J201,0)</f>
        <v>0</v>
      </c>
      <c r="BI201" s="130">
        <f>IF(N201="nulová",J201,0)</f>
        <v>0</v>
      </c>
      <c r="BJ201" s="13" t="s">
        <v>76</v>
      </c>
      <c r="BK201" s="130">
        <f>ROUND(I201*H201,2)</f>
        <v>1127.52</v>
      </c>
      <c r="BL201" s="13" t="s">
        <v>235</v>
      </c>
      <c r="BM201" s="129" t="s">
        <v>414</v>
      </c>
    </row>
    <row r="202" spans="2:65" s="1" customFormat="1" ht="16.5" customHeight="1" x14ac:dyDescent="0.2">
      <c r="B202" s="118"/>
      <c r="C202" s="119" t="s">
        <v>415</v>
      </c>
      <c r="D202" s="119" t="s">
        <v>231</v>
      </c>
      <c r="E202" s="120" t="s">
        <v>2845</v>
      </c>
      <c r="F202" s="121" t="s">
        <v>2846</v>
      </c>
      <c r="G202" s="122" t="s">
        <v>570</v>
      </c>
      <c r="H202" s="123">
        <v>118</v>
      </c>
      <c r="I202" s="124">
        <v>6.97</v>
      </c>
      <c r="J202" s="124">
        <f>ROUND(I202*H202,2)</f>
        <v>822.46</v>
      </c>
      <c r="K202" s="121" t="s">
        <v>1</v>
      </c>
      <c r="L202" s="24"/>
      <c r="M202" s="125" t="s">
        <v>1</v>
      </c>
      <c r="N202" s="126" t="s">
        <v>32</v>
      </c>
      <c r="O202" s="127">
        <v>0</v>
      </c>
      <c r="P202" s="127">
        <f>O202*H202</f>
        <v>0</v>
      </c>
      <c r="Q202" s="127">
        <v>0</v>
      </c>
      <c r="R202" s="127">
        <f>Q202*H202</f>
        <v>0</v>
      </c>
      <c r="S202" s="127">
        <v>0</v>
      </c>
      <c r="T202" s="128">
        <f>S202*H202</f>
        <v>0</v>
      </c>
      <c r="AR202" s="129" t="s">
        <v>235</v>
      </c>
      <c r="AT202" s="129" t="s">
        <v>231</v>
      </c>
      <c r="AU202" s="129" t="s">
        <v>76</v>
      </c>
      <c r="AY202" s="13" t="s">
        <v>228</v>
      </c>
      <c r="BE202" s="130">
        <f>IF(N202="základná",J202,0)</f>
        <v>0</v>
      </c>
      <c r="BF202" s="130">
        <f>IF(N202="znížená",J202,0)</f>
        <v>822.46</v>
      </c>
      <c r="BG202" s="130">
        <f>IF(N202="zákl. prenesená",J202,0)</f>
        <v>0</v>
      </c>
      <c r="BH202" s="130">
        <f>IF(N202="zníž. prenesená",J202,0)</f>
        <v>0</v>
      </c>
      <c r="BI202" s="130">
        <f>IF(N202="nulová",J202,0)</f>
        <v>0</v>
      </c>
      <c r="BJ202" s="13" t="s">
        <v>76</v>
      </c>
      <c r="BK202" s="130">
        <f>ROUND(I202*H202,2)</f>
        <v>822.46</v>
      </c>
      <c r="BL202" s="13" t="s">
        <v>235</v>
      </c>
      <c r="BM202" s="129" t="s">
        <v>418</v>
      </c>
    </row>
    <row r="203" spans="2:65" s="1" customFormat="1" ht="16.5" customHeight="1" x14ac:dyDescent="0.2">
      <c r="B203" s="118"/>
      <c r="C203" s="119" t="s">
        <v>326</v>
      </c>
      <c r="D203" s="119" t="s">
        <v>231</v>
      </c>
      <c r="E203" s="120" t="s">
        <v>2847</v>
      </c>
      <c r="F203" s="121" t="s">
        <v>2848</v>
      </c>
      <c r="G203" s="122" t="s">
        <v>570</v>
      </c>
      <c r="H203" s="123">
        <v>243</v>
      </c>
      <c r="I203" s="124">
        <v>2.3199999999999998</v>
      </c>
      <c r="J203" s="124">
        <f>ROUND(I203*H203,2)</f>
        <v>563.76</v>
      </c>
      <c r="K203" s="121" t="s">
        <v>1</v>
      </c>
      <c r="L203" s="24"/>
      <c r="M203" s="125" t="s">
        <v>1</v>
      </c>
      <c r="N203" s="126" t="s">
        <v>32</v>
      </c>
      <c r="O203" s="127">
        <v>0</v>
      </c>
      <c r="P203" s="127">
        <f>O203*H203</f>
        <v>0</v>
      </c>
      <c r="Q203" s="127">
        <v>0</v>
      </c>
      <c r="R203" s="127">
        <f>Q203*H203</f>
        <v>0</v>
      </c>
      <c r="S203" s="127">
        <v>0</v>
      </c>
      <c r="T203" s="128">
        <f>S203*H203</f>
        <v>0</v>
      </c>
      <c r="AR203" s="129" t="s">
        <v>235</v>
      </c>
      <c r="AT203" s="129" t="s">
        <v>231</v>
      </c>
      <c r="AU203" s="129" t="s">
        <v>76</v>
      </c>
      <c r="AY203" s="13" t="s">
        <v>228</v>
      </c>
      <c r="BE203" s="130">
        <f>IF(N203="základná",J203,0)</f>
        <v>0</v>
      </c>
      <c r="BF203" s="130">
        <f>IF(N203="znížená",J203,0)</f>
        <v>563.76</v>
      </c>
      <c r="BG203" s="130">
        <f>IF(N203="zákl. prenesená",J203,0)</f>
        <v>0</v>
      </c>
      <c r="BH203" s="130">
        <f>IF(N203="zníž. prenesená",J203,0)</f>
        <v>0</v>
      </c>
      <c r="BI203" s="130">
        <f>IF(N203="nulová",J203,0)</f>
        <v>0</v>
      </c>
      <c r="BJ203" s="13" t="s">
        <v>76</v>
      </c>
      <c r="BK203" s="130">
        <f>ROUND(I203*H203,2)</f>
        <v>563.76</v>
      </c>
      <c r="BL203" s="13" t="s">
        <v>235</v>
      </c>
      <c r="BM203" s="129" t="s">
        <v>421</v>
      </c>
    </row>
    <row r="204" spans="2:65" s="11" customFormat="1" ht="22.95" customHeight="1" x14ac:dyDescent="0.25">
      <c r="B204" s="106"/>
      <c r="D204" s="107" t="s">
        <v>57</v>
      </c>
      <c r="E204" s="116" t="s">
        <v>1252</v>
      </c>
      <c r="F204" s="116" t="s">
        <v>4206</v>
      </c>
      <c r="J204" s="117">
        <f>BK204</f>
        <v>0</v>
      </c>
      <c r="L204" s="106"/>
      <c r="M204" s="110"/>
      <c r="N204" s="111"/>
      <c r="O204" s="111"/>
      <c r="P204" s="112">
        <v>0</v>
      </c>
      <c r="Q204" s="111"/>
      <c r="R204" s="112">
        <v>0</v>
      </c>
      <c r="S204" s="111"/>
      <c r="T204" s="113">
        <v>0</v>
      </c>
      <c r="AR204" s="107" t="s">
        <v>63</v>
      </c>
      <c r="AT204" s="114" t="s">
        <v>57</v>
      </c>
      <c r="AU204" s="114" t="s">
        <v>63</v>
      </c>
      <c r="AY204" s="107" t="s">
        <v>228</v>
      </c>
      <c r="BK204" s="115">
        <v>0</v>
      </c>
    </row>
    <row r="205" spans="2:65" s="11" customFormat="1" ht="22.95" customHeight="1" x14ac:dyDescent="0.25">
      <c r="B205" s="106"/>
      <c r="D205" s="107" t="s">
        <v>57</v>
      </c>
      <c r="E205" s="116" t="s">
        <v>1269</v>
      </c>
      <c r="F205" s="116" t="s">
        <v>2849</v>
      </c>
      <c r="J205" s="117">
        <f>BK205</f>
        <v>8798.909999999998</v>
      </c>
      <c r="L205" s="106"/>
      <c r="M205" s="110"/>
      <c r="N205" s="111"/>
      <c r="O205" s="111"/>
      <c r="P205" s="112">
        <f>SUM(P206:P244)</f>
        <v>0</v>
      </c>
      <c r="Q205" s="111"/>
      <c r="R205" s="112">
        <f>SUM(R206:R244)</f>
        <v>0</v>
      </c>
      <c r="S205" s="111"/>
      <c r="T205" s="113">
        <f>SUM(T206:T244)</f>
        <v>0</v>
      </c>
      <c r="AR205" s="107" t="s">
        <v>63</v>
      </c>
      <c r="AT205" s="114" t="s">
        <v>57</v>
      </c>
      <c r="AU205" s="114" t="s">
        <v>63</v>
      </c>
      <c r="AY205" s="107" t="s">
        <v>228</v>
      </c>
      <c r="BK205" s="115">
        <f>SUM(BK206:BK244)</f>
        <v>8798.909999999998</v>
      </c>
    </row>
    <row r="206" spans="2:65" s="1" customFormat="1" ht="16.5" customHeight="1" x14ac:dyDescent="0.2">
      <c r="B206" s="118"/>
      <c r="C206" s="119" t="s">
        <v>422</v>
      </c>
      <c r="D206" s="119" t="s">
        <v>231</v>
      </c>
      <c r="E206" s="120" t="s">
        <v>4207</v>
      </c>
      <c r="F206" s="121" t="s">
        <v>4208</v>
      </c>
      <c r="G206" s="122" t="s">
        <v>292</v>
      </c>
      <c r="H206" s="123">
        <v>120</v>
      </c>
      <c r="I206" s="124">
        <v>15.75</v>
      </c>
      <c r="J206" s="124">
        <f t="shared" ref="J206:J244" si="30">ROUND(I206*H206,2)</f>
        <v>1890</v>
      </c>
      <c r="K206" s="121" t="s">
        <v>1</v>
      </c>
      <c r="L206" s="24"/>
      <c r="M206" s="125" t="s">
        <v>1</v>
      </c>
      <c r="N206" s="126" t="s">
        <v>32</v>
      </c>
      <c r="O206" s="127">
        <v>0</v>
      </c>
      <c r="P206" s="127">
        <f t="shared" ref="P206:P244" si="31">O206*H206</f>
        <v>0</v>
      </c>
      <c r="Q206" s="127">
        <v>0</v>
      </c>
      <c r="R206" s="127">
        <f t="shared" ref="R206:R244" si="32">Q206*H206</f>
        <v>0</v>
      </c>
      <c r="S206" s="127">
        <v>0</v>
      </c>
      <c r="T206" s="128">
        <f t="shared" ref="T206:T244" si="33">S206*H206</f>
        <v>0</v>
      </c>
      <c r="AR206" s="129" t="s">
        <v>235</v>
      </c>
      <c r="AT206" s="129" t="s">
        <v>231</v>
      </c>
      <c r="AU206" s="129" t="s">
        <v>76</v>
      </c>
      <c r="AY206" s="13" t="s">
        <v>228</v>
      </c>
      <c r="BE206" s="130">
        <f t="shared" ref="BE206:BE244" si="34">IF(N206="základná",J206,0)</f>
        <v>0</v>
      </c>
      <c r="BF206" s="130">
        <f t="shared" ref="BF206:BF244" si="35">IF(N206="znížená",J206,0)</f>
        <v>1890</v>
      </c>
      <c r="BG206" s="130">
        <f t="shared" ref="BG206:BG244" si="36">IF(N206="zákl. prenesená",J206,0)</f>
        <v>0</v>
      </c>
      <c r="BH206" s="130">
        <f t="shared" ref="BH206:BH244" si="37">IF(N206="zníž. prenesená",J206,0)</f>
        <v>0</v>
      </c>
      <c r="BI206" s="130">
        <f t="shared" ref="BI206:BI244" si="38">IF(N206="nulová",J206,0)</f>
        <v>0</v>
      </c>
      <c r="BJ206" s="13" t="s">
        <v>76</v>
      </c>
      <c r="BK206" s="130">
        <f t="shared" ref="BK206:BK244" si="39">ROUND(I206*H206,2)</f>
        <v>1890</v>
      </c>
      <c r="BL206" s="13" t="s">
        <v>235</v>
      </c>
      <c r="BM206" s="129" t="s">
        <v>425</v>
      </c>
    </row>
    <row r="207" spans="2:65" s="1" customFormat="1" ht="16.5" customHeight="1" x14ac:dyDescent="0.2">
      <c r="B207" s="118"/>
      <c r="C207" s="119" t="s">
        <v>330</v>
      </c>
      <c r="D207" s="119" t="s">
        <v>231</v>
      </c>
      <c r="E207" s="120" t="s">
        <v>5024</v>
      </c>
      <c r="F207" s="121" t="s">
        <v>5025</v>
      </c>
      <c r="G207" s="122" t="s">
        <v>292</v>
      </c>
      <c r="H207" s="123">
        <v>40</v>
      </c>
      <c r="I207" s="124">
        <v>5.68</v>
      </c>
      <c r="J207" s="124">
        <f t="shared" si="30"/>
        <v>227.2</v>
      </c>
      <c r="K207" s="121" t="s">
        <v>1</v>
      </c>
      <c r="L207" s="24"/>
      <c r="M207" s="125" t="s">
        <v>1</v>
      </c>
      <c r="N207" s="126" t="s">
        <v>32</v>
      </c>
      <c r="O207" s="127">
        <v>0</v>
      </c>
      <c r="P207" s="127">
        <f t="shared" si="31"/>
        <v>0</v>
      </c>
      <c r="Q207" s="127">
        <v>0</v>
      </c>
      <c r="R207" s="127">
        <f t="shared" si="32"/>
        <v>0</v>
      </c>
      <c r="S207" s="127">
        <v>0</v>
      </c>
      <c r="T207" s="128">
        <f t="shared" si="33"/>
        <v>0</v>
      </c>
      <c r="AR207" s="129" t="s">
        <v>235</v>
      </c>
      <c r="AT207" s="129" t="s">
        <v>231</v>
      </c>
      <c r="AU207" s="129" t="s">
        <v>76</v>
      </c>
      <c r="AY207" s="13" t="s">
        <v>228</v>
      </c>
      <c r="BE207" s="130">
        <f t="shared" si="34"/>
        <v>0</v>
      </c>
      <c r="BF207" s="130">
        <f t="shared" si="35"/>
        <v>227.2</v>
      </c>
      <c r="BG207" s="130">
        <f t="shared" si="36"/>
        <v>0</v>
      </c>
      <c r="BH207" s="130">
        <f t="shared" si="37"/>
        <v>0</v>
      </c>
      <c r="BI207" s="130">
        <f t="shared" si="38"/>
        <v>0</v>
      </c>
      <c r="BJ207" s="13" t="s">
        <v>76</v>
      </c>
      <c r="BK207" s="130">
        <f t="shared" si="39"/>
        <v>227.2</v>
      </c>
      <c r="BL207" s="13" t="s">
        <v>235</v>
      </c>
      <c r="BM207" s="129" t="s">
        <v>428</v>
      </c>
    </row>
    <row r="208" spans="2:65" s="1" customFormat="1" ht="16.5" customHeight="1" x14ac:dyDescent="0.2">
      <c r="B208" s="118"/>
      <c r="C208" s="119" t="s">
        <v>429</v>
      </c>
      <c r="D208" s="119" t="s">
        <v>231</v>
      </c>
      <c r="E208" s="120" t="s">
        <v>5026</v>
      </c>
      <c r="F208" s="121" t="s">
        <v>5027</v>
      </c>
      <c r="G208" s="122" t="s">
        <v>292</v>
      </c>
      <c r="H208" s="123">
        <v>40</v>
      </c>
      <c r="I208" s="124">
        <v>2.2799999999999998</v>
      </c>
      <c r="J208" s="124">
        <f t="shared" si="30"/>
        <v>91.2</v>
      </c>
      <c r="K208" s="121" t="s">
        <v>1</v>
      </c>
      <c r="L208" s="24"/>
      <c r="M208" s="125" t="s">
        <v>1</v>
      </c>
      <c r="N208" s="126" t="s">
        <v>32</v>
      </c>
      <c r="O208" s="127">
        <v>0</v>
      </c>
      <c r="P208" s="127">
        <f t="shared" si="31"/>
        <v>0</v>
      </c>
      <c r="Q208" s="127">
        <v>0</v>
      </c>
      <c r="R208" s="127">
        <f t="shared" si="32"/>
        <v>0</v>
      </c>
      <c r="S208" s="127">
        <v>0</v>
      </c>
      <c r="T208" s="128">
        <f t="shared" si="33"/>
        <v>0</v>
      </c>
      <c r="AR208" s="129" t="s">
        <v>235</v>
      </c>
      <c r="AT208" s="129" t="s">
        <v>231</v>
      </c>
      <c r="AU208" s="129" t="s">
        <v>76</v>
      </c>
      <c r="AY208" s="13" t="s">
        <v>228</v>
      </c>
      <c r="BE208" s="130">
        <f t="shared" si="34"/>
        <v>0</v>
      </c>
      <c r="BF208" s="130">
        <f t="shared" si="35"/>
        <v>91.2</v>
      </c>
      <c r="BG208" s="130">
        <f t="shared" si="36"/>
        <v>0</v>
      </c>
      <c r="BH208" s="130">
        <f t="shared" si="37"/>
        <v>0</v>
      </c>
      <c r="BI208" s="130">
        <f t="shared" si="38"/>
        <v>0</v>
      </c>
      <c r="BJ208" s="13" t="s">
        <v>76</v>
      </c>
      <c r="BK208" s="130">
        <f t="shared" si="39"/>
        <v>91.2</v>
      </c>
      <c r="BL208" s="13" t="s">
        <v>235</v>
      </c>
      <c r="BM208" s="129" t="s">
        <v>432</v>
      </c>
    </row>
    <row r="209" spans="2:65" s="1" customFormat="1" ht="16.5" customHeight="1" x14ac:dyDescent="0.2">
      <c r="B209" s="118"/>
      <c r="C209" s="119" t="s">
        <v>333</v>
      </c>
      <c r="D209" s="119" t="s">
        <v>231</v>
      </c>
      <c r="E209" s="120" t="s">
        <v>2852</v>
      </c>
      <c r="F209" s="121" t="s">
        <v>2853</v>
      </c>
      <c r="G209" s="122" t="s">
        <v>292</v>
      </c>
      <c r="H209" s="123">
        <v>80</v>
      </c>
      <c r="I209" s="124">
        <v>1.6</v>
      </c>
      <c r="J209" s="124">
        <f t="shared" si="30"/>
        <v>128</v>
      </c>
      <c r="K209" s="121" t="s">
        <v>1</v>
      </c>
      <c r="L209" s="24"/>
      <c r="M209" s="125" t="s">
        <v>1</v>
      </c>
      <c r="N209" s="126" t="s">
        <v>32</v>
      </c>
      <c r="O209" s="127">
        <v>0</v>
      </c>
      <c r="P209" s="127">
        <f t="shared" si="31"/>
        <v>0</v>
      </c>
      <c r="Q209" s="127">
        <v>0</v>
      </c>
      <c r="R209" s="127">
        <f t="shared" si="32"/>
        <v>0</v>
      </c>
      <c r="S209" s="127">
        <v>0</v>
      </c>
      <c r="T209" s="128">
        <f t="shared" si="33"/>
        <v>0</v>
      </c>
      <c r="AR209" s="129" t="s">
        <v>235</v>
      </c>
      <c r="AT209" s="129" t="s">
        <v>231</v>
      </c>
      <c r="AU209" s="129" t="s">
        <v>76</v>
      </c>
      <c r="AY209" s="13" t="s">
        <v>228</v>
      </c>
      <c r="BE209" s="130">
        <f t="shared" si="34"/>
        <v>0</v>
      </c>
      <c r="BF209" s="130">
        <f t="shared" si="35"/>
        <v>128</v>
      </c>
      <c r="BG209" s="130">
        <f t="shared" si="36"/>
        <v>0</v>
      </c>
      <c r="BH209" s="130">
        <f t="shared" si="37"/>
        <v>0</v>
      </c>
      <c r="BI209" s="130">
        <f t="shared" si="38"/>
        <v>0</v>
      </c>
      <c r="BJ209" s="13" t="s">
        <v>76</v>
      </c>
      <c r="BK209" s="130">
        <f t="shared" si="39"/>
        <v>128</v>
      </c>
      <c r="BL209" s="13" t="s">
        <v>235</v>
      </c>
      <c r="BM209" s="129" t="s">
        <v>435</v>
      </c>
    </row>
    <row r="210" spans="2:65" s="1" customFormat="1" ht="16.5" customHeight="1" x14ac:dyDescent="0.2">
      <c r="B210" s="118"/>
      <c r="C210" s="119" t="s">
        <v>438</v>
      </c>
      <c r="D210" s="119" t="s">
        <v>231</v>
      </c>
      <c r="E210" s="120" t="s">
        <v>2856</v>
      </c>
      <c r="F210" s="121" t="s">
        <v>2857</v>
      </c>
      <c r="G210" s="122" t="s">
        <v>292</v>
      </c>
      <c r="H210" s="123">
        <v>160</v>
      </c>
      <c r="I210" s="124">
        <v>0.73</v>
      </c>
      <c r="J210" s="124">
        <f t="shared" si="30"/>
        <v>116.8</v>
      </c>
      <c r="K210" s="121" t="s">
        <v>1</v>
      </c>
      <c r="L210" s="24"/>
      <c r="M210" s="125" t="s">
        <v>1</v>
      </c>
      <c r="N210" s="126" t="s">
        <v>32</v>
      </c>
      <c r="O210" s="127">
        <v>0</v>
      </c>
      <c r="P210" s="127">
        <f t="shared" si="31"/>
        <v>0</v>
      </c>
      <c r="Q210" s="127">
        <v>0</v>
      </c>
      <c r="R210" s="127">
        <f t="shared" si="32"/>
        <v>0</v>
      </c>
      <c r="S210" s="127">
        <v>0</v>
      </c>
      <c r="T210" s="128">
        <f t="shared" si="33"/>
        <v>0</v>
      </c>
      <c r="AR210" s="129" t="s">
        <v>235</v>
      </c>
      <c r="AT210" s="129" t="s">
        <v>231</v>
      </c>
      <c r="AU210" s="129" t="s">
        <v>76</v>
      </c>
      <c r="AY210" s="13" t="s">
        <v>228</v>
      </c>
      <c r="BE210" s="130">
        <f t="shared" si="34"/>
        <v>0</v>
      </c>
      <c r="BF210" s="130">
        <f t="shared" si="35"/>
        <v>116.8</v>
      </c>
      <c r="BG210" s="130">
        <f t="shared" si="36"/>
        <v>0</v>
      </c>
      <c r="BH210" s="130">
        <f t="shared" si="37"/>
        <v>0</v>
      </c>
      <c r="BI210" s="130">
        <f t="shared" si="38"/>
        <v>0</v>
      </c>
      <c r="BJ210" s="13" t="s">
        <v>76</v>
      </c>
      <c r="BK210" s="130">
        <f t="shared" si="39"/>
        <v>116.8</v>
      </c>
      <c r="BL210" s="13" t="s">
        <v>235</v>
      </c>
      <c r="BM210" s="129" t="s">
        <v>441</v>
      </c>
    </row>
    <row r="211" spans="2:65" s="1" customFormat="1" ht="16.5" customHeight="1" x14ac:dyDescent="0.2">
      <c r="B211" s="118"/>
      <c r="C211" s="119" t="s">
        <v>337</v>
      </c>
      <c r="D211" s="119" t="s">
        <v>231</v>
      </c>
      <c r="E211" s="120" t="s">
        <v>2858</v>
      </c>
      <c r="F211" s="121" t="s">
        <v>2859</v>
      </c>
      <c r="G211" s="122" t="s">
        <v>292</v>
      </c>
      <c r="H211" s="123">
        <v>320</v>
      </c>
      <c r="I211" s="124">
        <v>2.0099999999999998</v>
      </c>
      <c r="J211" s="124">
        <f t="shared" si="30"/>
        <v>643.20000000000005</v>
      </c>
      <c r="K211" s="121" t="s">
        <v>1</v>
      </c>
      <c r="L211" s="24"/>
      <c r="M211" s="125" t="s">
        <v>1</v>
      </c>
      <c r="N211" s="126" t="s">
        <v>32</v>
      </c>
      <c r="O211" s="127">
        <v>0</v>
      </c>
      <c r="P211" s="127">
        <f t="shared" si="31"/>
        <v>0</v>
      </c>
      <c r="Q211" s="127">
        <v>0</v>
      </c>
      <c r="R211" s="127">
        <f t="shared" si="32"/>
        <v>0</v>
      </c>
      <c r="S211" s="127">
        <v>0</v>
      </c>
      <c r="T211" s="128">
        <f t="shared" si="33"/>
        <v>0</v>
      </c>
      <c r="AR211" s="129" t="s">
        <v>235</v>
      </c>
      <c r="AT211" s="129" t="s">
        <v>231</v>
      </c>
      <c r="AU211" s="129" t="s">
        <v>76</v>
      </c>
      <c r="AY211" s="13" t="s">
        <v>228</v>
      </c>
      <c r="BE211" s="130">
        <f t="shared" si="34"/>
        <v>0</v>
      </c>
      <c r="BF211" s="130">
        <f t="shared" si="35"/>
        <v>643.20000000000005</v>
      </c>
      <c r="BG211" s="130">
        <f t="shared" si="36"/>
        <v>0</v>
      </c>
      <c r="BH211" s="130">
        <f t="shared" si="37"/>
        <v>0</v>
      </c>
      <c r="BI211" s="130">
        <f t="shared" si="38"/>
        <v>0</v>
      </c>
      <c r="BJ211" s="13" t="s">
        <v>76</v>
      </c>
      <c r="BK211" s="130">
        <f t="shared" si="39"/>
        <v>643.20000000000005</v>
      </c>
      <c r="BL211" s="13" t="s">
        <v>235</v>
      </c>
      <c r="BM211" s="129" t="s">
        <v>444</v>
      </c>
    </row>
    <row r="212" spans="2:65" s="1" customFormat="1" ht="16.5" customHeight="1" x14ac:dyDescent="0.2">
      <c r="B212" s="118"/>
      <c r="C212" s="119" t="s">
        <v>445</v>
      </c>
      <c r="D212" s="119" t="s">
        <v>231</v>
      </c>
      <c r="E212" s="120" t="s">
        <v>2860</v>
      </c>
      <c r="F212" s="121" t="s">
        <v>2861</v>
      </c>
      <c r="G212" s="122" t="s">
        <v>292</v>
      </c>
      <c r="H212" s="123">
        <v>280</v>
      </c>
      <c r="I212" s="124">
        <v>0.8</v>
      </c>
      <c r="J212" s="124">
        <f t="shared" si="30"/>
        <v>224</v>
      </c>
      <c r="K212" s="121" t="s">
        <v>1</v>
      </c>
      <c r="L212" s="24"/>
      <c r="M212" s="125" t="s">
        <v>1</v>
      </c>
      <c r="N212" s="126" t="s">
        <v>32</v>
      </c>
      <c r="O212" s="127">
        <v>0</v>
      </c>
      <c r="P212" s="127">
        <f t="shared" si="31"/>
        <v>0</v>
      </c>
      <c r="Q212" s="127">
        <v>0</v>
      </c>
      <c r="R212" s="127">
        <f t="shared" si="32"/>
        <v>0</v>
      </c>
      <c r="S212" s="127">
        <v>0</v>
      </c>
      <c r="T212" s="128">
        <f t="shared" si="33"/>
        <v>0</v>
      </c>
      <c r="AR212" s="129" t="s">
        <v>235</v>
      </c>
      <c r="AT212" s="129" t="s">
        <v>231</v>
      </c>
      <c r="AU212" s="129" t="s">
        <v>76</v>
      </c>
      <c r="AY212" s="13" t="s">
        <v>228</v>
      </c>
      <c r="BE212" s="130">
        <f t="shared" si="34"/>
        <v>0</v>
      </c>
      <c r="BF212" s="130">
        <f t="shared" si="35"/>
        <v>224</v>
      </c>
      <c r="BG212" s="130">
        <f t="shared" si="36"/>
        <v>0</v>
      </c>
      <c r="BH212" s="130">
        <f t="shared" si="37"/>
        <v>0</v>
      </c>
      <c r="BI212" s="130">
        <f t="shared" si="38"/>
        <v>0</v>
      </c>
      <c r="BJ212" s="13" t="s">
        <v>76</v>
      </c>
      <c r="BK212" s="130">
        <f t="shared" si="39"/>
        <v>224</v>
      </c>
      <c r="BL212" s="13" t="s">
        <v>235</v>
      </c>
      <c r="BM212" s="129" t="s">
        <v>448</v>
      </c>
    </row>
    <row r="213" spans="2:65" s="1" customFormat="1" ht="16.5" customHeight="1" x14ac:dyDescent="0.2">
      <c r="B213" s="118"/>
      <c r="C213" s="119" t="s">
        <v>340</v>
      </c>
      <c r="D213" s="119" t="s">
        <v>231</v>
      </c>
      <c r="E213" s="120" t="s">
        <v>5028</v>
      </c>
      <c r="F213" s="121" t="s">
        <v>5029</v>
      </c>
      <c r="G213" s="122" t="s">
        <v>292</v>
      </c>
      <c r="H213" s="123">
        <v>10</v>
      </c>
      <c r="I213" s="124">
        <v>5.61</v>
      </c>
      <c r="J213" s="124">
        <f t="shared" si="30"/>
        <v>56.1</v>
      </c>
      <c r="K213" s="121" t="s">
        <v>1</v>
      </c>
      <c r="L213" s="24"/>
      <c r="M213" s="125" t="s">
        <v>1</v>
      </c>
      <c r="N213" s="126" t="s">
        <v>32</v>
      </c>
      <c r="O213" s="127">
        <v>0</v>
      </c>
      <c r="P213" s="127">
        <f t="shared" si="31"/>
        <v>0</v>
      </c>
      <c r="Q213" s="127">
        <v>0</v>
      </c>
      <c r="R213" s="127">
        <f t="shared" si="32"/>
        <v>0</v>
      </c>
      <c r="S213" s="127">
        <v>0</v>
      </c>
      <c r="T213" s="128">
        <f t="shared" si="33"/>
        <v>0</v>
      </c>
      <c r="AR213" s="129" t="s">
        <v>235</v>
      </c>
      <c r="AT213" s="129" t="s">
        <v>231</v>
      </c>
      <c r="AU213" s="129" t="s">
        <v>76</v>
      </c>
      <c r="AY213" s="13" t="s">
        <v>228</v>
      </c>
      <c r="BE213" s="130">
        <f t="shared" si="34"/>
        <v>0</v>
      </c>
      <c r="BF213" s="130">
        <f t="shared" si="35"/>
        <v>56.1</v>
      </c>
      <c r="BG213" s="130">
        <f t="shared" si="36"/>
        <v>0</v>
      </c>
      <c r="BH213" s="130">
        <f t="shared" si="37"/>
        <v>0</v>
      </c>
      <c r="BI213" s="130">
        <f t="shared" si="38"/>
        <v>0</v>
      </c>
      <c r="BJ213" s="13" t="s">
        <v>76</v>
      </c>
      <c r="BK213" s="130">
        <f t="shared" si="39"/>
        <v>56.1</v>
      </c>
      <c r="BL213" s="13" t="s">
        <v>235</v>
      </c>
      <c r="BM213" s="129" t="s">
        <v>451</v>
      </c>
    </row>
    <row r="214" spans="2:65" s="1" customFormat="1" ht="16.5" customHeight="1" x14ac:dyDescent="0.2">
      <c r="B214" s="118"/>
      <c r="C214" s="119" t="s">
        <v>452</v>
      </c>
      <c r="D214" s="119" t="s">
        <v>231</v>
      </c>
      <c r="E214" s="120" t="s">
        <v>5030</v>
      </c>
      <c r="F214" s="121" t="s">
        <v>5031</v>
      </c>
      <c r="G214" s="122" t="s">
        <v>292</v>
      </c>
      <c r="H214" s="123">
        <v>10</v>
      </c>
      <c r="I214" s="124">
        <v>5.21</v>
      </c>
      <c r="J214" s="124">
        <f t="shared" si="30"/>
        <v>52.1</v>
      </c>
      <c r="K214" s="121" t="s">
        <v>1</v>
      </c>
      <c r="L214" s="24"/>
      <c r="M214" s="125" t="s">
        <v>1</v>
      </c>
      <c r="N214" s="126" t="s">
        <v>32</v>
      </c>
      <c r="O214" s="127">
        <v>0</v>
      </c>
      <c r="P214" s="127">
        <f t="shared" si="31"/>
        <v>0</v>
      </c>
      <c r="Q214" s="127">
        <v>0</v>
      </c>
      <c r="R214" s="127">
        <f t="shared" si="32"/>
        <v>0</v>
      </c>
      <c r="S214" s="127">
        <v>0</v>
      </c>
      <c r="T214" s="128">
        <f t="shared" si="33"/>
        <v>0</v>
      </c>
      <c r="AR214" s="129" t="s">
        <v>235</v>
      </c>
      <c r="AT214" s="129" t="s">
        <v>231</v>
      </c>
      <c r="AU214" s="129" t="s">
        <v>76</v>
      </c>
      <c r="AY214" s="13" t="s">
        <v>228</v>
      </c>
      <c r="BE214" s="130">
        <f t="shared" si="34"/>
        <v>0</v>
      </c>
      <c r="BF214" s="130">
        <f t="shared" si="35"/>
        <v>52.1</v>
      </c>
      <c r="BG214" s="130">
        <f t="shared" si="36"/>
        <v>0</v>
      </c>
      <c r="BH214" s="130">
        <f t="shared" si="37"/>
        <v>0</v>
      </c>
      <c r="BI214" s="130">
        <f t="shared" si="38"/>
        <v>0</v>
      </c>
      <c r="BJ214" s="13" t="s">
        <v>76</v>
      </c>
      <c r="BK214" s="130">
        <f t="shared" si="39"/>
        <v>52.1</v>
      </c>
      <c r="BL214" s="13" t="s">
        <v>235</v>
      </c>
      <c r="BM214" s="129" t="s">
        <v>455</v>
      </c>
    </row>
    <row r="215" spans="2:65" s="1" customFormat="1" ht="16.5" customHeight="1" x14ac:dyDescent="0.2">
      <c r="B215" s="118"/>
      <c r="C215" s="119" t="s">
        <v>344</v>
      </c>
      <c r="D215" s="119" t="s">
        <v>231</v>
      </c>
      <c r="E215" s="120" t="s">
        <v>4213</v>
      </c>
      <c r="F215" s="121" t="s">
        <v>4214</v>
      </c>
      <c r="G215" s="122" t="s">
        <v>292</v>
      </c>
      <c r="H215" s="123">
        <v>20</v>
      </c>
      <c r="I215" s="124">
        <v>4.68</v>
      </c>
      <c r="J215" s="124">
        <f t="shared" si="30"/>
        <v>93.6</v>
      </c>
      <c r="K215" s="121" t="s">
        <v>1</v>
      </c>
      <c r="L215" s="24"/>
      <c r="M215" s="125" t="s">
        <v>1</v>
      </c>
      <c r="N215" s="126" t="s">
        <v>32</v>
      </c>
      <c r="O215" s="127">
        <v>0</v>
      </c>
      <c r="P215" s="127">
        <f t="shared" si="31"/>
        <v>0</v>
      </c>
      <c r="Q215" s="127">
        <v>0</v>
      </c>
      <c r="R215" s="127">
        <f t="shared" si="32"/>
        <v>0</v>
      </c>
      <c r="S215" s="127">
        <v>0</v>
      </c>
      <c r="T215" s="128">
        <f t="shared" si="33"/>
        <v>0</v>
      </c>
      <c r="AR215" s="129" t="s">
        <v>235</v>
      </c>
      <c r="AT215" s="129" t="s">
        <v>231</v>
      </c>
      <c r="AU215" s="129" t="s">
        <v>76</v>
      </c>
      <c r="AY215" s="13" t="s">
        <v>228</v>
      </c>
      <c r="BE215" s="130">
        <f t="shared" si="34"/>
        <v>0</v>
      </c>
      <c r="BF215" s="130">
        <f t="shared" si="35"/>
        <v>93.6</v>
      </c>
      <c r="BG215" s="130">
        <f t="shared" si="36"/>
        <v>0</v>
      </c>
      <c r="BH215" s="130">
        <f t="shared" si="37"/>
        <v>0</v>
      </c>
      <c r="BI215" s="130">
        <f t="shared" si="38"/>
        <v>0</v>
      </c>
      <c r="BJ215" s="13" t="s">
        <v>76</v>
      </c>
      <c r="BK215" s="130">
        <f t="shared" si="39"/>
        <v>93.6</v>
      </c>
      <c r="BL215" s="13" t="s">
        <v>235</v>
      </c>
      <c r="BM215" s="129" t="s">
        <v>458</v>
      </c>
    </row>
    <row r="216" spans="2:65" s="1" customFormat="1" ht="24" customHeight="1" x14ac:dyDescent="0.2">
      <c r="B216" s="118"/>
      <c r="C216" s="119" t="s">
        <v>459</v>
      </c>
      <c r="D216" s="119" t="s">
        <v>231</v>
      </c>
      <c r="E216" s="120" t="s">
        <v>2866</v>
      </c>
      <c r="F216" s="121" t="s">
        <v>2867</v>
      </c>
      <c r="G216" s="122" t="s">
        <v>292</v>
      </c>
      <c r="H216" s="123">
        <v>30</v>
      </c>
      <c r="I216" s="124">
        <v>1</v>
      </c>
      <c r="J216" s="124">
        <f t="shared" si="30"/>
        <v>30</v>
      </c>
      <c r="K216" s="121" t="s">
        <v>1</v>
      </c>
      <c r="L216" s="24"/>
      <c r="M216" s="125" t="s">
        <v>1</v>
      </c>
      <c r="N216" s="126" t="s">
        <v>32</v>
      </c>
      <c r="O216" s="127">
        <v>0</v>
      </c>
      <c r="P216" s="127">
        <f t="shared" si="31"/>
        <v>0</v>
      </c>
      <c r="Q216" s="127">
        <v>0</v>
      </c>
      <c r="R216" s="127">
        <f t="shared" si="32"/>
        <v>0</v>
      </c>
      <c r="S216" s="127">
        <v>0</v>
      </c>
      <c r="T216" s="128">
        <f t="shared" si="33"/>
        <v>0</v>
      </c>
      <c r="AR216" s="129" t="s">
        <v>235</v>
      </c>
      <c r="AT216" s="129" t="s">
        <v>231</v>
      </c>
      <c r="AU216" s="129" t="s">
        <v>76</v>
      </c>
      <c r="AY216" s="13" t="s">
        <v>228</v>
      </c>
      <c r="BE216" s="130">
        <f t="shared" si="34"/>
        <v>0</v>
      </c>
      <c r="BF216" s="130">
        <f t="shared" si="35"/>
        <v>30</v>
      </c>
      <c r="BG216" s="130">
        <f t="shared" si="36"/>
        <v>0</v>
      </c>
      <c r="BH216" s="130">
        <f t="shared" si="37"/>
        <v>0</v>
      </c>
      <c r="BI216" s="130">
        <f t="shared" si="38"/>
        <v>0</v>
      </c>
      <c r="BJ216" s="13" t="s">
        <v>76</v>
      </c>
      <c r="BK216" s="130">
        <f t="shared" si="39"/>
        <v>30</v>
      </c>
      <c r="BL216" s="13" t="s">
        <v>235</v>
      </c>
      <c r="BM216" s="129" t="s">
        <v>462</v>
      </c>
    </row>
    <row r="217" spans="2:65" s="1" customFormat="1" ht="16.5" customHeight="1" x14ac:dyDescent="0.2">
      <c r="B217" s="118"/>
      <c r="C217" s="119" t="s">
        <v>347</v>
      </c>
      <c r="D217" s="119" t="s">
        <v>231</v>
      </c>
      <c r="E217" s="120" t="s">
        <v>2868</v>
      </c>
      <c r="F217" s="121" t="s">
        <v>2869</v>
      </c>
      <c r="G217" s="122" t="s">
        <v>292</v>
      </c>
      <c r="H217" s="123">
        <v>160</v>
      </c>
      <c r="I217" s="124">
        <v>0.73</v>
      </c>
      <c r="J217" s="124">
        <f t="shared" si="30"/>
        <v>116.8</v>
      </c>
      <c r="K217" s="121" t="s">
        <v>1</v>
      </c>
      <c r="L217" s="24"/>
      <c r="M217" s="125" t="s">
        <v>1</v>
      </c>
      <c r="N217" s="126" t="s">
        <v>32</v>
      </c>
      <c r="O217" s="127">
        <v>0</v>
      </c>
      <c r="P217" s="127">
        <f t="shared" si="31"/>
        <v>0</v>
      </c>
      <c r="Q217" s="127">
        <v>0</v>
      </c>
      <c r="R217" s="127">
        <f t="shared" si="32"/>
        <v>0</v>
      </c>
      <c r="S217" s="127">
        <v>0</v>
      </c>
      <c r="T217" s="128">
        <f t="shared" si="33"/>
        <v>0</v>
      </c>
      <c r="AR217" s="129" t="s">
        <v>235</v>
      </c>
      <c r="AT217" s="129" t="s">
        <v>231</v>
      </c>
      <c r="AU217" s="129" t="s">
        <v>76</v>
      </c>
      <c r="AY217" s="13" t="s">
        <v>228</v>
      </c>
      <c r="BE217" s="130">
        <f t="shared" si="34"/>
        <v>0</v>
      </c>
      <c r="BF217" s="130">
        <f t="shared" si="35"/>
        <v>116.8</v>
      </c>
      <c r="BG217" s="130">
        <f t="shared" si="36"/>
        <v>0</v>
      </c>
      <c r="BH217" s="130">
        <f t="shared" si="37"/>
        <v>0</v>
      </c>
      <c r="BI217" s="130">
        <f t="shared" si="38"/>
        <v>0</v>
      </c>
      <c r="BJ217" s="13" t="s">
        <v>76</v>
      </c>
      <c r="BK217" s="130">
        <f t="shared" si="39"/>
        <v>116.8</v>
      </c>
      <c r="BL217" s="13" t="s">
        <v>235</v>
      </c>
      <c r="BM217" s="129" t="s">
        <v>465</v>
      </c>
    </row>
    <row r="218" spans="2:65" s="1" customFormat="1" ht="16.5" customHeight="1" x14ac:dyDescent="0.2">
      <c r="B218" s="118"/>
      <c r="C218" s="119" t="s">
        <v>466</v>
      </c>
      <c r="D218" s="119" t="s">
        <v>231</v>
      </c>
      <c r="E218" s="120" t="s">
        <v>2870</v>
      </c>
      <c r="F218" s="121" t="s">
        <v>2871</v>
      </c>
      <c r="G218" s="122" t="s">
        <v>292</v>
      </c>
      <c r="H218" s="123">
        <v>160</v>
      </c>
      <c r="I218" s="124">
        <v>1.21</v>
      </c>
      <c r="J218" s="124">
        <f t="shared" si="30"/>
        <v>193.6</v>
      </c>
      <c r="K218" s="121" t="s">
        <v>1</v>
      </c>
      <c r="L218" s="24"/>
      <c r="M218" s="125" t="s">
        <v>1</v>
      </c>
      <c r="N218" s="126" t="s">
        <v>32</v>
      </c>
      <c r="O218" s="127">
        <v>0</v>
      </c>
      <c r="P218" s="127">
        <f t="shared" si="31"/>
        <v>0</v>
      </c>
      <c r="Q218" s="127">
        <v>0</v>
      </c>
      <c r="R218" s="127">
        <f t="shared" si="32"/>
        <v>0</v>
      </c>
      <c r="S218" s="127">
        <v>0</v>
      </c>
      <c r="T218" s="128">
        <f t="shared" si="33"/>
        <v>0</v>
      </c>
      <c r="AR218" s="129" t="s">
        <v>235</v>
      </c>
      <c r="AT218" s="129" t="s">
        <v>231</v>
      </c>
      <c r="AU218" s="129" t="s">
        <v>76</v>
      </c>
      <c r="AY218" s="13" t="s">
        <v>228</v>
      </c>
      <c r="BE218" s="130">
        <f t="shared" si="34"/>
        <v>0</v>
      </c>
      <c r="BF218" s="130">
        <f t="shared" si="35"/>
        <v>193.6</v>
      </c>
      <c r="BG218" s="130">
        <f t="shared" si="36"/>
        <v>0</v>
      </c>
      <c r="BH218" s="130">
        <f t="shared" si="37"/>
        <v>0</v>
      </c>
      <c r="BI218" s="130">
        <f t="shared" si="38"/>
        <v>0</v>
      </c>
      <c r="BJ218" s="13" t="s">
        <v>76</v>
      </c>
      <c r="BK218" s="130">
        <f t="shared" si="39"/>
        <v>193.6</v>
      </c>
      <c r="BL218" s="13" t="s">
        <v>235</v>
      </c>
      <c r="BM218" s="129" t="s">
        <v>469</v>
      </c>
    </row>
    <row r="219" spans="2:65" s="1" customFormat="1" ht="16.5" customHeight="1" x14ac:dyDescent="0.2">
      <c r="B219" s="118"/>
      <c r="C219" s="119" t="s">
        <v>351</v>
      </c>
      <c r="D219" s="119" t="s">
        <v>231</v>
      </c>
      <c r="E219" s="120" t="s">
        <v>4215</v>
      </c>
      <c r="F219" s="121" t="s">
        <v>2873</v>
      </c>
      <c r="G219" s="122" t="s">
        <v>243</v>
      </c>
      <c r="H219" s="123">
        <v>64</v>
      </c>
      <c r="I219" s="124">
        <v>0.67</v>
      </c>
      <c r="J219" s="124">
        <f t="shared" si="30"/>
        <v>42.88</v>
      </c>
      <c r="K219" s="121" t="s">
        <v>1</v>
      </c>
      <c r="L219" s="24"/>
      <c r="M219" s="125" t="s">
        <v>1</v>
      </c>
      <c r="N219" s="126" t="s">
        <v>32</v>
      </c>
      <c r="O219" s="127">
        <v>0</v>
      </c>
      <c r="P219" s="127">
        <f t="shared" si="31"/>
        <v>0</v>
      </c>
      <c r="Q219" s="127">
        <v>0</v>
      </c>
      <c r="R219" s="127">
        <f t="shared" si="32"/>
        <v>0</v>
      </c>
      <c r="S219" s="127">
        <v>0</v>
      </c>
      <c r="T219" s="128">
        <f t="shared" si="33"/>
        <v>0</v>
      </c>
      <c r="AR219" s="129" t="s">
        <v>235</v>
      </c>
      <c r="AT219" s="129" t="s">
        <v>231</v>
      </c>
      <c r="AU219" s="129" t="s">
        <v>76</v>
      </c>
      <c r="AY219" s="13" t="s">
        <v>228</v>
      </c>
      <c r="BE219" s="130">
        <f t="shared" si="34"/>
        <v>0</v>
      </c>
      <c r="BF219" s="130">
        <f t="shared" si="35"/>
        <v>42.88</v>
      </c>
      <c r="BG219" s="130">
        <f t="shared" si="36"/>
        <v>0</v>
      </c>
      <c r="BH219" s="130">
        <f t="shared" si="37"/>
        <v>0</v>
      </c>
      <c r="BI219" s="130">
        <f t="shared" si="38"/>
        <v>0</v>
      </c>
      <c r="BJ219" s="13" t="s">
        <v>76</v>
      </c>
      <c r="BK219" s="130">
        <f t="shared" si="39"/>
        <v>42.88</v>
      </c>
      <c r="BL219" s="13" t="s">
        <v>235</v>
      </c>
      <c r="BM219" s="129" t="s">
        <v>472</v>
      </c>
    </row>
    <row r="220" spans="2:65" s="1" customFormat="1" ht="16.5" customHeight="1" x14ac:dyDescent="0.2">
      <c r="B220" s="118"/>
      <c r="C220" s="119" t="s">
        <v>473</v>
      </c>
      <c r="D220" s="119" t="s">
        <v>231</v>
      </c>
      <c r="E220" s="120" t="s">
        <v>2874</v>
      </c>
      <c r="F220" s="121" t="s">
        <v>2875</v>
      </c>
      <c r="G220" s="122" t="s">
        <v>1194</v>
      </c>
      <c r="H220" s="123">
        <v>22</v>
      </c>
      <c r="I220" s="124">
        <v>11.35</v>
      </c>
      <c r="J220" s="124">
        <f t="shared" si="30"/>
        <v>249.7</v>
      </c>
      <c r="K220" s="121" t="s">
        <v>1</v>
      </c>
      <c r="L220" s="24"/>
      <c r="M220" s="125" t="s">
        <v>1</v>
      </c>
      <c r="N220" s="126" t="s">
        <v>32</v>
      </c>
      <c r="O220" s="127">
        <v>0</v>
      </c>
      <c r="P220" s="127">
        <f t="shared" si="31"/>
        <v>0</v>
      </c>
      <c r="Q220" s="127">
        <v>0</v>
      </c>
      <c r="R220" s="127">
        <f t="shared" si="32"/>
        <v>0</v>
      </c>
      <c r="S220" s="127">
        <v>0</v>
      </c>
      <c r="T220" s="128">
        <f t="shared" si="33"/>
        <v>0</v>
      </c>
      <c r="AR220" s="129" t="s">
        <v>235</v>
      </c>
      <c r="AT220" s="129" t="s">
        <v>231</v>
      </c>
      <c r="AU220" s="129" t="s">
        <v>76</v>
      </c>
      <c r="AY220" s="13" t="s">
        <v>228</v>
      </c>
      <c r="BE220" s="130">
        <f t="shared" si="34"/>
        <v>0</v>
      </c>
      <c r="BF220" s="130">
        <f t="shared" si="35"/>
        <v>249.7</v>
      </c>
      <c r="BG220" s="130">
        <f t="shared" si="36"/>
        <v>0</v>
      </c>
      <c r="BH220" s="130">
        <f t="shared" si="37"/>
        <v>0</v>
      </c>
      <c r="BI220" s="130">
        <f t="shared" si="38"/>
        <v>0</v>
      </c>
      <c r="BJ220" s="13" t="s">
        <v>76</v>
      </c>
      <c r="BK220" s="130">
        <f t="shared" si="39"/>
        <v>249.7</v>
      </c>
      <c r="BL220" s="13" t="s">
        <v>235</v>
      </c>
      <c r="BM220" s="129" t="s">
        <v>476</v>
      </c>
    </row>
    <row r="221" spans="2:65" s="1" customFormat="1" ht="16.5" customHeight="1" x14ac:dyDescent="0.2">
      <c r="B221" s="118"/>
      <c r="C221" s="119" t="s">
        <v>354</v>
      </c>
      <c r="D221" s="119" t="s">
        <v>231</v>
      </c>
      <c r="E221" s="120" t="s">
        <v>2876</v>
      </c>
      <c r="F221" s="121" t="s">
        <v>2877</v>
      </c>
      <c r="G221" s="122" t="s">
        <v>292</v>
      </c>
      <c r="H221" s="123">
        <v>40</v>
      </c>
      <c r="I221" s="124">
        <v>14.02</v>
      </c>
      <c r="J221" s="124">
        <f t="shared" si="30"/>
        <v>560.79999999999995</v>
      </c>
      <c r="K221" s="121" t="s">
        <v>1</v>
      </c>
      <c r="L221" s="24"/>
      <c r="M221" s="125" t="s">
        <v>1</v>
      </c>
      <c r="N221" s="126" t="s">
        <v>32</v>
      </c>
      <c r="O221" s="127">
        <v>0</v>
      </c>
      <c r="P221" s="127">
        <f t="shared" si="31"/>
        <v>0</v>
      </c>
      <c r="Q221" s="127">
        <v>0</v>
      </c>
      <c r="R221" s="127">
        <f t="shared" si="32"/>
        <v>0</v>
      </c>
      <c r="S221" s="127">
        <v>0</v>
      </c>
      <c r="T221" s="128">
        <f t="shared" si="33"/>
        <v>0</v>
      </c>
      <c r="AR221" s="129" t="s">
        <v>235</v>
      </c>
      <c r="AT221" s="129" t="s">
        <v>231</v>
      </c>
      <c r="AU221" s="129" t="s">
        <v>76</v>
      </c>
      <c r="AY221" s="13" t="s">
        <v>228</v>
      </c>
      <c r="BE221" s="130">
        <f t="shared" si="34"/>
        <v>0</v>
      </c>
      <c r="BF221" s="130">
        <f t="shared" si="35"/>
        <v>560.79999999999995</v>
      </c>
      <c r="BG221" s="130">
        <f t="shared" si="36"/>
        <v>0</v>
      </c>
      <c r="BH221" s="130">
        <f t="shared" si="37"/>
        <v>0</v>
      </c>
      <c r="BI221" s="130">
        <f t="shared" si="38"/>
        <v>0</v>
      </c>
      <c r="BJ221" s="13" t="s">
        <v>76</v>
      </c>
      <c r="BK221" s="130">
        <f t="shared" si="39"/>
        <v>560.79999999999995</v>
      </c>
      <c r="BL221" s="13" t="s">
        <v>235</v>
      </c>
      <c r="BM221" s="129" t="s">
        <v>479</v>
      </c>
    </row>
    <row r="222" spans="2:65" s="1" customFormat="1" ht="16.5" customHeight="1" x14ac:dyDescent="0.2">
      <c r="B222" s="118"/>
      <c r="C222" s="119" t="s">
        <v>480</v>
      </c>
      <c r="D222" s="119" t="s">
        <v>231</v>
      </c>
      <c r="E222" s="120" t="s">
        <v>2878</v>
      </c>
      <c r="F222" s="121" t="s">
        <v>2879</v>
      </c>
      <c r="G222" s="122" t="s">
        <v>292</v>
      </c>
      <c r="H222" s="123">
        <v>80</v>
      </c>
      <c r="I222" s="124">
        <v>11.35</v>
      </c>
      <c r="J222" s="124">
        <f t="shared" si="30"/>
        <v>908</v>
      </c>
      <c r="K222" s="121" t="s">
        <v>1</v>
      </c>
      <c r="L222" s="24"/>
      <c r="M222" s="125" t="s">
        <v>1</v>
      </c>
      <c r="N222" s="126" t="s">
        <v>32</v>
      </c>
      <c r="O222" s="127">
        <v>0</v>
      </c>
      <c r="P222" s="127">
        <f t="shared" si="31"/>
        <v>0</v>
      </c>
      <c r="Q222" s="127">
        <v>0</v>
      </c>
      <c r="R222" s="127">
        <f t="shared" si="32"/>
        <v>0</v>
      </c>
      <c r="S222" s="127">
        <v>0</v>
      </c>
      <c r="T222" s="128">
        <f t="shared" si="33"/>
        <v>0</v>
      </c>
      <c r="AR222" s="129" t="s">
        <v>235</v>
      </c>
      <c r="AT222" s="129" t="s">
        <v>231</v>
      </c>
      <c r="AU222" s="129" t="s">
        <v>76</v>
      </c>
      <c r="AY222" s="13" t="s">
        <v>228</v>
      </c>
      <c r="BE222" s="130">
        <f t="shared" si="34"/>
        <v>0</v>
      </c>
      <c r="BF222" s="130">
        <f t="shared" si="35"/>
        <v>908</v>
      </c>
      <c r="BG222" s="130">
        <f t="shared" si="36"/>
        <v>0</v>
      </c>
      <c r="BH222" s="130">
        <f t="shared" si="37"/>
        <v>0</v>
      </c>
      <c r="BI222" s="130">
        <f t="shared" si="38"/>
        <v>0</v>
      </c>
      <c r="BJ222" s="13" t="s">
        <v>76</v>
      </c>
      <c r="BK222" s="130">
        <f t="shared" si="39"/>
        <v>908</v>
      </c>
      <c r="BL222" s="13" t="s">
        <v>235</v>
      </c>
      <c r="BM222" s="129" t="s">
        <v>483</v>
      </c>
    </row>
    <row r="223" spans="2:65" s="1" customFormat="1" ht="16.5" customHeight="1" x14ac:dyDescent="0.2">
      <c r="B223" s="118"/>
      <c r="C223" s="119" t="s">
        <v>358</v>
      </c>
      <c r="D223" s="119" t="s">
        <v>231</v>
      </c>
      <c r="E223" s="120" t="s">
        <v>2880</v>
      </c>
      <c r="F223" s="121" t="s">
        <v>2881</v>
      </c>
      <c r="G223" s="122" t="s">
        <v>292</v>
      </c>
      <c r="H223" s="123">
        <v>80</v>
      </c>
      <c r="I223" s="124">
        <v>8.68</v>
      </c>
      <c r="J223" s="124">
        <f t="shared" si="30"/>
        <v>694.4</v>
      </c>
      <c r="K223" s="121" t="s">
        <v>1</v>
      </c>
      <c r="L223" s="24"/>
      <c r="M223" s="125" t="s">
        <v>1</v>
      </c>
      <c r="N223" s="126" t="s">
        <v>32</v>
      </c>
      <c r="O223" s="127">
        <v>0</v>
      </c>
      <c r="P223" s="127">
        <f t="shared" si="31"/>
        <v>0</v>
      </c>
      <c r="Q223" s="127">
        <v>0</v>
      </c>
      <c r="R223" s="127">
        <f t="shared" si="32"/>
        <v>0</v>
      </c>
      <c r="S223" s="127">
        <v>0</v>
      </c>
      <c r="T223" s="128">
        <f t="shared" si="33"/>
        <v>0</v>
      </c>
      <c r="AR223" s="129" t="s">
        <v>235</v>
      </c>
      <c r="AT223" s="129" t="s">
        <v>231</v>
      </c>
      <c r="AU223" s="129" t="s">
        <v>76</v>
      </c>
      <c r="AY223" s="13" t="s">
        <v>228</v>
      </c>
      <c r="BE223" s="130">
        <f t="shared" si="34"/>
        <v>0</v>
      </c>
      <c r="BF223" s="130">
        <f t="shared" si="35"/>
        <v>694.4</v>
      </c>
      <c r="BG223" s="130">
        <f t="shared" si="36"/>
        <v>0</v>
      </c>
      <c r="BH223" s="130">
        <f t="shared" si="37"/>
        <v>0</v>
      </c>
      <c r="BI223" s="130">
        <f t="shared" si="38"/>
        <v>0</v>
      </c>
      <c r="BJ223" s="13" t="s">
        <v>76</v>
      </c>
      <c r="BK223" s="130">
        <f t="shared" si="39"/>
        <v>694.4</v>
      </c>
      <c r="BL223" s="13" t="s">
        <v>235</v>
      </c>
      <c r="BM223" s="129" t="s">
        <v>486</v>
      </c>
    </row>
    <row r="224" spans="2:65" s="1" customFormat="1" ht="16.5" customHeight="1" x14ac:dyDescent="0.2">
      <c r="B224" s="118"/>
      <c r="C224" s="119" t="s">
        <v>487</v>
      </c>
      <c r="D224" s="119" t="s">
        <v>231</v>
      </c>
      <c r="E224" s="120" t="s">
        <v>2882</v>
      </c>
      <c r="F224" s="121" t="s">
        <v>2883</v>
      </c>
      <c r="G224" s="122" t="s">
        <v>292</v>
      </c>
      <c r="H224" s="123">
        <v>120</v>
      </c>
      <c r="I224" s="124">
        <v>3.34</v>
      </c>
      <c r="J224" s="124">
        <f t="shared" si="30"/>
        <v>400.8</v>
      </c>
      <c r="K224" s="121" t="s">
        <v>1</v>
      </c>
      <c r="L224" s="24"/>
      <c r="M224" s="125" t="s">
        <v>1</v>
      </c>
      <c r="N224" s="126" t="s">
        <v>32</v>
      </c>
      <c r="O224" s="127">
        <v>0</v>
      </c>
      <c r="P224" s="127">
        <f t="shared" si="31"/>
        <v>0</v>
      </c>
      <c r="Q224" s="127">
        <v>0</v>
      </c>
      <c r="R224" s="127">
        <f t="shared" si="32"/>
        <v>0</v>
      </c>
      <c r="S224" s="127">
        <v>0</v>
      </c>
      <c r="T224" s="128">
        <f t="shared" si="33"/>
        <v>0</v>
      </c>
      <c r="AR224" s="129" t="s">
        <v>235</v>
      </c>
      <c r="AT224" s="129" t="s">
        <v>231</v>
      </c>
      <c r="AU224" s="129" t="s">
        <v>76</v>
      </c>
      <c r="AY224" s="13" t="s">
        <v>228</v>
      </c>
      <c r="BE224" s="130">
        <f t="shared" si="34"/>
        <v>0</v>
      </c>
      <c r="BF224" s="130">
        <f t="shared" si="35"/>
        <v>400.8</v>
      </c>
      <c r="BG224" s="130">
        <f t="shared" si="36"/>
        <v>0</v>
      </c>
      <c r="BH224" s="130">
        <f t="shared" si="37"/>
        <v>0</v>
      </c>
      <c r="BI224" s="130">
        <f t="shared" si="38"/>
        <v>0</v>
      </c>
      <c r="BJ224" s="13" t="s">
        <v>76</v>
      </c>
      <c r="BK224" s="130">
        <f t="shared" si="39"/>
        <v>400.8</v>
      </c>
      <c r="BL224" s="13" t="s">
        <v>235</v>
      </c>
      <c r="BM224" s="129" t="s">
        <v>490</v>
      </c>
    </row>
    <row r="225" spans="2:65" s="1" customFormat="1" ht="16.5" customHeight="1" x14ac:dyDescent="0.2">
      <c r="B225" s="118"/>
      <c r="C225" s="119" t="s">
        <v>361</v>
      </c>
      <c r="D225" s="119" t="s">
        <v>231</v>
      </c>
      <c r="E225" s="120" t="s">
        <v>2884</v>
      </c>
      <c r="F225" s="121" t="s">
        <v>2885</v>
      </c>
      <c r="G225" s="122" t="s">
        <v>292</v>
      </c>
      <c r="H225" s="123">
        <v>80</v>
      </c>
      <c r="I225" s="124">
        <v>1.74</v>
      </c>
      <c r="J225" s="124">
        <f t="shared" si="30"/>
        <v>139.19999999999999</v>
      </c>
      <c r="K225" s="121" t="s">
        <v>1</v>
      </c>
      <c r="L225" s="24"/>
      <c r="M225" s="125" t="s">
        <v>1</v>
      </c>
      <c r="N225" s="126" t="s">
        <v>32</v>
      </c>
      <c r="O225" s="127">
        <v>0</v>
      </c>
      <c r="P225" s="127">
        <f t="shared" si="31"/>
        <v>0</v>
      </c>
      <c r="Q225" s="127">
        <v>0</v>
      </c>
      <c r="R225" s="127">
        <f t="shared" si="32"/>
        <v>0</v>
      </c>
      <c r="S225" s="127">
        <v>0</v>
      </c>
      <c r="T225" s="128">
        <f t="shared" si="33"/>
        <v>0</v>
      </c>
      <c r="AR225" s="129" t="s">
        <v>235</v>
      </c>
      <c r="AT225" s="129" t="s">
        <v>231</v>
      </c>
      <c r="AU225" s="129" t="s">
        <v>76</v>
      </c>
      <c r="AY225" s="13" t="s">
        <v>228</v>
      </c>
      <c r="BE225" s="130">
        <f t="shared" si="34"/>
        <v>0</v>
      </c>
      <c r="BF225" s="130">
        <f t="shared" si="35"/>
        <v>139.19999999999999</v>
      </c>
      <c r="BG225" s="130">
        <f t="shared" si="36"/>
        <v>0</v>
      </c>
      <c r="BH225" s="130">
        <f t="shared" si="37"/>
        <v>0</v>
      </c>
      <c r="BI225" s="130">
        <f t="shared" si="38"/>
        <v>0</v>
      </c>
      <c r="BJ225" s="13" t="s">
        <v>76</v>
      </c>
      <c r="BK225" s="130">
        <f t="shared" si="39"/>
        <v>139.19999999999999</v>
      </c>
      <c r="BL225" s="13" t="s">
        <v>235</v>
      </c>
      <c r="BM225" s="129" t="s">
        <v>493</v>
      </c>
    </row>
    <row r="226" spans="2:65" s="1" customFormat="1" ht="24" customHeight="1" x14ac:dyDescent="0.2">
      <c r="B226" s="118"/>
      <c r="C226" s="119" t="s">
        <v>494</v>
      </c>
      <c r="D226" s="119" t="s">
        <v>231</v>
      </c>
      <c r="E226" s="120" t="s">
        <v>2886</v>
      </c>
      <c r="F226" s="121" t="s">
        <v>2887</v>
      </c>
      <c r="G226" s="122" t="s">
        <v>292</v>
      </c>
      <c r="H226" s="123">
        <v>63</v>
      </c>
      <c r="I226" s="124">
        <v>7.74</v>
      </c>
      <c r="J226" s="124">
        <f t="shared" si="30"/>
        <v>487.62</v>
      </c>
      <c r="K226" s="121" t="s">
        <v>1</v>
      </c>
      <c r="L226" s="24"/>
      <c r="M226" s="125" t="s">
        <v>1</v>
      </c>
      <c r="N226" s="126" t="s">
        <v>32</v>
      </c>
      <c r="O226" s="127">
        <v>0</v>
      </c>
      <c r="P226" s="127">
        <f t="shared" si="31"/>
        <v>0</v>
      </c>
      <c r="Q226" s="127">
        <v>0</v>
      </c>
      <c r="R226" s="127">
        <f t="shared" si="32"/>
        <v>0</v>
      </c>
      <c r="S226" s="127">
        <v>0</v>
      </c>
      <c r="T226" s="128">
        <f t="shared" si="33"/>
        <v>0</v>
      </c>
      <c r="AR226" s="129" t="s">
        <v>235</v>
      </c>
      <c r="AT226" s="129" t="s">
        <v>231</v>
      </c>
      <c r="AU226" s="129" t="s">
        <v>76</v>
      </c>
      <c r="AY226" s="13" t="s">
        <v>228</v>
      </c>
      <c r="BE226" s="130">
        <f t="shared" si="34"/>
        <v>0</v>
      </c>
      <c r="BF226" s="130">
        <f t="shared" si="35"/>
        <v>487.62</v>
      </c>
      <c r="BG226" s="130">
        <f t="shared" si="36"/>
        <v>0</v>
      </c>
      <c r="BH226" s="130">
        <f t="shared" si="37"/>
        <v>0</v>
      </c>
      <c r="BI226" s="130">
        <f t="shared" si="38"/>
        <v>0</v>
      </c>
      <c r="BJ226" s="13" t="s">
        <v>76</v>
      </c>
      <c r="BK226" s="130">
        <f t="shared" si="39"/>
        <v>487.62</v>
      </c>
      <c r="BL226" s="13" t="s">
        <v>235</v>
      </c>
      <c r="BM226" s="129" t="s">
        <v>497</v>
      </c>
    </row>
    <row r="227" spans="2:65" s="1" customFormat="1" ht="16.5" customHeight="1" x14ac:dyDescent="0.2">
      <c r="B227" s="118"/>
      <c r="C227" s="119" t="s">
        <v>365</v>
      </c>
      <c r="D227" s="119" t="s">
        <v>231</v>
      </c>
      <c r="E227" s="120" t="s">
        <v>2888</v>
      </c>
      <c r="F227" s="121" t="s">
        <v>2889</v>
      </c>
      <c r="G227" s="122" t="s">
        <v>292</v>
      </c>
      <c r="H227" s="123">
        <v>21</v>
      </c>
      <c r="I227" s="124">
        <v>5.61</v>
      </c>
      <c r="J227" s="124">
        <f t="shared" si="30"/>
        <v>117.81</v>
      </c>
      <c r="K227" s="121" t="s">
        <v>1</v>
      </c>
      <c r="L227" s="24"/>
      <c r="M227" s="125" t="s">
        <v>1</v>
      </c>
      <c r="N227" s="126" t="s">
        <v>32</v>
      </c>
      <c r="O227" s="127">
        <v>0</v>
      </c>
      <c r="P227" s="127">
        <f t="shared" si="31"/>
        <v>0</v>
      </c>
      <c r="Q227" s="127">
        <v>0</v>
      </c>
      <c r="R227" s="127">
        <f t="shared" si="32"/>
        <v>0</v>
      </c>
      <c r="S227" s="127">
        <v>0</v>
      </c>
      <c r="T227" s="128">
        <f t="shared" si="33"/>
        <v>0</v>
      </c>
      <c r="AR227" s="129" t="s">
        <v>235</v>
      </c>
      <c r="AT227" s="129" t="s">
        <v>231</v>
      </c>
      <c r="AU227" s="129" t="s">
        <v>76</v>
      </c>
      <c r="AY227" s="13" t="s">
        <v>228</v>
      </c>
      <c r="BE227" s="130">
        <f t="shared" si="34"/>
        <v>0</v>
      </c>
      <c r="BF227" s="130">
        <f t="shared" si="35"/>
        <v>117.81</v>
      </c>
      <c r="BG227" s="130">
        <f t="shared" si="36"/>
        <v>0</v>
      </c>
      <c r="BH227" s="130">
        <f t="shared" si="37"/>
        <v>0</v>
      </c>
      <c r="BI227" s="130">
        <f t="shared" si="38"/>
        <v>0</v>
      </c>
      <c r="BJ227" s="13" t="s">
        <v>76</v>
      </c>
      <c r="BK227" s="130">
        <f t="shared" si="39"/>
        <v>117.81</v>
      </c>
      <c r="BL227" s="13" t="s">
        <v>235</v>
      </c>
      <c r="BM227" s="129" t="s">
        <v>500</v>
      </c>
    </row>
    <row r="228" spans="2:65" s="1" customFormat="1" ht="16.5" customHeight="1" x14ac:dyDescent="0.2">
      <c r="B228" s="118"/>
      <c r="C228" s="119" t="s">
        <v>501</v>
      </c>
      <c r="D228" s="119" t="s">
        <v>231</v>
      </c>
      <c r="E228" s="120" t="s">
        <v>4216</v>
      </c>
      <c r="F228" s="121" t="s">
        <v>2891</v>
      </c>
      <c r="G228" s="122" t="s">
        <v>243</v>
      </c>
      <c r="H228" s="123">
        <v>28</v>
      </c>
      <c r="I228" s="124">
        <v>0.34</v>
      </c>
      <c r="J228" s="124">
        <f t="shared" si="30"/>
        <v>9.52</v>
      </c>
      <c r="K228" s="121" t="s">
        <v>1</v>
      </c>
      <c r="L228" s="24"/>
      <c r="M228" s="125" t="s">
        <v>1</v>
      </c>
      <c r="N228" s="126" t="s">
        <v>32</v>
      </c>
      <c r="O228" s="127">
        <v>0</v>
      </c>
      <c r="P228" s="127">
        <f t="shared" si="31"/>
        <v>0</v>
      </c>
      <c r="Q228" s="127">
        <v>0</v>
      </c>
      <c r="R228" s="127">
        <f t="shared" si="32"/>
        <v>0</v>
      </c>
      <c r="S228" s="127">
        <v>0</v>
      </c>
      <c r="T228" s="128">
        <f t="shared" si="33"/>
        <v>0</v>
      </c>
      <c r="AR228" s="129" t="s">
        <v>235</v>
      </c>
      <c r="AT228" s="129" t="s">
        <v>231</v>
      </c>
      <c r="AU228" s="129" t="s">
        <v>76</v>
      </c>
      <c r="AY228" s="13" t="s">
        <v>228</v>
      </c>
      <c r="BE228" s="130">
        <f t="shared" si="34"/>
        <v>0</v>
      </c>
      <c r="BF228" s="130">
        <f t="shared" si="35"/>
        <v>9.52</v>
      </c>
      <c r="BG228" s="130">
        <f t="shared" si="36"/>
        <v>0</v>
      </c>
      <c r="BH228" s="130">
        <f t="shared" si="37"/>
        <v>0</v>
      </c>
      <c r="BI228" s="130">
        <f t="shared" si="38"/>
        <v>0</v>
      </c>
      <c r="BJ228" s="13" t="s">
        <v>76</v>
      </c>
      <c r="BK228" s="130">
        <f t="shared" si="39"/>
        <v>9.52</v>
      </c>
      <c r="BL228" s="13" t="s">
        <v>235</v>
      </c>
      <c r="BM228" s="129" t="s">
        <v>504</v>
      </c>
    </row>
    <row r="229" spans="2:65" s="1" customFormat="1" ht="16.5" customHeight="1" x14ac:dyDescent="0.2">
      <c r="B229" s="118"/>
      <c r="C229" s="119" t="s">
        <v>368</v>
      </c>
      <c r="D229" s="119" t="s">
        <v>231</v>
      </c>
      <c r="E229" s="120" t="s">
        <v>2892</v>
      </c>
      <c r="F229" s="121" t="s">
        <v>2893</v>
      </c>
      <c r="G229" s="122" t="s">
        <v>292</v>
      </c>
      <c r="H229" s="123">
        <v>50</v>
      </c>
      <c r="I229" s="124">
        <v>2.14</v>
      </c>
      <c r="J229" s="124">
        <f t="shared" si="30"/>
        <v>107</v>
      </c>
      <c r="K229" s="121" t="s">
        <v>1</v>
      </c>
      <c r="L229" s="24"/>
      <c r="M229" s="125" t="s">
        <v>1</v>
      </c>
      <c r="N229" s="126" t="s">
        <v>32</v>
      </c>
      <c r="O229" s="127">
        <v>0</v>
      </c>
      <c r="P229" s="127">
        <f t="shared" si="31"/>
        <v>0</v>
      </c>
      <c r="Q229" s="127">
        <v>0</v>
      </c>
      <c r="R229" s="127">
        <f t="shared" si="32"/>
        <v>0</v>
      </c>
      <c r="S229" s="127">
        <v>0</v>
      </c>
      <c r="T229" s="128">
        <f t="shared" si="33"/>
        <v>0</v>
      </c>
      <c r="AR229" s="129" t="s">
        <v>235</v>
      </c>
      <c r="AT229" s="129" t="s">
        <v>231</v>
      </c>
      <c r="AU229" s="129" t="s">
        <v>76</v>
      </c>
      <c r="AY229" s="13" t="s">
        <v>228</v>
      </c>
      <c r="BE229" s="130">
        <f t="shared" si="34"/>
        <v>0</v>
      </c>
      <c r="BF229" s="130">
        <f t="shared" si="35"/>
        <v>107</v>
      </c>
      <c r="BG229" s="130">
        <f t="shared" si="36"/>
        <v>0</v>
      </c>
      <c r="BH229" s="130">
        <f t="shared" si="37"/>
        <v>0</v>
      </c>
      <c r="BI229" s="130">
        <f t="shared" si="38"/>
        <v>0</v>
      </c>
      <c r="BJ229" s="13" t="s">
        <v>76</v>
      </c>
      <c r="BK229" s="130">
        <f t="shared" si="39"/>
        <v>107</v>
      </c>
      <c r="BL229" s="13" t="s">
        <v>235</v>
      </c>
      <c r="BM229" s="129" t="s">
        <v>507</v>
      </c>
    </row>
    <row r="230" spans="2:65" s="1" customFormat="1" ht="16.5" customHeight="1" x14ac:dyDescent="0.2">
      <c r="B230" s="118"/>
      <c r="C230" s="119" t="s">
        <v>508</v>
      </c>
      <c r="D230" s="119" t="s">
        <v>231</v>
      </c>
      <c r="E230" s="120" t="s">
        <v>2894</v>
      </c>
      <c r="F230" s="121" t="s">
        <v>2895</v>
      </c>
      <c r="G230" s="122" t="s">
        <v>292</v>
      </c>
      <c r="H230" s="123">
        <v>50</v>
      </c>
      <c r="I230" s="124">
        <v>1.34</v>
      </c>
      <c r="J230" s="124">
        <f t="shared" si="30"/>
        <v>67</v>
      </c>
      <c r="K230" s="121" t="s">
        <v>1</v>
      </c>
      <c r="L230" s="24"/>
      <c r="M230" s="125" t="s">
        <v>1</v>
      </c>
      <c r="N230" s="126" t="s">
        <v>32</v>
      </c>
      <c r="O230" s="127">
        <v>0</v>
      </c>
      <c r="P230" s="127">
        <f t="shared" si="31"/>
        <v>0</v>
      </c>
      <c r="Q230" s="127">
        <v>0</v>
      </c>
      <c r="R230" s="127">
        <f t="shared" si="32"/>
        <v>0</v>
      </c>
      <c r="S230" s="127">
        <v>0</v>
      </c>
      <c r="T230" s="128">
        <f t="shared" si="33"/>
        <v>0</v>
      </c>
      <c r="AR230" s="129" t="s">
        <v>235</v>
      </c>
      <c r="AT230" s="129" t="s">
        <v>231</v>
      </c>
      <c r="AU230" s="129" t="s">
        <v>76</v>
      </c>
      <c r="AY230" s="13" t="s">
        <v>228</v>
      </c>
      <c r="BE230" s="130">
        <f t="shared" si="34"/>
        <v>0</v>
      </c>
      <c r="BF230" s="130">
        <f t="shared" si="35"/>
        <v>67</v>
      </c>
      <c r="BG230" s="130">
        <f t="shared" si="36"/>
        <v>0</v>
      </c>
      <c r="BH230" s="130">
        <f t="shared" si="37"/>
        <v>0</v>
      </c>
      <c r="BI230" s="130">
        <f t="shared" si="38"/>
        <v>0</v>
      </c>
      <c r="BJ230" s="13" t="s">
        <v>76</v>
      </c>
      <c r="BK230" s="130">
        <f t="shared" si="39"/>
        <v>67</v>
      </c>
      <c r="BL230" s="13" t="s">
        <v>235</v>
      </c>
      <c r="BM230" s="129" t="s">
        <v>511</v>
      </c>
    </row>
    <row r="231" spans="2:65" s="1" customFormat="1" ht="16.5" customHeight="1" x14ac:dyDescent="0.2">
      <c r="B231" s="118"/>
      <c r="C231" s="119" t="s">
        <v>372</v>
      </c>
      <c r="D231" s="119" t="s">
        <v>231</v>
      </c>
      <c r="E231" s="120" t="s">
        <v>2896</v>
      </c>
      <c r="F231" s="121" t="s">
        <v>2897</v>
      </c>
      <c r="G231" s="122" t="s">
        <v>292</v>
      </c>
      <c r="H231" s="123">
        <v>100</v>
      </c>
      <c r="I231" s="124">
        <v>0.53</v>
      </c>
      <c r="J231" s="124">
        <f t="shared" si="30"/>
        <v>53</v>
      </c>
      <c r="K231" s="121" t="s">
        <v>1</v>
      </c>
      <c r="L231" s="24"/>
      <c r="M231" s="125" t="s">
        <v>1</v>
      </c>
      <c r="N231" s="126" t="s">
        <v>32</v>
      </c>
      <c r="O231" s="127">
        <v>0</v>
      </c>
      <c r="P231" s="127">
        <f t="shared" si="31"/>
        <v>0</v>
      </c>
      <c r="Q231" s="127">
        <v>0</v>
      </c>
      <c r="R231" s="127">
        <f t="shared" si="32"/>
        <v>0</v>
      </c>
      <c r="S231" s="127">
        <v>0</v>
      </c>
      <c r="T231" s="128">
        <f t="shared" si="33"/>
        <v>0</v>
      </c>
      <c r="AR231" s="129" t="s">
        <v>235</v>
      </c>
      <c r="AT231" s="129" t="s">
        <v>231</v>
      </c>
      <c r="AU231" s="129" t="s">
        <v>76</v>
      </c>
      <c r="AY231" s="13" t="s">
        <v>228</v>
      </c>
      <c r="BE231" s="130">
        <f t="shared" si="34"/>
        <v>0</v>
      </c>
      <c r="BF231" s="130">
        <f t="shared" si="35"/>
        <v>53</v>
      </c>
      <c r="BG231" s="130">
        <f t="shared" si="36"/>
        <v>0</v>
      </c>
      <c r="BH231" s="130">
        <f t="shared" si="37"/>
        <v>0</v>
      </c>
      <c r="BI231" s="130">
        <f t="shared" si="38"/>
        <v>0</v>
      </c>
      <c r="BJ231" s="13" t="s">
        <v>76</v>
      </c>
      <c r="BK231" s="130">
        <f t="shared" si="39"/>
        <v>53</v>
      </c>
      <c r="BL231" s="13" t="s">
        <v>235</v>
      </c>
      <c r="BM231" s="129" t="s">
        <v>514</v>
      </c>
    </row>
    <row r="232" spans="2:65" s="1" customFormat="1" ht="16.5" customHeight="1" x14ac:dyDescent="0.2">
      <c r="B232" s="118"/>
      <c r="C232" s="119" t="s">
        <v>515</v>
      </c>
      <c r="D232" s="119" t="s">
        <v>231</v>
      </c>
      <c r="E232" s="120" t="s">
        <v>4217</v>
      </c>
      <c r="F232" s="121" t="s">
        <v>2899</v>
      </c>
      <c r="G232" s="122" t="s">
        <v>243</v>
      </c>
      <c r="H232" s="123">
        <v>25</v>
      </c>
      <c r="I232" s="124">
        <v>0.46</v>
      </c>
      <c r="J232" s="124">
        <f t="shared" si="30"/>
        <v>11.5</v>
      </c>
      <c r="K232" s="121" t="s">
        <v>1</v>
      </c>
      <c r="L232" s="24"/>
      <c r="M232" s="125" t="s">
        <v>1</v>
      </c>
      <c r="N232" s="126" t="s">
        <v>32</v>
      </c>
      <c r="O232" s="127">
        <v>0</v>
      </c>
      <c r="P232" s="127">
        <f t="shared" si="31"/>
        <v>0</v>
      </c>
      <c r="Q232" s="127">
        <v>0</v>
      </c>
      <c r="R232" s="127">
        <f t="shared" si="32"/>
        <v>0</v>
      </c>
      <c r="S232" s="127">
        <v>0</v>
      </c>
      <c r="T232" s="128">
        <f t="shared" si="33"/>
        <v>0</v>
      </c>
      <c r="AR232" s="129" t="s">
        <v>235</v>
      </c>
      <c r="AT232" s="129" t="s">
        <v>231</v>
      </c>
      <c r="AU232" s="129" t="s">
        <v>76</v>
      </c>
      <c r="AY232" s="13" t="s">
        <v>228</v>
      </c>
      <c r="BE232" s="130">
        <f t="shared" si="34"/>
        <v>0</v>
      </c>
      <c r="BF232" s="130">
        <f t="shared" si="35"/>
        <v>11.5</v>
      </c>
      <c r="BG232" s="130">
        <f t="shared" si="36"/>
        <v>0</v>
      </c>
      <c r="BH232" s="130">
        <f t="shared" si="37"/>
        <v>0</v>
      </c>
      <c r="BI232" s="130">
        <f t="shared" si="38"/>
        <v>0</v>
      </c>
      <c r="BJ232" s="13" t="s">
        <v>76</v>
      </c>
      <c r="BK232" s="130">
        <f t="shared" si="39"/>
        <v>11.5</v>
      </c>
      <c r="BL232" s="13" t="s">
        <v>235</v>
      </c>
      <c r="BM232" s="129" t="s">
        <v>518</v>
      </c>
    </row>
    <row r="233" spans="2:65" s="1" customFormat="1" ht="16.5" customHeight="1" x14ac:dyDescent="0.2">
      <c r="B233" s="118"/>
      <c r="C233" s="119" t="s">
        <v>375</v>
      </c>
      <c r="D233" s="119" t="s">
        <v>231</v>
      </c>
      <c r="E233" s="120" t="s">
        <v>4218</v>
      </c>
      <c r="F233" s="121" t="s">
        <v>2901</v>
      </c>
      <c r="G233" s="122" t="s">
        <v>243</v>
      </c>
      <c r="H233" s="123">
        <v>25</v>
      </c>
      <c r="I233" s="124">
        <v>0.44</v>
      </c>
      <c r="J233" s="124">
        <f t="shared" si="30"/>
        <v>11</v>
      </c>
      <c r="K233" s="121" t="s">
        <v>1</v>
      </c>
      <c r="L233" s="24"/>
      <c r="M233" s="125" t="s">
        <v>1</v>
      </c>
      <c r="N233" s="126" t="s">
        <v>32</v>
      </c>
      <c r="O233" s="127">
        <v>0</v>
      </c>
      <c r="P233" s="127">
        <f t="shared" si="31"/>
        <v>0</v>
      </c>
      <c r="Q233" s="127">
        <v>0</v>
      </c>
      <c r="R233" s="127">
        <f t="shared" si="32"/>
        <v>0</v>
      </c>
      <c r="S233" s="127">
        <v>0</v>
      </c>
      <c r="T233" s="128">
        <f t="shared" si="33"/>
        <v>0</v>
      </c>
      <c r="AR233" s="129" t="s">
        <v>235</v>
      </c>
      <c r="AT233" s="129" t="s">
        <v>231</v>
      </c>
      <c r="AU233" s="129" t="s">
        <v>76</v>
      </c>
      <c r="AY233" s="13" t="s">
        <v>228</v>
      </c>
      <c r="BE233" s="130">
        <f t="shared" si="34"/>
        <v>0</v>
      </c>
      <c r="BF233" s="130">
        <f t="shared" si="35"/>
        <v>11</v>
      </c>
      <c r="BG233" s="130">
        <f t="shared" si="36"/>
        <v>0</v>
      </c>
      <c r="BH233" s="130">
        <f t="shared" si="37"/>
        <v>0</v>
      </c>
      <c r="BI233" s="130">
        <f t="shared" si="38"/>
        <v>0</v>
      </c>
      <c r="BJ233" s="13" t="s">
        <v>76</v>
      </c>
      <c r="BK233" s="130">
        <f t="shared" si="39"/>
        <v>11</v>
      </c>
      <c r="BL233" s="13" t="s">
        <v>235</v>
      </c>
      <c r="BM233" s="129" t="s">
        <v>521</v>
      </c>
    </row>
    <row r="234" spans="2:65" s="1" customFormat="1" ht="16.5" customHeight="1" x14ac:dyDescent="0.2">
      <c r="B234" s="118"/>
      <c r="C234" s="119" t="s">
        <v>522</v>
      </c>
      <c r="D234" s="119" t="s">
        <v>231</v>
      </c>
      <c r="E234" s="120" t="s">
        <v>4219</v>
      </c>
      <c r="F234" s="121" t="s">
        <v>2903</v>
      </c>
      <c r="G234" s="122" t="s">
        <v>243</v>
      </c>
      <c r="H234" s="123">
        <v>50</v>
      </c>
      <c r="I234" s="124">
        <v>0.34</v>
      </c>
      <c r="J234" s="124">
        <f t="shared" si="30"/>
        <v>17</v>
      </c>
      <c r="K234" s="121" t="s">
        <v>1</v>
      </c>
      <c r="L234" s="24"/>
      <c r="M234" s="125" t="s">
        <v>1</v>
      </c>
      <c r="N234" s="126" t="s">
        <v>32</v>
      </c>
      <c r="O234" s="127">
        <v>0</v>
      </c>
      <c r="P234" s="127">
        <f t="shared" si="31"/>
        <v>0</v>
      </c>
      <c r="Q234" s="127">
        <v>0</v>
      </c>
      <c r="R234" s="127">
        <f t="shared" si="32"/>
        <v>0</v>
      </c>
      <c r="S234" s="127">
        <v>0</v>
      </c>
      <c r="T234" s="128">
        <f t="shared" si="33"/>
        <v>0</v>
      </c>
      <c r="AR234" s="129" t="s">
        <v>235</v>
      </c>
      <c r="AT234" s="129" t="s">
        <v>231</v>
      </c>
      <c r="AU234" s="129" t="s">
        <v>76</v>
      </c>
      <c r="AY234" s="13" t="s">
        <v>228</v>
      </c>
      <c r="BE234" s="130">
        <f t="shared" si="34"/>
        <v>0</v>
      </c>
      <c r="BF234" s="130">
        <f t="shared" si="35"/>
        <v>17</v>
      </c>
      <c r="BG234" s="130">
        <f t="shared" si="36"/>
        <v>0</v>
      </c>
      <c r="BH234" s="130">
        <f t="shared" si="37"/>
        <v>0</v>
      </c>
      <c r="BI234" s="130">
        <f t="shared" si="38"/>
        <v>0</v>
      </c>
      <c r="BJ234" s="13" t="s">
        <v>76</v>
      </c>
      <c r="BK234" s="130">
        <f t="shared" si="39"/>
        <v>17</v>
      </c>
      <c r="BL234" s="13" t="s">
        <v>235</v>
      </c>
      <c r="BM234" s="129" t="s">
        <v>525</v>
      </c>
    </row>
    <row r="235" spans="2:65" s="1" customFormat="1" ht="16.5" customHeight="1" x14ac:dyDescent="0.2">
      <c r="B235" s="118"/>
      <c r="C235" s="119" t="s">
        <v>379</v>
      </c>
      <c r="D235" s="119" t="s">
        <v>231</v>
      </c>
      <c r="E235" s="120" t="s">
        <v>4220</v>
      </c>
      <c r="F235" s="121" t="s">
        <v>2905</v>
      </c>
      <c r="G235" s="122" t="s">
        <v>243</v>
      </c>
      <c r="H235" s="123">
        <v>20</v>
      </c>
      <c r="I235" s="124">
        <v>0.67</v>
      </c>
      <c r="J235" s="124">
        <f t="shared" si="30"/>
        <v>13.4</v>
      </c>
      <c r="K235" s="121" t="s">
        <v>1</v>
      </c>
      <c r="L235" s="24"/>
      <c r="M235" s="125" t="s">
        <v>1</v>
      </c>
      <c r="N235" s="126" t="s">
        <v>32</v>
      </c>
      <c r="O235" s="127">
        <v>0</v>
      </c>
      <c r="P235" s="127">
        <f t="shared" si="31"/>
        <v>0</v>
      </c>
      <c r="Q235" s="127">
        <v>0</v>
      </c>
      <c r="R235" s="127">
        <f t="shared" si="32"/>
        <v>0</v>
      </c>
      <c r="S235" s="127">
        <v>0</v>
      </c>
      <c r="T235" s="128">
        <f t="shared" si="33"/>
        <v>0</v>
      </c>
      <c r="AR235" s="129" t="s">
        <v>235</v>
      </c>
      <c r="AT235" s="129" t="s">
        <v>231</v>
      </c>
      <c r="AU235" s="129" t="s">
        <v>76</v>
      </c>
      <c r="AY235" s="13" t="s">
        <v>228</v>
      </c>
      <c r="BE235" s="130">
        <f t="shared" si="34"/>
        <v>0</v>
      </c>
      <c r="BF235" s="130">
        <f t="shared" si="35"/>
        <v>13.4</v>
      </c>
      <c r="BG235" s="130">
        <f t="shared" si="36"/>
        <v>0</v>
      </c>
      <c r="BH235" s="130">
        <f t="shared" si="37"/>
        <v>0</v>
      </c>
      <c r="BI235" s="130">
        <f t="shared" si="38"/>
        <v>0</v>
      </c>
      <c r="BJ235" s="13" t="s">
        <v>76</v>
      </c>
      <c r="BK235" s="130">
        <f t="shared" si="39"/>
        <v>13.4</v>
      </c>
      <c r="BL235" s="13" t="s">
        <v>235</v>
      </c>
      <c r="BM235" s="129" t="s">
        <v>528</v>
      </c>
    </row>
    <row r="236" spans="2:65" s="1" customFormat="1" ht="16.5" customHeight="1" x14ac:dyDescent="0.2">
      <c r="B236" s="118"/>
      <c r="C236" s="119" t="s">
        <v>529</v>
      </c>
      <c r="D236" s="119" t="s">
        <v>231</v>
      </c>
      <c r="E236" s="120" t="s">
        <v>4221</v>
      </c>
      <c r="F236" s="121" t="s">
        <v>2907</v>
      </c>
      <c r="G236" s="122" t="s">
        <v>1194</v>
      </c>
      <c r="H236" s="123">
        <v>0.6</v>
      </c>
      <c r="I236" s="124">
        <v>13.35</v>
      </c>
      <c r="J236" s="124">
        <f t="shared" si="30"/>
        <v>8.01</v>
      </c>
      <c r="K236" s="121" t="s">
        <v>1</v>
      </c>
      <c r="L236" s="24"/>
      <c r="M236" s="125" t="s">
        <v>1</v>
      </c>
      <c r="N236" s="126" t="s">
        <v>32</v>
      </c>
      <c r="O236" s="127">
        <v>0</v>
      </c>
      <c r="P236" s="127">
        <f t="shared" si="31"/>
        <v>0</v>
      </c>
      <c r="Q236" s="127">
        <v>0</v>
      </c>
      <c r="R236" s="127">
        <f t="shared" si="32"/>
        <v>0</v>
      </c>
      <c r="S236" s="127">
        <v>0</v>
      </c>
      <c r="T236" s="128">
        <f t="shared" si="33"/>
        <v>0</v>
      </c>
      <c r="AR236" s="129" t="s">
        <v>235</v>
      </c>
      <c r="AT236" s="129" t="s">
        <v>231</v>
      </c>
      <c r="AU236" s="129" t="s">
        <v>76</v>
      </c>
      <c r="AY236" s="13" t="s">
        <v>228</v>
      </c>
      <c r="BE236" s="130">
        <f t="shared" si="34"/>
        <v>0</v>
      </c>
      <c r="BF236" s="130">
        <f t="shared" si="35"/>
        <v>8.01</v>
      </c>
      <c r="BG236" s="130">
        <f t="shared" si="36"/>
        <v>0</v>
      </c>
      <c r="BH236" s="130">
        <f t="shared" si="37"/>
        <v>0</v>
      </c>
      <c r="BI236" s="130">
        <f t="shared" si="38"/>
        <v>0</v>
      </c>
      <c r="BJ236" s="13" t="s">
        <v>76</v>
      </c>
      <c r="BK236" s="130">
        <f t="shared" si="39"/>
        <v>8.01</v>
      </c>
      <c r="BL236" s="13" t="s">
        <v>235</v>
      </c>
      <c r="BM236" s="129" t="s">
        <v>532</v>
      </c>
    </row>
    <row r="237" spans="2:65" s="1" customFormat="1" ht="16.5" customHeight="1" x14ac:dyDescent="0.2">
      <c r="B237" s="118"/>
      <c r="C237" s="119" t="s">
        <v>382</v>
      </c>
      <c r="D237" s="119" t="s">
        <v>231</v>
      </c>
      <c r="E237" s="120" t="s">
        <v>2908</v>
      </c>
      <c r="F237" s="121" t="s">
        <v>2909</v>
      </c>
      <c r="G237" s="122" t="s">
        <v>1035</v>
      </c>
      <c r="H237" s="123">
        <v>12.8</v>
      </c>
      <c r="I237" s="124">
        <v>1.47</v>
      </c>
      <c r="J237" s="124">
        <f t="shared" si="30"/>
        <v>18.82</v>
      </c>
      <c r="K237" s="121" t="s">
        <v>1</v>
      </c>
      <c r="L237" s="24"/>
      <c r="M237" s="125" t="s">
        <v>1</v>
      </c>
      <c r="N237" s="126" t="s">
        <v>32</v>
      </c>
      <c r="O237" s="127">
        <v>0</v>
      </c>
      <c r="P237" s="127">
        <f t="shared" si="31"/>
        <v>0</v>
      </c>
      <c r="Q237" s="127">
        <v>0</v>
      </c>
      <c r="R237" s="127">
        <f t="shared" si="32"/>
        <v>0</v>
      </c>
      <c r="S237" s="127">
        <v>0</v>
      </c>
      <c r="T237" s="128">
        <f t="shared" si="33"/>
        <v>0</v>
      </c>
      <c r="AR237" s="129" t="s">
        <v>235</v>
      </c>
      <c r="AT237" s="129" t="s">
        <v>231</v>
      </c>
      <c r="AU237" s="129" t="s">
        <v>76</v>
      </c>
      <c r="AY237" s="13" t="s">
        <v>228</v>
      </c>
      <c r="BE237" s="130">
        <f t="shared" si="34"/>
        <v>0</v>
      </c>
      <c r="BF237" s="130">
        <f t="shared" si="35"/>
        <v>18.82</v>
      </c>
      <c r="BG237" s="130">
        <f t="shared" si="36"/>
        <v>0</v>
      </c>
      <c r="BH237" s="130">
        <f t="shared" si="37"/>
        <v>0</v>
      </c>
      <c r="BI237" s="130">
        <f t="shared" si="38"/>
        <v>0</v>
      </c>
      <c r="BJ237" s="13" t="s">
        <v>76</v>
      </c>
      <c r="BK237" s="130">
        <f t="shared" si="39"/>
        <v>18.82</v>
      </c>
      <c r="BL237" s="13" t="s">
        <v>235</v>
      </c>
      <c r="BM237" s="129" t="s">
        <v>535</v>
      </c>
    </row>
    <row r="238" spans="2:65" s="1" customFormat="1" ht="24" customHeight="1" x14ac:dyDescent="0.2">
      <c r="B238" s="118"/>
      <c r="C238" s="119" t="s">
        <v>536</v>
      </c>
      <c r="D238" s="119" t="s">
        <v>231</v>
      </c>
      <c r="E238" s="120" t="s">
        <v>4222</v>
      </c>
      <c r="F238" s="121" t="s">
        <v>2911</v>
      </c>
      <c r="G238" s="122" t="s">
        <v>243</v>
      </c>
      <c r="H238" s="123">
        <v>32</v>
      </c>
      <c r="I238" s="124">
        <v>1.6</v>
      </c>
      <c r="J238" s="124">
        <f t="shared" si="30"/>
        <v>51.2</v>
      </c>
      <c r="K238" s="121" t="s">
        <v>1</v>
      </c>
      <c r="L238" s="24"/>
      <c r="M238" s="125" t="s">
        <v>1</v>
      </c>
      <c r="N238" s="126" t="s">
        <v>32</v>
      </c>
      <c r="O238" s="127">
        <v>0</v>
      </c>
      <c r="P238" s="127">
        <f t="shared" si="31"/>
        <v>0</v>
      </c>
      <c r="Q238" s="127">
        <v>0</v>
      </c>
      <c r="R238" s="127">
        <f t="shared" si="32"/>
        <v>0</v>
      </c>
      <c r="S238" s="127">
        <v>0</v>
      </c>
      <c r="T238" s="128">
        <f t="shared" si="33"/>
        <v>0</v>
      </c>
      <c r="AR238" s="129" t="s">
        <v>235</v>
      </c>
      <c r="AT238" s="129" t="s">
        <v>231</v>
      </c>
      <c r="AU238" s="129" t="s">
        <v>76</v>
      </c>
      <c r="AY238" s="13" t="s">
        <v>228</v>
      </c>
      <c r="BE238" s="130">
        <f t="shared" si="34"/>
        <v>0</v>
      </c>
      <c r="BF238" s="130">
        <f t="shared" si="35"/>
        <v>51.2</v>
      </c>
      <c r="BG238" s="130">
        <f t="shared" si="36"/>
        <v>0</v>
      </c>
      <c r="BH238" s="130">
        <f t="shared" si="37"/>
        <v>0</v>
      </c>
      <c r="BI238" s="130">
        <f t="shared" si="38"/>
        <v>0</v>
      </c>
      <c r="BJ238" s="13" t="s">
        <v>76</v>
      </c>
      <c r="BK238" s="130">
        <f t="shared" si="39"/>
        <v>51.2</v>
      </c>
      <c r="BL238" s="13" t="s">
        <v>235</v>
      </c>
      <c r="BM238" s="129" t="s">
        <v>539</v>
      </c>
    </row>
    <row r="239" spans="2:65" s="1" customFormat="1" ht="24" customHeight="1" x14ac:dyDescent="0.2">
      <c r="B239" s="118"/>
      <c r="C239" s="119" t="s">
        <v>386</v>
      </c>
      <c r="D239" s="119" t="s">
        <v>231</v>
      </c>
      <c r="E239" s="120" t="s">
        <v>4223</v>
      </c>
      <c r="F239" s="121" t="s">
        <v>2913</v>
      </c>
      <c r="G239" s="122" t="s">
        <v>243</v>
      </c>
      <c r="H239" s="123">
        <v>5</v>
      </c>
      <c r="I239" s="124">
        <v>0.59</v>
      </c>
      <c r="J239" s="124">
        <f t="shared" si="30"/>
        <v>2.95</v>
      </c>
      <c r="K239" s="121" t="s">
        <v>1</v>
      </c>
      <c r="L239" s="24"/>
      <c r="M239" s="125" t="s">
        <v>1</v>
      </c>
      <c r="N239" s="126" t="s">
        <v>32</v>
      </c>
      <c r="O239" s="127">
        <v>0</v>
      </c>
      <c r="P239" s="127">
        <f t="shared" si="31"/>
        <v>0</v>
      </c>
      <c r="Q239" s="127">
        <v>0</v>
      </c>
      <c r="R239" s="127">
        <f t="shared" si="32"/>
        <v>0</v>
      </c>
      <c r="S239" s="127">
        <v>0</v>
      </c>
      <c r="T239" s="128">
        <f t="shared" si="33"/>
        <v>0</v>
      </c>
      <c r="AR239" s="129" t="s">
        <v>235</v>
      </c>
      <c r="AT239" s="129" t="s">
        <v>231</v>
      </c>
      <c r="AU239" s="129" t="s">
        <v>76</v>
      </c>
      <c r="AY239" s="13" t="s">
        <v>228</v>
      </c>
      <c r="BE239" s="130">
        <f t="shared" si="34"/>
        <v>0</v>
      </c>
      <c r="BF239" s="130">
        <f t="shared" si="35"/>
        <v>2.95</v>
      </c>
      <c r="BG239" s="130">
        <f t="shared" si="36"/>
        <v>0</v>
      </c>
      <c r="BH239" s="130">
        <f t="shared" si="37"/>
        <v>0</v>
      </c>
      <c r="BI239" s="130">
        <f t="shared" si="38"/>
        <v>0</v>
      </c>
      <c r="BJ239" s="13" t="s">
        <v>76</v>
      </c>
      <c r="BK239" s="130">
        <f t="shared" si="39"/>
        <v>2.95</v>
      </c>
      <c r="BL239" s="13" t="s">
        <v>235</v>
      </c>
      <c r="BM239" s="129" t="s">
        <v>542</v>
      </c>
    </row>
    <row r="240" spans="2:65" s="1" customFormat="1" ht="16.5" customHeight="1" x14ac:dyDescent="0.2">
      <c r="B240" s="118"/>
      <c r="C240" s="119" t="s">
        <v>543</v>
      </c>
      <c r="D240" s="119" t="s">
        <v>231</v>
      </c>
      <c r="E240" s="120" t="s">
        <v>4224</v>
      </c>
      <c r="F240" s="121" t="s">
        <v>2915</v>
      </c>
      <c r="G240" s="122" t="s">
        <v>243</v>
      </c>
      <c r="H240" s="123">
        <v>8</v>
      </c>
      <c r="I240" s="124">
        <v>0.8</v>
      </c>
      <c r="J240" s="124">
        <f t="shared" si="30"/>
        <v>6.4</v>
      </c>
      <c r="K240" s="121" t="s">
        <v>1</v>
      </c>
      <c r="L240" s="24"/>
      <c r="M240" s="125" t="s">
        <v>1</v>
      </c>
      <c r="N240" s="126" t="s">
        <v>32</v>
      </c>
      <c r="O240" s="127">
        <v>0</v>
      </c>
      <c r="P240" s="127">
        <f t="shared" si="31"/>
        <v>0</v>
      </c>
      <c r="Q240" s="127">
        <v>0</v>
      </c>
      <c r="R240" s="127">
        <f t="shared" si="32"/>
        <v>0</v>
      </c>
      <c r="S240" s="127">
        <v>0</v>
      </c>
      <c r="T240" s="128">
        <f t="shared" si="33"/>
        <v>0</v>
      </c>
      <c r="AR240" s="129" t="s">
        <v>235</v>
      </c>
      <c r="AT240" s="129" t="s">
        <v>231</v>
      </c>
      <c r="AU240" s="129" t="s">
        <v>76</v>
      </c>
      <c r="AY240" s="13" t="s">
        <v>228</v>
      </c>
      <c r="BE240" s="130">
        <f t="shared" si="34"/>
        <v>0</v>
      </c>
      <c r="BF240" s="130">
        <f t="shared" si="35"/>
        <v>6.4</v>
      </c>
      <c r="BG240" s="130">
        <f t="shared" si="36"/>
        <v>0</v>
      </c>
      <c r="BH240" s="130">
        <f t="shared" si="37"/>
        <v>0</v>
      </c>
      <c r="BI240" s="130">
        <f t="shared" si="38"/>
        <v>0</v>
      </c>
      <c r="BJ240" s="13" t="s">
        <v>76</v>
      </c>
      <c r="BK240" s="130">
        <f t="shared" si="39"/>
        <v>6.4</v>
      </c>
      <c r="BL240" s="13" t="s">
        <v>235</v>
      </c>
      <c r="BM240" s="129" t="s">
        <v>546</v>
      </c>
    </row>
    <row r="241" spans="2:65" s="1" customFormat="1" ht="16.5" customHeight="1" x14ac:dyDescent="0.2">
      <c r="B241" s="118"/>
      <c r="C241" s="119" t="s">
        <v>389</v>
      </c>
      <c r="D241" s="119" t="s">
        <v>231</v>
      </c>
      <c r="E241" s="120" t="s">
        <v>2916</v>
      </c>
      <c r="F241" s="121" t="s">
        <v>2917</v>
      </c>
      <c r="G241" s="122" t="s">
        <v>284</v>
      </c>
      <c r="H241" s="123">
        <v>0.8</v>
      </c>
      <c r="I241" s="124">
        <v>133.52000000000001</v>
      </c>
      <c r="J241" s="124">
        <f t="shared" si="30"/>
        <v>106.82</v>
      </c>
      <c r="K241" s="121" t="s">
        <v>1</v>
      </c>
      <c r="L241" s="24"/>
      <c r="M241" s="125" t="s">
        <v>1</v>
      </c>
      <c r="N241" s="126" t="s">
        <v>32</v>
      </c>
      <c r="O241" s="127">
        <v>0</v>
      </c>
      <c r="P241" s="127">
        <f t="shared" si="31"/>
        <v>0</v>
      </c>
      <c r="Q241" s="127">
        <v>0</v>
      </c>
      <c r="R241" s="127">
        <f t="shared" si="32"/>
        <v>0</v>
      </c>
      <c r="S241" s="127">
        <v>0</v>
      </c>
      <c r="T241" s="128">
        <f t="shared" si="33"/>
        <v>0</v>
      </c>
      <c r="AR241" s="129" t="s">
        <v>235</v>
      </c>
      <c r="AT241" s="129" t="s">
        <v>231</v>
      </c>
      <c r="AU241" s="129" t="s">
        <v>76</v>
      </c>
      <c r="AY241" s="13" t="s">
        <v>228</v>
      </c>
      <c r="BE241" s="130">
        <f t="shared" si="34"/>
        <v>0</v>
      </c>
      <c r="BF241" s="130">
        <f t="shared" si="35"/>
        <v>106.82</v>
      </c>
      <c r="BG241" s="130">
        <f t="shared" si="36"/>
        <v>0</v>
      </c>
      <c r="BH241" s="130">
        <f t="shared" si="37"/>
        <v>0</v>
      </c>
      <c r="BI241" s="130">
        <f t="shared" si="38"/>
        <v>0</v>
      </c>
      <c r="BJ241" s="13" t="s">
        <v>76</v>
      </c>
      <c r="BK241" s="130">
        <f t="shared" si="39"/>
        <v>106.82</v>
      </c>
      <c r="BL241" s="13" t="s">
        <v>235</v>
      </c>
      <c r="BM241" s="129" t="s">
        <v>549</v>
      </c>
    </row>
    <row r="242" spans="2:65" s="1" customFormat="1" ht="16.5" customHeight="1" x14ac:dyDescent="0.2">
      <c r="B242" s="118"/>
      <c r="C242" s="119" t="s">
        <v>552</v>
      </c>
      <c r="D242" s="119" t="s">
        <v>231</v>
      </c>
      <c r="E242" s="120" t="s">
        <v>2918</v>
      </c>
      <c r="F242" s="121" t="s">
        <v>2919</v>
      </c>
      <c r="G242" s="122" t="s">
        <v>284</v>
      </c>
      <c r="H242" s="123">
        <v>2.5</v>
      </c>
      <c r="I242" s="124">
        <v>66.760000000000005</v>
      </c>
      <c r="J242" s="124">
        <f t="shared" si="30"/>
        <v>166.9</v>
      </c>
      <c r="K242" s="121" t="s">
        <v>1</v>
      </c>
      <c r="L242" s="24"/>
      <c r="M242" s="125" t="s">
        <v>1</v>
      </c>
      <c r="N242" s="126" t="s">
        <v>32</v>
      </c>
      <c r="O242" s="127">
        <v>0</v>
      </c>
      <c r="P242" s="127">
        <f t="shared" si="31"/>
        <v>0</v>
      </c>
      <c r="Q242" s="127">
        <v>0</v>
      </c>
      <c r="R242" s="127">
        <f t="shared" si="32"/>
        <v>0</v>
      </c>
      <c r="S242" s="127">
        <v>0</v>
      </c>
      <c r="T242" s="128">
        <f t="shared" si="33"/>
        <v>0</v>
      </c>
      <c r="AR242" s="129" t="s">
        <v>235</v>
      </c>
      <c r="AT242" s="129" t="s">
        <v>231</v>
      </c>
      <c r="AU242" s="129" t="s">
        <v>76</v>
      </c>
      <c r="AY242" s="13" t="s">
        <v>228</v>
      </c>
      <c r="BE242" s="130">
        <f t="shared" si="34"/>
        <v>0</v>
      </c>
      <c r="BF242" s="130">
        <f t="shared" si="35"/>
        <v>166.9</v>
      </c>
      <c r="BG242" s="130">
        <f t="shared" si="36"/>
        <v>0</v>
      </c>
      <c r="BH242" s="130">
        <f t="shared" si="37"/>
        <v>0</v>
      </c>
      <c r="BI242" s="130">
        <f t="shared" si="38"/>
        <v>0</v>
      </c>
      <c r="BJ242" s="13" t="s">
        <v>76</v>
      </c>
      <c r="BK242" s="130">
        <f t="shared" si="39"/>
        <v>166.9</v>
      </c>
      <c r="BL242" s="13" t="s">
        <v>235</v>
      </c>
      <c r="BM242" s="129" t="s">
        <v>555</v>
      </c>
    </row>
    <row r="243" spans="2:65" s="1" customFormat="1" ht="16.5" customHeight="1" x14ac:dyDescent="0.2">
      <c r="B243" s="118"/>
      <c r="C243" s="119" t="s">
        <v>393</v>
      </c>
      <c r="D243" s="119" t="s">
        <v>231</v>
      </c>
      <c r="E243" s="120" t="s">
        <v>2920</v>
      </c>
      <c r="F243" s="121" t="s">
        <v>2921</v>
      </c>
      <c r="G243" s="122" t="s">
        <v>1035</v>
      </c>
      <c r="H243" s="123">
        <v>200</v>
      </c>
      <c r="I243" s="124">
        <v>2.14</v>
      </c>
      <c r="J243" s="124">
        <f t="shared" si="30"/>
        <v>428</v>
      </c>
      <c r="K243" s="121" t="s">
        <v>1</v>
      </c>
      <c r="L243" s="24"/>
      <c r="M243" s="125" t="s">
        <v>1</v>
      </c>
      <c r="N243" s="126" t="s">
        <v>32</v>
      </c>
      <c r="O243" s="127">
        <v>0</v>
      </c>
      <c r="P243" s="127">
        <f t="shared" si="31"/>
        <v>0</v>
      </c>
      <c r="Q243" s="127">
        <v>0</v>
      </c>
      <c r="R243" s="127">
        <f t="shared" si="32"/>
        <v>0</v>
      </c>
      <c r="S243" s="127">
        <v>0</v>
      </c>
      <c r="T243" s="128">
        <f t="shared" si="33"/>
        <v>0</v>
      </c>
      <c r="AR243" s="129" t="s">
        <v>235</v>
      </c>
      <c r="AT243" s="129" t="s">
        <v>231</v>
      </c>
      <c r="AU243" s="129" t="s">
        <v>76</v>
      </c>
      <c r="AY243" s="13" t="s">
        <v>228</v>
      </c>
      <c r="BE243" s="130">
        <f t="shared" si="34"/>
        <v>0</v>
      </c>
      <c r="BF243" s="130">
        <f t="shared" si="35"/>
        <v>428</v>
      </c>
      <c r="BG243" s="130">
        <f t="shared" si="36"/>
        <v>0</v>
      </c>
      <c r="BH243" s="130">
        <f t="shared" si="37"/>
        <v>0</v>
      </c>
      <c r="BI243" s="130">
        <f t="shared" si="38"/>
        <v>0</v>
      </c>
      <c r="BJ243" s="13" t="s">
        <v>76</v>
      </c>
      <c r="BK243" s="130">
        <f t="shared" si="39"/>
        <v>428</v>
      </c>
      <c r="BL243" s="13" t="s">
        <v>235</v>
      </c>
      <c r="BM243" s="129" t="s">
        <v>562</v>
      </c>
    </row>
    <row r="244" spans="2:65" s="1" customFormat="1" ht="16.5" customHeight="1" x14ac:dyDescent="0.2">
      <c r="B244" s="118"/>
      <c r="C244" s="119" t="s">
        <v>563</v>
      </c>
      <c r="D244" s="119" t="s">
        <v>231</v>
      </c>
      <c r="E244" s="120" t="s">
        <v>5032</v>
      </c>
      <c r="F244" s="121" t="s">
        <v>2923</v>
      </c>
      <c r="G244" s="122" t="s">
        <v>1194</v>
      </c>
      <c r="H244" s="123">
        <v>1</v>
      </c>
      <c r="I244" s="124">
        <v>256.58</v>
      </c>
      <c r="J244" s="124">
        <f t="shared" si="30"/>
        <v>256.58</v>
      </c>
      <c r="K244" s="121" t="s">
        <v>1</v>
      </c>
      <c r="L244" s="24"/>
      <c r="M244" s="125" t="s">
        <v>1</v>
      </c>
      <c r="N244" s="126" t="s">
        <v>32</v>
      </c>
      <c r="O244" s="127">
        <v>0</v>
      </c>
      <c r="P244" s="127">
        <f t="shared" si="31"/>
        <v>0</v>
      </c>
      <c r="Q244" s="127">
        <v>0</v>
      </c>
      <c r="R244" s="127">
        <f t="shared" si="32"/>
        <v>0</v>
      </c>
      <c r="S244" s="127">
        <v>0</v>
      </c>
      <c r="T244" s="128">
        <f t="shared" si="33"/>
        <v>0</v>
      </c>
      <c r="AR244" s="129" t="s">
        <v>235</v>
      </c>
      <c r="AT244" s="129" t="s">
        <v>231</v>
      </c>
      <c r="AU244" s="129" t="s">
        <v>76</v>
      </c>
      <c r="AY244" s="13" t="s">
        <v>228</v>
      </c>
      <c r="BE244" s="130">
        <f t="shared" si="34"/>
        <v>0</v>
      </c>
      <c r="BF244" s="130">
        <f t="shared" si="35"/>
        <v>256.58</v>
      </c>
      <c r="BG244" s="130">
        <f t="shared" si="36"/>
        <v>0</v>
      </c>
      <c r="BH244" s="130">
        <f t="shared" si="37"/>
        <v>0</v>
      </c>
      <c r="BI244" s="130">
        <f t="shared" si="38"/>
        <v>0</v>
      </c>
      <c r="BJ244" s="13" t="s">
        <v>76</v>
      </c>
      <c r="BK244" s="130">
        <f t="shared" si="39"/>
        <v>256.58</v>
      </c>
      <c r="BL244" s="13" t="s">
        <v>235</v>
      </c>
      <c r="BM244" s="129" t="s">
        <v>567</v>
      </c>
    </row>
    <row r="245" spans="2:65" s="11" customFormat="1" ht="22.95" customHeight="1" x14ac:dyDescent="0.25">
      <c r="B245" s="106"/>
      <c r="D245" s="107" t="s">
        <v>57</v>
      </c>
      <c r="E245" s="116" t="s">
        <v>1943</v>
      </c>
      <c r="F245" s="116" t="s">
        <v>2924</v>
      </c>
      <c r="J245" s="117">
        <f>BK245</f>
        <v>2121.2799999999997</v>
      </c>
      <c r="L245" s="106"/>
      <c r="M245" s="110"/>
      <c r="N245" s="111"/>
      <c r="O245" s="111"/>
      <c r="P245" s="112">
        <f>SUM(P246:P249)</f>
        <v>0</v>
      </c>
      <c r="Q245" s="111"/>
      <c r="R245" s="112">
        <f>SUM(R246:R249)</f>
        <v>0</v>
      </c>
      <c r="S245" s="111"/>
      <c r="T245" s="113">
        <f>SUM(T246:T249)</f>
        <v>0</v>
      </c>
      <c r="AR245" s="107" t="s">
        <v>63</v>
      </c>
      <c r="AT245" s="114" t="s">
        <v>57</v>
      </c>
      <c r="AU245" s="114" t="s">
        <v>63</v>
      </c>
      <c r="AY245" s="107" t="s">
        <v>228</v>
      </c>
      <c r="BK245" s="115">
        <f>SUM(BK246:BK249)</f>
        <v>2121.2799999999997</v>
      </c>
    </row>
    <row r="246" spans="2:65" s="1" customFormat="1" ht="16.5" customHeight="1" x14ac:dyDescent="0.2">
      <c r="B246" s="118"/>
      <c r="C246" s="119" t="s">
        <v>396</v>
      </c>
      <c r="D246" s="119" t="s">
        <v>231</v>
      </c>
      <c r="E246" s="120" t="s">
        <v>2843</v>
      </c>
      <c r="F246" s="121" t="s">
        <v>2844</v>
      </c>
      <c r="G246" s="122" t="s">
        <v>570</v>
      </c>
      <c r="H246" s="123">
        <v>105</v>
      </c>
      <c r="I246" s="124">
        <v>4.6399999999999997</v>
      </c>
      <c r="J246" s="124">
        <f>ROUND(I246*H246,2)</f>
        <v>487.2</v>
      </c>
      <c r="K246" s="121" t="s">
        <v>1</v>
      </c>
      <c r="L246" s="24"/>
      <c r="M246" s="125" t="s">
        <v>1</v>
      </c>
      <c r="N246" s="126" t="s">
        <v>32</v>
      </c>
      <c r="O246" s="127">
        <v>0</v>
      </c>
      <c r="P246" s="127">
        <f>O246*H246</f>
        <v>0</v>
      </c>
      <c r="Q246" s="127">
        <v>0</v>
      </c>
      <c r="R246" s="127">
        <f>Q246*H246</f>
        <v>0</v>
      </c>
      <c r="S246" s="127">
        <v>0</v>
      </c>
      <c r="T246" s="128">
        <f>S246*H246</f>
        <v>0</v>
      </c>
      <c r="AR246" s="129" t="s">
        <v>235</v>
      </c>
      <c r="AT246" s="129" t="s">
        <v>231</v>
      </c>
      <c r="AU246" s="129" t="s">
        <v>76</v>
      </c>
      <c r="AY246" s="13" t="s">
        <v>228</v>
      </c>
      <c r="BE246" s="130">
        <f>IF(N246="základná",J246,0)</f>
        <v>0</v>
      </c>
      <c r="BF246" s="130">
        <f>IF(N246="znížená",J246,0)</f>
        <v>487.2</v>
      </c>
      <c r="BG246" s="130">
        <f>IF(N246="zákl. prenesená",J246,0)</f>
        <v>0</v>
      </c>
      <c r="BH246" s="130">
        <f>IF(N246="zníž. prenesená",J246,0)</f>
        <v>0</v>
      </c>
      <c r="BI246" s="130">
        <f>IF(N246="nulová",J246,0)</f>
        <v>0</v>
      </c>
      <c r="BJ246" s="13" t="s">
        <v>76</v>
      </c>
      <c r="BK246" s="130">
        <f>ROUND(I246*H246,2)</f>
        <v>487.2</v>
      </c>
      <c r="BL246" s="13" t="s">
        <v>235</v>
      </c>
      <c r="BM246" s="129" t="s">
        <v>571</v>
      </c>
    </row>
    <row r="247" spans="2:65" s="1" customFormat="1" ht="16.5" customHeight="1" x14ac:dyDescent="0.2">
      <c r="B247" s="118"/>
      <c r="C247" s="119" t="s">
        <v>574</v>
      </c>
      <c r="D247" s="119" t="s">
        <v>231</v>
      </c>
      <c r="E247" s="120" t="s">
        <v>2925</v>
      </c>
      <c r="F247" s="121" t="s">
        <v>2926</v>
      </c>
      <c r="G247" s="122" t="s">
        <v>570</v>
      </c>
      <c r="H247" s="123">
        <v>105</v>
      </c>
      <c r="I247" s="124">
        <v>3.48</v>
      </c>
      <c r="J247" s="124">
        <f>ROUND(I247*H247,2)</f>
        <v>365.4</v>
      </c>
      <c r="K247" s="121" t="s">
        <v>1</v>
      </c>
      <c r="L247" s="24"/>
      <c r="M247" s="125" t="s">
        <v>1</v>
      </c>
      <c r="N247" s="126" t="s">
        <v>32</v>
      </c>
      <c r="O247" s="127">
        <v>0</v>
      </c>
      <c r="P247" s="127">
        <f>O247*H247</f>
        <v>0</v>
      </c>
      <c r="Q247" s="127">
        <v>0</v>
      </c>
      <c r="R247" s="127">
        <f>Q247*H247</f>
        <v>0</v>
      </c>
      <c r="S247" s="127">
        <v>0</v>
      </c>
      <c r="T247" s="128">
        <f>S247*H247</f>
        <v>0</v>
      </c>
      <c r="AR247" s="129" t="s">
        <v>235</v>
      </c>
      <c r="AT247" s="129" t="s">
        <v>231</v>
      </c>
      <c r="AU247" s="129" t="s">
        <v>76</v>
      </c>
      <c r="AY247" s="13" t="s">
        <v>228</v>
      </c>
      <c r="BE247" s="130">
        <f>IF(N247="základná",J247,0)</f>
        <v>0</v>
      </c>
      <c r="BF247" s="130">
        <f>IF(N247="znížená",J247,0)</f>
        <v>365.4</v>
      </c>
      <c r="BG247" s="130">
        <f>IF(N247="zákl. prenesená",J247,0)</f>
        <v>0</v>
      </c>
      <c r="BH247" s="130">
        <f>IF(N247="zníž. prenesená",J247,0)</f>
        <v>0</v>
      </c>
      <c r="BI247" s="130">
        <f>IF(N247="nulová",J247,0)</f>
        <v>0</v>
      </c>
      <c r="BJ247" s="13" t="s">
        <v>76</v>
      </c>
      <c r="BK247" s="130">
        <f>ROUND(I247*H247,2)</f>
        <v>365.4</v>
      </c>
      <c r="BL247" s="13" t="s">
        <v>235</v>
      </c>
      <c r="BM247" s="129" t="s">
        <v>577</v>
      </c>
    </row>
    <row r="248" spans="2:65" s="1" customFormat="1" ht="16.5" customHeight="1" x14ac:dyDescent="0.2">
      <c r="B248" s="118"/>
      <c r="C248" s="119" t="s">
        <v>400</v>
      </c>
      <c r="D248" s="119" t="s">
        <v>231</v>
      </c>
      <c r="E248" s="120" t="s">
        <v>2927</v>
      </c>
      <c r="F248" s="121" t="s">
        <v>2928</v>
      </c>
      <c r="G248" s="122" t="s">
        <v>570</v>
      </c>
      <c r="H248" s="123">
        <v>84</v>
      </c>
      <c r="I248" s="124">
        <v>5.81</v>
      </c>
      <c r="J248" s="124">
        <f>ROUND(I248*H248,2)</f>
        <v>488.04</v>
      </c>
      <c r="K248" s="121" t="s">
        <v>1</v>
      </c>
      <c r="L248" s="24"/>
      <c r="M248" s="125" t="s">
        <v>1</v>
      </c>
      <c r="N248" s="126" t="s">
        <v>32</v>
      </c>
      <c r="O248" s="127">
        <v>0</v>
      </c>
      <c r="P248" s="127">
        <f>O248*H248</f>
        <v>0</v>
      </c>
      <c r="Q248" s="127">
        <v>0</v>
      </c>
      <c r="R248" s="127">
        <f>Q248*H248</f>
        <v>0</v>
      </c>
      <c r="S248" s="127">
        <v>0</v>
      </c>
      <c r="T248" s="128">
        <f>S248*H248</f>
        <v>0</v>
      </c>
      <c r="AR248" s="129" t="s">
        <v>235</v>
      </c>
      <c r="AT248" s="129" t="s">
        <v>231</v>
      </c>
      <c r="AU248" s="129" t="s">
        <v>76</v>
      </c>
      <c r="AY248" s="13" t="s">
        <v>228</v>
      </c>
      <c r="BE248" s="130">
        <f>IF(N248="základná",J248,0)</f>
        <v>0</v>
      </c>
      <c r="BF248" s="130">
        <f>IF(N248="znížená",J248,0)</f>
        <v>488.04</v>
      </c>
      <c r="BG248" s="130">
        <f>IF(N248="zákl. prenesená",J248,0)</f>
        <v>0</v>
      </c>
      <c r="BH248" s="130">
        <f>IF(N248="zníž. prenesená",J248,0)</f>
        <v>0</v>
      </c>
      <c r="BI248" s="130">
        <f>IF(N248="nulová",J248,0)</f>
        <v>0</v>
      </c>
      <c r="BJ248" s="13" t="s">
        <v>76</v>
      </c>
      <c r="BK248" s="130">
        <f>ROUND(I248*H248,2)</f>
        <v>488.04</v>
      </c>
      <c r="BL248" s="13" t="s">
        <v>235</v>
      </c>
      <c r="BM248" s="129" t="s">
        <v>580</v>
      </c>
    </row>
    <row r="249" spans="2:65" s="1" customFormat="1" ht="16.5" customHeight="1" x14ac:dyDescent="0.2">
      <c r="B249" s="118"/>
      <c r="C249" s="119" t="s">
        <v>405</v>
      </c>
      <c r="D249" s="119" t="s">
        <v>231</v>
      </c>
      <c r="E249" s="120" t="s">
        <v>2845</v>
      </c>
      <c r="F249" s="121" t="s">
        <v>2846</v>
      </c>
      <c r="G249" s="122" t="s">
        <v>570</v>
      </c>
      <c r="H249" s="123">
        <v>112</v>
      </c>
      <c r="I249" s="124">
        <v>6.97</v>
      </c>
      <c r="J249" s="124">
        <f>ROUND(I249*H249,2)</f>
        <v>780.64</v>
      </c>
      <c r="K249" s="121" t="s">
        <v>1</v>
      </c>
      <c r="L249" s="24"/>
      <c r="M249" s="125" t="s">
        <v>1</v>
      </c>
      <c r="N249" s="126" t="s">
        <v>32</v>
      </c>
      <c r="O249" s="127">
        <v>0</v>
      </c>
      <c r="P249" s="127">
        <f>O249*H249</f>
        <v>0</v>
      </c>
      <c r="Q249" s="127">
        <v>0</v>
      </c>
      <c r="R249" s="127">
        <f>Q249*H249</f>
        <v>0</v>
      </c>
      <c r="S249" s="127">
        <v>0</v>
      </c>
      <c r="T249" s="128">
        <f>S249*H249</f>
        <v>0</v>
      </c>
      <c r="AR249" s="129" t="s">
        <v>235</v>
      </c>
      <c r="AT249" s="129" t="s">
        <v>231</v>
      </c>
      <c r="AU249" s="129" t="s">
        <v>76</v>
      </c>
      <c r="AY249" s="13" t="s">
        <v>228</v>
      </c>
      <c r="BE249" s="130">
        <f>IF(N249="základná",J249,0)</f>
        <v>0</v>
      </c>
      <c r="BF249" s="130">
        <f>IF(N249="znížená",J249,0)</f>
        <v>780.64</v>
      </c>
      <c r="BG249" s="130">
        <f>IF(N249="zákl. prenesená",J249,0)</f>
        <v>0</v>
      </c>
      <c r="BH249" s="130">
        <f>IF(N249="zníž. prenesená",J249,0)</f>
        <v>0</v>
      </c>
      <c r="BI249" s="130">
        <f>IF(N249="nulová",J249,0)</f>
        <v>0</v>
      </c>
      <c r="BJ249" s="13" t="s">
        <v>76</v>
      </c>
      <c r="BK249" s="130">
        <f>ROUND(I249*H249,2)</f>
        <v>780.64</v>
      </c>
      <c r="BL249" s="13" t="s">
        <v>235</v>
      </c>
      <c r="BM249" s="129" t="s">
        <v>585</v>
      </c>
    </row>
    <row r="250" spans="2:65" s="11" customFormat="1" ht="25.95" customHeight="1" x14ac:dyDescent="0.25">
      <c r="B250" s="106"/>
      <c r="D250" s="107" t="s">
        <v>57</v>
      </c>
      <c r="E250" s="108" t="s">
        <v>2043</v>
      </c>
      <c r="F250" s="108" t="s">
        <v>5033</v>
      </c>
      <c r="J250" s="109">
        <f>BK250</f>
        <v>71075.820000000007</v>
      </c>
      <c r="L250" s="106"/>
      <c r="M250" s="110"/>
      <c r="N250" s="111"/>
      <c r="O250" s="111"/>
      <c r="P250" s="112">
        <f>P251+P252+P261+P268+P302+P306+P307+P349</f>
        <v>0</v>
      </c>
      <c r="Q250" s="111"/>
      <c r="R250" s="112">
        <f>R251+R252+R261+R268+R302+R306+R307+R349</f>
        <v>0</v>
      </c>
      <c r="S250" s="111"/>
      <c r="T250" s="113">
        <f>T251+T252+T261+T268+T302+T306+T307+T349</f>
        <v>0</v>
      </c>
      <c r="AR250" s="107" t="s">
        <v>63</v>
      </c>
      <c r="AT250" s="114" t="s">
        <v>57</v>
      </c>
      <c r="AU250" s="114" t="s">
        <v>58</v>
      </c>
      <c r="AY250" s="107" t="s">
        <v>228</v>
      </c>
      <c r="BK250" s="115">
        <f>BK251+BK252+BK261+BK268+BK302+BK306+BK307+BK349</f>
        <v>71075.820000000007</v>
      </c>
    </row>
    <row r="251" spans="2:65" s="11" customFormat="1" ht="22.95" customHeight="1" x14ac:dyDescent="0.25">
      <c r="B251" s="106"/>
      <c r="D251" s="107" t="s">
        <v>57</v>
      </c>
      <c r="E251" s="116" t="s">
        <v>1211</v>
      </c>
      <c r="F251" s="116" t="s">
        <v>2756</v>
      </c>
      <c r="J251" s="117">
        <f>BK251</f>
        <v>0</v>
      </c>
      <c r="L251" s="106"/>
      <c r="M251" s="110"/>
      <c r="N251" s="111"/>
      <c r="O251" s="111"/>
      <c r="P251" s="112">
        <v>0</v>
      </c>
      <c r="Q251" s="111"/>
      <c r="R251" s="112">
        <v>0</v>
      </c>
      <c r="S251" s="111"/>
      <c r="T251" s="113">
        <v>0</v>
      </c>
      <c r="AR251" s="107" t="s">
        <v>63</v>
      </c>
      <c r="AT251" s="114" t="s">
        <v>57</v>
      </c>
      <c r="AU251" s="114" t="s">
        <v>63</v>
      </c>
      <c r="AY251" s="107" t="s">
        <v>228</v>
      </c>
      <c r="BK251" s="115">
        <v>0</v>
      </c>
    </row>
    <row r="252" spans="2:65" s="11" customFormat="1" ht="22.95" customHeight="1" x14ac:dyDescent="0.25">
      <c r="B252" s="106"/>
      <c r="D252" s="107" t="s">
        <v>57</v>
      </c>
      <c r="E252" s="116" t="s">
        <v>1215</v>
      </c>
      <c r="F252" s="116" t="s">
        <v>2757</v>
      </c>
      <c r="J252" s="117">
        <f>BK252</f>
        <v>13980.39</v>
      </c>
      <c r="L252" s="106"/>
      <c r="M252" s="110"/>
      <c r="N252" s="111"/>
      <c r="O252" s="111"/>
      <c r="P252" s="112">
        <f>SUM(P253:P260)</f>
        <v>0</v>
      </c>
      <c r="Q252" s="111"/>
      <c r="R252" s="112">
        <f>SUM(R253:R260)</f>
        <v>0</v>
      </c>
      <c r="S252" s="111"/>
      <c r="T252" s="113">
        <f>SUM(T253:T260)</f>
        <v>0</v>
      </c>
      <c r="AR252" s="107" t="s">
        <v>63</v>
      </c>
      <c r="AT252" s="114" t="s">
        <v>57</v>
      </c>
      <c r="AU252" s="114" t="s">
        <v>63</v>
      </c>
      <c r="AY252" s="107" t="s">
        <v>228</v>
      </c>
      <c r="BK252" s="115">
        <f>SUM(BK253:BK260)</f>
        <v>13980.39</v>
      </c>
    </row>
    <row r="253" spans="2:65" s="1" customFormat="1" ht="24" customHeight="1" x14ac:dyDescent="0.2">
      <c r="B253" s="118"/>
      <c r="C253" s="119" t="s">
        <v>404</v>
      </c>
      <c r="D253" s="119" t="s">
        <v>231</v>
      </c>
      <c r="E253" s="120" t="s">
        <v>5034</v>
      </c>
      <c r="F253" s="121" t="s">
        <v>5035</v>
      </c>
      <c r="G253" s="122" t="s">
        <v>243</v>
      </c>
      <c r="H253" s="123">
        <v>1</v>
      </c>
      <c r="I253" s="124">
        <v>10814.72</v>
      </c>
      <c r="J253" s="124">
        <f>ROUND(I253*H253,2)</f>
        <v>10814.72</v>
      </c>
      <c r="K253" s="121" t="s">
        <v>1</v>
      </c>
      <c r="L253" s="24"/>
      <c r="M253" s="125" t="s">
        <v>1</v>
      </c>
      <c r="N253" s="126" t="s">
        <v>32</v>
      </c>
      <c r="O253" s="127">
        <v>0</v>
      </c>
      <c r="P253" s="127">
        <f>O253*H253</f>
        <v>0</v>
      </c>
      <c r="Q253" s="127">
        <v>0</v>
      </c>
      <c r="R253" s="127">
        <f>Q253*H253</f>
        <v>0</v>
      </c>
      <c r="S253" s="127">
        <v>0</v>
      </c>
      <c r="T253" s="128">
        <f>S253*H253</f>
        <v>0</v>
      </c>
      <c r="AR253" s="129" t="s">
        <v>235</v>
      </c>
      <c r="AT253" s="129" t="s">
        <v>231</v>
      </c>
      <c r="AU253" s="129" t="s">
        <v>76</v>
      </c>
      <c r="AY253" s="13" t="s">
        <v>228</v>
      </c>
      <c r="BE253" s="130">
        <f>IF(N253="základná",J253,0)</f>
        <v>0</v>
      </c>
      <c r="BF253" s="130">
        <f>IF(N253="znížená",J253,0)</f>
        <v>10814.72</v>
      </c>
      <c r="BG253" s="130">
        <f>IF(N253="zákl. prenesená",J253,0)</f>
        <v>0</v>
      </c>
      <c r="BH253" s="130">
        <f>IF(N253="zníž. prenesená",J253,0)</f>
        <v>0</v>
      </c>
      <c r="BI253" s="130">
        <f>IF(N253="nulová",J253,0)</f>
        <v>0</v>
      </c>
      <c r="BJ253" s="13" t="s">
        <v>76</v>
      </c>
      <c r="BK253" s="130">
        <f>ROUND(I253*H253,2)</f>
        <v>10814.72</v>
      </c>
      <c r="BL253" s="13" t="s">
        <v>235</v>
      </c>
      <c r="BM253" s="129" t="s">
        <v>588</v>
      </c>
    </row>
    <row r="254" spans="2:65" s="1" customFormat="1" ht="19.2" x14ac:dyDescent="0.2">
      <c r="B254" s="24"/>
      <c r="D254" s="144" t="s">
        <v>1259</v>
      </c>
      <c r="F254" s="145" t="s">
        <v>5036</v>
      </c>
      <c r="L254" s="24"/>
      <c r="M254" s="146"/>
      <c r="N254" s="42"/>
      <c r="O254" s="42"/>
      <c r="P254" s="42"/>
      <c r="Q254" s="42"/>
      <c r="R254" s="42"/>
      <c r="S254" s="42"/>
      <c r="T254" s="43"/>
      <c r="AT254" s="13" t="s">
        <v>1259</v>
      </c>
      <c r="AU254" s="13" t="s">
        <v>76</v>
      </c>
    </row>
    <row r="255" spans="2:65" s="1" customFormat="1" ht="36" customHeight="1" x14ac:dyDescent="0.2">
      <c r="B255" s="118"/>
      <c r="C255" s="119" t="s">
        <v>436</v>
      </c>
      <c r="D255" s="119" t="s">
        <v>231</v>
      </c>
      <c r="E255" s="120" t="s">
        <v>4173</v>
      </c>
      <c r="F255" s="121" t="s">
        <v>2761</v>
      </c>
      <c r="G255" s="122" t="s">
        <v>243</v>
      </c>
      <c r="H255" s="123">
        <v>13</v>
      </c>
      <c r="I255" s="124">
        <v>160.22</v>
      </c>
      <c r="J255" s="124">
        <f t="shared" ref="J255:J260" si="40">ROUND(I255*H255,2)</f>
        <v>2082.86</v>
      </c>
      <c r="K255" s="121" t="s">
        <v>1</v>
      </c>
      <c r="L255" s="24"/>
      <c r="M255" s="125" t="s">
        <v>1</v>
      </c>
      <c r="N255" s="126" t="s">
        <v>32</v>
      </c>
      <c r="O255" s="127">
        <v>0</v>
      </c>
      <c r="P255" s="127">
        <f t="shared" ref="P255:P260" si="41">O255*H255</f>
        <v>0</v>
      </c>
      <c r="Q255" s="127">
        <v>0</v>
      </c>
      <c r="R255" s="127">
        <f t="shared" ref="R255:R260" si="42">Q255*H255</f>
        <v>0</v>
      </c>
      <c r="S255" s="127">
        <v>0</v>
      </c>
      <c r="T255" s="128">
        <f t="shared" ref="T255:T260" si="43">S255*H255</f>
        <v>0</v>
      </c>
      <c r="AR255" s="129" t="s">
        <v>235</v>
      </c>
      <c r="AT255" s="129" t="s">
        <v>231</v>
      </c>
      <c r="AU255" s="129" t="s">
        <v>76</v>
      </c>
      <c r="AY255" s="13" t="s">
        <v>228</v>
      </c>
      <c r="BE255" s="130">
        <f t="shared" ref="BE255:BE260" si="44">IF(N255="základná",J255,0)</f>
        <v>0</v>
      </c>
      <c r="BF255" s="130">
        <f t="shared" ref="BF255:BF260" si="45">IF(N255="znížená",J255,0)</f>
        <v>2082.86</v>
      </c>
      <c r="BG255" s="130">
        <f t="shared" ref="BG255:BG260" si="46">IF(N255="zákl. prenesená",J255,0)</f>
        <v>0</v>
      </c>
      <c r="BH255" s="130">
        <f t="shared" ref="BH255:BH260" si="47">IF(N255="zníž. prenesená",J255,0)</f>
        <v>0</v>
      </c>
      <c r="BI255" s="130">
        <f t="shared" ref="BI255:BI260" si="48">IF(N255="nulová",J255,0)</f>
        <v>0</v>
      </c>
      <c r="BJ255" s="13" t="s">
        <v>76</v>
      </c>
      <c r="BK255" s="130">
        <f t="shared" ref="BK255:BK260" si="49">ROUND(I255*H255,2)</f>
        <v>2082.86</v>
      </c>
      <c r="BL255" s="13" t="s">
        <v>235</v>
      </c>
      <c r="BM255" s="129" t="s">
        <v>591</v>
      </c>
    </row>
    <row r="256" spans="2:65" s="1" customFormat="1" ht="24" customHeight="1" x14ac:dyDescent="0.2">
      <c r="B256" s="118"/>
      <c r="C256" s="119" t="s">
        <v>410</v>
      </c>
      <c r="D256" s="119" t="s">
        <v>231</v>
      </c>
      <c r="E256" s="120" t="s">
        <v>4174</v>
      </c>
      <c r="F256" s="121" t="s">
        <v>4175</v>
      </c>
      <c r="G256" s="122" t="s">
        <v>243</v>
      </c>
      <c r="H256" s="123">
        <v>2</v>
      </c>
      <c r="I256" s="124">
        <v>82.78</v>
      </c>
      <c r="J256" s="124">
        <f t="shared" si="40"/>
        <v>165.56</v>
      </c>
      <c r="K256" s="121" t="s">
        <v>1</v>
      </c>
      <c r="L256" s="24"/>
      <c r="M256" s="125" t="s">
        <v>1</v>
      </c>
      <c r="N256" s="126" t="s">
        <v>32</v>
      </c>
      <c r="O256" s="127">
        <v>0</v>
      </c>
      <c r="P256" s="127">
        <f t="shared" si="41"/>
        <v>0</v>
      </c>
      <c r="Q256" s="127">
        <v>0</v>
      </c>
      <c r="R256" s="127">
        <f t="shared" si="42"/>
        <v>0</v>
      </c>
      <c r="S256" s="127">
        <v>0</v>
      </c>
      <c r="T256" s="128">
        <f t="shared" si="43"/>
        <v>0</v>
      </c>
      <c r="AR256" s="129" t="s">
        <v>235</v>
      </c>
      <c r="AT256" s="129" t="s">
        <v>231</v>
      </c>
      <c r="AU256" s="129" t="s">
        <v>76</v>
      </c>
      <c r="AY256" s="13" t="s">
        <v>228</v>
      </c>
      <c r="BE256" s="130">
        <f t="shared" si="44"/>
        <v>0</v>
      </c>
      <c r="BF256" s="130">
        <f t="shared" si="45"/>
        <v>165.56</v>
      </c>
      <c r="BG256" s="130">
        <f t="shared" si="46"/>
        <v>0</v>
      </c>
      <c r="BH256" s="130">
        <f t="shared" si="47"/>
        <v>0</v>
      </c>
      <c r="BI256" s="130">
        <f t="shared" si="48"/>
        <v>0</v>
      </c>
      <c r="BJ256" s="13" t="s">
        <v>76</v>
      </c>
      <c r="BK256" s="130">
        <f t="shared" si="49"/>
        <v>165.56</v>
      </c>
      <c r="BL256" s="13" t="s">
        <v>235</v>
      </c>
      <c r="BM256" s="129" t="s">
        <v>594</v>
      </c>
    </row>
    <row r="257" spans="2:65" s="1" customFormat="1" ht="24" customHeight="1" x14ac:dyDescent="0.2">
      <c r="B257" s="118"/>
      <c r="C257" s="119" t="s">
        <v>595</v>
      </c>
      <c r="D257" s="119" t="s">
        <v>231</v>
      </c>
      <c r="E257" s="120" t="s">
        <v>4176</v>
      </c>
      <c r="F257" s="121" t="s">
        <v>2763</v>
      </c>
      <c r="G257" s="122" t="s">
        <v>243</v>
      </c>
      <c r="H257" s="123">
        <v>7</v>
      </c>
      <c r="I257" s="124">
        <v>60.08</v>
      </c>
      <c r="J257" s="124">
        <f t="shared" si="40"/>
        <v>420.56</v>
      </c>
      <c r="K257" s="121" t="s">
        <v>1</v>
      </c>
      <c r="L257" s="24"/>
      <c r="M257" s="125" t="s">
        <v>1</v>
      </c>
      <c r="N257" s="126" t="s">
        <v>32</v>
      </c>
      <c r="O257" s="127">
        <v>0</v>
      </c>
      <c r="P257" s="127">
        <f t="shared" si="41"/>
        <v>0</v>
      </c>
      <c r="Q257" s="127">
        <v>0</v>
      </c>
      <c r="R257" s="127">
        <f t="shared" si="42"/>
        <v>0</v>
      </c>
      <c r="S257" s="127">
        <v>0</v>
      </c>
      <c r="T257" s="128">
        <f t="shared" si="43"/>
        <v>0</v>
      </c>
      <c r="AR257" s="129" t="s">
        <v>235</v>
      </c>
      <c r="AT257" s="129" t="s">
        <v>231</v>
      </c>
      <c r="AU257" s="129" t="s">
        <v>76</v>
      </c>
      <c r="AY257" s="13" t="s">
        <v>228</v>
      </c>
      <c r="BE257" s="130">
        <f t="shared" si="44"/>
        <v>0</v>
      </c>
      <c r="BF257" s="130">
        <f t="shared" si="45"/>
        <v>420.56</v>
      </c>
      <c r="BG257" s="130">
        <f t="shared" si="46"/>
        <v>0</v>
      </c>
      <c r="BH257" s="130">
        <f t="shared" si="47"/>
        <v>0</v>
      </c>
      <c r="BI257" s="130">
        <f t="shared" si="48"/>
        <v>0</v>
      </c>
      <c r="BJ257" s="13" t="s">
        <v>76</v>
      </c>
      <c r="BK257" s="130">
        <f t="shared" si="49"/>
        <v>420.56</v>
      </c>
      <c r="BL257" s="13" t="s">
        <v>235</v>
      </c>
      <c r="BM257" s="129" t="s">
        <v>598</v>
      </c>
    </row>
    <row r="258" spans="2:65" s="1" customFormat="1" ht="24" customHeight="1" x14ac:dyDescent="0.2">
      <c r="B258" s="118"/>
      <c r="C258" s="119" t="s">
        <v>414</v>
      </c>
      <c r="D258" s="119" t="s">
        <v>231</v>
      </c>
      <c r="E258" s="120" t="s">
        <v>4177</v>
      </c>
      <c r="F258" s="121" t="s">
        <v>2765</v>
      </c>
      <c r="G258" s="122" t="s">
        <v>243</v>
      </c>
      <c r="H258" s="123">
        <v>4</v>
      </c>
      <c r="I258" s="124">
        <v>33.380000000000003</v>
      </c>
      <c r="J258" s="124">
        <f t="shared" si="40"/>
        <v>133.52000000000001</v>
      </c>
      <c r="K258" s="121" t="s">
        <v>1</v>
      </c>
      <c r="L258" s="24"/>
      <c r="M258" s="125" t="s">
        <v>1</v>
      </c>
      <c r="N258" s="126" t="s">
        <v>32</v>
      </c>
      <c r="O258" s="127">
        <v>0</v>
      </c>
      <c r="P258" s="127">
        <f t="shared" si="41"/>
        <v>0</v>
      </c>
      <c r="Q258" s="127">
        <v>0</v>
      </c>
      <c r="R258" s="127">
        <f t="shared" si="42"/>
        <v>0</v>
      </c>
      <c r="S258" s="127">
        <v>0</v>
      </c>
      <c r="T258" s="128">
        <f t="shared" si="43"/>
        <v>0</v>
      </c>
      <c r="AR258" s="129" t="s">
        <v>235</v>
      </c>
      <c r="AT258" s="129" t="s">
        <v>231</v>
      </c>
      <c r="AU258" s="129" t="s">
        <v>76</v>
      </c>
      <c r="AY258" s="13" t="s">
        <v>228</v>
      </c>
      <c r="BE258" s="130">
        <f t="shared" si="44"/>
        <v>0</v>
      </c>
      <c r="BF258" s="130">
        <f t="shared" si="45"/>
        <v>133.52000000000001</v>
      </c>
      <c r="BG258" s="130">
        <f t="shared" si="46"/>
        <v>0</v>
      </c>
      <c r="BH258" s="130">
        <f t="shared" si="47"/>
        <v>0</v>
      </c>
      <c r="BI258" s="130">
        <f t="shared" si="48"/>
        <v>0</v>
      </c>
      <c r="BJ258" s="13" t="s">
        <v>76</v>
      </c>
      <c r="BK258" s="130">
        <f t="shared" si="49"/>
        <v>133.52000000000001</v>
      </c>
      <c r="BL258" s="13" t="s">
        <v>235</v>
      </c>
      <c r="BM258" s="129" t="s">
        <v>601</v>
      </c>
    </row>
    <row r="259" spans="2:65" s="1" customFormat="1" ht="24" customHeight="1" x14ac:dyDescent="0.2">
      <c r="B259" s="118"/>
      <c r="C259" s="119" t="s">
        <v>602</v>
      </c>
      <c r="D259" s="119" t="s">
        <v>231</v>
      </c>
      <c r="E259" s="120" t="s">
        <v>4182</v>
      </c>
      <c r="F259" s="121" t="s">
        <v>2771</v>
      </c>
      <c r="G259" s="122" t="s">
        <v>243</v>
      </c>
      <c r="H259" s="123">
        <v>5</v>
      </c>
      <c r="I259" s="124">
        <v>66.760000000000005</v>
      </c>
      <c r="J259" s="124">
        <f t="shared" si="40"/>
        <v>333.8</v>
      </c>
      <c r="K259" s="121" t="s">
        <v>1</v>
      </c>
      <c r="L259" s="24"/>
      <c r="M259" s="125" t="s">
        <v>1</v>
      </c>
      <c r="N259" s="126" t="s">
        <v>32</v>
      </c>
      <c r="O259" s="127">
        <v>0</v>
      </c>
      <c r="P259" s="127">
        <f t="shared" si="41"/>
        <v>0</v>
      </c>
      <c r="Q259" s="127">
        <v>0</v>
      </c>
      <c r="R259" s="127">
        <f t="shared" si="42"/>
        <v>0</v>
      </c>
      <c r="S259" s="127">
        <v>0</v>
      </c>
      <c r="T259" s="128">
        <f t="shared" si="43"/>
        <v>0</v>
      </c>
      <c r="AR259" s="129" t="s">
        <v>235</v>
      </c>
      <c r="AT259" s="129" t="s">
        <v>231</v>
      </c>
      <c r="AU259" s="129" t="s">
        <v>76</v>
      </c>
      <c r="AY259" s="13" t="s">
        <v>228</v>
      </c>
      <c r="BE259" s="130">
        <f t="shared" si="44"/>
        <v>0</v>
      </c>
      <c r="BF259" s="130">
        <f t="shared" si="45"/>
        <v>333.8</v>
      </c>
      <c r="BG259" s="130">
        <f t="shared" si="46"/>
        <v>0</v>
      </c>
      <c r="BH259" s="130">
        <f t="shared" si="47"/>
        <v>0</v>
      </c>
      <c r="BI259" s="130">
        <f t="shared" si="48"/>
        <v>0</v>
      </c>
      <c r="BJ259" s="13" t="s">
        <v>76</v>
      </c>
      <c r="BK259" s="130">
        <f t="shared" si="49"/>
        <v>333.8</v>
      </c>
      <c r="BL259" s="13" t="s">
        <v>235</v>
      </c>
      <c r="BM259" s="129" t="s">
        <v>605</v>
      </c>
    </row>
    <row r="260" spans="2:65" s="1" customFormat="1" ht="36" customHeight="1" x14ac:dyDescent="0.2">
      <c r="B260" s="118"/>
      <c r="C260" s="119" t="s">
        <v>418</v>
      </c>
      <c r="D260" s="119" t="s">
        <v>231</v>
      </c>
      <c r="E260" s="120" t="s">
        <v>5037</v>
      </c>
      <c r="F260" s="121" t="s">
        <v>5038</v>
      </c>
      <c r="G260" s="122" t="s">
        <v>243</v>
      </c>
      <c r="H260" s="123">
        <v>1</v>
      </c>
      <c r="I260" s="124">
        <v>29.37</v>
      </c>
      <c r="J260" s="124">
        <f t="shared" si="40"/>
        <v>29.37</v>
      </c>
      <c r="K260" s="121" t="s">
        <v>1</v>
      </c>
      <c r="L260" s="24"/>
      <c r="M260" s="125" t="s">
        <v>1</v>
      </c>
      <c r="N260" s="126" t="s">
        <v>32</v>
      </c>
      <c r="O260" s="127">
        <v>0</v>
      </c>
      <c r="P260" s="127">
        <f t="shared" si="41"/>
        <v>0</v>
      </c>
      <c r="Q260" s="127">
        <v>0</v>
      </c>
      <c r="R260" s="127">
        <f t="shared" si="42"/>
        <v>0</v>
      </c>
      <c r="S260" s="127">
        <v>0</v>
      </c>
      <c r="T260" s="128">
        <f t="shared" si="43"/>
        <v>0</v>
      </c>
      <c r="AR260" s="129" t="s">
        <v>235</v>
      </c>
      <c r="AT260" s="129" t="s">
        <v>231</v>
      </c>
      <c r="AU260" s="129" t="s">
        <v>76</v>
      </c>
      <c r="AY260" s="13" t="s">
        <v>228</v>
      </c>
      <c r="BE260" s="130">
        <f t="shared" si="44"/>
        <v>0</v>
      </c>
      <c r="BF260" s="130">
        <f t="shared" si="45"/>
        <v>29.37</v>
      </c>
      <c r="BG260" s="130">
        <f t="shared" si="46"/>
        <v>0</v>
      </c>
      <c r="BH260" s="130">
        <f t="shared" si="47"/>
        <v>0</v>
      </c>
      <c r="BI260" s="130">
        <f t="shared" si="48"/>
        <v>0</v>
      </c>
      <c r="BJ260" s="13" t="s">
        <v>76</v>
      </c>
      <c r="BK260" s="130">
        <f t="shared" si="49"/>
        <v>29.37</v>
      </c>
      <c r="BL260" s="13" t="s">
        <v>235</v>
      </c>
      <c r="BM260" s="129" t="s">
        <v>610</v>
      </c>
    </row>
    <row r="261" spans="2:65" s="11" customFormat="1" ht="22.95" customHeight="1" x14ac:dyDescent="0.25">
      <c r="B261" s="106"/>
      <c r="D261" s="107" t="s">
        <v>57</v>
      </c>
      <c r="E261" s="116" t="s">
        <v>1227</v>
      </c>
      <c r="F261" s="116" t="s">
        <v>2772</v>
      </c>
      <c r="J261" s="117">
        <f>BK261</f>
        <v>1936.61</v>
      </c>
      <c r="L261" s="106"/>
      <c r="M261" s="110"/>
      <c r="N261" s="111"/>
      <c r="O261" s="111"/>
      <c r="P261" s="112">
        <f>SUM(P262:P267)</f>
        <v>0</v>
      </c>
      <c r="Q261" s="111"/>
      <c r="R261" s="112">
        <f>SUM(R262:R267)</f>
        <v>0</v>
      </c>
      <c r="S261" s="111"/>
      <c r="T261" s="113">
        <f>SUM(T262:T267)</f>
        <v>0</v>
      </c>
      <c r="AR261" s="107" t="s">
        <v>63</v>
      </c>
      <c r="AT261" s="114" t="s">
        <v>57</v>
      </c>
      <c r="AU261" s="114" t="s">
        <v>63</v>
      </c>
      <c r="AY261" s="107" t="s">
        <v>228</v>
      </c>
      <c r="BK261" s="115">
        <f>SUM(BK262:BK267)</f>
        <v>1936.61</v>
      </c>
    </row>
    <row r="262" spans="2:65" s="1" customFormat="1" ht="16.5" customHeight="1" x14ac:dyDescent="0.2">
      <c r="B262" s="118"/>
      <c r="C262" s="119" t="s">
        <v>613</v>
      </c>
      <c r="D262" s="119" t="s">
        <v>231</v>
      </c>
      <c r="E262" s="120" t="s">
        <v>4183</v>
      </c>
      <c r="F262" s="121" t="s">
        <v>2774</v>
      </c>
      <c r="G262" s="122" t="s">
        <v>243</v>
      </c>
      <c r="H262" s="123">
        <v>4</v>
      </c>
      <c r="I262" s="124">
        <v>103.7</v>
      </c>
      <c r="J262" s="124">
        <f t="shared" ref="J262:J267" si="50">ROUND(I262*H262,2)</f>
        <v>414.8</v>
      </c>
      <c r="K262" s="121" t="s">
        <v>1</v>
      </c>
      <c r="L262" s="24"/>
      <c r="M262" s="125" t="s">
        <v>1</v>
      </c>
      <c r="N262" s="126" t="s">
        <v>32</v>
      </c>
      <c r="O262" s="127">
        <v>0</v>
      </c>
      <c r="P262" s="127">
        <f t="shared" ref="P262:P267" si="51">O262*H262</f>
        <v>0</v>
      </c>
      <c r="Q262" s="127">
        <v>0</v>
      </c>
      <c r="R262" s="127">
        <f t="shared" ref="R262:R267" si="52">Q262*H262</f>
        <v>0</v>
      </c>
      <c r="S262" s="127">
        <v>0</v>
      </c>
      <c r="T262" s="128">
        <f t="shared" ref="T262:T267" si="53">S262*H262</f>
        <v>0</v>
      </c>
      <c r="AR262" s="129" t="s">
        <v>235</v>
      </c>
      <c r="AT262" s="129" t="s">
        <v>231</v>
      </c>
      <c r="AU262" s="129" t="s">
        <v>76</v>
      </c>
      <c r="AY262" s="13" t="s">
        <v>228</v>
      </c>
      <c r="BE262" s="130">
        <f t="shared" ref="BE262:BE267" si="54">IF(N262="základná",J262,0)</f>
        <v>0</v>
      </c>
      <c r="BF262" s="130">
        <f t="shared" ref="BF262:BF267" si="55">IF(N262="znížená",J262,0)</f>
        <v>414.8</v>
      </c>
      <c r="BG262" s="130">
        <f t="shared" ref="BG262:BG267" si="56">IF(N262="zákl. prenesená",J262,0)</f>
        <v>0</v>
      </c>
      <c r="BH262" s="130">
        <f t="shared" ref="BH262:BH267" si="57">IF(N262="zníž. prenesená",J262,0)</f>
        <v>0</v>
      </c>
      <c r="BI262" s="130">
        <f t="shared" ref="BI262:BI267" si="58">IF(N262="nulová",J262,0)</f>
        <v>0</v>
      </c>
      <c r="BJ262" s="13" t="s">
        <v>76</v>
      </c>
      <c r="BK262" s="130">
        <f t="shared" ref="BK262:BK267" si="59">ROUND(I262*H262,2)</f>
        <v>414.8</v>
      </c>
      <c r="BL262" s="13" t="s">
        <v>235</v>
      </c>
      <c r="BM262" s="129" t="s">
        <v>616</v>
      </c>
    </row>
    <row r="263" spans="2:65" s="1" customFormat="1" ht="16.5" customHeight="1" x14ac:dyDescent="0.2">
      <c r="B263" s="118"/>
      <c r="C263" s="119" t="s">
        <v>421</v>
      </c>
      <c r="D263" s="119" t="s">
        <v>231</v>
      </c>
      <c r="E263" s="120" t="s">
        <v>4184</v>
      </c>
      <c r="F263" s="121" t="s">
        <v>2776</v>
      </c>
      <c r="G263" s="122" t="s">
        <v>243</v>
      </c>
      <c r="H263" s="123">
        <v>32</v>
      </c>
      <c r="I263" s="124">
        <v>16.7</v>
      </c>
      <c r="J263" s="124">
        <f t="shared" si="50"/>
        <v>534.4</v>
      </c>
      <c r="K263" s="121" t="s">
        <v>1</v>
      </c>
      <c r="L263" s="24"/>
      <c r="M263" s="125" t="s">
        <v>1</v>
      </c>
      <c r="N263" s="126" t="s">
        <v>32</v>
      </c>
      <c r="O263" s="127">
        <v>0</v>
      </c>
      <c r="P263" s="127">
        <f t="shared" si="51"/>
        <v>0</v>
      </c>
      <c r="Q263" s="127">
        <v>0</v>
      </c>
      <c r="R263" s="127">
        <f t="shared" si="52"/>
        <v>0</v>
      </c>
      <c r="S263" s="127">
        <v>0</v>
      </c>
      <c r="T263" s="128">
        <f t="shared" si="53"/>
        <v>0</v>
      </c>
      <c r="AR263" s="129" t="s">
        <v>235</v>
      </c>
      <c r="AT263" s="129" t="s">
        <v>231</v>
      </c>
      <c r="AU263" s="129" t="s">
        <v>76</v>
      </c>
      <c r="AY263" s="13" t="s">
        <v>228</v>
      </c>
      <c r="BE263" s="130">
        <f t="shared" si="54"/>
        <v>0</v>
      </c>
      <c r="BF263" s="130">
        <f t="shared" si="55"/>
        <v>534.4</v>
      </c>
      <c r="BG263" s="130">
        <f t="shared" si="56"/>
        <v>0</v>
      </c>
      <c r="BH263" s="130">
        <f t="shared" si="57"/>
        <v>0</v>
      </c>
      <c r="BI263" s="130">
        <f t="shared" si="58"/>
        <v>0</v>
      </c>
      <c r="BJ263" s="13" t="s">
        <v>76</v>
      </c>
      <c r="BK263" s="130">
        <f t="shared" si="59"/>
        <v>534.4</v>
      </c>
      <c r="BL263" s="13" t="s">
        <v>235</v>
      </c>
      <c r="BM263" s="129" t="s">
        <v>619</v>
      </c>
    </row>
    <row r="264" spans="2:65" s="1" customFormat="1" ht="16.5" customHeight="1" x14ac:dyDescent="0.2">
      <c r="B264" s="118"/>
      <c r="C264" s="119" t="s">
        <v>620</v>
      </c>
      <c r="D264" s="119" t="s">
        <v>231</v>
      </c>
      <c r="E264" s="120" t="s">
        <v>4185</v>
      </c>
      <c r="F264" s="121" t="s">
        <v>2778</v>
      </c>
      <c r="G264" s="122" t="s">
        <v>243</v>
      </c>
      <c r="H264" s="123">
        <v>6</v>
      </c>
      <c r="I264" s="124">
        <v>106.81</v>
      </c>
      <c r="J264" s="124">
        <f t="shared" si="50"/>
        <v>640.86</v>
      </c>
      <c r="K264" s="121" t="s">
        <v>1</v>
      </c>
      <c r="L264" s="24"/>
      <c r="M264" s="125" t="s">
        <v>1</v>
      </c>
      <c r="N264" s="126" t="s">
        <v>32</v>
      </c>
      <c r="O264" s="127">
        <v>0</v>
      </c>
      <c r="P264" s="127">
        <f t="shared" si="51"/>
        <v>0</v>
      </c>
      <c r="Q264" s="127">
        <v>0</v>
      </c>
      <c r="R264" s="127">
        <f t="shared" si="52"/>
        <v>0</v>
      </c>
      <c r="S264" s="127">
        <v>0</v>
      </c>
      <c r="T264" s="128">
        <f t="shared" si="53"/>
        <v>0</v>
      </c>
      <c r="AR264" s="129" t="s">
        <v>235</v>
      </c>
      <c r="AT264" s="129" t="s">
        <v>231</v>
      </c>
      <c r="AU264" s="129" t="s">
        <v>76</v>
      </c>
      <c r="AY264" s="13" t="s">
        <v>228</v>
      </c>
      <c r="BE264" s="130">
        <f t="shared" si="54"/>
        <v>0</v>
      </c>
      <c r="BF264" s="130">
        <f t="shared" si="55"/>
        <v>640.86</v>
      </c>
      <c r="BG264" s="130">
        <f t="shared" si="56"/>
        <v>0</v>
      </c>
      <c r="BH264" s="130">
        <f t="shared" si="57"/>
        <v>0</v>
      </c>
      <c r="BI264" s="130">
        <f t="shared" si="58"/>
        <v>0</v>
      </c>
      <c r="BJ264" s="13" t="s">
        <v>76</v>
      </c>
      <c r="BK264" s="130">
        <f t="shared" si="59"/>
        <v>640.86</v>
      </c>
      <c r="BL264" s="13" t="s">
        <v>235</v>
      </c>
      <c r="BM264" s="129" t="s">
        <v>623</v>
      </c>
    </row>
    <row r="265" spans="2:65" s="1" customFormat="1" ht="16.5" customHeight="1" x14ac:dyDescent="0.2">
      <c r="B265" s="118"/>
      <c r="C265" s="119" t="s">
        <v>425</v>
      </c>
      <c r="D265" s="119" t="s">
        <v>231</v>
      </c>
      <c r="E265" s="120" t="s">
        <v>4186</v>
      </c>
      <c r="F265" s="121" t="s">
        <v>4187</v>
      </c>
      <c r="G265" s="122" t="s">
        <v>243</v>
      </c>
      <c r="H265" s="123">
        <v>2</v>
      </c>
      <c r="I265" s="124">
        <v>20.7</v>
      </c>
      <c r="J265" s="124">
        <f t="shared" si="50"/>
        <v>41.4</v>
      </c>
      <c r="K265" s="121" t="s">
        <v>1</v>
      </c>
      <c r="L265" s="24"/>
      <c r="M265" s="125" t="s">
        <v>1</v>
      </c>
      <c r="N265" s="126" t="s">
        <v>32</v>
      </c>
      <c r="O265" s="127">
        <v>0</v>
      </c>
      <c r="P265" s="127">
        <f t="shared" si="51"/>
        <v>0</v>
      </c>
      <c r="Q265" s="127">
        <v>0</v>
      </c>
      <c r="R265" s="127">
        <f t="shared" si="52"/>
        <v>0</v>
      </c>
      <c r="S265" s="127">
        <v>0</v>
      </c>
      <c r="T265" s="128">
        <f t="shared" si="53"/>
        <v>0</v>
      </c>
      <c r="AR265" s="129" t="s">
        <v>235</v>
      </c>
      <c r="AT265" s="129" t="s">
        <v>231</v>
      </c>
      <c r="AU265" s="129" t="s">
        <v>76</v>
      </c>
      <c r="AY265" s="13" t="s">
        <v>228</v>
      </c>
      <c r="BE265" s="130">
        <f t="shared" si="54"/>
        <v>0</v>
      </c>
      <c r="BF265" s="130">
        <f t="shared" si="55"/>
        <v>41.4</v>
      </c>
      <c r="BG265" s="130">
        <f t="shared" si="56"/>
        <v>0</v>
      </c>
      <c r="BH265" s="130">
        <f t="shared" si="57"/>
        <v>0</v>
      </c>
      <c r="BI265" s="130">
        <f t="shared" si="58"/>
        <v>0</v>
      </c>
      <c r="BJ265" s="13" t="s">
        <v>76</v>
      </c>
      <c r="BK265" s="130">
        <f t="shared" si="59"/>
        <v>41.4</v>
      </c>
      <c r="BL265" s="13" t="s">
        <v>235</v>
      </c>
      <c r="BM265" s="129" t="s">
        <v>626</v>
      </c>
    </row>
    <row r="266" spans="2:65" s="1" customFormat="1" ht="16.5" customHeight="1" x14ac:dyDescent="0.2">
      <c r="B266" s="118"/>
      <c r="C266" s="119" t="s">
        <v>627</v>
      </c>
      <c r="D266" s="119" t="s">
        <v>231</v>
      </c>
      <c r="E266" s="120" t="s">
        <v>4190</v>
      </c>
      <c r="F266" s="121" t="s">
        <v>2780</v>
      </c>
      <c r="G266" s="122" t="s">
        <v>243</v>
      </c>
      <c r="H266" s="123">
        <v>11</v>
      </c>
      <c r="I266" s="124">
        <v>11.35</v>
      </c>
      <c r="J266" s="124">
        <f t="shared" si="50"/>
        <v>124.85</v>
      </c>
      <c r="K266" s="121" t="s">
        <v>1</v>
      </c>
      <c r="L266" s="24"/>
      <c r="M266" s="125" t="s">
        <v>1</v>
      </c>
      <c r="N266" s="126" t="s">
        <v>32</v>
      </c>
      <c r="O266" s="127">
        <v>0</v>
      </c>
      <c r="P266" s="127">
        <f t="shared" si="51"/>
        <v>0</v>
      </c>
      <c r="Q266" s="127">
        <v>0</v>
      </c>
      <c r="R266" s="127">
        <f t="shared" si="52"/>
        <v>0</v>
      </c>
      <c r="S266" s="127">
        <v>0</v>
      </c>
      <c r="T266" s="128">
        <f t="shared" si="53"/>
        <v>0</v>
      </c>
      <c r="AR266" s="129" t="s">
        <v>235</v>
      </c>
      <c r="AT266" s="129" t="s">
        <v>231</v>
      </c>
      <c r="AU266" s="129" t="s">
        <v>76</v>
      </c>
      <c r="AY266" s="13" t="s">
        <v>228</v>
      </c>
      <c r="BE266" s="130">
        <f t="shared" si="54"/>
        <v>0</v>
      </c>
      <c r="BF266" s="130">
        <f t="shared" si="55"/>
        <v>124.85</v>
      </c>
      <c r="BG266" s="130">
        <f t="shared" si="56"/>
        <v>0</v>
      </c>
      <c r="BH266" s="130">
        <f t="shared" si="57"/>
        <v>0</v>
      </c>
      <c r="BI266" s="130">
        <f t="shared" si="58"/>
        <v>0</v>
      </c>
      <c r="BJ266" s="13" t="s">
        <v>76</v>
      </c>
      <c r="BK266" s="130">
        <f t="shared" si="59"/>
        <v>124.85</v>
      </c>
      <c r="BL266" s="13" t="s">
        <v>235</v>
      </c>
      <c r="BM266" s="129" t="s">
        <v>630</v>
      </c>
    </row>
    <row r="267" spans="2:65" s="1" customFormat="1" ht="16.5" customHeight="1" x14ac:dyDescent="0.2">
      <c r="B267" s="118"/>
      <c r="C267" s="119" t="s">
        <v>428</v>
      </c>
      <c r="D267" s="119" t="s">
        <v>231</v>
      </c>
      <c r="E267" s="120" t="s">
        <v>4191</v>
      </c>
      <c r="F267" s="121" t="s">
        <v>2782</v>
      </c>
      <c r="G267" s="122" t="s">
        <v>243</v>
      </c>
      <c r="H267" s="123">
        <v>6</v>
      </c>
      <c r="I267" s="124">
        <v>30.05</v>
      </c>
      <c r="J267" s="124">
        <f t="shared" si="50"/>
        <v>180.3</v>
      </c>
      <c r="K267" s="121" t="s">
        <v>1</v>
      </c>
      <c r="L267" s="24"/>
      <c r="M267" s="125" t="s">
        <v>1</v>
      </c>
      <c r="N267" s="126" t="s">
        <v>32</v>
      </c>
      <c r="O267" s="127">
        <v>0</v>
      </c>
      <c r="P267" s="127">
        <f t="shared" si="51"/>
        <v>0</v>
      </c>
      <c r="Q267" s="127">
        <v>0</v>
      </c>
      <c r="R267" s="127">
        <f t="shared" si="52"/>
        <v>0</v>
      </c>
      <c r="S267" s="127">
        <v>0</v>
      </c>
      <c r="T267" s="128">
        <f t="shared" si="53"/>
        <v>0</v>
      </c>
      <c r="AR267" s="129" t="s">
        <v>235</v>
      </c>
      <c r="AT267" s="129" t="s">
        <v>231</v>
      </c>
      <c r="AU267" s="129" t="s">
        <v>76</v>
      </c>
      <c r="AY267" s="13" t="s">
        <v>228</v>
      </c>
      <c r="BE267" s="130">
        <f t="shared" si="54"/>
        <v>0</v>
      </c>
      <c r="BF267" s="130">
        <f t="shared" si="55"/>
        <v>180.3</v>
      </c>
      <c r="BG267" s="130">
        <f t="shared" si="56"/>
        <v>0</v>
      </c>
      <c r="BH267" s="130">
        <f t="shared" si="57"/>
        <v>0</v>
      </c>
      <c r="BI267" s="130">
        <f t="shared" si="58"/>
        <v>0</v>
      </c>
      <c r="BJ267" s="13" t="s">
        <v>76</v>
      </c>
      <c r="BK267" s="130">
        <f t="shared" si="59"/>
        <v>180.3</v>
      </c>
      <c r="BL267" s="13" t="s">
        <v>235</v>
      </c>
      <c r="BM267" s="129" t="s">
        <v>635</v>
      </c>
    </row>
    <row r="268" spans="2:65" s="11" customFormat="1" ht="22.95" customHeight="1" x14ac:dyDescent="0.25">
      <c r="B268" s="106"/>
      <c r="D268" s="107" t="s">
        <v>57</v>
      </c>
      <c r="E268" s="116" t="s">
        <v>1240</v>
      </c>
      <c r="F268" s="116" t="s">
        <v>2783</v>
      </c>
      <c r="J268" s="117">
        <f>BK268</f>
        <v>23444.509999999995</v>
      </c>
      <c r="L268" s="106"/>
      <c r="M268" s="110"/>
      <c r="N268" s="111"/>
      <c r="O268" s="111"/>
      <c r="P268" s="112">
        <f>SUM(P269:P301)</f>
        <v>0</v>
      </c>
      <c r="Q268" s="111"/>
      <c r="R268" s="112">
        <f>SUM(R269:R301)</f>
        <v>0</v>
      </c>
      <c r="S268" s="111"/>
      <c r="T268" s="113">
        <f>SUM(T269:T301)</f>
        <v>0</v>
      </c>
      <c r="AR268" s="107" t="s">
        <v>63</v>
      </c>
      <c r="AT268" s="114" t="s">
        <v>57</v>
      </c>
      <c r="AU268" s="114" t="s">
        <v>63</v>
      </c>
      <c r="AY268" s="107" t="s">
        <v>228</v>
      </c>
      <c r="BK268" s="115">
        <f>SUM(BK269:BK301)</f>
        <v>23444.509999999995</v>
      </c>
    </row>
    <row r="269" spans="2:65" s="1" customFormat="1" ht="16.5" customHeight="1" x14ac:dyDescent="0.2">
      <c r="B269" s="118"/>
      <c r="C269" s="119" t="s">
        <v>636</v>
      </c>
      <c r="D269" s="119" t="s">
        <v>231</v>
      </c>
      <c r="E269" s="120" t="s">
        <v>5039</v>
      </c>
      <c r="F269" s="121" t="s">
        <v>5040</v>
      </c>
      <c r="G269" s="122" t="s">
        <v>292</v>
      </c>
      <c r="H269" s="123">
        <v>400</v>
      </c>
      <c r="I269" s="124">
        <v>2.54</v>
      </c>
      <c r="J269" s="124">
        <f t="shared" ref="J269:J301" si="60">ROUND(I269*H269,2)</f>
        <v>1016</v>
      </c>
      <c r="K269" s="121" t="s">
        <v>1</v>
      </c>
      <c r="L269" s="24"/>
      <c r="M269" s="125" t="s">
        <v>1</v>
      </c>
      <c r="N269" s="126" t="s">
        <v>32</v>
      </c>
      <c r="O269" s="127">
        <v>0</v>
      </c>
      <c r="P269" s="127">
        <f t="shared" ref="P269:P301" si="61">O269*H269</f>
        <v>0</v>
      </c>
      <c r="Q269" s="127">
        <v>0</v>
      </c>
      <c r="R269" s="127">
        <f t="shared" ref="R269:R301" si="62">Q269*H269</f>
        <v>0</v>
      </c>
      <c r="S269" s="127">
        <v>0</v>
      </c>
      <c r="T269" s="128">
        <f t="shared" ref="T269:T301" si="63">S269*H269</f>
        <v>0</v>
      </c>
      <c r="AR269" s="129" t="s">
        <v>235</v>
      </c>
      <c r="AT269" s="129" t="s">
        <v>231</v>
      </c>
      <c r="AU269" s="129" t="s">
        <v>76</v>
      </c>
      <c r="AY269" s="13" t="s">
        <v>228</v>
      </c>
      <c r="BE269" s="130">
        <f t="shared" ref="BE269:BE301" si="64">IF(N269="základná",J269,0)</f>
        <v>0</v>
      </c>
      <c r="BF269" s="130">
        <f t="shared" ref="BF269:BF301" si="65">IF(N269="znížená",J269,0)</f>
        <v>1016</v>
      </c>
      <c r="BG269" s="130">
        <f t="shared" ref="BG269:BG301" si="66">IF(N269="zákl. prenesená",J269,0)</f>
        <v>0</v>
      </c>
      <c r="BH269" s="130">
        <f t="shared" ref="BH269:BH301" si="67">IF(N269="zníž. prenesená",J269,0)</f>
        <v>0</v>
      </c>
      <c r="BI269" s="130">
        <f t="shared" ref="BI269:BI301" si="68">IF(N269="nulová",J269,0)</f>
        <v>0</v>
      </c>
      <c r="BJ269" s="13" t="s">
        <v>76</v>
      </c>
      <c r="BK269" s="130">
        <f t="shared" ref="BK269:BK301" si="69">ROUND(I269*H269,2)</f>
        <v>1016</v>
      </c>
      <c r="BL269" s="13" t="s">
        <v>235</v>
      </c>
      <c r="BM269" s="129" t="s">
        <v>639</v>
      </c>
    </row>
    <row r="270" spans="2:65" s="1" customFormat="1" ht="16.5" customHeight="1" x14ac:dyDescent="0.2">
      <c r="B270" s="118"/>
      <c r="C270" s="119" t="s">
        <v>432</v>
      </c>
      <c r="D270" s="119" t="s">
        <v>231</v>
      </c>
      <c r="E270" s="120" t="s">
        <v>2784</v>
      </c>
      <c r="F270" s="121" t="s">
        <v>2785</v>
      </c>
      <c r="G270" s="122" t="s">
        <v>292</v>
      </c>
      <c r="H270" s="123">
        <v>120</v>
      </c>
      <c r="I270" s="124">
        <v>1.47</v>
      </c>
      <c r="J270" s="124">
        <f t="shared" si="60"/>
        <v>176.4</v>
      </c>
      <c r="K270" s="121" t="s">
        <v>1</v>
      </c>
      <c r="L270" s="24"/>
      <c r="M270" s="125" t="s">
        <v>1</v>
      </c>
      <c r="N270" s="126" t="s">
        <v>32</v>
      </c>
      <c r="O270" s="127">
        <v>0</v>
      </c>
      <c r="P270" s="127">
        <f t="shared" si="61"/>
        <v>0</v>
      </c>
      <c r="Q270" s="127">
        <v>0</v>
      </c>
      <c r="R270" s="127">
        <f t="shared" si="62"/>
        <v>0</v>
      </c>
      <c r="S270" s="127">
        <v>0</v>
      </c>
      <c r="T270" s="128">
        <f t="shared" si="63"/>
        <v>0</v>
      </c>
      <c r="AR270" s="129" t="s">
        <v>235</v>
      </c>
      <c r="AT270" s="129" t="s">
        <v>231</v>
      </c>
      <c r="AU270" s="129" t="s">
        <v>76</v>
      </c>
      <c r="AY270" s="13" t="s">
        <v>228</v>
      </c>
      <c r="BE270" s="130">
        <f t="shared" si="64"/>
        <v>0</v>
      </c>
      <c r="BF270" s="130">
        <f t="shared" si="65"/>
        <v>176.4</v>
      </c>
      <c r="BG270" s="130">
        <f t="shared" si="66"/>
        <v>0</v>
      </c>
      <c r="BH270" s="130">
        <f t="shared" si="67"/>
        <v>0</v>
      </c>
      <c r="BI270" s="130">
        <f t="shared" si="68"/>
        <v>0</v>
      </c>
      <c r="BJ270" s="13" t="s">
        <v>76</v>
      </c>
      <c r="BK270" s="130">
        <f t="shared" si="69"/>
        <v>176.4</v>
      </c>
      <c r="BL270" s="13" t="s">
        <v>235</v>
      </c>
      <c r="BM270" s="129" t="s">
        <v>642</v>
      </c>
    </row>
    <row r="271" spans="2:65" s="1" customFormat="1" ht="24" customHeight="1" x14ac:dyDescent="0.2">
      <c r="B271" s="118"/>
      <c r="C271" s="119" t="s">
        <v>643</v>
      </c>
      <c r="D271" s="119" t="s">
        <v>231</v>
      </c>
      <c r="E271" s="120" t="s">
        <v>5041</v>
      </c>
      <c r="F271" s="121" t="s">
        <v>5042</v>
      </c>
      <c r="G271" s="122" t="s">
        <v>292</v>
      </c>
      <c r="H271" s="123">
        <v>100</v>
      </c>
      <c r="I271" s="124">
        <v>1.3</v>
      </c>
      <c r="J271" s="124">
        <f t="shared" si="60"/>
        <v>130</v>
      </c>
      <c r="K271" s="121" t="s">
        <v>1</v>
      </c>
      <c r="L271" s="24"/>
      <c r="M271" s="125" t="s">
        <v>1</v>
      </c>
      <c r="N271" s="126" t="s">
        <v>32</v>
      </c>
      <c r="O271" s="127">
        <v>0</v>
      </c>
      <c r="P271" s="127">
        <f t="shared" si="61"/>
        <v>0</v>
      </c>
      <c r="Q271" s="127">
        <v>0</v>
      </c>
      <c r="R271" s="127">
        <f t="shared" si="62"/>
        <v>0</v>
      </c>
      <c r="S271" s="127">
        <v>0</v>
      </c>
      <c r="T271" s="128">
        <f t="shared" si="63"/>
        <v>0</v>
      </c>
      <c r="AR271" s="129" t="s">
        <v>235</v>
      </c>
      <c r="AT271" s="129" t="s">
        <v>231</v>
      </c>
      <c r="AU271" s="129" t="s">
        <v>76</v>
      </c>
      <c r="AY271" s="13" t="s">
        <v>228</v>
      </c>
      <c r="BE271" s="130">
        <f t="shared" si="64"/>
        <v>0</v>
      </c>
      <c r="BF271" s="130">
        <f t="shared" si="65"/>
        <v>130</v>
      </c>
      <c r="BG271" s="130">
        <f t="shared" si="66"/>
        <v>0</v>
      </c>
      <c r="BH271" s="130">
        <f t="shared" si="67"/>
        <v>0</v>
      </c>
      <c r="BI271" s="130">
        <f t="shared" si="68"/>
        <v>0</v>
      </c>
      <c r="BJ271" s="13" t="s">
        <v>76</v>
      </c>
      <c r="BK271" s="130">
        <f t="shared" si="69"/>
        <v>130</v>
      </c>
      <c r="BL271" s="13" t="s">
        <v>235</v>
      </c>
      <c r="BM271" s="129" t="s">
        <v>646</v>
      </c>
    </row>
    <row r="272" spans="2:65" s="1" customFormat="1" ht="16.5" customHeight="1" x14ac:dyDescent="0.2">
      <c r="B272" s="118"/>
      <c r="C272" s="119" t="s">
        <v>435</v>
      </c>
      <c r="D272" s="119" t="s">
        <v>231</v>
      </c>
      <c r="E272" s="120" t="s">
        <v>5043</v>
      </c>
      <c r="F272" s="121" t="s">
        <v>5044</v>
      </c>
      <c r="G272" s="122" t="s">
        <v>292</v>
      </c>
      <c r="H272" s="123">
        <v>40</v>
      </c>
      <c r="I272" s="124">
        <v>1.3</v>
      </c>
      <c r="J272" s="124">
        <f t="shared" si="60"/>
        <v>52</v>
      </c>
      <c r="K272" s="121" t="s">
        <v>1</v>
      </c>
      <c r="L272" s="24"/>
      <c r="M272" s="125" t="s">
        <v>1</v>
      </c>
      <c r="N272" s="126" t="s">
        <v>32</v>
      </c>
      <c r="O272" s="127">
        <v>0</v>
      </c>
      <c r="P272" s="127">
        <f t="shared" si="61"/>
        <v>0</v>
      </c>
      <c r="Q272" s="127">
        <v>0</v>
      </c>
      <c r="R272" s="127">
        <f t="shared" si="62"/>
        <v>0</v>
      </c>
      <c r="S272" s="127">
        <v>0</v>
      </c>
      <c r="T272" s="128">
        <f t="shared" si="63"/>
        <v>0</v>
      </c>
      <c r="AR272" s="129" t="s">
        <v>235</v>
      </c>
      <c r="AT272" s="129" t="s">
        <v>231</v>
      </c>
      <c r="AU272" s="129" t="s">
        <v>76</v>
      </c>
      <c r="AY272" s="13" t="s">
        <v>228</v>
      </c>
      <c r="BE272" s="130">
        <f t="shared" si="64"/>
        <v>0</v>
      </c>
      <c r="BF272" s="130">
        <f t="shared" si="65"/>
        <v>52</v>
      </c>
      <c r="BG272" s="130">
        <f t="shared" si="66"/>
        <v>0</v>
      </c>
      <c r="BH272" s="130">
        <f t="shared" si="67"/>
        <v>0</v>
      </c>
      <c r="BI272" s="130">
        <f t="shared" si="68"/>
        <v>0</v>
      </c>
      <c r="BJ272" s="13" t="s">
        <v>76</v>
      </c>
      <c r="BK272" s="130">
        <f t="shared" si="69"/>
        <v>52</v>
      </c>
      <c r="BL272" s="13" t="s">
        <v>235</v>
      </c>
      <c r="BM272" s="129" t="s">
        <v>649</v>
      </c>
    </row>
    <row r="273" spans="2:65" s="1" customFormat="1" ht="24" customHeight="1" x14ac:dyDescent="0.2">
      <c r="B273" s="118"/>
      <c r="C273" s="119" t="s">
        <v>650</v>
      </c>
      <c r="D273" s="119" t="s">
        <v>231</v>
      </c>
      <c r="E273" s="120" t="s">
        <v>2786</v>
      </c>
      <c r="F273" s="121" t="s">
        <v>2787</v>
      </c>
      <c r="G273" s="122" t="s">
        <v>292</v>
      </c>
      <c r="H273" s="123">
        <v>200</v>
      </c>
      <c r="I273" s="124">
        <v>1.24</v>
      </c>
      <c r="J273" s="124">
        <f t="shared" si="60"/>
        <v>248</v>
      </c>
      <c r="K273" s="121" t="s">
        <v>1</v>
      </c>
      <c r="L273" s="24"/>
      <c r="M273" s="125" t="s">
        <v>1</v>
      </c>
      <c r="N273" s="126" t="s">
        <v>32</v>
      </c>
      <c r="O273" s="127">
        <v>0</v>
      </c>
      <c r="P273" s="127">
        <f t="shared" si="61"/>
        <v>0</v>
      </c>
      <c r="Q273" s="127">
        <v>0</v>
      </c>
      <c r="R273" s="127">
        <f t="shared" si="62"/>
        <v>0</v>
      </c>
      <c r="S273" s="127">
        <v>0</v>
      </c>
      <c r="T273" s="128">
        <f t="shared" si="63"/>
        <v>0</v>
      </c>
      <c r="AR273" s="129" t="s">
        <v>235</v>
      </c>
      <c r="AT273" s="129" t="s">
        <v>231</v>
      </c>
      <c r="AU273" s="129" t="s">
        <v>76</v>
      </c>
      <c r="AY273" s="13" t="s">
        <v>228</v>
      </c>
      <c r="BE273" s="130">
        <f t="shared" si="64"/>
        <v>0</v>
      </c>
      <c r="BF273" s="130">
        <f t="shared" si="65"/>
        <v>248</v>
      </c>
      <c r="BG273" s="130">
        <f t="shared" si="66"/>
        <v>0</v>
      </c>
      <c r="BH273" s="130">
        <f t="shared" si="67"/>
        <v>0</v>
      </c>
      <c r="BI273" s="130">
        <f t="shared" si="68"/>
        <v>0</v>
      </c>
      <c r="BJ273" s="13" t="s">
        <v>76</v>
      </c>
      <c r="BK273" s="130">
        <f t="shared" si="69"/>
        <v>248</v>
      </c>
      <c r="BL273" s="13" t="s">
        <v>235</v>
      </c>
      <c r="BM273" s="129" t="s">
        <v>653</v>
      </c>
    </row>
    <row r="274" spans="2:65" s="1" customFormat="1" ht="24" customHeight="1" x14ac:dyDescent="0.2">
      <c r="B274" s="118"/>
      <c r="C274" s="119" t="s">
        <v>441</v>
      </c>
      <c r="D274" s="119" t="s">
        <v>231</v>
      </c>
      <c r="E274" s="120" t="s">
        <v>5045</v>
      </c>
      <c r="F274" s="121" t="s">
        <v>5046</v>
      </c>
      <c r="G274" s="122" t="s">
        <v>292</v>
      </c>
      <c r="H274" s="123">
        <v>150</v>
      </c>
      <c r="I274" s="124">
        <v>1.22</v>
      </c>
      <c r="J274" s="124">
        <f t="shared" si="60"/>
        <v>183</v>
      </c>
      <c r="K274" s="121" t="s">
        <v>1</v>
      </c>
      <c r="L274" s="24"/>
      <c r="M274" s="125" t="s">
        <v>1</v>
      </c>
      <c r="N274" s="126" t="s">
        <v>32</v>
      </c>
      <c r="O274" s="127">
        <v>0</v>
      </c>
      <c r="P274" s="127">
        <f t="shared" si="61"/>
        <v>0</v>
      </c>
      <c r="Q274" s="127">
        <v>0</v>
      </c>
      <c r="R274" s="127">
        <f t="shared" si="62"/>
        <v>0</v>
      </c>
      <c r="S274" s="127">
        <v>0</v>
      </c>
      <c r="T274" s="128">
        <f t="shared" si="63"/>
        <v>0</v>
      </c>
      <c r="AR274" s="129" t="s">
        <v>235</v>
      </c>
      <c r="AT274" s="129" t="s">
        <v>231</v>
      </c>
      <c r="AU274" s="129" t="s">
        <v>76</v>
      </c>
      <c r="AY274" s="13" t="s">
        <v>228</v>
      </c>
      <c r="BE274" s="130">
        <f t="shared" si="64"/>
        <v>0</v>
      </c>
      <c r="BF274" s="130">
        <f t="shared" si="65"/>
        <v>183</v>
      </c>
      <c r="BG274" s="130">
        <f t="shared" si="66"/>
        <v>0</v>
      </c>
      <c r="BH274" s="130">
        <f t="shared" si="67"/>
        <v>0</v>
      </c>
      <c r="BI274" s="130">
        <f t="shared" si="68"/>
        <v>0</v>
      </c>
      <c r="BJ274" s="13" t="s">
        <v>76</v>
      </c>
      <c r="BK274" s="130">
        <f t="shared" si="69"/>
        <v>183</v>
      </c>
      <c r="BL274" s="13" t="s">
        <v>235</v>
      </c>
      <c r="BM274" s="129" t="s">
        <v>656</v>
      </c>
    </row>
    <row r="275" spans="2:65" s="1" customFormat="1" ht="24" customHeight="1" x14ac:dyDescent="0.2">
      <c r="B275" s="118"/>
      <c r="C275" s="119" t="s">
        <v>657</v>
      </c>
      <c r="D275" s="119" t="s">
        <v>231</v>
      </c>
      <c r="E275" s="120" t="s">
        <v>5047</v>
      </c>
      <c r="F275" s="121" t="s">
        <v>5048</v>
      </c>
      <c r="G275" s="122" t="s">
        <v>292</v>
      </c>
      <c r="H275" s="123">
        <v>320</v>
      </c>
      <c r="I275" s="124">
        <v>1.24</v>
      </c>
      <c r="J275" s="124">
        <f t="shared" si="60"/>
        <v>396.8</v>
      </c>
      <c r="K275" s="121" t="s">
        <v>1</v>
      </c>
      <c r="L275" s="24"/>
      <c r="M275" s="125" t="s">
        <v>1</v>
      </c>
      <c r="N275" s="126" t="s">
        <v>32</v>
      </c>
      <c r="O275" s="127">
        <v>0</v>
      </c>
      <c r="P275" s="127">
        <f t="shared" si="61"/>
        <v>0</v>
      </c>
      <c r="Q275" s="127">
        <v>0</v>
      </c>
      <c r="R275" s="127">
        <f t="shared" si="62"/>
        <v>0</v>
      </c>
      <c r="S275" s="127">
        <v>0</v>
      </c>
      <c r="T275" s="128">
        <f t="shared" si="63"/>
        <v>0</v>
      </c>
      <c r="AR275" s="129" t="s">
        <v>235</v>
      </c>
      <c r="AT275" s="129" t="s">
        <v>231</v>
      </c>
      <c r="AU275" s="129" t="s">
        <v>76</v>
      </c>
      <c r="AY275" s="13" t="s">
        <v>228</v>
      </c>
      <c r="BE275" s="130">
        <f t="shared" si="64"/>
        <v>0</v>
      </c>
      <c r="BF275" s="130">
        <f t="shared" si="65"/>
        <v>396.8</v>
      </c>
      <c r="BG275" s="130">
        <f t="shared" si="66"/>
        <v>0</v>
      </c>
      <c r="BH275" s="130">
        <f t="shared" si="67"/>
        <v>0</v>
      </c>
      <c r="BI275" s="130">
        <f t="shared" si="68"/>
        <v>0</v>
      </c>
      <c r="BJ275" s="13" t="s">
        <v>76</v>
      </c>
      <c r="BK275" s="130">
        <f t="shared" si="69"/>
        <v>396.8</v>
      </c>
      <c r="BL275" s="13" t="s">
        <v>235</v>
      </c>
      <c r="BM275" s="129" t="s">
        <v>660</v>
      </c>
    </row>
    <row r="276" spans="2:65" s="1" customFormat="1" ht="16.5" customHeight="1" x14ac:dyDescent="0.2">
      <c r="B276" s="118"/>
      <c r="C276" s="119" t="s">
        <v>444</v>
      </c>
      <c r="D276" s="119" t="s">
        <v>231</v>
      </c>
      <c r="E276" s="120" t="s">
        <v>2792</v>
      </c>
      <c r="F276" s="121" t="s">
        <v>2793</v>
      </c>
      <c r="G276" s="122" t="s">
        <v>292</v>
      </c>
      <c r="H276" s="123">
        <v>600</v>
      </c>
      <c r="I276" s="124">
        <v>1.24</v>
      </c>
      <c r="J276" s="124">
        <f t="shared" si="60"/>
        <v>744</v>
      </c>
      <c r="K276" s="121" t="s">
        <v>1</v>
      </c>
      <c r="L276" s="24"/>
      <c r="M276" s="125" t="s">
        <v>1</v>
      </c>
      <c r="N276" s="126" t="s">
        <v>32</v>
      </c>
      <c r="O276" s="127">
        <v>0</v>
      </c>
      <c r="P276" s="127">
        <f t="shared" si="61"/>
        <v>0</v>
      </c>
      <c r="Q276" s="127">
        <v>0</v>
      </c>
      <c r="R276" s="127">
        <f t="shared" si="62"/>
        <v>0</v>
      </c>
      <c r="S276" s="127">
        <v>0</v>
      </c>
      <c r="T276" s="128">
        <f t="shared" si="63"/>
        <v>0</v>
      </c>
      <c r="AR276" s="129" t="s">
        <v>235</v>
      </c>
      <c r="AT276" s="129" t="s">
        <v>231</v>
      </c>
      <c r="AU276" s="129" t="s">
        <v>76</v>
      </c>
      <c r="AY276" s="13" t="s">
        <v>228</v>
      </c>
      <c r="BE276" s="130">
        <f t="shared" si="64"/>
        <v>0</v>
      </c>
      <c r="BF276" s="130">
        <f t="shared" si="65"/>
        <v>744</v>
      </c>
      <c r="BG276" s="130">
        <f t="shared" si="66"/>
        <v>0</v>
      </c>
      <c r="BH276" s="130">
        <f t="shared" si="67"/>
        <v>0</v>
      </c>
      <c r="BI276" s="130">
        <f t="shared" si="68"/>
        <v>0</v>
      </c>
      <c r="BJ276" s="13" t="s">
        <v>76</v>
      </c>
      <c r="BK276" s="130">
        <f t="shared" si="69"/>
        <v>744</v>
      </c>
      <c r="BL276" s="13" t="s">
        <v>235</v>
      </c>
      <c r="BM276" s="129" t="s">
        <v>663</v>
      </c>
    </row>
    <row r="277" spans="2:65" s="1" customFormat="1" ht="16.5" customHeight="1" x14ac:dyDescent="0.2">
      <c r="B277" s="118"/>
      <c r="C277" s="119" t="s">
        <v>664</v>
      </c>
      <c r="D277" s="119" t="s">
        <v>231</v>
      </c>
      <c r="E277" s="120" t="s">
        <v>2794</v>
      </c>
      <c r="F277" s="121" t="s">
        <v>2795</v>
      </c>
      <c r="G277" s="122" t="s">
        <v>292</v>
      </c>
      <c r="H277" s="123">
        <v>240</v>
      </c>
      <c r="I277" s="124">
        <v>1.24</v>
      </c>
      <c r="J277" s="124">
        <f t="shared" si="60"/>
        <v>297.60000000000002</v>
      </c>
      <c r="K277" s="121" t="s">
        <v>1</v>
      </c>
      <c r="L277" s="24"/>
      <c r="M277" s="125" t="s">
        <v>1</v>
      </c>
      <c r="N277" s="126" t="s">
        <v>32</v>
      </c>
      <c r="O277" s="127">
        <v>0</v>
      </c>
      <c r="P277" s="127">
        <f t="shared" si="61"/>
        <v>0</v>
      </c>
      <c r="Q277" s="127">
        <v>0</v>
      </c>
      <c r="R277" s="127">
        <f t="shared" si="62"/>
        <v>0</v>
      </c>
      <c r="S277" s="127">
        <v>0</v>
      </c>
      <c r="T277" s="128">
        <f t="shared" si="63"/>
        <v>0</v>
      </c>
      <c r="AR277" s="129" t="s">
        <v>235</v>
      </c>
      <c r="AT277" s="129" t="s">
        <v>231</v>
      </c>
      <c r="AU277" s="129" t="s">
        <v>76</v>
      </c>
      <c r="AY277" s="13" t="s">
        <v>228</v>
      </c>
      <c r="BE277" s="130">
        <f t="shared" si="64"/>
        <v>0</v>
      </c>
      <c r="BF277" s="130">
        <f t="shared" si="65"/>
        <v>297.60000000000002</v>
      </c>
      <c r="BG277" s="130">
        <f t="shared" si="66"/>
        <v>0</v>
      </c>
      <c r="BH277" s="130">
        <f t="shared" si="67"/>
        <v>0</v>
      </c>
      <c r="BI277" s="130">
        <f t="shared" si="68"/>
        <v>0</v>
      </c>
      <c r="BJ277" s="13" t="s">
        <v>76</v>
      </c>
      <c r="BK277" s="130">
        <f t="shared" si="69"/>
        <v>297.60000000000002</v>
      </c>
      <c r="BL277" s="13" t="s">
        <v>235</v>
      </c>
      <c r="BM277" s="129" t="s">
        <v>667</v>
      </c>
    </row>
    <row r="278" spans="2:65" s="1" customFormat="1" ht="16.5" customHeight="1" x14ac:dyDescent="0.2">
      <c r="B278" s="118"/>
      <c r="C278" s="119" t="s">
        <v>448</v>
      </c>
      <c r="D278" s="119" t="s">
        <v>231</v>
      </c>
      <c r="E278" s="120" t="s">
        <v>2796</v>
      </c>
      <c r="F278" s="121" t="s">
        <v>2797</v>
      </c>
      <c r="G278" s="122" t="s">
        <v>292</v>
      </c>
      <c r="H278" s="123">
        <v>240</v>
      </c>
      <c r="I278" s="124">
        <v>0.8</v>
      </c>
      <c r="J278" s="124">
        <f t="shared" si="60"/>
        <v>192</v>
      </c>
      <c r="K278" s="121" t="s">
        <v>1</v>
      </c>
      <c r="L278" s="24"/>
      <c r="M278" s="125" t="s">
        <v>1</v>
      </c>
      <c r="N278" s="126" t="s">
        <v>32</v>
      </c>
      <c r="O278" s="127">
        <v>0</v>
      </c>
      <c r="P278" s="127">
        <f t="shared" si="61"/>
        <v>0</v>
      </c>
      <c r="Q278" s="127">
        <v>0</v>
      </c>
      <c r="R278" s="127">
        <f t="shared" si="62"/>
        <v>0</v>
      </c>
      <c r="S278" s="127">
        <v>0</v>
      </c>
      <c r="T278" s="128">
        <f t="shared" si="63"/>
        <v>0</v>
      </c>
      <c r="AR278" s="129" t="s">
        <v>235</v>
      </c>
      <c r="AT278" s="129" t="s">
        <v>231</v>
      </c>
      <c r="AU278" s="129" t="s">
        <v>76</v>
      </c>
      <c r="AY278" s="13" t="s">
        <v>228</v>
      </c>
      <c r="BE278" s="130">
        <f t="shared" si="64"/>
        <v>0</v>
      </c>
      <c r="BF278" s="130">
        <f t="shared" si="65"/>
        <v>192</v>
      </c>
      <c r="BG278" s="130">
        <f t="shared" si="66"/>
        <v>0</v>
      </c>
      <c r="BH278" s="130">
        <f t="shared" si="67"/>
        <v>0</v>
      </c>
      <c r="BI278" s="130">
        <f t="shared" si="68"/>
        <v>0</v>
      </c>
      <c r="BJ278" s="13" t="s">
        <v>76</v>
      </c>
      <c r="BK278" s="130">
        <f t="shared" si="69"/>
        <v>192</v>
      </c>
      <c r="BL278" s="13" t="s">
        <v>235</v>
      </c>
      <c r="BM278" s="129" t="s">
        <v>670</v>
      </c>
    </row>
    <row r="279" spans="2:65" s="1" customFormat="1" ht="24" customHeight="1" x14ac:dyDescent="0.2">
      <c r="B279" s="118"/>
      <c r="C279" s="119" t="s">
        <v>671</v>
      </c>
      <c r="D279" s="119" t="s">
        <v>231</v>
      </c>
      <c r="E279" s="120" t="s">
        <v>2798</v>
      </c>
      <c r="F279" s="121" t="s">
        <v>2799</v>
      </c>
      <c r="G279" s="122" t="s">
        <v>292</v>
      </c>
      <c r="H279" s="123">
        <v>360</v>
      </c>
      <c r="I279" s="124">
        <v>0.8</v>
      </c>
      <c r="J279" s="124">
        <f t="shared" si="60"/>
        <v>288</v>
      </c>
      <c r="K279" s="121" t="s">
        <v>1</v>
      </c>
      <c r="L279" s="24"/>
      <c r="M279" s="125" t="s">
        <v>1</v>
      </c>
      <c r="N279" s="126" t="s">
        <v>32</v>
      </c>
      <c r="O279" s="127">
        <v>0</v>
      </c>
      <c r="P279" s="127">
        <f t="shared" si="61"/>
        <v>0</v>
      </c>
      <c r="Q279" s="127">
        <v>0</v>
      </c>
      <c r="R279" s="127">
        <f t="shared" si="62"/>
        <v>0</v>
      </c>
      <c r="S279" s="127">
        <v>0</v>
      </c>
      <c r="T279" s="128">
        <f t="shared" si="63"/>
        <v>0</v>
      </c>
      <c r="AR279" s="129" t="s">
        <v>235</v>
      </c>
      <c r="AT279" s="129" t="s">
        <v>231</v>
      </c>
      <c r="AU279" s="129" t="s">
        <v>76</v>
      </c>
      <c r="AY279" s="13" t="s">
        <v>228</v>
      </c>
      <c r="BE279" s="130">
        <f t="shared" si="64"/>
        <v>0</v>
      </c>
      <c r="BF279" s="130">
        <f t="shared" si="65"/>
        <v>288</v>
      </c>
      <c r="BG279" s="130">
        <f t="shared" si="66"/>
        <v>0</v>
      </c>
      <c r="BH279" s="130">
        <f t="shared" si="67"/>
        <v>0</v>
      </c>
      <c r="BI279" s="130">
        <f t="shared" si="68"/>
        <v>0</v>
      </c>
      <c r="BJ279" s="13" t="s">
        <v>76</v>
      </c>
      <c r="BK279" s="130">
        <f t="shared" si="69"/>
        <v>288</v>
      </c>
      <c r="BL279" s="13" t="s">
        <v>235</v>
      </c>
      <c r="BM279" s="129" t="s">
        <v>674</v>
      </c>
    </row>
    <row r="280" spans="2:65" s="1" customFormat="1" ht="24" customHeight="1" x14ac:dyDescent="0.2">
      <c r="B280" s="118"/>
      <c r="C280" s="119" t="s">
        <v>451</v>
      </c>
      <c r="D280" s="119" t="s">
        <v>231</v>
      </c>
      <c r="E280" s="120" t="s">
        <v>5049</v>
      </c>
      <c r="F280" s="121" t="s">
        <v>5050</v>
      </c>
      <c r="G280" s="122" t="s">
        <v>243</v>
      </c>
      <c r="H280" s="123">
        <v>20</v>
      </c>
      <c r="I280" s="124">
        <v>10.55</v>
      </c>
      <c r="J280" s="124">
        <f t="shared" si="60"/>
        <v>211</v>
      </c>
      <c r="K280" s="121" t="s">
        <v>1</v>
      </c>
      <c r="L280" s="24"/>
      <c r="M280" s="125" t="s">
        <v>1</v>
      </c>
      <c r="N280" s="126" t="s">
        <v>32</v>
      </c>
      <c r="O280" s="127">
        <v>0</v>
      </c>
      <c r="P280" s="127">
        <f t="shared" si="61"/>
        <v>0</v>
      </c>
      <c r="Q280" s="127">
        <v>0</v>
      </c>
      <c r="R280" s="127">
        <f t="shared" si="62"/>
        <v>0</v>
      </c>
      <c r="S280" s="127">
        <v>0</v>
      </c>
      <c r="T280" s="128">
        <f t="shared" si="63"/>
        <v>0</v>
      </c>
      <c r="AR280" s="129" t="s">
        <v>235</v>
      </c>
      <c r="AT280" s="129" t="s">
        <v>231</v>
      </c>
      <c r="AU280" s="129" t="s">
        <v>76</v>
      </c>
      <c r="AY280" s="13" t="s">
        <v>228</v>
      </c>
      <c r="BE280" s="130">
        <f t="shared" si="64"/>
        <v>0</v>
      </c>
      <c r="BF280" s="130">
        <f t="shared" si="65"/>
        <v>211</v>
      </c>
      <c r="BG280" s="130">
        <f t="shared" si="66"/>
        <v>0</v>
      </c>
      <c r="BH280" s="130">
        <f t="shared" si="67"/>
        <v>0</v>
      </c>
      <c r="BI280" s="130">
        <f t="shared" si="68"/>
        <v>0</v>
      </c>
      <c r="BJ280" s="13" t="s">
        <v>76</v>
      </c>
      <c r="BK280" s="130">
        <f t="shared" si="69"/>
        <v>211</v>
      </c>
      <c r="BL280" s="13" t="s">
        <v>235</v>
      </c>
      <c r="BM280" s="129" t="s">
        <v>677</v>
      </c>
    </row>
    <row r="281" spans="2:65" s="1" customFormat="1" ht="24" customHeight="1" x14ac:dyDescent="0.2">
      <c r="B281" s="118"/>
      <c r="C281" s="119" t="s">
        <v>678</v>
      </c>
      <c r="D281" s="119" t="s">
        <v>231</v>
      </c>
      <c r="E281" s="120" t="s">
        <v>4198</v>
      </c>
      <c r="F281" s="121" t="s">
        <v>2801</v>
      </c>
      <c r="G281" s="122" t="s">
        <v>243</v>
      </c>
      <c r="H281" s="123">
        <v>90</v>
      </c>
      <c r="I281" s="124">
        <v>6.4</v>
      </c>
      <c r="J281" s="124">
        <f t="shared" si="60"/>
        <v>576</v>
      </c>
      <c r="K281" s="121" t="s">
        <v>1</v>
      </c>
      <c r="L281" s="24"/>
      <c r="M281" s="125" t="s">
        <v>1</v>
      </c>
      <c r="N281" s="126" t="s">
        <v>32</v>
      </c>
      <c r="O281" s="127">
        <v>0</v>
      </c>
      <c r="P281" s="127">
        <f t="shared" si="61"/>
        <v>0</v>
      </c>
      <c r="Q281" s="127">
        <v>0</v>
      </c>
      <c r="R281" s="127">
        <f t="shared" si="62"/>
        <v>0</v>
      </c>
      <c r="S281" s="127">
        <v>0</v>
      </c>
      <c r="T281" s="128">
        <f t="shared" si="63"/>
        <v>0</v>
      </c>
      <c r="AR281" s="129" t="s">
        <v>235</v>
      </c>
      <c r="AT281" s="129" t="s">
        <v>231</v>
      </c>
      <c r="AU281" s="129" t="s">
        <v>76</v>
      </c>
      <c r="AY281" s="13" t="s">
        <v>228</v>
      </c>
      <c r="BE281" s="130">
        <f t="shared" si="64"/>
        <v>0</v>
      </c>
      <c r="BF281" s="130">
        <f t="shared" si="65"/>
        <v>576</v>
      </c>
      <c r="BG281" s="130">
        <f t="shared" si="66"/>
        <v>0</v>
      </c>
      <c r="BH281" s="130">
        <f t="shared" si="67"/>
        <v>0</v>
      </c>
      <c r="BI281" s="130">
        <f t="shared" si="68"/>
        <v>0</v>
      </c>
      <c r="BJ281" s="13" t="s">
        <v>76</v>
      </c>
      <c r="BK281" s="130">
        <f t="shared" si="69"/>
        <v>576</v>
      </c>
      <c r="BL281" s="13" t="s">
        <v>235</v>
      </c>
      <c r="BM281" s="129" t="s">
        <v>681</v>
      </c>
    </row>
    <row r="282" spans="2:65" s="1" customFormat="1" ht="24" customHeight="1" x14ac:dyDescent="0.2">
      <c r="B282" s="118"/>
      <c r="C282" s="119" t="s">
        <v>455</v>
      </c>
      <c r="D282" s="119" t="s">
        <v>231</v>
      </c>
      <c r="E282" s="120" t="s">
        <v>4199</v>
      </c>
      <c r="F282" s="121" t="s">
        <v>2803</v>
      </c>
      <c r="G282" s="122" t="s">
        <v>243</v>
      </c>
      <c r="H282" s="123">
        <v>40</v>
      </c>
      <c r="I282" s="124">
        <v>10.88</v>
      </c>
      <c r="J282" s="124">
        <f t="shared" si="60"/>
        <v>435.2</v>
      </c>
      <c r="K282" s="121" t="s">
        <v>1</v>
      </c>
      <c r="L282" s="24"/>
      <c r="M282" s="125" t="s">
        <v>1</v>
      </c>
      <c r="N282" s="126" t="s">
        <v>32</v>
      </c>
      <c r="O282" s="127">
        <v>0</v>
      </c>
      <c r="P282" s="127">
        <f t="shared" si="61"/>
        <v>0</v>
      </c>
      <c r="Q282" s="127">
        <v>0</v>
      </c>
      <c r="R282" s="127">
        <f t="shared" si="62"/>
        <v>0</v>
      </c>
      <c r="S282" s="127">
        <v>0</v>
      </c>
      <c r="T282" s="128">
        <f t="shared" si="63"/>
        <v>0</v>
      </c>
      <c r="AR282" s="129" t="s">
        <v>235</v>
      </c>
      <c r="AT282" s="129" t="s">
        <v>231</v>
      </c>
      <c r="AU282" s="129" t="s">
        <v>76</v>
      </c>
      <c r="AY282" s="13" t="s">
        <v>228</v>
      </c>
      <c r="BE282" s="130">
        <f t="shared" si="64"/>
        <v>0</v>
      </c>
      <c r="BF282" s="130">
        <f t="shared" si="65"/>
        <v>435.2</v>
      </c>
      <c r="BG282" s="130">
        <f t="shared" si="66"/>
        <v>0</v>
      </c>
      <c r="BH282" s="130">
        <f t="shared" si="67"/>
        <v>0</v>
      </c>
      <c r="BI282" s="130">
        <f t="shared" si="68"/>
        <v>0</v>
      </c>
      <c r="BJ282" s="13" t="s">
        <v>76</v>
      </c>
      <c r="BK282" s="130">
        <f t="shared" si="69"/>
        <v>435.2</v>
      </c>
      <c r="BL282" s="13" t="s">
        <v>235</v>
      </c>
      <c r="BM282" s="129" t="s">
        <v>684</v>
      </c>
    </row>
    <row r="283" spans="2:65" s="1" customFormat="1" ht="16.5" customHeight="1" x14ac:dyDescent="0.2">
      <c r="B283" s="118"/>
      <c r="C283" s="119" t="s">
        <v>685</v>
      </c>
      <c r="D283" s="119" t="s">
        <v>231</v>
      </c>
      <c r="E283" s="120" t="s">
        <v>4200</v>
      </c>
      <c r="F283" s="121" t="s">
        <v>2805</v>
      </c>
      <c r="G283" s="122" t="s">
        <v>243</v>
      </c>
      <c r="H283" s="123">
        <v>161</v>
      </c>
      <c r="I283" s="124">
        <v>1.07</v>
      </c>
      <c r="J283" s="124">
        <f t="shared" si="60"/>
        <v>172.27</v>
      </c>
      <c r="K283" s="121" t="s">
        <v>1</v>
      </c>
      <c r="L283" s="24"/>
      <c r="M283" s="125" t="s">
        <v>1</v>
      </c>
      <c r="N283" s="126" t="s">
        <v>32</v>
      </c>
      <c r="O283" s="127">
        <v>0</v>
      </c>
      <c r="P283" s="127">
        <f t="shared" si="61"/>
        <v>0</v>
      </c>
      <c r="Q283" s="127">
        <v>0</v>
      </c>
      <c r="R283" s="127">
        <f t="shared" si="62"/>
        <v>0</v>
      </c>
      <c r="S283" s="127">
        <v>0</v>
      </c>
      <c r="T283" s="128">
        <f t="shared" si="63"/>
        <v>0</v>
      </c>
      <c r="AR283" s="129" t="s">
        <v>235</v>
      </c>
      <c r="AT283" s="129" t="s">
        <v>231</v>
      </c>
      <c r="AU283" s="129" t="s">
        <v>76</v>
      </c>
      <c r="AY283" s="13" t="s">
        <v>228</v>
      </c>
      <c r="BE283" s="130">
        <f t="shared" si="64"/>
        <v>0</v>
      </c>
      <c r="BF283" s="130">
        <f t="shared" si="65"/>
        <v>172.27</v>
      </c>
      <c r="BG283" s="130">
        <f t="shared" si="66"/>
        <v>0</v>
      </c>
      <c r="BH283" s="130">
        <f t="shared" si="67"/>
        <v>0</v>
      </c>
      <c r="BI283" s="130">
        <f t="shared" si="68"/>
        <v>0</v>
      </c>
      <c r="BJ283" s="13" t="s">
        <v>76</v>
      </c>
      <c r="BK283" s="130">
        <f t="shared" si="69"/>
        <v>172.27</v>
      </c>
      <c r="BL283" s="13" t="s">
        <v>235</v>
      </c>
      <c r="BM283" s="129" t="s">
        <v>688</v>
      </c>
    </row>
    <row r="284" spans="2:65" s="1" customFormat="1" ht="16.5" customHeight="1" x14ac:dyDescent="0.2">
      <c r="B284" s="118"/>
      <c r="C284" s="119" t="s">
        <v>458</v>
      </c>
      <c r="D284" s="119" t="s">
        <v>231</v>
      </c>
      <c r="E284" s="120" t="s">
        <v>4201</v>
      </c>
      <c r="F284" s="121" t="s">
        <v>2807</v>
      </c>
      <c r="G284" s="122" t="s">
        <v>243</v>
      </c>
      <c r="H284" s="123">
        <v>31</v>
      </c>
      <c r="I284" s="124">
        <v>4.68</v>
      </c>
      <c r="J284" s="124">
        <f t="shared" si="60"/>
        <v>145.08000000000001</v>
      </c>
      <c r="K284" s="121" t="s">
        <v>1</v>
      </c>
      <c r="L284" s="24"/>
      <c r="M284" s="125" t="s">
        <v>1</v>
      </c>
      <c r="N284" s="126" t="s">
        <v>32</v>
      </c>
      <c r="O284" s="127">
        <v>0</v>
      </c>
      <c r="P284" s="127">
        <f t="shared" si="61"/>
        <v>0</v>
      </c>
      <c r="Q284" s="127">
        <v>0</v>
      </c>
      <c r="R284" s="127">
        <f t="shared" si="62"/>
        <v>0</v>
      </c>
      <c r="S284" s="127">
        <v>0</v>
      </c>
      <c r="T284" s="128">
        <f t="shared" si="63"/>
        <v>0</v>
      </c>
      <c r="AR284" s="129" t="s">
        <v>235</v>
      </c>
      <c r="AT284" s="129" t="s">
        <v>231</v>
      </c>
      <c r="AU284" s="129" t="s">
        <v>76</v>
      </c>
      <c r="AY284" s="13" t="s">
        <v>228</v>
      </c>
      <c r="BE284" s="130">
        <f t="shared" si="64"/>
        <v>0</v>
      </c>
      <c r="BF284" s="130">
        <f t="shared" si="65"/>
        <v>145.08000000000001</v>
      </c>
      <c r="BG284" s="130">
        <f t="shared" si="66"/>
        <v>0</v>
      </c>
      <c r="BH284" s="130">
        <f t="shared" si="67"/>
        <v>0</v>
      </c>
      <c r="BI284" s="130">
        <f t="shared" si="68"/>
        <v>0</v>
      </c>
      <c r="BJ284" s="13" t="s">
        <v>76</v>
      </c>
      <c r="BK284" s="130">
        <f t="shared" si="69"/>
        <v>145.08000000000001</v>
      </c>
      <c r="BL284" s="13" t="s">
        <v>235</v>
      </c>
      <c r="BM284" s="129" t="s">
        <v>691</v>
      </c>
    </row>
    <row r="285" spans="2:65" s="1" customFormat="1" ht="24" customHeight="1" x14ac:dyDescent="0.2">
      <c r="B285" s="118"/>
      <c r="C285" s="119" t="s">
        <v>692</v>
      </c>
      <c r="D285" s="119" t="s">
        <v>231</v>
      </c>
      <c r="E285" s="120" t="s">
        <v>2808</v>
      </c>
      <c r="F285" s="121" t="s">
        <v>2809</v>
      </c>
      <c r="G285" s="122" t="s">
        <v>292</v>
      </c>
      <c r="H285" s="123">
        <v>800</v>
      </c>
      <c r="I285" s="124">
        <v>8.7899999999999991</v>
      </c>
      <c r="J285" s="124">
        <f t="shared" si="60"/>
        <v>7032</v>
      </c>
      <c r="K285" s="121" t="s">
        <v>1</v>
      </c>
      <c r="L285" s="24"/>
      <c r="M285" s="125" t="s">
        <v>1</v>
      </c>
      <c r="N285" s="126" t="s">
        <v>32</v>
      </c>
      <c r="O285" s="127">
        <v>0</v>
      </c>
      <c r="P285" s="127">
        <f t="shared" si="61"/>
        <v>0</v>
      </c>
      <c r="Q285" s="127">
        <v>0</v>
      </c>
      <c r="R285" s="127">
        <f t="shared" si="62"/>
        <v>0</v>
      </c>
      <c r="S285" s="127">
        <v>0</v>
      </c>
      <c r="T285" s="128">
        <f t="shared" si="63"/>
        <v>0</v>
      </c>
      <c r="AR285" s="129" t="s">
        <v>235</v>
      </c>
      <c r="AT285" s="129" t="s">
        <v>231</v>
      </c>
      <c r="AU285" s="129" t="s">
        <v>76</v>
      </c>
      <c r="AY285" s="13" t="s">
        <v>228</v>
      </c>
      <c r="BE285" s="130">
        <f t="shared" si="64"/>
        <v>0</v>
      </c>
      <c r="BF285" s="130">
        <f t="shared" si="65"/>
        <v>7032</v>
      </c>
      <c r="BG285" s="130">
        <f t="shared" si="66"/>
        <v>0</v>
      </c>
      <c r="BH285" s="130">
        <f t="shared" si="67"/>
        <v>0</v>
      </c>
      <c r="BI285" s="130">
        <f t="shared" si="68"/>
        <v>0</v>
      </c>
      <c r="BJ285" s="13" t="s">
        <v>76</v>
      </c>
      <c r="BK285" s="130">
        <f t="shared" si="69"/>
        <v>7032</v>
      </c>
      <c r="BL285" s="13" t="s">
        <v>235</v>
      </c>
      <c r="BM285" s="129" t="s">
        <v>695</v>
      </c>
    </row>
    <row r="286" spans="2:65" s="1" customFormat="1" ht="24" customHeight="1" x14ac:dyDescent="0.2">
      <c r="B286" s="118"/>
      <c r="C286" s="119" t="s">
        <v>462</v>
      </c>
      <c r="D286" s="119" t="s">
        <v>231</v>
      </c>
      <c r="E286" s="120" t="s">
        <v>2810</v>
      </c>
      <c r="F286" s="121" t="s">
        <v>2811</v>
      </c>
      <c r="G286" s="122" t="s">
        <v>292</v>
      </c>
      <c r="H286" s="123">
        <v>100</v>
      </c>
      <c r="I286" s="124">
        <v>7.92</v>
      </c>
      <c r="J286" s="124">
        <f t="shared" si="60"/>
        <v>792</v>
      </c>
      <c r="K286" s="121" t="s">
        <v>1</v>
      </c>
      <c r="L286" s="24"/>
      <c r="M286" s="125" t="s">
        <v>1</v>
      </c>
      <c r="N286" s="126" t="s">
        <v>32</v>
      </c>
      <c r="O286" s="127">
        <v>0</v>
      </c>
      <c r="P286" s="127">
        <f t="shared" si="61"/>
        <v>0</v>
      </c>
      <c r="Q286" s="127">
        <v>0</v>
      </c>
      <c r="R286" s="127">
        <f t="shared" si="62"/>
        <v>0</v>
      </c>
      <c r="S286" s="127">
        <v>0</v>
      </c>
      <c r="T286" s="128">
        <f t="shared" si="63"/>
        <v>0</v>
      </c>
      <c r="AR286" s="129" t="s">
        <v>235</v>
      </c>
      <c r="AT286" s="129" t="s">
        <v>231</v>
      </c>
      <c r="AU286" s="129" t="s">
        <v>76</v>
      </c>
      <c r="AY286" s="13" t="s">
        <v>228</v>
      </c>
      <c r="BE286" s="130">
        <f t="shared" si="64"/>
        <v>0</v>
      </c>
      <c r="BF286" s="130">
        <f t="shared" si="65"/>
        <v>792</v>
      </c>
      <c r="BG286" s="130">
        <f t="shared" si="66"/>
        <v>0</v>
      </c>
      <c r="BH286" s="130">
        <f t="shared" si="67"/>
        <v>0</v>
      </c>
      <c r="BI286" s="130">
        <f t="shared" si="68"/>
        <v>0</v>
      </c>
      <c r="BJ286" s="13" t="s">
        <v>76</v>
      </c>
      <c r="BK286" s="130">
        <f t="shared" si="69"/>
        <v>792</v>
      </c>
      <c r="BL286" s="13" t="s">
        <v>235</v>
      </c>
      <c r="BM286" s="129" t="s">
        <v>698</v>
      </c>
    </row>
    <row r="287" spans="2:65" s="1" customFormat="1" ht="24" customHeight="1" x14ac:dyDescent="0.2">
      <c r="B287" s="118"/>
      <c r="C287" s="119" t="s">
        <v>699</v>
      </c>
      <c r="D287" s="119" t="s">
        <v>231</v>
      </c>
      <c r="E287" s="120" t="s">
        <v>2812</v>
      </c>
      <c r="F287" s="121" t="s">
        <v>2813</v>
      </c>
      <c r="G287" s="122" t="s">
        <v>292</v>
      </c>
      <c r="H287" s="123">
        <v>100</v>
      </c>
      <c r="I287" s="124">
        <v>7.92</v>
      </c>
      <c r="J287" s="124">
        <f t="shared" si="60"/>
        <v>792</v>
      </c>
      <c r="K287" s="121" t="s">
        <v>1</v>
      </c>
      <c r="L287" s="24"/>
      <c r="M287" s="125" t="s">
        <v>1</v>
      </c>
      <c r="N287" s="126" t="s">
        <v>32</v>
      </c>
      <c r="O287" s="127">
        <v>0</v>
      </c>
      <c r="P287" s="127">
        <f t="shared" si="61"/>
        <v>0</v>
      </c>
      <c r="Q287" s="127">
        <v>0</v>
      </c>
      <c r="R287" s="127">
        <f t="shared" si="62"/>
        <v>0</v>
      </c>
      <c r="S287" s="127">
        <v>0</v>
      </c>
      <c r="T287" s="128">
        <f t="shared" si="63"/>
        <v>0</v>
      </c>
      <c r="AR287" s="129" t="s">
        <v>235</v>
      </c>
      <c r="AT287" s="129" t="s">
        <v>231</v>
      </c>
      <c r="AU287" s="129" t="s">
        <v>76</v>
      </c>
      <c r="AY287" s="13" t="s">
        <v>228</v>
      </c>
      <c r="BE287" s="130">
        <f t="shared" si="64"/>
        <v>0</v>
      </c>
      <c r="BF287" s="130">
        <f t="shared" si="65"/>
        <v>792</v>
      </c>
      <c r="BG287" s="130">
        <f t="shared" si="66"/>
        <v>0</v>
      </c>
      <c r="BH287" s="130">
        <f t="shared" si="67"/>
        <v>0</v>
      </c>
      <c r="BI287" s="130">
        <f t="shared" si="68"/>
        <v>0</v>
      </c>
      <c r="BJ287" s="13" t="s">
        <v>76</v>
      </c>
      <c r="BK287" s="130">
        <f t="shared" si="69"/>
        <v>792</v>
      </c>
      <c r="BL287" s="13" t="s">
        <v>235</v>
      </c>
      <c r="BM287" s="129" t="s">
        <v>702</v>
      </c>
    </row>
    <row r="288" spans="2:65" s="1" customFormat="1" ht="24" customHeight="1" x14ac:dyDescent="0.2">
      <c r="B288" s="118"/>
      <c r="C288" s="119" t="s">
        <v>465</v>
      </c>
      <c r="D288" s="119" t="s">
        <v>231</v>
      </c>
      <c r="E288" s="120" t="s">
        <v>2814</v>
      </c>
      <c r="F288" s="121" t="s">
        <v>2815</v>
      </c>
      <c r="G288" s="122" t="s">
        <v>292</v>
      </c>
      <c r="H288" s="123">
        <v>117</v>
      </c>
      <c r="I288" s="124">
        <v>1.21</v>
      </c>
      <c r="J288" s="124">
        <f t="shared" si="60"/>
        <v>141.57</v>
      </c>
      <c r="K288" s="121" t="s">
        <v>1</v>
      </c>
      <c r="L288" s="24"/>
      <c r="M288" s="125" t="s">
        <v>1</v>
      </c>
      <c r="N288" s="126" t="s">
        <v>32</v>
      </c>
      <c r="O288" s="127">
        <v>0</v>
      </c>
      <c r="P288" s="127">
        <f t="shared" si="61"/>
        <v>0</v>
      </c>
      <c r="Q288" s="127">
        <v>0</v>
      </c>
      <c r="R288" s="127">
        <f t="shared" si="62"/>
        <v>0</v>
      </c>
      <c r="S288" s="127">
        <v>0</v>
      </c>
      <c r="T288" s="128">
        <f t="shared" si="63"/>
        <v>0</v>
      </c>
      <c r="AR288" s="129" t="s">
        <v>235</v>
      </c>
      <c r="AT288" s="129" t="s">
        <v>231</v>
      </c>
      <c r="AU288" s="129" t="s">
        <v>76</v>
      </c>
      <c r="AY288" s="13" t="s">
        <v>228</v>
      </c>
      <c r="BE288" s="130">
        <f t="shared" si="64"/>
        <v>0</v>
      </c>
      <c r="BF288" s="130">
        <f t="shared" si="65"/>
        <v>141.57</v>
      </c>
      <c r="BG288" s="130">
        <f t="shared" si="66"/>
        <v>0</v>
      </c>
      <c r="BH288" s="130">
        <f t="shared" si="67"/>
        <v>0</v>
      </c>
      <c r="BI288" s="130">
        <f t="shared" si="68"/>
        <v>0</v>
      </c>
      <c r="BJ288" s="13" t="s">
        <v>76</v>
      </c>
      <c r="BK288" s="130">
        <f t="shared" si="69"/>
        <v>141.57</v>
      </c>
      <c r="BL288" s="13" t="s">
        <v>235</v>
      </c>
      <c r="BM288" s="129" t="s">
        <v>705</v>
      </c>
    </row>
    <row r="289" spans="2:65" s="1" customFormat="1" ht="24" customHeight="1" x14ac:dyDescent="0.2">
      <c r="B289" s="118"/>
      <c r="C289" s="119" t="s">
        <v>706</v>
      </c>
      <c r="D289" s="119" t="s">
        <v>231</v>
      </c>
      <c r="E289" s="120" t="s">
        <v>2816</v>
      </c>
      <c r="F289" s="121" t="s">
        <v>2817</v>
      </c>
      <c r="G289" s="122" t="s">
        <v>292</v>
      </c>
      <c r="H289" s="123">
        <v>39</v>
      </c>
      <c r="I289" s="124">
        <v>1.21</v>
      </c>
      <c r="J289" s="124">
        <f t="shared" si="60"/>
        <v>47.19</v>
      </c>
      <c r="K289" s="121" t="s">
        <v>1</v>
      </c>
      <c r="L289" s="24"/>
      <c r="M289" s="125" t="s">
        <v>1</v>
      </c>
      <c r="N289" s="126" t="s">
        <v>32</v>
      </c>
      <c r="O289" s="127">
        <v>0</v>
      </c>
      <c r="P289" s="127">
        <f t="shared" si="61"/>
        <v>0</v>
      </c>
      <c r="Q289" s="127">
        <v>0</v>
      </c>
      <c r="R289" s="127">
        <f t="shared" si="62"/>
        <v>0</v>
      </c>
      <c r="S289" s="127">
        <v>0</v>
      </c>
      <c r="T289" s="128">
        <f t="shared" si="63"/>
        <v>0</v>
      </c>
      <c r="AR289" s="129" t="s">
        <v>235</v>
      </c>
      <c r="AT289" s="129" t="s">
        <v>231</v>
      </c>
      <c r="AU289" s="129" t="s">
        <v>76</v>
      </c>
      <c r="AY289" s="13" t="s">
        <v>228</v>
      </c>
      <c r="BE289" s="130">
        <f t="shared" si="64"/>
        <v>0</v>
      </c>
      <c r="BF289" s="130">
        <f t="shared" si="65"/>
        <v>47.19</v>
      </c>
      <c r="BG289" s="130">
        <f t="shared" si="66"/>
        <v>0</v>
      </c>
      <c r="BH289" s="130">
        <f t="shared" si="67"/>
        <v>0</v>
      </c>
      <c r="BI289" s="130">
        <f t="shared" si="68"/>
        <v>0</v>
      </c>
      <c r="BJ289" s="13" t="s">
        <v>76</v>
      </c>
      <c r="BK289" s="130">
        <f t="shared" si="69"/>
        <v>47.19</v>
      </c>
      <c r="BL289" s="13" t="s">
        <v>235</v>
      </c>
      <c r="BM289" s="129" t="s">
        <v>709</v>
      </c>
    </row>
    <row r="290" spans="2:65" s="1" customFormat="1" ht="24" customHeight="1" x14ac:dyDescent="0.2">
      <c r="B290" s="118"/>
      <c r="C290" s="119" t="s">
        <v>469</v>
      </c>
      <c r="D290" s="119" t="s">
        <v>231</v>
      </c>
      <c r="E290" s="120" t="s">
        <v>2818</v>
      </c>
      <c r="F290" s="121" t="s">
        <v>2819</v>
      </c>
      <c r="G290" s="122" t="s">
        <v>292</v>
      </c>
      <c r="H290" s="123">
        <v>400</v>
      </c>
      <c r="I290" s="124">
        <v>1.68</v>
      </c>
      <c r="J290" s="124">
        <f t="shared" si="60"/>
        <v>672</v>
      </c>
      <c r="K290" s="121" t="s">
        <v>1</v>
      </c>
      <c r="L290" s="24"/>
      <c r="M290" s="125" t="s">
        <v>1</v>
      </c>
      <c r="N290" s="126" t="s">
        <v>32</v>
      </c>
      <c r="O290" s="127">
        <v>0</v>
      </c>
      <c r="P290" s="127">
        <f t="shared" si="61"/>
        <v>0</v>
      </c>
      <c r="Q290" s="127">
        <v>0</v>
      </c>
      <c r="R290" s="127">
        <f t="shared" si="62"/>
        <v>0</v>
      </c>
      <c r="S290" s="127">
        <v>0</v>
      </c>
      <c r="T290" s="128">
        <f t="shared" si="63"/>
        <v>0</v>
      </c>
      <c r="AR290" s="129" t="s">
        <v>235</v>
      </c>
      <c r="AT290" s="129" t="s">
        <v>231</v>
      </c>
      <c r="AU290" s="129" t="s">
        <v>76</v>
      </c>
      <c r="AY290" s="13" t="s">
        <v>228</v>
      </c>
      <c r="BE290" s="130">
        <f t="shared" si="64"/>
        <v>0</v>
      </c>
      <c r="BF290" s="130">
        <f t="shared" si="65"/>
        <v>672</v>
      </c>
      <c r="BG290" s="130">
        <f t="shared" si="66"/>
        <v>0</v>
      </c>
      <c r="BH290" s="130">
        <f t="shared" si="67"/>
        <v>0</v>
      </c>
      <c r="BI290" s="130">
        <f t="shared" si="68"/>
        <v>0</v>
      </c>
      <c r="BJ290" s="13" t="s">
        <v>76</v>
      </c>
      <c r="BK290" s="130">
        <f t="shared" si="69"/>
        <v>672</v>
      </c>
      <c r="BL290" s="13" t="s">
        <v>235</v>
      </c>
      <c r="BM290" s="129" t="s">
        <v>712</v>
      </c>
    </row>
    <row r="291" spans="2:65" s="1" customFormat="1" ht="24" customHeight="1" x14ac:dyDescent="0.2">
      <c r="B291" s="118"/>
      <c r="C291" s="119" t="s">
        <v>713</v>
      </c>
      <c r="D291" s="119" t="s">
        <v>231</v>
      </c>
      <c r="E291" s="120" t="s">
        <v>2820</v>
      </c>
      <c r="F291" s="121" t="s">
        <v>2821</v>
      </c>
      <c r="G291" s="122" t="s">
        <v>292</v>
      </c>
      <c r="H291" s="123">
        <v>20</v>
      </c>
      <c r="I291" s="124">
        <v>5.12</v>
      </c>
      <c r="J291" s="124">
        <f t="shared" si="60"/>
        <v>102.4</v>
      </c>
      <c r="K291" s="121" t="s">
        <v>1</v>
      </c>
      <c r="L291" s="24"/>
      <c r="M291" s="125" t="s">
        <v>1</v>
      </c>
      <c r="N291" s="126" t="s">
        <v>32</v>
      </c>
      <c r="O291" s="127">
        <v>0</v>
      </c>
      <c r="P291" s="127">
        <f t="shared" si="61"/>
        <v>0</v>
      </c>
      <c r="Q291" s="127">
        <v>0</v>
      </c>
      <c r="R291" s="127">
        <f t="shared" si="62"/>
        <v>0</v>
      </c>
      <c r="S291" s="127">
        <v>0</v>
      </c>
      <c r="T291" s="128">
        <f t="shared" si="63"/>
        <v>0</v>
      </c>
      <c r="AR291" s="129" t="s">
        <v>235</v>
      </c>
      <c r="AT291" s="129" t="s">
        <v>231</v>
      </c>
      <c r="AU291" s="129" t="s">
        <v>76</v>
      </c>
      <c r="AY291" s="13" t="s">
        <v>228</v>
      </c>
      <c r="BE291" s="130">
        <f t="shared" si="64"/>
        <v>0</v>
      </c>
      <c r="BF291" s="130">
        <f t="shared" si="65"/>
        <v>102.4</v>
      </c>
      <c r="BG291" s="130">
        <f t="shared" si="66"/>
        <v>0</v>
      </c>
      <c r="BH291" s="130">
        <f t="shared" si="67"/>
        <v>0</v>
      </c>
      <c r="BI291" s="130">
        <f t="shared" si="68"/>
        <v>0</v>
      </c>
      <c r="BJ291" s="13" t="s">
        <v>76</v>
      </c>
      <c r="BK291" s="130">
        <f t="shared" si="69"/>
        <v>102.4</v>
      </c>
      <c r="BL291" s="13" t="s">
        <v>235</v>
      </c>
      <c r="BM291" s="129" t="s">
        <v>716</v>
      </c>
    </row>
    <row r="292" spans="2:65" s="1" customFormat="1" ht="24" customHeight="1" x14ac:dyDescent="0.2">
      <c r="B292" s="118"/>
      <c r="C292" s="119" t="s">
        <v>472</v>
      </c>
      <c r="D292" s="119" t="s">
        <v>231</v>
      </c>
      <c r="E292" s="120" t="s">
        <v>4202</v>
      </c>
      <c r="F292" s="121" t="s">
        <v>2823</v>
      </c>
      <c r="G292" s="122" t="s">
        <v>243</v>
      </c>
      <c r="H292" s="123">
        <v>10</v>
      </c>
      <c r="I292" s="124">
        <v>3.45</v>
      </c>
      <c r="J292" s="124">
        <f t="shared" si="60"/>
        <v>34.5</v>
      </c>
      <c r="K292" s="121" t="s">
        <v>1</v>
      </c>
      <c r="L292" s="24"/>
      <c r="M292" s="125" t="s">
        <v>1</v>
      </c>
      <c r="N292" s="126" t="s">
        <v>32</v>
      </c>
      <c r="O292" s="127">
        <v>0</v>
      </c>
      <c r="P292" s="127">
        <f t="shared" si="61"/>
        <v>0</v>
      </c>
      <c r="Q292" s="127">
        <v>0</v>
      </c>
      <c r="R292" s="127">
        <f t="shared" si="62"/>
        <v>0</v>
      </c>
      <c r="S292" s="127">
        <v>0</v>
      </c>
      <c r="T292" s="128">
        <f t="shared" si="63"/>
        <v>0</v>
      </c>
      <c r="AR292" s="129" t="s">
        <v>235</v>
      </c>
      <c r="AT292" s="129" t="s">
        <v>231</v>
      </c>
      <c r="AU292" s="129" t="s">
        <v>76</v>
      </c>
      <c r="AY292" s="13" t="s">
        <v>228</v>
      </c>
      <c r="BE292" s="130">
        <f t="shared" si="64"/>
        <v>0</v>
      </c>
      <c r="BF292" s="130">
        <f t="shared" si="65"/>
        <v>34.5</v>
      </c>
      <c r="BG292" s="130">
        <f t="shared" si="66"/>
        <v>0</v>
      </c>
      <c r="BH292" s="130">
        <f t="shared" si="67"/>
        <v>0</v>
      </c>
      <c r="BI292" s="130">
        <f t="shared" si="68"/>
        <v>0</v>
      </c>
      <c r="BJ292" s="13" t="s">
        <v>76</v>
      </c>
      <c r="BK292" s="130">
        <f t="shared" si="69"/>
        <v>34.5</v>
      </c>
      <c r="BL292" s="13" t="s">
        <v>235</v>
      </c>
      <c r="BM292" s="129" t="s">
        <v>721</v>
      </c>
    </row>
    <row r="293" spans="2:65" s="1" customFormat="1" ht="24" customHeight="1" x14ac:dyDescent="0.2">
      <c r="B293" s="118"/>
      <c r="C293" s="119" t="s">
        <v>722</v>
      </c>
      <c r="D293" s="119" t="s">
        <v>231</v>
      </c>
      <c r="E293" s="120" t="s">
        <v>4203</v>
      </c>
      <c r="F293" s="121" t="s">
        <v>2825</v>
      </c>
      <c r="G293" s="122" t="s">
        <v>243</v>
      </c>
      <c r="H293" s="123">
        <v>10</v>
      </c>
      <c r="I293" s="124">
        <v>3.45</v>
      </c>
      <c r="J293" s="124">
        <f t="shared" si="60"/>
        <v>34.5</v>
      </c>
      <c r="K293" s="121" t="s">
        <v>1</v>
      </c>
      <c r="L293" s="24"/>
      <c r="M293" s="125" t="s">
        <v>1</v>
      </c>
      <c r="N293" s="126" t="s">
        <v>32</v>
      </c>
      <c r="O293" s="127">
        <v>0</v>
      </c>
      <c r="P293" s="127">
        <f t="shared" si="61"/>
        <v>0</v>
      </c>
      <c r="Q293" s="127">
        <v>0</v>
      </c>
      <c r="R293" s="127">
        <f t="shared" si="62"/>
        <v>0</v>
      </c>
      <c r="S293" s="127">
        <v>0</v>
      </c>
      <c r="T293" s="128">
        <f t="shared" si="63"/>
        <v>0</v>
      </c>
      <c r="AR293" s="129" t="s">
        <v>235</v>
      </c>
      <c r="AT293" s="129" t="s">
        <v>231</v>
      </c>
      <c r="AU293" s="129" t="s">
        <v>76</v>
      </c>
      <c r="AY293" s="13" t="s">
        <v>228</v>
      </c>
      <c r="BE293" s="130">
        <f t="shared" si="64"/>
        <v>0</v>
      </c>
      <c r="BF293" s="130">
        <f t="shared" si="65"/>
        <v>34.5</v>
      </c>
      <c r="BG293" s="130">
        <f t="shared" si="66"/>
        <v>0</v>
      </c>
      <c r="BH293" s="130">
        <f t="shared" si="67"/>
        <v>0</v>
      </c>
      <c r="BI293" s="130">
        <f t="shared" si="68"/>
        <v>0</v>
      </c>
      <c r="BJ293" s="13" t="s">
        <v>76</v>
      </c>
      <c r="BK293" s="130">
        <f t="shared" si="69"/>
        <v>34.5</v>
      </c>
      <c r="BL293" s="13" t="s">
        <v>235</v>
      </c>
      <c r="BM293" s="129" t="s">
        <v>725</v>
      </c>
    </row>
    <row r="294" spans="2:65" s="1" customFormat="1" ht="24" customHeight="1" x14ac:dyDescent="0.2">
      <c r="B294" s="118"/>
      <c r="C294" s="119" t="s">
        <v>476</v>
      </c>
      <c r="D294" s="119" t="s">
        <v>231</v>
      </c>
      <c r="E294" s="120" t="s">
        <v>2826</v>
      </c>
      <c r="F294" s="121" t="s">
        <v>2827</v>
      </c>
      <c r="G294" s="122" t="s">
        <v>284</v>
      </c>
      <c r="H294" s="123">
        <v>1.6</v>
      </c>
      <c r="I294" s="124">
        <v>226.98</v>
      </c>
      <c r="J294" s="124">
        <f t="shared" si="60"/>
        <v>363.17</v>
      </c>
      <c r="K294" s="121" t="s">
        <v>1</v>
      </c>
      <c r="L294" s="24"/>
      <c r="M294" s="125" t="s">
        <v>1</v>
      </c>
      <c r="N294" s="126" t="s">
        <v>32</v>
      </c>
      <c r="O294" s="127">
        <v>0</v>
      </c>
      <c r="P294" s="127">
        <f t="shared" si="61"/>
        <v>0</v>
      </c>
      <c r="Q294" s="127">
        <v>0</v>
      </c>
      <c r="R294" s="127">
        <f t="shared" si="62"/>
        <v>0</v>
      </c>
      <c r="S294" s="127">
        <v>0</v>
      </c>
      <c r="T294" s="128">
        <f t="shared" si="63"/>
        <v>0</v>
      </c>
      <c r="AR294" s="129" t="s">
        <v>235</v>
      </c>
      <c r="AT294" s="129" t="s">
        <v>231</v>
      </c>
      <c r="AU294" s="129" t="s">
        <v>76</v>
      </c>
      <c r="AY294" s="13" t="s">
        <v>228</v>
      </c>
      <c r="BE294" s="130">
        <f t="shared" si="64"/>
        <v>0</v>
      </c>
      <c r="BF294" s="130">
        <f t="shared" si="65"/>
        <v>363.17</v>
      </c>
      <c r="BG294" s="130">
        <f t="shared" si="66"/>
        <v>0</v>
      </c>
      <c r="BH294" s="130">
        <f t="shared" si="67"/>
        <v>0</v>
      </c>
      <c r="BI294" s="130">
        <f t="shared" si="68"/>
        <v>0</v>
      </c>
      <c r="BJ294" s="13" t="s">
        <v>76</v>
      </c>
      <c r="BK294" s="130">
        <f t="shared" si="69"/>
        <v>363.17</v>
      </c>
      <c r="BL294" s="13" t="s">
        <v>235</v>
      </c>
      <c r="BM294" s="129" t="s">
        <v>728</v>
      </c>
    </row>
    <row r="295" spans="2:65" s="1" customFormat="1" ht="16.5" customHeight="1" x14ac:dyDescent="0.2">
      <c r="B295" s="118"/>
      <c r="C295" s="119" t="s">
        <v>729</v>
      </c>
      <c r="D295" s="119" t="s">
        <v>231</v>
      </c>
      <c r="E295" s="120" t="s">
        <v>5051</v>
      </c>
      <c r="F295" s="121" t="s">
        <v>5052</v>
      </c>
      <c r="G295" s="122" t="s">
        <v>284</v>
      </c>
      <c r="H295" s="123">
        <v>5</v>
      </c>
      <c r="I295" s="124">
        <v>66.760000000000005</v>
      </c>
      <c r="J295" s="124">
        <f t="shared" si="60"/>
        <v>333.8</v>
      </c>
      <c r="K295" s="121" t="s">
        <v>1</v>
      </c>
      <c r="L295" s="24"/>
      <c r="M295" s="125" t="s">
        <v>1</v>
      </c>
      <c r="N295" s="126" t="s">
        <v>32</v>
      </c>
      <c r="O295" s="127">
        <v>0</v>
      </c>
      <c r="P295" s="127">
        <f t="shared" si="61"/>
        <v>0</v>
      </c>
      <c r="Q295" s="127">
        <v>0</v>
      </c>
      <c r="R295" s="127">
        <f t="shared" si="62"/>
        <v>0</v>
      </c>
      <c r="S295" s="127">
        <v>0</v>
      </c>
      <c r="T295" s="128">
        <f t="shared" si="63"/>
        <v>0</v>
      </c>
      <c r="AR295" s="129" t="s">
        <v>235</v>
      </c>
      <c r="AT295" s="129" t="s">
        <v>231</v>
      </c>
      <c r="AU295" s="129" t="s">
        <v>76</v>
      </c>
      <c r="AY295" s="13" t="s">
        <v>228</v>
      </c>
      <c r="BE295" s="130">
        <f t="shared" si="64"/>
        <v>0</v>
      </c>
      <c r="BF295" s="130">
        <f t="shared" si="65"/>
        <v>333.8</v>
      </c>
      <c r="BG295" s="130">
        <f t="shared" si="66"/>
        <v>0</v>
      </c>
      <c r="BH295" s="130">
        <f t="shared" si="67"/>
        <v>0</v>
      </c>
      <c r="BI295" s="130">
        <f t="shared" si="68"/>
        <v>0</v>
      </c>
      <c r="BJ295" s="13" t="s">
        <v>76</v>
      </c>
      <c r="BK295" s="130">
        <f t="shared" si="69"/>
        <v>333.8</v>
      </c>
      <c r="BL295" s="13" t="s">
        <v>235</v>
      </c>
      <c r="BM295" s="129" t="s">
        <v>732</v>
      </c>
    </row>
    <row r="296" spans="2:65" s="1" customFormat="1" ht="24" customHeight="1" x14ac:dyDescent="0.2">
      <c r="B296" s="118"/>
      <c r="C296" s="119" t="s">
        <v>479</v>
      </c>
      <c r="D296" s="119" t="s">
        <v>231</v>
      </c>
      <c r="E296" s="120" t="s">
        <v>2830</v>
      </c>
      <c r="F296" s="121" t="s">
        <v>2831</v>
      </c>
      <c r="G296" s="122" t="s">
        <v>1035</v>
      </c>
      <c r="H296" s="123">
        <v>400</v>
      </c>
      <c r="I296" s="124">
        <v>2.0099999999999998</v>
      </c>
      <c r="J296" s="124">
        <f t="shared" si="60"/>
        <v>804</v>
      </c>
      <c r="K296" s="121" t="s">
        <v>1</v>
      </c>
      <c r="L296" s="24"/>
      <c r="M296" s="125" t="s">
        <v>1</v>
      </c>
      <c r="N296" s="126" t="s">
        <v>32</v>
      </c>
      <c r="O296" s="127">
        <v>0</v>
      </c>
      <c r="P296" s="127">
        <f t="shared" si="61"/>
        <v>0</v>
      </c>
      <c r="Q296" s="127">
        <v>0</v>
      </c>
      <c r="R296" s="127">
        <f t="shared" si="62"/>
        <v>0</v>
      </c>
      <c r="S296" s="127">
        <v>0</v>
      </c>
      <c r="T296" s="128">
        <f t="shared" si="63"/>
        <v>0</v>
      </c>
      <c r="AR296" s="129" t="s">
        <v>235</v>
      </c>
      <c r="AT296" s="129" t="s">
        <v>231</v>
      </c>
      <c r="AU296" s="129" t="s">
        <v>76</v>
      </c>
      <c r="AY296" s="13" t="s">
        <v>228</v>
      </c>
      <c r="BE296" s="130">
        <f t="shared" si="64"/>
        <v>0</v>
      </c>
      <c r="BF296" s="130">
        <f t="shared" si="65"/>
        <v>804</v>
      </c>
      <c r="BG296" s="130">
        <f t="shared" si="66"/>
        <v>0</v>
      </c>
      <c r="BH296" s="130">
        <f t="shared" si="67"/>
        <v>0</v>
      </c>
      <c r="BI296" s="130">
        <f t="shared" si="68"/>
        <v>0</v>
      </c>
      <c r="BJ296" s="13" t="s">
        <v>76</v>
      </c>
      <c r="BK296" s="130">
        <f t="shared" si="69"/>
        <v>804</v>
      </c>
      <c r="BL296" s="13" t="s">
        <v>235</v>
      </c>
      <c r="BM296" s="129" t="s">
        <v>735</v>
      </c>
    </row>
    <row r="297" spans="2:65" s="1" customFormat="1" ht="16.5" customHeight="1" x14ac:dyDescent="0.2">
      <c r="B297" s="118"/>
      <c r="C297" s="119" t="s">
        <v>736</v>
      </c>
      <c r="D297" s="119" t="s">
        <v>231</v>
      </c>
      <c r="E297" s="120" t="s">
        <v>2832</v>
      </c>
      <c r="F297" s="121" t="s">
        <v>2833</v>
      </c>
      <c r="G297" s="122" t="s">
        <v>1112</v>
      </c>
      <c r="H297" s="123">
        <v>80</v>
      </c>
      <c r="I297" s="124">
        <v>16.02</v>
      </c>
      <c r="J297" s="124">
        <f t="shared" si="60"/>
        <v>1281.5999999999999</v>
      </c>
      <c r="K297" s="121" t="s">
        <v>1</v>
      </c>
      <c r="L297" s="24"/>
      <c r="M297" s="125" t="s">
        <v>1</v>
      </c>
      <c r="N297" s="126" t="s">
        <v>32</v>
      </c>
      <c r="O297" s="127">
        <v>0</v>
      </c>
      <c r="P297" s="127">
        <f t="shared" si="61"/>
        <v>0</v>
      </c>
      <c r="Q297" s="127">
        <v>0</v>
      </c>
      <c r="R297" s="127">
        <f t="shared" si="62"/>
        <v>0</v>
      </c>
      <c r="S297" s="127">
        <v>0</v>
      </c>
      <c r="T297" s="128">
        <f t="shared" si="63"/>
        <v>0</v>
      </c>
      <c r="AR297" s="129" t="s">
        <v>235</v>
      </c>
      <c r="AT297" s="129" t="s">
        <v>231</v>
      </c>
      <c r="AU297" s="129" t="s">
        <v>76</v>
      </c>
      <c r="AY297" s="13" t="s">
        <v>228</v>
      </c>
      <c r="BE297" s="130">
        <f t="shared" si="64"/>
        <v>0</v>
      </c>
      <c r="BF297" s="130">
        <f t="shared" si="65"/>
        <v>1281.5999999999999</v>
      </c>
      <c r="BG297" s="130">
        <f t="shared" si="66"/>
        <v>0</v>
      </c>
      <c r="BH297" s="130">
        <f t="shared" si="67"/>
        <v>0</v>
      </c>
      <c r="BI297" s="130">
        <f t="shared" si="68"/>
        <v>0</v>
      </c>
      <c r="BJ297" s="13" t="s">
        <v>76</v>
      </c>
      <c r="BK297" s="130">
        <f t="shared" si="69"/>
        <v>1281.5999999999999</v>
      </c>
      <c r="BL297" s="13" t="s">
        <v>235</v>
      </c>
      <c r="BM297" s="129" t="s">
        <v>739</v>
      </c>
    </row>
    <row r="298" spans="2:65" s="1" customFormat="1" ht="24" customHeight="1" x14ac:dyDescent="0.2">
      <c r="B298" s="118"/>
      <c r="C298" s="119" t="s">
        <v>483</v>
      </c>
      <c r="D298" s="119" t="s">
        <v>231</v>
      </c>
      <c r="E298" s="120" t="s">
        <v>2834</v>
      </c>
      <c r="F298" s="121" t="s">
        <v>2835</v>
      </c>
      <c r="G298" s="122" t="s">
        <v>1112</v>
      </c>
      <c r="H298" s="123">
        <v>40</v>
      </c>
      <c r="I298" s="124">
        <v>18.690000000000001</v>
      </c>
      <c r="J298" s="124">
        <f t="shared" si="60"/>
        <v>747.6</v>
      </c>
      <c r="K298" s="121" t="s">
        <v>1</v>
      </c>
      <c r="L298" s="24"/>
      <c r="M298" s="125" t="s">
        <v>1</v>
      </c>
      <c r="N298" s="126" t="s">
        <v>32</v>
      </c>
      <c r="O298" s="127">
        <v>0</v>
      </c>
      <c r="P298" s="127">
        <f t="shared" si="61"/>
        <v>0</v>
      </c>
      <c r="Q298" s="127">
        <v>0</v>
      </c>
      <c r="R298" s="127">
        <f t="shared" si="62"/>
        <v>0</v>
      </c>
      <c r="S298" s="127">
        <v>0</v>
      </c>
      <c r="T298" s="128">
        <f t="shared" si="63"/>
        <v>0</v>
      </c>
      <c r="AR298" s="129" t="s">
        <v>235</v>
      </c>
      <c r="AT298" s="129" t="s">
        <v>231</v>
      </c>
      <c r="AU298" s="129" t="s">
        <v>76</v>
      </c>
      <c r="AY298" s="13" t="s">
        <v>228</v>
      </c>
      <c r="BE298" s="130">
        <f t="shared" si="64"/>
        <v>0</v>
      </c>
      <c r="BF298" s="130">
        <f t="shared" si="65"/>
        <v>747.6</v>
      </c>
      <c r="BG298" s="130">
        <f t="shared" si="66"/>
        <v>0</v>
      </c>
      <c r="BH298" s="130">
        <f t="shared" si="67"/>
        <v>0</v>
      </c>
      <c r="BI298" s="130">
        <f t="shared" si="68"/>
        <v>0</v>
      </c>
      <c r="BJ298" s="13" t="s">
        <v>76</v>
      </c>
      <c r="BK298" s="130">
        <f t="shared" si="69"/>
        <v>747.6</v>
      </c>
      <c r="BL298" s="13" t="s">
        <v>235</v>
      </c>
      <c r="BM298" s="129" t="s">
        <v>742</v>
      </c>
    </row>
    <row r="299" spans="2:65" s="1" customFormat="1" ht="16.5" customHeight="1" x14ac:dyDescent="0.2">
      <c r="B299" s="118"/>
      <c r="C299" s="119" t="s">
        <v>743</v>
      </c>
      <c r="D299" s="119" t="s">
        <v>231</v>
      </c>
      <c r="E299" s="120" t="s">
        <v>5022</v>
      </c>
      <c r="F299" s="121" t="s">
        <v>2837</v>
      </c>
      <c r="G299" s="122" t="s">
        <v>5023</v>
      </c>
      <c r="H299" s="123">
        <v>2.5</v>
      </c>
      <c r="I299" s="124">
        <v>847.53</v>
      </c>
      <c r="J299" s="124">
        <f t="shared" si="60"/>
        <v>2118.83</v>
      </c>
      <c r="K299" s="121" t="s">
        <v>1</v>
      </c>
      <c r="L299" s="24"/>
      <c r="M299" s="125" t="s">
        <v>1</v>
      </c>
      <c r="N299" s="126" t="s">
        <v>32</v>
      </c>
      <c r="O299" s="127">
        <v>0</v>
      </c>
      <c r="P299" s="127">
        <f t="shared" si="61"/>
        <v>0</v>
      </c>
      <c r="Q299" s="127">
        <v>0</v>
      </c>
      <c r="R299" s="127">
        <f t="shared" si="62"/>
        <v>0</v>
      </c>
      <c r="S299" s="127">
        <v>0</v>
      </c>
      <c r="T299" s="128">
        <f t="shared" si="63"/>
        <v>0</v>
      </c>
      <c r="AR299" s="129" t="s">
        <v>235</v>
      </c>
      <c r="AT299" s="129" t="s">
        <v>231</v>
      </c>
      <c r="AU299" s="129" t="s">
        <v>76</v>
      </c>
      <c r="AY299" s="13" t="s">
        <v>228</v>
      </c>
      <c r="BE299" s="130">
        <f t="shared" si="64"/>
        <v>0</v>
      </c>
      <c r="BF299" s="130">
        <f t="shared" si="65"/>
        <v>2118.83</v>
      </c>
      <c r="BG299" s="130">
        <f t="shared" si="66"/>
        <v>0</v>
      </c>
      <c r="BH299" s="130">
        <f t="shared" si="67"/>
        <v>0</v>
      </c>
      <c r="BI299" s="130">
        <f t="shared" si="68"/>
        <v>0</v>
      </c>
      <c r="BJ299" s="13" t="s">
        <v>76</v>
      </c>
      <c r="BK299" s="130">
        <f t="shared" si="69"/>
        <v>2118.83</v>
      </c>
      <c r="BL299" s="13" t="s">
        <v>235</v>
      </c>
      <c r="BM299" s="129" t="s">
        <v>746</v>
      </c>
    </row>
    <row r="300" spans="2:65" s="1" customFormat="1" ht="24" customHeight="1" x14ac:dyDescent="0.2">
      <c r="B300" s="118"/>
      <c r="C300" s="119" t="s">
        <v>486</v>
      </c>
      <c r="D300" s="119" t="s">
        <v>231</v>
      </c>
      <c r="E300" s="120" t="s">
        <v>2838</v>
      </c>
      <c r="F300" s="121" t="s">
        <v>2839</v>
      </c>
      <c r="G300" s="122" t="s">
        <v>1112</v>
      </c>
      <c r="H300" s="123">
        <v>40</v>
      </c>
      <c r="I300" s="124">
        <v>18.690000000000001</v>
      </c>
      <c r="J300" s="124">
        <f t="shared" si="60"/>
        <v>747.6</v>
      </c>
      <c r="K300" s="121" t="s">
        <v>1</v>
      </c>
      <c r="L300" s="24"/>
      <c r="M300" s="125" t="s">
        <v>1</v>
      </c>
      <c r="N300" s="126" t="s">
        <v>32</v>
      </c>
      <c r="O300" s="127">
        <v>0</v>
      </c>
      <c r="P300" s="127">
        <f t="shared" si="61"/>
        <v>0</v>
      </c>
      <c r="Q300" s="127">
        <v>0</v>
      </c>
      <c r="R300" s="127">
        <f t="shared" si="62"/>
        <v>0</v>
      </c>
      <c r="S300" s="127">
        <v>0</v>
      </c>
      <c r="T300" s="128">
        <f t="shared" si="63"/>
        <v>0</v>
      </c>
      <c r="AR300" s="129" t="s">
        <v>235</v>
      </c>
      <c r="AT300" s="129" t="s">
        <v>231</v>
      </c>
      <c r="AU300" s="129" t="s">
        <v>76</v>
      </c>
      <c r="AY300" s="13" t="s">
        <v>228</v>
      </c>
      <c r="BE300" s="130">
        <f t="shared" si="64"/>
        <v>0</v>
      </c>
      <c r="BF300" s="130">
        <f t="shared" si="65"/>
        <v>747.6</v>
      </c>
      <c r="BG300" s="130">
        <f t="shared" si="66"/>
        <v>0</v>
      </c>
      <c r="BH300" s="130">
        <f t="shared" si="67"/>
        <v>0</v>
      </c>
      <c r="BI300" s="130">
        <f t="shared" si="68"/>
        <v>0</v>
      </c>
      <c r="BJ300" s="13" t="s">
        <v>76</v>
      </c>
      <c r="BK300" s="130">
        <f t="shared" si="69"/>
        <v>747.6</v>
      </c>
      <c r="BL300" s="13" t="s">
        <v>235</v>
      </c>
      <c r="BM300" s="129" t="s">
        <v>749</v>
      </c>
    </row>
    <row r="301" spans="2:65" s="1" customFormat="1" ht="16.5" customHeight="1" x14ac:dyDescent="0.2">
      <c r="B301" s="118"/>
      <c r="C301" s="119" t="s">
        <v>750</v>
      </c>
      <c r="D301" s="119" t="s">
        <v>231</v>
      </c>
      <c r="E301" s="120" t="s">
        <v>2840</v>
      </c>
      <c r="F301" s="121" t="s">
        <v>2841</v>
      </c>
      <c r="G301" s="122" t="s">
        <v>1112</v>
      </c>
      <c r="H301" s="123">
        <v>40</v>
      </c>
      <c r="I301" s="124">
        <v>53.41</v>
      </c>
      <c r="J301" s="124">
        <f t="shared" si="60"/>
        <v>2136.4</v>
      </c>
      <c r="K301" s="121" t="s">
        <v>1</v>
      </c>
      <c r="L301" s="24"/>
      <c r="M301" s="125" t="s">
        <v>1</v>
      </c>
      <c r="N301" s="126" t="s">
        <v>32</v>
      </c>
      <c r="O301" s="127">
        <v>0</v>
      </c>
      <c r="P301" s="127">
        <f t="shared" si="61"/>
        <v>0</v>
      </c>
      <c r="Q301" s="127">
        <v>0</v>
      </c>
      <c r="R301" s="127">
        <f t="shared" si="62"/>
        <v>0</v>
      </c>
      <c r="S301" s="127">
        <v>0</v>
      </c>
      <c r="T301" s="128">
        <f t="shared" si="63"/>
        <v>0</v>
      </c>
      <c r="AR301" s="129" t="s">
        <v>235</v>
      </c>
      <c r="AT301" s="129" t="s">
        <v>231</v>
      </c>
      <c r="AU301" s="129" t="s">
        <v>76</v>
      </c>
      <c r="AY301" s="13" t="s">
        <v>228</v>
      </c>
      <c r="BE301" s="130">
        <f t="shared" si="64"/>
        <v>0</v>
      </c>
      <c r="BF301" s="130">
        <f t="shared" si="65"/>
        <v>2136.4</v>
      </c>
      <c r="BG301" s="130">
        <f t="shared" si="66"/>
        <v>0</v>
      </c>
      <c r="BH301" s="130">
        <f t="shared" si="67"/>
        <v>0</v>
      </c>
      <c r="BI301" s="130">
        <f t="shared" si="68"/>
        <v>0</v>
      </c>
      <c r="BJ301" s="13" t="s">
        <v>76</v>
      </c>
      <c r="BK301" s="130">
        <f t="shared" si="69"/>
        <v>2136.4</v>
      </c>
      <c r="BL301" s="13" t="s">
        <v>235</v>
      </c>
      <c r="BM301" s="129" t="s">
        <v>753</v>
      </c>
    </row>
    <row r="302" spans="2:65" s="11" customFormat="1" ht="22.95" customHeight="1" x14ac:dyDescent="0.25">
      <c r="B302" s="106"/>
      <c r="D302" s="107" t="s">
        <v>57</v>
      </c>
      <c r="E302" s="116" t="s">
        <v>1247</v>
      </c>
      <c r="F302" s="116" t="s">
        <v>2842</v>
      </c>
      <c r="J302" s="117">
        <f>BK302</f>
        <v>3851.62</v>
      </c>
      <c r="L302" s="106"/>
      <c r="M302" s="110"/>
      <c r="N302" s="111"/>
      <c r="O302" s="111"/>
      <c r="P302" s="112">
        <f>SUM(P303:P305)</f>
        <v>0</v>
      </c>
      <c r="Q302" s="111"/>
      <c r="R302" s="112">
        <f>SUM(R303:R305)</f>
        <v>0</v>
      </c>
      <c r="S302" s="111"/>
      <c r="T302" s="113">
        <f>SUM(T303:T305)</f>
        <v>0</v>
      </c>
      <c r="AR302" s="107" t="s">
        <v>63</v>
      </c>
      <c r="AT302" s="114" t="s">
        <v>57</v>
      </c>
      <c r="AU302" s="114" t="s">
        <v>63</v>
      </c>
      <c r="AY302" s="107" t="s">
        <v>228</v>
      </c>
      <c r="BK302" s="115">
        <f>SUM(BK303:BK305)</f>
        <v>3851.62</v>
      </c>
    </row>
    <row r="303" spans="2:65" s="1" customFormat="1" ht="16.5" customHeight="1" x14ac:dyDescent="0.2">
      <c r="B303" s="118"/>
      <c r="C303" s="119" t="s">
        <v>490</v>
      </c>
      <c r="D303" s="119" t="s">
        <v>231</v>
      </c>
      <c r="E303" s="120" t="s">
        <v>2843</v>
      </c>
      <c r="F303" s="121" t="s">
        <v>2844</v>
      </c>
      <c r="G303" s="122" t="s">
        <v>570</v>
      </c>
      <c r="H303" s="123">
        <v>279</v>
      </c>
      <c r="I303" s="124">
        <v>4.6399999999999997</v>
      </c>
      <c r="J303" s="124">
        <f>ROUND(I303*H303,2)</f>
        <v>1294.56</v>
      </c>
      <c r="K303" s="121" t="s">
        <v>1</v>
      </c>
      <c r="L303" s="24"/>
      <c r="M303" s="125" t="s">
        <v>1</v>
      </c>
      <c r="N303" s="126" t="s">
        <v>32</v>
      </c>
      <c r="O303" s="127">
        <v>0</v>
      </c>
      <c r="P303" s="127">
        <f>O303*H303</f>
        <v>0</v>
      </c>
      <c r="Q303" s="127">
        <v>0</v>
      </c>
      <c r="R303" s="127">
        <f>Q303*H303</f>
        <v>0</v>
      </c>
      <c r="S303" s="127">
        <v>0</v>
      </c>
      <c r="T303" s="128">
        <f>S303*H303</f>
        <v>0</v>
      </c>
      <c r="AR303" s="129" t="s">
        <v>235</v>
      </c>
      <c r="AT303" s="129" t="s">
        <v>231</v>
      </c>
      <c r="AU303" s="129" t="s">
        <v>76</v>
      </c>
      <c r="AY303" s="13" t="s">
        <v>228</v>
      </c>
      <c r="BE303" s="130">
        <f>IF(N303="základná",J303,0)</f>
        <v>0</v>
      </c>
      <c r="BF303" s="130">
        <f>IF(N303="znížená",J303,0)</f>
        <v>1294.56</v>
      </c>
      <c r="BG303" s="130">
        <f>IF(N303="zákl. prenesená",J303,0)</f>
        <v>0</v>
      </c>
      <c r="BH303" s="130">
        <f>IF(N303="zníž. prenesená",J303,0)</f>
        <v>0</v>
      </c>
      <c r="BI303" s="130">
        <f>IF(N303="nulová",J303,0)</f>
        <v>0</v>
      </c>
      <c r="BJ303" s="13" t="s">
        <v>76</v>
      </c>
      <c r="BK303" s="130">
        <f>ROUND(I303*H303,2)</f>
        <v>1294.56</v>
      </c>
      <c r="BL303" s="13" t="s">
        <v>235</v>
      </c>
      <c r="BM303" s="129" t="s">
        <v>756</v>
      </c>
    </row>
    <row r="304" spans="2:65" s="1" customFormat="1" ht="16.5" customHeight="1" x14ac:dyDescent="0.2">
      <c r="B304" s="118"/>
      <c r="C304" s="119" t="s">
        <v>757</v>
      </c>
      <c r="D304" s="119" t="s">
        <v>231</v>
      </c>
      <c r="E304" s="120" t="s">
        <v>2845</v>
      </c>
      <c r="F304" s="121" t="s">
        <v>2846</v>
      </c>
      <c r="G304" s="122" t="s">
        <v>570</v>
      </c>
      <c r="H304" s="123">
        <v>274</v>
      </c>
      <c r="I304" s="124">
        <v>6.97</v>
      </c>
      <c r="J304" s="124">
        <f>ROUND(I304*H304,2)</f>
        <v>1909.78</v>
      </c>
      <c r="K304" s="121" t="s">
        <v>1</v>
      </c>
      <c r="L304" s="24"/>
      <c r="M304" s="125" t="s">
        <v>1</v>
      </c>
      <c r="N304" s="126" t="s">
        <v>32</v>
      </c>
      <c r="O304" s="127">
        <v>0</v>
      </c>
      <c r="P304" s="127">
        <f>O304*H304</f>
        <v>0</v>
      </c>
      <c r="Q304" s="127">
        <v>0</v>
      </c>
      <c r="R304" s="127">
        <f>Q304*H304</f>
        <v>0</v>
      </c>
      <c r="S304" s="127">
        <v>0</v>
      </c>
      <c r="T304" s="128">
        <f>S304*H304</f>
        <v>0</v>
      </c>
      <c r="AR304" s="129" t="s">
        <v>235</v>
      </c>
      <c r="AT304" s="129" t="s">
        <v>231</v>
      </c>
      <c r="AU304" s="129" t="s">
        <v>76</v>
      </c>
      <c r="AY304" s="13" t="s">
        <v>228</v>
      </c>
      <c r="BE304" s="130">
        <f>IF(N304="základná",J304,0)</f>
        <v>0</v>
      </c>
      <c r="BF304" s="130">
        <f>IF(N304="znížená",J304,0)</f>
        <v>1909.78</v>
      </c>
      <c r="BG304" s="130">
        <f>IF(N304="zákl. prenesená",J304,0)</f>
        <v>0</v>
      </c>
      <c r="BH304" s="130">
        <f>IF(N304="zníž. prenesená",J304,0)</f>
        <v>0</v>
      </c>
      <c r="BI304" s="130">
        <f>IF(N304="nulová",J304,0)</f>
        <v>0</v>
      </c>
      <c r="BJ304" s="13" t="s">
        <v>76</v>
      </c>
      <c r="BK304" s="130">
        <f>ROUND(I304*H304,2)</f>
        <v>1909.78</v>
      </c>
      <c r="BL304" s="13" t="s">
        <v>235</v>
      </c>
      <c r="BM304" s="129" t="s">
        <v>760</v>
      </c>
    </row>
    <row r="305" spans="2:65" s="1" customFormat="1" ht="16.5" customHeight="1" x14ac:dyDescent="0.2">
      <c r="B305" s="118"/>
      <c r="C305" s="119" t="s">
        <v>493</v>
      </c>
      <c r="D305" s="119" t="s">
        <v>231</v>
      </c>
      <c r="E305" s="120" t="s">
        <v>2847</v>
      </c>
      <c r="F305" s="121" t="s">
        <v>2848</v>
      </c>
      <c r="G305" s="122" t="s">
        <v>570</v>
      </c>
      <c r="H305" s="123">
        <v>279</v>
      </c>
      <c r="I305" s="124">
        <v>2.3199999999999998</v>
      </c>
      <c r="J305" s="124">
        <f>ROUND(I305*H305,2)</f>
        <v>647.28</v>
      </c>
      <c r="K305" s="121" t="s">
        <v>1</v>
      </c>
      <c r="L305" s="24"/>
      <c r="M305" s="125" t="s">
        <v>1</v>
      </c>
      <c r="N305" s="126" t="s">
        <v>32</v>
      </c>
      <c r="O305" s="127">
        <v>0</v>
      </c>
      <c r="P305" s="127">
        <f>O305*H305</f>
        <v>0</v>
      </c>
      <c r="Q305" s="127">
        <v>0</v>
      </c>
      <c r="R305" s="127">
        <f>Q305*H305</f>
        <v>0</v>
      </c>
      <c r="S305" s="127">
        <v>0</v>
      </c>
      <c r="T305" s="128">
        <f>S305*H305</f>
        <v>0</v>
      </c>
      <c r="AR305" s="129" t="s">
        <v>235</v>
      </c>
      <c r="AT305" s="129" t="s">
        <v>231</v>
      </c>
      <c r="AU305" s="129" t="s">
        <v>76</v>
      </c>
      <c r="AY305" s="13" t="s">
        <v>228</v>
      </c>
      <c r="BE305" s="130">
        <f>IF(N305="základná",J305,0)</f>
        <v>0</v>
      </c>
      <c r="BF305" s="130">
        <f>IF(N305="znížená",J305,0)</f>
        <v>647.28</v>
      </c>
      <c r="BG305" s="130">
        <f>IF(N305="zákl. prenesená",J305,0)</f>
        <v>0</v>
      </c>
      <c r="BH305" s="130">
        <f>IF(N305="zníž. prenesená",J305,0)</f>
        <v>0</v>
      </c>
      <c r="BI305" s="130">
        <f>IF(N305="nulová",J305,0)</f>
        <v>0</v>
      </c>
      <c r="BJ305" s="13" t="s">
        <v>76</v>
      </c>
      <c r="BK305" s="130">
        <f>ROUND(I305*H305,2)</f>
        <v>647.28</v>
      </c>
      <c r="BL305" s="13" t="s">
        <v>235</v>
      </c>
      <c r="BM305" s="129" t="s">
        <v>763</v>
      </c>
    </row>
    <row r="306" spans="2:65" s="11" customFormat="1" ht="22.95" customHeight="1" x14ac:dyDescent="0.25">
      <c r="B306" s="106"/>
      <c r="D306" s="107" t="s">
        <v>57</v>
      </c>
      <c r="E306" s="116" t="s">
        <v>1252</v>
      </c>
      <c r="F306" s="116" t="s">
        <v>4206</v>
      </c>
      <c r="J306" s="117">
        <f>BK306</f>
        <v>0</v>
      </c>
      <c r="L306" s="106"/>
      <c r="M306" s="110"/>
      <c r="N306" s="111"/>
      <c r="O306" s="111"/>
      <c r="P306" s="112">
        <v>0</v>
      </c>
      <c r="Q306" s="111"/>
      <c r="R306" s="112">
        <v>0</v>
      </c>
      <c r="S306" s="111"/>
      <c r="T306" s="113">
        <v>0</v>
      </c>
      <c r="AR306" s="107" t="s">
        <v>63</v>
      </c>
      <c r="AT306" s="114" t="s">
        <v>57</v>
      </c>
      <c r="AU306" s="114" t="s">
        <v>63</v>
      </c>
      <c r="AY306" s="107" t="s">
        <v>228</v>
      </c>
      <c r="BK306" s="115">
        <v>0</v>
      </c>
    </row>
    <row r="307" spans="2:65" s="11" customFormat="1" ht="22.95" customHeight="1" x14ac:dyDescent="0.25">
      <c r="B307" s="106"/>
      <c r="D307" s="107" t="s">
        <v>57</v>
      </c>
      <c r="E307" s="116" t="s">
        <v>1269</v>
      </c>
      <c r="F307" s="116" t="s">
        <v>2849</v>
      </c>
      <c r="J307" s="117">
        <f>BK307</f>
        <v>23286.880000000005</v>
      </c>
      <c r="L307" s="106"/>
      <c r="M307" s="110"/>
      <c r="N307" s="111"/>
      <c r="O307" s="111"/>
      <c r="P307" s="112">
        <f>SUM(P308:P348)</f>
        <v>0</v>
      </c>
      <c r="Q307" s="111"/>
      <c r="R307" s="112">
        <f>SUM(R308:R348)</f>
        <v>0</v>
      </c>
      <c r="S307" s="111"/>
      <c r="T307" s="113">
        <f>SUM(T308:T348)</f>
        <v>0</v>
      </c>
      <c r="AR307" s="107" t="s">
        <v>63</v>
      </c>
      <c r="AT307" s="114" t="s">
        <v>57</v>
      </c>
      <c r="AU307" s="114" t="s">
        <v>63</v>
      </c>
      <c r="AY307" s="107" t="s">
        <v>228</v>
      </c>
      <c r="BK307" s="115">
        <f>SUM(BK308:BK348)</f>
        <v>23286.880000000005</v>
      </c>
    </row>
    <row r="308" spans="2:65" s="1" customFormat="1" ht="16.5" customHeight="1" x14ac:dyDescent="0.2">
      <c r="B308" s="118"/>
      <c r="C308" s="119" t="s">
        <v>764</v>
      </c>
      <c r="D308" s="119" t="s">
        <v>231</v>
      </c>
      <c r="E308" s="120" t="s">
        <v>5053</v>
      </c>
      <c r="F308" s="121" t="s">
        <v>5054</v>
      </c>
      <c r="G308" s="122" t="s">
        <v>292</v>
      </c>
      <c r="H308" s="123">
        <v>400</v>
      </c>
      <c r="I308" s="124">
        <v>24.97</v>
      </c>
      <c r="J308" s="124">
        <f t="shared" ref="J308:J348" si="70">ROUND(I308*H308,2)</f>
        <v>9988</v>
      </c>
      <c r="K308" s="121" t="s">
        <v>1</v>
      </c>
      <c r="L308" s="24"/>
      <c r="M308" s="125" t="s">
        <v>1</v>
      </c>
      <c r="N308" s="126" t="s">
        <v>32</v>
      </c>
      <c r="O308" s="127">
        <v>0</v>
      </c>
      <c r="P308" s="127">
        <f t="shared" ref="P308:P348" si="71">O308*H308</f>
        <v>0</v>
      </c>
      <c r="Q308" s="127">
        <v>0</v>
      </c>
      <c r="R308" s="127">
        <f t="shared" ref="R308:R348" si="72">Q308*H308</f>
        <v>0</v>
      </c>
      <c r="S308" s="127">
        <v>0</v>
      </c>
      <c r="T308" s="128">
        <f t="shared" ref="T308:T348" si="73">S308*H308</f>
        <v>0</v>
      </c>
      <c r="AR308" s="129" t="s">
        <v>235</v>
      </c>
      <c r="AT308" s="129" t="s">
        <v>231</v>
      </c>
      <c r="AU308" s="129" t="s">
        <v>76</v>
      </c>
      <c r="AY308" s="13" t="s">
        <v>228</v>
      </c>
      <c r="BE308" s="130">
        <f t="shared" ref="BE308:BE348" si="74">IF(N308="základná",J308,0)</f>
        <v>0</v>
      </c>
      <c r="BF308" s="130">
        <f t="shared" ref="BF308:BF348" si="75">IF(N308="znížená",J308,0)</f>
        <v>9988</v>
      </c>
      <c r="BG308" s="130">
        <f t="shared" ref="BG308:BG348" si="76">IF(N308="zákl. prenesená",J308,0)</f>
        <v>0</v>
      </c>
      <c r="BH308" s="130">
        <f t="shared" ref="BH308:BH348" si="77">IF(N308="zníž. prenesená",J308,0)</f>
        <v>0</v>
      </c>
      <c r="BI308" s="130">
        <f t="shared" ref="BI308:BI348" si="78">IF(N308="nulová",J308,0)</f>
        <v>0</v>
      </c>
      <c r="BJ308" s="13" t="s">
        <v>76</v>
      </c>
      <c r="BK308" s="130">
        <f t="shared" ref="BK308:BK348" si="79">ROUND(I308*H308,2)</f>
        <v>9988</v>
      </c>
      <c r="BL308" s="13" t="s">
        <v>235</v>
      </c>
      <c r="BM308" s="129" t="s">
        <v>767</v>
      </c>
    </row>
    <row r="309" spans="2:65" s="1" customFormat="1" ht="16.5" customHeight="1" x14ac:dyDescent="0.2">
      <c r="B309" s="118"/>
      <c r="C309" s="119" t="s">
        <v>497</v>
      </c>
      <c r="D309" s="119" t="s">
        <v>231</v>
      </c>
      <c r="E309" s="120" t="s">
        <v>2850</v>
      </c>
      <c r="F309" s="121" t="s">
        <v>2851</v>
      </c>
      <c r="G309" s="122" t="s">
        <v>292</v>
      </c>
      <c r="H309" s="123">
        <v>120</v>
      </c>
      <c r="I309" s="124">
        <v>2.81</v>
      </c>
      <c r="J309" s="124">
        <f t="shared" si="70"/>
        <v>337.2</v>
      </c>
      <c r="K309" s="121" t="s">
        <v>1</v>
      </c>
      <c r="L309" s="24"/>
      <c r="M309" s="125" t="s">
        <v>1</v>
      </c>
      <c r="N309" s="126" t="s">
        <v>32</v>
      </c>
      <c r="O309" s="127">
        <v>0</v>
      </c>
      <c r="P309" s="127">
        <f t="shared" si="71"/>
        <v>0</v>
      </c>
      <c r="Q309" s="127">
        <v>0</v>
      </c>
      <c r="R309" s="127">
        <f t="shared" si="72"/>
        <v>0</v>
      </c>
      <c r="S309" s="127">
        <v>0</v>
      </c>
      <c r="T309" s="128">
        <f t="shared" si="73"/>
        <v>0</v>
      </c>
      <c r="AR309" s="129" t="s">
        <v>235</v>
      </c>
      <c r="AT309" s="129" t="s">
        <v>231</v>
      </c>
      <c r="AU309" s="129" t="s">
        <v>76</v>
      </c>
      <c r="AY309" s="13" t="s">
        <v>228</v>
      </c>
      <c r="BE309" s="130">
        <f t="shared" si="74"/>
        <v>0</v>
      </c>
      <c r="BF309" s="130">
        <f t="shared" si="75"/>
        <v>337.2</v>
      </c>
      <c r="BG309" s="130">
        <f t="shared" si="76"/>
        <v>0</v>
      </c>
      <c r="BH309" s="130">
        <f t="shared" si="77"/>
        <v>0</v>
      </c>
      <c r="BI309" s="130">
        <f t="shared" si="78"/>
        <v>0</v>
      </c>
      <c r="BJ309" s="13" t="s">
        <v>76</v>
      </c>
      <c r="BK309" s="130">
        <f t="shared" si="79"/>
        <v>337.2</v>
      </c>
      <c r="BL309" s="13" t="s">
        <v>235</v>
      </c>
      <c r="BM309" s="129" t="s">
        <v>770</v>
      </c>
    </row>
    <row r="310" spans="2:65" s="1" customFormat="1" ht="16.5" customHeight="1" x14ac:dyDescent="0.2">
      <c r="B310" s="118"/>
      <c r="C310" s="119" t="s">
        <v>771</v>
      </c>
      <c r="D310" s="119" t="s">
        <v>231</v>
      </c>
      <c r="E310" s="120" t="s">
        <v>5026</v>
      </c>
      <c r="F310" s="121" t="s">
        <v>5027</v>
      </c>
      <c r="G310" s="122" t="s">
        <v>292</v>
      </c>
      <c r="H310" s="123">
        <v>80</v>
      </c>
      <c r="I310" s="124">
        <v>2.2799999999999998</v>
      </c>
      <c r="J310" s="124">
        <f t="shared" si="70"/>
        <v>182.4</v>
      </c>
      <c r="K310" s="121" t="s">
        <v>1</v>
      </c>
      <c r="L310" s="24"/>
      <c r="M310" s="125" t="s">
        <v>1</v>
      </c>
      <c r="N310" s="126" t="s">
        <v>32</v>
      </c>
      <c r="O310" s="127">
        <v>0</v>
      </c>
      <c r="P310" s="127">
        <f t="shared" si="71"/>
        <v>0</v>
      </c>
      <c r="Q310" s="127">
        <v>0</v>
      </c>
      <c r="R310" s="127">
        <f t="shared" si="72"/>
        <v>0</v>
      </c>
      <c r="S310" s="127">
        <v>0</v>
      </c>
      <c r="T310" s="128">
        <f t="shared" si="73"/>
        <v>0</v>
      </c>
      <c r="AR310" s="129" t="s">
        <v>235</v>
      </c>
      <c r="AT310" s="129" t="s">
        <v>231</v>
      </c>
      <c r="AU310" s="129" t="s">
        <v>76</v>
      </c>
      <c r="AY310" s="13" t="s">
        <v>228</v>
      </c>
      <c r="BE310" s="130">
        <f t="shared" si="74"/>
        <v>0</v>
      </c>
      <c r="BF310" s="130">
        <f t="shared" si="75"/>
        <v>182.4</v>
      </c>
      <c r="BG310" s="130">
        <f t="shared" si="76"/>
        <v>0</v>
      </c>
      <c r="BH310" s="130">
        <f t="shared" si="77"/>
        <v>0</v>
      </c>
      <c r="BI310" s="130">
        <f t="shared" si="78"/>
        <v>0</v>
      </c>
      <c r="BJ310" s="13" t="s">
        <v>76</v>
      </c>
      <c r="BK310" s="130">
        <f t="shared" si="79"/>
        <v>182.4</v>
      </c>
      <c r="BL310" s="13" t="s">
        <v>235</v>
      </c>
      <c r="BM310" s="129" t="s">
        <v>774</v>
      </c>
    </row>
    <row r="311" spans="2:65" s="1" customFormat="1" ht="16.5" customHeight="1" x14ac:dyDescent="0.2">
      <c r="B311" s="118"/>
      <c r="C311" s="119" t="s">
        <v>500</v>
      </c>
      <c r="D311" s="119" t="s">
        <v>231</v>
      </c>
      <c r="E311" s="120" t="s">
        <v>5055</v>
      </c>
      <c r="F311" s="121" t="s">
        <v>5056</v>
      </c>
      <c r="G311" s="122" t="s">
        <v>292</v>
      </c>
      <c r="H311" s="123">
        <v>40</v>
      </c>
      <c r="I311" s="124">
        <v>1.67</v>
      </c>
      <c r="J311" s="124">
        <f t="shared" si="70"/>
        <v>66.8</v>
      </c>
      <c r="K311" s="121" t="s">
        <v>1</v>
      </c>
      <c r="L311" s="24"/>
      <c r="M311" s="125" t="s">
        <v>1</v>
      </c>
      <c r="N311" s="126" t="s">
        <v>32</v>
      </c>
      <c r="O311" s="127">
        <v>0</v>
      </c>
      <c r="P311" s="127">
        <f t="shared" si="71"/>
        <v>0</v>
      </c>
      <c r="Q311" s="127">
        <v>0</v>
      </c>
      <c r="R311" s="127">
        <f t="shared" si="72"/>
        <v>0</v>
      </c>
      <c r="S311" s="127">
        <v>0</v>
      </c>
      <c r="T311" s="128">
        <f t="shared" si="73"/>
        <v>0</v>
      </c>
      <c r="AR311" s="129" t="s">
        <v>235</v>
      </c>
      <c r="AT311" s="129" t="s">
        <v>231</v>
      </c>
      <c r="AU311" s="129" t="s">
        <v>76</v>
      </c>
      <c r="AY311" s="13" t="s">
        <v>228</v>
      </c>
      <c r="BE311" s="130">
        <f t="shared" si="74"/>
        <v>0</v>
      </c>
      <c r="BF311" s="130">
        <f t="shared" si="75"/>
        <v>66.8</v>
      </c>
      <c r="BG311" s="130">
        <f t="shared" si="76"/>
        <v>0</v>
      </c>
      <c r="BH311" s="130">
        <f t="shared" si="77"/>
        <v>0</v>
      </c>
      <c r="BI311" s="130">
        <f t="shared" si="78"/>
        <v>0</v>
      </c>
      <c r="BJ311" s="13" t="s">
        <v>76</v>
      </c>
      <c r="BK311" s="130">
        <f t="shared" si="79"/>
        <v>66.8</v>
      </c>
      <c r="BL311" s="13" t="s">
        <v>235</v>
      </c>
      <c r="BM311" s="129" t="s">
        <v>777</v>
      </c>
    </row>
    <row r="312" spans="2:65" s="1" customFormat="1" ht="16.5" customHeight="1" x14ac:dyDescent="0.2">
      <c r="B312" s="118"/>
      <c r="C312" s="119" t="s">
        <v>778</v>
      </c>
      <c r="D312" s="119" t="s">
        <v>231</v>
      </c>
      <c r="E312" s="120" t="s">
        <v>2852</v>
      </c>
      <c r="F312" s="121" t="s">
        <v>2853</v>
      </c>
      <c r="G312" s="122" t="s">
        <v>292</v>
      </c>
      <c r="H312" s="123">
        <v>160</v>
      </c>
      <c r="I312" s="124">
        <v>1.6</v>
      </c>
      <c r="J312" s="124">
        <f t="shared" si="70"/>
        <v>256</v>
      </c>
      <c r="K312" s="121" t="s">
        <v>1</v>
      </c>
      <c r="L312" s="24"/>
      <c r="M312" s="125" t="s">
        <v>1</v>
      </c>
      <c r="N312" s="126" t="s">
        <v>32</v>
      </c>
      <c r="O312" s="127">
        <v>0</v>
      </c>
      <c r="P312" s="127">
        <f t="shared" si="71"/>
        <v>0</v>
      </c>
      <c r="Q312" s="127">
        <v>0</v>
      </c>
      <c r="R312" s="127">
        <f t="shared" si="72"/>
        <v>0</v>
      </c>
      <c r="S312" s="127">
        <v>0</v>
      </c>
      <c r="T312" s="128">
        <f t="shared" si="73"/>
        <v>0</v>
      </c>
      <c r="AR312" s="129" t="s">
        <v>235</v>
      </c>
      <c r="AT312" s="129" t="s">
        <v>231</v>
      </c>
      <c r="AU312" s="129" t="s">
        <v>76</v>
      </c>
      <c r="AY312" s="13" t="s">
        <v>228</v>
      </c>
      <c r="BE312" s="130">
        <f t="shared" si="74"/>
        <v>0</v>
      </c>
      <c r="BF312" s="130">
        <f t="shared" si="75"/>
        <v>256</v>
      </c>
      <c r="BG312" s="130">
        <f t="shared" si="76"/>
        <v>0</v>
      </c>
      <c r="BH312" s="130">
        <f t="shared" si="77"/>
        <v>0</v>
      </c>
      <c r="BI312" s="130">
        <f t="shared" si="78"/>
        <v>0</v>
      </c>
      <c r="BJ312" s="13" t="s">
        <v>76</v>
      </c>
      <c r="BK312" s="130">
        <f t="shared" si="79"/>
        <v>256</v>
      </c>
      <c r="BL312" s="13" t="s">
        <v>235</v>
      </c>
      <c r="BM312" s="129" t="s">
        <v>781</v>
      </c>
    </row>
    <row r="313" spans="2:65" s="1" customFormat="1" ht="16.5" customHeight="1" x14ac:dyDescent="0.2">
      <c r="B313" s="118"/>
      <c r="C313" s="119" t="s">
        <v>504</v>
      </c>
      <c r="D313" s="119" t="s">
        <v>231</v>
      </c>
      <c r="E313" s="120" t="s">
        <v>2854</v>
      </c>
      <c r="F313" s="121" t="s">
        <v>2855</v>
      </c>
      <c r="G313" s="122" t="s">
        <v>292</v>
      </c>
      <c r="H313" s="123">
        <v>120</v>
      </c>
      <c r="I313" s="124">
        <v>1</v>
      </c>
      <c r="J313" s="124">
        <f t="shared" si="70"/>
        <v>120</v>
      </c>
      <c r="K313" s="121" t="s">
        <v>1</v>
      </c>
      <c r="L313" s="24"/>
      <c r="M313" s="125" t="s">
        <v>1</v>
      </c>
      <c r="N313" s="126" t="s">
        <v>32</v>
      </c>
      <c r="O313" s="127">
        <v>0</v>
      </c>
      <c r="P313" s="127">
        <f t="shared" si="71"/>
        <v>0</v>
      </c>
      <c r="Q313" s="127">
        <v>0</v>
      </c>
      <c r="R313" s="127">
        <f t="shared" si="72"/>
        <v>0</v>
      </c>
      <c r="S313" s="127">
        <v>0</v>
      </c>
      <c r="T313" s="128">
        <f t="shared" si="73"/>
        <v>0</v>
      </c>
      <c r="AR313" s="129" t="s">
        <v>235</v>
      </c>
      <c r="AT313" s="129" t="s">
        <v>231</v>
      </c>
      <c r="AU313" s="129" t="s">
        <v>76</v>
      </c>
      <c r="AY313" s="13" t="s">
        <v>228</v>
      </c>
      <c r="BE313" s="130">
        <f t="shared" si="74"/>
        <v>0</v>
      </c>
      <c r="BF313" s="130">
        <f t="shared" si="75"/>
        <v>120</v>
      </c>
      <c r="BG313" s="130">
        <f t="shared" si="76"/>
        <v>0</v>
      </c>
      <c r="BH313" s="130">
        <f t="shared" si="77"/>
        <v>0</v>
      </c>
      <c r="BI313" s="130">
        <f t="shared" si="78"/>
        <v>0</v>
      </c>
      <c r="BJ313" s="13" t="s">
        <v>76</v>
      </c>
      <c r="BK313" s="130">
        <f t="shared" si="79"/>
        <v>120</v>
      </c>
      <c r="BL313" s="13" t="s">
        <v>235</v>
      </c>
      <c r="BM313" s="129" t="s">
        <v>784</v>
      </c>
    </row>
    <row r="314" spans="2:65" s="1" customFormat="1" ht="16.5" customHeight="1" x14ac:dyDescent="0.2">
      <c r="B314" s="118"/>
      <c r="C314" s="119" t="s">
        <v>787</v>
      </c>
      <c r="D314" s="119" t="s">
        <v>231</v>
      </c>
      <c r="E314" s="120" t="s">
        <v>2856</v>
      </c>
      <c r="F314" s="121" t="s">
        <v>2857</v>
      </c>
      <c r="G314" s="122" t="s">
        <v>292</v>
      </c>
      <c r="H314" s="123">
        <v>280</v>
      </c>
      <c r="I314" s="124">
        <v>0.73</v>
      </c>
      <c r="J314" s="124">
        <f t="shared" si="70"/>
        <v>204.4</v>
      </c>
      <c r="K314" s="121" t="s">
        <v>1</v>
      </c>
      <c r="L314" s="24"/>
      <c r="M314" s="125" t="s">
        <v>1</v>
      </c>
      <c r="N314" s="126" t="s">
        <v>32</v>
      </c>
      <c r="O314" s="127">
        <v>0</v>
      </c>
      <c r="P314" s="127">
        <f t="shared" si="71"/>
        <v>0</v>
      </c>
      <c r="Q314" s="127">
        <v>0</v>
      </c>
      <c r="R314" s="127">
        <f t="shared" si="72"/>
        <v>0</v>
      </c>
      <c r="S314" s="127">
        <v>0</v>
      </c>
      <c r="T314" s="128">
        <f t="shared" si="73"/>
        <v>0</v>
      </c>
      <c r="AR314" s="129" t="s">
        <v>235</v>
      </c>
      <c r="AT314" s="129" t="s">
        <v>231</v>
      </c>
      <c r="AU314" s="129" t="s">
        <v>76</v>
      </c>
      <c r="AY314" s="13" t="s">
        <v>228</v>
      </c>
      <c r="BE314" s="130">
        <f t="shared" si="74"/>
        <v>0</v>
      </c>
      <c r="BF314" s="130">
        <f t="shared" si="75"/>
        <v>204.4</v>
      </c>
      <c r="BG314" s="130">
        <f t="shared" si="76"/>
        <v>0</v>
      </c>
      <c r="BH314" s="130">
        <f t="shared" si="77"/>
        <v>0</v>
      </c>
      <c r="BI314" s="130">
        <f t="shared" si="78"/>
        <v>0</v>
      </c>
      <c r="BJ314" s="13" t="s">
        <v>76</v>
      </c>
      <c r="BK314" s="130">
        <f t="shared" si="79"/>
        <v>204.4</v>
      </c>
      <c r="BL314" s="13" t="s">
        <v>235</v>
      </c>
      <c r="BM314" s="129" t="s">
        <v>790</v>
      </c>
    </row>
    <row r="315" spans="2:65" s="1" customFormat="1" ht="16.5" customHeight="1" x14ac:dyDescent="0.2">
      <c r="B315" s="118"/>
      <c r="C315" s="119" t="s">
        <v>507</v>
      </c>
      <c r="D315" s="119" t="s">
        <v>231</v>
      </c>
      <c r="E315" s="120" t="s">
        <v>2858</v>
      </c>
      <c r="F315" s="121" t="s">
        <v>2859</v>
      </c>
      <c r="G315" s="122" t="s">
        <v>292</v>
      </c>
      <c r="H315" s="123">
        <v>600</v>
      </c>
      <c r="I315" s="124">
        <v>2.0099999999999998</v>
      </c>
      <c r="J315" s="124">
        <f t="shared" si="70"/>
        <v>1206</v>
      </c>
      <c r="K315" s="121" t="s">
        <v>1</v>
      </c>
      <c r="L315" s="24"/>
      <c r="M315" s="125" t="s">
        <v>1</v>
      </c>
      <c r="N315" s="126" t="s">
        <v>32</v>
      </c>
      <c r="O315" s="127">
        <v>0</v>
      </c>
      <c r="P315" s="127">
        <f t="shared" si="71"/>
        <v>0</v>
      </c>
      <c r="Q315" s="127">
        <v>0</v>
      </c>
      <c r="R315" s="127">
        <f t="shared" si="72"/>
        <v>0</v>
      </c>
      <c r="S315" s="127">
        <v>0</v>
      </c>
      <c r="T315" s="128">
        <f t="shared" si="73"/>
        <v>0</v>
      </c>
      <c r="AR315" s="129" t="s">
        <v>235</v>
      </c>
      <c r="AT315" s="129" t="s">
        <v>231</v>
      </c>
      <c r="AU315" s="129" t="s">
        <v>76</v>
      </c>
      <c r="AY315" s="13" t="s">
        <v>228</v>
      </c>
      <c r="BE315" s="130">
        <f t="shared" si="74"/>
        <v>0</v>
      </c>
      <c r="BF315" s="130">
        <f t="shared" si="75"/>
        <v>1206</v>
      </c>
      <c r="BG315" s="130">
        <f t="shared" si="76"/>
        <v>0</v>
      </c>
      <c r="BH315" s="130">
        <f t="shared" si="77"/>
        <v>0</v>
      </c>
      <c r="BI315" s="130">
        <f t="shared" si="78"/>
        <v>0</v>
      </c>
      <c r="BJ315" s="13" t="s">
        <v>76</v>
      </c>
      <c r="BK315" s="130">
        <f t="shared" si="79"/>
        <v>1206</v>
      </c>
      <c r="BL315" s="13" t="s">
        <v>235</v>
      </c>
      <c r="BM315" s="129" t="s">
        <v>793</v>
      </c>
    </row>
    <row r="316" spans="2:65" s="1" customFormat="1" ht="16.5" customHeight="1" x14ac:dyDescent="0.2">
      <c r="B316" s="118"/>
      <c r="C316" s="119" t="s">
        <v>794</v>
      </c>
      <c r="D316" s="119" t="s">
        <v>231</v>
      </c>
      <c r="E316" s="120" t="s">
        <v>2860</v>
      </c>
      <c r="F316" s="121" t="s">
        <v>2861</v>
      </c>
      <c r="G316" s="122" t="s">
        <v>292</v>
      </c>
      <c r="H316" s="123">
        <v>240</v>
      </c>
      <c r="I316" s="124">
        <v>0.8</v>
      </c>
      <c r="J316" s="124">
        <f t="shared" si="70"/>
        <v>192</v>
      </c>
      <c r="K316" s="121" t="s">
        <v>1</v>
      </c>
      <c r="L316" s="24"/>
      <c r="M316" s="125" t="s">
        <v>1</v>
      </c>
      <c r="N316" s="126" t="s">
        <v>32</v>
      </c>
      <c r="O316" s="127">
        <v>0</v>
      </c>
      <c r="P316" s="127">
        <f t="shared" si="71"/>
        <v>0</v>
      </c>
      <c r="Q316" s="127">
        <v>0</v>
      </c>
      <c r="R316" s="127">
        <f t="shared" si="72"/>
        <v>0</v>
      </c>
      <c r="S316" s="127">
        <v>0</v>
      </c>
      <c r="T316" s="128">
        <f t="shared" si="73"/>
        <v>0</v>
      </c>
      <c r="AR316" s="129" t="s">
        <v>235</v>
      </c>
      <c r="AT316" s="129" t="s">
        <v>231</v>
      </c>
      <c r="AU316" s="129" t="s">
        <v>76</v>
      </c>
      <c r="AY316" s="13" t="s">
        <v>228</v>
      </c>
      <c r="BE316" s="130">
        <f t="shared" si="74"/>
        <v>0</v>
      </c>
      <c r="BF316" s="130">
        <f t="shared" si="75"/>
        <v>192</v>
      </c>
      <c r="BG316" s="130">
        <f t="shared" si="76"/>
        <v>0</v>
      </c>
      <c r="BH316" s="130">
        <f t="shared" si="77"/>
        <v>0</v>
      </c>
      <c r="BI316" s="130">
        <f t="shared" si="78"/>
        <v>0</v>
      </c>
      <c r="BJ316" s="13" t="s">
        <v>76</v>
      </c>
      <c r="BK316" s="130">
        <f t="shared" si="79"/>
        <v>192</v>
      </c>
      <c r="BL316" s="13" t="s">
        <v>235</v>
      </c>
      <c r="BM316" s="129" t="s">
        <v>797</v>
      </c>
    </row>
    <row r="317" spans="2:65" s="1" customFormat="1" ht="16.5" customHeight="1" x14ac:dyDescent="0.2">
      <c r="B317" s="118"/>
      <c r="C317" s="119" t="s">
        <v>511</v>
      </c>
      <c r="D317" s="119" t="s">
        <v>231</v>
      </c>
      <c r="E317" s="120" t="s">
        <v>4213</v>
      </c>
      <c r="F317" s="121" t="s">
        <v>4214</v>
      </c>
      <c r="G317" s="122" t="s">
        <v>292</v>
      </c>
      <c r="H317" s="123">
        <v>40</v>
      </c>
      <c r="I317" s="124">
        <v>4.68</v>
      </c>
      <c r="J317" s="124">
        <f t="shared" si="70"/>
        <v>187.2</v>
      </c>
      <c r="K317" s="121" t="s">
        <v>1</v>
      </c>
      <c r="L317" s="24"/>
      <c r="M317" s="125" t="s">
        <v>1</v>
      </c>
      <c r="N317" s="126" t="s">
        <v>32</v>
      </c>
      <c r="O317" s="127">
        <v>0</v>
      </c>
      <c r="P317" s="127">
        <f t="shared" si="71"/>
        <v>0</v>
      </c>
      <c r="Q317" s="127">
        <v>0</v>
      </c>
      <c r="R317" s="127">
        <f t="shared" si="72"/>
        <v>0</v>
      </c>
      <c r="S317" s="127">
        <v>0</v>
      </c>
      <c r="T317" s="128">
        <f t="shared" si="73"/>
        <v>0</v>
      </c>
      <c r="AR317" s="129" t="s">
        <v>235</v>
      </c>
      <c r="AT317" s="129" t="s">
        <v>231</v>
      </c>
      <c r="AU317" s="129" t="s">
        <v>76</v>
      </c>
      <c r="AY317" s="13" t="s">
        <v>228</v>
      </c>
      <c r="BE317" s="130">
        <f t="shared" si="74"/>
        <v>0</v>
      </c>
      <c r="BF317" s="130">
        <f t="shared" si="75"/>
        <v>187.2</v>
      </c>
      <c r="BG317" s="130">
        <f t="shared" si="76"/>
        <v>0</v>
      </c>
      <c r="BH317" s="130">
        <f t="shared" si="77"/>
        <v>0</v>
      </c>
      <c r="BI317" s="130">
        <f t="shared" si="78"/>
        <v>0</v>
      </c>
      <c r="BJ317" s="13" t="s">
        <v>76</v>
      </c>
      <c r="BK317" s="130">
        <f t="shared" si="79"/>
        <v>187.2</v>
      </c>
      <c r="BL317" s="13" t="s">
        <v>235</v>
      </c>
      <c r="BM317" s="129" t="s">
        <v>800</v>
      </c>
    </row>
    <row r="318" spans="2:65" s="1" customFormat="1" ht="24" customHeight="1" x14ac:dyDescent="0.2">
      <c r="B318" s="118"/>
      <c r="C318" s="119" t="s">
        <v>801</v>
      </c>
      <c r="D318" s="119" t="s">
        <v>231</v>
      </c>
      <c r="E318" s="120" t="s">
        <v>5057</v>
      </c>
      <c r="F318" s="121" t="s">
        <v>5058</v>
      </c>
      <c r="G318" s="122" t="s">
        <v>292</v>
      </c>
      <c r="H318" s="123">
        <v>20</v>
      </c>
      <c r="I318" s="124">
        <v>2.81</v>
      </c>
      <c r="J318" s="124">
        <f t="shared" si="70"/>
        <v>56.2</v>
      </c>
      <c r="K318" s="121" t="s">
        <v>1</v>
      </c>
      <c r="L318" s="24"/>
      <c r="M318" s="125" t="s">
        <v>1</v>
      </c>
      <c r="N318" s="126" t="s">
        <v>32</v>
      </c>
      <c r="O318" s="127">
        <v>0</v>
      </c>
      <c r="P318" s="127">
        <f t="shared" si="71"/>
        <v>0</v>
      </c>
      <c r="Q318" s="127">
        <v>0</v>
      </c>
      <c r="R318" s="127">
        <f t="shared" si="72"/>
        <v>0</v>
      </c>
      <c r="S318" s="127">
        <v>0</v>
      </c>
      <c r="T318" s="128">
        <f t="shared" si="73"/>
        <v>0</v>
      </c>
      <c r="AR318" s="129" t="s">
        <v>235</v>
      </c>
      <c r="AT318" s="129" t="s">
        <v>231</v>
      </c>
      <c r="AU318" s="129" t="s">
        <v>76</v>
      </c>
      <c r="AY318" s="13" t="s">
        <v>228</v>
      </c>
      <c r="BE318" s="130">
        <f t="shared" si="74"/>
        <v>0</v>
      </c>
      <c r="BF318" s="130">
        <f t="shared" si="75"/>
        <v>56.2</v>
      </c>
      <c r="BG318" s="130">
        <f t="shared" si="76"/>
        <v>0</v>
      </c>
      <c r="BH318" s="130">
        <f t="shared" si="77"/>
        <v>0</v>
      </c>
      <c r="BI318" s="130">
        <f t="shared" si="78"/>
        <v>0</v>
      </c>
      <c r="BJ318" s="13" t="s">
        <v>76</v>
      </c>
      <c r="BK318" s="130">
        <f t="shared" si="79"/>
        <v>56.2</v>
      </c>
      <c r="BL318" s="13" t="s">
        <v>235</v>
      </c>
      <c r="BM318" s="129" t="s">
        <v>804</v>
      </c>
    </row>
    <row r="319" spans="2:65" s="1" customFormat="1" ht="24" customHeight="1" x14ac:dyDescent="0.2">
      <c r="B319" s="118"/>
      <c r="C319" s="119" t="s">
        <v>514</v>
      </c>
      <c r="D319" s="119" t="s">
        <v>231</v>
      </c>
      <c r="E319" s="120" t="s">
        <v>5059</v>
      </c>
      <c r="F319" s="121" t="s">
        <v>5060</v>
      </c>
      <c r="G319" s="122" t="s">
        <v>292</v>
      </c>
      <c r="H319" s="123">
        <v>30</v>
      </c>
      <c r="I319" s="124">
        <v>1.3</v>
      </c>
      <c r="J319" s="124">
        <f t="shared" si="70"/>
        <v>39</v>
      </c>
      <c r="K319" s="121" t="s">
        <v>1</v>
      </c>
      <c r="L319" s="24"/>
      <c r="M319" s="125" t="s">
        <v>1</v>
      </c>
      <c r="N319" s="126" t="s">
        <v>32</v>
      </c>
      <c r="O319" s="127">
        <v>0</v>
      </c>
      <c r="P319" s="127">
        <f t="shared" si="71"/>
        <v>0</v>
      </c>
      <c r="Q319" s="127">
        <v>0</v>
      </c>
      <c r="R319" s="127">
        <f t="shared" si="72"/>
        <v>0</v>
      </c>
      <c r="S319" s="127">
        <v>0</v>
      </c>
      <c r="T319" s="128">
        <f t="shared" si="73"/>
        <v>0</v>
      </c>
      <c r="AR319" s="129" t="s">
        <v>235</v>
      </c>
      <c r="AT319" s="129" t="s">
        <v>231</v>
      </c>
      <c r="AU319" s="129" t="s">
        <v>76</v>
      </c>
      <c r="AY319" s="13" t="s">
        <v>228</v>
      </c>
      <c r="BE319" s="130">
        <f t="shared" si="74"/>
        <v>0</v>
      </c>
      <c r="BF319" s="130">
        <f t="shared" si="75"/>
        <v>39</v>
      </c>
      <c r="BG319" s="130">
        <f t="shared" si="76"/>
        <v>0</v>
      </c>
      <c r="BH319" s="130">
        <f t="shared" si="77"/>
        <v>0</v>
      </c>
      <c r="BI319" s="130">
        <f t="shared" si="78"/>
        <v>0</v>
      </c>
      <c r="BJ319" s="13" t="s">
        <v>76</v>
      </c>
      <c r="BK319" s="130">
        <f t="shared" si="79"/>
        <v>39</v>
      </c>
      <c r="BL319" s="13" t="s">
        <v>235</v>
      </c>
      <c r="BM319" s="129" t="s">
        <v>807</v>
      </c>
    </row>
    <row r="320" spans="2:65" s="1" customFormat="1" ht="24" customHeight="1" x14ac:dyDescent="0.2">
      <c r="B320" s="118"/>
      <c r="C320" s="119" t="s">
        <v>808</v>
      </c>
      <c r="D320" s="119" t="s">
        <v>231</v>
      </c>
      <c r="E320" s="120" t="s">
        <v>2866</v>
      </c>
      <c r="F320" s="121" t="s">
        <v>2867</v>
      </c>
      <c r="G320" s="122" t="s">
        <v>292</v>
      </c>
      <c r="H320" s="123">
        <v>40</v>
      </c>
      <c r="I320" s="124">
        <v>1</v>
      </c>
      <c r="J320" s="124">
        <f t="shared" si="70"/>
        <v>40</v>
      </c>
      <c r="K320" s="121" t="s">
        <v>1</v>
      </c>
      <c r="L320" s="24"/>
      <c r="M320" s="125" t="s">
        <v>1</v>
      </c>
      <c r="N320" s="126" t="s">
        <v>32</v>
      </c>
      <c r="O320" s="127">
        <v>0</v>
      </c>
      <c r="P320" s="127">
        <f t="shared" si="71"/>
        <v>0</v>
      </c>
      <c r="Q320" s="127">
        <v>0</v>
      </c>
      <c r="R320" s="127">
        <f t="shared" si="72"/>
        <v>0</v>
      </c>
      <c r="S320" s="127">
        <v>0</v>
      </c>
      <c r="T320" s="128">
        <f t="shared" si="73"/>
        <v>0</v>
      </c>
      <c r="AR320" s="129" t="s">
        <v>235</v>
      </c>
      <c r="AT320" s="129" t="s">
        <v>231</v>
      </c>
      <c r="AU320" s="129" t="s">
        <v>76</v>
      </c>
      <c r="AY320" s="13" t="s">
        <v>228</v>
      </c>
      <c r="BE320" s="130">
        <f t="shared" si="74"/>
        <v>0</v>
      </c>
      <c r="BF320" s="130">
        <f t="shared" si="75"/>
        <v>40</v>
      </c>
      <c r="BG320" s="130">
        <f t="shared" si="76"/>
        <v>0</v>
      </c>
      <c r="BH320" s="130">
        <f t="shared" si="77"/>
        <v>0</v>
      </c>
      <c r="BI320" s="130">
        <f t="shared" si="78"/>
        <v>0</v>
      </c>
      <c r="BJ320" s="13" t="s">
        <v>76</v>
      </c>
      <c r="BK320" s="130">
        <f t="shared" si="79"/>
        <v>40</v>
      </c>
      <c r="BL320" s="13" t="s">
        <v>235</v>
      </c>
      <c r="BM320" s="129" t="s">
        <v>811</v>
      </c>
    </row>
    <row r="321" spans="2:65" s="1" customFormat="1" ht="16.5" customHeight="1" x14ac:dyDescent="0.2">
      <c r="B321" s="118"/>
      <c r="C321" s="119" t="s">
        <v>518</v>
      </c>
      <c r="D321" s="119" t="s">
        <v>231</v>
      </c>
      <c r="E321" s="120" t="s">
        <v>2868</v>
      </c>
      <c r="F321" s="121" t="s">
        <v>2869</v>
      </c>
      <c r="G321" s="122" t="s">
        <v>292</v>
      </c>
      <c r="H321" s="123">
        <v>360</v>
      </c>
      <c r="I321" s="124">
        <v>0.73</v>
      </c>
      <c r="J321" s="124">
        <f t="shared" si="70"/>
        <v>262.8</v>
      </c>
      <c r="K321" s="121" t="s">
        <v>1</v>
      </c>
      <c r="L321" s="24"/>
      <c r="M321" s="125" t="s">
        <v>1</v>
      </c>
      <c r="N321" s="126" t="s">
        <v>32</v>
      </c>
      <c r="O321" s="127">
        <v>0</v>
      </c>
      <c r="P321" s="127">
        <f t="shared" si="71"/>
        <v>0</v>
      </c>
      <c r="Q321" s="127">
        <v>0</v>
      </c>
      <c r="R321" s="127">
        <f t="shared" si="72"/>
        <v>0</v>
      </c>
      <c r="S321" s="127">
        <v>0</v>
      </c>
      <c r="T321" s="128">
        <f t="shared" si="73"/>
        <v>0</v>
      </c>
      <c r="AR321" s="129" t="s">
        <v>235</v>
      </c>
      <c r="AT321" s="129" t="s">
        <v>231</v>
      </c>
      <c r="AU321" s="129" t="s">
        <v>76</v>
      </c>
      <c r="AY321" s="13" t="s">
        <v>228</v>
      </c>
      <c r="BE321" s="130">
        <f t="shared" si="74"/>
        <v>0</v>
      </c>
      <c r="BF321" s="130">
        <f t="shared" si="75"/>
        <v>262.8</v>
      </c>
      <c r="BG321" s="130">
        <f t="shared" si="76"/>
        <v>0</v>
      </c>
      <c r="BH321" s="130">
        <f t="shared" si="77"/>
        <v>0</v>
      </c>
      <c r="BI321" s="130">
        <f t="shared" si="78"/>
        <v>0</v>
      </c>
      <c r="BJ321" s="13" t="s">
        <v>76</v>
      </c>
      <c r="BK321" s="130">
        <f t="shared" si="79"/>
        <v>262.8</v>
      </c>
      <c r="BL321" s="13" t="s">
        <v>235</v>
      </c>
      <c r="BM321" s="129" t="s">
        <v>814</v>
      </c>
    </row>
    <row r="322" spans="2:65" s="1" customFormat="1" ht="16.5" customHeight="1" x14ac:dyDescent="0.2">
      <c r="B322" s="118"/>
      <c r="C322" s="119" t="s">
        <v>815</v>
      </c>
      <c r="D322" s="119" t="s">
        <v>231</v>
      </c>
      <c r="E322" s="120" t="s">
        <v>2870</v>
      </c>
      <c r="F322" s="121" t="s">
        <v>2871</v>
      </c>
      <c r="G322" s="122" t="s">
        <v>292</v>
      </c>
      <c r="H322" s="123">
        <v>240</v>
      </c>
      <c r="I322" s="124">
        <v>1.21</v>
      </c>
      <c r="J322" s="124">
        <f t="shared" si="70"/>
        <v>290.39999999999998</v>
      </c>
      <c r="K322" s="121" t="s">
        <v>1</v>
      </c>
      <c r="L322" s="24"/>
      <c r="M322" s="125" t="s">
        <v>1</v>
      </c>
      <c r="N322" s="126" t="s">
        <v>32</v>
      </c>
      <c r="O322" s="127">
        <v>0</v>
      </c>
      <c r="P322" s="127">
        <f t="shared" si="71"/>
        <v>0</v>
      </c>
      <c r="Q322" s="127">
        <v>0</v>
      </c>
      <c r="R322" s="127">
        <f t="shared" si="72"/>
        <v>0</v>
      </c>
      <c r="S322" s="127">
        <v>0</v>
      </c>
      <c r="T322" s="128">
        <f t="shared" si="73"/>
        <v>0</v>
      </c>
      <c r="AR322" s="129" t="s">
        <v>235</v>
      </c>
      <c r="AT322" s="129" t="s">
        <v>231</v>
      </c>
      <c r="AU322" s="129" t="s">
        <v>76</v>
      </c>
      <c r="AY322" s="13" t="s">
        <v>228</v>
      </c>
      <c r="BE322" s="130">
        <f t="shared" si="74"/>
        <v>0</v>
      </c>
      <c r="BF322" s="130">
        <f t="shared" si="75"/>
        <v>290.39999999999998</v>
      </c>
      <c r="BG322" s="130">
        <f t="shared" si="76"/>
        <v>0</v>
      </c>
      <c r="BH322" s="130">
        <f t="shared" si="77"/>
        <v>0</v>
      </c>
      <c r="BI322" s="130">
        <f t="shared" si="78"/>
        <v>0</v>
      </c>
      <c r="BJ322" s="13" t="s">
        <v>76</v>
      </c>
      <c r="BK322" s="130">
        <f t="shared" si="79"/>
        <v>290.39999999999998</v>
      </c>
      <c r="BL322" s="13" t="s">
        <v>235</v>
      </c>
      <c r="BM322" s="129" t="s">
        <v>818</v>
      </c>
    </row>
    <row r="323" spans="2:65" s="1" customFormat="1" ht="16.5" customHeight="1" x14ac:dyDescent="0.2">
      <c r="B323" s="118"/>
      <c r="C323" s="119" t="s">
        <v>521</v>
      </c>
      <c r="D323" s="119" t="s">
        <v>231</v>
      </c>
      <c r="E323" s="120" t="s">
        <v>4215</v>
      </c>
      <c r="F323" s="121" t="s">
        <v>2873</v>
      </c>
      <c r="G323" s="122" t="s">
        <v>243</v>
      </c>
      <c r="H323" s="123">
        <v>161</v>
      </c>
      <c r="I323" s="124">
        <v>0.67</v>
      </c>
      <c r="J323" s="124">
        <f t="shared" si="70"/>
        <v>107.87</v>
      </c>
      <c r="K323" s="121" t="s">
        <v>1</v>
      </c>
      <c r="L323" s="24"/>
      <c r="M323" s="125" t="s">
        <v>1</v>
      </c>
      <c r="N323" s="126" t="s">
        <v>32</v>
      </c>
      <c r="O323" s="127">
        <v>0</v>
      </c>
      <c r="P323" s="127">
        <f t="shared" si="71"/>
        <v>0</v>
      </c>
      <c r="Q323" s="127">
        <v>0</v>
      </c>
      <c r="R323" s="127">
        <f t="shared" si="72"/>
        <v>0</v>
      </c>
      <c r="S323" s="127">
        <v>0</v>
      </c>
      <c r="T323" s="128">
        <f t="shared" si="73"/>
        <v>0</v>
      </c>
      <c r="AR323" s="129" t="s">
        <v>235</v>
      </c>
      <c r="AT323" s="129" t="s">
        <v>231</v>
      </c>
      <c r="AU323" s="129" t="s">
        <v>76</v>
      </c>
      <c r="AY323" s="13" t="s">
        <v>228</v>
      </c>
      <c r="BE323" s="130">
        <f t="shared" si="74"/>
        <v>0</v>
      </c>
      <c r="BF323" s="130">
        <f t="shared" si="75"/>
        <v>107.87</v>
      </c>
      <c r="BG323" s="130">
        <f t="shared" si="76"/>
        <v>0</v>
      </c>
      <c r="BH323" s="130">
        <f t="shared" si="77"/>
        <v>0</v>
      </c>
      <c r="BI323" s="130">
        <f t="shared" si="78"/>
        <v>0</v>
      </c>
      <c r="BJ323" s="13" t="s">
        <v>76</v>
      </c>
      <c r="BK323" s="130">
        <f t="shared" si="79"/>
        <v>107.87</v>
      </c>
      <c r="BL323" s="13" t="s">
        <v>235</v>
      </c>
      <c r="BM323" s="129" t="s">
        <v>821</v>
      </c>
    </row>
    <row r="324" spans="2:65" s="1" customFormat="1" ht="16.5" customHeight="1" x14ac:dyDescent="0.2">
      <c r="B324" s="118"/>
      <c r="C324" s="119" t="s">
        <v>824</v>
      </c>
      <c r="D324" s="119" t="s">
        <v>231</v>
      </c>
      <c r="E324" s="120" t="s">
        <v>5061</v>
      </c>
      <c r="F324" s="121" t="s">
        <v>2875</v>
      </c>
      <c r="G324" s="122" t="s">
        <v>5062</v>
      </c>
      <c r="H324" s="123">
        <v>31</v>
      </c>
      <c r="I324" s="124">
        <v>11.35</v>
      </c>
      <c r="J324" s="124">
        <f t="shared" si="70"/>
        <v>351.85</v>
      </c>
      <c r="K324" s="121" t="s">
        <v>1</v>
      </c>
      <c r="L324" s="24"/>
      <c r="M324" s="125" t="s">
        <v>1</v>
      </c>
      <c r="N324" s="126" t="s">
        <v>32</v>
      </c>
      <c r="O324" s="127">
        <v>0</v>
      </c>
      <c r="P324" s="127">
        <f t="shared" si="71"/>
        <v>0</v>
      </c>
      <c r="Q324" s="127">
        <v>0</v>
      </c>
      <c r="R324" s="127">
        <f t="shared" si="72"/>
        <v>0</v>
      </c>
      <c r="S324" s="127">
        <v>0</v>
      </c>
      <c r="T324" s="128">
        <f t="shared" si="73"/>
        <v>0</v>
      </c>
      <c r="AR324" s="129" t="s">
        <v>235</v>
      </c>
      <c r="AT324" s="129" t="s">
        <v>231</v>
      </c>
      <c r="AU324" s="129" t="s">
        <v>76</v>
      </c>
      <c r="AY324" s="13" t="s">
        <v>228</v>
      </c>
      <c r="BE324" s="130">
        <f t="shared" si="74"/>
        <v>0</v>
      </c>
      <c r="BF324" s="130">
        <f t="shared" si="75"/>
        <v>351.85</v>
      </c>
      <c r="BG324" s="130">
        <f t="shared" si="76"/>
        <v>0</v>
      </c>
      <c r="BH324" s="130">
        <f t="shared" si="77"/>
        <v>0</v>
      </c>
      <c r="BI324" s="130">
        <f t="shared" si="78"/>
        <v>0</v>
      </c>
      <c r="BJ324" s="13" t="s">
        <v>76</v>
      </c>
      <c r="BK324" s="130">
        <f t="shared" si="79"/>
        <v>351.85</v>
      </c>
      <c r="BL324" s="13" t="s">
        <v>235</v>
      </c>
      <c r="BM324" s="129" t="s">
        <v>827</v>
      </c>
    </row>
    <row r="325" spans="2:65" s="1" customFormat="1" ht="16.5" customHeight="1" x14ac:dyDescent="0.2">
      <c r="B325" s="118"/>
      <c r="C325" s="119" t="s">
        <v>525</v>
      </c>
      <c r="D325" s="119" t="s">
        <v>231</v>
      </c>
      <c r="E325" s="120" t="s">
        <v>2876</v>
      </c>
      <c r="F325" s="121" t="s">
        <v>2877</v>
      </c>
      <c r="G325" s="122" t="s">
        <v>292</v>
      </c>
      <c r="H325" s="123">
        <v>80</v>
      </c>
      <c r="I325" s="124">
        <v>14.02</v>
      </c>
      <c r="J325" s="124">
        <f t="shared" si="70"/>
        <v>1121.5999999999999</v>
      </c>
      <c r="K325" s="121" t="s">
        <v>1</v>
      </c>
      <c r="L325" s="24"/>
      <c r="M325" s="125" t="s">
        <v>1</v>
      </c>
      <c r="N325" s="126" t="s">
        <v>32</v>
      </c>
      <c r="O325" s="127">
        <v>0</v>
      </c>
      <c r="P325" s="127">
        <f t="shared" si="71"/>
        <v>0</v>
      </c>
      <c r="Q325" s="127">
        <v>0</v>
      </c>
      <c r="R325" s="127">
        <f t="shared" si="72"/>
        <v>0</v>
      </c>
      <c r="S325" s="127">
        <v>0</v>
      </c>
      <c r="T325" s="128">
        <f t="shared" si="73"/>
        <v>0</v>
      </c>
      <c r="AR325" s="129" t="s">
        <v>235</v>
      </c>
      <c r="AT325" s="129" t="s">
        <v>231</v>
      </c>
      <c r="AU325" s="129" t="s">
        <v>76</v>
      </c>
      <c r="AY325" s="13" t="s">
        <v>228</v>
      </c>
      <c r="BE325" s="130">
        <f t="shared" si="74"/>
        <v>0</v>
      </c>
      <c r="BF325" s="130">
        <f t="shared" si="75"/>
        <v>1121.5999999999999</v>
      </c>
      <c r="BG325" s="130">
        <f t="shared" si="76"/>
        <v>0</v>
      </c>
      <c r="BH325" s="130">
        <f t="shared" si="77"/>
        <v>0</v>
      </c>
      <c r="BI325" s="130">
        <f t="shared" si="78"/>
        <v>0</v>
      </c>
      <c r="BJ325" s="13" t="s">
        <v>76</v>
      </c>
      <c r="BK325" s="130">
        <f t="shared" si="79"/>
        <v>1121.5999999999999</v>
      </c>
      <c r="BL325" s="13" t="s">
        <v>235</v>
      </c>
      <c r="BM325" s="129" t="s">
        <v>830</v>
      </c>
    </row>
    <row r="326" spans="2:65" s="1" customFormat="1" ht="16.5" customHeight="1" x14ac:dyDescent="0.2">
      <c r="B326" s="118"/>
      <c r="C326" s="119" t="s">
        <v>831</v>
      </c>
      <c r="D326" s="119" t="s">
        <v>231</v>
      </c>
      <c r="E326" s="120" t="s">
        <v>2878</v>
      </c>
      <c r="F326" s="121" t="s">
        <v>2879</v>
      </c>
      <c r="G326" s="122" t="s">
        <v>292</v>
      </c>
      <c r="H326" s="123">
        <v>100</v>
      </c>
      <c r="I326" s="124">
        <v>11.35</v>
      </c>
      <c r="J326" s="124">
        <f t="shared" si="70"/>
        <v>1135</v>
      </c>
      <c r="K326" s="121" t="s">
        <v>1</v>
      </c>
      <c r="L326" s="24"/>
      <c r="M326" s="125" t="s">
        <v>1</v>
      </c>
      <c r="N326" s="126" t="s">
        <v>32</v>
      </c>
      <c r="O326" s="127">
        <v>0</v>
      </c>
      <c r="P326" s="127">
        <f t="shared" si="71"/>
        <v>0</v>
      </c>
      <c r="Q326" s="127">
        <v>0</v>
      </c>
      <c r="R326" s="127">
        <f t="shared" si="72"/>
        <v>0</v>
      </c>
      <c r="S326" s="127">
        <v>0</v>
      </c>
      <c r="T326" s="128">
        <f t="shared" si="73"/>
        <v>0</v>
      </c>
      <c r="AR326" s="129" t="s">
        <v>235</v>
      </c>
      <c r="AT326" s="129" t="s">
        <v>231</v>
      </c>
      <c r="AU326" s="129" t="s">
        <v>76</v>
      </c>
      <c r="AY326" s="13" t="s">
        <v>228</v>
      </c>
      <c r="BE326" s="130">
        <f t="shared" si="74"/>
        <v>0</v>
      </c>
      <c r="BF326" s="130">
        <f t="shared" si="75"/>
        <v>1135</v>
      </c>
      <c r="BG326" s="130">
        <f t="shared" si="76"/>
        <v>0</v>
      </c>
      <c r="BH326" s="130">
        <f t="shared" si="77"/>
        <v>0</v>
      </c>
      <c r="BI326" s="130">
        <f t="shared" si="78"/>
        <v>0</v>
      </c>
      <c r="BJ326" s="13" t="s">
        <v>76</v>
      </c>
      <c r="BK326" s="130">
        <f t="shared" si="79"/>
        <v>1135</v>
      </c>
      <c r="BL326" s="13" t="s">
        <v>235</v>
      </c>
      <c r="BM326" s="129" t="s">
        <v>834</v>
      </c>
    </row>
    <row r="327" spans="2:65" s="1" customFormat="1" ht="16.5" customHeight="1" x14ac:dyDescent="0.2">
      <c r="B327" s="118"/>
      <c r="C327" s="119" t="s">
        <v>528</v>
      </c>
      <c r="D327" s="119" t="s">
        <v>231</v>
      </c>
      <c r="E327" s="120" t="s">
        <v>2880</v>
      </c>
      <c r="F327" s="121" t="s">
        <v>2881</v>
      </c>
      <c r="G327" s="122" t="s">
        <v>292</v>
      </c>
      <c r="H327" s="123">
        <v>100</v>
      </c>
      <c r="I327" s="124">
        <v>8.68</v>
      </c>
      <c r="J327" s="124">
        <f t="shared" si="70"/>
        <v>868</v>
      </c>
      <c r="K327" s="121" t="s">
        <v>1</v>
      </c>
      <c r="L327" s="24"/>
      <c r="M327" s="125" t="s">
        <v>1</v>
      </c>
      <c r="N327" s="126" t="s">
        <v>32</v>
      </c>
      <c r="O327" s="127">
        <v>0</v>
      </c>
      <c r="P327" s="127">
        <f t="shared" si="71"/>
        <v>0</v>
      </c>
      <c r="Q327" s="127">
        <v>0</v>
      </c>
      <c r="R327" s="127">
        <f t="shared" si="72"/>
        <v>0</v>
      </c>
      <c r="S327" s="127">
        <v>0</v>
      </c>
      <c r="T327" s="128">
        <f t="shared" si="73"/>
        <v>0</v>
      </c>
      <c r="AR327" s="129" t="s">
        <v>235</v>
      </c>
      <c r="AT327" s="129" t="s">
        <v>231</v>
      </c>
      <c r="AU327" s="129" t="s">
        <v>76</v>
      </c>
      <c r="AY327" s="13" t="s">
        <v>228</v>
      </c>
      <c r="BE327" s="130">
        <f t="shared" si="74"/>
        <v>0</v>
      </c>
      <c r="BF327" s="130">
        <f t="shared" si="75"/>
        <v>868</v>
      </c>
      <c r="BG327" s="130">
        <f t="shared" si="76"/>
        <v>0</v>
      </c>
      <c r="BH327" s="130">
        <f t="shared" si="77"/>
        <v>0</v>
      </c>
      <c r="BI327" s="130">
        <f t="shared" si="78"/>
        <v>0</v>
      </c>
      <c r="BJ327" s="13" t="s">
        <v>76</v>
      </c>
      <c r="BK327" s="130">
        <f t="shared" si="79"/>
        <v>868</v>
      </c>
      <c r="BL327" s="13" t="s">
        <v>235</v>
      </c>
      <c r="BM327" s="129" t="s">
        <v>837</v>
      </c>
    </row>
    <row r="328" spans="2:65" s="1" customFormat="1" ht="16.5" customHeight="1" x14ac:dyDescent="0.2">
      <c r="B328" s="118"/>
      <c r="C328" s="119" t="s">
        <v>838</v>
      </c>
      <c r="D328" s="119" t="s">
        <v>231</v>
      </c>
      <c r="E328" s="120" t="s">
        <v>2882</v>
      </c>
      <c r="F328" s="121" t="s">
        <v>2883</v>
      </c>
      <c r="G328" s="122" t="s">
        <v>292</v>
      </c>
      <c r="H328" s="123">
        <v>180</v>
      </c>
      <c r="I328" s="124">
        <v>3.34</v>
      </c>
      <c r="J328" s="124">
        <f t="shared" si="70"/>
        <v>601.20000000000005</v>
      </c>
      <c r="K328" s="121" t="s">
        <v>1</v>
      </c>
      <c r="L328" s="24"/>
      <c r="M328" s="125" t="s">
        <v>1</v>
      </c>
      <c r="N328" s="126" t="s">
        <v>32</v>
      </c>
      <c r="O328" s="127">
        <v>0</v>
      </c>
      <c r="P328" s="127">
        <f t="shared" si="71"/>
        <v>0</v>
      </c>
      <c r="Q328" s="127">
        <v>0</v>
      </c>
      <c r="R328" s="127">
        <f t="shared" si="72"/>
        <v>0</v>
      </c>
      <c r="S328" s="127">
        <v>0</v>
      </c>
      <c r="T328" s="128">
        <f t="shared" si="73"/>
        <v>0</v>
      </c>
      <c r="AR328" s="129" t="s">
        <v>235</v>
      </c>
      <c r="AT328" s="129" t="s">
        <v>231</v>
      </c>
      <c r="AU328" s="129" t="s">
        <v>76</v>
      </c>
      <c r="AY328" s="13" t="s">
        <v>228</v>
      </c>
      <c r="BE328" s="130">
        <f t="shared" si="74"/>
        <v>0</v>
      </c>
      <c r="BF328" s="130">
        <f t="shared" si="75"/>
        <v>601.20000000000005</v>
      </c>
      <c r="BG328" s="130">
        <f t="shared" si="76"/>
        <v>0</v>
      </c>
      <c r="BH328" s="130">
        <f t="shared" si="77"/>
        <v>0</v>
      </c>
      <c r="BI328" s="130">
        <f t="shared" si="78"/>
        <v>0</v>
      </c>
      <c r="BJ328" s="13" t="s">
        <v>76</v>
      </c>
      <c r="BK328" s="130">
        <f t="shared" si="79"/>
        <v>601.20000000000005</v>
      </c>
      <c r="BL328" s="13" t="s">
        <v>235</v>
      </c>
      <c r="BM328" s="129" t="s">
        <v>841</v>
      </c>
    </row>
    <row r="329" spans="2:65" s="1" customFormat="1" ht="16.5" customHeight="1" x14ac:dyDescent="0.2">
      <c r="B329" s="118"/>
      <c r="C329" s="119" t="s">
        <v>532</v>
      </c>
      <c r="D329" s="119" t="s">
        <v>231</v>
      </c>
      <c r="E329" s="120" t="s">
        <v>2884</v>
      </c>
      <c r="F329" s="121" t="s">
        <v>2885</v>
      </c>
      <c r="G329" s="122" t="s">
        <v>292</v>
      </c>
      <c r="H329" s="123">
        <v>100</v>
      </c>
      <c r="I329" s="124">
        <v>1.74</v>
      </c>
      <c r="J329" s="124">
        <f t="shared" si="70"/>
        <v>174</v>
      </c>
      <c r="K329" s="121" t="s">
        <v>1</v>
      </c>
      <c r="L329" s="24"/>
      <c r="M329" s="125" t="s">
        <v>1</v>
      </c>
      <c r="N329" s="126" t="s">
        <v>32</v>
      </c>
      <c r="O329" s="127">
        <v>0</v>
      </c>
      <c r="P329" s="127">
        <f t="shared" si="71"/>
        <v>0</v>
      </c>
      <c r="Q329" s="127">
        <v>0</v>
      </c>
      <c r="R329" s="127">
        <f t="shared" si="72"/>
        <v>0</v>
      </c>
      <c r="S329" s="127">
        <v>0</v>
      </c>
      <c r="T329" s="128">
        <f t="shared" si="73"/>
        <v>0</v>
      </c>
      <c r="AR329" s="129" t="s">
        <v>235</v>
      </c>
      <c r="AT329" s="129" t="s">
        <v>231</v>
      </c>
      <c r="AU329" s="129" t="s">
        <v>76</v>
      </c>
      <c r="AY329" s="13" t="s">
        <v>228</v>
      </c>
      <c r="BE329" s="130">
        <f t="shared" si="74"/>
        <v>0</v>
      </c>
      <c r="BF329" s="130">
        <f t="shared" si="75"/>
        <v>174</v>
      </c>
      <c r="BG329" s="130">
        <f t="shared" si="76"/>
        <v>0</v>
      </c>
      <c r="BH329" s="130">
        <f t="shared" si="77"/>
        <v>0</v>
      </c>
      <c r="BI329" s="130">
        <f t="shared" si="78"/>
        <v>0</v>
      </c>
      <c r="BJ329" s="13" t="s">
        <v>76</v>
      </c>
      <c r="BK329" s="130">
        <f t="shared" si="79"/>
        <v>174</v>
      </c>
      <c r="BL329" s="13" t="s">
        <v>235</v>
      </c>
      <c r="BM329" s="129" t="s">
        <v>844</v>
      </c>
    </row>
    <row r="330" spans="2:65" s="1" customFormat="1" ht="24" customHeight="1" x14ac:dyDescent="0.2">
      <c r="B330" s="118"/>
      <c r="C330" s="119" t="s">
        <v>845</v>
      </c>
      <c r="D330" s="119" t="s">
        <v>231</v>
      </c>
      <c r="E330" s="120" t="s">
        <v>2886</v>
      </c>
      <c r="F330" s="121" t="s">
        <v>2887</v>
      </c>
      <c r="G330" s="122" t="s">
        <v>292</v>
      </c>
      <c r="H330" s="123">
        <v>117</v>
      </c>
      <c r="I330" s="124">
        <v>7.74</v>
      </c>
      <c r="J330" s="124">
        <f t="shared" si="70"/>
        <v>905.58</v>
      </c>
      <c r="K330" s="121" t="s">
        <v>1</v>
      </c>
      <c r="L330" s="24"/>
      <c r="M330" s="125" t="s">
        <v>1</v>
      </c>
      <c r="N330" s="126" t="s">
        <v>32</v>
      </c>
      <c r="O330" s="127">
        <v>0</v>
      </c>
      <c r="P330" s="127">
        <f t="shared" si="71"/>
        <v>0</v>
      </c>
      <c r="Q330" s="127">
        <v>0</v>
      </c>
      <c r="R330" s="127">
        <f t="shared" si="72"/>
        <v>0</v>
      </c>
      <c r="S330" s="127">
        <v>0</v>
      </c>
      <c r="T330" s="128">
        <f t="shared" si="73"/>
        <v>0</v>
      </c>
      <c r="AR330" s="129" t="s">
        <v>235</v>
      </c>
      <c r="AT330" s="129" t="s">
        <v>231</v>
      </c>
      <c r="AU330" s="129" t="s">
        <v>76</v>
      </c>
      <c r="AY330" s="13" t="s">
        <v>228</v>
      </c>
      <c r="BE330" s="130">
        <f t="shared" si="74"/>
        <v>0</v>
      </c>
      <c r="BF330" s="130">
        <f t="shared" si="75"/>
        <v>905.58</v>
      </c>
      <c r="BG330" s="130">
        <f t="shared" si="76"/>
        <v>0</v>
      </c>
      <c r="BH330" s="130">
        <f t="shared" si="77"/>
        <v>0</v>
      </c>
      <c r="BI330" s="130">
        <f t="shared" si="78"/>
        <v>0</v>
      </c>
      <c r="BJ330" s="13" t="s">
        <v>76</v>
      </c>
      <c r="BK330" s="130">
        <f t="shared" si="79"/>
        <v>905.58</v>
      </c>
      <c r="BL330" s="13" t="s">
        <v>235</v>
      </c>
      <c r="BM330" s="129" t="s">
        <v>848</v>
      </c>
    </row>
    <row r="331" spans="2:65" s="1" customFormat="1" ht="16.5" customHeight="1" x14ac:dyDescent="0.2">
      <c r="B331" s="118"/>
      <c r="C331" s="119" t="s">
        <v>535</v>
      </c>
      <c r="D331" s="119" t="s">
        <v>231</v>
      </c>
      <c r="E331" s="120" t="s">
        <v>2888</v>
      </c>
      <c r="F331" s="121" t="s">
        <v>2889</v>
      </c>
      <c r="G331" s="122" t="s">
        <v>292</v>
      </c>
      <c r="H331" s="123">
        <v>39</v>
      </c>
      <c r="I331" s="124">
        <v>5.61</v>
      </c>
      <c r="J331" s="124">
        <f t="shared" si="70"/>
        <v>218.79</v>
      </c>
      <c r="K331" s="121" t="s">
        <v>1</v>
      </c>
      <c r="L331" s="24"/>
      <c r="M331" s="125" t="s">
        <v>1</v>
      </c>
      <c r="N331" s="126" t="s">
        <v>32</v>
      </c>
      <c r="O331" s="127">
        <v>0</v>
      </c>
      <c r="P331" s="127">
        <f t="shared" si="71"/>
        <v>0</v>
      </c>
      <c r="Q331" s="127">
        <v>0</v>
      </c>
      <c r="R331" s="127">
        <f t="shared" si="72"/>
        <v>0</v>
      </c>
      <c r="S331" s="127">
        <v>0</v>
      </c>
      <c r="T331" s="128">
        <f t="shared" si="73"/>
        <v>0</v>
      </c>
      <c r="AR331" s="129" t="s">
        <v>235</v>
      </c>
      <c r="AT331" s="129" t="s">
        <v>231</v>
      </c>
      <c r="AU331" s="129" t="s">
        <v>76</v>
      </c>
      <c r="AY331" s="13" t="s">
        <v>228</v>
      </c>
      <c r="BE331" s="130">
        <f t="shared" si="74"/>
        <v>0</v>
      </c>
      <c r="BF331" s="130">
        <f t="shared" si="75"/>
        <v>218.79</v>
      </c>
      <c r="BG331" s="130">
        <f t="shared" si="76"/>
        <v>0</v>
      </c>
      <c r="BH331" s="130">
        <f t="shared" si="77"/>
        <v>0</v>
      </c>
      <c r="BI331" s="130">
        <f t="shared" si="78"/>
        <v>0</v>
      </c>
      <c r="BJ331" s="13" t="s">
        <v>76</v>
      </c>
      <c r="BK331" s="130">
        <f t="shared" si="79"/>
        <v>218.79</v>
      </c>
      <c r="BL331" s="13" t="s">
        <v>235</v>
      </c>
      <c r="BM331" s="129" t="s">
        <v>851</v>
      </c>
    </row>
    <row r="332" spans="2:65" s="1" customFormat="1" ht="16.5" customHeight="1" x14ac:dyDescent="0.2">
      <c r="B332" s="118"/>
      <c r="C332" s="119" t="s">
        <v>852</v>
      </c>
      <c r="D332" s="119" t="s">
        <v>231</v>
      </c>
      <c r="E332" s="120" t="s">
        <v>4216</v>
      </c>
      <c r="F332" s="121" t="s">
        <v>2891</v>
      </c>
      <c r="G332" s="122" t="s">
        <v>243</v>
      </c>
      <c r="H332" s="123">
        <v>52</v>
      </c>
      <c r="I332" s="124">
        <v>0.34</v>
      </c>
      <c r="J332" s="124">
        <f t="shared" si="70"/>
        <v>17.68</v>
      </c>
      <c r="K332" s="121" t="s">
        <v>1</v>
      </c>
      <c r="L332" s="24"/>
      <c r="M332" s="125" t="s">
        <v>1</v>
      </c>
      <c r="N332" s="126" t="s">
        <v>32</v>
      </c>
      <c r="O332" s="127">
        <v>0</v>
      </c>
      <c r="P332" s="127">
        <f t="shared" si="71"/>
        <v>0</v>
      </c>
      <c r="Q332" s="127">
        <v>0</v>
      </c>
      <c r="R332" s="127">
        <f t="shared" si="72"/>
        <v>0</v>
      </c>
      <c r="S332" s="127">
        <v>0</v>
      </c>
      <c r="T332" s="128">
        <f t="shared" si="73"/>
        <v>0</v>
      </c>
      <c r="AR332" s="129" t="s">
        <v>235</v>
      </c>
      <c r="AT332" s="129" t="s">
        <v>231</v>
      </c>
      <c r="AU332" s="129" t="s">
        <v>76</v>
      </c>
      <c r="AY332" s="13" t="s">
        <v>228</v>
      </c>
      <c r="BE332" s="130">
        <f t="shared" si="74"/>
        <v>0</v>
      </c>
      <c r="BF332" s="130">
        <f t="shared" si="75"/>
        <v>17.68</v>
      </c>
      <c r="BG332" s="130">
        <f t="shared" si="76"/>
        <v>0</v>
      </c>
      <c r="BH332" s="130">
        <f t="shared" si="77"/>
        <v>0</v>
      </c>
      <c r="BI332" s="130">
        <f t="shared" si="78"/>
        <v>0</v>
      </c>
      <c r="BJ332" s="13" t="s">
        <v>76</v>
      </c>
      <c r="BK332" s="130">
        <f t="shared" si="79"/>
        <v>17.68</v>
      </c>
      <c r="BL332" s="13" t="s">
        <v>235</v>
      </c>
      <c r="BM332" s="129" t="s">
        <v>855</v>
      </c>
    </row>
    <row r="333" spans="2:65" s="1" customFormat="1" ht="16.5" customHeight="1" x14ac:dyDescent="0.2">
      <c r="B333" s="118"/>
      <c r="C333" s="119" t="s">
        <v>539</v>
      </c>
      <c r="D333" s="119" t="s">
        <v>231</v>
      </c>
      <c r="E333" s="120" t="s">
        <v>2892</v>
      </c>
      <c r="F333" s="121" t="s">
        <v>2893</v>
      </c>
      <c r="G333" s="122" t="s">
        <v>292</v>
      </c>
      <c r="H333" s="123">
        <v>100</v>
      </c>
      <c r="I333" s="124">
        <v>2.14</v>
      </c>
      <c r="J333" s="124">
        <f t="shared" si="70"/>
        <v>214</v>
      </c>
      <c r="K333" s="121" t="s">
        <v>1</v>
      </c>
      <c r="L333" s="24"/>
      <c r="M333" s="125" t="s">
        <v>1</v>
      </c>
      <c r="N333" s="126" t="s">
        <v>32</v>
      </c>
      <c r="O333" s="127">
        <v>0</v>
      </c>
      <c r="P333" s="127">
        <f t="shared" si="71"/>
        <v>0</v>
      </c>
      <c r="Q333" s="127">
        <v>0</v>
      </c>
      <c r="R333" s="127">
        <f t="shared" si="72"/>
        <v>0</v>
      </c>
      <c r="S333" s="127">
        <v>0</v>
      </c>
      <c r="T333" s="128">
        <f t="shared" si="73"/>
        <v>0</v>
      </c>
      <c r="AR333" s="129" t="s">
        <v>235</v>
      </c>
      <c r="AT333" s="129" t="s">
        <v>231</v>
      </c>
      <c r="AU333" s="129" t="s">
        <v>76</v>
      </c>
      <c r="AY333" s="13" t="s">
        <v>228</v>
      </c>
      <c r="BE333" s="130">
        <f t="shared" si="74"/>
        <v>0</v>
      </c>
      <c r="BF333" s="130">
        <f t="shared" si="75"/>
        <v>214</v>
      </c>
      <c r="BG333" s="130">
        <f t="shared" si="76"/>
        <v>0</v>
      </c>
      <c r="BH333" s="130">
        <f t="shared" si="77"/>
        <v>0</v>
      </c>
      <c r="BI333" s="130">
        <f t="shared" si="78"/>
        <v>0</v>
      </c>
      <c r="BJ333" s="13" t="s">
        <v>76</v>
      </c>
      <c r="BK333" s="130">
        <f t="shared" si="79"/>
        <v>214</v>
      </c>
      <c r="BL333" s="13" t="s">
        <v>235</v>
      </c>
      <c r="BM333" s="129" t="s">
        <v>858</v>
      </c>
    </row>
    <row r="334" spans="2:65" s="1" customFormat="1" ht="16.5" customHeight="1" x14ac:dyDescent="0.2">
      <c r="B334" s="118"/>
      <c r="C334" s="119" t="s">
        <v>859</v>
      </c>
      <c r="D334" s="119" t="s">
        <v>231</v>
      </c>
      <c r="E334" s="120" t="s">
        <v>2894</v>
      </c>
      <c r="F334" s="121" t="s">
        <v>2895</v>
      </c>
      <c r="G334" s="122" t="s">
        <v>292</v>
      </c>
      <c r="H334" s="123">
        <v>100</v>
      </c>
      <c r="I334" s="124">
        <v>1.34</v>
      </c>
      <c r="J334" s="124">
        <f t="shared" si="70"/>
        <v>134</v>
      </c>
      <c r="K334" s="121" t="s">
        <v>1</v>
      </c>
      <c r="L334" s="24"/>
      <c r="M334" s="125" t="s">
        <v>1</v>
      </c>
      <c r="N334" s="126" t="s">
        <v>32</v>
      </c>
      <c r="O334" s="127">
        <v>0</v>
      </c>
      <c r="P334" s="127">
        <f t="shared" si="71"/>
        <v>0</v>
      </c>
      <c r="Q334" s="127">
        <v>0</v>
      </c>
      <c r="R334" s="127">
        <f t="shared" si="72"/>
        <v>0</v>
      </c>
      <c r="S334" s="127">
        <v>0</v>
      </c>
      <c r="T334" s="128">
        <f t="shared" si="73"/>
        <v>0</v>
      </c>
      <c r="AR334" s="129" t="s">
        <v>235</v>
      </c>
      <c r="AT334" s="129" t="s">
        <v>231</v>
      </c>
      <c r="AU334" s="129" t="s">
        <v>76</v>
      </c>
      <c r="AY334" s="13" t="s">
        <v>228</v>
      </c>
      <c r="BE334" s="130">
        <f t="shared" si="74"/>
        <v>0</v>
      </c>
      <c r="BF334" s="130">
        <f t="shared" si="75"/>
        <v>134</v>
      </c>
      <c r="BG334" s="130">
        <f t="shared" si="76"/>
        <v>0</v>
      </c>
      <c r="BH334" s="130">
        <f t="shared" si="77"/>
        <v>0</v>
      </c>
      <c r="BI334" s="130">
        <f t="shared" si="78"/>
        <v>0</v>
      </c>
      <c r="BJ334" s="13" t="s">
        <v>76</v>
      </c>
      <c r="BK334" s="130">
        <f t="shared" si="79"/>
        <v>134</v>
      </c>
      <c r="BL334" s="13" t="s">
        <v>235</v>
      </c>
      <c r="BM334" s="129" t="s">
        <v>862</v>
      </c>
    </row>
    <row r="335" spans="2:65" s="1" customFormat="1" ht="16.5" customHeight="1" x14ac:dyDescent="0.2">
      <c r="B335" s="118"/>
      <c r="C335" s="119" t="s">
        <v>542</v>
      </c>
      <c r="D335" s="119" t="s">
        <v>231</v>
      </c>
      <c r="E335" s="120" t="s">
        <v>2896</v>
      </c>
      <c r="F335" s="121" t="s">
        <v>2897</v>
      </c>
      <c r="G335" s="122" t="s">
        <v>292</v>
      </c>
      <c r="H335" s="123">
        <v>200</v>
      </c>
      <c r="I335" s="124">
        <v>0.53</v>
      </c>
      <c r="J335" s="124">
        <f t="shared" si="70"/>
        <v>106</v>
      </c>
      <c r="K335" s="121" t="s">
        <v>1</v>
      </c>
      <c r="L335" s="24"/>
      <c r="M335" s="125" t="s">
        <v>1</v>
      </c>
      <c r="N335" s="126" t="s">
        <v>32</v>
      </c>
      <c r="O335" s="127">
        <v>0</v>
      </c>
      <c r="P335" s="127">
        <f t="shared" si="71"/>
        <v>0</v>
      </c>
      <c r="Q335" s="127">
        <v>0</v>
      </c>
      <c r="R335" s="127">
        <f t="shared" si="72"/>
        <v>0</v>
      </c>
      <c r="S335" s="127">
        <v>0</v>
      </c>
      <c r="T335" s="128">
        <f t="shared" si="73"/>
        <v>0</v>
      </c>
      <c r="AR335" s="129" t="s">
        <v>235</v>
      </c>
      <c r="AT335" s="129" t="s">
        <v>231</v>
      </c>
      <c r="AU335" s="129" t="s">
        <v>76</v>
      </c>
      <c r="AY335" s="13" t="s">
        <v>228</v>
      </c>
      <c r="BE335" s="130">
        <f t="shared" si="74"/>
        <v>0</v>
      </c>
      <c r="BF335" s="130">
        <f t="shared" si="75"/>
        <v>106</v>
      </c>
      <c r="BG335" s="130">
        <f t="shared" si="76"/>
        <v>0</v>
      </c>
      <c r="BH335" s="130">
        <f t="shared" si="77"/>
        <v>0</v>
      </c>
      <c r="BI335" s="130">
        <f t="shared" si="78"/>
        <v>0</v>
      </c>
      <c r="BJ335" s="13" t="s">
        <v>76</v>
      </c>
      <c r="BK335" s="130">
        <f t="shared" si="79"/>
        <v>106</v>
      </c>
      <c r="BL335" s="13" t="s">
        <v>235</v>
      </c>
      <c r="BM335" s="129" t="s">
        <v>867</v>
      </c>
    </row>
    <row r="336" spans="2:65" s="1" customFormat="1" ht="16.5" customHeight="1" x14ac:dyDescent="0.2">
      <c r="B336" s="118"/>
      <c r="C336" s="119" t="s">
        <v>868</v>
      </c>
      <c r="D336" s="119" t="s">
        <v>231</v>
      </c>
      <c r="E336" s="120" t="s">
        <v>4217</v>
      </c>
      <c r="F336" s="121" t="s">
        <v>2899</v>
      </c>
      <c r="G336" s="122" t="s">
        <v>243</v>
      </c>
      <c r="H336" s="123">
        <v>50</v>
      </c>
      <c r="I336" s="124">
        <v>0.46</v>
      </c>
      <c r="J336" s="124">
        <f t="shared" si="70"/>
        <v>23</v>
      </c>
      <c r="K336" s="121" t="s">
        <v>1</v>
      </c>
      <c r="L336" s="24"/>
      <c r="M336" s="125" t="s">
        <v>1</v>
      </c>
      <c r="N336" s="126" t="s">
        <v>32</v>
      </c>
      <c r="O336" s="127">
        <v>0</v>
      </c>
      <c r="P336" s="127">
        <f t="shared" si="71"/>
        <v>0</v>
      </c>
      <c r="Q336" s="127">
        <v>0</v>
      </c>
      <c r="R336" s="127">
        <f t="shared" si="72"/>
        <v>0</v>
      </c>
      <c r="S336" s="127">
        <v>0</v>
      </c>
      <c r="T336" s="128">
        <f t="shared" si="73"/>
        <v>0</v>
      </c>
      <c r="AR336" s="129" t="s">
        <v>235</v>
      </c>
      <c r="AT336" s="129" t="s">
        <v>231</v>
      </c>
      <c r="AU336" s="129" t="s">
        <v>76</v>
      </c>
      <c r="AY336" s="13" t="s">
        <v>228</v>
      </c>
      <c r="BE336" s="130">
        <f t="shared" si="74"/>
        <v>0</v>
      </c>
      <c r="BF336" s="130">
        <f t="shared" si="75"/>
        <v>23</v>
      </c>
      <c r="BG336" s="130">
        <f t="shared" si="76"/>
        <v>0</v>
      </c>
      <c r="BH336" s="130">
        <f t="shared" si="77"/>
        <v>0</v>
      </c>
      <c r="BI336" s="130">
        <f t="shared" si="78"/>
        <v>0</v>
      </c>
      <c r="BJ336" s="13" t="s">
        <v>76</v>
      </c>
      <c r="BK336" s="130">
        <f t="shared" si="79"/>
        <v>23</v>
      </c>
      <c r="BL336" s="13" t="s">
        <v>235</v>
      </c>
      <c r="BM336" s="129" t="s">
        <v>871</v>
      </c>
    </row>
    <row r="337" spans="2:65" s="1" customFormat="1" ht="16.5" customHeight="1" x14ac:dyDescent="0.2">
      <c r="B337" s="118"/>
      <c r="C337" s="119" t="s">
        <v>546</v>
      </c>
      <c r="D337" s="119" t="s">
        <v>231</v>
      </c>
      <c r="E337" s="120" t="s">
        <v>4218</v>
      </c>
      <c r="F337" s="121" t="s">
        <v>2901</v>
      </c>
      <c r="G337" s="122" t="s">
        <v>243</v>
      </c>
      <c r="H337" s="123">
        <v>50</v>
      </c>
      <c r="I337" s="124">
        <v>0.44</v>
      </c>
      <c r="J337" s="124">
        <f t="shared" si="70"/>
        <v>22</v>
      </c>
      <c r="K337" s="121" t="s">
        <v>1</v>
      </c>
      <c r="L337" s="24"/>
      <c r="M337" s="125" t="s">
        <v>1</v>
      </c>
      <c r="N337" s="126" t="s">
        <v>32</v>
      </c>
      <c r="O337" s="127">
        <v>0</v>
      </c>
      <c r="P337" s="127">
        <f t="shared" si="71"/>
        <v>0</v>
      </c>
      <c r="Q337" s="127">
        <v>0</v>
      </c>
      <c r="R337" s="127">
        <f t="shared" si="72"/>
        <v>0</v>
      </c>
      <c r="S337" s="127">
        <v>0</v>
      </c>
      <c r="T337" s="128">
        <f t="shared" si="73"/>
        <v>0</v>
      </c>
      <c r="AR337" s="129" t="s">
        <v>235</v>
      </c>
      <c r="AT337" s="129" t="s">
        <v>231</v>
      </c>
      <c r="AU337" s="129" t="s">
        <v>76</v>
      </c>
      <c r="AY337" s="13" t="s">
        <v>228</v>
      </c>
      <c r="BE337" s="130">
        <f t="shared" si="74"/>
        <v>0</v>
      </c>
      <c r="BF337" s="130">
        <f t="shared" si="75"/>
        <v>22</v>
      </c>
      <c r="BG337" s="130">
        <f t="shared" si="76"/>
        <v>0</v>
      </c>
      <c r="BH337" s="130">
        <f t="shared" si="77"/>
        <v>0</v>
      </c>
      <c r="BI337" s="130">
        <f t="shared" si="78"/>
        <v>0</v>
      </c>
      <c r="BJ337" s="13" t="s">
        <v>76</v>
      </c>
      <c r="BK337" s="130">
        <f t="shared" si="79"/>
        <v>22</v>
      </c>
      <c r="BL337" s="13" t="s">
        <v>235</v>
      </c>
      <c r="BM337" s="129" t="s">
        <v>874</v>
      </c>
    </row>
    <row r="338" spans="2:65" s="1" customFormat="1" ht="16.5" customHeight="1" x14ac:dyDescent="0.2">
      <c r="B338" s="118"/>
      <c r="C338" s="119" t="s">
        <v>875</v>
      </c>
      <c r="D338" s="119" t="s">
        <v>231</v>
      </c>
      <c r="E338" s="120" t="s">
        <v>4219</v>
      </c>
      <c r="F338" s="121" t="s">
        <v>2903</v>
      </c>
      <c r="G338" s="122" t="s">
        <v>243</v>
      </c>
      <c r="H338" s="123">
        <v>100</v>
      </c>
      <c r="I338" s="124">
        <v>0.34</v>
      </c>
      <c r="J338" s="124">
        <f t="shared" si="70"/>
        <v>34</v>
      </c>
      <c r="K338" s="121" t="s">
        <v>1</v>
      </c>
      <c r="L338" s="24"/>
      <c r="M338" s="125" t="s">
        <v>1</v>
      </c>
      <c r="N338" s="126" t="s">
        <v>32</v>
      </c>
      <c r="O338" s="127">
        <v>0</v>
      </c>
      <c r="P338" s="127">
        <f t="shared" si="71"/>
        <v>0</v>
      </c>
      <c r="Q338" s="127">
        <v>0</v>
      </c>
      <c r="R338" s="127">
        <f t="shared" si="72"/>
        <v>0</v>
      </c>
      <c r="S338" s="127">
        <v>0</v>
      </c>
      <c r="T338" s="128">
        <f t="shared" si="73"/>
        <v>0</v>
      </c>
      <c r="AR338" s="129" t="s">
        <v>235</v>
      </c>
      <c r="AT338" s="129" t="s">
        <v>231</v>
      </c>
      <c r="AU338" s="129" t="s">
        <v>76</v>
      </c>
      <c r="AY338" s="13" t="s">
        <v>228</v>
      </c>
      <c r="BE338" s="130">
        <f t="shared" si="74"/>
        <v>0</v>
      </c>
      <c r="BF338" s="130">
        <f t="shared" si="75"/>
        <v>34</v>
      </c>
      <c r="BG338" s="130">
        <f t="shared" si="76"/>
        <v>0</v>
      </c>
      <c r="BH338" s="130">
        <f t="shared" si="77"/>
        <v>0</v>
      </c>
      <c r="BI338" s="130">
        <f t="shared" si="78"/>
        <v>0</v>
      </c>
      <c r="BJ338" s="13" t="s">
        <v>76</v>
      </c>
      <c r="BK338" s="130">
        <f t="shared" si="79"/>
        <v>34</v>
      </c>
      <c r="BL338" s="13" t="s">
        <v>235</v>
      </c>
      <c r="BM338" s="129" t="s">
        <v>878</v>
      </c>
    </row>
    <row r="339" spans="2:65" s="1" customFormat="1" ht="16.5" customHeight="1" x14ac:dyDescent="0.2">
      <c r="B339" s="118"/>
      <c r="C339" s="119" t="s">
        <v>549</v>
      </c>
      <c r="D339" s="119" t="s">
        <v>231</v>
      </c>
      <c r="E339" s="120" t="s">
        <v>4220</v>
      </c>
      <c r="F339" s="121" t="s">
        <v>2905</v>
      </c>
      <c r="G339" s="122" t="s">
        <v>243</v>
      </c>
      <c r="H339" s="123">
        <v>40</v>
      </c>
      <c r="I339" s="124">
        <v>0.67</v>
      </c>
      <c r="J339" s="124">
        <f t="shared" si="70"/>
        <v>26.8</v>
      </c>
      <c r="K339" s="121" t="s">
        <v>1</v>
      </c>
      <c r="L339" s="24"/>
      <c r="M339" s="125" t="s">
        <v>1</v>
      </c>
      <c r="N339" s="126" t="s">
        <v>32</v>
      </c>
      <c r="O339" s="127">
        <v>0</v>
      </c>
      <c r="P339" s="127">
        <f t="shared" si="71"/>
        <v>0</v>
      </c>
      <c r="Q339" s="127">
        <v>0</v>
      </c>
      <c r="R339" s="127">
        <f t="shared" si="72"/>
        <v>0</v>
      </c>
      <c r="S339" s="127">
        <v>0</v>
      </c>
      <c r="T339" s="128">
        <f t="shared" si="73"/>
        <v>0</v>
      </c>
      <c r="AR339" s="129" t="s">
        <v>235</v>
      </c>
      <c r="AT339" s="129" t="s">
        <v>231</v>
      </c>
      <c r="AU339" s="129" t="s">
        <v>76</v>
      </c>
      <c r="AY339" s="13" t="s">
        <v>228</v>
      </c>
      <c r="BE339" s="130">
        <f t="shared" si="74"/>
        <v>0</v>
      </c>
      <c r="BF339" s="130">
        <f t="shared" si="75"/>
        <v>26.8</v>
      </c>
      <c r="BG339" s="130">
        <f t="shared" si="76"/>
        <v>0</v>
      </c>
      <c r="BH339" s="130">
        <f t="shared" si="77"/>
        <v>0</v>
      </c>
      <c r="BI339" s="130">
        <f t="shared" si="78"/>
        <v>0</v>
      </c>
      <c r="BJ339" s="13" t="s">
        <v>76</v>
      </c>
      <c r="BK339" s="130">
        <f t="shared" si="79"/>
        <v>26.8</v>
      </c>
      <c r="BL339" s="13" t="s">
        <v>235</v>
      </c>
      <c r="BM339" s="129" t="s">
        <v>881</v>
      </c>
    </row>
    <row r="340" spans="2:65" s="1" customFormat="1" ht="16.5" customHeight="1" x14ac:dyDescent="0.2">
      <c r="B340" s="118"/>
      <c r="C340" s="119" t="s">
        <v>884</v>
      </c>
      <c r="D340" s="119" t="s">
        <v>231</v>
      </c>
      <c r="E340" s="120" t="s">
        <v>5063</v>
      </c>
      <c r="F340" s="121" t="s">
        <v>5064</v>
      </c>
      <c r="G340" s="122" t="s">
        <v>5065</v>
      </c>
      <c r="H340" s="123">
        <v>1.2</v>
      </c>
      <c r="I340" s="124">
        <v>13.35</v>
      </c>
      <c r="J340" s="124">
        <f t="shared" si="70"/>
        <v>16.02</v>
      </c>
      <c r="K340" s="121" t="s">
        <v>1</v>
      </c>
      <c r="L340" s="24"/>
      <c r="M340" s="125" t="s">
        <v>1</v>
      </c>
      <c r="N340" s="126" t="s">
        <v>32</v>
      </c>
      <c r="O340" s="127">
        <v>0</v>
      </c>
      <c r="P340" s="127">
        <f t="shared" si="71"/>
        <v>0</v>
      </c>
      <c r="Q340" s="127">
        <v>0</v>
      </c>
      <c r="R340" s="127">
        <f t="shared" si="72"/>
        <v>0</v>
      </c>
      <c r="S340" s="127">
        <v>0</v>
      </c>
      <c r="T340" s="128">
        <f t="shared" si="73"/>
        <v>0</v>
      </c>
      <c r="AR340" s="129" t="s">
        <v>235</v>
      </c>
      <c r="AT340" s="129" t="s">
        <v>231</v>
      </c>
      <c r="AU340" s="129" t="s">
        <v>76</v>
      </c>
      <c r="AY340" s="13" t="s">
        <v>228</v>
      </c>
      <c r="BE340" s="130">
        <f t="shared" si="74"/>
        <v>0</v>
      </c>
      <c r="BF340" s="130">
        <f t="shared" si="75"/>
        <v>16.02</v>
      </c>
      <c r="BG340" s="130">
        <f t="shared" si="76"/>
        <v>0</v>
      </c>
      <c r="BH340" s="130">
        <f t="shared" si="77"/>
        <v>0</v>
      </c>
      <c r="BI340" s="130">
        <f t="shared" si="78"/>
        <v>0</v>
      </c>
      <c r="BJ340" s="13" t="s">
        <v>76</v>
      </c>
      <c r="BK340" s="130">
        <f t="shared" si="79"/>
        <v>16.02</v>
      </c>
      <c r="BL340" s="13" t="s">
        <v>235</v>
      </c>
      <c r="BM340" s="129" t="s">
        <v>887</v>
      </c>
    </row>
    <row r="341" spans="2:65" s="1" customFormat="1" ht="16.5" customHeight="1" x14ac:dyDescent="0.2">
      <c r="B341" s="118"/>
      <c r="C341" s="119" t="s">
        <v>555</v>
      </c>
      <c r="D341" s="119" t="s">
        <v>231</v>
      </c>
      <c r="E341" s="120" t="s">
        <v>2908</v>
      </c>
      <c r="F341" s="121" t="s">
        <v>2909</v>
      </c>
      <c r="G341" s="122" t="s">
        <v>1035</v>
      </c>
      <c r="H341" s="123">
        <v>8</v>
      </c>
      <c r="I341" s="124">
        <v>1.47</v>
      </c>
      <c r="J341" s="124">
        <f t="shared" si="70"/>
        <v>11.76</v>
      </c>
      <c r="K341" s="121" t="s">
        <v>1</v>
      </c>
      <c r="L341" s="24"/>
      <c r="M341" s="125" t="s">
        <v>1</v>
      </c>
      <c r="N341" s="126" t="s">
        <v>32</v>
      </c>
      <c r="O341" s="127">
        <v>0</v>
      </c>
      <c r="P341" s="127">
        <f t="shared" si="71"/>
        <v>0</v>
      </c>
      <c r="Q341" s="127">
        <v>0</v>
      </c>
      <c r="R341" s="127">
        <f t="shared" si="72"/>
        <v>0</v>
      </c>
      <c r="S341" s="127">
        <v>0</v>
      </c>
      <c r="T341" s="128">
        <f t="shared" si="73"/>
        <v>0</v>
      </c>
      <c r="AR341" s="129" t="s">
        <v>235</v>
      </c>
      <c r="AT341" s="129" t="s">
        <v>231</v>
      </c>
      <c r="AU341" s="129" t="s">
        <v>76</v>
      </c>
      <c r="AY341" s="13" t="s">
        <v>228</v>
      </c>
      <c r="BE341" s="130">
        <f t="shared" si="74"/>
        <v>0</v>
      </c>
      <c r="BF341" s="130">
        <f t="shared" si="75"/>
        <v>11.76</v>
      </c>
      <c r="BG341" s="130">
        <f t="shared" si="76"/>
        <v>0</v>
      </c>
      <c r="BH341" s="130">
        <f t="shared" si="77"/>
        <v>0</v>
      </c>
      <c r="BI341" s="130">
        <f t="shared" si="78"/>
        <v>0</v>
      </c>
      <c r="BJ341" s="13" t="s">
        <v>76</v>
      </c>
      <c r="BK341" s="130">
        <f t="shared" si="79"/>
        <v>11.76</v>
      </c>
      <c r="BL341" s="13" t="s">
        <v>235</v>
      </c>
      <c r="BM341" s="129" t="s">
        <v>890</v>
      </c>
    </row>
    <row r="342" spans="2:65" s="1" customFormat="1" ht="24" customHeight="1" x14ac:dyDescent="0.2">
      <c r="B342" s="118"/>
      <c r="C342" s="119" t="s">
        <v>2200</v>
      </c>
      <c r="D342" s="119" t="s">
        <v>231</v>
      </c>
      <c r="E342" s="120" t="s">
        <v>4222</v>
      </c>
      <c r="F342" s="121" t="s">
        <v>2911</v>
      </c>
      <c r="G342" s="122" t="s">
        <v>243</v>
      </c>
      <c r="H342" s="123">
        <v>20</v>
      </c>
      <c r="I342" s="124">
        <v>1.6</v>
      </c>
      <c r="J342" s="124">
        <f t="shared" si="70"/>
        <v>32</v>
      </c>
      <c r="K342" s="121" t="s">
        <v>1</v>
      </c>
      <c r="L342" s="24"/>
      <c r="M342" s="125" t="s">
        <v>1</v>
      </c>
      <c r="N342" s="126" t="s">
        <v>32</v>
      </c>
      <c r="O342" s="127">
        <v>0</v>
      </c>
      <c r="P342" s="127">
        <f t="shared" si="71"/>
        <v>0</v>
      </c>
      <c r="Q342" s="127">
        <v>0</v>
      </c>
      <c r="R342" s="127">
        <f t="shared" si="72"/>
        <v>0</v>
      </c>
      <c r="S342" s="127">
        <v>0</v>
      </c>
      <c r="T342" s="128">
        <f t="shared" si="73"/>
        <v>0</v>
      </c>
      <c r="AR342" s="129" t="s">
        <v>235</v>
      </c>
      <c r="AT342" s="129" t="s">
        <v>231</v>
      </c>
      <c r="AU342" s="129" t="s">
        <v>76</v>
      </c>
      <c r="AY342" s="13" t="s">
        <v>228</v>
      </c>
      <c r="BE342" s="130">
        <f t="shared" si="74"/>
        <v>0</v>
      </c>
      <c r="BF342" s="130">
        <f t="shared" si="75"/>
        <v>32</v>
      </c>
      <c r="BG342" s="130">
        <f t="shared" si="76"/>
        <v>0</v>
      </c>
      <c r="BH342" s="130">
        <f t="shared" si="77"/>
        <v>0</v>
      </c>
      <c r="BI342" s="130">
        <f t="shared" si="78"/>
        <v>0</v>
      </c>
      <c r="BJ342" s="13" t="s">
        <v>76</v>
      </c>
      <c r="BK342" s="130">
        <f t="shared" si="79"/>
        <v>32</v>
      </c>
      <c r="BL342" s="13" t="s">
        <v>235</v>
      </c>
      <c r="BM342" s="129" t="s">
        <v>2201</v>
      </c>
    </row>
    <row r="343" spans="2:65" s="1" customFormat="1" ht="24" customHeight="1" x14ac:dyDescent="0.2">
      <c r="B343" s="118"/>
      <c r="C343" s="119" t="s">
        <v>562</v>
      </c>
      <c r="D343" s="119" t="s">
        <v>231</v>
      </c>
      <c r="E343" s="120" t="s">
        <v>4223</v>
      </c>
      <c r="F343" s="121" t="s">
        <v>2913</v>
      </c>
      <c r="G343" s="122" t="s">
        <v>243</v>
      </c>
      <c r="H343" s="123">
        <v>10</v>
      </c>
      <c r="I343" s="124">
        <v>0.59</v>
      </c>
      <c r="J343" s="124">
        <f t="shared" si="70"/>
        <v>5.9</v>
      </c>
      <c r="K343" s="121" t="s">
        <v>1</v>
      </c>
      <c r="L343" s="24"/>
      <c r="M343" s="125" t="s">
        <v>1</v>
      </c>
      <c r="N343" s="126" t="s">
        <v>32</v>
      </c>
      <c r="O343" s="127">
        <v>0</v>
      </c>
      <c r="P343" s="127">
        <f t="shared" si="71"/>
        <v>0</v>
      </c>
      <c r="Q343" s="127">
        <v>0</v>
      </c>
      <c r="R343" s="127">
        <f t="shared" si="72"/>
        <v>0</v>
      </c>
      <c r="S343" s="127">
        <v>0</v>
      </c>
      <c r="T343" s="128">
        <f t="shared" si="73"/>
        <v>0</v>
      </c>
      <c r="AR343" s="129" t="s">
        <v>235</v>
      </c>
      <c r="AT343" s="129" t="s">
        <v>231</v>
      </c>
      <c r="AU343" s="129" t="s">
        <v>76</v>
      </c>
      <c r="AY343" s="13" t="s">
        <v>228</v>
      </c>
      <c r="BE343" s="130">
        <f t="shared" si="74"/>
        <v>0</v>
      </c>
      <c r="BF343" s="130">
        <f t="shared" si="75"/>
        <v>5.9</v>
      </c>
      <c r="BG343" s="130">
        <f t="shared" si="76"/>
        <v>0</v>
      </c>
      <c r="BH343" s="130">
        <f t="shared" si="77"/>
        <v>0</v>
      </c>
      <c r="BI343" s="130">
        <f t="shared" si="78"/>
        <v>0</v>
      </c>
      <c r="BJ343" s="13" t="s">
        <v>76</v>
      </c>
      <c r="BK343" s="130">
        <f t="shared" si="79"/>
        <v>5.9</v>
      </c>
      <c r="BL343" s="13" t="s">
        <v>235</v>
      </c>
      <c r="BM343" s="129" t="s">
        <v>2202</v>
      </c>
    </row>
    <row r="344" spans="2:65" s="1" customFormat="1" ht="16.5" customHeight="1" x14ac:dyDescent="0.2">
      <c r="B344" s="118"/>
      <c r="C344" s="119" t="s">
        <v>2203</v>
      </c>
      <c r="D344" s="119" t="s">
        <v>231</v>
      </c>
      <c r="E344" s="120" t="s">
        <v>4224</v>
      </c>
      <c r="F344" s="121" t="s">
        <v>2915</v>
      </c>
      <c r="G344" s="122" t="s">
        <v>243</v>
      </c>
      <c r="H344" s="123">
        <v>10</v>
      </c>
      <c r="I344" s="124">
        <v>0.8</v>
      </c>
      <c r="J344" s="124">
        <f t="shared" si="70"/>
        <v>8</v>
      </c>
      <c r="K344" s="121" t="s">
        <v>1</v>
      </c>
      <c r="L344" s="24"/>
      <c r="M344" s="125" t="s">
        <v>1</v>
      </c>
      <c r="N344" s="126" t="s">
        <v>32</v>
      </c>
      <c r="O344" s="127">
        <v>0</v>
      </c>
      <c r="P344" s="127">
        <f t="shared" si="71"/>
        <v>0</v>
      </c>
      <c r="Q344" s="127">
        <v>0</v>
      </c>
      <c r="R344" s="127">
        <f t="shared" si="72"/>
        <v>0</v>
      </c>
      <c r="S344" s="127">
        <v>0</v>
      </c>
      <c r="T344" s="128">
        <f t="shared" si="73"/>
        <v>0</v>
      </c>
      <c r="AR344" s="129" t="s">
        <v>235</v>
      </c>
      <c r="AT344" s="129" t="s">
        <v>231</v>
      </c>
      <c r="AU344" s="129" t="s">
        <v>76</v>
      </c>
      <c r="AY344" s="13" t="s">
        <v>228</v>
      </c>
      <c r="BE344" s="130">
        <f t="shared" si="74"/>
        <v>0</v>
      </c>
      <c r="BF344" s="130">
        <f t="shared" si="75"/>
        <v>8</v>
      </c>
      <c r="BG344" s="130">
        <f t="shared" si="76"/>
        <v>0</v>
      </c>
      <c r="BH344" s="130">
        <f t="shared" si="77"/>
        <v>0</v>
      </c>
      <c r="BI344" s="130">
        <f t="shared" si="78"/>
        <v>0</v>
      </c>
      <c r="BJ344" s="13" t="s">
        <v>76</v>
      </c>
      <c r="BK344" s="130">
        <f t="shared" si="79"/>
        <v>8</v>
      </c>
      <c r="BL344" s="13" t="s">
        <v>235</v>
      </c>
      <c r="BM344" s="129" t="s">
        <v>2204</v>
      </c>
    </row>
    <row r="345" spans="2:65" s="1" customFormat="1" ht="16.5" customHeight="1" x14ac:dyDescent="0.2">
      <c r="B345" s="118"/>
      <c r="C345" s="119" t="s">
        <v>567</v>
      </c>
      <c r="D345" s="119" t="s">
        <v>231</v>
      </c>
      <c r="E345" s="120" t="s">
        <v>2916</v>
      </c>
      <c r="F345" s="121" t="s">
        <v>2917</v>
      </c>
      <c r="G345" s="122" t="s">
        <v>284</v>
      </c>
      <c r="H345" s="123">
        <v>1.6</v>
      </c>
      <c r="I345" s="124">
        <v>133.52000000000001</v>
      </c>
      <c r="J345" s="124">
        <f t="shared" si="70"/>
        <v>213.63</v>
      </c>
      <c r="K345" s="121" t="s">
        <v>1</v>
      </c>
      <c r="L345" s="24"/>
      <c r="M345" s="125" t="s">
        <v>1</v>
      </c>
      <c r="N345" s="126" t="s">
        <v>32</v>
      </c>
      <c r="O345" s="127">
        <v>0</v>
      </c>
      <c r="P345" s="127">
        <f t="shared" si="71"/>
        <v>0</v>
      </c>
      <c r="Q345" s="127">
        <v>0</v>
      </c>
      <c r="R345" s="127">
        <f t="shared" si="72"/>
        <v>0</v>
      </c>
      <c r="S345" s="127">
        <v>0</v>
      </c>
      <c r="T345" s="128">
        <f t="shared" si="73"/>
        <v>0</v>
      </c>
      <c r="AR345" s="129" t="s">
        <v>235</v>
      </c>
      <c r="AT345" s="129" t="s">
        <v>231</v>
      </c>
      <c r="AU345" s="129" t="s">
        <v>76</v>
      </c>
      <c r="AY345" s="13" t="s">
        <v>228</v>
      </c>
      <c r="BE345" s="130">
        <f t="shared" si="74"/>
        <v>0</v>
      </c>
      <c r="BF345" s="130">
        <f t="shared" si="75"/>
        <v>213.63</v>
      </c>
      <c r="BG345" s="130">
        <f t="shared" si="76"/>
        <v>0</v>
      </c>
      <c r="BH345" s="130">
        <f t="shared" si="77"/>
        <v>0</v>
      </c>
      <c r="BI345" s="130">
        <f t="shared" si="78"/>
        <v>0</v>
      </c>
      <c r="BJ345" s="13" t="s">
        <v>76</v>
      </c>
      <c r="BK345" s="130">
        <f t="shared" si="79"/>
        <v>213.63</v>
      </c>
      <c r="BL345" s="13" t="s">
        <v>235</v>
      </c>
      <c r="BM345" s="129" t="s">
        <v>2205</v>
      </c>
    </row>
    <row r="346" spans="2:65" s="1" customFormat="1" ht="16.5" customHeight="1" x14ac:dyDescent="0.2">
      <c r="B346" s="118"/>
      <c r="C346" s="119" t="s">
        <v>2206</v>
      </c>
      <c r="D346" s="119" t="s">
        <v>231</v>
      </c>
      <c r="E346" s="120" t="s">
        <v>2918</v>
      </c>
      <c r="F346" s="121" t="s">
        <v>2919</v>
      </c>
      <c r="G346" s="122" t="s">
        <v>284</v>
      </c>
      <c r="H346" s="123">
        <v>5</v>
      </c>
      <c r="I346" s="124">
        <v>66.760000000000005</v>
      </c>
      <c r="J346" s="124">
        <f t="shared" si="70"/>
        <v>333.8</v>
      </c>
      <c r="K346" s="121" t="s">
        <v>1</v>
      </c>
      <c r="L346" s="24"/>
      <c r="M346" s="125" t="s">
        <v>1</v>
      </c>
      <c r="N346" s="126" t="s">
        <v>32</v>
      </c>
      <c r="O346" s="127">
        <v>0</v>
      </c>
      <c r="P346" s="127">
        <f t="shared" si="71"/>
        <v>0</v>
      </c>
      <c r="Q346" s="127">
        <v>0</v>
      </c>
      <c r="R346" s="127">
        <f t="shared" si="72"/>
        <v>0</v>
      </c>
      <c r="S346" s="127">
        <v>0</v>
      </c>
      <c r="T346" s="128">
        <f t="shared" si="73"/>
        <v>0</v>
      </c>
      <c r="AR346" s="129" t="s">
        <v>235</v>
      </c>
      <c r="AT346" s="129" t="s">
        <v>231</v>
      </c>
      <c r="AU346" s="129" t="s">
        <v>76</v>
      </c>
      <c r="AY346" s="13" t="s">
        <v>228</v>
      </c>
      <c r="BE346" s="130">
        <f t="shared" si="74"/>
        <v>0</v>
      </c>
      <c r="BF346" s="130">
        <f t="shared" si="75"/>
        <v>333.8</v>
      </c>
      <c r="BG346" s="130">
        <f t="shared" si="76"/>
        <v>0</v>
      </c>
      <c r="BH346" s="130">
        <f t="shared" si="77"/>
        <v>0</v>
      </c>
      <c r="BI346" s="130">
        <f t="shared" si="78"/>
        <v>0</v>
      </c>
      <c r="BJ346" s="13" t="s">
        <v>76</v>
      </c>
      <c r="BK346" s="130">
        <f t="shared" si="79"/>
        <v>333.8</v>
      </c>
      <c r="BL346" s="13" t="s">
        <v>235</v>
      </c>
      <c r="BM346" s="129" t="s">
        <v>2207</v>
      </c>
    </row>
    <row r="347" spans="2:65" s="1" customFormat="1" ht="16.5" customHeight="1" x14ac:dyDescent="0.2">
      <c r="B347" s="118"/>
      <c r="C347" s="119" t="s">
        <v>571</v>
      </c>
      <c r="D347" s="119" t="s">
        <v>231</v>
      </c>
      <c r="E347" s="120" t="s">
        <v>2920</v>
      </c>
      <c r="F347" s="121" t="s">
        <v>2921</v>
      </c>
      <c r="G347" s="122" t="s">
        <v>1035</v>
      </c>
      <c r="H347" s="123">
        <v>400</v>
      </c>
      <c r="I347" s="124">
        <v>2.14</v>
      </c>
      <c r="J347" s="124">
        <f t="shared" si="70"/>
        <v>856</v>
      </c>
      <c r="K347" s="121" t="s">
        <v>1</v>
      </c>
      <c r="L347" s="24"/>
      <c r="M347" s="125" t="s">
        <v>1</v>
      </c>
      <c r="N347" s="126" t="s">
        <v>32</v>
      </c>
      <c r="O347" s="127">
        <v>0</v>
      </c>
      <c r="P347" s="127">
        <f t="shared" si="71"/>
        <v>0</v>
      </c>
      <c r="Q347" s="127">
        <v>0</v>
      </c>
      <c r="R347" s="127">
        <f t="shared" si="72"/>
        <v>0</v>
      </c>
      <c r="S347" s="127">
        <v>0</v>
      </c>
      <c r="T347" s="128">
        <f t="shared" si="73"/>
        <v>0</v>
      </c>
      <c r="AR347" s="129" t="s">
        <v>235</v>
      </c>
      <c r="AT347" s="129" t="s">
        <v>231</v>
      </c>
      <c r="AU347" s="129" t="s">
        <v>76</v>
      </c>
      <c r="AY347" s="13" t="s">
        <v>228</v>
      </c>
      <c r="BE347" s="130">
        <f t="shared" si="74"/>
        <v>0</v>
      </c>
      <c r="BF347" s="130">
        <f t="shared" si="75"/>
        <v>856</v>
      </c>
      <c r="BG347" s="130">
        <f t="shared" si="76"/>
        <v>0</v>
      </c>
      <c r="BH347" s="130">
        <f t="shared" si="77"/>
        <v>0</v>
      </c>
      <c r="BI347" s="130">
        <f t="shared" si="78"/>
        <v>0</v>
      </c>
      <c r="BJ347" s="13" t="s">
        <v>76</v>
      </c>
      <c r="BK347" s="130">
        <f t="shared" si="79"/>
        <v>856</v>
      </c>
      <c r="BL347" s="13" t="s">
        <v>235</v>
      </c>
      <c r="BM347" s="129" t="s">
        <v>2208</v>
      </c>
    </row>
    <row r="348" spans="2:65" s="1" customFormat="1" ht="16.5" customHeight="1" x14ac:dyDescent="0.2">
      <c r="B348" s="118"/>
      <c r="C348" s="119" t="s">
        <v>2209</v>
      </c>
      <c r="D348" s="119" t="s">
        <v>231</v>
      </c>
      <c r="E348" s="120" t="s">
        <v>5066</v>
      </c>
      <c r="F348" s="121" t="s">
        <v>2923</v>
      </c>
      <c r="G348" s="122" t="s">
        <v>38</v>
      </c>
      <c r="H348" s="123">
        <v>2000</v>
      </c>
      <c r="I348" s="124">
        <v>1.1599999999999999</v>
      </c>
      <c r="J348" s="124">
        <f t="shared" si="70"/>
        <v>2320</v>
      </c>
      <c r="K348" s="121" t="s">
        <v>1</v>
      </c>
      <c r="L348" s="24"/>
      <c r="M348" s="125" t="s">
        <v>1</v>
      </c>
      <c r="N348" s="126" t="s">
        <v>32</v>
      </c>
      <c r="O348" s="127">
        <v>0</v>
      </c>
      <c r="P348" s="127">
        <f t="shared" si="71"/>
        <v>0</v>
      </c>
      <c r="Q348" s="127">
        <v>0</v>
      </c>
      <c r="R348" s="127">
        <f t="shared" si="72"/>
        <v>0</v>
      </c>
      <c r="S348" s="127">
        <v>0</v>
      </c>
      <c r="T348" s="128">
        <f t="shared" si="73"/>
        <v>0</v>
      </c>
      <c r="AR348" s="129" t="s">
        <v>235</v>
      </c>
      <c r="AT348" s="129" t="s">
        <v>231</v>
      </c>
      <c r="AU348" s="129" t="s">
        <v>76</v>
      </c>
      <c r="AY348" s="13" t="s">
        <v>228</v>
      </c>
      <c r="BE348" s="130">
        <f t="shared" si="74"/>
        <v>0</v>
      </c>
      <c r="BF348" s="130">
        <f t="shared" si="75"/>
        <v>2320</v>
      </c>
      <c r="BG348" s="130">
        <f t="shared" si="76"/>
        <v>0</v>
      </c>
      <c r="BH348" s="130">
        <f t="shared" si="77"/>
        <v>0</v>
      </c>
      <c r="BI348" s="130">
        <f t="shared" si="78"/>
        <v>0</v>
      </c>
      <c r="BJ348" s="13" t="s">
        <v>76</v>
      </c>
      <c r="BK348" s="130">
        <f t="shared" si="79"/>
        <v>2320</v>
      </c>
      <c r="BL348" s="13" t="s">
        <v>235</v>
      </c>
      <c r="BM348" s="129" t="s">
        <v>2212</v>
      </c>
    </row>
    <row r="349" spans="2:65" s="11" customFormat="1" ht="22.95" customHeight="1" x14ac:dyDescent="0.25">
      <c r="B349" s="106"/>
      <c r="D349" s="107" t="s">
        <v>57</v>
      </c>
      <c r="E349" s="116" t="s">
        <v>1943</v>
      </c>
      <c r="F349" s="116" t="s">
        <v>2924</v>
      </c>
      <c r="J349" s="117">
        <f>BK349</f>
        <v>4575.8099999999995</v>
      </c>
      <c r="L349" s="106"/>
      <c r="M349" s="110"/>
      <c r="N349" s="111"/>
      <c r="O349" s="111"/>
      <c r="P349" s="112">
        <f>SUM(P350:P353)</f>
        <v>0</v>
      </c>
      <c r="Q349" s="111"/>
      <c r="R349" s="112">
        <f>SUM(R350:R353)</f>
        <v>0</v>
      </c>
      <c r="S349" s="111"/>
      <c r="T349" s="113">
        <f>SUM(T350:T353)</f>
        <v>0</v>
      </c>
      <c r="AR349" s="107" t="s">
        <v>63</v>
      </c>
      <c r="AT349" s="114" t="s">
        <v>57</v>
      </c>
      <c r="AU349" s="114" t="s">
        <v>63</v>
      </c>
      <c r="AY349" s="107" t="s">
        <v>228</v>
      </c>
      <c r="BK349" s="115">
        <f>SUM(BK350:BK353)</f>
        <v>4575.8099999999995</v>
      </c>
    </row>
    <row r="350" spans="2:65" s="1" customFormat="1" ht="16.5" customHeight="1" x14ac:dyDescent="0.2">
      <c r="B350" s="118"/>
      <c r="C350" s="119" t="s">
        <v>577</v>
      </c>
      <c r="D350" s="119" t="s">
        <v>231</v>
      </c>
      <c r="E350" s="120" t="s">
        <v>2843</v>
      </c>
      <c r="F350" s="121" t="s">
        <v>2844</v>
      </c>
      <c r="G350" s="122" t="s">
        <v>570</v>
      </c>
      <c r="H350" s="123">
        <v>225</v>
      </c>
      <c r="I350" s="124">
        <v>4.6399999999999997</v>
      </c>
      <c r="J350" s="124">
        <f>ROUND(I350*H350,2)</f>
        <v>1044</v>
      </c>
      <c r="K350" s="121" t="s">
        <v>1</v>
      </c>
      <c r="L350" s="24"/>
      <c r="M350" s="125" t="s">
        <v>1</v>
      </c>
      <c r="N350" s="126" t="s">
        <v>32</v>
      </c>
      <c r="O350" s="127">
        <v>0</v>
      </c>
      <c r="P350" s="127">
        <f>O350*H350</f>
        <v>0</v>
      </c>
      <c r="Q350" s="127">
        <v>0</v>
      </c>
      <c r="R350" s="127">
        <f>Q350*H350</f>
        <v>0</v>
      </c>
      <c r="S350" s="127">
        <v>0</v>
      </c>
      <c r="T350" s="128">
        <f>S350*H350</f>
        <v>0</v>
      </c>
      <c r="AR350" s="129" t="s">
        <v>235</v>
      </c>
      <c r="AT350" s="129" t="s">
        <v>231</v>
      </c>
      <c r="AU350" s="129" t="s">
        <v>76</v>
      </c>
      <c r="AY350" s="13" t="s">
        <v>228</v>
      </c>
      <c r="BE350" s="130">
        <f>IF(N350="základná",J350,0)</f>
        <v>0</v>
      </c>
      <c r="BF350" s="130">
        <f>IF(N350="znížená",J350,0)</f>
        <v>1044</v>
      </c>
      <c r="BG350" s="130">
        <f>IF(N350="zákl. prenesená",J350,0)</f>
        <v>0</v>
      </c>
      <c r="BH350" s="130">
        <f>IF(N350="zníž. prenesená",J350,0)</f>
        <v>0</v>
      </c>
      <c r="BI350" s="130">
        <f>IF(N350="nulová",J350,0)</f>
        <v>0</v>
      </c>
      <c r="BJ350" s="13" t="s">
        <v>76</v>
      </c>
      <c r="BK350" s="130">
        <f>ROUND(I350*H350,2)</f>
        <v>1044</v>
      </c>
      <c r="BL350" s="13" t="s">
        <v>235</v>
      </c>
      <c r="BM350" s="129" t="s">
        <v>2213</v>
      </c>
    </row>
    <row r="351" spans="2:65" s="1" customFormat="1" ht="16.5" customHeight="1" x14ac:dyDescent="0.2">
      <c r="B351" s="118"/>
      <c r="C351" s="119" t="s">
        <v>2214</v>
      </c>
      <c r="D351" s="119" t="s">
        <v>231</v>
      </c>
      <c r="E351" s="120" t="s">
        <v>2925</v>
      </c>
      <c r="F351" s="121" t="s">
        <v>2926</v>
      </c>
      <c r="G351" s="122" t="s">
        <v>570</v>
      </c>
      <c r="H351" s="123">
        <v>225</v>
      </c>
      <c r="I351" s="124">
        <v>3.48</v>
      </c>
      <c r="J351" s="124">
        <f>ROUND(I351*H351,2)</f>
        <v>783</v>
      </c>
      <c r="K351" s="121" t="s">
        <v>1</v>
      </c>
      <c r="L351" s="24"/>
      <c r="M351" s="125" t="s">
        <v>1</v>
      </c>
      <c r="N351" s="126" t="s">
        <v>32</v>
      </c>
      <c r="O351" s="127">
        <v>0</v>
      </c>
      <c r="P351" s="127">
        <f>O351*H351</f>
        <v>0</v>
      </c>
      <c r="Q351" s="127">
        <v>0</v>
      </c>
      <c r="R351" s="127">
        <f>Q351*H351</f>
        <v>0</v>
      </c>
      <c r="S351" s="127">
        <v>0</v>
      </c>
      <c r="T351" s="128">
        <f>S351*H351</f>
        <v>0</v>
      </c>
      <c r="AR351" s="129" t="s">
        <v>235</v>
      </c>
      <c r="AT351" s="129" t="s">
        <v>231</v>
      </c>
      <c r="AU351" s="129" t="s">
        <v>76</v>
      </c>
      <c r="AY351" s="13" t="s">
        <v>228</v>
      </c>
      <c r="BE351" s="130">
        <f>IF(N351="základná",J351,0)</f>
        <v>0</v>
      </c>
      <c r="BF351" s="130">
        <f>IF(N351="znížená",J351,0)</f>
        <v>783</v>
      </c>
      <c r="BG351" s="130">
        <f>IF(N351="zákl. prenesená",J351,0)</f>
        <v>0</v>
      </c>
      <c r="BH351" s="130">
        <f>IF(N351="zníž. prenesená",J351,0)</f>
        <v>0</v>
      </c>
      <c r="BI351" s="130">
        <f>IF(N351="nulová",J351,0)</f>
        <v>0</v>
      </c>
      <c r="BJ351" s="13" t="s">
        <v>76</v>
      </c>
      <c r="BK351" s="130">
        <f>ROUND(I351*H351,2)</f>
        <v>783</v>
      </c>
      <c r="BL351" s="13" t="s">
        <v>235</v>
      </c>
      <c r="BM351" s="129" t="s">
        <v>2217</v>
      </c>
    </row>
    <row r="352" spans="2:65" s="1" customFormat="1" ht="16.5" customHeight="1" x14ac:dyDescent="0.2">
      <c r="B352" s="118"/>
      <c r="C352" s="119" t="s">
        <v>580</v>
      </c>
      <c r="D352" s="119" t="s">
        <v>231</v>
      </c>
      <c r="E352" s="120" t="s">
        <v>2927</v>
      </c>
      <c r="F352" s="121" t="s">
        <v>2928</v>
      </c>
      <c r="G352" s="122" t="s">
        <v>570</v>
      </c>
      <c r="H352" s="123">
        <v>184</v>
      </c>
      <c r="I352" s="124">
        <v>5.81</v>
      </c>
      <c r="J352" s="124">
        <f>ROUND(I352*H352,2)</f>
        <v>1069.04</v>
      </c>
      <c r="K352" s="121" t="s">
        <v>1</v>
      </c>
      <c r="L352" s="24"/>
      <c r="M352" s="125" t="s">
        <v>1</v>
      </c>
      <c r="N352" s="126" t="s">
        <v>32</v>
      </c>
      <c r="O352" s="127">
        <v>0</v>
      </c>
      <c r="P352" s="127">
        <f>O352*H352</f>
        <v>0</v>
      </c>
      <c r="Q352" s="127">
        <v>0</v>
      </c>
      <c r="R352" s="127">
        <f>Q352*H352</f>
        <v>0</v>
      </c>
      <c r="S352" s="127">
        <v>0</v>
      </c>
      <c r="T352" s="128">
        <f>S352*H352</f>
        <v>0</v>
      </c>
      <c r="AR352" s="129" t="s">
        <v>235</v>
      </c>
      <c r="AT352" s="129" t="s">
        <v>231</v>
      </c>
      <c r="AU352" s="129" t="s">
        <v>76</v>
      </c>
      <c r="AY352" s="13" t="s">
        <v>228</v>
      </c>
      <c r="BE352" s="130">
        <f>IF(N352="základná",J352,0)</f>
        <v>0</v>
      </c>
      <c r="BF352" s="130">
        <f>IF(N352="znížená",J352,0)</f>
        <v>1069.04</v>
      </c>
      <c r="BG352" s="130">
        <f>IF(N352="zákl. prenesená",J352,0)</f>
        <v>0</v>
      </c>
      <c r="BH352" s="130">
        <f>IF(N352="zníž. prenesená",J352,0)</f>
        <v>0</v>
      </c>
      <c r="BI352" s="130">
        <f>IF(N352="nulová",J352,0)</f>
        <v>0</v>
      </c>
      <c r="BJ352" s="13" t="s">
        <v>76</v>
      </c>
      <c r="BK352" s="130">
        <f>ROUND(I352*H352,2)</f>
        <v>1069.04</v>
      </c>
      <c r="BL352" s="13" t="s">
        <v>235</v>
      </c>
      <c r="BM352" s="129" t="s">
        <v>2222</v>
      </c>
    </row>
    <row r="353" spans="2:65" s="1" customFormat="1" ht="16.5" customHeight="1" x14ac:dyDescent="0.2">
      <c r="B353" s="118"/>
      <c r="C353" s="119" t="s">
        <v>2224</v>
      </c>
      <c r="D353" s="119" t="s">
        <v>231</v>
      </c>
      <c r="E353" s="120" t="s">
        <v>2845</v>
      </c>
      <c r="F353" s="121" t="s">
        <v>2846</v>
      </c>
      <c r="G353" s="122" t="s">
        <v>570</v>
      </c>
      <c r="H353" s="123">
        <v>241</v>
      </c>
      <c r="I353" s="124">
        <v>6.97</v>
      </c>
      <c r="J353" s="124">
        <f>ROUND(I353*H353,2)</f>
        <v>1679.77</v>
      </c>
      <c r="K353" s="121" t="s">
        <v>1</v>
      </c>
      <c r="L353" s="24"/>
      <c r="M353" s="125" t="s">
        <v>1</v>
      </c>
      <c r="N353" s="126" t="s">
        <v>32</v>
      </c>
      <c r="O353" s="127">
        <v>0</v>
      </c>
      <c r="P353" s="127">
        <f>O353*H353</f>
        <v>0</v>
      </c>
      <c r="Q353" s="127">
        <v>0</v>
      </c>
      <c r="R353" s="127">
        <f>Q353*H353</f>
        <v>0</v>
      </c>
      <c r="S353" s="127">
        <v>0</v>
      </c>
      <c r="T353" s="128">
        <f>S353*H353</f>
        <v>0</v>
      </c>
      <c r="AR353" s="129" t="s">
        <v>235</v>
      </c>
      <c r="AT353" s="129" t="s">
        <v>231</v>
      </c>
      <c r="AU353" s="129" t="s">
        <v>76</v>
      </c>
      <c r="AY353" s="13" t="s">
        <v>228</v>
      </c>
      <c r="BE353" s="130">
        <f>IF(N353="základná",J353,0)</f>
        <v>0</v>
      </c>
      <c r="BF353" s="130">
        <f>IF(N353="znížená",J353,0)</f>
        <v>1679.77</v>
      </c>
      <c r="BG353" s="130">
        <f>IF(N353="zákl. prenesená",J353,0)</f>
        <v>0</v>
      </c>
      <c r="BH353" s="130">
        <f>IF(N353="zníž. prenesená",J353,0)</f>
        <v>0</v>
      </c>
      <c r="BI353" s="130">
        <f>IF(N353="nulová",J353,0)</f>
        <v>0</v>
      </c>
      <c r="BJ353" s="13" t="s">
        <v>76</v>
      </c>
      <c r="BK353" s="130">
        <f>ROUND(I353*H353,2)</f>
        <v>1679.77</v>
      </c>
      <c r="BL353" s="13" t="s">
        <v>235</v>
      </c>
      <c r="BM353" s="129" t="s">
        <v>2227</v>
      </c>
    </row>
    <row r="354" spans="2:65" s="11" customFormat="1" ht="25.95" customHeight="1" x14ac:dyDescent="0.25">
      <c r="B354" s="106"/>
      <c r="D354" s="107" t="s">
        <v>57</v>
      </c>
      <c r="E354" s="108" t="s">
        <v>2065</v>
      </c>
      <c r="F354" s="108" t="s">
        <v>5067</v>
      </c>
      <c r="J354" s="109">
        <f>BK354</f>
        <v>12228.479999999998</v>
      </c>
      <c r="L354" s="106"/>
      <c r="M354" s="110"/>
      <c r="N354" s="111"/>
      <c r="O354" s="111"/>
      <c r="P354" s="112">
        <f>P355+P356+P361+P366+P392+P396+P397+P429</f>
        <v>0</v>
      </c>
      <c r="Q354" s="111"/>
      <c r="R354" s="112">
        <f>R355+R356+R361+R366+R392+R396+R397+R429</f>
        <v>0</v>
      </c>
      <c r="S354" s="111"/>
      <c r="T354" s="113">
        <f>T355+T356+T361+T366+T392+T396+T397+T429</f>
        <v>0</v>
      </c>
      <c r="AR354" s="107" t="s">
        <v>63</v>
      </c>
      <c r="AT354" s="114" t="s">
        <v>57</v>
      </c>
      <c r="AU354" s="114" t="s">
        <v>58</v>
      </c>
      <c r="AY354" s="107" t="s">
        <v>228</v>
      </c>
      <c r="BK354" s="115">
        <f>BK355+BK356+BK361+BK366+BK392+BK396+BK397+BK429</f>
        <v>12228.479999999998</v>
      </c>
    </row>
    <row r="355" spans="2:65" s="11" customFormat="1" ht="22.95" customHeight="1" x14ac:dyDescent="0.25">
      <c r="B355" s="106"/>
      <c r="D355" s="107" t="s">
        <v>57</v>
      </c>
      <c r="E355" s="116" t="s">
        <v>1211</v>
      </c>
      <c r="F355" s="116" t="s">
        <v>2756</v>
      </c>
      <c r="J355" s="117">
        <f>BK355</f>
        <v>0</v>
      </c>
      <c r="L355" s="106"/>
      <c r="M355" s="110"/>
      <c r="N355" s="111"/>
      <c r="O355" s="111"/>
      <c r="P355" s="112">
        <v>0</v>
      </c>
      <c r="Q355" s="111"/>
      <c r="R355" s="112">
        <v>0</v>
      </c>
      <c r="S355" s="111"/>
      <c r="T355" s="113">
        <v>0</v>
      </c>
      <c r="AR355" s="107" t="s">
        <v>63</v>
      </c>
      <c r="AT355" s="114" t="s">
        <v>57</v>
      </c>
      <c r="AU355" s="114" t="s">
        <v>63</v>
      </c>
      <c r="AY355" s="107" t="s">
        <v>228</v>
      </c>
      <c r="BK355" s="115">
        <v>0</v>
      </c>
    </row>
    <row r="356" spans="2:65" s="11" customFormat="1" ht="22.95" customHeight="1" x14ac:dyDescent="0.25">
      <c r="B356" s="106"/>
      <c r="D356" s="107" t="s">
        <v>57</v>
      </c>
      <c r="E356" s="116" t="s">
        <v>1215</v>
      </c>
      <c r="F356" s="116" t="s">
        <v>2757</v>
      </c>
      <c r="J356" s="117">
        <f>BK356</f>
        <v>981.35</v>
      </c>
      <c r="L356" s="106"/>
      <c r="M356" s="110"/>
      <c r="N356" s="111"/>
      <c r="O356" s="111"/>
      <c r="P356" s="112">
        <f>SUM(P357:P360)</f>
        <v>0</v>
      </c>
      <c r="Q356" s="111"/>
      <c r="R356" s="112">
        <f>SUM(R357:R360)</f>
        <v>0</v>
      </c>
      <c r="S356" s="111"/>
      <c r="T356" s="113">
        <f>SUM(T357:T360)</f>
        <v>0</v>
      </c>
      <c r="AR356" s="107" t="s">
        <v>63</v>
      </c>
      <c r="AT356" s="114" t="s">
        <v>57</v>
      </c>
      <c r="AU356" s="114" t="s">
        <v>63</v>
      </c>
      <c r="AY356" s="107" t="s">
        <v>228</v>
      </c>
      <c r="BK356" s="115">
        <f>SUM(BK357:BK360)</f>
        <v>981.35</v>
      </c>
    </row>
    <row r="357" spans="2:65" s="1" customFormat="1" ht="24" customHeight="1" x14ac:dyDescent="0.2">
      <c r="B357" s="118"/>
      <c r="C357" s="119" t="s">
        <v>585</v>
      </c>
      <c r="D357" s="119" t="s">
        <v>231</v>
      </c>
      <c r="E357" s="120" t="s">
        <v>5068</v>
      </c>
      <c r="F357" s="121" t="s">
        <v>5069</v>
      </c>
      <c r="G357" s="122" t="s">
        <v>243</v>
      </c>
      <c r="H357" s="123">
        <v>1</v>
      </c>
      <c r="I357" s="124">
        <v>333.79</v>
      </c>
      <c r="J357" s="124">
        <f>ROUND(I357*H357,2)</f>
        <v>333.79</v>
      </c>
      <c r="K357" s="121" t="s">
        <v>1</v>
      </c>
      <c r="L357" s="24"/>
      <c r="M357" s="125" t="s">
        <v>1</v>
      </c>
      <c r="N357" s="126" t="s">
        <v>32</v>
      </c>
      <c r="O357" s="127">
        <v>0</v>
      </c>
      <c r="P357" s="127">
        <f>O357*H357</f>
        <v>0</v>
      </c>
      <c r="Q357" s="127">
        <v>0</v>
      </c>
      <c r="R357" s="127">
        <f>Q357*H357</f>
        <v>0</v>
      </c>
      <c r="S357" s="127">
        <v>0</v>
      </c>
      <c r="T357" s="128">
        <f>S357*H357</f>
        <v>0</v>
      </c>
      <c r="AR357" s="129" t="s">
        <v>235</v>
      </c>
      <c r="AT357" s="129" t="s">
        <v>231</v>
      </c>
      <c r="AU357" s="129" t="s">
        <v>76</v>
      </c>
      <c r="AY357" s="13" t="s">
        <v>228</v>
      </c>
      <c r="BE357" s="130">
        <f>IF(N357="základná",J357,0)</f>
        <v>0</v>
      </c>
      <c r="BF357" s="130">
        <f>IF(N357="znížená",J357,0)</f>
        <v>333.79</v>
      </c>
      <c r="BG357" s="130">
        <f>IF(N357="zákl. prenesená",J357,0)</f>
        <v>0</v>
      </c>
      <c r="BH357" s="130">
        <f>IF(N357="zníž. prenesená",J357,0)</f>
        <v>0</v>
      </c>
      <c r="BI357" s="130">
        <f>IF(N357="nulová",J357,0)</f>
        <v>0</v>
      </c>
      <c r="BJ357" s="13" t="s">
        <v>76</v>
      </c>
      <c r="BK357" s="130">
        <f>ROUND(I357*H357,2)</f>
        <v>333.79</v>
      </c>
      <c r="BL357" s="13" t="s">
        <v>235</v>
      </c>
      <c r="BM357" s="129" t="s">
        <v>2233</v>
      </c>
    </row>
    <row r="358" spans="2:65" s="1" customFormat="1" ht="36" customHeight="1" x14ac:dyDescent="0.2">
      <c r="B358" s="118"/>
      <c r="C358" s="119" t="s">
        <v>2234</v>
      </c>
      <c r="D358" s="119" t="s">
        <v>231</v>
      </c>
      <c r="E358" s="120" t="s">
        <v>4173</v>
      </c>
      <c r="F358" s="121" t="s">
        <v>2761</v>
      </c>
      <c r="G358" s="122" t="s">
        <v>243</v>
      </c>
      <c r="H358" s="123">
        <v>3</v>
      </c>
      <c r="I358" s="124">
        <v>160.22</v>
      </c>
      <c r="J358" s="124">
        <f>ROUND(I358*H358,2)</f>
        <v>480.66</v>
      </c>
      <c r="K358" s="121" t="s">
        <v>1</v>
      </c>
      <c r="L358" s="24"/>
      <c r="M358" s="125" t="s">
        <v>1</v>
      </c>
      <c r="N358" s="126" t="s">
        <v>32</v>
      </c>
      <c r="O358" s="127">
        <v>0</v>
      </c>
      <c r="P358" s="127">
        <f>O358*H358</f>
        <v>0</v>
      </c>
      <c r="Q358" s="127">
        <v>0</v>
      </c>
      <c r="R358" s="127">
        <f>Q358*H358</f>
        <v>0</v>
      </c>
      <c r="S358" s="127">
        <v>0</v>
      </c>
      <c r="T358" s="128">
        <f>S358*H358</f>
        <v>0</v>
      </c>
      <c r="AR358" s="129" t="s">
        <v>235</v>
      </c>
      <c r="AT358" s="129" t="s">
        <v>231</v>
      </c>
      <c r="AU358" s="129" t="s">
        <v>76</v>
      </c>
      <c r="AY358" s="13" t="s">
        <v>228</v>
      </c>
      <c r="BE358" s="130">
        <f>IF(N358="základná",J358,0)</f>
        <v>0</v>
      </c>
      <c r="BF358" s="130">
        <f>IF(N358="znížená",J358,0)</f>
        <v>480.66</v>
      </c>
      <c r="BG358" s="130">
        <f>IF(N358="zákl. prenesená",J358,0)</f>
        <v>0</v>
      </c>
      <c r="BH358" s="130">
        <f>IF(N358="zníž. prenesená",J358,0)</f>
        <v>0</v>
      </c>
      <c r="BI358" s="130">
        <f>IF(N358="nulová",J358,0)</f>
        <v>0</v>
      </c>
      <c r="BJ358" s="13" t="s">
        <v>76</v>
      </c>
      <c r="BK358" s="130">
        <f>ROUND(I358*H358,2)</f>
        <v>480.66</v>
      </c>
      <c r="BL358" s="13" t="s">
        <v>235</v>
      </c>
      <c r="BM358" s="129" t="s">
        <v>2237</v>
      </c>
    </row>
    <row r="359" spans="2:65" s="1" customFormat="1" ht="24" customHeight="1" x14ac:dyDescent="0.2">
      <c r="B359" s="118"/>
      <c r="C359" s="119" t="s">
        <v>588</v>
      </c>
      <c r="D359" s="119" t="s">
        <v>231</v>
      </c>
      <c r="E359" s="120" t="s">
        <v>4177</v>
      </c>
      <c r="F359" s="121" t="s">
        <v>2765</v>
      </c>
      <c r="G359" s="122" t="s">
        <v>243</v>
      </c>
      <c r="H359" s="123">
        <v>3</v>
      </c>
      <c r="I359" s="124">
        <v>33.380000000000003</v>
      </c>
      <c r="J359" s="124">
        <f>ROUND(I359*H359,2)</f>
        <v>100.14</v>
      </c>
      <c r="K359" s="121" t="s">
        <v>1</v>
      </c>
      <c r="L359" s="24"/>
      <c r="M359" s="125" t="s">
        <v>1</v>
      </c>
      <c r="N359" s="126" t="s">
        <v>32</v>
      </c>
      <c r="O359" s="127">
        <v>0</v>
      </c>
      <c r="P359" s="127">
        <f>O359*H359</f>
        <v>0</v>
      </c>
      <c r="Q359" s="127">
        <v>0</v>
      </c>
      <c r="R359" s="127">
        <f>Q359*H359</f>
        <v>0</v>
      </c>
      <c r="S359" s="127">
        <v>0</v>
      </c>
      <c r="T359" s="128">
        <f>S359*H359</f>
        <v>0</v>
      </c>
      <c r="AR359" s="129" t="s">
        <v>235</v>
      </c>
      <c r="AT359" s="129" t="s">
        <v>231</v>
      </c>
      <c r="AU359" s="129" t="s">
        <v>76</v>
      </c>
      <c r="AY359" s="13" t="s">
        <v>228</v>
      </c>
      <c r="BE359" s="130">
        <f>IF(N359="základná",J359,0)</f>
        <v>0</v>
      </c>
      <c r="BF359" s="130">
        <f>IF(N359="znížená",J359,0)</f>
        <v>100.14</v>
      </c>
      <c r="BG359" s="130">
        <f>IF(N359="zákl. prenesená",J359,0)</f>
        <v>0</v>
      </c>
      <c r="BH359" s="130">
        <f>IF(N359="zníž. prenesená",J359,0)</f>
        <v>0</v>
      </c>
      <c r="BI359" s="130">
        <f>IF(N359="nulová",J359,0)</f>
        <v>0</v>
      </c>
      <c r="BJ359" s="13" t="s">
        <v>76</v>
      </c>
      <c r="BK359" s="130">
        <f>ROUND(I359*H359,2)</f>
        <v>100.14</v>
      </c>
      <c r="BL359" s="13" t="s">
        <v>235</v>
      </c>
      <c r="BM359" s="129" t="s">
        <v>2238</v>
      </c>
    </row>
    <row r="360" spans="2:65" s="1" customFormat="1" ht="24" customHeight="1" x14ac:dyDescent="0.2">
      <c r="B360" s="118"/>
      <c r="C360" s="119" t="s">
        <v>2239</v>
      </c>
      <c r="D360" s="119" t="s">
        <v>231</v>
      </c>
      <c r="E360" s="120" t="s">
        <v>4182</v>
      </c>
      <c r="F360" s="121" t="s">
        <v>2771</v>
      </c>
      <c r="G360" s="122" t="s">
        <v>243</v>
      </c>
      <c r="H360" s="123">
        <v>1</v>
      </c>
      <c r="I360" s="124">
        <v>66.760000000000005</v>
      </c>
      <c r="J360" s="124">
        <f>ROUND(I360*H360,2)</f>
        <v>66.760000000000005</v>
      </c>
      <c r="K360" s="121" t="s">
        <v>1</v>
      </c>
      <c r="L360" s="24"/>
      <c r="M360" s="125" t="s">
        <v>1</v>
      </c>
      <c r="N360" s="126" t="s">
        <v>32</v>
      </c>
      <c r="O360" s="127">
        <v>0</v>
      </c>
      <c r="P360" s="127">
        <f>O360*H360</f>
        <v>0</v>
      </c>
      <c r="Q360" s="127">
        <v>0</v>
      </c>
      <c r="R360" s="127">
        <f>Q360*H360</f>
        <v>0</v>
      </c>
      <c r="S360" s="127">
        <v>0</v>
      </c>
      <c r="T360" s="128">
        <f>S360*H360</f>
        <v>0</v>
      </c>
      <c r="AR360" s="129" t="s">
        <v>235</v>
      </c>
      <c r="AT360" s="129" t="s">
        <v>231</v>
      </c>
      <c r="AU360" s="129" t="s">
        <v>76</v>
      </c>
      <c r="AY360" s="13" t="s">
        <v>228</v>
      </c>
      <c r="BE360" s="130">
        <f>IF(N360="základná",J360,0)</f>
        <v>0</v>
      </c>
      <c r="BF360" s="130">
        <f>IF(N360="znížená",J360,0)</f>
        <v>66.760000000000005</v>
      </c>
      <c r="BG360" s="130">
        <f>IF(N360="zákl. prenesená",J360,0)</f>
        <v>0</v>
      </c>
      <c r="BH360" s="130">
        <f>IF(N360="zníž. prenesená",J360,0)</f>
        <v>0</v>
      </c>
      <c r="BI360" s="130">
        <f>IF(N360="nulová",J360,0)</f>
        <v>0</v>
      </c>
      <c r="BJ360" s="13" t="s">
        <v>76</v>
      </c>
      <c r="BK360" s="130">
        <f>ROUND(I360*H360,2)</f>
        <v>66.760000000000005</v>
      </c>
      <c r="BL360" s="13" t="s">
        <v>235</v>
      </c>
      <c r="BM360" s="129" t="s">
        <v>2242</v>
      </c>
    </row>
    <row r="361" spans="2:65" s="11" customFormat="1" ht="22.95" customHeight="1" x14ac:dyDescent="0.25">
      <c r="B361" s="106"/>
      <c r="D361" s="107" t="s">
        <v>57</v>
      </c>
      <c r="E361" s="116" t="s">
        <v>1227</v>
      </c>
      <c r="F361" s="116" t="s">
        <v>2772</v>
      </c>
      <c r="J361" s="117">
        <f>BK361</f>
        <v>770.42000000000007</v>
      </c>
      <c r="L361" s="106"/>
      <c r="M361" s="110"/>
      <c r="N361" s="111"/>
      <c r="O361" s="111"/>
      <c r="P361" s="112">
        <f>SUM(P362:P365)</f>
        <v>0</v>
      </c>
      <c r="Q361" s="111"/>
      <c r="R361" s="112">
        <f>SUM(R362:R365)</f>
        <v>0</v>
      </c>
      <c r="S361" s="111"/>
      <c r="T361" s="113">
        <f>SUM(T362:T365)</f>
        <v>0</v>
      </c>
      <c r="AR361" s="107" t="s">
        <v>63</v>
      </c>
      <c r="AT361" s="114" t="s">
        <v>57</v>
      </c>
      <c r="AU361" s="114" t="s">
        <v>63</v>
      </c>
      <c r="AY361" s="107" t="s">
        <v>228</v>
      </c>
      <c r="BK361" s="115">
        <f>SUM(BK362:BK365)</f>
        <v>770.42000000000007</v>
      </c>
    </row>
    <row r="362" spans="2:65" s="1" customFormat="1" ht="16.5" customHeight="1" x14ac:dyDescent="0.2">
      <c r="B362" s="118"/>
      <c r="C362" s="119" t="s">
        <v>591</v>
      </c>
      <c r="D362" s="119" t="s">
        <v>231</v>
      </c>
      <c r="E362" s="120" t="s">
        <v>5070</v>
      </c>
      <c r="F362" s="121" t="s">
        <v>5071</v>
      </c>
      <c r="G362" s="122" t="s">
        <v>1112</v>
      </c>
      <c r="H362" s="123">
        <v>16</v>
      </c>
      <c r="I362" s="124">
        <v>18.690000000000001</v>
      </c>
      <c r="J362" s="124">
        <f>ROUND(I362*H362,2)</f>
        <v>299.04000000000002</v>
      </c>
      <c r="K362" s="121" t="s">
        <v>1</v>
      </c>
      <c r="L362" s="24"/>
      <c r="M362" s="125" t="s">
        <v>1</v>
      </c>
      <c r="N362" s="126" t="s">
        <v>32</v>
      </c>
      <c r="O362" s="127">
        <v>0</v>
      </c>
      <c r="P362" s="127">
        <f>O362*H362</f>
        <v>0</v>
      </c>
      <c r="Q362" s="127">
        <v>0</v>
      </c>
      <c r="R362" s="127">
        <f>Q362*H362</f>
        <v>0</v>
      </c>
      <c r="S362" s="127">
        <v>0</v>
      </c>
      <c r="T362" s="128">
        <f>S362*H362</f>
        <v>0</v>
      </c>
      <c r="AR362" s="129" t="s">
        <v>235</v>
      </c>
      <c r="AT362" s="129" t="s">
        <v>231</v>
      </c>
      <c r="AU362" s="129" t="s">
        <v>76</v>
      </c>
      <c r="AY362" s="13" t="s">
        <v>228</v>
      </c>
      <c r="BE362" s="130">
        <f>IF(N362="základná",J362,0)</f>
        <v>0</v>
      </c>
      <c r="BF362" s="130">
        <f>IF(N362="znížená",J362,0)</f>
        <v>299.04000000000002</v>
      </c>
      <c r="BG362" s="130">
        <f>IF(N362="zákl. prenesená",J362,0)</f>
        <v>0</v>
      </c>
      <c r="BH362" s="130">
        <f>IF(N362="zníž. prenesená",J362,0)</f>
        <v>0</v>
      </c>
      <c r="BI362" s="130">
        <f>IF(N362="nulová",J362,0)</f>
        <v>0</v>
      </c>
      <c r="BJ362" s="13" t="s">
        <v>76</v>
      </c>
      <c r="BK362" s="130">
        <f>ROUND(I362*H362,2)</f>
        <v>299.04000000000002</v>
      </c>
      <c r="BL362" s="13" t="s">
        <v>235</v>
      </c>
      <c r="BM362" s="129" t="s">
        <v>2245</v>
      </c>
    </row>
    <row r="363" spans="2:65" s="1" customFormat="1" ht="16.5" customHeight="1" x14ac:dyDescent="0.2">
      <c r="B363" s="118"/>
      <c r="C363" s="119" t="s">
        <v>2246</v>
      </c>
      <c r="D363" s="119" t="s">
        <v>231</v>
      </c>
      <c r="E363" s="120" t="s">
        <v>4184</v>
      </c>
      <c r="F363" s="121" t="s">
        <v>2776</v>
      </c>
      <c r="G363" s="122" t="s">
        <v>243</v>
      </c>
      <c r="H363" s="123">
        <v>7</v>
      </c>
      <c r="I363" s="124">
        <v>16.7</v>
      </c>
      <c r="J363" s="124">
        <f>ROUND(I363*H363,2)</f>
        <v>116.9</v>
      </c>
      <c r="K363" s="121" t="s">
        <v>1</v>
      </c>
      <c r="L363" s="24"/>
      <c r="M363" s="125" t="s">
        <v>1</v>
      </c>
      <c r="N363" s="126" t="s">
        <v>32</v>
      </c>
      <c r="O363" s="127">
        <v>0</v>
      </c>
      <c r="P363" s="127">
        <f>O363*H363</f>
        <v>0</v>
      </c>
      <c r="Q363" s="127">
        <v>0</v>
      </c>
      <c r="R363" s="127">
        <f>Q363*H363</f>
        <v>0</v>
      </c>
      <c r="S363" s="127">
        <v>0</v>
      </c>
      <c r="T363" s="128">
        <f>S363*H363</f>
        <v>0</v>
      </c>
      <c r="AR363" s="129" t="s">
        <v>235</v>
      </c>
      <c r="AT363" s="129" t="s">
        <v>231</v>
      </c>
      <c r="AU363" s="129" t="s">
        <v>76</v>
      </c>
      <c r="AY363" s="13" t="s">
        <v>228</v>
      </c>
      <c r="BE363" s="130">
        <f>IF(N363="základná",J363,0)</f>
        <v>0</v>
      </c>
      <c r="BF363" s="130">
        <f>IF(N363="znížená",J363,0)</f>
        <v>116.9</v>
      </c>
      <c r="BG363" s="130">
        <f>IF(N363="zákl. prenesená",J363,0)</f>
        <v>0</v>
      </c>
      <c r="BH363" s="130">
        <f>IF(N363="zníž. prenesená",J363,0)</f>
        <v>0</v>
      </c>
      <c r="BI363" s="130">
        <f>IF(N363="nulová",J363,0)</f>
        <v>0</v>
      </c>
      <c r="BJ363" s="13" t="s">
        <v>76</v>
      </c>
      <c r="BK363" s="130">
        <f>ROUND(I363*H363,2)</f>
        <v>116.9</v>
      </c>
      <c r="BL363" s="13" t="s">
        <v>235</v>
      </c>
      <c r="BM363" s="129" t="s">
        <v>2249</v>
      </c>
    </row>
    <row r="364" spans="2:65" s="1" customFormat="1" ht="16.5" customHeight="1" x14ac:dyDescent="0.2">
      <c r="B364" s="118"/>
      <c r="C364" s="119" t="s">
        <v>594</v>
      </c>
      <c r="D364" s="119" t="s">
        <v>231</v>
      </c>
      <c r="E364" s="120" t="s">
        <v>4185</v>
      </c>
      <c r="F364" s="121" t="s">
        <v>2778</v>
      </c>
      <c r="G364" s="122" t="s">
        <v>243</v>
      </c>
      <c r="H364" s="123">
        <v>3</v>
      </c>
      <c r="I364" s="124">
        <v>106.81</v>
      </c>
      <c r="J364" s="124">
        <f>ROUND(I364*H364,2)</f>
        <v>320.43</v>
      </c>
      <c r="K364" s="121" t="s">
        <v>1</v>
      </c>
      <c r="L364" s="24"/>
      <c r="M364" s="125" t="s">
        <v>1</v>
      </c>
      <c r="N364" s="126" t="s">
        <v>32</v>
      </c>
      <c r="O364" s="127">
        <v>0</v>
      </c>
      <c r="P364" s="127">
        <f>O364*H364</f>
        <v>0</v>
      </c>
      <c r="Q364" s="127">
        <v>0</v>
      </c>
      <c r="R364" s="127">
        <f>Q364*H364</f>
        <v>0</v>
      </c>
      <c r="S364" s="127">
        <v>0</v>
      </c>
      <c r="T364" s="128">
        <f>S364*H364</f>
        <v>0</v>
      </c>
      <c r="AR364" s="129" t="s">
        <v>235</v>
      </c>
      <c r="AT364" s="129" t="s">
        <v>231</v>
      </c>
      <c r="AU364" s="129" t="s">
        <v>76</v>
      </c>
      <c r="AY364" s="13" t="s">
        <v>228</v>
      </c>
      <c r="BE364" s="130">
        <f>IF(N364="základná",J364,0)</f>
        <v>0</v>
      </c>
      <c r="BF364" s="130">
        <f>IF(N364="znížená",J364,0)</f>
        <v>320.43</v>
      </c>
      <c r="BG364" s="130">
        <f>IF(N364="zákl. prenesená",J364,0)</f>
        <v>0</v>
      </c>
      <c r="BH364" s="130">
        <f>IF(N364="zníž. prenesená",J364,0)</f>
        <v>0</v>
      </c>
      <c r="BI364" s="130">
        <f>IF(N364="nulová",J364,0)</f>
        <v>0</v>
      </c>
      <c r="BJ364" s="13" t="s">
        <v>76</v>
      </c>
      <c r="BK364" s="130">
        <f>ROUND(I364*H364,2)</f>
        <v>320.43</v>
      </c>
      <c r="BL364" s="13" t="s">
        <v>235</v>
      </c>
      <c r="BM364" s="129" t="s">
        <v>2252</v>
      </c>
    </row>
    <row r="365" spans="2:65" s="1" customFormat="1" ht="16.5" customHeight="1" x14ac:dyDescent="0.2">
      <c r="B365" s="118"/>
      <c r="C365" s="119" t="s">
        <v>2255</v>
      </c>
      <c r="D365" s="119" t="s">
        <v>231</v>
      </c>
      <c r="E365" s="120" t="s">
        <v>4190</v>
      </c>
      <c r="F365" s="121" t="s">
        <v>2780</v>
      </c>
      <c r="G365" s="122" t="s">
        <v>243</v>
      </c>
      <c r="H365" s="123">
        <v>3</v>
      </c>
      <c r="I365" s="124">
        <v>11.35</v>
      </c>
      <c r="J365" s="124">
        <f>ROUND(I365*H365,2)</f>
        <v>34.049999999999997</v>
      </c>
      <c r="K365" s="121" t="s">
        <v>1</v>
      </c>
      <c r="L365" s="24"/>
      <c r="M365" s="125" t="s">
        <v>1</v>
      </c>
      <c r="N365" s="126" t="s">
        <v>32</v>
      </c>
      <c r="O365" s="127">
        <v>0</v>
      </c>
      <c r="P365" s="127">
        <f>O365*H365</f>
        <v>0</v>
      </c>
      <c r="Q365" s="127">
        <v>0</v>
      </c>
      <c r="R365" s="127">
        <f>Q365*H365</f>
        <v>0</v>
      </c>
      <c r="S365" s="127">
        <v>0</v>
      </c>
      <c r="T365" s="128">
        <f>S365*H365</f>
        <v>0</v>
      </c>
      <c r="AR365" s="129" t="s">
        <v>235</v>
      </c>
      <c r="AT365" s="129" t="s">
        <v>231</v>
      </c>
      <c r="AU365" s="129" t="s">
        <v>76</v>
      </c>
      <c r="AY365" s="13" t="s">
        <v>228</v>
      </c>
      <c r="BE365" s="130">
        <f>IF(N365="základná",J365,0)</f>
        <v>0</v>
      </c>
      <c r="BF365" s="130">
        <f>IF(N365="znížená",J365,0)</f>
        <v>34.049999999999997</v>
      </c>
      <c r="BG365" s="130">
        <f>IF(N365="zákl. prenesená",J365,0)</f>
        <v>0</v>
      </c>
      <c r="BH365" s="130">
        <f>IF(N365="zníž. prenesená",J365,0)</f>
        <v>0</v>
      </c>
      <c r="BI365" s="130">
        <f>IF(N365="nulová",J365,0)</f>
        <v>0</v>
      </c>
      <c r="BJ365" s="13" t="s">
        <v>76</v>
      </c>
      <c r="BK365" s="130">
        <f>ROUND(I365*H365,2)</f>
        <v>34.049999999999997</v>
      </c>
      <c r="BL365" s="13" t="s">
        <v>235</v>
      </c>
      <c r="BM365" s="129" t="s">
        <v>2258</v>
      </c>
    </row>
    <row r="366" spans="2:65" s="11" customFormat="1" ht="22.95" customHeight="1" x14ac:dyDescent="0.25">
      <c r="B366" s="106"/>
      <c r="D366" s="107" t="s">
        <v>57</v>
      </c>
      <c r="E366" s="116" t="s">
        <v>1240</v>
      </c>
      <c r="F366" s="116" t="s">
        <v>2783</v>
      </c>
      <c r="J366" s="117">
        <f>BK366</f>
        <v>4171.21</v>
      </c>
      <c r="L366" s="106"/>
      <c r="M366" s="110"/>
      <c r="N366" s="111"/>
      <c r="O366" s="111"/>
      <c r="P366" s="112">
        <f>SUM(P367:P391)</f>
        <v>0</v>
      </c>
      <c r="Q366" s="111"/>
      <c r="R366" s="112">
        <f>SUM(R367:R391)</f>
        <v>0</v>
      </c>
      <c r="S366" s="111"/>
      <c r="T366" s="113">
        <f>SUM(T367:T391)</f>
        <v>0</v>
      </c>
      <c r="AR366" s="107" t="s">
        <v>63</v>
      </c>
      <c r="AT366" s="114" t="s">
        <v>57</v>
      </c>
      <c r="AU366" s="114" t="s">
        <v>63</v>
      </c>
      <c r="AY366" s="107" t="s">
        <v>228</v>
      </c>
      <c r="BK366" s="115">
        <f>SUM(BK367:BK391)</f>
        <v>4171.21</v>
      </c>
    </row>
    <row r="367" spans="2:65" s="1" customFormat="1" ht="24" customHeight="1" x14ac:dyDescent="0.2">
      <c r="B367" s="118"/>
      <c r="C367" s="119" t="s">
        <v>598</v>
      </c>
      <c r="D367" s="119" t="s">
        <v>231</v>
      </c>
      <c r="E367" s="120" t="s">
        <v>2790</v>
      </c>
      <c r="F367" s="121" t="s">
        <v>2791</v>
      </c>
      <c r="G367" s="122" t="s">
        <v>292</v>
      </c>
      <c r="H367" s="123">
        <v>230</v>
      </c>
      <c r="I367" s="124">
        <v>1.24</v>
      </c>
      <c r="J367" s="124">
        <f t="shared" ref="J367:J391" si="80">ROUND(I367*H367,2)</f>
        <v>285.2</v>
      </c>
      <c r="K367" s="121" t="s">
        <v>1</v>
      </c>
      <c r="L367" s="24"/>
      <c r="M367" s="125" t="s">
        <v>1</v>
      </c>
      <c r="N367" s="126" t="s">
        <v>32</v>
      </c>
      <c r="O367" s="127">
        <v>0</v>
      </c>
      <c r="P367" s="127">
        <f t="shared" ref="P367:P391" si="81">O367*H367</f>
        <v>0</v>
      </c>
      <c r="Q367" s="127">
        <v>0</v>
      </c>
      <c r="R367" s="127">
        <f t="shared" ref="R367:R391" si="82">Q367*H367</f>
        <v>0</v>
      </c>
      <c r="S367" s="127">
        <v>0</v>
      </c>
      <c r="T367" s="128">
        <f t="shared" ref="T367:T391" si="83">S367*H367</f>
        <v>0</v>
      </c>
      <c r="AR367" s="129" t="s">
        <v>235</v>
      </c>
      <c r="AT367" s="129" t="s">
        <v>231</v>
      </c>
      <c r="AU367" s="129" t="s">
        <v>76</v>
      </c>
      <c r="AY367" s="13" t="s">
        <v>228</v>
      </c>
      <c r="BE367" s="130">
        <f t="shared" ref="BE367:BE391" si="84">IF(N367="základná",J367,0)</f>
        <v>0</v>
      </c>
      <c r="BF367" s="130">
        <f t="shared" ref="BF367:BF391" si="85">IF(N367="znížená",J367,0)</f>
        <v>285.2</v>
      </c>
      <c r="BG367" s="130">
        <f t="shared" ref="BG367:BG391" si="86">IF(N367="zákl. prenesená",J367,0)</f>
        <v>0</v>
      </c>
      <c r="BH367" s="130">
        <f t="shared" ref="BH367:BH391" si="87">IF(N367="zníž. prenesená",J367,0)</f>
        <v>0</v>
      </c>
      <c r="BI367" s="130">
        <f t="shared" ref="BI367:BI391" si="88">IF(N367="nulová",J367,0)</f>
        <v>0</v>
      </c>
      <c r="BJ367" s="13" t="s">
        <v>76</v>
      </c>
      <c r="BK367" s="130">
        <f t="shared" ref="BK367:BK391" si="89">ROUND(I367*H367,2)</f>
        <v>285.2</v>
      </c>
      <c r="BL367" s="13" t="s">
        <v>235</v>
      </c>
      <c r="BM367" s="129" t="s">
        <v>2261</v>
      </c>
    </row>
    <row r="368" spans="2:65" s="1" customFormat="1" ht="16.5" customHeight="1" x14ac:dyDescent="0.2">
      <c r="B368" s="118"/>
      <c r="C368" s="119" t="s">
        <v>2262</v>
      </c>
      <c r="D368" s="119" t="s">
        <v>231</v>
      </c>
      <c r="E368" s="120" t="s">
        <v>2792</v>
      </c>
      <c r="F368" s="121" t="s">
        <v>2793</v>
      </c>
      <c r="G368" s="122" t="s">
        <v>292</v>
      </c>
      <c r="H368" s="123">
        <v>200</v>
      </c>
      <c r="I368" s="124">
        <v>1.24</v>
      </c>
      <c r="J368" s="124">
        <f t="shared" si="80"/>
        <v>248</v>
      </c>
      <c r="K368" s="121" t="s">
        <v>1</v>
      </c>
      <c r="L368" s="24"/>
      <c r="M368" s="125" t="s">
        <v>1</v>
      </c>
      <c r="N368" s="126" t="s">
        <v>32</v>
      </c>
      <c r="O368" s="127">
        <v>0</v>
      </c>
      <c r="P368" s="127">
        <f t="shared" si="81"/>
        <v>0</v>
      </c>
      <c r="Q368" s="127">
        <v>0</v>
      </c>
      <c r="R368" s="127">
        <f t="shared" si="82"/>
        <v>0</v>
      </c>
      <c r="S368" s="127">
        <v>0</v>
      </c>
      <c r="T368" s="128">
        <f t="shared" si="83"/>
        <v>0</v>
      </c>
      <c r="AR368" s="129" t="s">
        <v>235</v>
      </c>
      <c r="AT368" s="129" t="s">
        <v>231</v>
      </c>
      <c r="AU368" s="129" t="s">
        <v>76</v>
      </c>
      <c r="AY368" s="13" t="s">
        <v>228</v>
      </c>
      <c r="BE368" s="130">
        <f t="shared" si="84"/>
        <v>0</v>
      </c>
      <c r="BF368" s="130">
        <f t="shared" si="85"/>
        <v>248</v>
      </c>
      <c r="BG368" s="130">
        <f t="shared" si="86"/>
        <v>0</v>
      </c>
      <c r="BH368" s="130">
        <f t="shared" si="87"/>
        <v>0</v>
      </c>
      <c r="BI368" s="130">
        <f t="shared" si="88"/>
        <v>0</v>
      </c>
      <c r="BJ368" s="13" t="s">
        <v>76</v>
      </c>
      <c r="BK368" s="130">
        <f t="shared" si="89"/>
        <v>248</v>
      </c>
      <c r="BL368" s="13" t="s">
        <v>235</v>
      </c>
      <c r="BM368" s="129" t="s">
        <v>2263</v>
      </c>
    </row>
    <row r="369" spans="2:65" s="1" customFormat="1" ht="16.5" customHeight="1" x14ac:dyDescent="0.2">
      <c r="B369" s="118"/>
      <c r="C369" s="119" t="s">
        <v>601</v>
      </c>
      <c r="D369" s="119" t="s">
        <v>231</v>
      </c>
      <c r="E369" s="120" t="s">
        <v>2794</v>
      </c>
      <c r="F369" s="121" t="s">
        <v>2795</v>
      </c>
      <c r="G369" s="122" t="s">
        <v>292</v>
      </c>
      <c r="H369" s="123">
        <v>200</v>
      </c>
      <c r="I369" s="124">
        <v>1.24</v>
      </c>
      <c r="J369" s="124">
        <f t="shared" si="80"/>
        <v>248</v>
      </c>
      <c r="K369" s="121" t="s">
        <v>1</v>
      </c>
      <c r="L369" s="24"/>
      <c r="M369" s="125" t="s">
        <v>1</v>
      </c>
      <c r="N369" s="126" t="s">
        <v>32</v>
      </c>
      <c r="O369" s="127">
        <v>0</v>
      </c>
      <c r="P369" s="127">
        <f t="shared" si="81"/>
        <v>0</v>
      </c>
      <c r="Q369" s="127">
        <v>0</v>
      </c>
      <c r="R369" s="127">
        <f t="shared" si="82"/>
        <v>0</v>
      </c>
      <c r="S369" s="127">
        <v>0</v>
      </c>
      <c r="T369" s="128">
        <f t="shared" si="83"/>
        <v>0</v>
      </c>
      <c r="AR369" s="129" t="s">
        <v>235</v>
      </c>
      <c r="AT369" s="129" t="s">
        <v>231</v>
      </c>
      <c r="AU369" s="129" t="s">
        <v>76</v>
      </c>
      <c r="AY369" s="13" t="s">
        <v>228</v>
      </c>
      <c r="BE369" s="130">
        <f t="shared" si="84"/>
        <v>0</v>
      </c>
      <c r="BF369" s="130">
        <f t="shared" si="85"/>
        <v>248</v>
      </c>
      <c r="BG369" s="130">
        <f t="shared" si="86"/>
        <v>0</v>
      </c>
      <c r="BH369" s="130">
        <f t="shared" si="87"/>
        <v>0</v>
      </c>
      <c r="BI369" s="130">
        <f t="shared" si="88"/>
        <v>0</v>
      </c>
      <c r="BJ369" s="13" t="s">
        <v>76</v>
      </c>
      <c r="BK369" s="130">
        <f t="shared" si="89"/>
        <v>248</v>
      </c>
      <c r="BL369" s="13" t="s">
        <v>235</v>
      </c>
      <c r="BM369" s="129" t="s">
        <v>2264</v>
      </c>
    </row>
    <row r="370" spans="2:65" s="1" customFormat="1" ht="16.5" customHeight="1" x14ac:dyDescent="0.2">
      <c r="B370" s="118"/>
      <c r="C370" s="119" t="s">
        <v>2265</v>
      </c>
      <c r="D370" s="119" t="s">
        <v>231</v>
      </c>
      <c r="E370" s="120" t="s">
        <v>2796</v>
      </c>
      <c r="F370" s="121" t="s">
        <v>2797</v>
      </c>
      <c r="G370" s="122" t="s">
        <v>292</v>
      </c>
      <c r="H370" s="123">
        <v>200</v>
      </c>
      <c r="I370" s="124">
        <v>0.8</v>
      </c>
      <c r="J370" s="124">
        <f t="shared" si="80"/>
        <v>160</v>
      </c>
      <c r="K370" s="121" t="s">
        <v>1</v>
      </c>
      <c r="L370" s="24"/>
      <c r="M370" s="125" t="s">
        <v>1</v>
      </c>
      <c r="N370" s="126" t="s">
        <v>32</v>
      </c>
      <c r="O370" s="127">
        <v>0</v>
      </c>
      <c r="P370" s="127">
        <f t="shared" si="81"/>
        <v>0</v>
      </c>
      <c r="Q370" s="127">
        <v>0</v>
      </c>
      <c r="R370" s="127">
        <f t="shared" si="82"/>
        <v>0</v>
      </c>
      <c r="S370" s="127">
        <v>0</v>
      </c>
      <c r="T370" s="128">
        <f t="shared" si="83"/>
        <v>0</v>
      </c>
      <c r="AR370" s="129" t="s">
        <v>235</v>
      </c>
      <c r="AT370" s="129" t="s">
        <v>231</v>
      </c>
      <c r="AU370" s="129" t="s">
        <v>76</v>
      </c>
      <c r="AY370" s="13" t="s">
        <v>228</v>
      </c>
      <c r="BE370" s="130">
        <f t="shared" si="84"/>
        <v>0</v>
      </c>
      <c r="BF370" s="130">
        <f t="shared" si="85"/>
        <v>160</v>
      </c>
      <c r="BG370" s="130">
        <f t="shared" si="86"/>
        <v>0</v>
      </c>
      <c r="BH370" s="130">
        <f t="shared" si="87"/>
        <v>0</v>
      </c>
      <c r="BI370" s="130">
        <f t="shared" si="88"/>
        <v>0</v>
      </c>
      <c r="BJ370" s="13" t="s">
        <v>76</v>
      </c>
      <c r="BK370" s="130">
        <f t="shared" si="89"/>
        <v>160</v>
      </c>
      <c r="BL370" s="13" t="s">
        <v>235</v>
      </c>
      <c r="BM370" s="129" t="s">
        <v>2266</v>
      </c>
    </row>
    <row r="371" spans="2:65" s="1" customFormat="1" ht="24" customHeight="1" x14ac:dyDescent="0.2">
      <c r="B371" s="118"/>
      <c r="C371" s="119" t="s">
        <v>605</v>
      </c>
      <c r="D371" s="119" t="s">
        <v>231</v>
      </c>
      <c r="E371" s="120" t="s">
        <v>4198</v>
      </c>
      <c r="F371" s="121" t="s">
        <v>2801</v>
      </c>
      <c r="G371" s="122" t="s">
        <v>243</v>
      </c>
      <c r="H371" s="123">
        <v>18</v>
      </c>
      <c r="I371" s="124">
        <v>6.4</v>
      </c>
      <c r="J371" s="124">
        <f t="shared" si="80"/>
        <v>115.2</v>
      </c>
      <c r="K371" s="121" t="s">
        <v>1</v>
      </c>
      <c r="L371" s="24"/>
      <c r="M371" s="125" t="s">
        <v>1</v>
      </c>
      <c r="N371" s="126" t="s">
        <v>32</v>
      </c>
      <c r="O371" s="127">
        <v>0</v>
      </c>
      <c r="P371" s="127">
        <f t="shared" si="81"/>
        <v>0</v>
      </c>
      <c r="Q371" s="127">
        <v>0</v>
      </c>
      <c r="R371" s="127">
        <f t="shared" si="82"/>
        <v>0</v>
      </c>
      <c r="S371" s="127">
        <v>0</v>
      </c>
      <c r="T371" s="128">
        <f t="shared" si="83"/>
        <v>0</v>
      </c>
      <c r="AR371" s="129" t="s">
        <v>235</v>
      </c>
      <c r="AT371" s="129" t="s">
        <v>231</v>
      </c>
      <c r="AU371" s="129" t="s">
        <v>76</v>
      </c>
      <c r="AY371" s="13" t="s">
        <v>228</v>
      </c>
      <c r="BE371" s="130">
        <f t="shared" si="84"/>
        <v>0</v>
      </c>
      <c r="BF371" s="130">
        <f t="shared" si="85"/>
        <v>115.2</v>
      </c>
      <c r="BG371" s="130">
        <f t="shared" si="86"/>
        <v>0</v>
      </c>
      <c r="BH371" s="130">
        <f t="shared" si="87"/>
        <v>0</v>
      </c>
      <c r="BI371" s="130">
        <f t="shared" si="88"/>
        <v>0</v>
      </c>
      <c r="BJ371" s="13" t="s">
        <v>76</v>
      </c>
      <c r="BK371" s="130">
        <f t="shared" si="89"/>
        <v>115.2</v>
      </c>
      <c r="BL371" s="13" t="s">
        <v>235</v>
      </c>
      <c r="BM371" s="129" t="s">
        <v>2267</v>
      </c>
    </row>
    <row r="372" spans="2:65" s="1" customFormat="1" ht="24" customHeight="1" x14ac:dyDescent="0.2">
      <c r="B372" s="118"/>
      <c r="C372" s="119" t="s">
        <v>2268</v>
      </c>
      <c r="D372" s="119" t="s">
        <v>231</v>
      </c>
      <c r="E372" s="120" t="s">
        <v>4199</v>
      </c>
      <c r="F372" s="121" t="s">
        <v>2803</v>
      </c>
      <c r="G372" s="122" t="s">
        <v>243</v>
      </c>
      <c r="H372" s="123">
        <v>12</v>
      </c>
      <c r="I372" s="124">
        <v>10.88</v>
      </c>
      <c r="J372" s="124">
        <f t="shared" si="80"/>
        <v>130.56</v>
      </c>
      <c r="K372" s="121" t="s">
        <v>1</v>
      </c>
      <c r="L372" s="24"/>
      <c r="M372" s="125" t="s">
        <v>1</v>
      </c>
      <c r="N372" s="126" t="s">
        <v>32</v>
      </c>
      <c r="O372" s="127">
        <v>0</v>
      </c>
      <c r="P372" s="127">
        <f t="shared" si="81"/>
        <v>0</v>
      </c>
      <c r="Q372" s="127">
        <v>0</v>
      </c>
      <c r="R372" s="127">
        <f t="shared" si="82"/>
        <v>0</v>
      </c>
      <c r="S372" s="127">
        <v>0</v>
      </c>
      <c r="T372" s="128">
        <f t="shared" si="83"/>
        <v>0</v>
      </c>
      <c r="AR372" s="129" t="s">
        <v>235</v>
      </c>
      <c r="AT372" s="129" t="s">
        <v>231</v>
      </c>
      <c r="AU372" s="129" t="s">
        <v>76</v>
      </c>
      <c r="AY372" s="13" t="s">
        <v>228</v>
      </c>
      <c r="BE372" s="130">
        <f t="shared" si="84"/>
        <v>0</v>
      </c>
      <c r="BF372" s="130">
        <f t="shared" si="85"/>
        <v>130.56</v>
      </c>
      <c r="BG372" s="130">
        <f t="shared" si="86"/>
        <v>0</v>
      </c>
      <c r="BH372" s="130">
        <f t="shared" si="87"/>
        <v>0</v>
      </c>
      <c r="BI372" s="130">
        <f t="shared" si="88"/>
        <v>0</v>
      </c>
      <c r="BJ372" s="13" t="s">
        <v>76</v>
      </c>
      <c r="BK372" s="130">
        <f t="shared" si="89"/>
        <v>130.56</v>
      </c>
      <c r="BL372" s="13" t="s">
        <v>235</v>
      </c>
      <c r="BM372" s="129" t="s">
        <v>2269</v>
      </c>
    </row>
    <row r="373" spans="2:65" s="1" customFormat="1" ht="16.5" customHeight="1" x14ac:dyDescent="0.2">
      <c r="B373" s="118"/>
      <c r="C373" s="119" t="s">
        <v>610</v>
      </c>
      <c r="D373" s="119" t="s">
        <v>231</v>
      </c>
      <c r="E373" s="120" t="s">
        <v>4200</v>
      </c>
      <c r="F373" s="121" t="s">
        <v>2805</v>
      </c>
      <c r="G373" s="122" t="s">
        <v>243</v>
      </c>
      <c r="H373" s="123">
        <v>36</v>
      </c>
      <c r="I373" s="124">
        <v>1.07</v>
      </c>
      <c r="J373" s="124">
        <f t="shared" si="80"/>
        <v>38.520000000000003</v>
      </c>
      <c r="K373" s="121" t="s">
        <v>1</v>
      </c>
      <c r="L373" s="24"/>
      <c r="M373" s="125" t="s">
        <v>1</v>
      </c>
      <c r="N373" s="126" t="s">
        <v>32</v>
      </c>
      <c r="O373" s="127">
        <v>0</v>
      </c>
      <c r="P373" s="127">
        <f t="shared" si="81"/>
        <v>0</v>
      </c>
      <c r="Q373" s="127">
        <v>0</v>
      </c>
      <c r="R373" s="127">
        <f t="shared" si="82"/>
        <v>0</v>
      </c>
      <c r="S373" s="127">
        <v>0</v>
      </c>
      <c r="T373" s="128">
        <f t="shared" si="83"/>
        <v>0</v>
      </c>
      <c r="AR373" s="129" t="s">
        <v>235</v>
      </c>
      <c r="AT373" s="129" t="s">
        <v>231</v>
      </c>
      <c r="AU373" s="129" t="s">
        <v>76</v>
      </c>
      <c r="AY373" s="13" t="s">
        <v>228</v>
      </c>
      <c r="BE373" s="130">
        <f t="shared" si="84"/>
        <v>0</v>
      </c>
      <c r="BF373" s="130">
        <f t="shared" si="85"/>
        <v>38.520000000000003</v>
      </c>
      <c r="BG373" s="130">
        <f t="shared" si="86"/>
        <v>0</v>
      </c>
      <c r="BH373" s="130">
        <f t="shared" si="87"/>
        <v>0</v>
      </c>
      <c r="BI373" s="130">
        <f t="shared" si="88"/>
        <v>0</v>
      </c>
      <c r="BJ373" s="13" t="s">
        <v>76</v>
      </c>
      <c r="BK373" s="130">
        <f t="shared" si="89"/>
        <v>38.520000000000003</v>
      </c>
      <c r="BL373" s="13" t="s">
        <v>235</v>
      </c>
      <c r="BM373" s="129" t="s">
        <v>2272</v>
      </c>
    </row>
    <row r="374" spans="2:65" s="1" customFormat="1" ht="16.5" customHeight="1" x14ac:dyDescent="0.2">
      <c r="B374" s="118"/>
      <c r="C374" s="119" t="s">
        <v>2273</v>
      </c>
      <c r="D374" s="119" t="s">
        <v>231</v>
      </c>
      <c r="E374" s="120" t="s">
        <v>4201</v>
      </c>
      <c r="F374" s="121" t="s">
        <v>2807</v>
      </c>
      <c r="G374" s="122" t="s">
        <v>243</v>
      </c>
      <c r="H374" s="123">
        <v>20</v>
      </c>
      <c r="I374" s="124">
        <v>4.68</v>
      </c>
      <c r="J374" s="124">
        <f t="shared" si="80"/>
        <v>93.6</v>
      </c>
      <c r="K374" s="121" t="s">
        <v>1</v>
      </c>
      <c r="L374" s="24"/>
      <c r="M374" s="125" t="s">
        <v>1</v>
      </c>
      <c r="N374" s="126" t="s">
        <v>32</v>
      </c>
      <c r="O374" s="127">
        <v>0</v>
      </c>
      <c r="P374" s="127">
        <f t="shared" si="81"/>
        <v>0</v>
      </c>
      <c r="Q374" s="127">
        <v>0</v>
      </c>
      <c r="R374" s="127">
        <f t="shared" si="82"/>
        <v>0</v>
      </c>
      <c r="S374" s="127">
        <v>0</v>
      </c>
      <c r="T374" s="128">
        <f t="shared" si="83"/>
        <v>0</v>
      </c>
      <c r="AR374" s="129" t="s">
        <v>235</v>
      </c>
      <c r="AT374" s="129" t="s">
        <v>231</v>
      </c>
      <c r="AU374" s="129" t="s">
        <v>76</v>
      </c>
      <c r="AY374" s="13" t="s">
        <v>228</v>
      </c>
      <c r="BE374" s="130">
        <f t="shared" si="84"/>
        <v>0</v>
      </c>
      <c r="BF374" s="130">
        <f t="shared" si="85"/>
        <v>93.6</v>
      </c>
      <c r="BG374" s="130">
        <f t="shared" si="86"/>
        <v>0</v>
      </c>
      <c r="BH374" s="130">
        <f t="shared" si="87"/>
        <v>0</v>
      </c>
      <c r="BI374" s="130">
        <f t="shared" si="88"/>
        <v>0</v>
      </c>
      <c r="BJ374" s="13" t="s">
        <v>76</v>
      </c>
      <c r="BK374" s="130">
        <f t="shared" si="89"/>
        <v>93.6</v>
      </c>
      <c r="BL374" s="13" t="s">
        <v>235</v>
      </c>
      <c r="BM374" s="129" t="s">
        <v>2276</v>
      </c>
    </row>
    <row r="375" spans="2:65" s="1" customFormat="1" ht="24" customHeight="1" x14ac:dyDescent="0.2">
      <c r="B375" s="118"/>
      <c r="C375" s="119" t="s">
        <v>616</v>
      </c>
      <c r="D375" s="119" t="s">
        <v>231</v>
      </c>
      <c r="E375" s="120" t="s">
        <v>2808</v>
      </c>
      <c r="F375" s="121" t="s">
        <v>2809</v>
      </c>
      <c r="G375" s="122" t="s">
        <v>292</v>
      </c>
      <c r="H375" s="123">
        <v>60</v>
      </c>
      <c r="I375" s="124">
        <v>8.7899999999999991</v>
      </c>
      <c r="J375" s="124">
        <f t="shared" si="80"/>
        <v>527.4</v>
      </c>
      <c r="K375" s="121" t="s">
        <v>1</v>
      </c>
      <c r="L375" s="24"/>
      <c r="M375" s="125" t="s">
        <v>1</v>
      </c>
      <c r="N375" s="126" t="s">
        <v>32</v>
      </c>
      <c r="O375" s="127">
        <v>0</v>
      </c>
      <c r="P375" s="127">
        <f t="shared" si="81"/>
        <v>0</v>
      </c>
      <c r="Q375" s="127">
        <v>0</v>
      </c>
      <c r="R375" s="127">
        <f t="shared" si="82"/>
        <v>0</v>
      </c>
      <c r="S375" s="127">
        <v>0</v>
      </c>
      <c r="T375" s="128">
        <f t="shared" si="83"/>
        <v>0</v>
      </c>
      <c r="AR375" s="129" t="s">
        <v>235</v>
      </c>
      <c r="AT375" s="129" t="s">
        <v>231</v>
      </c>
      <c r="AU375" s="129" t="s">
        <v>76</v>
      </c>
      <c r="AY375" s="13" t="s">
        <v>228</v>
      </c>
      <c r="BE375" s="130">
        <f t="shared" si="84"/>
        <v>0</v>
      </c>
      <c r="BF375" s="130">
        <f t="shared" si="85"/>
        <v>527.4</v>
      </c>
      <c r="BG375" s="130">
        <f t="shared" si="86"/>
        <v>0</v>
      </c>
      <c r="BH375" s="130">
        <f t="shared" si="87"/>
        <v>0</v>
      </c>
      <c r="BI375" s="130">
        <f t="shared" si="88"/>
        <v>0</v>
      </c>
      <c r="BJ375" s="13" t="s">
        <v>76</v>
      </c>
      <c r="BK375" s="130">
        <f t="shared" si="89"/>
        <v>527.4</v>
      </c>
      <c r="BL375" s="13" t="s">
        <v>235</v>
      </c>
      <c r="BM375" s="129" t="s">
        <v>2279</v>
      </c>
    </row>
    <row r="376" spans="2:65" s="1" customFormat="1" ht="24" customHeight="1" x14ac:dyDescent="0.2">
      <c r="B376" s="118"/>
      <c r="C376" s="119" t="s">
        <v>2280</v>
      </c>
      <c r="D376" s="119" t="s">
        <v>231</v>
      </c>
      <c r="E376" s="120" t="s">
        <v>2810</v>
      </c>
      <c r="F376" s="121" t="s">
        <v>2811</v>
      </c>
      <c r="G376" s="122" t="s">
        <v>292</v>
      </c>
      <c r="H376" s="123">
        <v>80</v>
      </c>
      <c r="I376" s="124">
        <v>7.92</v>
      </c>
      <c r="J376" s="124">
        <f t="shared" si="80"/>
        <v>633.6</v>
      </c>
      <c r="K376" s="121" t="s">
        <v>1</v>
      </c>
      <c r="L376" s="24"/>
      <c r="M376" s="125" t="s">
        <v>1</v>
      </c>
      <c r="N376" s="126" t="s">
        <v>32</v>
      </c>
      <c r="O376" s="127">
        <v>0</v>
      </c>
      <c r="P376" s="127">
        <f t="shared" si="81"/>
        <v>0</v>
      </c>
      <c r="Q376" s="127">
        <v>0</v>
      </c>
      <c r="R376" s="127">
        <f t="shared" si="82"/>
        <v>0</v>
      </c>
      <c r="S376" s="127">
        <v>0</v>
      </c>
      <c r="T376" s="128">
        <f t="shared" si="83"/>
        <v>0</v>
      </c>
      <c r="AR376" s="129" t="s">
        <v>235</v>
      </c>
      <c r="AT376" s="129" t="s">
        <v>231</v>
      </c>
      <c r="AU376" s="129" t="s">
        <v>76</v>
      </c>
      <c r="AY376" s="13" t="s">
        <v>228</v>
      </c>
      <c r="BE376" s="130">
        <f t="shared" si="84"/>
        <v>0</v>
      </c>
      <c r="BF376" s="130">
        <f t="shared" si="85"/>
        <v>633.6</v>
      </c>
      <c r="BG376" s="130">
        <f t="shared" si="86"/>
        <v>0</v>
      </c>
      <c r="BH376" s="130">
        <f t="shared" si="87"/>
        <v>0</v>
      </c>
      <c r="BI376" s="130">
        <f t="shared" si="88"/>
        <v>0</v>
      </c>
      <c r="BJ376" s="13" t="s">
        <v>76</v>
      </c>
      <c r="BK376" s="130">
        <f t="shared" si="89"/>
        <v>633.6</v>
      </c>
      <c r="BL376" s="13" t="s">
        <v>235</v>
      </c>
      <c r="BM376" s="129" t="s">
        <v>2283</v>
      </c>
    </row>
    <row r="377" spans="2:65" s="1" customFormat="1" ht="24" customHeight="1" x14ac:dyDescent="0.2">
      <c r="B377" s="118"/>
      <c r="C377" s="119" t="s">
        <v>619</v>
      </c>
      <c r="D377" s="119" t="s">
        <v>231</v>
      </c>
      <c r="E377" s="120" t="s">
        <v>2812</v>
      </c>
      <c r="F377" s="121" t="s">
        <v>2813</v>
      </c>
      <c r="G377" s="122" t="s">
        <v>292</v>
      </c>
      <c r="H377" s="123">
        <v>40</v>
      </c>
      <c r="I377" s="124">
        <v>7.92</v>
      </c>
      <c r="J377" s="124">
        <f t="shared" si="80"/>
        <v>316.8</v>
      </c>
      <c r="K377" s="121" t="s">
        <v>1</v>
      </c>
      <c r="L377" s="24"/>
      <c r="M377" s="125" t="s">
        <v>1</v>
      </c>
      <c r="N377" s="126" t="s">
        <v>32</v>
      </c>
      <c r="O377" s="127">
        <v>0</v>
      </c>
      <c r="P377" s="127">
        <f t="shared" si="81"/>
        <v>0</v>
      </c>
      <c r="Q377" s="127">
        <v>0</v>
      </c>
      <c r="R377" s="127">
        <f t="shared" si="82"/>
        <v>0</v>
      </c>
      <c r="S377" s="127">
        <v>0</v>
      </c>
      <c r="T377" s="128">
        <f t="shared" si="83"/>
        <v>0</v>
      </c>
      <c r="AR377" s="129" t="s">
        <v>235</v>
      </c>
      <c r="AT377" s="129" t="s">
        <v>231</v>
      </c>
      <c r="AU377" s="129" t="s">
        <v>76</v>
      </c>
      <c r="AY377" s="13" t="s">
        <v>228</v>
      </c>
      <c r="BE377" s="130">
        <f t="shared" si="84"/>
        <v>0</v>
      </c>
      <c r="BF377" s="130">
        <f t="shared" si="85"/>
        <v>316.8</v>
      </c>
      <c r="BG377" s="130">
        <f t="shared" si="86"/>
        <v>0</v>
      </c>
      <c r="BH377" s="130">
        <f t="shared" si="87"/>
        <v>0</v>
      </c>
      <c r="BI377" s="130">
        <f t="shared" si="88"/>
        <v>0</v>
      </c>
      <c r="BJ377" s="13" t="s">
        <v>76</v>
      </c>
      <c r="BK377" s="130">
        <f t="shared" si="89"/>
        <v>316.8</v>
      </c>
      <c r="BL377" s="13" t="s">
        <v>235</v>
      </c>
      <c r="BM377" s="129" t="s">
        <v>2288</v>
      </c>
    </row>
    <row r="378" spans="2:65" s="1" customFormat="1" ht="24" customHeight="1" x14ac:dyDescent="0.2">
      <c r="B378" s="118"/>
      <c r="C378" s="119" t="s">
        <v>2289</v>
      </c>
      <c r="D378" s="119" t="s">
        <v>231</v>
      </c>
      <c r="E378" s="120" t="s">
        <v>2814</v>
      </c>
      <c r="F378" s="121" t="s">
        <v>2815</v>
      </c>
      <c r="G378" s="122" t="s">
        <v>292</v>
      </c>
      <c r="H378" s="123">
        <v>27</v>
      </c>
      <c r="I378" s="124">
        <v>1.21</v>
      </c>
      <c r="J378" s="124">
        <f t="shared" si="80"/>
        <v>32.67</v>
      </c>
      <c r="K378" s="121" t="s">
        <v>1</v>
      </c>
      <c r="L378" s="24"/>
      <c r="M378" s="125" t="s">
        <v>1</v>
      </c>
      <c r="N378" s="126" t="s">
        <v>32</v>
      </c>
      <c r="O378" s="127">
        <v>0</v>
      </c>
      <c r="P378" s="127">
        <f t="shared" si="81"/>
        <v>0</v>
      </c>
      <c r="Q378" s="127">
        <v>0</v>
      </c>
      <c r="R378" s="127">
        <f t="shared" si="82"/>
        <v>0</v>
      </c>
      <c r="S378" s="127">
        <v>0</v>
      </c>
      <c r="T378" s="128">
        <f t="shared" si="83"/>
        <v>0</v>
      </c>
      <c r="AR378" s="129" t="s">
        <v>235</v>
      </c>
      <c r="AT378" s="129" t="s">
        <v>231</v>
      </c>
      <c r="AU378" s="129" t="s">
        <v>76</v>
      </c>
      <c r="AY378" s="13" t="s">
        <v>228</v>
      </c>
      <c r="BE378" s="130">
        <f t="shared" si="84"/>
        <v>0</v>
      </c>
      <c r="BF378" s="130">
        <f t="shared" si="85"/>
        <v>32.67</v>
      </c>
      <c r="BG378" s="130">
        <f t="shared" si="86"/>
        <v>0</v>
      </c>
      <c r="BH378" s="130">
        <f t="shared" si="87"/>
        <v>0</v>
      </c>
      <c r="BI378" s="130">
        <f t="shared" si="88"/>
        <v>0</v>
      </c>
      <c r="BJ378" s="13" t="s">
        <v>76</v>
      </c>
      <c r="BK378" s="130">
        <f t="shared" si="89"/>
        <v>32.67</v>
      </c>
      <c r="BL378" s="13" t="s">
        <v>235</v>
      </c>
      <c r="BM378" s="129" t="s">
        <v>2292</v>
      </c>
    </row>
    <row r="379" spans="2:65" s="1" customFormat="1" ht="24" customHeight="1" x14ac:dyDescent="0.2">
      <c r="B379" s="118"/>
      <c r="C379" s="119" t="s">
        <v>623</v>
      </c>
      <c r="D379" s="119" t="s">
        <v>231</v>
      </c>
      <c r="E379" s="120" t="s">
        <v>2816</v>
      </c>
      <c r="F379" s="121" t="s">
        <v>2817</v>
      </c>
      <c r="G379" s="122" t="s">
        <v>292</v>
      </c>
      <c r="H379" s="123">
        <v>9</v>
      </c>
      <c r="I379" s="124">
        <v>1.21</v>
      </c>
      <c r="J379" s="124">
        <f t="shared" si="80"/>
        <v>10.89</v>
      </c>
      <c r="K379" s="121" t="s">
        <v>1</v>
      </c>
      <c r="L379" s="24"/>
      <c r="M379" s="125" t="s">
        <v>1</v>
      </c>
      <c r="N379" s="126" t="s">
        <v>32</v>
      </c>
      <c r="O379" s="127">
        <v>0</v>
      </c>
      <c r="P379" s="127">
        <f t="shared" si="81"/>
        <v>0</v>
      </c>
      <c r="Q379" s="127">
        <v>0</v>
      </c>
      <c r="R379" s="127">
        <f t="shared" si="82"/>
        <v>0</v>
      </c>
      <c r="S379" s="127">
        <v>0</v>
      </c>
      <c r="T379" s="128">
        <f t="shared" si="83"/>
        <v>0</v>
      </c>
      <c r="AR379" s="129" t="s">
        <v>235</v>
      </c>
      <c r="AT379" s="129" t="s">
        <v>231</v>
      </c>
      <c r="AU379" s="129" t="s">
        <v>76</v>
      </c>
      <c r="AY379" s="13" t="s">
        <v>228</v>
      </c>
      <c r="BE379" s="130">
        <f t="shared" si="84"/>
        <v>0</v>
      </c>
      <c r="BF379" s="130">
        <f t="shared" si="85"/>
        <v>10.89</v>
      </c>
      <c r="BG379" s="130">
        <f t="shared" si="86"/>
        <v>0</v>
      </c>
      <c r="BH379" s="130">
        <f t="shared" si="87"/>
        <v>0</v>
      </c>
      <c r="BI379" s="130">
        <f t="shared" si="88"/>
        <v>0</v>
      </c>
      <c r="BJ379" s="13" t="s">
        <v>76</v>
      </c>
      <c r="BK379" s="130">
        <f t="shared" si="89"/>
        <v>10.89</v>
      </c>
      <c r="BL379" s="13" t="s">
        <v>235</v>
      </c>
      <c r="BM379" s="129" t="s">
        <v>2295</v>
      </c>
    </row>
    <row r="380" spans="2:65" s="1" customFormat="1" ht="24" customHeight="1" x14ac:dyDescent="0.2">
      <c r="B380" s="118"/>
      <c r="C380" s="119" t="s">
        <v>2296</v>
      </c>
      <c r="D380" s="119" t="s">
        <v>231</v>
      </c>
      <c r="E380" s="120" t="s">
        <v>2818</v>
      </c>
      <c r="F380" s="121" t="s">
        <v>2819</v>
      </c>
      <c r="G380" s="122" t="s">
        <v>292</v>
      </c>
      <c r="H380" s="123">
        <v>60</v>
      </c>
      <c r="I380" s="124">
        <v>1.68</v>
      </c>
      <c r="J380" s="124">
        <f t="shared" si="80"/>
        <v>100.8</v>
      </c>
      <c r="K380" s="121" t="s">
        <v>1</v>
      </c>
      <c r="L380" s="24"/>
      <c r="M380" s="125" t="s">
        <v>1</v>
      </c>
      <c r="N380" s="126" t="s">
        <v>32</v>
      </c>
      <c r="O380" s="127">
        <v>0</v>
      </c>
      <c r="P380" s="127">
        <f t="shared" si="81"/>
        <v>0</v>
      </c>
      <c r="Q380" s="127">
        <v>0</v>
      </c>
      <c r="R380" s="127">
        <f t="shared" si="82"/>
        <v>0</v>
      </c>
      <c r="S380" s="127">
        <v>0</v>
      </c>
      <c r="T380" s="128">
        <f t="shared" si="83"/>
        <v>0</v>
      </c>
      <c r="AR380" s="129" t="s">
        <v>235</v>
      </c>
      <c r="AT380" s="129" t="s">
        <v>231</v>
      </c>
      <c r="AU380" s="129" t="s">
        <v>76</v>
      </c>
      <c r="AY380" s="13" t="s">
        <v>228</v>
      </c>
      <c r="BE380" s="130">
        <f t="shared" si="84"/>
        <v>0</v>
      </c>
      <c r="BF380" s="130">
        <f t="shared" si="85"/>
        <v>100.8</v>
      </c>
      <c r="BG380" s="130">
        <f t="shared" si="86"/>
        <v>0</v>
      </c>
      <c r="BH380" s="130">
        <f t="shared" si="87"/>
        <v>0</v>
      </c>
      <c r="BI380" s="130">
        <f t="shared" si="88"/>
        <v>0</v>
      </c>
      <c r="BJ380" s="13" t="s">
        <v>76</v>
      </c>
      <c r="BK380" s="130">
        <f t="shared" si="89"/>
        <v>100.8</v>
      </c>
      <c r="BL380" s="13" t="s">
        <v>235</v>
      </c>
      <c r="BM380" s="129" t="s">
        <v>2299</v>
      </c>
    </row>
    <row r="381" spans="2:65" s="1" customFormat="1" ht="24" customHeight="1" x14ac:dyDescent="0.2">
      <c r="B381" s="118"/>
      <c r="C381" s="119" t="s">
        <v>626</v>
      </c>
      <c r="D381" s="119" t="s">
        <v>231</v>
      </c>
      <c r="E381" s="120" t="s">
        <v>2820</v>
      </c>
      <c r="F381" s="121" t="s">
        <v>2821</v>
      </c>
      <c r="G381" s="122" t="s">
        <v>292</v>
      </c>
      <c r="H381" s="123">
        <v>16</v>
      </c>
      <c r="I381" s="124">
        <v>5.12</v>
      </c>
      <c r="J381" s="124">
        <f t="shared" si="80"/>
        <v>81.92</v>
      </c>
      <c r="K381" s="121" t="s">
        <v>1</v>
      </c>
      <c r="L381" s="24"/>
      <c r="M381" s="125" t="s">
        <v>1</v>
      </c>
      <c r="N381" s="126" t="s">
        <v>32</v>
      </c>
      <c r="O381" s="127">
        <v>0</v>
      </c>
      <c r="P381" s="127">
        <f t="shared" si="81"/>
        <v>0</v>
      </c>
      <c r="Q381" s="127">
        <v>0</v>
      </c>
      <c r="R381" s="127">
        <f t="shared" si="82"/>
        <v>0</v>
      </c>
      <c r="S381" s="127">
        <v>0</v>
      </c>
      <c r="T381" s="128">
        <f t="shared" si="83"/>
        <v>0</v>
      </c>
      <c r="AR381" s="129" t="s">
        <v>235</v>
      </c>
      <c r="AT381" s="129" t="s">
        <v>231</v>
      </c>
      <c r="AU381" s="129" t="s">
        <v>76</v>
      </c>
      <c r="AY381" s="13" t="s">
        <v>228</v>
      </c>
      <c r="BE381" s="130">
        <f t="shared" si="84"/>
        <v>0</v>
      </c>
      <c r="BF381" s="130">
        <f t="shared" si="85"/>
        <v>81.92</v>
      </c>
      <c r="BG381" s="130">
        <f t="shared" si="86"/>
        <v>0</v>
      </c>
      <c r="BH381" s="130">
        <f t="shared" si="87"/>
        <v>0</v>
      </c>
      <c r="BI381" s="130">
        <f t="shared" si="88"/>
        <v>0</v>
      </c>
      <c r="BJ381" s="13" t="s">
        <v>76</v>
      </c>
      <c r="BK381" s="130">
        <f t="shared" si="89"/>
        <v>81.92</v>
      </c>
      <c r="BL381" s="13" t="s">
        <v>235</v>
      </c>
      <c r="BM381" s="129" t="s">
        <v>2302</v>
      </c>
    </row>
    <row r="382" spans="2:65" s="1" customFormat="1" ht="24" customHeight="1" x14ac:dyDescent="0.2">
      <c r="B382" s="118"/>
      <c r="C382" s="119" t="s">
        <v>2303</v>
      </c>
      <c r="D382" s="119" t="s">
        <v>231</v>
      </c>
      <c r="E382" s="120" t="s">
        <v>4202</v>
      </c>
      <c r="F382" s="121" t="s">
        <v>2823</v>
      </c>
      <c r="G382" s="122" t="s">
        <v>243</v>
      </c>
      <c r="H382" s="123">
        <v>4</v>
      </c>
      <c r="I382" s="124">
        <v>3.45</v>
      </c>
      <c r="J382" s="124">
        <f t="shared" si="80"/>
        <v>13.8</v>
      </c>
      <c r="K382" s="121" t="s">
        <v>1</v>
      </c>
      <c r="L382" s="24"/>
      <c r="M382" s="125" t="s">
        <v>1</v>
      </c>
      <c r="N382" s="126" t="s">
        <v>32</v>
      </c>
      <c r="O382" s="127">
        <v>0</v>
      </c>
      <c r="P382" s="127">
        <f t="shared" si="81"/>
        <v>0</v>
      </c>
      <c r="Q382" s="127">
        <v>0</v>
      </c>
      <c r="R382" s="127">
        <f t="shared" si="82"/>
        <v>0</v>
      </c>
      <c r="S382" s="127">
        <v>0</v>
      </c>
      <c r="T382" s="128">
        <f t="shared" si="83"/>
        <v>0</v>
      </c>
      <c r="AR382" s="129" t="s">
        <v>235</v>
      </c>
      <c r="AT382" s="129" t="s">
        <v>231</v>
      </c>
      <c r="AU382" s="129" t="s">
        <v>76</v>
      </c>
      <c r="AY382" s="13" t="s">
        <v>228</v>
      </c>
      <c r="BE382" s="130">
        <f t="shared" si="84"/>
        <v>0</v>
      </c>
      <c r="BF382" s="130">
        <f t="shared" si="85"/>
        <v>13.8</v>
      </c>
      <c r="BG382" s="130">
        <f t="shared" si="86"/>
        <v>0</v>
      </c>
      <c r="BH382" s="130">
        <f t="shared" si="87"/>
        <v>0</v>
      </c>
      <c r="BI382" s="130">
        <f t="shared" si="88"/>
        <v>0</v>
      </c>
      <c r="BJ382" s="13" t="s">
        <v>76</v>
      </c>
      <c r="BK382" s="130">
        <f t="shared" si="89"/>
        <v>13.8</v>
      </c>
      <c r="BL382" s="13" t="s">
        <v>235</v>
      </c>
      <c r="BM382" s="129" t="s">
        <v>2306</v>
      </c>
    </row>
    <row r="383" spans="2:65" s="1" customFormat="1" ht="24" customHeight="1" x14ac:dyDescent="0.2">
      <c r="B383" s="118"/>
      <c r="C383" s="119" t="s">
        <v>630</v>
      </c>
      <c r="D383" s="119" t="s">
        <v>231</v>
      </c>
      <c r="E383" s="120" t="s">
        <v>4203</v>
      </c>
      <c r="F383" s="121" t="s">
        <v>2825</v>
      </c>
      <c r="G383" s="122" t="s">
        <v>243</v>
      </c>
      <c r="H383" s="123">
        <v>4</v>
      </c>
      <c r="I383" s="124">
        <v>3.45</v>
      </c>
      <c r="J383" s="124">
        <f t="shared" si="80"/>
        <v>13.8</v>
      </c>
      <c r="K383" s="121" t="s">
        <v>1</v>
      </c>
      <c r="L383" s="24"/>
      <c r="M383" s="125" t="s">
        <v>1</v>
      </c>
      <c r="N383" s="126" t="s">
        <v>32</v>
      </c>
      <c r="O383" s="127">
        <v>0</v>
      </c>
      <c r="P383" s="127">
        <f t="shared" si="81"/>
        <v>0</v>
      </c>
      <c r="Q383" s="127">
        <v>0</v>
      </c>
      <c r="R383" s="127">
        <f t="shared" si="82"/>
        <v>0</v>
      </c>
      <c r="S383" s="127">
        <v>0</v>
      </c>
      <c r="T383" s="128">
        <f t="shared" si="83"/>
        <v>0</v>
      </c>
      <c r="AR383" s="129" t="s">
        <v>235</v>
      </c>
      <c r="AT383" s="129" t="s">
        <v>231</v>
      </c>
      <c r="AU383" s="129" t="s">
        <v>76</v>
      </c>
      <c r="AY383" s="13" t="s">
        <v>228</v>
      </c>
      <c r="BE383" s="130">
        <f t="shared" si="84"/>
        <v>0</v>
      </c>
      <c r="BF383" s="130">
        <f t="shared" si="85"/>
        <v>13.8</v>
      </c>
      <c r="BG383" s="130">
        <f t="shared" si="86"/>
        <v>0</v>
      </c>
      <c r="BH383" s="130">
        <f t="shared" si="87"/>
        <v>0</v>
      </c>
      <c r="BI383" s="130">
        <f t="shared" si="88"/>
        <v>0</v>
      </c>
      <c r="BJ383" s="13" t="s">
        <v>76</v>
      </c>
      <c r="BK383" s="130">
        <f t="shared" si="89"/>
        <v>13.8</v>
      </c>
      <c r="BL383" s="13" t="s">
        <v>235</v>
      </c>
      <c r="BM383" s="129" t="s">
        <v>2307</v>
      </c>
    </row>
    <row r="384" spans="2:65" s="1" customFormat="1" ht="24" customHeight="1" x14ac:dyDescent="0.2">
      <c r="B384" s="118"/>
      <c r="C384" s="119" t="s">
        <v>2308</v>
      </c>
      <c r="D384" s="119" t="s">
        <v>231</v>
      </c>
      <c r="E384" s="120" t="s">
        <v>2826</v>
      </c>
      <c r="F384" s="121" t="s">
        <v>2827</v>
      </c>
      <c r="G384" s="122" t="s">
        <v>284</v>
      </c>
      <c r="H384" s="123">
        <v>0.3</v>
      </c>
      <c r="I384" s="124">
        <v>226.98</v>
      </c>
      <c r="J384" s="124">
        <f t="shared" si="80"/>
        <v>68.09</v>
      </c>
      <c r="K384" s="121" t="s">
        <v>1</v>
      </c>
      <c r="L384" s="24"/>
      <c r="M384" s="125" t="s">
        <v>1</v>
      </c>
      <c r="N384" s="126" t="s">
        <v>32</v>
      </c>
      <c r="O384" s="127">
        <v>0</v>
      </c>
      <c r="P384" s="127">
        <f t="shared" si="81"/>
        <v>0</v>
      </c>
      <c r="Q384" s="127">
        <v>0</v>
      </c>
      <c r="R384" s="127">
        <f t="shared" si="82"/>
        <v>0</v>
      </c>
      <c r="S384" s="127">
        <v>0</v>
      </c>
      <c r="T384" s="128">
        <f t="shared" si="83"/>
        <v>0</v>
      </c>
      <c r="AR384" s="129" t="s">
        <v>235</v>
      </c>
      <c r="AT384" s="129" t="s">
        <v>231</v>
      </c>
      <c r="AU384" s="129" t="s">
        <v>76</v>
      </c>
      <c r="AY384" s="13" t="s">
        <v>228</v>
      </c>
      <c r="BE384" s="130">
        <f t="shared" si="84"/>
        <v>0</v>
      </c>
      <c r="BF384" s="130">
        <f t="shared" si="85"/>
        <v>68.09</v>
      </c>
      <c r="BG384" s="130">
        <f t="shared" si="86"/>
        <v>0</v>
      </c>
      <c r="BH384" s="130">
        <f t="shared" si="87"/>
        <v>0</v>
      </c>
      <c r="BI384" s="130">
        <f t="shared" si="88"/>
        <v>0</v>
      </c>
      <c r="BJ384" s="13" t="s">
        <v>76</v>
      </c>
      <c r="BK384" s="130">
        <f t="shared" si="89"/>
        <v>68.09</v>
      </c>
      <c r="BL384" s="13" t="s">
        <v>235</v>
      </c>
      <c r="BM384" s="129" t="s">
        <v>2311</v>
      </c>
    </row>
    <row r="385" spans="2:65" s="1" customFormat="1" ht="16.5" customHeight="1" x14ac:dyDescent="0.2">
      <c r="B385" s="118"/>
      <c r="C385" s="119" t="s">
        <v>635</v>
      </c>
      <c r="D385" s="119" t="s">
        <v>231</v>
      </c>
      <c r="E385" s="120" t="s">
        <v>2828</v>
      </c>
      <c r="F385" s="121" t="s">
        <v>2829</v>
      </c>
      <c r="G385" s="122" t="s">
        <v>284</v>
      </c>
      <c r="H385" s="123">
        <v>1</v>
      </c>
      <c r="I385" s="124">
        <v>66.760000000000005</v>
      </c>
      <c r="J385" s="124">
        <f t="shared" si="80"/>
        <v>66.760000000000005</v>
      </c>
      <c r="K385" s="121" t="s">
        <v>1</v>
      </c>
      <c r="L385" s="24"/>
      <c r="M385" s="125" t="s">
        <v>1</v>
      </c>
      <c r="N385" s="126" t="s">
        <v>32</v>
      </c>
      <c r="O385" s="127">
        <v>0</v>
      </c>
      <c r="P385" s="127">
        <f t="shared" si="81"/>
        <v>0</v>
      </c>
      <c r="Q385" s="127">
        <v>0</v>
      </c>
      <c r="R385" s="127">
        <f t="shared" si="82"/>
        <v>0</v>
      </c>
      <c r="S385" s="127">
        <v>0</v>
      </c>
      <c r="T385" s="128">
        <f t="shared" si="83"/>
        <v>0</v>
      </c>
      <c r="AR385" s="129" t="s">
        <v>235</v>
      </c>
      <c r="AT385" s="129" t="s">
        <v>231</v>
      </c>
      <c r="AU385" s="129" t="s">
        <v>76</v>
      </c>
      <c r="AY385" s="13" t="s">
        <v>228</v>
      </c>
      <c r="BE385" s="130">
        <f t="shared" si="84"/>
        <v>0</v>
      </c>
      <c r="BF385" s="130">
        <f t="shared" si="85"/>
        <v>66.760000000000005</v>
      </c>
      <c r="BG385" s="130">
        <f t="shared" si="86"/>
        <v>0</v>
      </c>
      <c r="BH385" s="130">
        <f t="shared" si="87"/>
        <v>0</v>
      </c>
      <c r="BI385" s="130">
        <f t="shared" si="88"/>
        <v>0</v>
      </c>
      <c r="BJ385" s="13" t="s">
        <v>76</v>
      </c>
      <c r="BK385" s="130">
        <f t="shared" si="89"/>
        <v>66.760000000000005</v>
      </c>
      <c r="BL385" s="13" t="s">
        <v>235</v>
      </c>
      <c r="BM385" s="129" t="s">
        <v>2314</v>
      </c>
    </row>
    <row r="386" spans="2:65" s="1" customFormat="1" ht="24" customHeight="1" x14ac:dyDescent="0.2">
      <c r="B386" s="118"/>
      <c r="C386" s="119" t="s">
        <v>2315</v>
      </c>
      <c r="D386" s="119" t="s">
        <v>231</v>
      </c>
      <c r="E386" s="120" t="s">
        <v>2830</v>
      </c>
      <c r="F386" s="121" t="s">
        <v>2831</v>
      </c>
      <c r="G386" s="122" t="s">
        <v>1035</v>
      </c>
      <c r="H386" s="123">
        <v>60</v>
      </c>
      <c r="I386" s="124">
        <v>2.0099999999999998</v>
      </c>
      <c r="J386" s="124">
        <f t="shared" si="80"/>
        <v>120.6</v>
      </c>
      <c r="K386" s="121" t="s">
        <v>1</v>
      </c>
      <c r="L386" s="24"/>
      <c r="M386" s="125" t="s">
        <v>1</v>
      </c>
      <c r="N386" s="126" t="s">
        <v>32</v>
      </c>
      <c r="O386" s="127">
        <v>0</v>
      </c>
      <c r="P386" s="127">
        <f t="shared" si="81"/>
        <v>0</v>
      </c>
      <c r="Q386" s="127">
        <v>0</v>
      </c>
      <c r="R386" s="127">
        <f t="shared" si="82"/>
        <v>0</v>
      </c>
      <c r="S386" s="127">
        <v>0</v>
      </c>
      <c r="T386" s="128">
        <f t="shared" si="83"/>
        <v>0</v>
      </c>
      <c r="AR386" s="129" t="s">
        <v>235</v>
      </c>
      <c r="AT386" s="129" t="s">
        <v>231</v>
      </c>
      <c r="AU386" s="129" t="s">
        <v>76</v>
      </c>
      <c r="AY386" s="13" t="s">
        <v>228</v>
      </c>
      <c r="BE386" s="130">
        <f t="shared" si="84"/>
        <v>0</v>
      </c>
      <c r="BF386" s="130">
        <f t="shared" si="85"/>
        <v>120.6</v>
      </c>
      <c r="BG386" s="130">
        <f t="shared" si="86"/>
        <v>0</v>
      </c>
      <c r="BH386" s="130">
        <f t="shared" si="87"/>
        <v>0</v>
      </c>
      <c r="BI386" s="130">
        <f t="shared" si="88"/>
        <v>0</v>
      </c>
      <c r="BJ386" s="13" t="s">
        <v>76</v>
      </c>
      <c r="BK386" s="130">
        <f t="shared" si="89"/>
        <v>120.6</v>
      </c>
      <c r="BL386" s="13" t="s">
        <v>235</v>
      </c>
      <c r="BM386" s="129" t="s">
        <v>2318</v>
      </c>
    </row>
    <row r="387" spans="2:65" s="1" customFormat="1" ht="16.5" customHeight="1" x14ac:dyDescent="0.2">
      <c r="B387" s="118"/>
      <c r="C387" s="119" t="s">
        <v>639</v>
      </c>
      <c r="D387" s="119" t="s">
        <v>231</v>
      </c>
      <c r="E387" s="120" t="s">
        <v>2832</v>
      </c>
      <c r="F387" s="121" t="s">
        <v>2833</v>
      </c>
      <c r="G387" s="122" t="s">
        <v>1112</v>
      </c>
      <c r="H387" s="123">
        <v>12</v>
      </c>
      <c r="I387" s="124">
        <v>16.02</v>
      </c>
      <c r="J387" s="124">
        <f t="shared" si="80"/>
        <v>192.24</v>
      </c>
      <c r="K387" s="121" t="s">
        <v>1</v>
      </c>
      <c r="L387" s="24"/>
      <c r="M387" s="125" t="s">
        <v>1</v>
      </c>
      <c r="N387" s="126" t="s">
        <v>32</v>
      </c>
      <c r="O387" s="127">
        <v>0</v>
      </c>
      <c r="P387" s="127">
        <f t="shared" si="81"/>
        <v>0</v>
      </c>
      <c r="Q387" s="127">
        <v>0</v>
      </c>
      <c r="R387" s="127">
        <f t="shared" si="82"/>
        <v>0</v>
      </c>
      <c r="S387" s="127">
        <v>0</v>
      </c>
      <c r="T387" s="128">
        <f t="shared" si="83"/>
        <v>0</v>
      </c>
      <c r="AR387" s="129" t="s">
        <v>235</v>
      </c>
      <c r="AT387" s="129" t="s">
        <v>231</v>
      </c>
      <c r="AU387" s="129" t="s">
        <v>76</v>
      </c>
      <c r="AY387" s="13" t="s">
        <v>228</v>
      </c>
      <c r="BE387" s="130">
        <f t="shared" si="84"/>
        <v>0</v>
      </c>
      <c r="BF387" s="130">
        <f t="shared" si="85"/>
        <v>192.24</v>
      </c>
      <c r="BG387" s="130">
        <f t="shared" si="86"/>
        <v>0</v>
      </c>
      <c r="BH387" s="130">
        <f t="shared" si="87"/>
        <v>0</v>
      </c>
      <c r="BI387" s="130">
        <f t="shared" si="88"/>
        <v>0</v>
      </c>
      <c r="BJ387" s="13" t="s">
        <v>76</v>
      </c>
      <c r="BK387" s="130">
        <f t="shared" si="89"/>
        <v>192.24</v>
      </c>
      <c r="BL387" s="13" t="s">
        <v>235</v>
      </c>
      <c r="BM387" s="129" t="s">
        <v>2321</v>
      </c>
    </row>
    <row r="388" spans="2:65" s="1" customFormat="1" ht="24" customHeight="1" x14ac:dyDescent="0.2">
      <c r="B388" s="118"/>
      <c r="C388" s="119" t="s">
        <v>2322</v>
      </c>
      <c r="D388" s="119" t="s">
        <v>231</v>
      </c>
      <c r="E388" s="120" t="s">
        <v>2834</v>
      </c>
      <c r="F388" s="121" t="s">
        <v>2835</v>
      </c>
      <c r="G388" s="122" t="s">
        <v>1112</v>
      </c>
      <c r="H388" s="123">
        <v>6</v>
      </c>
      <c r="I388" s="124">
        <v>18.690000000000001</v>
      </c>
      <c r="J388" s="124">
        <f t="shared" si="80"/>
        <v>112.14</v>
      </c>
      <c r="K388" s="121" t="s">
        <v>1</v>
      </c>
      <c r="L388" s="24"/>
      <c r="M388" s="125" t="s">
        <v>1</v>
      </c>
      <c r="N388" s="126" t="s">
        <v>32</v>
      </c>
      <c r="O388" s="127">
        <v>0</v>
      </c>
      <c r="P388" s="127">
        <f t="shared" si="81"/>
        <v>0</v>
      </c>
      <c r="Q388" s="127">
        <v>0</v>
      </c>
      <c r="R388" s="127">
        <f t="shared" si="82"/>
        <v>0</v>
      </c>
      <c r="S388" s="127">
        <v>0</v>
      </c>
      <c r="T388" s="128">
        <f t="shared" si="83"/>
        <v>0</v>
      </c>
      <c r="AR388" s="129" t="s">
        <v>235</v>
      </c>
      <c r="AT388" s="129" t="s">
        <v>231</v>
      </c>
      <c r="AU388" s="129" t="s">
        <v>76</v>
      </c>
      <c r="AY388" s="13" t="s">
        <v>228</v>
      </c>
      <c r="BE388" s="130">
        <f t="shared" si="84"/>
        <v>0</v>
      </c>
      <c r="BF388" s="130">
        <f t="shared" si="85"/>
        <v>112.14</v>
      </c>
      <c r="BG388" s="130">
        <f t="shared" si="86"/>
        <v>0</v>
      </c>
      <c r="BH388" s="130">
        <f t="shared" si="87"/>
        <v>0</v>
      </c>
      <c r="BI388" s="130">
        <f t="shared" si="88"/>
        <v>0</v>
      </c>
      <c r="BJ388" s="13" t="s">
        <v>76</v>
      </c>
      <c r="BK388" s="130">
        <f t="shared" si="89"/>
        <v>112.14</v>
      </c>
      <c r="BL388" s="13" t="s">
        <v>235</v>
      </c>
      <c r="BM388" s="129" t="s">
        <v>2325</v>
      </c>
    </row>
    <row r="389" spans="2:65" s="1" customFormat="1" ht="16.5" customHeight="1" x14ac:dyDescent="0.2">
      <c r="B389" s="118"/>
      <c r="C389" s="119" t="s">
        <v>642</v>
      </c>
      <c r="D389" s="119" t="s">
        <v>231</v>
      </c>
      <c r="E389" s="120" t="s">
        <v>5022</v>
      </c>
      <c r="F389" s="121" t="s">
        <v>2837</v>
      </c>
      <c r="G389" s="122" t="s">
        <v>5023</v>
      </c>
      <c r="H389" s="123">
        <v>0.4</v>
      </c>
      <c r="I389" s="124">
        <v>320.04000000000002</v>
      </c>
      <c r="J389" s="124">
        <f t="shared" si="80"/>
        <v>128.02000000000001</v>
      </c>
      <c r="K389" s="121" t="s">
        <v>1</v>
      </c>
      <c r="L389" s="24"/>
      <c r="M389" s="125" t="s">
        <v>1</v>
      </c>
      <c r="N389" s="126" t="s">
        <v>32</v>
      </c>
      <c r="O389" s="127">
        <v>0</v>
      </c>
      <c r="P389" s="127">
        <f t="shared" si="81"/>
        <v>0</v>
      </c>
      <c r="Q389" s="127">
        <v>0</v>
      </c>
      <c r="R389" s="127">
        <f t="shared" si="82"/>
        <v>0</v>
      </c>
      <c r="S389" s="127">
        <v>0</v>
      </c>
      <c r="T389" s="128">
        <f t="shared" si="83"/>
        <v>0</v>
      </c>
      <c r="AR389" s="129" t="s">
        <v>235</v>
      </c>
      <c r="AT389" s="129" t="s">
        <v>231</v>
      </c>
      <c r="AU389" s="129" t="s">
        <v>76</v>
      </c>
      <c r="AY389" s="13" t="s">
        <v>228</v>
      </c>
      <c r="BE389" s="130">
        <f t="shared" si="84"/>
        <v>0</v>
      </c>
      <c r="BF389" s="130">
        <f t="shared" si="85"/>
        <v>128.02000000000001</v>
      </c>
      <c r="BG389" s="130">
        <f t="shared" si="86"/>
        <v>0</v>
      </c>
      <c r="BH389" s="130">
        <f t="shared" si="87"/>
        <v>0</v>
      </c>
      <c r="BI389" s="130">
        <f t="shared" si="88"/>
        <v>0</v>
      </c>
      <c r="BJ389" s="13" t="s">
        <v>76</v>
      </c>
      <c r="BK389" s="130">
        <f t="shared" si="89"/>
        <v>128.02000000000001</v>
      </c>
      <c r="BL389" s="13" t="s">
        <v>235</v>
      </c>
      <c r="BM389" s="129" t="s">
        <v>2328</v>
      </c>
    </row>
    <row r="390" spans="2:65" s="1" customFormat="1" ht="24" customHeight="1" x14ac:dyDescent="0.2">
      <c r="B390" s="118"/>
      <c r="C390" s="119" t="s">
        <v>2329</v>
      </c>
      <c r="D390" s="119" t="s">
        <v>231</v>
      </c>
      <c r="E390" s="120" t="s">
        <v>2838</v>
      </c>
      <c r="F390" s="121" t="s">
        <v>2839</v>
      </c>
      <c r="G390" s="122" t="s">
        <v>1112</v>
      </c>
      <c r="H390" s="123">
        <v>6</v>
      </c>
      <c r="I390" s="124">
        <v>18.690000000000001</v>
      </c>
      <c r="J390" s="124">
        <f t="shared" si="80"/>
        <v>112.14</v>
      </c>
      <c r="K390" s="121" t="s">
        <v>1</v>
      </c>
      <c r="L390" s="24"/>
      <c r="M390" s="125" t="s">
        <v>1</v>
      </c>
      <c r="N390" s="126" t="s">
        <v>32</v>
      </c>
      <c r="O390" s="127">
        <v>0</v>
      </c>
      <c r="P390" s="127">
        <f t="shared" si="81"/>
        <v>0</v>
      </c>
      <c r="Q390" s="127">
        <v>0</v>
      </c>
      <c r="R390" s="127">
        <f t="shared" si="82"/>
        <v>0</v>
      </c>
      <c r="S390" s="127">
        <v>0</v>
      </c>
      <c r="T390" s="128">
        <f t="shared" si="83"/>
        <v>0</v>
      </c>
      <c r="AR390" s="129" t="s">
        <v>235</v>
      </c>
      <c r="AT390" s="129" t="s">
        <v>231</v>
      </c>
      <c r="AU390" s="129" t="s">
        <v>76</v>
      </c>
      <c r="AY390" s="13" t="s">
        <v>228</v>
      </c>
      <c r="BE390" s="130">
        <f t="shared" si="84"/>
        <v>0</v>
      </c>
      <c r="BF390" s="130">
        <f t="shared" si="85"/>
        <v>112.14</v>
      </c>
      <c r="BG390" s="130">
        <f t="shared" si="86"/>
        <v>0</v>
      </c>
      <c r="BH390" s="130">
        <f t="shared" si="87"/>
        <v>0</v>
      </c>
      <c r="BI390" s="130">
        <f t="shared" si="88"/>
        <v>0</v>
      </c>
      <c r="BJ390" s="13" t="s">
        <v>76</v>
      </c>
      <c r="BK390" s="130">
        <f t="shared" si="89"/>
        <v>112.14</v>
      </c>
      <c r="BL390" s="13" t="s">
        <v>235</v>
      </c>
      <c r="BM390" s="129" t="s">
        <v>2332</v>
      </c>
    </row>
    <row r="391" spans="2:65" s="1" customFormat="1" ht="16.5" customHeight="1" x14ac:dyDescent="0.2">
      <c r="B391" s="118"/>
      <c r="C391" s="119" t="s">
        <v>646</v>
      </c>
      <c r="D391" s="119" t="s">
        <v>231</v>
      </c>
      <c r="E391" s="120" t="s">
        <v>2840</v>
      </c>
      <c r="F391" s="121" t="s">
        <v>2841</v>
      </c>
      <c r="G391" s="122" t="s">
        <v>1112</v>
      </c>
      <c r="H391" s="123">
        <v>6</v>
      </c>
      <c r="I391" s="124">
        <v>53.41</v>
      </c>
      <c r="J391" s="124">
        <f t="shared" si="80"/>
        <v>320.45999999999998</v>
      </c>
      <c r="K391" s="121" t="s">
        <v>1</v>
      </c>
      <c r="L391" s="24"/>
      <c r="M391" s="125" t="s">
        <v>1</v>
      </c>
      <c r="N391" s="126" t="s">
        <v>32</v>
      </c>
      <c r="O391" s="127">
        <v>0</v>
      </c>
      <c r="P391" s="127">
        <f t="shared" si="81"/>
        <v>0</v>
      </c>
      <c r="Q391" s="127">
        <v>0</v>
      </c>
      <c r="R391" s="127">
        <f t="shared" si="82"/>
        <v>0</v>
      </c>
      <c r="S391" s="127">
        <v>0</v>
      </c>
      <c r="T391" s="128">
        <f t="shared" si="83"/>
        <v>0</v>
      </c>
      <c r="AR391" s="129" t="s">
        <v>235</v>
      </c>
      <c r="AT391" s="129" t="s">
        <v>231</v>
      </c>
      <c r="AU391" s="129" t="s">
        <v>76</v>
      </c>
      <c r="AY391" s="13" t="s">
        <v>228</v>
      </c>
      <c r="BE391" s="130">
        <f t="shared" si="84"/>
        <v>0</v>
      </c>
      <c r="BF391" s="130">
        <f t="shared" si="85"/>
        <v>320.45999999999998</v>
      </c>
      <c r="BG391" s="130">
        <f t="shared" si="86"/>
        <v>0</v>
      </c>
      <c r="BH391" s="130">
        <f t="shared" si="87"/>
        <v>0</v>
      </c>
      <c r="BI391" s="130">
        <f t="shared" si="88"/>
        <v>0</v>
      </c>
      <c r="BJ391" s="13" t="s">
        <v>76</v>
      </c>
      <c r="BK391" s="130">
        <f t="shared" si="89"/>
        <v>320.45999999999998</v>
      </c>
      <c r="BL391" s="13" t="s">
        <v>235</v>
      </c>
      <c r="BM391" s="129" t="s">
        <v>2335</v>
      </c>
    </row>
    <row r="392" spans="2:65" s="11" customFormat="1" ht="22.95" customHeight="1" x14ac:dyDescent="0.25">
      <c r="B392" s="106"/>
      <c r="D392" s="107" t="s">
        <v>57</v>
      </c>
      <c r="E392" s="116" t="s">
        <v>1247</v>
      </c>
      <c r="F392" s="116" t="s">
        <v>2842</v>
      </c>
      <c r="J392" s="117">
        <f>BK392</f>
        <v>529.57999999999993</v>
      </c>
      <c r="L392" s="106"/>
      <c r="M392" s="110"/>
      <c r="N392" s="111"/>
      <c r="O392" s="111"/>
      <c r="P392" s="112">
        <f>SUM(P393:P395)</f>
        <v>0</v>
      </c>
      <c r="Q392" s="111"/>
      <c r="R392" s="112">
        <f>SUM(R393:R395)</f>
        <v>0</v>
      </c>
      <c r="S392" s="111"/>
      <c r="T392" s="113">
        <f>SUM(T393:T395)</f>
        <v>0</v>
      </c>
      <c r="AR392" s="107" t="s">
        <v>63</v>
      </c>
      <c r="AT392" s="114" t="s">
        <v>57</v>
      </c>
      <c r="AU392" s="114" t="s">
        <v>63</v>
      </c>
      <c r="AY392" s="107" t="s">
        <v>228</v>
      </c>
      <c r="BK392" s="115">
        <f>SUM(BK393:BK395)</f>
        <v>529.57999999999993</v>
      </c>
    </row>
    <row r="393" spans="2:65" s="1" customFormat="1" ht="16.5" customHeight="1" x14ac:dyDescent="0.2">
      <c r="B393" s="118"/>
      <c r="C393" s="119" t="s">
        <v>2336</v>
      </c>
      <c r="D393" s="119" t="s">
        <v>231</v>
      </c>
      <c r="E393" s="120" t="s">
        <v>2843</v>
      </c>
      <c r="F393" s="121" t="s">
        <v>2844</v>
      </c>
      <c r="G393" s="122" t="s">
        <v>570</v>
      </c>
      <c r="H393" s="123">
        <v>14</v>
      </c>
      <c r="I393" s="124">
        <v>4.6399999999999997</v>
      </c>
      <c r="J393" s="124">
        <f>ROUND(I393*H393,2)</f>
        <v>64.959999999999994</v>
      </c>
      <c r="K393" s="121" t="s">
        <v>1</v>
      </c>
      <c r="L393" s="24"/>
      <c r="M393" s="125" t="s">
        <v>1</v>
      </c>
      <c r="N393" s="126" t="s">
        <v>32</v>
      </c>
      <c r="O393" s="127">
        <v>0</v>
      </c>
      <c r="P393" s="127">
        <f>O393*H393</f>
        <v>0</v>
      </c>
      <c r="Q393" s="127">
        <v>0</v>
      </c>
      <c r="R393" s="127">
        <f>Q393*H393</f>
        <v>0</v>
      </c>
      <c r="S393" s="127">
        <v>0</v>
      </c>
      <c r="T393" s="128">
        <f>S393*H393</f>
        <v>0</v>
      </c>
      <c r="AR393" s="129" t="s">
        <v>235</v>
      </c>
      <c r="AT393" s="129" t="s">
        <v>231</v>
      </c>
      <c r="AU393" s="129" t="s">
        <v>76</v>
      </c>
      <c r="AY393" s="13" t="s">
        <v>228</v>
      </c>
      <c r="BE393" s="130">
        <f>IF(N393="základná",J393,0)</f>
        <v>0</v>
      </c>
      <c r="BF393" s="130">
        <f>IF(N393="znížená",J393,0)</f>
        <v>64.959999999999994</v>
      </c>
      <c r="BG393" s="130">
        <f>IF(N393="zákl. prenesená",J393,0)</f>
        <v>0</v>
      </c>
      <c r="BH393" s="130">
        <f>IF(N393="zníž. prenesená",J393,0)</f>
        <v>0</v>
      </c>
      <c r="BI393" s="130">
        <f>IF(N393="nulová",J393,0)</f>
        <v>0</v>
      </c>
      <c r="BJ393" s="13" t="s">
        <v>76</v>
      </c>
      <c r="BK393" s="130">
        <f>ROUND(I393*H393,2)</f>
        <v>64.959999999999994</v>
      </c>
      <c r="BL393" s="13" t="s">
        <v>235</v>
      </c>
      <c r="BM393" s="129" t="s">
        <v>2339</v>
      </c>
    </row>
    <row r="394" spans="2:65" s="1" customFormat="1" ht="16.5" customHeight="1" x14ac:dyDescent="0.2">
      <c r="B394" s="118"/>
      <c r="C394" s="119" t="s">
        <v>649</v>
      </c>
      <c r="D394" s="119" t="s">
        <v>231</v>
      </c>
      <c r="E394" s="120" t="s">
        <v>2845</v>
      </c>
      <c r="F394" s="121" t="s">
        <v>2846</v>
      </c>
      <c r="G394" s="122" t="s">
        <v>570</v>
      </c>
      <c r="H394" s="123">
        <v>62</v>
      </c>
      <c r="I394" s="124">
        <v>6.97</v>
      </c>
      <c r="J394" s="124">
        <f>ROUND(I394*H394,2)</f>
        <v>432.14</v>
      </c>
      <c r="K394" s="121" t="s">
        <v>1</v>
      </c>
      <c r="L394" s="24"/>
      <c r="M394" s="125" t="s">
        <v>1</v>
      </c>
      <c r="N394" s="126" t="s">
        <v>32</v>
      </c>
      <c r="O394" s="127">
        <v>0</v>
      </c>
      <c r="P394" s="127">
        <f>O394*H394</f>
        <v>0</v>
      </c>
      <c r="Q394" s="127">
        <v>0</v>
      </c>
      <c r="R394" s="127">
        <f>Q394*H394</f>
        <v>0</v>
      </c>
      <c r="S394" s="127">
        <v>0</v>
      </c>
      <c r="T394" s="128">
        <f>S394*H394</f>
        <v>0</v>
      </c>
      <c r="AR394" s="129" t="s">
        <v>235</v>
      </c>
      <c r="AT394" s="129" t="s">
        <v>231</v>
      </c>
      <c r="AU394" s="129" t="s">
        <v>76</v>
      </c>
      <c r="AY394" s="13" t="s">
        <v>228</v>
      </c>
      <c r="BE394" s="130">
        <f>IF(N394="základná",J394,0)</f>
        <v>0</v>
      </c>
      <c r="BF394" s="130">
        <f>IF(N394="znížená",J394,0)</f>
        <v>432.14</v>
      </c>
      <c r="BG394" s="130">
        <f>IF(N394="zákl. prenesená",J394,0)</f>
        <v>0</v>
      </c>
      <c r="BH394" s="130">
        <f>IF(N394="zníž. prenesená",J394,0)</f>
        <v>0</v>
      </c>
      <c r="BI394" s="130">
        <f>IF(N394="nulová",J394,0)</f>
        <v>0</v>
      </c>
      <c r="BJ394" s="13" t="s">
        <v>76</v>
      </c>
      <c r="BK394" s="130">
        <f>ROUND(I394*H394,2)</f>
        <v>432.14</v>
      </c>
      <c r="BL394" s="13" t="s">
        <v>235</v>
      </c>
      <c r="BM394" s="129" t="s">
        <v>2342</v>
      </c>
    </row>
    <row r="395" spans="2:65" s="1" customFormat="1" ht="16.5" customHeight="1" x14ac:dyDescent="0.2">
      <c r="B395" s="118"/>
      <c r="C395" s="119" t="s">
        <v>2343</v>
      </c>
      <c r="D395" s="119" t="s">
        <v>231</v>
      </c>
      <c r="E395" s="120" t="s">
        <v>2847</v>
      </c>
      <c r="F395" s="121" t="s">
        <v>2848</v>
      </c>
      <c r="G395" s="122" t="s">
        <v>570</v>
      </c>
      <c r="H395" s="123">
        <v>14</v>
      </c>
      <c r="I395" s="124">
        <v>2.3199999999999998</v>
      </c>
      <c r="J395" s="124">
        <f>ROUND(I395*H395,2)</f>
        <v>32.479999999999997</v>
      </c>
      <c r="K395" s="121" t="s">
        <v>1</v>
      </c>
      <c r="L395" s="24"/>
      <c r="M395" s="125" t="s">
        <v>1</v>
      </c>
      <c r="N395" s="126" t="s">
        <v>32</v>
      </c>
      <c r="O395" s="127">
        <v>0</v>
      </c>
      <c r="P395" s="127">
        <f>O395*H395</f>
        <v>0</v>
      </c>
      <c r="Q395" s="127">
        <v>0</v>
      </c>
      <c r="R395" s="127">
        <f>Q395*H395</f>
        <v>0</v>
      </c>
      <c r="S395" s="127">
        <v>0</v>
      </c>
      <c r="T395" s="128">
        <f>S395*H395</f>
        <v>0</v>
      </c>
      <c r="AR395" s="129" t="s">
        <v>235</v>
      </c>
      <c r="AT395" s="129" t="s">
        <v>231</v>
      </c>
      <c r="AU395" s="129" t="s">
        <v>76</v>
      </c>
      <c r="AY395" s="13" t="s">
        <v>228</v>
      </c>
      <c r="BE395" s="130">
        <f>IF(N395="základná",J395,0)</f>
        <v>0</v>
      </c>
      <c r="BF395" s="130">
        <f>IF(N395="znížená",J395,0)</f>
        <v>32.479999999999997</v>
      </c>
      <c r="BG395" s="130">
        <f>IF(N395="zákl. prenesená",J395,0)</f>
        <v>0</v>
      </c>
      <c r="BH395" s="130">
        <f>IF(N395="zníž. prenesená",J395,0)</f>
        <v>0</v>
      </c>
      <c r="BI395" s="130">
        <f>IF(N395="nulová",J395,0)</f>
        <v>0</v>
      </c>
      <c r="BJ395" s="13" t="s">
        <v>76</v>
      </c>
      <c r="BK395" s="130">
        <f>ROUND(I395*H395,2)</f>
        <v>32.479999999999997</v>
      </c>
      <c r="BL395" s="13" t="s">
        <v>235</v>
      </c>
      <c r="BM395" s="129" t="s">
        <v>2346</v>
      </c>
    </row>
    <row r="396" spans="2:65" s="11" customFormat="1" ht="22.95" customHeight="1" x14ac:dyDescent="0.25">
      <c r="B396" s="106"/>
      <c r="D396" s="107" t="s">
        <v>57</v>
      </c>
      <c r="E396" s="116" t="s">
        <v>1252</v>
      </c>
      <c r="F396" s="116" t="s">
        <v>4206</v>
      </c>
      <c r="J396" s="117">
        <f>BK396</f>
        <v>0</v>
      </c>
      <c r="L396" s="106"/>
      <c r="M396" s="110"/>
      <c r="N396" s="111"/>
      <c r="O396" s="111"/>
      <c r="P396" s="112">
        <v>0</v>
      </c>
      <c r="Q396" s="111"/>
      <c r="R396" s="112">
        <v>0</v>
      </c>
      <c r="S396" s="111"/>
      <c r="T396" s="113">
        <v>0</v>
      </c>
      <c r="AR396" s="107" t="s">
        <v>63</v>
      </c>
      <c r="AT396" s="114" t="s">
        <v>57</v>
      </c>
      <c r="AU396" s="114" t="s">
        <v>63</v>
      </c>
      <c r="AY396" s="107" t="s">
        <v>228</v>
      </c>
      <c r="BK396" s="115">
        <v>0</v>
      </c>
    </row>
    <row r="397" spans="2:65" s="11" customFormat="1" ht="22.95" customHeight="1" x14ac:dyDescent="0.25">
      <c r="B397" s="106"/>
      <c r="D397" s="107" t="s">
        <v>57</v>
      </c>
      <c r="E397" s="116" t="s">
        <v>1269</v>
      </c>
      <c r="F397" s="116" t="s">
        <v>2849</v>
      </c>
      <c r="J397" s="117">
        <f>BK397</f>
        <v>4626.4299999999985</v>
      </c>
      <c r="L397" s="106"/>
      <c r="M397" s="110"/>
      <c r="N397" s="111"/>
      <c r="O397" s="111"/>
      <c r="P397" s="112">
        <f>SUM(P398:P428)</f>
        <v>0</v>
      </c>
      <c r="Q397" s="111"/>
      <c r="R397" s="112">
        <f>SUM(R398:R428)</f>
        <v>0</v>
      </c>
      <c r="S397" s="111"/>
      <c r="T397" s="113">
        <f>SUM(T398:T428)</f>
        <v>0</v>
      </c>
      <c r="AR397" s="107" t="s">
        <v>63</v>
      </c>
      <c r="AT397" s="114" t="s">
        <v>57</v>
      </c>
      <c r="AU397" s="114" t="s">
        <v>63</v>
      </c>
      <c r="AY397" s="107" t="s">
        <v>228</v>
      </c>
      <c r="BK397" s="115">
        <f>SUM(BK398:BK428)</f>
        <v>4626.4299999999985</v>
      </c>
    </row>
    <row r="398" spans="2:65" s="1" customFormat="1" ht="16.5" customHeight="1" x14ac:dyDescent="0.2">
      <c r="B398" s="118"/>
      <c r="C398" s="119" t="s">
        <v>653</v>
      </c>
      <c r="D398" s="119" t="s">
        <v>231</v>
      </c>
      <c r="E398" s="120" t="s">
        <v>2856</v>
      </c>
      <c r="F398" s="121" t="s">
        <v>2857</v>
      </c>
      <c r="G398" s="122" t="s">
        <v>292</v>
      </c>
      <c r="H398" s="123">
        <v>200</v>
      </c>
      <c r="I398" s="124">
        <v>0.73</v>
      </c>
      <c r="J398" s="124">
        <f t="shared" ref="J398:J428" si="90">ROUND(I398*H398,2)</f>
        <v>146</v>
      </c>
      <c r="K398" s="121" t="s">
        <v>1</v>
      </c>
      <c r="L398" s="24"/>
      <c r="M398" s="125" t="s">
        <v>1</v>
      </c>
      <c r="N398" s="126" t="s">
        <v>32</v>
      </c>
      <c r="O398" s="127">
        <v>0</v>
      </c>
      <c r="P398" s="127">
        <f t="shared" ref="P398:P428" si="91">O398*H398</f>
        <v>0</v>
      </c>
      <c r="Q398" s="127">
        <v>0</v>
      </c>
      <c r="R398" s="127">
        <f t="shared" ref="R398:R428" si="92">Q398*H398</f>
        <v>0</v>
      </c>
      <c r="S398" s="127">
        <v>0</v>
      </c>
      <c r="T398" s="128">
        <f t="shared" ref="T398:T428" si="93">S398*H398</f>
        <v>0</v>
      </c>
      <c r="AR398" s="129" t="s">
        <v>235</v>
      </c>
      <c r="AT398" s="129" t="s">
        <v>231</v>
      </c>
      <c r="AU398" s="129" t="s">
        <v>76</v>
      </c>
      <c r="AY398" s="13" t="s">
        <v>228</v>
      </c>
      <c r="BE398" s="130">
        <f t="shared" ref="BE398:BE428" si="94">IF(N398="základná",J398,0)</f>
        <v>0</v>
      </c>
      <c r="BF398" s="130">
        <f t="shared" ref="BF398:BF428" si="95">IF(N398="znížená",J398,0)</f>
        <v>146</v>
      </c>
      <c r="BG398" s="130">
        <f t="shared" ref="BG398:BG428" si="96">IF(N398="zákl. prenesená",J398,0)</f>
        <v>0</v>
      </c>
      <c r="BH398" s="130">
        <f t="shared" ref="BH398:BH428" si="97">IF(N398="zníž. prenesená",J398,0)</f>
        <v>0</v>
      </c>
      <c r="BI398" s="130">
        <f t="shared" ref="BI398:BI428" si="98">IF(N398="nulová",J398,0)</f>
        <v>0</v>
      </c>
      <c r="BJ398" s="13" t="s">
        <v>76</v>
      </c>
      <c r="BK398" s="130">
        <f t="shared" ref="BK398:BK428" si="99">ROUND(I398*H398,2)</f>
        <v>146</v>
      </c>
      <c r="BL398" s="13" t="s">
        <v>235</v>
      </c>
      <c r="BM398" s="129" t="s">
        <v>2349</v>
      </c>
    </row>
    <row r="399" spans="2:65" s="1" customFormat="1" ht="16.5" customHeight="1" x14ac:dyDescent="0.2">
      <c r="B399" s="118"/>
      <c r="C399" s="119" t="s">
        <v>2350</v>
      </c>
      <c r="D399" s="119" t="s">
        <v>231</v>
      </c>
      <c r="E399" s="120" t="s">
        <v>2858</v>
      </c>
      <c r="F399" s="121" t="s">
        <v>2859</v>
      </c>
      <c r="G399" s="122" t="s">
        <v>292</v>
      </c>
      <c r="H399" s="123">
        <v>200</v>
      </c>
      <c r="I399" s="124">
        <v>2.0099999999999998</v>
      </c>
      <c r="J399" s="124">
        <f t="shared" si="90"/>
        <v>402</v>
      </c>
      <c r="K399" s="121" t="s">
        <v>1</v>
      </c>
      <c r="L399" s="24"/>
      <c r="M399" s="125" t="s">
        <v>1</v>
      </c>
      <c r="N399" s="126" t="s">
        <v>32</v>
      </c>
      <c r="O399" s="127">
        <v>0</v>
      </c>
      <c r="P399" s="127">
        <f t="shared" si="91"/>
        <v>0</v>
      </c>
      <c r="Q399" s="127">
        <v>0</v>
      </c>
      <c r="R399" s="127">
        <f t="shared" si="92"/>
        <v>0</v>
      </c>
      <c r="S399" s="127">
        <v>0</v>
      </c>
      <c r="T399" s="128">
        <f t="shared" si="93"/>
        <v>0</v>
      </c>
      <c r="AR399" s="129" t="s">
        <v>235</v>
      </c>
      <c r="AT399" s="129" t="s">
        <v>231</v>
      </c>
      <c r="AU399" s="129" t="s">
        <v>76</v>
      </c>
      <c r="AY399" s="13" t="s">
        <v>228</v>
      </c>
      <c r="BE399" s="130">
        <f t="shared" si="94"/>
        <v>0</v>
      </c>
      <c r="BF399" s="130">
        <f t="shared" si="95"/>
        <v>402</v>
      </c>
      <c r="BG399" s="130">
        <f t="shared" si="96"/>
        <v>0</v>
      </c>
      <c r="BH399" s="130">
        <f t="shared" si="97"/>
        <v>0</v>
      </c>
      <c r="BI399" s="130">
        <f t="shared" si="98"/>
        <v>0</v>
      </c>
      <c r="BJ399" s="13" t="s">
        <v>76</v>
      </c>
      <c r="BK399" s="130">
        <f t="shared" si="99"/>
        <v>402</v>
      </c>
      <c r="BL399" s="13" t="s">
        <v>235</v>
      </c>
      <c r="BM399" s="129" t="s">
        <v>2353</v>
      </c>
    </row>
    <row r="400" spans="2:65" s="1" customFormat="1" ht="16.5" customHeight="1" x14ac:dyDescent="0.2">
      <c r="B400" s="118"/>
      <c r="C400" s="119" t="s">
        <v>656</v>
      </c>
      <c r="D400" s="119" t="s">
        <v>231</v>
      </c>
      <c r="E400" s="120" t="s">
        <v>2860</v>
      </c>
      <c r="F400" s="121" t="s">
        <v>2861</v>
      </c>
      <c r="G400" s="122" t="s">
        <v>292</v>
      </c>
      <c r="H400" s="123">
        <v>200</v>
      </c>
      <c r="I400" s="124">
        <v>0.8</v>
      </c>
      <c r="J400" s="124">
        <f t="shared" si="90"/>
        <v>160</v>
      </c>
      <c r="K400" s="121" t="s">
        <v>1</v>
      </c>
      <c r="L400" s="24"/>
      <c r="M400" s="125" t="s">
        <v>1</v>
      </c>
      <c r="N400" s="126" t="s">
        <v>32</v>
      </c>
      <c r="O400" s="127">
        <v>0</v>
      </c>
      <c r="P400" s="127">
        <f t="shared" si="91"/>
        <v>0</v>
      </c>
      <c r="Q400" s="127">
        <v>0</v>
      </c>
      <c r="R400" s="127">
        <f t="shared" si="92"/>
        <v>0</v>
      </c>
      <c r="S400" s="127">
        <v>0</v>
      </c>
      <c r="T400" s="128">
        <f t="shared" si="93"/>
        <v>0</v>
      </c>
      <c r="AR400" s="129" t="s">
        <v>235</v>
      </c>
      <c r="AT400" s="129" t="s">
        <v>231</v>
      </c>
      <c r="AU400" s="129" t="s">
        <v>76</v>
      </c>
      <c r="AY400" s="13" t="s">
        <v>228</v>
      </c>
      <c r="BE400" s="130">
        <f t="shared" si="94"/>
        <v>0</v>
      </c>
      <c r="BF400" s="130">
        <f t="shared" si="95"/>
        <v>160</v>
      </c>
      <c r="BG400" s="130">
        <f t="shared" si="96"/>
        <v>0</v>
      </c>
      <c r="BH400" s="130">
        <f t="shared" si="97"/>
        <v>0</v>
      </c>
      <c r="BI400" s="130">
        <f t="shared" si="98"/>
        <v>0</v>
      </c>
      <c r="BJ400" s="13" t="s">
        <v>76</v>
      </c>
      <c r="BK400" s="130">
        <f t="shared" si="99"/>
        <v>160</v>
      </c>
      <c r="BL400" s="13" t="s">
        <v>235</v>
      </c>
      <c r="BM400" s="129" t="s">
        <v>2354</v>
      </c>
    </row>
    <row r="401" spans="2:65" s="1" customFormat="1" ht="24" customHeight="1" x14ac:dyDescent="0.2">
      <c r="B401" s="118"/>
      <c r="C401" s="119" t="s">
        <v>2357</v>
      </c>
      <c r="D401" s="119" t="s">
        <v>231</v>
      </c>
      <c r="E401" s="120" t="s">
        <v>2866</v>
      </c>
      <c r="F401" s="121" t="s">
        <v>2867</v>
      </c>
      <c r="G401" s="122" t="s">
        <v>292</v>
      </c>
      <c r="H401" s="123">
        <v>30</v>
      </c>
      <c r="I401" s="124">
        <v>1</v>
      </c>
      <c r="J401" s="124">
        <f t="shared" si="90"/>
        <v>30</v>
      </c>
      <c r="K401" s="121" t="s">
        <v>1</v>
      </c>
      <c r="L401" s="24"/>
      <c r="M401" s="125" t="s">
        <v>1</v>
      </c>
      <c r="N401" s="126" t="s">
        <v>32</v>
      </c>
      <c r="O401" s="127">
        <v>0</v>
      </c>
      <c r="P401" s="127">
        <f t="shared" si="91"/>
        <v>0</v>
      </c>
      <c r="Q401" s="127">
        <v>0</v>
      </c>
      <c r="R401" s="127">
        <f t="shared" si="92"/>
        <v>0</v>
      </c>
      <c r="S401" s="127">
        <v>0</v>
      </c>
      <c r="T401" s="128">
        <f t="shared" si="93"/>
        <v>0</v>
      </c>
      <c r="AR401" s="129" t="s">
        <v>235</v>
      </c>
      <c r="AT401" s="129" t="s">
        <v>231</v>
      </c>
      <c r="AU401" s="129" t="s">
        <v>76</v>
      </c>
      <c r="AY401" s="13" t="s">
        <v>228</v>
      </c>
      <c r="BE401" s="130">
        <f t="shared" si="94"/>
        <v>0</v>
      </c>
      <c r="BF401" s="130">
        <f t="shared" si="95"/>
        <v>30</v>
      </c>
      <c r="BG401" s="130">
        <f t="shared" si="96"/>
        <v>0</v>
      </c>
      <c r="BH401" s="130">
        <f t="shared" si="97"/>
        <v>0</v>
      </c>
      <c r="BI401" s="130">
        <f t="shared" si="98"/>
        <v>0</v>
      </c>
      <c r="BJ401" s="13" t="s">
        <v>76</v>
      </c>
      <c r="BK401" s="130">
        <f t="shared" si="99"/>
        <v>30</v>
      </c>
      <c r="BL401" s="13" t="s">
        <v>235</v>
      </c>
      <c r="BM401" s="129" t="s">
        <v>2358</v>
      </c>
    </row>
    <row r="402" spans="2:65" s="1" customFormat="1" ht="16.5" customHeight="1" x14ac:dyDescent="0.2">
      <c r="B402" s="118"/>
      <c r="C402" s="119" t="s">
        <v>660</v>
      </c>
      <c r="D402" s="119" t="s">
        <v>231</v>
      </c>
      <c r="E402" s="120" t="s">
        <v>2870</v>
      </c>
      <c r="F402" s="121" t="s">
        <v>2871</v>
      </c>
      <c r="G402" s="122" t="s">
        <v>292</v>
      </c>
      <c r="H402" s="123">
        <v>200</v>
      </c>
      <c r="I402" s="124">
        <v>1.21</v>
      </c>
      <c r="J402" s="124">
        <f t="shared" si="90"/>
        <v>242</v>
      </c>
      <c r="K402" s="121" t="s">
        <v>1</v>
      </c>
      <c r="L402" s="24"/>
      <c r="M402" s="125" t="s">
        <v>1</v>
      </c>
      <c r="N402" s="126" t="s">
        <v>32</v>
      </c>
      <c r="O402" s="127">
        <v>0</v>
      </c>
      <c r="P402" s="127">
        <f t="shared" si="91"/>
        <v>0</v>
      </c>
      <c r="Q402" s="127">
        <v>0</v>
      </c>
      <c r="R402" s="127">
        <f t="shared" si="92"/>
        <v>0</v>
      </c>
      <c r="S402" s="127">
        <v>0</v>
      </c>
      <c r="T402" s="128">
        <f t="shared" si="93"/>
        <v>0</v>
      </c>
      <c r="AR402" s="129" t="s">
        <v>235</v>
      </c>
      <c r="AT402" s="129" t="s">
        <v>231</v>
      </c>
      <c r="AU402" s="129" t="s">
        <v>76</v>
      </c>
      <c r="AY402" s="13" t="s">
        <v>228</v>
      </c>
      <c r="BE402" s="130">
        <f t="shared" si="94"/>
        <v>0</v>
      </c>
      <c r="BF402" s="130">
        <f t="shared" si="95"/>
        <v>242</v>
      </c>
      <c r="BG402" s="130">
        <f t="shared" si="96"/>
        <v>0</v>
      </c>
      <c r="BH402" s="130">
        <f t="shared" si="97"/>
        <v>0</v>
      </c>
      <c r="BI402" s="130">
        <f t="shared" si="98"/>
        <v>0</v>
      </c>
      <c r="BJ402" s="13" t="s">
        <v>76</v>
      </c>
      <c r="BK402" s="130">
        <f t="shared" si="99"/>
        <v>242</v>
      </c>
      <c r="BL402" s="13" t="s">
        <v>235</v>
      </c>
      <c r="BM402" s="129" t="s">
        <v>2359</v>
      </c>
    </row>
    <row r="403" spans="2:65" s="1" customFormat="1" ht="16.5" customHeight="1" x14ac:dyDescent="0.2">
      <c r="B403" s="118"/>
      <c r="C403" s="119" t="s">
        <v>2360</v>
      </c>
      <c r="D403" s="119" t="s">
        <v>231</v>
      </c>
      <c r="E403" s="120" t="s">
        <v>4215</v>
      </c>
      <c r="F403" s="121" t="s">
        <v>2873</v>
      </c>
      <c r="G403" s="122" t="s">
        <v>243</v>
      </c>
      <c r="H403" s="123">
        <v>36</v>
      </c>
      <c r="I403" s="124">
        <v>0.67</v>
      </c>
      <c r="J403" s="124">
        <f t="shared" si="90"/>
        <v>24.12</v>
      </c>
      <c r="K403" s="121" t="s">
        <v>1</v>
      </c>
      <c r="L403" s="24"/>
      <c r="M403" s="125" t="s">
        <v>1</v>
      </c>
      <c r="N403" s="126" t="s">
        <v>32</v>
      </c>
      <c r="O403" s="127">
        <v>0</v>
      </c>
      <c r="P403" s="127">
        <f t="shared" si="91"/>
        <v>0</v>
      </c>
      <c r="Q403" s="127">
        <v>0</v>
      </c>
      <c r="R403" s="127">
        <f t="shared" si="92"/>
        <v>0</v>
      </c>
      <c r="S403" s="127">
        <v>0</v>
      </c>
      <c r="T403" s="128">
        <f t="shared" si="93"/>
        <v>0</v>
      </c>
      <c r="AR403" s="129" t="s">
        <v>235</v>
      </c>
      <c r="AT403" s="129" t="s">
        <v>231</v>
      </c>
      <c r="AU403" s="129" t="s">
        <v>76</v>
      </c>
      <c r="AY403" s="13" t="s">
        <v>228</v>
      </c>
      <c r="BE403" s="130">
        <f t="shared" si="94"/>
        <v>0</v>
      </c>
      <c r="BF403" s="130">
        <f t="shared" si="95"/>
        <v>24.12</v>
      </c>
      <c r="BG403" s="130">
        <f t="shared" si="96"/>
        <v>0</v>
      </c>
      <c r="BH403" s="130">
        <f t="shared" si="97"/>
        <v>0</v>
      </c>
      <c r="BI403" s="130">
        <f t="shared" si="98"/>
        <v>0</v>
      </c>
      <c r="BJ403" s="13" t="s">
        <v>76</v>
      </c>
      <c r="BK403" s="130">
        <f t="shared" si="99"/>
        <v>24.12</v>
      </c>
      <c r="BL403" s="13" t="s">
        <v>235</v>
      </c>
      <c r="BM403" s="129" t="s">
        <v>2363</v>
      </c>
    </row>
    <row r="404" spans="2:65" s="1" customFormat="1" ht="16.5" customHeight="1" x14ac:dyDescent="0.2">
      <c r="B404" s="118"/>
      <c r="C404" s="119" t="s">
        <v>663</v>
      </c>
      <c r="D404" s="119" t="s">
        <v>231</v>
      </c>
      <c r="E404" s="120" t="s">
        <v>5061</v>
      </c>
      <c r="F404" s="121" t="s">
        <v>2875</v>
      </c>
      <c r="G404" s="122" t="s">
        <v>5062</v>
      </c>
      <c r="H404" s="123">
        <v>20</v>
      </c>
      <c r="I404" s="124">
        <v>0.67</v>
      </c>
      <c r="J404" s="124">
        <f t="shared" si="90"/>
        <v>13.4</v>
      </c>
      <c r="K404" s="121" t="s">
        <v>1</v>
      </c>
      <c r="L404" s="24"/>
      <c r="M404" s="125" t="s">
        <v>1</v>
      </c>
      <c r="N404" s="126" t="s">
        <v>32</v>
      </c>
      <c r="O404" s="127">
        <v>0</v>
      </c>
      <c r="P404" s="127">
        <f t="shared" si="91"/>
        <v>0</v>
      </c>
      <c r="Q404" s="127">
        <v>0</v>
      </c>
      <c r="R404" s="127">
        <f t="shared" si="92"/>
        <v>0</v>
      </c>
      <c r="S404" s="127">
        <v>0</v>
      </c>
      <c r="T404" s="128">
        <f t="shared" si="93"/>
        <v>0</v>
      </c>
      <c r="AR404" s="129" t="s">
        <v>235</v>
      </c>
      <c r="AT404" s="129" t="s">
        <v>231</v>
      </c>
      <c r="AU404" s="129" t="s">
        <v>76</v>
      </c>
      <c r="AY404" s="13" t="s">
        <v>228</v>
      </c>
      <c r="BE404" s="130">
        <f t="shared" si="94"/>
        <v>0</v>
      </c>
      <c r="BF404" s="130">
        <f t="shared" si="95"/>
        <v>13.4</v>
      </c>
      <c r="BG404" s="130">
        <f t="shared" si="96"/>
        <v>0</v>
      </c>
      <c r="BH404" s="130">
        <f t="shared" si="97"/>
        <v>0</v>
      </c>
      <c r="BI404" s="130">
        <f t="shared" si="98"/>
        <v>0</v>
      </c>
      <c r="BJ404" s="13" t="s">
        <v>76</v>
      </c>
      <c r="BK404" s="130">
        <f t="shared" si="99"/>
        <v>13.4</v>
      </c>
      <c r="BL404" s="13" t="s">
        <v>235</v>
      </c>
      <c r="BM404" s="129" t="s">
        <v>2366</v>
      </c>
    </row>
    <row r="405" spans="2:65" s="1" customFormat="1" ht="16.5" customHeight="1" x14ac:dyDescent="0.2">
      <c r="B405" s="118"/>
      <c r="C405" s="119" t="s">
        <v>2367</v>
      </c>
      <c r="D405" s="119" t="s">
        <v>231</v>
      </c>
      <c r="E405" s="120" t="s">
        <v>2876</v>
      </c>
      <c r="F405" s="121" t="s">
        <v>2877</v>
      </c>
      <c r="G405" s="122" t="s">
        <v>292</v>
      </c>
      <c r="H405" s="123">
        <v>60</v>
      </c>
      <c r="I405" s="124">
        <v>14.02</v>
      </c>
      <c r="J405" s="124">
        <f t="shared" si="90"/>
        <v>841.2</v>
      </c>
      <c r="K405" s="121" t="s">
        <v>1</v>
      </c>
      <c r="L405" s="24"/>
      <c r="M405" s="125" t="s">
        <v>1</v>
      </c>
      <c r="N405" s="126" t="s">
        <v>32</v>
      </c>
      <c r="O405" s="127">
        <v>0</v>
      </c>
      <c r="P405" s="127">
        <f t="shared" si="91"/>
        <v>0</v>
      </c>
      <c r="Q405" s="127">
        <v>0</v>
      </c>
      <c r="R405" s="127">
        <f t="shared" si="92"/>
        <v>0</v>
      </c>
      <c r="S405" s="127">
        <v>0</v>
      </c>
      <c r="T405" s="128">
        <f t="shared" si="93"/>
        <v>0</v>
      </c>
      <c r="AR405" s="129" t="s">
        <v>235</v>
      </c>
      <c r="AT405" s="129" t="s">
        <v>231</v>
      </c>
      <c r="AU405" s="129" t="s">
        <v>76</v>
      </c>
      <c r="AY405" s="13" t="s">
        <v>228</v>
      </c>
      <c r="BE405" s="130">
        <f t="shared" si="94"/>
        <v>0</v>
      </c>
      <c r="BF405" s="130">
        <f t="shared" si="95"/>
        <v>841.2</v>
      </c>
      <c r="BG405" s="130">
        <f t="shared" si="96"/>
        <v>0</v>
      </c>
      <c r="BH405" s="130">
        <f t="shared" si="97"/>
        <v>0</v>
      </c>
      <c r="BI405" s="130">
        <f t="shared" si="98"/>
        <v>0</v>
      </c>
      <c r="BJ405" s="13" t="s">
        <v>76</v>
      </c>
      <c r="BK405" s="130">
        <f t="shared" si="99"/>
        <v>841.2</v>
      </c>
      <c r="BL405" s="13" t="s">
        <v>235</v>
      </c>
      <c r="BM405" s="129" t="s">
        <v>2368</v>
      </c>
    </row>
    <row r="406" spans="2:65" s="1" customFormat="1" ht="16.5" customHeight="1" x14ac:dyDescent="0.2">
      <c r="B406" s="118"/>
      <c r="C406" s="119" t="s">
        <v>667</v>
      </c>
      <c r="D406" s="119" t="s">
        <v>231</v>
      </c>
      <c r="E406" s="120" t="s">
        <v>2878</v>
      </c>
      <c r="F406" s="121" t="s">
        <v>2879</v>
      </c>
      <c r="G406" s="122" t="s">
        <v>292</v>
      </c>
      <c r="H406" s="123">
        <v>80</v>
      </c>
      <c r="I406" s="124">
        <v>11.35</v>
      </c>
      <c r="J406" s="124">
        <f t="shared" si="90"/>
        <v>908</v>
      </c>
      <c r="K406" s="121" t="s">
        <v>1</v>
      </c>
      <c r="L406" s="24"/>
      <c r="M406" s="125" t="s">
        <v>1</v>
      </c>
      <c r="N406" s="126" t="s">
        <v>32</v>
      </c>
      <c r="O406" s="127">
        <v>0</v>
      </c>
      <c r="P406" s="127">
        <f t="shared" si="91"/>
        <v>0</v>
      </c>
      <c r="Q406" s="127">
        <v>0</v>
      </c>
      <c r="R406" s="127">
        <f t="shared" si="92"/>
        <v>0</v>
      </c>
      <c r="S406" s="127">
        <v>0</v>
      </c>
      <c r="T406" s="128">
        <f t="shared" si="93"/>
        <v>0</v>
      </c>
      <c r="AR406" s="129" t="s">
        <v>235</v>
      </c>
      <c r="AT406" s="129" t="s">
        <v>231</v>
      </c>
      <c r="AU406" s="129" t="s">
        <v>76</v>
      </c>
      <c r="AY406" s="13" t="s">
        <v>228</v>
      </c>
      <c r="BE406" s="130">
        <f t="shared" si="94"/>
        <v>0</v>
      </c>
      <c r="BF406" s="130">
        <f t="shared" si="95"/>
        <v>908</v>
      </c>
      <c r="BG406" s="130">
        <f t="shared" si="96"/>
        <v>0</v>
      </c>
      <c r="BH406" s="130">
        <f t="shared" si="97"/>
        <v>0</v>
      </c>
      <c r="BI406" s="130">
        <f t="shared" si="98"/>
        <v>0</v>
      </c>
      <c r="BJ406" s="13" t="s">
        <v>76</v>
      </c>
      <c r="BK406" s="130">
        <f t="shared" si="99"/>
        <v>908</v>
      </c>
      <c r="BL406" s="13" t="s">
        <v>235</v>
      </c>
      <c r="BM406" s="129" t="s">
        <v>2369</v>
      </c>
    </row>
    <row r="407" spans="2:65" s="1" customFormat="1" ht="16.5" customHeight="1" x14ac:dyDescent="0.2">
      <c r="B407" s="118"/>
      <c r="C407" s="119" t="s">
        <v>2370</v>
      </c>
      <c r="D407" s="119" t="s">
        <v>231</v>
      </c>
      <c r="E407" s="120" t="s">
        <v>2880</v>
      </c>
      <c r="F407" s="121" t="s">
        <v>2881</v>
      </c>
      <c r="G407" s="122" t="s">
        <v>292</v>
      </c>
      <c r="H407" s="123">
        <v>40</v>
      </c>
      <c r="I407" s="124">
        <v>8.68</v>
      </c>
      <c r="J407" s="124">
        <f t="shared" si="90"/>
        <v>347.2</v>
      </c>
      <c r="K407" s="121" t="s">
        <v>1</v>
      </c>
      <c r="L407" s="24"/>
      <c r="M407" s="125" t="s">
        <v>1</v>
      </c>
      <c r="N407" s="126" t="s">
        <v>32</v>
      </c>
      <c r="O407" s="127">
        <v>0</v>
      </c>
      <c r="P407" s="127">
        <f t="shared" si="91"/>
        <v>0</v>
      </c>
      <c r="Q407" s="127">
        <v>0</v>
      </c>
      <c r="R407" s="127">
        <f t="shared" si="92"/>
        <v>0</v>
      </c>
      <c r="S407" s="127">
        <v>0</v>
      </c>
      <c r="T407" s="128">
        <f t="shared" si="93"/>
        <v>0</v>
      </c>
      <c r="AR407" s="129" t="s">
        <v>235</v>
      </c>
      <c r="AT407" s="129" t="s">
        <v>231</v>
      </c>
      <c r="AU407" s="129" t="s">
        <v>76</v>
      </c>
      <c r="AY407" s="13" t="s">
        <v>228</v>
      </c>
      <c r="BE407" s="130">
        <f t="shared" si="94"/>
        <v>0</v>
      </c>
      <c r="BF407" s="130">
        <f t="shared" si="95"/>
        <v>347.2</v>
      </c>
      <c r="BG407" s="130">
        <f t="shared" si="96"/>
        <v>0</v>
      </c>
      <c r="BH407" s="130">
        <f t="shared" si="97"/>
        <v>0</v>
      </c>
      <c r="BI407" s="130">
        <f t="shared" si="98"/>
        <v>0</v>
      </c>
      <c r="BJ407" s="13" t="s">
        <v>76</v>
      </c>
      <c r="BK407" s="130">
        <f t="shared" si="99"/>
        <v>347.2</v>
      </c>
      <c r="BL407" s="13" t="s">
        <v>235</v>
      </c>
      <c r="BM407" s="129" t="s">
        <v>2371</v>
      </c>
    </row>
    <row r="408" spans="2:65" s="1" customFormat="1" ht="16.5" customHeight="1" x14ac:dyDescent="0.2">
      <c r="B408" s="118"/>
      <c r="C408" s="119" t="s">
        <v>670</v>
      </c>
      <c r="D408" s="119" t="s">
        <v>231</v>
      </c>
      <c r="E408" s="120" t="s">
        <v>2882</v>
      </c>
      <c r="F408" s="121" t="s">
        <v>2883</v>
      </c>
      <c r="G408" s="122" t="s">
        <v>292</v>
      </c>
      <c r="H408" s="123">
        <v>140</v>
      </c>
      <c r="I408" s="124">
        <v>3.34</v>
      </c>
      <c r="J408" s="124">
        <f t="shared" si="90"/>
        <v>467.6</v>
      </c>
      <c r="K408" s="121" t="s">
        <v>1</v>
      </c>
      <c r="L408" s="24"/>
      <c r="M408" s="125" t="s">
        <v>1</v>
      </c>
      <c r="N408" s="126" t="s">
        <v>32</v>
      </c>
      <c r="O408" s="127">
        <v>0</v>
      </c>
      <c r="P408" s="127">
        <f t="shared" si="91"/>
        <v>0</v>
      </c>
      <c r="Q408" s="127">
        <v>0</v>
      </c>
      <c r="R408" s="127">
        <f t="shared" si="92"/>
        <v>0</v>
      </c>
      <c r="S408" s="127">
        <v>0</v>
      </c>
      <c r="T408" s="128">
        <f t="shared" si="93"/>
        <v>0</v>
      </c>
      <c r="AR408" s="129" t="s">
        <v>235</v>
      </c>
      <c r="AT408" s="129" t="s">
        <v>231</v>
      </c>
      <c r="AU408" s="129" t="s">
        <v>76</v>
      </c>
      <c r="AY408" s="13" t="s">
        <v>228</v>
      </c>
      <c r="BE408" s="130">
        <f t="shared" si="94"/>
        <v>0</v>
      </c>
      <c r="BF408" s="130">
        <f t="shared" si="95"/>
        <v>467.6</v>
      </c>
      <c r="BG408" s="130">
        <f t="shared" si="96"/>
        <v>0</v>
      </c>
      <c r="BH408" s="130">
        <f t="shared" si="97"/>
        <v>0</v>
      </c>
      <c r="BI408" s="130">
        <f t="shared" si="98"/>
        <v>0</v>
      </c>
      <c r="BJ408" s="13" t="s">
        <v>76</v>
      </c>
      <c r="BK408" s="130">
        <f t="shared" si="99"/>
        <v>467.6</v>
      </c>
      <c r="BL408" s="13" t="s">
        <v>235</v>
      </c>
      <c r="BM408" s="129" t="s">
        <v>2372</v>
      </c>
    </row>
    <row r="409" spans="2:65" s="1" customFormat="1" ht="16.5" customHeight="1" x14ac:dyDescent="0.2">
      <c r="B409" s="118"/>
      <c r="C409" s="119" t="s">
        <v>2373</v>
      </c>
      <c r="D409" s="119" t="s">
        <v>231</v>
      </c>
      <c r="E409" s="120" t="s">
        <v>2884</v>
      </c>
      <c r="F409" s="121" t="s">
        <v>2885</v>
      </c>
      <c r="G409" s="122" t="s">
        <v>292</v>
      </c>
      <c r="H409" s="123">
        <v>40</v>
      </c>
      <c r="I409" s="124">
        <v>1.74</v>
      </c>
      <c r="J409" s="124">
        <f t="shared" si="90"/>
        <v>69.599999999999994</v>
      </c>
      <c r="K409" s="121" t="s">
        <v>1</v>
      </c>
      <c r="L409" s="24"/>
      <c r="M409" s="125" t="s">
        <v>1</v>
      </c>
      <c r="N409" s="126" t="s">
        <v>32</v>
      </c>
      <c r="O409" s="127">
        <v>0</v>
      </c>
      <c r="P409" s="127">
        <f t="shared" si="91"/>
        <v>0</v>
      </c>
      <c r="Q409" s="127">
        <v>0</v>
      </c>
      <c r="R409" s="127">
        <f t="shared" si="92"/>
        <v>0</v>
      </c>
      <c r="S409" s="127">
        <v>0</v>
      </c>
      <c r="T409" s="128">
        <f t="shared" si="93"/>
        <v>0</v>
      </c>
      <c r="AR409" s="129" t="s">
        <v>235</v>
      </c>
      <c r="AT409" s="129" t="s">
        <v>231</v>
      </c>
      <c r="AU409" s="129" t="s">
        <v>76</v>
      </c>
      <c r="AY409" s="13" t="s">
        <v>228</v>
      </c>
      <c r="BE409" s="130">
        <f t="shared" si="94"/>
        <v>0</v>
      </c>
      <c r="BF409" s="130">
        <f t="shared" si="95"/>
        <v>69.599999999999994</v>
      </c>
      <c r="BG409" s="130">
        <f t="shared" si="96"/>
        <v>0</v>
      </c>
      <c r="BH409" s="130">
        <f t="shared" si="97"/>
        <v>0</v>
      </c>
      <c r="BI409" s="130">
        <f t="shared" si="98"/>
        <v>0</v>
      </c>
      <c r="BJ409" s="13" t="s">
        <v>76</v>
      </c>
      <c r="BK409" s="130">
        <f t="shared" si="99"/>
        <v>69.599999999999994</v>
      </c>
      <c r="BL409" s="13" t="s">
        <v>235</v>
      </c>
      <c r="BM409" s="129" t="s">
        <v>2374</v>
      </c>
    </row>
    <row r="410" spans="2:65" s="1" customFormat="1" ht="24" customHeight="1" x14ac:dyDescent="0.2">
      <c r="B410" s="118"/>
      <c r="C410" s="119" t="s">
        <v>674</v>
      </c>
      <c r="D410" s="119" t="s">
        <v>231</v>
      </c>
      <c r="E410" s="120" t="s">
        <v>2886</v>
      </c>
      <c r="F410" s="121" t="s">
        <v>2887</v>
      </c>
      <c r="G410" s="122" t="s">
        <v>292</v>
      </c>
      <c r="H410" s="123">
        <v>27</v>
      </c>
      <c r="I410" s="124">
        <v>7.74</v>
      </c>
      <c r="J410" s="124">
        <f t="shared" si="90"/>
        <v>208.98</v>
      </c>
      <c r="K410" s="121" t="s">
        <v>1</v>
      </c>
      <c r="L410" s="24"/>
      <c r="M410" s="125" t="s">
        <v>1</v>
      </c>
      <c r="N410" s="126" t="s">
        <v>32</v>
      </c>
      <c r="O410" s="127">
        <v>0</v>
      </c>
      <c r="P410" s="127">
        <f t="shared" si="91"/>
        <v>0</v>
      </c>
      <c r="Q410" s="127">
        <v>0</v>
      </c>
      <c r="R410" s="127">
        <f t="shared" si="92"/>
        <v>0</v>
      </c>
      <c r="S410" s="127">
        <v>0</v>
      </c>
      <c r="T410" s="128">
        <f t="shared" si="93"/>
        <v>0</v>
      </c>
      <c r="AR410" s="129" t="s">
        <v>235</v>
      </c>
      <c r="AT410" s="129" t="s">
        <v>231</v>
      </c>
      <c r="AU410" s="129" t="s">
        <v>76</v>
      </c>
      <c r="AY410" s="13" t="s">
        <v>228</v>
      </c>
      <c r="BE410" s="130">
        <f t="shared" si="94"/>
        <v>0</v>
      </c>
      <c r="BF410" s="130">
        <f t="shared" si="95"/>
        <v>208.98</v>
      </c>
      <c r="BG410" s="130">
        <f t="shared" si="96"/>
        <v>0</v>
      </c>
      <c r="BH410" s="130">
        <f t="shared" si="97"/>
        <v>0</v>
      </c>
      <c r="BI410" s="130">
        <f t="shared" si="98"/>
        <v>0</v>
      </c>
      <c r="BJ410" s="13" t="s">
        <v>76</v>
      </c>
      <c r="BK410" s="130">
        <f t="shared" si="99"/>
        <v>208.98</v>
      </c>
      <c r="BL410" s="13" t="s">
        <v>235</v>
      </c>
      <c r="BM410" s="129" t="s">
        <v>2375</v>
      </c>
    </row>
    <row r="411" spans="2:65" s="1" customFormat="1" ht="16.5" customHeight="1" x14ac:dyDescent="0.2">
      <c r="B411" s="118"/>
      <c r="C411" s="119" t="s">
        <v>2376</v>
      </c>
      <c r="D411" s="119" t="s">
        <v>231</v>
      </c>
      <c r="E411" s="120" t="s">
        <v>2888</v>
      </c>
      <c r="F411" s="121" t="s">
        <v>2889</v>
      </c>
      <c r="G411" s="122" t="s">
        <v>292</v>
      </c>
      <c r="H411" s="123">
        <v>9</v>
      </c>
      <c r="I411" s="124">
        <v>5.61</v>
      </c>
      <c r="J411" s="124">
        <f t="shared" si="90"/>
        <v>50.49</v>
      </c>
      <c r="K411" s="121" t="s">
        <v>1</v>
      </c>
      <c r="L411" s="24"/>
      <c r="M411" s="125" t="s">
        <v>1</v>
      </c>
      <c r="N411" s="126" t="s">
        <v>32</v>
      </c>
      <c r="O411" s="127">
        <v>0</v>
      </c>
      <c r="P411" s="127">
        <f t="shared" si="91"/>
        <v>0</v>
      </c>
      <c r="Q411" s="127">
        <v>0</v>
      </c>
      <c r="R411" s="127">
        <f t="shared" si="92"/>
        <v>0</v>
      </c>
      <c r="S411" s="127">
        <v>0</v>
      </c>
      <c r="T411" s="128">
        <f t="shared" si="93"/>
        <v>0</v>
      </c>
      <c r="AR411" s="129" t="s">
        <v>235</v>
      </c>
      <c r="AT411" s="129" t="s">
        <v>231</v>
      </c>
      <c r="AU411" s="129" t="s">
        <v>76</v>
      </c>
      <c r="AY411" s="13" t="s">
        <v>228</v>
      </c>
      <c r="BE411" s="130">
        <f t="shared" si="94"/>
        <v>0</v>
      </c>
      <c r="BF411" s="130">
        <f t="shared" si="95"/>
        <v>50.49</v>
      </c>
      <c r="BG411" s="130">
        <f t="shared" si="96"/>
        <v>0</v>
      </c>
      <c r="BH411" s="130">
        <f t="shared" si="97"/>
        <v>0</v>
      </c>
      <c r="BI411" s="130">
        <f t="shared" si="98"/>
        <v>0</v>
      </c>
      <c r="BJ411" s="13" t="s">
        <v>76</v>
      </c>
      <c r="BK411" s="130">
        <f t="shared" si="99"/>
        <v>50.49</v>
      </c>
      <c r="BL411" s="13" t="s">
        <v>235</v>
      </c>
      <c r="BM411" s="129" t="s">
        <v>2377</v>
      </c>
    </row>
    <row r="412" spans="2:65" s="1" customFormat="1" ht="16.5" customHeight="1" x14ac:dyDescent="0.2">
      <c r="B412" s="118"/>
      <c r="C412" s="119" t="s">
        <v>677</v>
      </c>
      <c r="D412" s="119" t="s">
        <v>231</v>
      </c>
      <c r="E412" s="120" t="s">
        <v>4216</v>
      </c>
      <c r="F412" s="121" t="s">
        <v>2891</v>
      </c>
      <c r="G412" s="122" t="s">
        <v>243</v>
      </c>
      <c r="H412" s="123">
        <v>12</v>
      </c>
      <c r="I412" s="124">
        <v>0.34</v>
      </c>
      <c r="J412" s="124">
        <f t="shared" si="90"/>
        <v>4.08</v>
      </c>
      <c r="K412" s="121" t="s">
        <v>1</v>
      </c>
      <c r="L412" s="24"/>
      <c r="M412" s="125" t="s">
        <v>1</v>
      </c>
      <c r="N412" s="126" t="s">
        <v>32</v>
      </c>
      <c r="O412" s="127">
        <v>0</v>
      </c>
      <c r="P412" s="127">
        <f t="shared" si="91"/>
        <v>0</v>
      </c>
      <c r="Q412" s="127">
        <v>0</v>
      </c>
      <c r="R412" s="127">
        <f t="shared" si="92"/>
        <v>0</v>
      </c>
      <c r="S412" s="127">
        <v>0</v>
      </c>
      <c r="T412" s="128">
        <f t="shared" si="93"/>
        <v>0</v>
      </c>
      <c r="AR412" s="129" t="s">
        <v>235</v>
      </c>
      <c r="AT412" s="129" t="s">
        <v>231</v>
      </c>
      <c r="AU412" s="129" t="s">
        <v>76</v>
      </c>
      <c r="AY412" s="13" t="s">
        <v>228</v>
      </c>
      <c r="BE412" s="130">
        <f t="shared" si="94"/>
        <v>0</v>
      </c>
      <c r="BF412" s="130">
        <f t="shared" si="95"/>
        <v>4.08</v>
      </c>
      <c r="BG412" s="130">
        <f t="shared" si="96"/>
        <v>0</v>
      </c>
      <c r="BH412" s="130">
        <f t="shared" si="97"/>
        <v>0</v>
      </c>
      <c r="BI412" s="130">
        <f t="shared" si="98"/>
        <v>0</v>
      </c>
      <c r="BJ412" s="13" t="s">
        <v>76</v>
      </c>
      <c r="BK412" s="130">
        <f t="shared" si="99"/>
        <v>4.08</v>
      </c>
      <c r="BL412" s="13" t="s">
        <v>235</v>
      </c>
      <c r="BM412" s="129" t="s">
        <v>2378</v>
      </c>
    </row>
    <row r="413" spans="2:65" s="1" customFormat="1" ht="16.5" customHeight="1" x14ac:dyDescent="0.2">
      <c r="B413" s="118"/>
      <c r="C413" s="119" t="s">
        <v>2379</v>
      </c>
      <c r="D413" s="119" t="s">
        <v>231</v>
      </c>
      <c r="E413" s="120" t="s">
        <v>2892</v>
      </c>
      <c r="F413" s="121" t="s">
        <v>2893</v>
      </c>
      <c r="G413" s="122" t="s">
        <v>292</v>
      </c>
      <c r="H413" s="123">
        <v>15</v>
      </c>
      <c r="I413" s="124">
        <v>2.14</v>
      </c>
      <c r="J413" s="124">
        <f t="shared" si="90"/>
        <v>32.1</v>
      </c>
      <c r="K413" s="121" t="s">
        <v>1</v>
      </c>
      <c r="L413" s="24"/>
      <c r="M413" s="125" t="s">
        <v>1</v>
      </c>
      <c r="N413" s="126" t="s">
        <v>32</v>
      </c>
      <c r="O413" s="127">
        <v>0</v>
      </c>
      <c r="P413" s="127">
        <f t="shared" si="91"/>
        <v>0</v>
      </c>
      <c r="Q413" s="127">
        <v>0</v>
      </c>
      <c r="R413" s="127">
        <f t="shared" si="92"/>
        <v>0</v>
      </c>
      <c r="S413" s="127">
        <v>0</v>
      </c>
      <c r="T413" s="128">
        <f t="shared" si="93"/>
        <v>0</v>
      </c>
      <c r="AR413" s="129" t="s">
        <v>235</v>
      </c>
      <c r="AT413" s="129" t="s">
        <v>231</v>
      </c>
      <c r="AU413" s="129" t="s">
        <v>76</v>
      </c>
      <c r="AY413" s="13" t="s">
        <v>228</v>
      </c>
      <c r="BE413" s="130">
        <f t="shared" si="94"/>
        <v>0</v>
      </c>
      <c r="BF413" s="130">
        <f t="shared" si="95"/>
        <v>32.1</v>
      </c>
      <c r="BG413" s="130">
        <f t="shared" si="96"/>
        <v>0</v>
      </c>
      <c r="BH413" s="130">
        <f t="shared" si="97"/>
        <v>0</v>
      </c>
      <c r="BI413" s="130">
        <f t="shared" si="98"/>
        <v>0</v>
      </c>
      <c r="BJ413" s="13" t="s">
        <v>76</v>
      </c>
      <c r="BK413" s="130">
        <f t="shared" si="99"/>
        <v>32.1</v>
      </c>
      <c r="BL413" s="13" t="s">
        <v>235</v>
      </c>
      <c r="BM413" s="129" t="s">
        <v>2380</v>
      </c>
    </row>
    <row r="414" spans="2:65" s="1" customFormat="1" ht="16.5" customHeight="1" x14ac:dyDescent="0.2">
      <c r="B414" s="118"/>
      <c r="C414" s="119" t="s">
        <v>681</v>
      </c>
      <c r="D414" s="119" t="s">
        <v>231</v>
      </c>
      <c r="E414" s="120" t="s">
        <v>2894</v>
      </c>
      <c r="F414" s="121" t="s">
        <v>2895</v>
      </c>
      <c r="G414" s="122" t="s">
        <v>292</v>
      </c>
      <c r="H414" s="123">
        <v>15</v>
      </c>
      <c r="I414" s="124">
        <v>1.34</v>
      </c>
      <c r="J414" s="124">
        <f t="shared" si="90"/>
        <v>20.100000000000001</v>
      </c>
      <c r="K414" s="121" t="s">
        <v>1</v>
      </c>
      <c r="L414" s="24"/>
      <c r="M414" s="125" t="s">
        <v>1</v>
      </c>
      <c r="N414" s="126" t="s">
        <v>32</v>
      </c>
      <c r="O414" s="127">
        <v>0</v>
      </c>
      <c r="P414" s="127">
        <f t="shared" si="91"/>
        <v>0</v>
      </c>
      <c r="Q414" s="127">
        <v>0</v>
      </c>
      <c r="R414" s="127">
        <f t="shared" si="92"/>
        <v>0</v>
      </c>
      <c r="S414" s="127">
        <v>0</v>
      </c>
      <c r="T414" s="128">
        <f t="shared" si="93"/>
        <v>0</v>
      </c>
      <c r="AR414" s="129" t="s">
        <v>235</v>
      </c>
      <c r="AT414" s="129" t="s">
        <v>231</v>
      </c>
      <c r="AU414" s="129" t="s">
        <v>76</v>
      </c>
      <c r="AY414" s="13" t="s">
        <v>228</v>
      </c>
      <c r="BE414" s="130">
        <f t="shared" si="94"/>
        <v>0</v>
      </c>
      <c r="BF414" s="130">
        <f t="shared" si="95"/>
        <v>20.100000000000001</v>
      </c>
      <c r="BG414" s="130">
        <f t="shared" si="96"/>
        <v>0</v>
      </c>
      <c r="BH414" s="130">
        <f t="shared" si="97"/>
        <v>0</v>
      </c>
      <c r="BI414" s="130">
        <f t="shared" si="98"/>
        <v>0</v>
      </c>
      <c r="BJ414" s="13" t="s">
        <v>76</v>
      </c>
      <c r="BK414" s="130">
        <f t="shared" si="99"/>
        <v>20.100000000000001</v>
      </c>
      <c r="BL414" s="13" t="s">
        <v>235</v>
      </c>
      <c r="BM414" s="129" t="s">
        <v>2381</v>
      </c>
    </row>
    <row r="415" spans="2:65" s="1" customFormat="1" ht="16.5" customHeight="1" x14ac:dyDescent="0.2">
      <c r="B415" s="118"/>
      <c r="C415" s="119" t="s">
        <v>2382</v>
      </c>
      <c r="D415" s="119" t="s">
        <v>231</v>
      </c>
      <c r="E415" s="120" t="s">
        <v>2896</v>
      </c>
      <c r="F415" s="121" t="s">
        <v>2897</v>
      </c>
      <c r="G415" s="122" t="s">
        <v>292</v>
      </c>
      <c r="H415" s="123">
        <v>30</v>
      </c>
      <c r="I415" s="124">
        <v>0.53</v>
      </c>
      <c r="J415" s="124">
        <f t="shared" si="90"/>
        <v>15.9</v>
      </c>
      <c r="K415" s="121" t="s">
        <v>1</v>
      </c>
      <c r="L415" s="24"/>
      <c r="M415" s="125" t="s">
        <v>1</v>
      </c>
      <c r="N415" s="126" t="s">
        <v>32</v>
      </c>
      <c r="O415" s="127">
        <v>0</v>
      </c>
      <c r="P415" s="127">
        <f t="shared" si="91"/>
        <v>0</v>
      </c>
      <c r="Q415" s="127">
        <v>0</v>
      </c>
      <c r="R415" s="127">
        <f t="shared" si="92"/>
        <v>0</v>
      </c>
      <c r="S415" s="127">
        <v>0</v>
      </c>
      <c r="T415" s="128">
        <f t="shared" si="93"/>
        <v>0</v>
      </c>
      <c r="AR415" s="129" t="s">
        <v>235</v>
      </c>
      <c r="AT415" s="129" t="s">
        <v>231</v>
      </c>
      <c r="AU415" s="129" t="s">
        <v>76</v>
      </c>
      <c r="AY415" s="13" t="s">
        <v>228</v>
      </c>
      <c r="BE415" s="130">
        <f t="shared" si="94"/>
        <v>0</v>
      </c>
      <c r="BF415" s="130">
        <f t="shared" si="95"/>
        <v>15.9</v>
      </c>
      <c r="BG415" s="130">
        <f t="shared" si="96"/>
        <v>0</v>
      </c>
      <c r="BH415" s="130">
        <f t="shared" si="97"/>
        <v>0</v>
      </c>
      <c r="BI415" s="130">
        <f t="shared" si="98"/>
        <v>0</v>
      </c>
      <c r="BJ415" s="13" t="s">
        <v>76</v>
      </c>
      <c r="BK415" s="130">
        <f t="shared" si="99"/>
        <v>15.9</v>
      </c>
      <c r="BL415" s="13" t="s">
        <v>235</v>
      </c>
      <c r="BM415" s="129" t="s">
        <v>2383</v>
      </c>
    </row>
    <row r="416" spans="2:65" s="1" customFormat="1" ht="16.5" customHeight="1" x14ac:dyDescent="0.2">
      <c r="B416" s="118"/>
      <c r="C416" s="119" t="s">
        <v>684</v>
      </c>
      <c r="D416" s="119" t="s">
        <v>231</v>
      </c>
      <c r="E416" s="120" t="s">
        <v>4217</v>
      </c>
      <c r="F416" s="121" t="s">
        <v>2899</v>
      </c>
      <c r="G416" s="122" t="s">
        <v>243</v>
      </c>
      <c r="H416" s="123">
        <v>8</v>
      </c>
      <c r="I416" s="124">
        <v>0.46</v>
      </c>
      <c r="J416" s="124">
        <f t="shared" si="90"/>
        <v>3.68</v>
      </c>
      <c r="K416" s="121" t="s">
        <v>1</v>
      </c>
      <c r="L416" s="24"/>
      <c r="M416" s="125" t="s">
        <v>1</v>
      </c>
      <c r="N416" s="126" t="s">
        <v>32</v>
      </c>
      <c r="O416" s="127">
        <v>0</v>
      </c>
      <c r="P416" s="127">
        <f t="shared" si="91"/>
        <v>0</v>
      </c>
      <c r="Q416" s="127">
        <v>0</v>
      </c>
      <c r="R416" s="127">
        <f t="shared" si="92"/>
        <v>0</v>
      </c>
      <c r="S416" s="127">
        <v>0</v>
      </c>
      <c r="T416" s="128">
        <f t="shared" si="93"/>
        <v>0</v>
      </c>
      <c r="AR416" s="129" t="s">
        <v>235</v>
      </c>
      <c r="AT416" s="129" t="s">
        <v>231</v>
      </c>
      <c r="AU416" s="129" t="s">
        <v>76</v>
      </c>
      <c r="AY416" s="13" t="s">
        <v>228</v>
      </c>
      <c r="BE416" s="130">
        <f t="shared" si="94"/>
        <v>0</v>
      </c>
      <c r="BF416" s="130">
        <f t="shared" si="95"/>
        <v>3.68</v>
      </c>
      <c r="BG416" s="130">
        <f t="shared" si="96"/>
        <v>0</v>
      </c>
      <c r="BH416" s="130">
        <f t="shared" si="97"/>
        <v>0</v>
      </c>
      <c r="BI416" s="130">
        <f t="shared" si="98"/>
        <v>0</v>
      </c>
      <c r="BJ416" s="13" t="s">
        <v>76</v>
      </c>
      <c r="BK416" s="130">
        <f t="shared" si="99"/>
        <v>3.68</v>
      </c>
      <c r="BL416" s="13" t="s">
        <v>235</v>
      </c>
      <c r="BM416" s="129" t="s">
        <v>2384</v>
      </c>
    </row>
    <row r="417" spans="2:65" s="1" customFormat="1" ht="16.5" customHeight="1" x14ac:dyDescent="0.2">
      <c r="B417" s="118"/>
      <c r="C417" s="119" t="s">
        <v>2385</v>
      </c>
      <c r="D417" s="119" t="s">
        <v>231</v>
      </c>
      <c r="E417" s="120" t="s">
        <v>4218</v>
      </c>
      <c r="F417" s="121" t="s">
        <v>2901</v>
      </c>
      <c r="G417" s="122" t="s">
        <v>243</v>
      </c>
      <c r="H417" s="123">
        <v>8</v>
      </c>
      <c r="I417" s="124">
        <v>0.44</v>
      </c>
      <c r="J417" s="124">
        <f t="shared" si="90"/>
        <v>3.52</v>
      </c>
      <c r="K417" s="121" t="s">
        <v>1</v>
      </c>
      <c r="L417" s="24"/>
      <c r="M417" s="125" t="s">
        <v>1</v>
      </c>
      <c r="N417" s="126" t="s">
        <v>32</v>
      </c>
      <c r="O417" s="127">
        <v>0</v>
      </c>
      <c r="P417" s="127">
        <f t="shared" si="91"/>
        <v>0</v>
      </c>
      <c r="Q417" s="127">
        <v>0</v>
      </c>
      <c r="R417" s="127">
        <f t="shared" si="92"/>
        <v>0</v>
      </c>
      <c r="S417" s="127">
        <v>0</v>
      </c>
      <c r="T417" s="128">
        <f t="shared" si="93"/>
        <v>0</v>
      </c>
      <c r="AR417" s="129" t="s">
        <v>235</v>
      </c>
      <c r="AT417" s="129" t="s">
        <v>231</v>
      </c>
      <c r="AU417" s="129" t="s">
        <v>76</v>
      </c>
      <c r="AY417" s="13" t="s">
        <v>228</v>
      </c>
      <c r="BE417" s="130">
        <f t="shared" si="94"/>
        <v>0</v>
      </c>
      <c r="BF417" s="130">
        <f t="shared" si="95"/>
        <v>3.52</v>
      </c>
      <c r="BG417" s="130">
        <f t="shared" si="96"/>
        <v>0</v>
      </c>
      <c r="BH417" s="130">
        <f t="shared" si="97"/>
        <v>0</v>
      </c>
      <c r="BI417" s="130">
        <f t="shared" si="98"/>
        <v>0</v>
      </c>
      <c r="BJ417" s="13" t="s">
        <v>76</v>
      </c>
      <c r="BK417" s="130">
        <f t="shared" si="99"/>
        <v>3.52</v>
      </c>
      <c r="BL417" s="13" t="s">
        <v>235</v>
      </c>
      <c r="BM417" s="129" t="s">
        <v>2386</v>
      </c>
    </row>
    <row r="418" spans="2:65" s="1" customFormat="1" ht="16.5" customHeight="1" x14ac:dyDescent="0.2">
      <c r="B418" s="118"/>
      <c r="C418" s="119" t="s">
        <v>688</v>
      </c>
      <c r="D418" s="119" t="s">
        <v>231</v>
      </c>
      <c r="E418" s="120" t="s">
        <v>4219</v>
      </c>
      <c r="F418" s="121" t="s">
        <v>2903</v>
      </c>
      <c r="G418" s="122" t="s">
        <v>243</v>
      </c>
      <c r="H418" s="123">
        <v>15</v>
      </c>
      <c r="I418" s="124">
        <v>0.34</v>
      </c>
      <c r="J418" s="124">
        <f t="shared" si="90"/>
        <v>5.0999999999999996</v>
      </c>
      <c r="K418" s="121" t="s">
        <v>1</v>
      </c>
      <c r="L418" s="24"/>
      <c r="M418" s="125" t="s">
        <v>1</v>
      </c>
      <c r="N418" s="126" t="s">
        <v>32</v>
      </c>
      <c r="O418" s="127">
        <v>0</v>
      </c>
      <c r="P418" s="127">
        <f t="shared" si="91"/>
        <v>0</v>
      </c>
      <c r="Q418" s="127">
        <v>0</v>
      </c>
      <c r="R418" s="127">
        <f t="shared" si="92"/>
        <v>0</v>
      </c>
      <c r="S418" s="127">
        <v>0</v>
      </c>
      <c r="T418" s="128">
        <f t="shared" si="93"/>
        <v>0</v>
      </c>
      <c r="AR418" s="129" t="s">
        <v>235</v>
      </c>
      <c r="AT418" s="129" t="s">
        <v>231</v>
      </c>
      <c r="AU418" s="129" t="s">
        <v>76</v>
      </c>
      <c r="AY418" s="13" t="s">
        <v>228</v>
      </c>
      <c r="BE418" s="130">
        <f t="shared" si="94"/>
        <v>0</v>
      </c>
      <c r="BF418" s="130">
        <f t="shared" si="95"/>
        <v>5.0999999999999996</v>
      </c>
      <c r="BG418" s="130">
        <f t="shared" si="96"/>
        <v>0</v>
      </c>
      <c r="BH418" s="130">
        <f t="shared" si="97"/>
        <v>0</v>
      </c>
      <c r="BI418" s="130">
        <f t="shared" si="98"/>
        <v>0</v>
      </c>
      <c r="BJ418" s="13" t="s">
        <v>76</v>
      </c>
      <c r="BK418" s="130">
        <f t="shared" si="99"/>
        <v>5.0999999999999996</v>
      </c>
      <c r="BL418" s="13" t="s">
        <v>235</v>
      </c>
      <c r="BM418" s="129" t="s">
        <v>2387</v>
      </c>
    </row>
    <row r="419" spans="2:65" s="1" customFormat="1" ht="16.5" customHeight="1" x14ac:dyDescent="0.2">
      <c r="B419" s="118"/>
      <c r="C419" s="119" t="s">
        <v>2388</v>
      </c>
      <c r="D419" s="119" t="s">
        <v>231</v>
      </c>
      <c r="E419" s="120" t="s">
        <v>4220</v>
      </c>
      <c r="F419" s="121" t="s">
        <v>2905</v>
      </c>
      <c r="G419" s="122" t="s">
        <v>243</v>
      </c>
      <c r="H419" s="123">
        <v>6</v>
      </c>
      <c r="I419" s="124">
        <v>0.67</v>
      </c>
      <c r="J419" s="124">
        <f t="shared" si="90"/>
        <v>4.0199999999999996</v>
      </c>
      <c r="K419" s="121" t="s">
        <v>1</v>
      </c>
      <c r="L419" s="24"/>
      <c r="M419" s="125" t="s">
        <v>1</v>
      </c>
      <c r="N419" s="126" t="s">
        <v>32</v>
      </c>
      <c r="O419" s="127">
        <v>0</v>
      </c>
      <c r="P419" s="127">
        <f t="shared" si="91"/>
        <v>0</v>
      </c>
      <c r="Q419" s="127">
        <v>0</v>
      </c>
      <c r="R419" s="127">
        <f t="shared" si="92"/>
        <v>0</v>
      </c>
      <c r="S419" s="127">
        <v>0</v>
      </c>
      <c r="T419" s="128">
        <f t="shared" si="93"/>
        <v>0</v>
      </c>
      <c r="AR419" s="129" t="s">
        <v>235</v>
      </c>
      <c r="AT419" s="129" t="s">
        <v>231</v>
      </c>
      <c r="AU419" s="129" t="s">
        <v>76</v>
      </c>
      <c r="AY419" s="13" t="s">
        <v>228</v>
      </c>
      <c r="BE419" s="130">
        <f t="shared" si="94"/>
        <v>0</v>
      </c>
      <c r="BF419" s="130">
        <f t="shared" si="95"/>
        <v>4.0199999999999996</v>
      </c>
      <c r="BG419" s="130">
        <f t="shared" si="96"/>
        <v>0</v>
      </c>
      <c r="BH419" s="130">
        <f t="shared" si="97"/>
        <v>0</v>
      </c>
      <c r="BI419" s="130">
        <f t="shared" si="98"/>
        <v>0</v>
      </c>
      <c r="BJ419" s="13" t="s">
        <v>76</v>
      </c>
      <c r="BK419" s="130">
        <f t="shared" si="99"/>
        <v>4.0199999999999996</v>
      </c>
      <c r="BL419" s="13" t="s">
        <v>235</v>
      </c>
      <c r="BM419" s="129" t="s">
        <v>2389</v>
      </c>
    </row>
    <row r="420" spans="2:65" s="1" customFormat="1" ht="16.5" customHeight="1" x14ac:dyDescent="0.2">
      <c r="B420" s="118"/>
      <c r="C420" s="119" t="s">
        <v>691</v>
      </c>
      <c r="D420" s="119" t="s">
        <v>231</v>
      </c>
      <c r="E420" s="120" t="s">
        <v>5063</v>
      </c>
      <c r="F420" s="121" t="s">
        <v>5064</v>
      </c>
      <c r="G420" s="122" t="s">
        <v>5065</v>
      </c>
      <c r="H420" s="123">
        <v>0.2</v>
      </c>
      <c r="I420" s="124">
        <v>13.35</v>
      </c>
      <c r="J420" s="124">
        <f t="shared" si="90"/>
        <v>2.67</v>
      </c>
      <c r="K420" s="121" t="s">
        <v>1</v>
      </c>
      <c r="L420" s="24"/>
      <c r="M420" s="125" t="s">
        <v>1</v>
      </c>
      <c r="N420" s="126" t="s">
        <v>32</v>
      </c>
      <c r="O420" s="127">
        <v>0</v>
      </c>
      <c r="P420" s="127">
        <f t="shared" si="91"/>
        <v>0</v>
      </c>
      <c r="Q420" s="127">
        <v>0</v>
      </c>
      <c r="R420" s="127">
        <f t="shared" si="92"/>
        <v>0</v>
      </c>
      <c r="S420" s="127">
        <v>0</v>
      </c>
      <c r="T420" s="128">
        <f t="shared" si="93"/>
        <v>0</v>
      </c>
      <c r="AR420" s="129" t="s">
        <v>235</v>
      </c>
      <c r="AT420" s="129" t="s">
        <v>231</v>
      </c>
      <c r="AU420" s="129" t="s">
        <v>76</v>
      </c>
      <c r="AY420" s="13" t="s">
        <v>228</v>
      </c>
      <c r="BE420" s="130">
        <f t="shared" si="94"/>
        <v>0</v>
      </c>
      <c r="BF420" s="130">
        <f t="shared" si="95"/>
        <v>2.67</v>
      </c>
      <c r="BG420" s="130">
        <f t="shared" si="96"/>
        <v>0</v>
      </c>
      <c r="BH420" s="130">
        <f t="shared" si="97"/>
        <v>0</v>
      </c>
      <c r="BI420" s="130">
        <f t="shared" si="98"/>
        <v>0</v>
      </c>
      <c r="BJ420" s="13" t="s">
        <v>76</v>
      </c>
      <c r="BK420" s="130">
        <f t="shared" si="99"/>
        <v>2.67</v>
      </c>
      <c r="BL420" s="13" t="s">
        <v>235</v>
      </c>
      <c r="BM420" s="129" t="s">
        <v>2390</v>
      </c>
    </row>
    <row r="421" spans="2:65" s="1" customFormat="1" ht="16.5" customHeight="1" x14ac:dyDescent="0.2">
      <c r="B421" s="118"/>
      <c r="C421" s="119" t="s">
        <v>2391</v>
      </c>
      <c r="D421" s="119" t="s">
        <v>231</v>
      </c>
      <c r="E421" s="120" t="s">
        <v>2908</v>
      </c>
      <c r="F421" s="121" t="s">
        <v>2909</v>
      </c>
      <c r="G421" s="122" t="s">
        <v>1035</v>
      </c>
      <c r="H421" s="123">
        <v>7</v>
      </c>
      <c r="I421" s="124">
        <v>1.47</v>
      </c>
      <c r="J421" s="124">
        <f t="shared" si="90"/>
        <v>10.29</v>
      </c>
      <c r="K421" s="121" t="s">
        <v>1</v>
      </c>
      <c r="L421" s="24"/>
      <c r="M421" s="125" t="s">
        <v>1</v>
      </c>
      <c r="N421" s="126" t="s">
        <v>32</v>
      </c>
      <c r="O421" s="127">
        <v>0</v>
      </c>
      <c r="P421" s="127">
        <f t="shared" si="91"/>
        <v>0</v>
      </c>
      <c r="Q421" s="127">
        <v>0</v>
      </c>
      <c r="R421" s="127">
        <f t="shared" si="92"/>
        <v>0</v>
      </c>
      <c r="S421" s="127">
        <v>0</v>
      </c>
      <c r="T421" s="128">
        <f t="shared" si="93"/>
        <v>0</v>
      </c>
      <c r="AR421" s="129" t="s">
        <v>235</v>
      </c>
      <c r="AT421" s="129" t="s">
        <v>231</v>
      </c>
      <c r="AU421" s="129" t="s">
        <v>76</v>
      </c>
      <c r="AY421" s="13" t="s">
        <v>228</v>
      </c>
      <c r="BE421" s="130">
        <f t="shared" si="94"/>
        <v>0</v>
      </c>
      <c r="BF421" s="130">
        <f t="shared" si="95"/>
        <v>10.29</v>
      </c>
      <c r="BG421" s="130">
        <f t="shared" si="96"/>
        <v>0</v>
      </c>
      <c r="BH421" s="130">
        <f t="shared" si="97"/>
        <v>0</v>
      </c>
      <c r="BI421" s="130">
        <f t="shared" si="98"/>
        <v>0</v>
      </c>
      <c r="BJ421" s="13" t="s">
        <v>76</v>
      </c>
      <c r="BK421" s="130">
        <f t="shared" si="99"/>
        <v>10.29</v>
      </c>
      <c r="BL421" s="13" t="s">
        <v>235</v>
      </c>
      <c r="BM421" s="129" t="s">
        <v>2392</v>
      </c>
    </row>
    <row r="422" spans="2:65" s="1" customFormat="1" ht="24" customHeight="1" x14ac:dyDescent="0.2">
      <c r="B422" s="118"/>
      <c r="C422" s="119" t="s">
        <v>695</v>
      </c>
      <c r="D422" s="119" t="s">
        <v>231</v>
      </c>
      <c r="E422" s="120" t="s">
        <v>4222</v>
      </c>
      <c r="F422" s="121" t="s">
        <v>2911</v>
      </c>
      <c r="G422" s="122" t="s">
        <v>243</v>
      </c>
      <c r="H422" s="123">
        <v>16</v>
      </c>
      <c r="I422" s="124">
        <v>1.6</v>
      </c>
      <c r="J422" s="124">
        <f t="shared" si="90"/>
        <v>25.6</v>
      </c>
      <c r="K422" s="121" t="s">
        <v>1</v>
      </c>
      <c r="L422" s="24"/>
      <c r="M422" s="125" t="s">
        <v>1</v>
      </c>
      <c r="N422" s="126" t="s">
        <v>32</v>
      </c>
      <c r="O422" s="127">
        <v>0</v>
      </c>
      <c r="P422" s="127">
        <f t="shared" si="91"/>
        <v>0</v>
      </c>
      <c r="Q422" s="127">
        <v>0</v>
      </c>
      <c r="R422" s="127">
        <f t="shared" si="92"/>
        <v>0</v>
      </c>
      <c r="S422" s="127">
        <v>0</v>
      </c>
      <c r="T422" s="128">
        <f t="shared" si="93"/>
        <v>0</v>
      </c>
      <c r="AR422" s="129" t="s">
        <v>235</v>
      </c>
      <c r="AT422" s="129" t="s">
        <v>231</v>
      </c>
      <c r="AU422" s="129" t="s">
        <v>76</v>
      </c>
      <c r="AY422" s="13" t="s">
        <v>228</v>
      </c>
      <c r="BE422" s="130">
        <f t="shared" si="94"/>
        <v>0</v>
      </c>
      <c r="BF422" s="130">
        <f t="shared" si="95"/>
        <v>25.6</v>
      </c>
      <c r="BG422" s="130">
        <f t="shared" si="96"/>
        <v>0</v>
      </c>
      <c r="BH422" s="130">
        <f t="shared" si="97"/>
        <v>0</v>
      </c>
      <c r="BI422" s="130">
        <f t="shared" si="98"/>
        <v>0</v>
      </c>
      <c r="BJ422" s="13" t="s">
        <v>76</v>
      </c>
      <c r="BK422" s="130">
        <f t="shared" si="99"/>
        <v>25.6</v>
      </c>
      <c r="BL422" s="13" t="s">
        <v>235</v>
      </c>
      <c r="BM422" s="129" t="s">
        <v>2393</v>
      </c>
    </row>
    <row r="423" spans="2:65" s="1" customFormat="1" ht="24" customHeight="1" x14ac:dyDescent="0.2">
      <c r="B423" s="118"/>
      <c r="C423" s="119" t="s">
        <v>2394</v>
      </c>
      <c r="D423" s="119" t="s">
        <v>231</v>
      </c>
      <c r="E423" s="120" t="s">
        <v>4223</v>
      </c>
      <c r="F423" s="121" t="s">
        <v>2913</v>
      </c>
      <c r="G423" s="122" t="s">
        <v>243</v>
      </c>
      <c r="H423" s="123">
        <v>4</v>
      </c>
      <c r="I423" s="124">
        <v>0.59</v>
      </c>
      <c r="J423" s="124">
        <f t="shared" si="90"/>
        <v>2.36</v>
      </c>
      <c r="K423" s="121" t="s">
        <v>1</v>
      </c>
      <c r="L423" s="24"/>
      <c r="M423" s="125" t="s">
        <v>1</v>
      </c>
      <c r="N423" s="126" t="s">
        <v>32</v>
      </c>
      <c r="O423" s="127">
        <v>0</v>
      </c>
      <c r="P423" s="127">
        <f t="shared" si="91"/>
        <v>0</v>
      </c>
      <c r="Q423" s="127">
        <v>0</v>
      </c>
      <c r="R423" s="127">
        <f t="shared" si="92"/>
        <v>0</v>
      </c>
      <c r="S423" s="127">
        <v>0</v>
      </c>
      <c r="T423" s="128">
        <f t="shared" si="93"/>
        <v>0</v>
      </c>
      <c r="AR423" s="129" t="s">
        <v>235</v>
      </c>
      <c r="AT423" s="129" t="s">
        <v>231</v>
      </c>
      <c r="AU423" s="129" t="s">
        <v>76</v>
      </c>
      <c r="AY423" s="13" t="s">
        <v>228</v>
      </c>
      <c r="BE423" s="130">
        <f t="shared" si="94"/>
        <v>0</v>
      </c>
      <c r="BF423" s="130">
        <f t="shared" si="95"/>
        <v>2.36</v>
      </c>
      <c r="BG423" s="130">
        <f t="shared" si="96"/>
        <v>0</v>
      </c>
      <c r="BH423" s="130">
        <f t="shared" si="97"/>
        <v>0</v>
      </c>
      <c r="BI423" s="130">
        <f t="shared" si="98"/>
        <v>0</v>
      </c>
      <c r="BJ423" s="13" t="s">
        <v>76</v>
      </c>
      <c r="BK423" s="130">
        <f t="shared" si="99"/>
        <v>2.36</v>
      </c>
      <c r="BL423" s="13" t="s">
        <v>235</v>
      </c>
      <c r="BM423" s="129" t="s">
        <v>2397</v>
      </c>
    </row>
    <row r="424" spans="2:65" s="1" customFormat="1" ht="16.5" customHeight="1" x14ac:dyDescent="0.2">
      <c r="B424" s="118"/>
      <c r="C424" s="119" t="s">
        <v>698</v>
      </c>
      <c r="D424" s="119" t="s">
        <v>231</v>
      </c>
      <c r="E424" s="120" t="s">
        <v>4224</v>
      </c>
      <c r="F424" s="121" t="s">
        <v>2915</v>
      </c>
      <c r="G424" s="122" t="s">
        <v>243</v>
      </c>
      <c r="H424" s="123">
        <v>4</v>
      </c>
      <c r="I424" s="124">
        <v>0.8</v>
      </c>
      <c r="J424" s="124">
        <f t="shared" si="90"/>
        <v>3.2</v>
      </c>
      <c r="K424" s="121" t="s">
        <v>1</v>
      </c>
      <c r="L424" s="24"/>
      <c r="M424" s="125" t="s">
        <v>1</v>
      </c>
      <c r="N424" s="126" t="s">
        <v>32</v>
      </c>
      <c r="O424" s="127">
        <v>0</v>
      </c>
      <c r="P424" s="127">
        <f t="shared" si="91"/>
        <v>0</v>
      </c>
      <c r="Q424" s="127">
        <v>0</v>
      </c>
      <c r="R424" s="127">
        <f t="shared" si="92"/>
        <v>0</v>
      </c>
      <c r="S424" s="127">
        <v>0</v>
      </c>
      <c r="T424" s="128">
        <f t="shared" si="93"/>
        <v>0</v>
      </c>
      <c r="AR424" s="129" t="s">
        <v>235</v>
      </c>
      <c r="AT424" s="129" t="s">
        <v>231</v>
      </c>
      <c r="AU424" s="129" t="s">
        <v>76</v>
      </c>
      <c r="AY424" s="13" t="s">
        <v>228</v>
      </c>
      <c r="BE424" s="130">
        <f t="shared" si="94"/>
        <v>0</v>
      </c>
      <c r="BF424" s="130">
        <f t="shared" si="95"/>
        <v>3.2</v>
      </c>
      <c r="BG424" s="130">
        <f t="shared" si="96"/>
        <v>0</v>
      </c>
      <c r="BH424" s="130">
        <f t="shared" si="97"/>
        <v>0</v>
      </c>
      <c r="BI424" s="130">
        <f t="shared" si="98"/>
        <v>0</v>
      </c>
      <c r="BJ424" s="13" t="s">
        <v>76</v>
      </c>
      <c r="BK424" s="130">
        <f t="shared" si="99"/>
        <v>3.2</v>
      </c>
      <c r="BL424" s="13" t="s">
        <v>235</v>
      </c>
      <c r="BM424" s="129" t="s">
        <v>2398</v>
      </c>
    </row>
    <row r="425" spans="2:65" s="1" customFormat="1" ht="16.5" customHeight="1" x14ac:dyDescent="0.2">
      <c r="B425" s="118"/>
      <c r="C425" s="119" t="s">
        <v>2401</v>
      </c>
      <c r="D425" s="119" t="s">
        <v>231</v>
      </c>
      <c r="E425" s="120" t="s">
        <v>2916</v>
      </c>
      <c r="F425" s="121" t="s">
        <v>2917</v>
      </c>
      <c r="G425" s="122" t="s">
        <v>284</v>
      </c>
      <c r="H425" s="123">
        <v>0.3</v>
      </c>
      <c r="I425" s="124">
        <v>133.52000000000001</v>
      </c>
      <c r="J425" s="124">
        <f t="shared" si="90"/>
        <v>40.06</v>
      </c>
      <c r="K425" s="121" t="s">
        <v>1</v>
      </c>
      <c r="L425" s="24"/>
      <c r="M425" s="125" t="s">
        <v>1</v>
      </c>
      <c r="N425" s="126" t="s">
        <v>32</v>
      </c>
      <c r="O425" s="127">
        <v>0</v>
      </c>
      <c r="P425" s="127">
        <f t="shared" si="91"/>
        <v>0</v>
      </c>
      <c r="Q425" s="127">
        <v>0</v>
      </c>
      <c r="R425" s="127">
        <f t="shared" si="92"/>
        <v>0</v>
      </c>
      <c r="S425" s="127">
        <v>0</v>
      </c>
      <c r="T425" s="128">
        <f t="shared" si="93"/>
        <v>0</v>
      </c>
      <c r="AR425" s="129" t="s">
        <v>235</v>
      </c>
      <c r="AT425" s="129" t="s">
        <v>231</v>
      </c>
      <c r="AU425" s="129" t="s">
        <v>76</v>
      </c>
      <c r="AY425" s="13" t="s">
        <v>228</v>
      </c>
      <c r="BE425" s="130">
        <f t="shared" si="94"/>
        <v>0</v>
      </c>
      <c r="BF425" s="130">
        <f t="shared" si="95"/>
        <v>40.06</v>
      </c>
      <c r="BG425" s="130">
        <f t="shared" si="96"/>
        <v>0</v>
      </c>
      <c r="BH425" s="130">
        <f t="shared" si="97"/>
        <v>0</v>
      </c>
      <c r="BI425" s="130">
        <f t="shared" si="98"/>
        <v>0</v>
      </c>
      <c r="BJ425" s="13" t="s">
        <v>76</v>
      </c>
      <c r="BK425" s="130">
        <f t="shared" si="99"/>
        <v>40.06</v>
      </c>
      <c r="BL425" s="13" t="s">
        <v>235</v>
      </c>
      <c r="BM425" s="129" t="s">
        <v>2404</v>
      </c>
    </row>
    <row r="426" spans="2:65" s="1" customFormat="1" ht="16.5" customHeight="1" x14ac:dyDescent="0.2">
      <c r="B426" s="118"/>
      <c r="C426" s="119" t="s">
        <v>702</v>
      </c>
      <c r="D426" s="119" t="s">
        <v>231</v>
      </c>
      <c r="E426" s="120" t="s">
        <v>2918</v>
      </c>
      <c r="F426" s="121" t="s">
        <v>2919</v>
      </c>
      <c r="G426" s="122" t="s">
        <v>284</v>
      </c>
      <c r="H426" s="123">
        <v>1</v>
      </c>
      <c r="I426" s="124">
        <v>66.760000000000005</v>
      </c>
      <c r="J426" s="124">
        <f t="shared" si="90"/>
        <v>66.760000000000005</v>
      </c>
      <c r="K426" s="121" t="s">
        <v>1</v>
      </c>
      <c r="L426" s="24"/>
      <c r="M426" s="125" t="s">
        <v>1</v>
      </c>
      <c r="N426" s="126" t="s">
        <v>32</v>
      </c>
      <c r="O426" s="127">
        <v>0</v>
      </c>
      <c r="P426" s="127">
        <f t="shared" si="91"/>
        <v>0</v>
      </c>
      <c r="Q426" s="127">
        <v>0</v>
      </c>
      <c r="R426" s="127">
        <f t="shared" si="92"/>
        <v>0</v>
      </c>
      <c r="S426" s="127">
        <v>0</v>
      </c>
      <c r="T426" s="128">
        <f t="shared" si="93"/>
        <v>0</v>
      </c>
      <c r="AR426" s="129" t="s">
        <v>235</v>
      </c>
      <c r="AT426" s="129" t="s">
        <v>231</v>
      </c>
      <c r="AU426" s="129" t="s">
        <v>76</v>
      </c>
      <c r="AY426" s="13" t="s">
        <v>228</v>
      </c>
      <c r="BE426" s="130">
        <f t="shared" si="94"/>
        <v>0</v>
      </c>
      <c r="BF426" s="130">
        <f t="shared" si="95"/>
        <v>66.760000000000005</v>
      </c>
      <c r="BG426" s="130">
        <f t="shared" si="96"/>
        <v>0</v>
      </c>
      <c r="BH426" s="130">
        <f t="shared" si="97"/>
        <v>0</v>
      </c>
      <c r="BI426" s="130">
        <f t="shared" si="98"/>
        <v>0</v>
      </c>
      <c r="BJ426" s="13" t="s">
        <v>76</v>
      </c>
      <c r="BK426" s="130">
        <f t="shared" si="99"/>
        <v>66.760000000000005</v>
      </c>
      <c r="BL426" s="13" t="s">
        <v>235</v>
      </c>
      <c r="BM426" s="129" t="s">
        <v>2408</v>
      </c>
    </row>
    <row r="427" spans="2:65" s="1" customFormat="1" ht="16.5" customHeight="1" x14ac:dyDescent="0.2">
      <c r="B427" s="118"/>
      <c r="C427" s="119" t="s">
        <v>2410</v>
      </c>
      <c r="D427" s="119" t="s">
        <v>231</v>
      </c>
      <c r="E427" s="120" t="s">
        <v>2920</v>
      </c>
      <c r="F427" s="121" t="s">
        <v>2921</v>
      </c>
      <c r="G427" s="122" t="s">
        <v>1035</v>
      </c>
      <c r="H427" s="123">
        <v>60</v>
      </c>
      <c r="I427" s="124">
        <v>2.14</v>
      </c>
      <c r="J427" s="124">
        <f t="shared" si="90"/>
        <v>128.4</v>
      </c>
      <c r="K427" s="121" t="s">
        <v>1</v>
      </c>
      <c r="L427" s="24"/>
      <c r="M427" s="125" t="s">
        <v>1</v>
      </c>
      <c r="N427" s="126" t="s">
        <v>32</v>
      </c>
      <c r="O427" s="127">
        <v>0</v>
      </c>
      <c r="P427" s="127">
        <f t="shared" si="91"/>
        <v>0</v>
      </c>
      <c r="Q427" s="127">
        <v>0</v>
      </c>
      <c r="R427" s="127">
        <f t="shared" si="92"/>
        <v>0</v>
      </c>
      <c r="S427" s="127">
        <v>0</v>
      </c>
      <c r="T427" s="128">
        <f t="shared" si="93"/>
        <v>0</v>
      </c>
      <c r="AR427" s="129" t="s">
        <v>235</v>
      </c>
      <c r="AT427" s="129" t="s">
        <v>231</v>
      </c>
      <c r="AU427" s="129" t="s">
        <v>76</v>
      </c>
      <c r="AY427" s="13" t="s">
        <v>228</v>
      </c>
      <c r="BE427" s="130">
        <f t="shared" si="94"/>
        <v>0</v>
      </c>
      <c r="BF427" s="130">
        <f t="shared" si="95"/>
        <v>128.4</v>
      </c>
      <c r="BG427" s="130">
        <f t="shared" si="96"/>
        <v>0</v>
      </c>
      <c r="BH427" s="130">
        <f t="shared" si="97"/>
        <v>0</v>
      </c>
      <c r="BI427" s="130">
        <f t="shared" si="98"/>
        <v>0</v>
      </c>
      <c r="BJ427" s="13" t="s">
        <v>76</v>
      </c>
      <c r="BK427" s="130">
        <f t="shared" si="99"/>
        <v>128.4</v>
      </c>
      <c r="BL427" s="13" t="s">
        <v>235</v>
      </c>
      <c r="BM427" s="129" t="s">
        <v>2413</v>
      </c>
    </row>
    <row r="428" spans="2:65" s="1" customFormat="1" ht="16.5" customHeight="1" x14ac:dyDescent="0.2">
      <c r="B428" s="118"/>
      <c r="C428" s="119" t="s">
        <v>705</v>
      </c>
      <c r="D428" s="119" t="s">
        <v>231</v>
      </c>
      <c r="E428" s="120" t="s">
        <v>5066</v>
      </c>
      <c r="F428" s="121" t="s">
        <v>2923</v>
      </c>
      <c r="G428" s="122" t="s">
        <v>38</v>
      </c>
      <c r="H428" s="123">
        <v>300</v>
      </c>
      <c r="I428" s="124">
        <v>1.1599999999999999</v>
      </c>
      <c r="J428" s="124">
        <f t="shared" si="90"/>
        <v>348</v>
      </c>
      <c r="K428" s="121" t="s">
        <v>1</v>
      </c>
      <c r="L428" s="24"/>
      <c r="M428" s="125" t="s">
        <v>1</v>
      </c>
      <c r="N428" s="126" t="s">
        <v>32</v>
      </c>
      <c r="O428" s="127">
        <v>0</v>
      </c>
      <c r="P428" s="127">
        <f t="shared" si="91"/>
        <v>0</v>
      </c>
      <c r="Q428" s="127">
        <v>0</v>
      </c>
      <c r="R428" s="127">
        <f t="shared" si="92"/>
        <v>0</v>
      </c>
      <c r="S428" s="127">
        <v>0</v>
      </c>
      <c r="T428" s="128">
        <f t="shared" si="93"/>
        <v>0</v>
      </c>
      <c r="AR428" s="129" t="s">
        <v>235</v>
      </c>
      <c r="AT428" s="129" t="s">
        <v>231</v>
      </c>
      <c r="AU428" s="129" t="s">
        <v>76</v>
      </c>
      <c r="AY428" s="13" t="s">
        <v>228</v>
      </c>
      <c r="BE428" s="130">
        <f t="shared" si="94"/>
        <v>0</v>
      </c>
      <c r="BF428" s="130">
        <f t="shared" si="95"/>
        <v>348</v>
      </c>
      <c r="BG428" s="130">
        <f t="shared" si="96"/>
        <v>0</v>
      </c>
      <c r="BH428" s="130">
        <f t="shared" si="97"/>
        <v>0</v>
      </c>
      <c r="BI428" s="130">
        <f t="shared" si="98"/>
        <v>0</v>
      </c>
      <c r="BJ428" s="13" t="s">
        <v>76</v>
      </c>
      <c r="BK428" s="130">
        <f t="shared" si="99"/>
        <v>348</v>
      </c>
      <c r="BL428" s="13" t="s">
        <v>235</v>
      </c>
      <c r="BM428" s="129" t="s">
        <v>1173</v>
      </c>
    </row>
    <row r="429" spans="2:65" s="11" customFormat="1" ht="22.95" customHeight="1" x14ac:dyDescent="0.25">
      <c r="B429" s="106"/>
      <c r="D429" s="107" t="s">
        <v>57</v>
      </c>
      <c r="E429" s="116" t="s">
        <v>1943</v>
      </c>
      <c r="F429" s="116" t="s">
        <v>2924</v>
      </c>
      <c r="J429" s="117">
        <f>BK429</f>
        <v>1149.49</v>
      </c>
      <c r="L429" s="106"/>
      <c r="M429" s="110"/>
      <c r="N429" s="111"/>
      <c r="O429" s="111"/>
      <c r="P429" s="112">
        <f>SUM(P430:P433)</f>
        <v>0</v>
      </c>
      <c r="Q429" s="111"/>
      <c r="R429" s="112">
        <f>SUM(R430:R433)</f>
        <v>0</v>
      </c>
      <c r="S429" s="111"/>
      <c r="T429" s="113">
        <f>SUM(T430:T433)</f>
        <v>0</v>
      </c>
      <c r="AR429" s="107" t="s">
        <v>63</v>
      </c>
      <c r="AT429" s="114" t="s">
        <v>57</v>
      </c>
      <c r="AU429" s="114" t="s">
        <v>63</v>
      </c>
      <c r="AY429" s="107" t="s">
        <v>228</v>
      </c>
      <c r="BK429" s="115">
        <f>SUM(BK430:BK433)</f>
        <v>1149.49</v>
      </c>
    </row>
    <row r="430" spans="2:65" s="1" customFormat="1" ht="16.5" customHeight="1" x14ac:dyDescent="0.2">
      <c r="B430" s="118"/>
      <c r="C430" s="119" t="s">
        <v>2416</v>
      </c>
      <c r="D430" s="119" t="s">
        <v>231</v>
      </c>
      <c r="E430" s="120" t="s">
        <v>2843</v>
      </c>
      <c r="F430" s="121" t="s">
        <v>2844</v>
      </c>
      <c r="G430" s="122" t="s">
        <v>570</v>
      </c>
      <c r="H430" s="123">
        <v>55</v>
      </c>
      <c r="I430" s="124">
        <v>4.6399999999999997</v>
      </c>
      <c r="J430" s="124">
        <f>ROUND(I430*H430,2)</f>
        <v>255.2</v>
      </c>
      <c r="K430" s="121" t="s">
        <v>1</v>
      </c>
      <c r="L430" s="24"/>
      <c r="M430" s="125" t="s">
        <v>1</v>
      </c>
      <c r="N430" s="126" t="s">
        <v>32</v>
      </c>
      <c r="O430" s="127">
        <v>0</v>
      </c>
      <c r="P430" s="127">
        <f>O430*H430</f>
        <v>0</v>
      </c>
      <c r="Q430" s="127">
        <v>0</v>
      </c>
      <c r="R430" s="127">
        <f>Q430*H430</f>
        <v>0</v>
      </c>
      <c r="S430" s="127">
        <v>0</v>
      </c>
      <c r="T430" s="128">
        <f>S430*H430</f>
        <v>0</v>
      </c>
      <c r="AR430" s="129" t="s">
        <v>235</v>
      </c>
      <c r="AT430" s="129" t="s">
        <v>231</v>
      </c>
      <c r="AU430" s="129" t="s">
        <v>76</v>
      </c>
      <c r="AY430" s="13" t="s">
        <v>228</v>
      </c>
      <c r="BE430" s="130">
        <f>IF(N430="základná",J430,0)</f>
        <v>0</v>
      </c>
      <c r="BF430" s="130">
        <f>IF(N430="znížená",J430,0)</f>
        <v>255.2</v>
      </c>
      <c r="BG430" s="130">
        <f>IF(N430="zákl. prenesená",J430,0)</f>
        <v>0</v>
      </c>
      <c r="BH430" s="130">
        <f>IF(N430="zníž. prenesená",J430,0)</f>
        <v>0</v>
      </c>
      <c r="BI430" s="130">
        <f>IF(N430="nulová",J430,0)</f>
        <v>0</v>
      </c>
      <c r="BJ430" s="13" t="s">
        <v>76</v>
      </c>
      <c r="BK430" s="130">
        <f>ROUND(I430*H430,2)</f>
        <v>255.2</v>
      </c>
      <c r="BL430" s="13" t="s">
        <v>235</v>
      </c>
      <c r="BM430" s="129" t="s">
        <v>2419</v>
      </c>
    </row>
    <row r="431" spans="2:65" s="1" customFormat="1" ht="16.5" customHeight="1" x14ac:dyDescent="0.2">
      <c r="B431" s="118"/>
      <c r="C431" s="119" t="s">
        <v>709</v>
      </c>
      <c r="D431" s="119" t="s">
        <v>231</v>
      </c>
      <c r="E431" s="120" t="s">
        <v>2925</v>
      </c>
      <c r="F431" s="121" t="s">
        <v>2926</v>
      </c>
      <c r="G431" s="122" t="s">
        <v>570</v>
      </c>
      <c r="H431" s="123">
        <v>55</v>
      </c>
      <c r="I431" s="124">
        <v>3.48</v>
      </c>
      <c r="J431" s="124">
        <f>ROUND(I431*H431,2)</f>
        <v>191.4</v>
      </c>
      <c r="K431" s="121" t="s">
        <v>1</v>
      </c>
      <c r="L431" s="24"/>
      <c r="M431" s="125" t="s">
        <v>1</v>
      </c>
      <c r="N431" s="126" t="s">
        <v>32</v>
      </c>
      <c r="O431" s="127">
        <v>0</v>
      </c>
      <c r="P431" s="127">
        <f>O431*H431</f>
        <v>0</v>
      </c>
      <c r="Q431" s="127">
        <v>0</v>
      </c>
      <c r="R431" s="127">
        <f>Q431*H431</f>
        <v>0</v>
      </c>
      <c r="S431" s="127">
        <v>0</v>
      </c>
      <c r="T431" s="128">
        <f>S431*H431</f>
        <v>0</v>
      </c>
      <c r="AR431" s="129" t="s">
        <v>235</v>
      </c>
      <c r="AT431" s="129" t="s">
        <v>231</v>
      </c>
      <c r="AU431" s="129" t="s">
        <v>76</v>
      </c>
      <c r="AY431" s="13" t="s">
        <v>228</v>
      </c>
      <c r="BE431" s="130">
        <f>IF(N431="základná",J431,0)</f>
        <v>0</v>
      </c>
      <c r="BF431" s="130">
        <f>IF(N431="znížená",J431,0)</f>
        <v>191.4</v>
      </c>
      <c r="BG431" s="130">
        <f>IF(N431="zákl. prenesená",J431,0)</f>
        <v>0</v>
      </c>
      <c r="BH431" s="130">
        <f>IF(N431="zníž. prenesená",J431,0)</f>
        <v>0</v>
      </c>
      <c r="BI431" s="130">
        <f>IF(N431="nulová",J431,0)</f>
        <v>0</v>
      </c>
      <c r="BJ431" s="13" t="s">
        <v>76</v>
      </c>
      <c r="BK431" s="130">
        <f>ROUND(I431*H431,2)</f>
        <v>191.4</v>
      </c>
      <c r="BL431" s="13" t="s">
        <v>235</v>
      </c>
      <c r="BM431" s="129" t="s">
        <v>2421</v>
      </c>
    </row>
    <row r="432" spans="2:65" s="1" customFormat="1" ht="16.5" customHeight="1" x14ac:dyDescent="0.2">
      <c r="B432" s="118"/>
      <c r="C432" s="119" t="s">
        <v>2423</v>
      </c>
      <c r="D432" s="119" t="s">
        <v>231</v>
      </c>
      <c r="E432" s="120" t="s">
        <v>2927</v>
      </c>
      <c r="F432" s="121" t="s">
        <v>2928</v>
      </c>
      <c r="G432" s="122" t="s">
        <v>570</v>
      </c>
      <c r="H432" s="123">
        <v>49</v>
      </c>
      <c r="I432" s="124">
        <v>5.81</v>
      </c>
      <c r="J432" s="124">
        <f>ROUND(I432*H432,2)</f>
        <v>284.69</v>
      </c>
      <c r="K432" s="121" t="s">
        <v>1</v>
      </c>
      <c r="L432" s="24"/>
      <c r="M432" s="125" t="s">
        <v>1</v>
      </c>
      <c r="N432" s="126" t="s">
        <v>32</v>
      </c>
      <c r="O432" s="127">
        <v>0</v>
      </c>
      <c r="P432" s="127">
        <f>O432*H432</f>
        <v>0</v>
      </c>
      <c r="Q432" s="127">
        <v>0</v>
      </c>
      <c r="R432" s="127">
        <f>Q432*H432</f>
        <v>0</v>
      </c>
      <c r="S432" s="127">
        <v>0</v>
      </c>
      <c r="T432" s="128">
        <f>S432*H432</f>
        <v>0</v>
      </c>
      <c r="AR432" s="129" t="s">
        <v>235</v>
      </c>
      <c r="AT432" s="129" t="s">
        <v>231</v>
      </c>
      <c r="AU432" s="129" t="s">
        <v>76</v>
      </c>
      <c r="AY432" s="13" t="s">
        <v>228</v>
      </c>
      <c r="BE432" s="130">
        <f>IF(N432="základná",J432,0)</f>
        <v>0</v>
      </c>
      <c r="BF432" s="130">
        <f>IF(N432="znížená",J432,0)</f>
        <v>284.69</v>
      </c>
      <c r="BG432" s="130">
        <f>IF(N432="zákl. prenesená",J432,0)</f>
        <v>0</v>
      </c>
      <c r="BH432" s="130">
        <f>IF(N432="zníž. prenesená",J432,0)</f>
        <v>0</v>
      </c>
      <c r="BI432" s="130">
        <f>IF(N432="nulová",J432,0)</f>
        <v>0</v>
      </c>
      <c r="BJ432" s="13" t="s">
        <v>76</v>
      </c>
      <c r="BK432" s="130">
        <f>ROUND(I432*H432,2)</f>
        <v>284.69</v>
      </c>
      <c r="BL432" s="13" t="s">
        <v>235</v>
      </c>
      <c r="BM432" s="129" t="s">
        <v>2424</v>
      </c>
    </row>
    <row r="433" spans="2:65" s="1" customFormat="1" ht="16.5" customHeight="1" x14ac:dyDescent="0.2">
      <c r="B433" s="118"/>
      <c r="C433" s="119" t="s">
        <v>712</v>
      </c>
      <c r="D433" s="119" t="s">
        <v>231</v>
      </c>
      <c r="E433" s="120" t="s">
        <v>2845</v>
      </c>
      <c r="F433" s="121" t="s">
        <v>2846</v>
      </c>
      <c r="G433" s="122" t="s">
        <v>570</v>
      </c>
      <c r="H433" s="123">
        <v>60</v>
      </c>
      <c r="I433" s="124">
        <v>6.97</v>
      </c>
      <c r="J433" s="124">
        <f>ROUND(I433*H433,2)</f>
        <v>418.2</v>
      </c>
      <c r="K433" s="121" t="s">
        <v>1</v>
      </c>
      <c r="L433" s="24"/>
      <c r="M433" s="140" t="s">
        <v>1</v>
      </c>
      <c r="N433" s="141" t="s">
        <v>32</v>
      </c>
      <c r="O433" s="142">
        <v>0</v>
      </c>
      <c r="P433" s="142">
        <f>O433*H433</f>
        <v>0</v>
      </c>
      <c r="Q433" s="142">
        <v>0</v>
      </c>
      <c r="R433" s="142">
        <f>Q433*H433</f>
        <v>0</v>
      </c>
      <c r="S433" s="142">
        <v>0</v>
      </c>
      <c r="T433" s="143">
        <f>S433*H433</f>
        <v>0</v>
      </c>
      <c r="AR433" s="129" t="s">
        <v>235</v>
      </c>
      <c r="AT433" s="129" t="s">
        <v>231</v>
      </c>
      <c r="AU433" s="129" t="s">
        <v>76</v>
      </c>
      <c r="AY433" s="13" t="s">
        <v>228</v>
      </c>
      <c r="BE433" s="130">
        <f>IF(N433="základná",J433,0)</f>
        <v>0</v>
      </c>
      <c r="BF433" s="130">
        <f>IF(N433="znížená",J433,0)</f>
        <v>418.2</v>
      </c>
      <c r="BG433" s="130">
        <f>IF(N433="zákl. prenesená",J433,0)</f>
        <v>0</v>
      </c>
      <c r="BH433" s="130">
        <f>IF(N433="zníž. prenesená",J433,0)</f>
        <v>0</v>
      </c>
      <c r="BI433" s="130">
        <f>IF(N433="nulová",J433,0)</f>
        <v>0</v>
      </c>
      <c r="BJ433" s="13" t="s">
        <v>76</v>
      </c>
      <c r="BK433" s="130">
        <f>ROUND(I433*H433,2)</f>
        <v>418.2</v>
      </c>
      <c r="BL433" s="13" t="s">
        <v>235</v>
      </c>
      <c r="BM433" s="129" t="s">
        <v>2427</v>
      </c>
    </row>
    <row r="434" spans="2:65" s="1" customFormat="1" ht="7.05" customHeight="1" x14ac:dyDescent="0.2">
      <c r="B434" s="33"/>
      <c r="C434" s="34"/>
      <c r="D434" s="34"/>
      <c r="E434" s="34"/>
      <c r="F434" s="34"/>
      <c r="G434" s="34"/>
      <c r="H434" s="34"/>
      <c r="I434" s="34"/>
      <c r="J434" s="34"/>
      <c r="K434" s="34"/>
      <c r="L434" s="24"/>
    </row>
  </sheetData>
  <autoFilter ref="C143:K433" xr:uid="{00000000-0009-0000-0000-000029000000}"/>
  <mergeCells count="14">
    <mergeCell ref="E87:H87"/>
    <mergeCell ref="E134:H134"/>
    <mergeCell ref="E136:H136"/>
    <mergeCell ref="L2:V2"/>
    <mergeCell ref="E9:H9"/>
    <mergeCell ref="E18:H18"/>
    <mergeCell ref="E27:H27"/>
    <mergeCell ref="E85:H85"/>
    <mergeCell ref="C4:J4"/>
    <mergeCell ref="F6:J7"/>
    <mergeCell ref="C82:J82"/>
    <mergeCell ref="E84:J84"/>
    <mergeCell ref="C131:J131"/>
    <mergeCell ref="E133:J133"/>
  </mergeCells>
  <pageMargins left="0.39374999999999999" right="0.39374999999999999" top="0.39374999999999999" bottom="0.39374999999999999" header="0" footer="0"/>
  <pageSetup paperSize="9" scale="89" fitToHeight="100" orientation="portrait" blackAndWhite="1" r:id="rId1"/>
  <headerFooter>
    <oddFooter>&amp;CStrana &amp;P z &amp;N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BM349"/>
  <sheetViews>
    <sheetView showGridLines="0" topLeftCell="A77" workbookViewId="0">
      <selection activeCell="E85" sqref="E85:H85"/>
    </sheetView>
  </sheetViews>
  <sheetFormatPr defaultColWidth="8.7109375" defaultRowHeight="10.199999999999999" x14ac:dyDescent="0.2"/>
  <cols>
    <col min="1" max="1" width="8.28515625" customWidth="1"/>
    <col min="2" max="2" width="1.7109375" customWidth="1"/>
    <col min="3" max="4" width="4.28515625" customWidth="1"/>
    <col min="5" max="5" width="17.28515625" customWidth="1"/>
    <col min="6" max="6" width="50.7109375" customWidth="1"/>
    <col min="7" max="7" width="7" customWidth="1"/>
    <col min="8" max="8" width="11.42578125" customWidth="1"/>
    <col min="9" max="10" width="20.28515625" customWidth="1"/>
    <col min="11" max="11" width="20.28515625" hidden="1" customWidth="1"/>
    <col min="12" max="12" width="9.28515625" customWidth="1"/>
    <col min="13" max="13" width="10.7109375" hidden="1" customWidth="1"/>
    <col min="14" max="14" width="9.28515625" hidden="1"/>
    <col min="15" max="20" width="14.28515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1" spans="1:46" x14ac:dyDescent="0.2">
      <c r="A1" s="73"/>
    </row>
    <row r="2" spans="1:46" ht="37.049999999999997" customHeight="1" x14ac:dyDescent="0.2">
      <c r="L2" s="1227" t="s">
        <v>5</v>
      </c>
      <c r="M2" s="1225"/>
      <c r="N2" s="1225"/>
      <c r="O2" s="1225"/>
      <c r="P2" s="1225"/>
      <c r="Q2" s="1225"/>
      <c r="R2" s="1225"/>
      <c r="S2" s="1225"/>
      <c r="T2" s="1225"/>
      <c r="U2" s="1225"/>
      <c r="V2" s="1225"/>
      <c r="AT2" s="13" t="s">
        <v>184</v>
      </c>
    </row>
    <row r="3" spans="1:46" ht="7.05" customHeight="1" x14ac:dyDescent="0.2">
      <c r="B3" s="14"/>
      <c r="C3" s="15"/>
      <c r="D3" s="15"/>
      <c r="E3" s="15"/>
      <c r="F3" s="15"/>
      <c r="G3" s="15"/>
      <c r="H3" s="15"/>
      <c r="I3" s="15"/>
      <c r="J3" s="15"/>
      <c r="K3" s="15"/>
      <c r="L3" s="16"/>
      <c r="AT3" s="13" t="s">
        <v>58</v>
      </c>
    </row>
    <row r="4" spans="1:46" ht="25.05" customHeight="1" x14ac:dyDescent="0.2">
      <c r="B4" s="16"/>
      <c r="C4" s="1165" t="s">
        <v>185</v>
      </c>
      <c r="D4" s="1165"/>
      <c r="E4" s="1165"/>
      <c r="F4" s="1165"/>
      <c r="G4" s="1165"/>
      <c r="H4" s="1165"/>
      <c r="I4" s="1165"/>
      <c r="J4" s="1165"/>
      <c r="L4" s="16"/>
      <c r="M4" s="74" t="s">
        <v>9</v>
      </c>
      <c r="AT4" s="13" t="s">
        <v>3</v>
      </c>
    </row>
    <row r="5" spans="1:46" ht="7.05" customHeight="1" x14ac:dyDescent="0.2">
      <c r="B5" s="16"/>
      <c r="L5" s="16"/>
    </row>
    <row r="6" spans="1:46" ht="12" customHeight="1" x14ac:dyDescent="0.2">
      <c r="B6" s="16"/>
      <c r="D6" s="548" t="s">
        <v>12</v>
      </c>
      <c r="F6" s="1254" t="s">
        <v>6176</v>
      </c>
      <c r="G6" s="1254"/>
      <c r="H6" s="1254"/>
      <c r="I6" s="1254"/>
      <c r="J6" s="1254"/>
      <c r="L6" s="16"/>
    </row>
    <row r="7" spans="1:46" ht="24.45" customHeight="1" x14ac:dyDescent="0.2">
      <c r="B7" s="16"/>
      <c r="D7" s="527"/>
      <c r="E7" s="531"/>
      <c r="F7" s="1254"/>
      <c r="G7" s="1254"/>
      <c r="H7" s="1254"/>
      <c r="I7" s="1254"/>
      <c r="J7" s="1254"/>
      <c r="L7" s="16"/>
    </row>
    <row r="8" spans="1:46" s="1" customFormat="1" ht="12" customHeight="1" x14ac:dyDescent="0.2">
      <c r="B8" s="24"/>
      <c r="D8" s="549" t="s">
        <v>186</v>
      </c>
      <c r="F8" s="532" t="s">
        <v>5072</v>
      </c>
      <c r="L8" s="24"/>
    </row>
    <row r="9" spans="1:46" s="1" customFormat="1" ht="37.049999999999997" customHeight="1" x14ac:dyDescent="0.2">
      <c r="B9" s="24"/>
      <c r="D9" s="521"/>
      <c r="E9" s="1251"/>
      <c r="F9" s="1252"/>
      <c r="G9" s="1252"/>
      <c r="H9" s="1252"/>
      <c r="L9" s="24"/>
    </row>
    <row r="10" spans="1:46" s="1" customFormat="1" x14ac:dyDescent="0.2">
      <c r="B10" s="24"/>
      <c r="D10" s="521"/>
      <c r="L10" s="24"/>
    </row>
    <row r="11" spans="1:46" s="1" customFormat="1" ht="12" customHeight="1" x14ac:dyDescent="0.2">
      <c r="B11" s="24"/>
      <c r="D11" s="528" t="s">
        <v>13</v>
      </c>
      <c r="F11" s="19" t="s">
        <v>1</v>
      </c>
      <c r="I11" s="528" t="s">
        <v>14</v>
      </c>
      <c r="J11" s="19" t="s">
        <v>1</v>
      </c>
      <c r="L11" s="24"/>
    </row>
    <row r="12" spans="1:46" s="1" customFormat="1" ht="12" customHeight="1" x14ac:dyDescent="0.2">
      <c r="B12" s="24"/>
      <c r="D12" s="528" t="s">
        <v>15</v>
      </c>
      <c r="F12" s="520" t="s">
        <v>6173</v>
      </c>
      <c r="I12" s="528" t="s">
        <v>17</v>
      </c>
      <c r="J12" s="39"/>
      <c r="L12" s="24"/>
    </row>
    <row r="13" spans="1:46" s="1" customFormat="1" ht="10.95" customHeight="1" x14ac:dyDescent="0.2">
      <c r="B13" s="24"/>
      <c r="D13" s="521"/>
      <c r="F13" s="521"/>
      <c r="I13" s="521"/>
      <c r="L13" s="24"/>
    </row>
    <row r="14" spans="1:46" s="1" customFormat="1" ht="12" customHeight="1" x14ac:dyDescent="0.2">
      <c r="B14" s="24"/>
      <c r="D14" s="528" t="s">
        <v>18</v>
      </c>
      <c r="F14" s="529" t="s">
        <v>6175</v>
      </c>
      <c r="I14" s="528" t="s">
        <v>19</v>
      </c>
      <c r="J14" s="19" t="str">
        <f>IF('Rekapitulácia stavby'!AN10="","",'Rekapitulácia stavby'!AN10)</f>
        <v/>
      </c>
      <c r="L14" s="24"/>
    </row>
    <row r="15" spans="1:46" s="1" customFormat="1" ht="18" customHeight="1" x14ac:dyDescent="0.2">
      <c r="B15" s="24"/>
      <c r="D15" s="521"/>
      <c r="E15" s="19" t="str">
        <f>IF('Rekapitulácia stavby'!E11="","",'Rekapitulácia stavby'!E11)</f>
        <v/>
      </c>
      <c r="F15" s="521"/>
      <c r="I15" s="528" t="s">
        <v>20</v>
      </c>
      <c r="J15" s="19" t="str">
        <f>IF('Rekapitulácia stavby'!AN11="","",'Rekapitulácia stavby'!AN11)</f>
        <v/>
      </c>
      <c r="L15" s="24"/>
    </row>
    <row r="16" spans="1:46" s="1" customFormat="1" ht="7.05" customHeight="1" x14ac:dyDescent="0.2">
      <c r="B16" s="24"/>
      <c r="D16" s="521"/>
      <c r="F16" s="521"/>
      <c r="I16" s="521"/>
      <c r="L16" s="24"/>
    </row>
    <row r="17" spans="2:12" s="1" customFormat="1" ht="12" customHeight="1" x14ac:dyDescent="0.2">
      <c r="B17" s="24"/>
      <c r="D17" s="528" t="s">
        <v>21</v>
      </c>
      <c r="F17" s="529" t="s">
        <v>5202</v>
      </c>
      <c r="I17" s="528" t="s">
        <v>19</v>
      </c>
      <c r="J17" s="19"/>
      <c r="L17" s="24"/>
    </row>
    <row r="18" spans="2:12" s="1" customFormat="1" ht="18" customHeight="1" x14ac:dyDescent="0.2">
      <c r="B18" s="24"/>
      <c r="D18" s="521"/>
      <c r="E18" s="1161"/>
      <c r="F18" s="1161"/>
      <c r="G18" s="1161"/>
      <c r="H18" s="1161"/>
      <c r="I18" s="528" t="s">
        <v>20</v>
      </c>
      <c r="J18" s="19" t="str">
        <f>'Rekapitulácia stavby'!AN14</f>
        <v/>
      </c>
      <c r="L18" s="24"/>
    </row>
    <row r="19" spans="2:12" s="1" customFormat="1" ht="7.05" customHeight="1" x14ac:dyDescent="0.2">
      <c r="B19" s="24"/>
      <c r="D19" s="521"/>
      <c r="I19" s="521"/>
      <c r="L19" s="24"/>
    </row>
    <row r="20" spans="2:12" s="1" customFormat="1" ht="12" customHeight="1" x14ac:dyDescent="0.2">
      <c r="B20" s="24"/>
      <c r="D20" s="528" t="s">
        <v>22</v>
      </c>
      <c r="I20" s="528" t="s">
        <v>19</v>
      </c>
      <c r="J20" s="19" t="str">
        <f>IF('Rekapitulácia stavby'!AN16="","",'Rekapitulácia stavby'!AN16)</f>
        <v/>
      </c>
      <c r="L20" s="24"/>
    </row>
    <row r="21" spans="2:12" s="1" customFormat="1" ht="18" customHeight="1" x14ac:dyDescent="0.2">
      <c r="B21" s="24"/>
      <c r="D21" s="521"/>
      <c r="E21" s="19" t="str">
        <f>IF('Rekapitulácia stavby'!E17="","",'Rekapitulácia stavby'!E17)</f>
        <v xml:space="preserve"> </v>
      </c>
      <c r="I21" s="528" t="s">
        <v>20</v>
      </c>
      <c r="J21" s="19" t="str">
        <f>IF('Rekapitulácia stavby'!AN17="","",'Rekapitulácia stavby'!AN17)</f>
        <v/>
      </c>
      <c r="L21" s="24"/>
    </row>
    <row r="22" spans="2:12" s="1" customFormat="1" ht="7.05" customHeight="1" x14ac:dyDescent="0.2">
      <c r="B22" s="24"/>
      <c r="D22" s="521"/>
      <c r="I22" s="521"/>
      <c r="L22" s="24"/>
    </row>
    <row r="23" spans="2:12" s="1" customFormat="1" ht="12" customHeight="1" x14ac:dyDescent="0.2">
      <c r="B23" s="24"/>
      <c r="D23" s="528" t="s">
        <v>24</v>
      </c>
      <c r="I23" s="528" t="s">
        <v>19</v>
      </c>
      <c r="J23" s="19" t="str">
        <f>IF('Rekapitulácia stavby'!AN19="","",'Rekapitulácia stavby'!AN19)</f>
        <v/>
      </c>
      <c r="L23" s="24"/>
    </row>
    <row r="24" spans="2:12" s="1" customFormat="1" ht="18" customHeight="1" x14ac:dyDescent="0.2">
      <c r="B24" s="24"/>
      <c r="D24" s="521"/>
      <c r="E24" s="19" t="str">
        <f>IF('Rekapitulácia stavby'!E20="","",'Rekapitulácia stavby'!E20)</f>
        <v xml:space="preserve"> </v>
      </c>
      <c r="I24" s="528" t="s">
        <v>20</v>
      </c>
      <c r="J24" s="19" t="str">
        <f>IF('Rekapitulácia stavby'!AN20="","",'Rekapitulácia stavby'!AN20)</f>
        <v/>
      </c>
      <c r="L24" s="24"/>
    </row>
    <row r="25" spans="2:12" s="1" customFormat="1" ht="7.05" customHeight="1" x14ac:dyDescent="0.2">
      <c r="B25" s="24"/>
      <c r="D25" s="521"/>
      <c r="L25" s="24"/>
    </row>
    <row r="26" spans="2:12" s="1" customFormat="1" ht="12" customHeight="1" x14ac:dyDescent="0.2">
      <c r="B26" s="24"/>
      <c r="D26" s="528" t="s">
        <v>25</v>
      </c>
      <c r="L26" s="24"/>
    </row>
    <row r="27" spans="2:12" s="7" customFormat="1" ht="16.5" customHeight="1" x14ac:dyDescent="0.2">
      <c r="B27" s="75"/>
      <c r="E27" s="1228" t="s">
        <v>1</v>
      </c>
      <c r="F27" s="1228"/>
      <c r="G27" s="1228"/>
      <c r="H27" s="1228"/>
      <c r="L27" s="75"/>
    </row>
    <row r="28" spans="2:12" s="1" customFormat="1" ht="7.05" customHeight="1" x14ac:dyDescent="0.2">
      <c r="B28" s="24"/>
      <c r="L28" s="24"/>
    </row>
    <row r="29" spans="2:12" s="1" customFormat="1" ht="7.05" customHeight="1" x14ac:dyDescent="0.2">
      <c r="B29" s="24"/>
      <c r="D29" s="40"/>
      <c r="E29" s="40"/>
      <c r="F29" s="40"/>
      <c r="G29" s="40"/>
      <c r="H29" s="40"/>
      <c r="I29" s="40"/>
      <c r="J29" s="40"/>
      <c r="K29" s="40"/>
      <c r="L29" s="24"/>
    </row>
    <row r="30" spans="2:12" s="1" customFormat="1" ht="25.2" customHeight="1" x14ac:dyDescent="0.2">
      <c r="B30" s="24"/>
      <c r="D30" s="76" t="s">
        <v>26</v>
      </c>
      <c r="J30" s="53">
        <f>ROUND(J140, 2)</f>
        <v>93574.27</v>
      </c>
      <c r="L30" s="24"/>
    </row>
    <row r="31" spans="2:12" s="1" customFormat="1" ht="7.05" customHeight="1" x14ac:dyDescent="0.2">
      <c r="B31" s="24"/>
      <c r="D31" s="40"/>
      <c r="E31" s="40"/>
      <c r="F31" s="40"/>
      <c r="G31" s="40"/>
      <c r="H31" s="40"/>
      <c r="I31" s="40"/>
      <c r="J31" s="40"/>
      <c r="K31" s="40"/>
      <c r="L31" s="24"/>
    </row>
    <row r="32" spans="2:12" s="1" customFormat="1" ht="14.55" customHeight="1" x14ac:dyDescent="0.2">
      <c r="B32" s="24"/>
      <c r="D32" s="521"/>
      <c r="E32" s="521"/>
      <c r="F32" s="534" t="s">
        <v>28</v>
      </c>
      <c r="G32" s="521"/>
      <c r="H32" s="521"/>
      <c r="I32" s="534" t="s">
        <v>27</v>
      </c>
      <c r="J32" s="534" t="s">
        <v>29</v>
      </c>
      <c r="L32" s="24"/>
    </row>
    <row r="33" spans="2:12" s="1" customFormat="1" ht="14.55" customHeight="1" x14ac:dyDescent="0.2">
      <c r="B33" s="24"/>
      <c r="D33" s="13" t="s">
        <v>30</v>
      </c>
      <c r="E33" s="528" t="s">
        <v>31</v>
      </c>
      <c r="F33" s="398">
        <f>ROUND((SUM(BE140:BE348)),  2)</f>
        <v>0</v>
      </c>
      <c r="G33" s="521"/>
      <c r="H33" s="521"/>
      <c r="I33" s="535">
        <v>0.2</v>
      </c>
      <c r="J33" s="398">
        <f>ROUND(((SUM(BE140:BE348))*I33),  2)</f>
        <v>0</v>
      </c>
      <c r="L33" s="24"/>
    </row>
    <row r="34" spans="2:12" s="1" customFormat="1" ht="14.55" customHeight="1" x14ac:dyDescent="0.2">
      <c r="B34" s="24"/>
      <c r="D34" s="521"/>
      <c r="E34" s="528" t="s">
        <v>32</v>
      </c>
      <c r="F34" s="398">
        <f>ROUND((SUM(BF140:BF348)),  2)</f>
        <v>93574.27</v>
      </c>
      <c r="G34" s="521"/>
      <c r="H34" s="521"/>
      <c r="I34" s="535">
        <v>0.2</v>
      </c>
      <c r="J34" s="398">
        <f>ROUND(((SUM(BF140:BF348))*I34),  2)</f>
        <v>18714.849999999999</v>
      </c>
      <c r="L34" s="24"/>
    </row>
    <row r="35" spans="2:12" s="1" customFormat="1" ht="14.55" hidden="1" customHeight="1" x14ac:dyDescent="0.2">
      <c r="B35" s="24"/>
      <c r="E35" s="21" t="s">
        <v>33</v>
      </c>
      <c r="F35" s="78">
        <f>ROUND((SUM(BG140:BG348)),  2)</f>
        <v>0</v>
      </c>
      <c r="I35" s="79">
        <v>0.2</v>
      </c>
      <c r="J35" s="78">
        <f>0</f>
        <v>0</v>
      </c>
      <c r="L35" s="24"/>
    </row>
    <row r="36" spans="2:12" s="1" customFormat="1" ht="14.55" hidden="1" customHeight="1" x14ac:dyDescent="0.2">
      <c r="B36" s="24"/>
      <c r="E36" s="21" t="s">
        <v>34</v>
      </c>
      <c r="F36" s="78">
        <f>ROUND((SUM(BH140:BH348)),  2)</f>
        <v>0</v>
      </c>
      <c r="I36" s="79">
        <v>0.2</v>
      </c>
      <c r="J36" s="78">
        <f>0</f>
        <v>0</v>
      </c>
      <c r="L36" s="24"/>
    </row>
    <row r="37" spans="2:12" s="1" customFormat="1" ht="14.55" hidden="1" customHeight="1" x14ac:dyDescent="0.2">
      <c r="B37" s="24"/>
      <c r="E37" s="21" t="s">
        <v>35</v>
      </c>
      <c r="F37" s="78">
        <f>ROUND((SUM(BI140:BI348)),  2)</f>
        <v>0</v>
      </c>
      <c r="I37" s="79">
        <v>0</v>
      </c>
      <c r="J37" s="78">
        <f>0</f>
        <v>0</v>
      </c>
      <c r="L37" s="24"/>
    </row>
    <row r="38" spans="2:12" s="1" customFormat="1" ht="7.05" customHeight="1" x14ac:dyDescent="0.2">
      <c r="B38" s="24"/>
      <c r="L38" s="24"/>
    </row>
    <row r="39" spans="2:12" s="1" customFormat="1" ht="25.2" customHeight="1" x14ac:dyDescent="0.2">
      <c r="B39" s="24"/>
      <c r="C39" s="80"/>
      <c r="D39" s="81" t="s">
        <v>36</v>
      </c>
      <c r="E39" s="44"/>
      <c r="F39" s="44"/>
      <c r="G39" s="82" t="s">
        <v>37</v>
      </c>
      <c r="H39" s="83" t="s">
        <v>38</v>
      </c>
      <c r="I39" s="44"/>
      <c r="J39" s="84">
        <f>SUM(J30:J37)</f>
        <v>112289.12</v>
      </c>
      <c r="K39" s="85"/>
      <c r="L39" s="24"/>
    </row>
    <row r="40" spans="2:12" s="1" customFormat="1" ht="14.55" customHeight="1" x14ac:dyDescent="0.2">
      <c r="B40" s="24"/>
      <c r="L40" s="24"/>
    </row>
    <row r="41" spans="2:12" ht="14.55" customHeight="1" x14ac:dyDescent="0.2">
      <c r="B41" s="16"/>
      <c r="L41" s="16"/>
    </row>
    <row r="42" spans="2:12" ht="14.55" customHeight="1" x14ac:dyDescent="0.2">
      <c r="B42" s="16"/>
      <c r="L42" s="16"/>
    </row>
    <row r="43" spans="2:12" ht="14.55" customHeight="1" x14ac:dyDescent="0.2">
      <c r="B43" s="16"/>
      <c r="L43" s="16"/>
    </row>
    <row r="44" spans="2:12" ht="14.55" customHeight="1" x14ac:dyDescent="0.2">
      <c r="B44" s="16"/>
      <c r="L44" s="16"/>
    </row>
    <row r="45" spans="2:12" ht="14.55" customHeight="1" x14ac:dyDescent="0.2">
      <c r="B45" s="16"/>
      <c r="L45" s="16"/>
    </row>
    <row r="46" spans="2:12" ht="14.55" customHeight="1" x14ac:dyDescent="0.2">
      <c r="B46" s="16"/>
      <c r="L46" s="16"/>
    </row>
    <row r="47" spans="2:12" ht="14.55" customHeight="1" x14ac:dyDescent="0.2">
      <c r="B47" s="16"/>
      <c r="L47" s="16"/>
    </row>
    <row r="48" spans="2:12" ht="14.55" customHeight="1" x14ac:dyDescent="0.2">
      <c r="B48" s="16"/>
      <c r="L48" s="16"/>
    </row>
    <row r="49" spans="2:12" ht="14.55" customHeight="1" x14ac:dyDescent="0.2">
      <c r="B49" s="16"/>
      <c r="D49" s="156"/>
      <c r="E49" s="156"/>
      <c r="F49" s="156"/>
      <c r="G49" s="156"/>
      <c r="H49" s="156"/>
      <c r="I49" s="156"/>
      <c r="J49" s="156"/>
      <c r="L49" s="16"/>
    </row>
    <row r="50" spans="2:12" s="1" customFormat="1" ht="14.55" customHeight="1" x14ac:dyDescent="0.2">
      <c r="B50" s="24"/>
      <c r="D50" s="530"/>
      <c r="E50" s="523"/>
      <c r="F50" s="523"/>
      <c r="G50" s="530"/>
      <c r="H50" s="523"/>
      <c r="I50" s="523"/>
      <c r="J50" s="523"/>
      <c r="K50" s="32"/>
      <c r="L50" s="24"/>
    </row>
    <row r="51" spans="2:12" x14ac:dyDescent="0.2">
      <c r="B51" s="16"/>
      <c r="D51" s="156"/>
      <c r="E51" s="156"/>
      <c r="F51" s="156"/>
      <c r="G51" s="156"/>
      <c r="H51" s="156"/>
      <c r="I51" s="156"/>
      <c r="J51" s="156"/>
      <c r="L51" s="16"/>
    </row>
    <row r="52" spans="2:12" x14ac:dyDescent="0.2">
      <c r="B52" s="16"/>
      <c r="D52" s="156"/>
      <c r="E52" s="156"/>
      <c r="F52" s="156"/>
      <c r="G52" s="156"/>
      <c r="H52" s="156"/>
      <c r="I52" s="156"/>
      <c r="J52" s="156"/>
      <c r="L52" s="16"/>
    </row>
    <row r="53" spans="2:12" x14ac:dyDescent="0.2">
      <c r="B53" s="16"/>
      <c r="D53" s="156"/>
      <c r="E53" s="156"/>
      <c r="F53" s="156"/>
      <c r="G53" s="156"/>
      <c r="H53" s="156"/>
      <c r="I53" s="156"/>
      <c r="J53" s="156"/>
      <c r="L53" s="16"/>
    </row>
    <row r="54" spans="2:12" x14ac:dyDescent="0.2">
      <c r="B54" s="16"/>
      <c r="D54" s="156"/>
      <c r="E54" s="156"/>
      <c r="F54" s="156"/>
      <c r="G54" s="156"/>
      <c r="H54" s="156"/>
      <c r="I54" s="156"/>
      <c r="J54" s="156"/>
      <c r="L54" s="16"/>
    </row>
    <row r="55" spans="2:12" x14ac:dyDescent="0.2">
      <c r="B55" s="16"/>
      <c r="D55" s="156"/>
      <c r="E55" s="156"/>
      <c r="F55" s="156"/>
      <c r="G55" s="156"/>
      <c r="H55" s="156"/>
      <c r="I55" s="156"/>
      <c r="J55" s="156"/>
      <c r="L55" s="16"/>
    </row>
    <row r="56" spans="2:12" x14ac:dyDescent="0.2">
      <c r="B56" s="16"/>
      <c r="D56" s="156"/>
      <c r="E56" s="156"/>
      <c r="F56" s="156"/>
      <c r="G56" s="156"/>
      <c r="H56" s="156"/>
      <c r="I56" s="156"/>
      <c r="J56" s="156"/>
      <c r="L56" s="16"/>
    </row>
    <row r="57" spans="2:12" x14ac:dyDescent="0.2">
      <c r="B57" s="16"/>
      <c r="D57" s="156"/>
      <c r="E57" s="156"/>
      <c r="F57" s="156"/>
      <c r="G57" s="156"/>
      <c r="H57" s="156"/>
      <c r="I57" s="156"/>
      <c r="J57" s="156"/>
      <c r="L57" s="16"/>
    </row>
    <row r="58" spans="2:12" x14ac:dyDescent="0.2">
      <c r="B58" s="16"/>
      <c r="D58" s="156"/>
      <c r="E58" s="156"/>
      <c r="F58" s="156"/>
      <c r="G58" s="156"/>
      <c r="H58" s="156"/>
      <c r="I58" s="156"/>
      <c r="J58" s="156"/>
      <c r="L58" s="16"/>
    </row>
    <row r="59" spans="2:12" x14ac:dyDescent="0.2">
      <c r="B59" s="16"/>
      <c r="D59" s="156"/>
      <c r="E59" s="156"/>
      <c r="F59" s="156"/>
      <c r="G59" s="156"/>
      <c r="H59" s="156"/>
      <c r="I59" s="156"/>
      <c r="J59" s="156"/>
      <c r="L59" s="16"/>
    </row>
    <row r="60" spans="2:12" x14ac:dyDescent="0.2">
      <c r="B60" s="16"/>
      <c r="D60" s="156"/>
      <c r="E60" s="156"/>
      <c r="F60" s="156"/>
      <c r="G60" s="156"/>
      <c r="H60" s="156"/>
      <c r="I60" s="156"/>
      <c r="J60" s="156"/>
      <c r="L60" s="16"/>
    </row>
    <row r="61" spans="2:12" s="1" customFormat="1" ht="13.2" x14ac:dyDescent="0.2">
      <c r="B61" s="24"/>
      <c r="D61" s="522"/>
      <c r="E61" s="523"/>
      <c r="F61" s="536"/>
      <c r="G61" s="522"/>
      <c r="H61" s="523"/>
      <c r="I61" s="523"/>
      <c r="J61" s="169"/>
      <c r="K61" s="26"/>
      <c r="L61" s="24"/>
    </row>
    <row r="62" spans="2:12" x14ac:dyDescent="0.2">
      <c r="B62" s="16"/>
      <c r="D62" s="156"/>
      <c r="E62" s="156"/>
      <c r="F62" s="156"/>
      <c r="G62" s="156"/>
      <c r="H62" s="156"/>
      <c r="I62" s="156"/>
      <c r="J62" s="156"/>
      <c r="L62" s="16"/>
    </row>
    <row r="63" spans="2:12" x14ac:dyDescent="0.2">
      <c r="B63" s="16"/>
      <c r="D63" s="156"/>
      <c r="E63" s="156"/>
      <c r="F63" s="156"/>
      <c r="G63" s="156"/>
      <c r="H63" s="156"/>
      <c r="I63" s="156"/>
      <c r="J63" s="156"/>
      <c r="L63" s="16"/>
    </row>
    <row r="64" spans="2:12" x14ac:dyDescent="0.2">
      <c r="B64" s="16"/>
      <c r="D64" s="156"/>
      <c r="E64" s="156"/>
      <c r="F64" s="156"/>
      <c r="G64" s="156"/>
      <c r="H64" s="156"/>
      <c r="I64" s="156"/>
      <c r="J64" s="156"/>
      <c r="L64" s="16"/>
    </row>
    <row r="65" spans="2:12" s="1" customFormat="1" ht="13.2" x14ac:dyDescent="0.2">
      <c r="B65" s="24"/>
      <c r="D65" s="530"/>
      <c r="E65" s="523"/>
      <c r="F65" s="523"/>
      <c r="G65" s="530"/>
      <c r="H65" s="523"/>
      <c r="I65" s="523"/>
      <c r="J65" s="523"/>
      <c r="K65" s="32"/>
      <c r="L65" s="24"/>
    </row>
    <row r="66" spans="2:12" x14ac:dyDescent="0.2">
      <c r="B66" s="16"/>
      <c r="D66" s="156"/>
      <c r="E66" s="156"/>
      <c r="F66" s="156"/>
      <c r="G66" s="156"/>
      <c r="H66" s="156"/>
      <c r="I66" s="156"/>
      <c r="J66" s="156"/>
      <c r="L66" s="16"/>
    </row>
    <row r="67" spans="2:12" x14ac:dyDescent="0.2">
      <c r="B67" s="16"/>
      <c r="D67" s="156"/>
      <c r="E67" s="156"/>
      <c r="F67" s="156"/>
      <c r="G67" s="156"/>
      <c r="H67" s="156"/>
      <c r="I67" s="156"/>
      <c r="J67" s="156"/>
      <c r="L67" s="16"/>
    </row>
    <row r="68" spans="2:12" x14ac:dyDescent="0.2">
      <c r="B68" s="16"/>
      <c r="D68" s="156"/>
      <c r="E68" s="156"/>
      <c r="F68" s="156"/>
      <c r="G68" s="156"/>
      <c r="H68" s="156"/>
      <c r="I68" s="156"/>
      <c r="J68" s="156"/>
      <c r="L68" s="16"/>
    </row>
    <row r="69" spans="2:12" x14ac:dyDescent="0.2">
      <c r="B69" s="16"/>
      <c r="D69" s="156"/>
      <c r="E69" s="156"/>
      <c r="F69" s="156"/>
      <c r="G69" s="156"/>
      <c r="H69" s="156"/>
      <c r="I69" s="156"/>
      <c r="J69" s="156"/>
      <c r="L69" s="16"/>
    </row>
    <row r="70" spans="2:12" x14ac:dyDescent="0.2">
      <c r="B70" s="16"/>
      <c r="D70" s="156"/>
      <c r="E70" s="156"/>
      <c r="F70" s="156"/>
      <c r="G70" s="156"/>
      <c r="H70" s="156"/>
      <c r="I70" s="156"/>
      <c r="J70" s="156"/>
      <c r="L70" s="16"/>
    </row>
    <row r="71" spans="2:12" x14ac:dyDescent="0.2">
      <c r="B71" s="16"/>
      <c r="D71" s="156"/>
      <c r="E71" s="156"/>
      <c r="F71" s="156"/>
      <c r="G71" s="156"/>
      <c r="H71" s="156"/>
      <c r="I71" s="156"/>
      <c r="J71" s="156"/>
      <c r="L71" s="16"/>
    </row>
    <row r="72" spans="2:12" x14ac:dyDescent="0.2">
      <c r="B72" s="16"/>
      <c r="D72" s="156"/>
      <c r="E72" s="156"/>
      <c r="F72" s="156"/>
      <c r="G72" s="156"/>
      <c r="H72" s="156"/>
      <c r="I72" s="156"/>
      <c r="J72" s="156"/>
      <c r="L72" s="16"/>
    </row>
    <row r="73" spans="2:12" x14ac:dyDescent="0.2">
      <c r="B73" s="16"/>
      <c r="D73" s="156"/>
      <c r="E73" s="156"/>
      <c r="F73" s="156"/>
      <c r="G73" s="156"/>
      <c r="H73" s="156"/>
      <c r="I73" s="156"/>
      <c r="J73" s="156"/>
      <c r="L73" s="16"/>
    </row>
    <row r="74" spans="2:12" x14ac:dyDescent="0.2">
      <c r="B74" s="16"/>
      <c r="D74" s="156"/>
      <c r="E74" s="156"/>
      <c r="F74" s="156"/>
      <c r="G74" s="156"/>
      <c r="H74" s="156"/>
      <c r="I74" s="156"/>
      <c r="J74" s="156"/>
      <c r="L74" s="16"/>
    </row>
    <row r="75" spans="2:12" x14ac:dyDescent="0.2">
      <c r="B75" s="16"/>
      <c r="D75" s="156"/>
      <c r="E75" s="156"/>
      <c r="F75" s="156"/>
      <c r="G75" s="156"/>
      <c r="H75" s="156"/>
      <c r="I75" s="156"/>
      <c r="J75" s="156"/>
      <c r="L75" s="16"/>
    </row>
    <row r="76" spans="2:12" s="1" customFormat="1" ht="13.2" x14ac:dyDescent="0.2">
      <c r="B76" s="24"/>
      <c r="D76" s="522"/>
      <c r="E76" s="523"/>
      <c r="F76" s="536"/>
      <c r="G76" s="522"/>
      <c r="H76" s="523"/>
      <c r="I76" s="523"/>
      <c r="J76" s="169"/>
      <c r="K76" s="26"/>
      <c r="L76" s="24"/>
    </row>
    <row r="77" spans="2:12" s="1" customFormat="1" ht="14.55" customHeight="1" x14ac:dyDescent="0.2">
      <c r="B77" s="33"/>
      <c r="C77" s="34"/>
      <c r="D77" s="34"/>
      <c r="E77" s="34"/>
      <c r="F77" s="34"/>
      <c r="G77" s="34"/>
      <c r="H77" s="34"/>
      <c r="I77" s="34"/>
      <c r="J77" s="34"/>
      <c r="K77" s="34"/>
      <c r="L77" s="24"/>
    </row>
    <row r="81" spans="2:47" s="1" customFormat="1" ht="7.05" customHeight="1" x14ac:dyDescent="0.2">
      <c r="B81" s="35"/>
      <c r="C81" s="36"/>
      <c r="D81" s="36"/>
      <c r="E81" s="36"/>
      <c r="F81" s="36"/>
      <c r="G81" s="36"/>
      <c r="H81" s="36"/>
      <c r="I81" s="36"/>
      <c r="J81" s="36"/>
      <c r="K81" s="36"/>
      <c r="L81" s="24"/>
    </row>
    <row r="82" spans="2:47" s="1" customFormat="1" ht="25.05" customHeight="1" x14ac:dyDescent="0.2">
      <c r="B82" s="24"/>
      <c r="C82" s="1165" t="s">
        <v>188</v>
      </c>
      <c r="D82" s="1165"/>
      <c r="E82" s="1165"/>
      <c r="F82" s="1165"/>
      <c r="G82" s="1165"/>
      <c r="H82" s="1165"/>
      <c r="I82" s="1165"/>
      <c r="J82" s="1165"/>
      <c r="L82" s="24"/>
    </row>
    <row r="83" spans="2:47" s="1" customFormat="1" ht="7.05" customHeight="1" x14ac:dyDescent="0.2">
      <c r="B83" s="24"/>
      <c r="L83" s="24"/>
    </row>
    <row r="84" spans="2:47" s="1" customFormat="1" ht="12" customHeight="1" x14ac:dyDescent="0.2">
      <c r="B84" s="24"/>
      <c r="C84" s="528" t="s">
        <v>12</v>
      </c>
      <c r="E84" s="1242" t="s">
        <v>6177</v>
      </c>
      <c r="F84" s="1242"/>
      <c r="G84" s="1242"/>
      <c r="H84" s="1242"/>
      <c r="I84" s="1242"/>
      <c r="J84" s="1242"/>
      <c r="L84" s="24"/>
    </row>
    <row r="85" spans="2:47" s="1" customFormat="1" ht="21.45" customHeight="1" x14ac:dyDescent="0.2">
      <c r="B85" s="24"/>
      <c r="C85" s="521"/>
      <c r="E85" s="1243"/>
      <c r="F85" s="1244"/>
      <c r="G85" s="1244"/>
      <c r="H85" s="1244"/>
      <c r="L85" s="24"/>
    </row>
    <row r="86" spans="2:47" s="1" customFormat="1" ht="12" customHeight="1" x14ac:dyDescent="0.2">
      <c r="B86" s="24"/>
      <c r="C86" s="528" t="s">
        <v>186</v>
      </c>
      <c r="F86" s="532" t="s">
        <v>5072</v>
      </c>
      <c r="L86" s="24"/>
    </row>
    <row r="87" spans="2:47" s="1" customFormat="1" ht="16.5" customHeight="1" x14ac:dyDescent="0.2">
      <c r="B87" s="24"/>
      <c r="C87" s="521"/>
      <c r="E87" s="1251"/>
      <c r="F87" s="1252"/>
      <c r="G87" s="1252"/>
      <c r="H87" s="1252"/>
      <c r="L87" s="24"/>
    </row>
    <row r="88" spans="2:47" s="1" customFormat="1" ht="7.05" customHeight="1" x14ac:dyDescent="0.2">
      <c r="B88" s="24"/>
      <c r="C88" s="521"/>
      <c r="L88" s="24"/>
    </row>
    <row r="89" spans="2:47" s="1" customFormat="1" ht="12" customHeight="1" x14ac:dyDescent="0.2">
      <c r="B89" s="24"/>
      <c r="C89" s="528" t="s">
        <v>15</v>
      </c>
      <c r="F89" s="19" t="str">
        <f>F12</f>
        <v>Kuzmányho nábrežie 28, 960 01 Zvolen</v>
      </c>
      <c r="I89" s="528" t="s">
        <v>17</v>
      </c>
      <c r="J89" s="39" t="str">
        <f>IF(J12="","",J12)</f>
        <v/>
      </c>
      <c r="L89" s="24"/>
    </row>
    <row r="90" spans="2:47" s="1" customFormat="1" ht="7.05" customHeight="1" x14ac:dyDescent="0.2">
      <c r="B90" s="24"/>
      <c r="C90" s="521"/>
      <c r="I90" s="521"/>
      <c r="L90" s="24"/>
    </row>
    <row r="91" spans="2:47" s="1" customFormat="1" ht="15.3" customHeight="1" x14ac:dyDescent="0.2">
      <c r="B91" s="24"/>
      <c r="C91" s="528" t="s">
        <v>18</v>
      </c>
      <c r="F91" s="529" t="s">
        <v>6175</v>
      </c>
      <c r="I91" s="528" t="s">
        <v>22</v>
      </c>
      <c r="J91" s="22" t="str">
        <f>E21</f>
        <v xml:space="preserve"> </v>
      </c>
      <c r="L91" s="24"/>
    </row>
    <row r="92" spans="2:47" s="1" customFormat="1" ht="15.3" customHeight="1" x14ac:dyDescent="0.2">
      <c r="B92" s="24"/>
      <c r="C92" s="528" t="s">
        <v>21</v>
      </c>
      <c r="F92" s="529" t="s">
        <v>5202</v>
      </c>
      <c r="I92" s="528" t="s">
        <v>24</v>
      </c>
      <c r="J92" s="22" t="str">
        <f>E24</f>
        <v xml:space="preserve"> </v>
      </c>
      <c r="L92" s="24"/>
    </row>
    <row r="93" spans="2:47" s="1" customFormat="1" ht="10.199999999999999" customHeight="1" x14ac:dyDescent="0.2">
      <c r="B93" s="24"/>
      <c r="L93" s="24"/>
    </row>
    <row r="94" spans="2:47" s="1" customFormat="1" ht="29.25" customHeight="1" x14ac:dyDescent="0.2">
      <c r="B94" s="24"/>
      <c r="C94" s="86" t="s">
        <v>189</v>
      </c>
      <c r="D94" s="80"/>
      <c r="E94" s="80"/>
      <c r="F94" s="80"/>
      <c r="G94" s="80"/>
      <c r="H94" s="80"/>
      <c r="I94" s="80"/>
      <c r="J94" s="87" t="s">
        <v>190</v>
      </c>
      <c r="K94" s="80"/>
      <c r="L94" s="24"/>
    </row>
    <row r="95" spans="2:47" s="1" customFormat="1" ht="10.199999999999999" customHeight="1" x14ac:dyDescent="0.2">
      <c r="B95" s="24"/>
      <c r="L95" s="24"/>
    </row>
    <row r="96" spans="2:47" s="1" customFormat="1" ht="22.95" customHeight="1" x14ac:dyDescent="0.2">
      <c r="B96" s="24"/>
      <c r="C96" s="88" t="s">
        <v>191</v>
      </c>
      <c r="J96" s="53">
        <f>J140</f>
        <v>93574.27</v>
      </c>
      <c r="L96" s="24"/>
      <c r="AU96" s="13" t="s">
        <v>192</v>
      </c>
    </row>
    <row r="97" spans="2:12" s="8" customFormat="1" ht="25.05" customHeight="1" x14ac:dyDescent="0.2">
      <c r="B97" s="89"/>
      <c r="D97" s="90" t="s">
        <v>5073</v>
      </c>
      <c r="E97" s="91"/>
      <c r="F97" s="91"/>
      <c r="G97" s="91"/>
      <c r="H97" s="91"/>
      <c r="I97" s="91"/>
      <c r="J97" s="92">
        <f>J141</f>
        <v>50259.89</v>
      </c>
      <c r="L97" s="89"/>
    </row>
    <row r="98" spans="2:12" s="9" customFormat="1" ht="19.95" customHeight="1" x14ac:dyDescent="0.2">
      <c r="B98" s="93"/>
      <c r="D98" s="94" t="s">
        <v>5074</v>
      </c>
      <c r="E98" s="95"/>
      <c r="F98" s="95"/>
      <c r="G98" s="95"/>
      <c r="H98" s="95"/>
      <c r="I98" s="95"/>
      <c r="J98" s="96">
        <f>J142</f>
        <v>22204.85</v>
      </c>
      <c r="L98" s="93"/>
    </row>
    <row r="99" spans="2:12" s="9" customFormat="1" ht="19.95" customHeight="1" x14ac:dyDescent="0.2">
      <c r="B99" s="93"/>
      <c r="D99" s="94" t="s">
        <v>5075</v>
      </c>
      <c r="E99" s="95"/>
      <c r="F99" s="95"/>
      <c r="G99" s="95"/>
      <c r="H99" s="95"/>
      <c r="I99" s="95"/>
      <c r="J99" s="96">
        <f>J159</f>
        <v>6330.01</v>
      </c>
      <c r="L99" s="93"/>
    </row>
    <row r="100" spans="2:12" s="9" customFormat="1" ht="19.95" customHeight="1" x14ac:dyDescent="0.2">
      <c r="B100" s="93"/>
      <c r="D100" s="94" t="s">
        <v>5076</v>
      </c>
      <c r="E100" s="95"/>
      <c r="F100" s="95"/>
      <c r="G100" s="95"/>
      <c r="H100" s="95"/>
      <c r="I100" s="95"/>
      <c r="J100" s="96">
        <f>J172</f>
        <v>7983.3299999999981</v>
      </c>
      <c r="L100" s="93"/>
    </row>
    <row r="101" spans="2:12" s="9" customFormat="1" ht="19.95" customHeight="1" x14ac:dyDescent="0.2">
      <c r="B101" s="93"/>
      <c r="D101" s="94" t="s">
        <v>5077</v>
      </c>
      <c r="E101" s="95"/>
      <c r="F101" s="95"/>
      <c r="G101" s="95"/>
      <c r="H101" s="95"/>
      <c r="I101" s="95"/>
      <c r="J101" s="96">
        <f>J191</f>
        <v>12378.92</v>
      </c>
      <c r="L101" s="93"/>
    </row>
    <row r="102" spans="2:12" s="9" customFormat="1" ht="19.95" customHeight="1" x14ac:dyDescent="0.2">
      <c r="B102" s="93"/>
      <c r="D102" s="94" t="s">
        <v>5078</v>
      </c>
      <c r="E102" s="95"/>
      <c r="F102" s="95"/>
      <c r="G102" s="95"/>
      <c r="H102" s="95"/>
      <c r="I102" s="95"/>
      <c r="J102" s="96">
        <f>J206</f>
        <v>381.49</v>
      </c>
      <c r="L102" s="93"/>
    </row>
    <row r="103" spans="2:12" s="9" customFormat="1" ht="19.95" customHeight="1" x14ac:dyDescent="0.2">
      <c r="B103" s="93"/>
      <c r="D103" s="94" t="s">
        <v>5079</v>
      </c>
      <c r="E103" s="95"/>
      <c r="F103" s="95"/>
      <c r="G103" s="95"/>
      <c r="H103" s="95"/>
      <c r="I103" s="95"/>
      <c r="J103" s="96">
        <f>J210</f>
        <v>610.03</v>
      </c>
      <c r="L103" s="93"/>
    </row>
    <row r="104" spans="2:12" s="9" customFormat="1" ht="19.95" customHeight="1" x14ac:dyDescent="0.2">
      <c r="B104" s="93"/>
      <c r="D104" s="94" t="s">
        <v>5080</v>
      </c>
      <c r="E104" s="95"/>
      <c r="F104" s="95"/>
      <c r="G104" s="95"/>
      <c r="H104" s="95"/>
      <c r="I104" s="95"/>
      <c r="J104" s="96">
        <f>J215</f>
        <v>371.26</v>
      </c>
      <c r="L104" s="93"/>
    </row>
    <row r="105" spans="2:12" s="8" customFormat="1" ht="25.05" customHeight="1" x14ac:dyDescent="0.2">
      <c r="B105" s="89"/>
      <c r="D105" s="90" t="s">
        <v>5081</v>
      </c>
      <c r="E105" s="91"/>
      <c r="F105" s="91"/>
      <c r="G105" s="91"/>
      <c r="H105" s="91"/>
      <c r="I105" s="91"/>
      <c r="J105" s="92">
        <f>J220</f>
        <v>43314.380000000005</v>
      </c>
      <c r="L105" s="89"/>
    </row>
    <row r="106" spans="2:12" s="9" customFormat="1" ht="19.95" customHeight="1" x14ac:dyDescent="0.2">
      <c r="B106" s="93"/>
      <c r="D106" s="94" t="s">
        <v>5082</v>
      </c>
      <c r="E106" s="95"/>
      <c r="F106" s="95"/>
      <c r="G106" s="95"/>
      <c r="H106" s="95"/>
      <c r="I106" s="95"/>
      <c r="J106" s="96">
        <f>J221</f>
        <v>15080.75</v>
      </c>
      <c r="L106" s="93"/>
    </row>
    <row r="107" spans="2:12" s="9" customFormat="1" ht="19.95" customHeight="1" x14ac:dyDescent="0.2">
      <c r="B107" s="93"/>
      <c r="D107" s="94" t="s">
        <v>5075</v>
      </c>
      <c r="E107" s="95"/>
      <c r="F107" s="95"/>
      <c r="G107" s="95"/>
      <c r="H107" s="95"/>
      <c r="I107" s="95"/>
      <c r="J107" s="96">
        <f>J235</f>
        <v>4691.8099999999995</v>
      </c>
      <c r="L107" s="93"/>
    </row>
    <row r="108" spans="2:12" s="9" customFormat="1" ht="19.95" customHeight="1" x14ac:dyDescent="0.2">
      <c r="B108" s="93"/>
      <c r="D108" s="94" t="s">
        <v>5076</v>
      </c>
      <c r="E108" s="95"/>
      <c r="F108" s="95"/>
      <c r="G108" s="95"/>
      <c r="H108" s="95"/>
      <c r="I108" s="95"/>
      <c r="J108" s="96">
        <f>J253</f>
        <v>4132.5299999999988</v>
      </c>
      <c r="L108" s="93"/>
    </row>
    <row r="109" spans="2:12" s="9" customFormat="1" ht="19.95" customHeight="1" x14ac:dyDescent="0.2">
      <c r="B109" s="93"/>
      <c r="D109" s="94" t="s">
        <v>5077</v>
      </c>
      <c r="E109" s="95"/>
      <c r="F109" s="95"/>
      <c r="G109" s="95"/>
      <c r="H109" s="95"/>
      <c r="I109" s="95"/>
      <c r="J109" s="96">
        <f>J272</f>
        <v>3574.1599999999994</v>
      </c>
      <c r="L109" s="93"/>
    </row>
    <row r="110" spans="2:12" s="9" customFormat="1" ht="19.95" customHeight="1" x14ac:dyDescent="0.2">
      <c r="B110" s="93"/>
      <c r="D110" s="94" t="s">
        <v>5078</v>
      </c>
      <c r="E110" s="95"/>
      <c r="F110" s="95"/>
      <c r="G110" s="95"/>
      <c r="H110" s="95"/>
      <c r="I110" s="95"/>
      <c r="J110" s="96">
        <f>J288</f>
        <v>147.66</v>
      </c>
      <c r="L110" s="93"/>
    </row>
    <row r="111" spans="2:12" s="9" customFormat="1" ht="19.95" customHeight="1" x14ac:dyDescent="0.2">
      <c r="B111" s="93"/>
      <c r="D111" s="94" t="s">
        <v>5079</v>
      </c>
      <c r="E111" s="95"/>
      <c r="F111" s="95"/>
      <c r="G111" s="95"/>
      <c r="H111" s="95"/>
      <c r="I111" s="95"/>
      <c r="J111" s="96">
        <f>J292</f>
        <v>236.11</v>
      </c>
      <c r="L111" s="93"/>
    </row>
    <row r="112" spans="2:12" s="9" customFormat="1" ht="19.95" customHeight="1" x14ac:dyDescent="0.2">
      <c r="B112" s="93"/>
      <c r="D112" s="94" t="s">
        <v>5080</v>
      </c>
      <c r="E112" s="95"/>
      <c r="F112" s="95"/>
      <c r="G112" s="95"/>
      <c r="H112" s="95"/>
      <c r="I112" s="95"/>
      <c r="J112" s="96">
        <f>J297</f>
        <v>143.86000000000001</v>
      </c>
      <c r="L112" s="93"/>
    </row>
    <row r="113" spans="2:12" s="9" customFormat="1" ht="19.95" customHeight="1" x14ac:dyDescent="0.2">
      <c r="B113" s="93"/>
      <c r="D113" s="94" t="s">
        <v>5083</v>
      </c>
      <c r="E113" s="95"/>
      <c r="F113" s="95"/>
      <c r="G113" s="95"/>
      <c r="H113" s="95"/>
      <c r="I113" s="95"/>
      <c r="J113" s="96">
        <f>J302</f>
        <v>0</v>
      </c>
      <c r="L113" s="93"/>
    </row>
    <row r="114" spans="2:12" s="9" customFormat="1" ht="19.95" customHeight="1" x14ac:dyDescent="0.2">
      <c r="B114" s="93"/>
      <c r="D114" s="94" t="s">
        <v>5082</v>
      </c>
      <c r="E114" s="95"/>
      <c r="F114" s="95"/>
      <c r="G114" s="95"/>
      <c r="H114" s="95"/>
      <c r="I114" s="95"/>
      <c r="J114" s="96">
        <f>J303</f>
        <v>4184.3599999999997</v>
      </c>
      <c r="L114" s="93"/>
    </row>
    <row r="115" spans="2:12" s="9" customFormat="1" ht="19.95" customHeight="1" x14ac:dyDescent="0.2">
      <c r="B115" s="93"/>
      <c r="D115" s="94" t="s">
        <v>5075</v>
      </c>
      <c r="E115" s="95"/>
      <c r="F115" s="95"/>
      <c r="G115" s="95"/>
      <c r="H115" s="95"/>
      <c r="I115" s="95"/>
      <c r="J115" s="96">
        <f>J306</f>
        <v>1227.08</v>
      </c>
      <c r="L115" s="93"/>
    </row>
    <row r="116" spans="2:12" s="9" customFormat="1" ht="19.95" customHeight="1" x14ac:dyDescent="0.2">
      <c r="B116" s="93"/>
      <c r="D116" s="94" t="s">
        <v>5076</v>
      </c>
      <c r="E116" s="95"/>
      <c r="F116" s="95"/>
      <c r="G116" s="95"/>
      <c r="H116" s="95"/>
      <c r="I116" s="95"/>
      <c r="J116" s="96">
        <f>J312</f>
        <v>3973.39</v>
      </c>
      <c r="L116" s="93"/>
    </row>
    <row r="117" spans="2:12" s="9" customFormat="1" ht="19.95" customHeight="1" x14ac:dyDescent="0.2">
      <c r="B117" s="93"/>
      <c r="D117" s="94" t="s">
        <v>5077</v>
      </c>
      <c r="E117" s="95"/>
      <c r="F117" s="95"/>
      <c r="G117" s="95"/>
      <c r="H117" s="95"/>
      <c r="I117" s="95"/>
      <c r="J117" s="96">
        <f>J323</f>
        <v>3266.86</v>
      </c>
      <c r="L117" s="93"/>
    </row>
    <row r="118" spans="2:12" s="9" customFormat="1" ht="19.95" customHeight="1" x14ac:dyDescent="0.2">
      <c r="B118" s="93"/>
      <c r="D118" s="94" t="s">
        <v>5078</v>
      </c>
      <c r="E118" s="95"/>
      <c r="F118" s="95"/>
      <c r="G118" s="95"/>
      <c r="H118" s="95"/>
      <c r="I118" s="95"/>
      <c r="J118" s="96">
        <f>J335</f>
        <v>307.72000000000003</v>
      </c>
      <c r="L118" s="93"/>
    </row>
    <row r="119" spans="2:12" s="9" customFormat="1" ht="19.95" customHeight="1" x14ac:dyDescent="0.2">
      <c r="B119" s="93"/>
      <c r="D119" s="94" t="s">
        <v>5079</v>
      </c>
      <c r="E119" s="95"/>
      <c r="F119" s="95"/>
      <c r="G119" s="95"/>
      <c r="H119" s="95"/>
      <c r="I119" s="95"/>
      <c r="J119" s="96">
        <f>J339</f>
        <v>492.04999999999995</v>
      </c>
      <c r="L119" s="93"/>
    </row>
    <row r="120" spans="2:12" s="9" customFormat="1" ht="19.95" customHeight="1" x14ac:dyDescent="0.2">
      <c r="B120" s="93"/>
      <c r="D120" s="94" t="s">
        <v>5080</v>
      </c>
      <c r="E120" s="95"/>
      <c r="F120" s="95"/>
      <c r="G120" s="95"/>
      <c r="H120" s="95"/>
      <c r="I120" s="95"/>
      <c r="J120" s="96">
        <f>J344</f>
        <v>1856.04</v>
      </c>
      <c r="L120" s="93"/>
    </row>
    <row r="121" spans="2:12" s="1" customFormat="1" ht="21.75" customHeight="1" x14ac:dyDescent="0.2">
      <c r="B121" s="24"/>
      <c r="L121" s="24"/>
    </row>
    <row r="122" spans="2:12" s="1" customFormat="1" ht="7.05" customHeight="1" x14ac:dyDescent="0.2">
      <c r="B122" s="33"/>
      <c r="C122" s="34"/>
      <c r="D122" s="34"/>
      <c r="E122" s="34"/>
      <c r="F122" s="34"/>
      <c r="G122" s="34"/>
      <c r="H122" s="34"/>
      <c r="I122" s="34"/>
      <c r="J122" s="34"/>
      <c r="K122" s="34"/>
      <c r="L122" s="24"/>
    </row>
    <row r="126" spans="2:12" s="1" customFormat="1" ht="7.05" customHeight="1" x14ac:dyDescent="0.2">
      <c r="B126" s="35"/>
      <c r="C126" s="36"/>
      <c r="D126" s="36"/>
      <c r="E126" s="36"/>
      <c r="F126" s="36"/>
      <c r="G126" s="36"/>
      <c r="H126" s="36"/>
      <c r="I126" s="36"/>
      <c r="J126" s="36"/>
      <c r="K126" s="36"/>
      <c r="L126" s="24"/>
    </row>
    <row r="127" spans="2:12" s="1" customFormat="1" ht="25.05" customHeight="1" x14ac:dyDescent="0.2">
      <c r="B127" s="24"/>
      <c r="C127" s="1165" t="s">
        <v>214</v>
      </c>
      <c r="D127" s="1165"/>
      <c r="E127" s="1165"/>
      <c r="F127" s="1165"/>
      <c r="G127" s="1165"/>
      <c r="H127" s="1165"/>
      <c r="I127" s="1165"/>
      <c r="J127" s="1165"/>
      <c r="L127" s="24"/>
    </row>
    <row r="128" spans="2:12" s="1" customFormat="1" ht="7.05" customHeight="1" x14ac:dyDescent="0.2">
      <c r="B128" s="24"/>
      <c r="L128" s="24"/>
    </row>
    <row r="129" spans="2:65" s="1" customFormat="1" ht="12" customHeight="1" x14ac:dyDescent="0.2">
      <c r="B129" s="24"/>
      <c r="C129" s="528" t="s">
        <v>12</v>
      </c>
      <c r="E129" s="1242" t="s">
        <v>6177</v>
      </c>
      <c r="F129" s="1242"/>
      <c r="G129" s="1242"/>
      <c r="H129" s="1242"/>
      <c r="I129" s="1242"/>
      <c r="J129" s="1242"/>
      <c r="L129" s="24"/>
    </row>
    <row r="130" spans="2:65" s="1" customFormat="1" ht="22.95" customHeight="1" x14ac:dyDescent="0.2">
      <c r="B130" s="24"/>
      <c r="C130" s="521"/>
      <c r="E130" s="1243"/>
      <c r="F130" s="1244"/>
      <c r="G130" s="1244"/>
      <c r="H130" s="1244"/>
      <c r="L130" s="24"/>
    </row>
    <row r="131" spans="2:65" s="1" customFormat="1" ht="12" customHeight="1" x14ac:dyDescent="0.2">
      <c r="B131" s="24"/>
      <c r="C131" s="528" t="s">
        <v>186</v>
      </c>
      <c r="F131" s="532" t="s">
        <v>5072</v>
      </c>
      <c r="L131" s="24"/>
    </row>
    <row r="132" spans="2:65" s="1" customFormat="1" ht="16.5" customHeight="1" x14ac:dyDescent="0.2">
      <c r="B132" s="24"/>
      <c r="C132" s="521"/>
      <c r="E132" s="1251"/>
      <c r="F132" s="1252"/>
      <c r="G132" s="1252"/>
      <c r="H132" s="1252"/>
      <c r="L132" s="24"/>
    </row>
    <row r="133" spans="2:65" s="1" customFormat="1" ht="7.05" customHeight="1" x14ac:dyDescent="0.2">
      <c r="B133" s="24"/>
      <c r="C133" s="521"/>
      <c r="L133" s="24"/>
    </row>
    <row r="134" spans="2:65" s="1" customFormat="1" ht="12" customHeight="1" x14ac:dyDescent="0.2">
      <c r="B134" s="24"/>
      <c r="C134" s="528" t="s">
        <v>15</v>
      </c>
      <c r="F134" s="19" t="str">
        <f>F12</f>
        <v>Kuzmányho nábrežie 28, 960 01 Zvolen</v>
      </c>
      <c r="I134" s="528" t="s">
        <v>17</v>
      </c>
      <c r="J134" s="39" t="str">
        <f>IF(J12="","",J12)</f>
        <v/>
      </c>
      <c r="L134" s="24"/>
    </row>
    <row r="135" spans="2:65" s="1" customFormat="1" ht="7.05" customHeight="1" x14ac:dyDescent="0.2">
      <c r="B135" s="24"/>
      <c r="C135" s="521"/>
      <c r="I135" s="521"/>
      <c r="L135" s="24"/>
    </row>
    <row r="136" spans="2:65" s="1" customFormat="1" ht="15.3" customHeight="1" x14ac:dyDescent="0.2">
      <c r="B136" s="24"/>
      <c r="C136" s="528" t="s">
        <v>18</v>
      </c>
      <c r="F136" s="529" t="s">
        <v>6175</v>
      </c>
      <c r="I136" s="528" t="s">
        <v>22</v>
      </c>
      <c r="J136" s="22" t="str">
        <f>E21</f>
        <v xml:space="preserve"> </v>
      </c>
      <c r="L136" s="24"/>
    </row>
    <row r="137" spans="2:65" s="1" customFormat="1" ht="15.3" customHeight="1" x14ac:dyDescent="0.2">
      <c r="B137" s="24"/>
      <c r="C137" s="528" t="s">
        <v>21</v>
      </c>
      <c r="F137" s="529" t="s">
        <v>5202</v>
      </c>
      <c r="I137" s="528" t="s">
        <v>24</v>
      </c>
      <c r="J137" s="22" t="str">
        <f>E24</f>
        <v xml:space="preserve"> </v>
      </c>
      <c r="L137" s="24"/>
    </row>
    <row r="138" spans="2:65" s="1" customFormat="1" ht="10.199999999999999" customHeight="1" x14ac:dyDescent="0.2">
      <c r="B138" s="24"/>
      <c r="L138" s="24"/>
    </row>
    <row r="139" spans="2:65" s="10" customFormat="1" ht="29.25" customHeight="1" x14ac:dyDescent="0.2">
      <c r="B139" s="97"/>
      <c r="C139" s="98" t="s">
        <v>215</v>
      </c>
      <c r="D139" s="99" t="s">
        <v>43</v>
      </c>
      <c r="E139" s="99" t="s">
        <v>41</v>
      </c>
      <c r="F139" s="99" t="s">
        <v>42</v>
      </c>
      <c r="G139" s="99" t="s">
        <v>216</v>
      </c>
      <c r="H139" s="99" t="s">
        <v>217</v>
      </c>
      <c r="I139" s="99" t="s">
        <v>218</v>
      </c>
      <c r="J139" s="100" t="s">
        <v>190</v>
      </c>
      <c r="K139" s="101" t="s">
        <v>219</v>
      </c>
      <c r="L139" s="97"/>
      <c r="M139" s="46" t="s">
        <v>1</v>
      </c>
      <c r="N139" s="47" t="s">
        <v>30</v>
      </c>
      <c r="O139" s="47" t="s">
        <v>220</v>
      </c>
      <c r="P139" s="47" t="s">
        <v>221</v>
      </c>
      <c r="Q139" s="47" t="s">
        <v>222</v>
      </c>
      <c r="R139" s="47" t="s">
        <v>223</v>
      </c>
      <c r="S139" s="47" t="s">
        <v>224</v>
      </c>
      <c r="T139" s="48" t="s">
        <v>225</v>
      </c>
    </row>
    <row r="140" spans="2:65" s="1" customFormat="1" ht="22.95" customHeight="1" x14ac:dyDescent="0.3">
      <c r="B140" s="24"/>
      <c r="C140" s="51" t="s">
        <v>191</v>
      </c>
      <c r="J140" s="102">
        <f>BK140</f>
        <v>93574.27</v>
      </c>
      <c r="L140" s="24"/>
      <c r="M140" s="49"/>
      <c r="N140" s="40"/>
      <c r="O140" s="40"/>
      <c r="P140" s="103">
        <f>P141+P220</f>
        <v>0</v>
      </c>
      <c r="Q140" s="40"/>
      <c r="R140" s="103">
        <f>R141+R220</f>
        <v>0</v>
      </c>
      <c r="S140" s="40"/>
      <c r="T140" s="104">
        <f>T141+T220</f>
        <v>0</v>
      </c>
      <c r="AT140" s="13" t="s">
        <v>57</v>
      </c>
      <c r="AU140" s="13" t="s">
        <v>192</v>
      </c>
      <c r="BK140" s="105">
        <f>BK141+BK220</f>
        <v>93574.27</v>
      </c>
    </row>
    <row r="141" spans="2:65" s="11" customFormat="1" ht="25.95" customHeight="1" x14ac:dyDescent="0.25">
      <c r="B141" s="106"/>
      <c r="D141" s="107" t="s">
        <v>57</v>
      </c>
      <c r="E141" s="108" t="s">
        <v>5084</v>
      </c>
      <c r="F141" s="108" t="s">
        <v>2940</v>
      </c>
      <c r="J141" s="109">
        <f>BK141</f>
        <v>50259.89</v>
      </c>
      <c r="L141" s="106"/>
      <c r="M141" s="110"/>
      <c r="N141" s="111"/>
      <c r="O141" s="111"/>
      <c r="P141" s="112">
        <f>P142+P159+P172+P191+P206+P210+P215</f>
        <v>0</v>
      </c>
      <c r="Q141" s="111"/>
      <c r="R141" s="112">
        <f>R142+R159+R172+R191+R206+R210+R215</f>
        <v>0</v>
      </c>
      <c r="S141" s="111"/>
      <c r="T141" s="113">
        <f>T142+T159+T172+T191+T206+T210+T215</f>
        <v>0</v>
      </c>
      <c r="AR141" s="107" t="s">
        <v>63</v>
      </c>
      <c r="AT141" s="114" t="s">
        <v>57</v>
      </c>
      <c r="AU141" s="114" t="s">
        <v>58</v>
      </c>
      <c r="AY141" s="107" t="s">
        <v>228</v>
      </c>
      <c r="BK141" s="115">
        <f>BK142+BK159+BK172+BK191+BK206+BK210+BK215</f>
        <v>50259.89</v>
      </c>
    </row>
    <row r="142" spans="2:65" s="11" customFormat="1" ht="22.95" customHeight="1" x14ac:dyDescent="0.25">
      <c r="B142" s="106"/>
      <c r="D142" s="107" t="s">
        <v>57</v>
      </c>
      <c r="E142" s="116" t="s">
        <v>1201</v>
      </c>
      <c r="F142" s="116" t="s">
        <v>2941</v>
      </c>
      <c r="J142" s="117">
        <f>BK142</f>
        <v>22204.85</v>
      </c>
      <c r="L142" s="106"/>
      <c r="M142" s="110"/>
      <c r="N142" s="111"/>
      <c r="O142" s="111"/>
      <c r="P142" s="112">
        <f>SUM(P143:P158)</f>
        <v>0</v>
      </c>
      <c r="Q142" s="111"/>
      <c r="R142" s="112">
        <f>SUM(R143:R158)</f>
        <v>0</v>
      </c>
      <c r="S142" s="111"/>
      <c r="T142" s="113">
        <f>SUM(T143:T158)</f>
        <v>0</v>
      </c>
      <c r="AR142" s="107" t="s">
        <v>63</v>
      </c>
      <c r="AT142" s="114" t="s">
        <v>57</v>
      </c>
      <c r="AU142" s="114" t="s">
        <v>63</v>
      </c>
      <c r="AY142" s="107" t="s">
        <v>228</v>
      </c>
      <c r="BK142" s="115">
        <f>SUM(BK143:BK158)</f>
        <v>22204.85</v>
      </c>
    </row>
    <row r="143" spans="2:65" s="1" customFormat="1" ht="24" customHeight="1" x14ac:dyDescent="0.2">
      <c r="B143" s="118"/>
      <c r="C143" s="119" t="s">
        <v>63</v>
      </c>
      <c r="D143" s="119" t="s">
        <v>231</v>
      </c>
      <c r="E143" s="120" t="s">
        <v>2943</v>
      </c>
      <c r="F143" s="121" t="s">
        <v>2944</v>
      </c>
      <c r="G143" s="122" t="s">
        <v>1194</v>
      </c>
      <c r="H143" s="123">
        <v>10</v>
      </c>
      <c r="I143" s="124">
        <v>40.229999999999997</v>
      </c>
      <c r="J143" s="124">
        <f t="shared" ref="J143:J158" si="0">ROUND(I143*H143,2)</f>
        <v>402.3</v>
      </c>
      <c r="K143" s="121" t="s">
        <v>1</v>
      </c>
      <c r="L143" s="24"/>
      <c r="M143" s="125" t="s">
        <v>1</v>
      </c>
      <c r="N143" s="126" t="s">
        <v>32</v>
      </c>
      <c r="O143" s="127">
        <v>0</v>
      </c>
      <c r="P143" s="127">
        <f t="shared" ref="P143:P158" si="1">O143*H143</f>
        <v>0</v>
      </c>
      <c r="Q143" s="127">
        <v>0</v>
      </c>
      <c r="R143" s="127">
        <f t="shared" ref="R143:R158" si="2">Q143*H143</f>
        <v>0</v>
      </c>
      <c r="S143" s="127">
        <v>0</v>
      </c>
      <c r="T143" s="128">
        <f t="shared" ref="T143:T158" si="3">S143*H143</f>
        <v>0</v>
      </c>
      <c r="AR143" s="129" t="s">
        <v>235</v>
      </c>
      <c r="AT143" s="129" t="s">
        <v>231</v>
      </c>
      <c r="AU143" s="129" t="s">
        <v>76</v>
      </c>
      <c r="AY143" s="13" t="s">
        <v>228</v>
      </c>
      <c r="BE143" s="130">
        <f t="shared" ref="BE143:BE158" si="4">IF(N143="základná",J143,0)</f>
        <v>0</v>
      </c>
      <c r="BF143" s="130">
        <f t="shared" ref="BF143:BF158" si="5">IF(N143="znížená",J143,0)</f>
        <v>402.3</v>
      </c>
      <c r="BG143" s="130">
        <f t="shared" ref="BG143:BG158" si="6">IF(N143="zákl. prenesená",J143,0)</f>
        <v>0</v>
      </c>
      <c r="BH143" s="130">
        <f t="shared" ref="BH143:BH158" si="7">IF(N143="zníž. prenesená",J143,0)</f>
        <v>0</v>
      </c>
      <c r="BI143" s="130">
        <f t="shared" ref="BI143:BI158" si="8">IF(N143="nulová",J143,0)</f>
        <v>0</v>
      </c>
      <c r="BJ143" s="13" t="s">
        <v>76</v>
      </c>
      <c r="BK143" s="130">
        <f t="shared" ref="BK143:BK158" si="9">ROUND(I143*H143,2)</f>
        <v>402.3</v>
      </c>
      <c r="BL143" s="13" t="s">
        <v>235</v>
      </c>
      <c r="BM143" s="129" t="s">
        <v>76</v>
      </c>
    </row>
    <row r="144" spans="2:65" s="1" customFormat="1" ht="24" customHeight="1" x14ac:dyDescent="0.2">
      <c r="B144" s="118"/>
      <c r="C144" s="119" t="s">
        <v>76</v>
      </c>
      <c r="D144" s="119" t="s">
        <v>231</v>
      </c>
      <c r="E144" s="120" t="s">
        <v>2945</v>
      </c>
      <c r="F144" s="121" t="s">
        <v>2946</v>
      </c>
      <c r="G144" s="122" t="s">
        <v>1194</v>
      </c>
      <c r="H144" s="123">
        <v>2</v>
      </c>
      <c r="I144" s="124">
        <v>38.479999999999997</v>
      </c>
      <c r="J144" s="124">
        <f t="shared" si="0"/>
        <v>76.959999999999994</v>
      </c>
      <c r="K144" s="121" t="s">
        <v>1</v>
      </c>
      <c r="L144" s="24"/>
      <c r="M144" s="125" t="s">
        <v>1</v>
      </c>
      <c r="N144" s="126" t="s">
        <v>32</v>
      </c>
      <c r="O144" s="127">
        <v>0</v>
      </c>
      <c r="P144" s="127">
        <f t="shared" si="1"/>
        <v>0</v>
      </c>
      <c r="Q144" s="127">
        <v>0</v>
      </c>
      <c r="R144" s="127">
        <f t="shared" si="2"/>
        <v>0</v>
      </c>
      <c r="S144" s="127">
        <v>0</v>
      </c>
      <c r="T144" s="128">
        <f t="shared" si="3"/>
        <v>0</v>
      </c>
      <c r="AR144" s="129" t="s">
        <v>235</v>
      </c>
      <c r="AT144" s="129" t="s">
        <v>231</v>
      </c>
      <c r="AU144" s="129" t="s">
        <v>76</v>
      </c>
      <c r="AY144" s="13" t="s">
        <v>228</v>
      </c>
      <c r="BE144" s="130">
        <f t="shared" si="4"/>
        <v>0</v>
      </c>
      <c r="BF144" s="130">
        <f t="shared" si="5"/>
        <v>76.959999999999994</v>
      </c>
      <c r="BG144" s="130">
        <f t="shared" si="6"/>
        <v>0</v>
      </c>
      <c r="BH144" s="130">
        <f t="shared" si="7"/>
        <v>0</v>
      </c>
      <c r="BI144" s="130">
        <f t="shared" si="8"/>
        <v>0</v>
      </c>
      <c r="BJ144" s="13" t="s">
        <v>76</v>
      </c>
      <c r="BK144" s="130">
        <f t="shared" si="9"/>
        <v>76.959999999999994</v>
      </c>
      <c r="BL144" s="13" t="s">
        <v>235</v>
      </c>
      <c r="BM144" s="129" t="s">
        <v>235</v>
      </c>
    </row>
    <row r="145" spans="2:65" s="1" customFormat="1" ht="24" customHeight="1" x14ac:dyDescent="0.2">
      <c r="B145" s="118"/>
      <c r="C145" s="119" t="s">
        <v>229</v>
      </c>
      <c r="D145" s="119" t="s">
        <v>231</v>
      </c>
      <c r="E145" s="120" t="s">
        <v>2947</v>
      </c>
      <c r="F145" s="121" t="s">
        <v>2948</v>
      </c>
      <c r="G145" s="122" t="s">
        <v>1194</v>
      </c>
      <c r="H145" s="123">
        <v>2</v>
      </c>
      <c r="I145" s="124">
        <v>97.92</v>
      </c>
      <c r="J145" s="124">
        <f t="shared" si="0"/>
        <v>195.84</v>
      </c>
      <c r="K145" s="121" t="s">
        <v>1</v>
      </c>
      <c r="L145" s="24"/>
      <c r="M145" s="125" t="s">
        <v>1</v>
      </c>
      <c r="N145" s="126" t="s">
        <v>32</v>
      </c>
      <c r="O145" s="127">
        <v>0</v>
      </c>
      <c r="P145" s="127">
        <f t="shared" si="1"/>
        <v>0</v>
      </c>
      <c r="Q145" s="127">
        <v>0</v>
      </c>
      <c r="R145" s="127">
        <f t="shared" si="2"/>
        <v>0</v>
      </c>
      <c r="S145" s="127">
        <v>0</v>
      </c>
      <c r="T145" s="128">
        <f t="shared" si="3"/>
        <v>0</v>
      </c>
      <c r="AR145" s="129" t="s">
        <v>235</v>
      </c>
      <c r="AT145" s="129" t="s">
        <v>231</v>
      </c>
      <c r="AU145" s="129" t="s">
        <v>76</v>
      </c>
      <c r="AY145" s="13" t="s">
        <v>228</v>
      </c>
      <c r="BE145" s="130">
        <f t="shared" si="4"/>
        <v>0</v>
      </c>
      <c r="BF145" s="130">
        <f t="shared" si="5"/>
        <v>195.84</v>
      </c>
      <c r="BG145" s="130">
        <f t="shared" si="6"/>
        <v>0</v>
      </c>
      <c r="BH145" s="130">
        <f t="shared" si="7"/>
        <v>0</v>
      </c>
      <c r="BI145" s="130">
        <f t="shared" si="8"/>
        <v>0</v>
      </c>
      <c r="BJ145" s="13" t="s">
        <v>76</v>
      </c>
      <c r="BK145" s="130">
        <f t="shared" si="9"/>
        <v>195.84</v>
      </c>
      <c r="BL145" s="13" t="s">
        <v>235</v>
      </c>
      <c r="BM145" s="129" t="s">
        <v>240</v>
      </c>
    </row>
    <row r="146" spans="2:65" s="1" customFormat="1" ht="24" customHeight="1" x14ac:dyDescent="0.2">
      <c r="B146" s="118"/>
      <c r="C146" s="119" t="s">
        <v>235</v>
      </c>
      <c r="D146" s="119" t="s">
        <v>231</v>
      </c>
      <c r="E146" s="120" t="s">
        <v>2949</v>
      </c>
      <c r="F146" s="121" t="s">
        <v>2950</v>
      </c>
      <c r="G146" s="122" t="s">
        <v>1194</v>
      </c>
      <c r="H146" s="123">
        <v>2</v>
      </c>
      <c r="I146" s="124">
        <v>145.35</v>
      </c>
      <c r="J146" s="124">
        <f t="shared" si="0"/>
        <v>290.7</v>
      </c>
      <c r="K146" s="121" t="s">
        <v>1</v>
      </c>
      <c r="L146" s="24"/>
      <c r="M146" s="125" t="s">
        <v>1</v>
      </c>
      <c r="N146" s="126" t="s">
        <v>32</v>
      </c>
      <c r="O146" s="127">
        <v>0</v>
      </c>
      <c r="P146" s="127">
        <f t="shared" si="1"/>
        <v>0</v>
      </c>
      <c r="Q146" s="127">
        <v>0</v>
      </c>
      <c r="R146" s="127">
        <f t="shared" si="2"/>
        <v>0</v>
      </c>
      <c r="S146" s="127">
        <v>0</v>
      </c>
      <c r="T146" s="128">
        <f t="shared" si="3"/>
        <v>0</v>
      </c>
      <c r="AR146" s="129" t="s">
        <v>235</v>
      </c>
      <c r="AT146" s="129" t="s">
        <v>231</v>
      </c>
      <c r="AU146" s="129" t="s">
        <v>76</v>
      </c>
      <c r="AY146" s="13" t="s">
        <v>228</v>
      </c>
      <c r="BE146" s="130">
        <f t="shared" si="4"/>
        <v>0</v>
      </c>
      <c r="BF146" s="130">
        <f t="shared" si="5"/>
        <v>290.7</v>
      </c>
      <c r="BG146" s="130">
        <f t="shared" si="6"/>
        <v>0</v>
      </c>
      <c r="BH146" s="130">
        <f t="shared" si="7"/>
        <v>0</v>
      </c>
      <c r="BI146" s="130">
        <f t="shared" si="8"/>
        <v>0</v>
      </c>
      <c r="BJ146" s="13" t="s">
        <v>76</v>
      </c>
      <c r="BK146" s="130">
        <f t="shared" si="9"/>
        <v>290.7</v>
      </c>
      <c r="BL146" s="13" t="s">
        <v>235</v>
      </c>
      <c r="BM146" s="129" t="s">
        <v>244</v>
      </c>
    </row>
    <row r="147" spans="2:65" s="1" customFormat="1" ht="24" customHeight="1" x14ac:dyDescent="0.2">
      <c r="B147" s="118"/>
      <c r="C147" s="119" t="s">
        <v>245</v>
      </c>
      <c r="D147" s="119" t="s">
        <v>231</v>
      </c>
      <c r="E147" s="120" t="s">
        <v>2951</v>
      </c>
      <c r="F147" s="121" t="s">
        <v>2952</v>
      </c>
      <c r="G147" s="122" t="s">
        <v>1194</v>
      </c>
      <c r="H147" s="123">
        <v>16</v>
      </c>
      <c r="I147" s="124">
        <v>42.62</v>
      </c>
      <c r="J147" s="124">
        <f t="shared" si="0"/>
        <v>681.92</v>
      </c>
      <c r="K147" s="121" t="s">
        <v>1</v>
      </c>
      <c r="L147" s="24"/>
      <c r="M147" s="125" t="s">
        <v>1</v>
      </c>
      <c r="N147" s="126" t="s">
        <v>32</v>
      </c>
      <c r="O147" s="127">
        <v>0</v>
      </c>
      <c r="P147" s="127">
        <f t="shared" si="1"/>
        <v>0</v>
      </c>
      <c r="Q147" s="127">
        <v>0</v>
      </c>
      <c r="R147" s="127">
        <f t="shared" si="2"/>
        <v>0</v>
      </c>
      <c r="S147" s="127">
        <v>0</v>
      </c>
      <c r="T147" s="128">
        <f t="shared" si="3"/>
        <v>0</v>
      </c>
      <c r="AR147" s="129" t="s">
        <v>235</v>
      </c>
      <c r="AT147" s="129" t="s">
        <v>231</v>
      </c>
      <c r="AU147" s="129" t="s">
        <v>76</v>
      </c>
      <c r="AY147" s="13" t="s">
        <v>228</v>
      </c>
      <c r="BE147" s="130">
        <f t="shared" si="4"/>
        <v>0</v>
      </c>
      <c r="BF147" s="130">
        <f t="shared" si="5"/>
        <v>681.92</v>
      </c>
      <c r="BG147" s="130">
        <f t="shared" si="6"/>
        <v>0</v>
      </c>
      <c r="BH147" s="130">
        <f t="shared" si="7"/>
        <v>0</v>
      </c>
      <c r="BI147" s="130">
        <f t="shared" si="8"/>
        <v>0</v>
      </c>
      <c r="BJ147" s="13" t="s">
        <v>76</v>
      </c>
      <c r="BK147" s="130">
        <f t="shared" si="9"/>
        <v>681.92</v>
      </c>
      <c r="BL147" s="13" t="s">
        <v>235</v>
      </c>
      <c r="BM147" s="129" t="s">
        <v>248</v>
      </c>
    </row>
    <row r="148" spans="2:65" s="1" customFormat="1" ht="24" customHeight="1" x14ac:dyDescent="0.2">
      <c r="B148" s="118"/>
      <c r="C148" s="119" t="s">
        <v>240</v>
      </c>
      <c r="D148" s="119" t="s">
        <v>231</v>
      </c>
      <c r="E148" s="120" t="s">
        <v>4236</v>
      </c>
      <c r="F148" s="121" t="s">
        <v>4237</v>
      </c>
      <c r="G148" s="122" t="s">
        <v>1194</v>
      </c>
      <c r="H148" s="123">
        <v>0</v>
      </c>
      <c r="I148" s="124">
        <v>176.04</v>
      </c>
      <c r="J148" s="124">
        <f t="shared" si="0"/>
        <v>0</v>
      </c>
      <c r="K148" s="121" t="s">
        <v>1</v>
      </c>
      <c r="L148" s="24"/>
      <c r="M148" s="125" t="s">
        <v>1</v>
      </c>
      <c r="N148" s="126" t="s">
        <v>32</v>
      </c>
      <c r="O148" s="127">
        <v>0</v>
      </c>
      <c r="P148" s="127">
        <f t="shared" si="1"/>
        <v>0</v>
      </c>
      <c r="Q148" s="127">
        <v>0</v>
      </c>
      <c r="R148" s="127">
        <f t="shared" si="2"/>
        <v>0</v>
      </c>
      <c r="S148" s="127">
        <v>0</v>
      </c>
      <c r="T148" s="128">
        <f t="shared" si="3"/>
        <v>0</v>
      </c>
      <c r="AR148" s="129" t="s">
        <v>235</v>
      </c>
      <c r="AT148" s="129" t="s">
        <v>231</v>
      </c>
      <c r="AU148" s="129" t="s">
        <v>76</v>
      </c>
      <c r="AY148" s="13" t="s">
        <v>228</v>
      </c>
      <c r="BE148" s="130">
        <f t="shared" si="4"/>
        <v>0</v>
      </c>
      <c r="BF148" s="130">
        <f t="shared" si="5"/>
        <v>0</v>
      </c>
      <c r="BG148" s="130">
        <f t="shared" si="6"/>
        <v>0</v>
      </c>
      <c r="BH148" s="130">
        <f t="shared" si="7"/>
        <v>0</v>
      </c>
      <c r="BI148" s="130">
        <f t="shared" si="8"/>
        <v>0</v>
      </c>
      <c r="BJ148" s="13" t="s">
        <v>76</v>
      </c>
      <c r="BK148" s="130">
        <f t="shared" si="9"/>
        <v>0</v>
      </c>
      <c r="BL148" s="13" t="s">
        <v>235</v>
      </c>
      <c r="BM148" s="129" t="s">
        <v>251</v>
      </c>
    </row>
    <row r="149" spans="2:65" s="1" customFormat="1" ht="24" customHeight="1" x14ac:dyDescent="0.2">
      <c r="B149" s="118"/>
      <c r="C149" s="119" t="s">
        <v>252</v>
      </c>
      <c r="D149" s="119" t="s">
        <v>231</v>
      </c>
      <c r="E149" s="120" t="s">
        <v>2953</v>
      </c>
      <c r="F149" s="121" t="s">
        <v>2954</v>
      </c>
      <c r="G149" s="122" t="s">
        <v>1194</v>
      </c>
      <c r="H149" s="123">
        <v>5</v>
      </c>
      <c r="I149" s="124">
        <v>176.04</v>
      </c>
      <c r="J149" s="124">
        <f t="shared" si="0"/>
        <v>880.2</v>
      </c>
      <c r="K149" s="121" t="s">
        <v>1</v>
      </c>
      <c r="L149" s="24"/>
      <c r="M149" s="125" t="s">
        <v>1</v>
      </c>
      <c r="N149" s="126" t="s">
        <v>32</v>
      </c>
      <c r="O149" s="127">
        <v>0</v>
      </c>
      <c r="P149" s="127">
        <f t="shared" si="1"/>
        <v>0</v>
      </c>
      <c r="Q149" s="127">
        <v>0</v>
      </c>
      <c r="R149" s="127">
        <f t="shared" si="2"/>
        <v>0</v>
      </c>
      <c r="S149" s="127">
        <v>0</v>
      </c>
      <c r="T149" s="128">
        <f t="shared" si="3"/>
        <v>0</v>
      </c>
      <c r="AR149" s="129" t="s">
        <v>235</v>
      </c>
      <c r="AT149" s="129" t="s">
        <v>231</v>
      </c>
      <c r="AU149" s="129" t="s">
        <v>76</v>
      </c>
      <c r="AY149" s="13" t="s">
        <v>228</v>
      </c>
      <c r="BE149" s="130">
        <f t="shared" si="4"/>
        <v>0</v>
      </c>
      <c r="BF149" s="130">
        <f t="shared" si="5"/>
        <v>880.2</v>
      </c>
      <c r="BG149" s="130">
        <f t="shared" si="6"/>
        <v>0</v>
      </c>
      <c r="BH149" s="130">
        <f t="shared" si="7"/>
        <v>0</v>
      </c>
      <c r="BI149" s="130">
        <f t="shared" si="8"/>
        <v>0</v>
      </c>
      <c r="BJ149" s="13" t="s">
        <v>76</v>
      </c>
      <c r="BK149" s="130">
        <f t="shared" si="9"/>
        <v>880.2</v>
      </c>
      <c r="BL149" s="13" t="s">
        <v>235</v>
      </c>
      <c r="BM149" s="129" t="s">
        <v>255</v>
      </c>
    </row>
    <row r="150" spans="2:65" s="1" customFormat="1" ht="16.5" customHeight="1" x14ac:dyDescent="0.2">
      <c r="B150" s="118"/>
      <c r="C150" s="119" t="s">
        <v>244</v>
      </c>
      <c r="D150" s="119" t="s">
        <v>231</v>
      </c>
      <c r="E150" s="120" t="s">
        <v>2955</v>
      </c>
      <c r="F150" s="121" t="s">
        <v>2956</v>
      </c>
      <c r="G150" s="122" t="s">
        <v>1194</v>
      </c>
      <c r="H150" s="123">
        <v>5</v>
      </c>
      <c r="I150" s="124">
        <v>176.81</v>
      </c>
      <c r="J150" s="124">
        <f t="shared" si="0"/>
        <v>884.05</v>
      </c>
      <c r="K150" s="121" t="s">
        <v>1</v>
      </c>
      <c r="L150" s="24"/>
      <c r="M150" s="125" t="s">
        <v>1</v>
      </c>
      <c r="N150" s="126" t="s">
        <v>32</v>
      </c>
      <c r="O150" s="127">
        <v>0</v>
      </c>
      <c r="P150" s="127">
        <f t="shared" si="1"/>
        <v>0</v>
      </c>
      <c r="Q150" s="127">
        <v>0</v>
      </c>
      <c r="R150" s="127">
        <f t="shared" si="2"/>
        <v>0</v>
      </c>
      <c r="S150" s="127">
        <v>0</v>
      </c>
      <c r="T150" s="128">
        <f t="shared" si="3"/>
        <v>0</v>
      </c>
      <c r="AR150" s="129" t="s">
        <v>235</v>
      </c>
      <c r="AT150" s="129" t="s">
        <v>231</v>
      </c>
      <c r="AU150" s="129" t="s">
        <v>76</v>
      </c>
      <c r="AY150" s="13" t="s">
        <v>228</v>
      </c>
      <c r="BE150" s="130">
        <f t="shared" si="4"/>
        <v>0</v>
      </c>
      <c r="BF150" s="130">
        <f t="shared" si="5"/>
        <v>884.05</v>
      </c>
      <c r="BG150" s="130">
        <f t="shared" si="6"/>
        <v>0</v>
      </c>
      <c r="BH150" s="130">
        <f t="shared" si="7"/>
        <v>0</v>
      </c>
      <c r="BI150" s="130">
        <f t="shared" si="8"/>
        <v>0</v>
      </c>
      <c r="BJ150" s="13" t="s">
        <v>76</v>
      </c>
      <c r="BK150" s="130">
        <f t="shared" si="9"/>
        <v>884.05</v>
      </c>
      <c r="BL150" s="13" t="s">
        <v>235</v>
      </c>
      <c r="BM150" s="129" t="s">
        <v>258</v>
      </c>
    </row>
    <row r="151" spans="2:65" s="1" customFormat="1" ht="24" customHeight="1" x14ac:dyDescent="0.2">
      <c r="B151" s="118"/>
      <c r="C151" s="119" t="s">
        <v>259</v>
      </c>
      <c r="D151" s="119" t="s">
        <v>231</v>
      </c>
      <c r="E151" s="120" t="s">
        <v>2957</v>
      </c>
      <c r="F151" s="121" t="s">
        <v>2958</v>
      </c>
      <c r="G151" s="122" t="s">
        <v>1194</v>
      </c>
      <c r="H151" s="123">
        <v>2</v>
      </c>
      <c r="I151" s="124">
        <v>202.71</v>
      </c>
      <c r="J151" s="124">
        <f t="shared" si="0"/>
        <v>405.42</v>
      </c>
      <c r="K151" s="121" t="s">
        <v>1</v>
      </c>
      <c r="L151" s="24"/>
      <c r="M151" s="125" t="s">
        <v>1</v>
      </c>
      <c r="N151" s="126" t="s">
        <v>32</v>
      </c>
      <c r="O151" s="127">
        <v>0</v>
      </c>
      <c r="P151" s="127">
        <f t="shared" si="1"/>
        <v>0</v>
      </c>
      <c r="Q151" s="127">
        <v>0</v>
      </c>
      <c r="R151" s="127">
        <f t="shared" si="2"/>
        <v>0</v>
      </c>
      <c r="S151" s="127">
        <v>0</v>
      </c>
      <c r="T151" s="128">
        <f t="shared" si="3"/>
        <v>0</v>
      </c>
      <c r="AR151" s="129" t="s">
        <v>235</v>
      </c>
      <c r="AT151" s="129" t="s">
        <v>231</v>
      </c>
      <c r="AU151" s="129" t="s">
        <v>76</v>
      </c>
      <c r="AY151" s="13" t="s">
        <v>228</v>
      </c>
      <c r="BE151" s="130">
        <f t="shared" si="4"/>
        <v>0</v>
      </c>
      <c r="BF151" s="130">
        <f t="shared" si="5"/>
        <v>405.42</v>
      </c>
      <c r="BG151" s="130">
        <f t="shared" si="6"/>
        <v>0</v>
      </c>
      <c r="BH151" s="130">
        <f t="shared" si="7"/>
        <v>0</v>
      </c>
      <c r="BI151" s="130">
        <f t="shared" si="8"/>
        <v>0</v>
      </c>
      <c r="BJ151" s="13" t="s">
        <v>76</v>
      </c>
      <c r="BK151" s="130">
        <f t="shared" si="9"/>
        <v>405.42</v>
      </c>
      <c r="BL151" s="13" t="s">
        <v>235</v>
      </c>
      <c r="BM151" s="129" t="s">
        <v>262</v>
      </c>
    </row>
    <row r="152" spans="2:65" s="1" customFormat="1" ht="24" customHeight="1" x14ac:dyDescent="0.2">
      <c r="B152" s="118"/>
      <c r="C152" s="119" t="s">
        <v>248</v>
      </c>
      <c r="D152" s="119" t="s">
        <v>231</v>
      </c>
      <c r="E152" s="120" t="s">
        <v>2959</v>
      </c>
      <c r="F152" s="121" t="s">
        <v>2960</v>
      </c>
      <c r="G152" s="122" t="s">
        <v>1194</v>
      </c>
      <c r="H152" s="123">
        <v>2</v>
      </c>
      <c r="I152" s="124">
        <v>58.05</v>
      </c>
      <c r="J152" s="124">
        <f t="shared" si="0"/>
        <v>116.1</v>
      </c>
      <c r="K152" s="121" t="s">
        <v>1</v>
      </c>
      <c r="L152" s="24"/>
      <c r="M152" s="125" t="s">
        <v>1</v>
      </c>
      <c r="N152" s="126" t="s">
        <v>32</v>
      </c>
      <c r="O152" s="127">
        <v>0</v>
      </c>
      <c r="P152" s="127">
        <f t="shared" si="1"/>
        <v>0</v>
      </c>
      <c r="Q152" s="127">
        <v>0</v>
      </c>
      <c r="R152" s="127">
        <f t="shared" si="2"/>
        <v>0</v>
      </c>
      <c r="S152" s="127">
        <v>0</v>
      </c>
      <c r="T152" s="128">
        <f t="shared" si="3"/>
        <v>0</v>
      </c>
      <c r="AR152" s="129" t="s">
        <v>235</v>
      </c>
      <c r="AT152" s="129" t="s">
        <v>231</v>
      </c>
      <c r="AU152" s="129" t="s">
        <v>76</v>
      </c>
      <c r="AY152" s="13" t="s">
        <v>228</v>
      </c>
      <c r="BE152" s="130">
        <f t="shared" si="4"/>
        <v>0</v>
      </c>
      <c r="BF152" s="130">
        <f t="shared" si="5"/>
        <v>116.1</v>
      </c>
      <c r="BG152" s="130">
        <f t="shared" si="6"/>
        <v>0</v>
      </c>
      <c r="BH152" s="130">
        <f t="shared" si="7"/>
        <v>0</v>
      </c>
      <c r="BI152" s="130">
        <f t="shared" si="8"/>
        <v>0</v>
      </c>
      <c r="BJ152" s="13" t="s">
        <v>76</v>
      </c>
      <c r="BK152" s="130">
        <f t="shared" si="9"/>
        <v>116.1</v>
      </c>
      <c r="BL152" s="13" t="s">
        <v>235</v>
      </c>
      <c r="BM152" s="129" t="s">
        <v>7</v>
      </c>
    </row>
    <row r="153" spans="2:65" s="1" customFormat="1" ht="24" customHeight="1" x14ac:dyDescent="0.2">
      <c r="B153" s="118"/>
      <c r="C153" s="119" t="s">
        <v>265</v>
      </c>
      <c r="D153" s="119" t="s">
        <v>231</v>
      </c>
      <c r="E153" s="120" t="s">
        <v>4238</v>
      </c>
      <c r="F153" s="121" t="s">
        <v>4239</v>
      </c>
      <c r="G153" s="122" t="s">
        <v>1194</v>
      </c>
      <c r="H153" s="123">
        <v>2</v>
      </c>
      <c r="I153" s="124">
        <v>2554.1999999999998</v>
      </c>
      <c r="J153" s="124">
        <f t="shared" si="0"/>
        <v>5108.3999999999996</v>
      </c>
      <c r="K153" s="121" t="s">
        <v>1</v>
      </c>
      <c r="L153" s="24"/>
      <c r="M153" s="125" t="s">
        <v>1</v>
      </c>
      <c r="N153" s="126" t="s">
        <v>32</v>
      </c>
      <c r="O153" s="127">
        <v>0</v>
      </c>
      <c r="P153" s="127">
        <f t="shared" si="1"/>
        <v>0</v>
      </c>
      <c r="Q153" s="127">
        <v>0</v>
      </c>
      <c r="R153" s="127">
        <f t="shared" si="2"/>
        <v>0</v>
      </c>
      <c r="S153" s="127">
        <v>0</v>
      </c>
      <c r="T153" s="128">
        <f t="shared" si="3"/>
        <v>0</v>
      </c>
      <c r="AR153" s="129" t="s">
        <v>235</v>
      </c>
      <c r="AT153" s="129" t="s">
        <v>231</v>
      </c>
      <c r="AU153" s="129" t="s">
        <v>76</v>
      </c>
      <c r="AY153" s="13" t="s">
        <v>228</v>
      </c>
      <c r="BE153" s="130">
        <f t="shared" si="4"/>
        <v>0</v>
      </c>
      <c r="BF153" s="130">
        <f t="shared" si="5"/>
        <v>5108.3999999999996</v>
      </c>
      <c r="BG153" s="130">
        <f t="shared" si="6"/>
        <v>0</v>
      </c>
      <c r="BH153" s="130">
        <f t="shared" si="7"/>
        <v>0</v>
      </c>
      <c r="BI153" s="130">
        <f t="shared" si="8"/>
        <v>0</v>
      </c>
      <c r="BJ153" s="13" t="s">
        <v>76</v>
      </c>
      <c r="BK153" s="130">
        <f t="shared" si="9"/>
        <v>5108.3999999999996</v>
      </c>
      <c r="BL153" s="13" t="s">
        <v>235</v>
      </c>
      <c r="BM153" s="129" t="s">
        <v>268</v>
      </c>
    </row>
    <row r="154" spans="2:65" s="1" customFormat="1" ht="36" customHeight="1" x14ac:dyDescent="0.2">
      <c r="B154" s="118"/>
      <c r="C154" s="119" t="s">
        <v>251</v>
      </c>
      <c r="D154" s="119" t="s">
        <v>231</v>
      </c>
      <c r="E154" s="120" t="s">
        <v>5085</v>
      </c>
      <c r="F154" s="121" t="s">
        <v>5086</v>
      </c>
      <c r="G154" s="122" t="s">
        <v>1194</v>
      </c>
      <c r="H154" s="123">
        <v>1</v>
      </c>
      <c r="I154" s="124">
        <v>11610</v>
      </c>
      <c r="J154" s="124">
        <f t="shared" si="0"/>
        <v>11610</v>
      </c>
      <c r="K154" s="121" t="s">
        <v>1</v>
      </c>
      <c r="L154" s="24"/>
      <c r="M154" s="125" t="s">
        <v>1</v>
      </c>
      <c r="N154" s="126" t="s">
        <v>32</v>
      </c>
      <c r="O154" s="127">
        <v>0</v>
      </c>
      <c r="P154" s="127">
        <f t="shared" si="1"/>
        <v>0</v>
      </c>
      <c r="Q154" s="127">
        <v>0</v>
      </c>
      <c r="R154" s="127">
        <f t="shared" si="2"/>
        <v>0</v>
      </c>
      <c r="S154" s="127">
        <v>0</v>
      </c>
      <c r="T154" s="128">
        <f t="shared" si="3"/>
        <v>0</v>
      </c>
      <c r="AR154" s="129" t="s">
        <v>235</v>
      </c>
      <c r="AT154" s="129" t="s">
        <v>231</v>
      </c>
      <c r="AU154" s="129" t="s">
        <v>76</v>
      </c>
      <c r="AY154" s="13" t="s">
        <v>228</v>
      </c>
      <c r="BE154" s="130">
        <f t="shared" si="4"/>
        <v>0</v>
      </c>
      <c r="BF154" s="130">
        <f t="shared" si="5"/>
        <v>11610</v>
      </c>
      <c r="BG154" s="130">
        <f t="shared" si="6"/>
        <v>0</v>
      </c>
      <c r="BH154" s="130">
        <f t="shared" si="7"/>
        <v>0</v>
      </c>
      <c r="BI154" s="130">
        <f t="shared" si="8"/>
        <v>0</v>
      </c>
      <c r="BJ154" s="13" t="s">
        <v>76</v>
      </c>
      <c r="BK154" s="130">
        <f t="shared" si="9"/>
        <v>11610</v>
      </c>
      <c r="BL154" s="13" t="s">
        <v>235</v>
      </c>
      <c r="BM154" s="129" t="s">
        <v>272</v>
      </c>
    </row>
    <row r="155" spans="2:65" s="1" customFormat="1" ht="16.5" customHeight="1" x14ac:dyDescent="0.2">
      <c r="B155" s="118"/>
      <c r="C155" s="119" t="s">
        <v>273</v>
      </c>
      <c r="D155" s="119" t="s">
        <v>231</v>
      </c>
      <c r="E155" s="120" t="s">
        <v>2965</v>
      </c>
      <c r="F155" s="121" t="s">
        <v>2966</v>
      </c>
      <c r="G155" s="122" t="s">
        <v>1194</v>
      </c>
      <c r="H155" s="123">
        <v>4</v>
      </c>
      <c r="I155" s="124">
        <v>183.44</v>
      </c>
      <c r="J155" s="124">
        <f t="shared" si="0"/>
        <v>733.76</v>
      </c>
      <c r="K155" s="121" t="s">
        <v>1</v>
      </c>
      <c r="L155" s="24"/>
      <c r="M155" s="125" t="s">
        <v>1</v>
      </c>
      <c r="N155" s="126" t="s">
        <v>32</v>
      </c>
      <c r="O155" s="127">
        <v>0</v>
      </c>
      <c r="P155" s="127">
        <f t="shared" si="1"/>
        <v>0</v>
      </c>
      <c r="Q155" s="127">
        <v>0</v>
      </c>
      <c r="R155" s="127">
        <f t="shared" si="2"/>
        <v>0</v>
      </c>
      <c r="S155" s="127">
        <v>0</v>
      </c>
      <c r="T155" s="128">
        <f t="shared" si="3"/>
        <v>0</v>
      </c>
      <c r="AR155" s="129" t="s">
        <v>235</v>
      </c>
      <c r="AT155" s="129" t="s">
        <v>231</v>
      </c>
      <c r="AU155" s="129" t="s">
        <v>76</v>
      </c>
      <c r="AY155" s="13" t="s">
        <v>228</v>
      </c>
      <c r="BE155" s="130">
        <f t="shared" si="4"/>
        <v>0</v>
      </c>
      <c r="BF155" s="130">
        <f t="shared" si="5"/>
        <v>733.76</v>
      </c>
      <c r="BG155" s="130">
        <f t="shared" si="6"/>
        <v>0</v>
      </c>
      <c r="BH155" s="130">
        <f t="shared" si="7"/>
        <v>0</v>
      </c>
      <c r="BI155" s="130">
        <f t="shared" si="8"/>
        <v>0</v>
      </c>
      <c r="BJ155" s="13" t="s">
        <v>76</v>
      </c>
      <c r="BK155" s="130">
        <f t="shared" si="9"/>
        <v>733.76</v>
      </c>
      <c r="BL155" s="13" t="s">
        <v>235</v>
      </c>
      <c r="BM155" s="129" t="s">
        <v>276</v>
      </c>
    </row>
    <row r="156" spans="2:65" s="1" customFormat="1" ht="16.5" customHeight="1" x14ac:dyDescent="0.2">
      <c r="B156" s="118"/>
      <c r="C156" s="119" t="s">
        <v>255</v>
      </c>
      <c r="D156" s="119" t="s">
        <v>231</v>
      </c>
      <c r="E156" s="120" t="s">
        <v>2967</v>
      </c>
      <c r="F156" s="121" t="s">
        <v>2968</v>
      </c>
      <c r="G156" s="122" t="s">
        <v>1194</v>
      </c>
      <c r="H156" s="123">
        <v>16</v>
      </c>
      <c r="I156" s="124">
        <v>4.18</v>
      </c>
      <c r="J156" s="124">
        <f t="shared" si="0"/>
        <v>66.88</v>
      </c>
      <c r="K156" s="121" t="s">
        <v>1</v>
      </c>
      <c r="L156" s="24"/>
      <c r="M156" s="125" t="s">
        <v>1</v>
      </c>
      <c r="N156" s="126" t="s">
        <v>32</v>
      </c>
      <c r="O156" s="127">
        <v>0</v>
      </c>
      <c r="P156" s="127">
        <f t="shared" si="1"/>
        <v>0</v>
      </c>
      <c r="Q156" s="127">
        <v>0</v>
      </c>
      <c r="R156" s="127">
        <f t="shared" si="2"/>
        <v>0</v>
      </c>
      <c r="S156" s="127">
        <v>0</v>
      </c>
      <c r="T156" s="128">
        <f t="shared" si="3"/>
        <v>0</v>
      </c>
      <c r="AR156" s="129" t="s">
        <v>235</v>
      </c>
      <c r="AT156" s="129" t="s">
        <v>231</v>
      </c>
      <c r="AU156" s="129" t="s">
        <v>76</v>
      </c>
      <c r="AY156" s="13" t="s">
        <v>228</v>
      </c>
      <c r="BE156" s="130">
        <f t="shared" si="4"/>
        <v>0</v>
      </c>
      <c r="BF156" s="130">
        <f t="shared" si="5"/>
        <v>66.88</v>
      </c>
      <c r="BG156" s="130">
        <f t="shared" si="6"/>
        <v>0</v>
      </c>
      <c r="BH156" s="130">
        <f t="shared" si="7"/>
        <v>0</v>
      </c>
      <c r="BI156" s="130">
        <f t="shared" si="8"/>
        <v>0</v>
      </c>
      <c r="BJ156" s="13" t="s">
        <v>76</v>
      </c>
      <c r="BK156" s="130">
        <f t="shared" si="9"/>
        <v>66.88</v>
      </c>
      <c r="BL156" s="13" t="s">
        <v>235</v>
      </c>
      <c r="BM156" s="129" t="s">
        <v>280</v>
      </c>
    </row>
    <row r="157" spans="2:65" s="1" customFormat="1" ht="16.5" customHeight="1" x14ac:dyDescent="0.2">
      <c r="B157" s="118"/>
      <c r="C157" s="119" t="s">
        <v>281</v>
      </c>
      <c r="D157" s="119" t="s">
        <v>231</v>
      </c>
      <c r="E157" s="120" t="s">
        <v>2969</v>
      </c>
      <c r="F157" s="121" t="s">
        <v>2970</v>
      </c>
      <c r="G157" s="122" t="s">
        <v>1194</v>
      </c>
      <c r="H157" s="123">
        <v>2</v>
      </c>
      <c r="I157" s="124">
        <v>189.24</v>
      </c>
      <c r="J157" s="124">
        <f t="shared" si="0"/>
        <v>378.48</v>
      </c>
      <c r="K157" s="121" t="s">
        <v>1</v>
      </c>
      <c r="L157" s="24"/>
      <c r="M157" s="125" t="s">
        <v>1</v>
      </c>
      <c r="N157" s="126" t="s">
        <v>32</v>
      </c>
      <c r="O157" s="127">
        <v>0</v>
      </c>
      <c r="P157" s="127">
        <f t="shared" si="1"/>
        <v>0</v>
      </c>
      <c r="Q157" s="127">
        <v>0</v>
      </c>
      <c r="R157" s="127">
        <f t="shared" si="2"/>
        <v>0</v>
      </c>
      <c r="S157" s="127">
        <v>0</v>
      </c>
      <c r="T157" s="128">
        <f t="shared" si="3"/>
        <v>0</v>
      </c>
      <c r="AR157" s="129" t="s">
        <v>235</v>
      </c>
      <c r="AT157" s="129" t="s">
        <v>231</v>
      </c>
      <c r="AU157" s="129" t="s">
        <v>76</v>
      </c>
      <c r="AY157" s="13" t="s">
        <v>228</v>
      </c>
      <c r="BE157" s="130">
        <f t="shared" si="4"/>
        <v>0</v>
      </c>
      <c r="BF157" s="130">
        <f t="shared" si="5"/>
        <v>378.48</v>
      </c>
      <c r="BG157" s="130">
        <f t="shared" si="6"/>
        <v>0</v>
      </c>
      <c r="BH157" s="130">
        <f t="shared" si="7"/>
        <v>0</v>
      </c>
      <c r="BI157" s="130">
        <f t="shared" si="8"/>
        <v>0</v>
      </c>
      <c r="BJ157" s="13" t="s">
        <v>76</v>
      </c>
      <c r="BK157" s="130">
        <f t="shared" si="9"/>
        <v>378.48</v>
      </c>
      <c r="BL157" s="13" t="s">
        <v>235</v>
      </c>
      <c r="BM157" s="129" t="s">
        <v>285</v>
      </c>
    </row>
    <row r="158" spans="2:65" s="1" customFormat="1" ht="16.5" customHeight="1" x14ac:dyDescent="0.2">
      <c r="B158" s="118"/>
      <c r="C158" s="119" t="s">
        <v>258</v>
      </c>
      <c r="D158" s="119" t="s">
        <v>231</v>
      </c>
      <c r="E158" s="120" t="s">
        <v>2971</v>
      </c>
      <c r="F158" s="121" t="s">
        <v>2972</v>
      </c>
      <c r="G158" s="122" t="s">
        <v>1194</v>
      </c>
      <c r="H158" s="123">
        <v>2</v>
      </c>
      <c r="I158" s="124">
        <v>186.92</v>
      </c>
      <c r="J158" s="124">
        <f t="shared" si="0"/>
        <v>373.84</v>
      </c>
      <c r="K158" s="121" t="s">
        <v>1</v>
      </c>
      <c r="L158" s="24"/>
      <c r="M158" s="125" t="s">
        <v>1</v>
      </c>
      <c r="N158" s="126" t="s">
        <v>32</v>
      </c>
      <c r="O158" s="127">
        <v>0</v>
      </c>
      <c r="P158" s="127">
        <f t="shared" si="1"/>
        <v>0</v>
      </c>
      <c r="Q158" s="127">
        <v>0</v>
      </c>
      <c r="R158" s="127">
        <f t="shared" si="2"/>
        <v>0</v>
      </c>
      <c r="S158" s="127">
        <v>0</v>
      </c>
      <c r="T158" s="128">
        <f t="shared" si="3"/>
        <v>0</v>
      </c>
      <c r="AR158" s="129" t="s">
        <v>235</v>
      </c>
      <c r="AT158" s="129" t="s">
        <v>231</v>
      </c>
      <c r="AU158" s="129" t="s">
        <v>76</v>
      </c>
      <c r="AY158" s="13" t="s">
        <v>228</v>
      </c>
      <c r="BE158" s="130">
        <f t="shared" si="4"/>
        <v>0</v>
      </c>
      <c r="BF158" s="130">
        <f t="shared" si="5"/>
        <v>373.84</v>
      </c>
      <c r="BG158" s="130">
        <f t="shared" si="6"/>
        <v>0</v>
      </c>
      <c r="BH158" s="130">
        <f t="shared" si="7"/>
        <v>0</v>
      </c>
      <c r="BI158" s="130">
        <f t="shared" si="8"/>
        <v>0</v>
      </c>
      <c r="BJ158" s="13" t="s">
        <v>76</v>
      </c>
      <c r="BK158" s="130">
        <f t="shared" si="9"/>
        <v>373.84</v>
      </c>
      <c r="BL158" s="13" t="s">
        <v>235</v>
      </c>
      <c r="BM158" s="129" t="s">
        <v>288</v>
      </c>
    </row>
    <row r="159" spans="2:65" s="11" customFormat="1" ht="22.95" customHeight="1" x14ac:dyDescent="0.25">
      <c r="B159" s="106"/>
      <c r="D159" s="107" t="s">
        <v>57</v>
      </c>
      <c r="E159" s="116" t="s">
        <v>1211</v>
      </c>
      <c r="F159" s="116" t="s">
        <v>2973</v>
      </c>
      <c r="J159" s="117">
        <f>BK159</f>
        <v>6330.01</v>
      </c>
      <c r="L159" s="106"/>
      <c r="M159" s="110"/>
      <c r="N159" s="111"/>
      <c r="O159" s="111"/>
      <c r="P159" s="112">
        <f>SUM(P160:P171)</f>
        <v>0</v>
      </c>
      <c r="Q159" s="111"/>
      <c r="R159" s="112">
        <f>SUM(R160:R171)</f>
        <v>0</v>
      </c>
      <c r="S159" s="111"/>
      <c r="T159" s="113">
        <f>SUM(T160:T171)</f>
        <v>0</v>
      </c>
      <c r="AR159" s="107" t="s">
        <v>63</v>
      </c>
      <c r="AT159" s="114" t="s">
        <v>57</v>
      </c>
      <c r="AU159" s="114" t="s">
        <v>63</v>
      </c>
      <c r="AY159" s="107" t="s">
        <v>228</v>
      </c>
      <c r="BK159" s="115">
        <f>SUM(BK160:BK171)</f>
        <v>6330.01</v>
      </c>
    </row>
    <row r="160" spans="2:65" s="1" customFormat="1" ht="16.5" customHeight="1" x14ac:dyDescent="0.2">
      <c r="B160" s="118"/>
      <c r="C160" s="119" t="s">
        <v>289</v>
      </c>
      <c r="D160" s="119" t="s">
        <v>231</v>
      </c>
      <c r="E160" s="120" t="s">
        <v>2974</v>
      </c>
      <c r="F160" s="121" t="s">
        <v>2975</v>
      </c>
      <c r="G160" s="122" t="s">
        <v>1194</v>
      </c>
      <c r="H160" s="123">
        <v>14</v>
      </c>
      <c r="I160" s="124">
        <v>8.36</v>
      </c>
      <c r="J160" s="124">
        <f t="shared" ref="J160:J171" si="10">ROUND(I160*H160,2)</f>
        <v>117.04</v>
      </c>
      <c r="K160" s="121" t="s">
        <v>1</v>
      </c>
      <c r="L160" s="24"/>
      <c r="M160" s="125" t="s">
        <v>1</v>
      </c>
      <c r="N160" s="126" t="s">
        <v>32</v>
      </c>
      <c r="O160" s="127">
        <v>0</v>
      </c>
      <c r="P160" s="127">
        <f t="shared" ref="P160:P171" si="11">O160*H160</f>
        <v>0</v>
      </c>
      <c r="Q160" s="127">
        <v>0</v>
      </c>
      <c r="R160" s="127">
        <f t="shared" ref="R160:R171" si="12">Q160*H160</f>
        <v>0</v>
      </c>
      <c r="S160" s="127">
        <v>0</v>
      </c>
      <c r="T160" s="128">
        <f t="shared" ref="T160:T171" si="13">S160*H160</f>
        <v>0</v>
      </c>
      <c r="AR160" s="129" t="s">
        <v>235</v>
      </c>
      <c r="AT160" s="129" t="s">
        <v>231</v>
      </c>
      <c r="AU160" s="129" t="s">
        <v>76</v>
      </c>
      <c r="AY160" s="13" t="s">
        <v>228</v>
      </c>
      <c r="BE160" s="130">
        <f t="shared" ref="BE160:BE171" si="14">IF(N160="základná",J160,0)</f>
        <v>0</v>
      </c>
      <c r="BF160" s="130">
        <f t="shared" ref="BF160:BF171" si="15">IF(N160="znížená",J160,0)</f>
        <v>117.04</v>
      </c>
      <c r="BG160" s="130">
        <f t="shared" ref="BG160:BG171" si="16">IF(N160="zákl. prenesená",J160,0)</f>
        <v>0</v>
      </c>
      <c r="BH160" s="130">
        <f t="shared" ref="BH160:BH171" si="17">IF(N160="zníž. prenesená",J160,0)</f>
        <v>0</v>
      </c>
      <c r="BI160" s="130">
        <f t="shared" ref="BI160:BI171" si="18">IF(N160="nulová",J160,0)</f>
        <v>0</v>
      </c>
      <c r="BJ160" s="13" t="s">
        <v>76</v>
      </c>
      <c r="BK160" s="130">
        <f t="shared" ref="BK160:BK171" si="19">ROUND(I160*H160,2)</f>
        <v>117.04</v>
      </c>
      <c r="BL160" s="13" t="s">
        <v>235</v>
      </c>
      <c r="BM160" s="129" t="s">
        <v>293</v>
      </c>
    </row>
    <row r="161" spans="2:65" s="1" customFormat="1" ht="16.5" customHeight="1" x14ac:dyDescent="0.2">
      <c r="B161" s="118"/>
      <c r="C161" s="119" t="s">
        <v>262</v>
      </c>
      <c r="D161" s="119" t="s">
        <v>231</v>
      </c>
      <c r="E161" s="120" t="s">
        <v>4242</v>
      </c>
      <c r="F161" s="121" t="s">
        <v>4243</v>
      </c>
      <c r="G161" s="122" t="s">
        <v>1194</v>
      </c>
      <c r="H161" s="123">
        <v>18</v>
      </c>
      <c r="I161" s="124">
        <v>11.15</v>
      </c>
      <c r="J161" s="124">
        <f t="shared" si="10"/>
        <v>200.7</v>
      </c>
      <c r="K161" s="121" t="s">
        <v>1</v>
      </c>
      <c r="L161" s="24"/>
      <c r="M161" s="125" t="s">
        <v>1</v>
      </c>
      <c r="N161" s="126" t="s">
        <v>32</v>
      </c>
      <c r="O161" s="127">
        <v>0</v>
      </c>
      <c r="P161" s="127">
        <f t="shared" si="11"/>
        <v>0</v>
      </c>
      <c r="Q161" s="127">
        <v>0</v>
      </c>
      <c r="R161" s="127">
        <f t="shared" si="12"/>
        <v>0</v>
      </c>
      <c r="S161" s="127">
        <v>0</v>
      </c>
      <c r="T161" s="128">
        <f t="shared" si="13"/>
        <v>0</v>
      </c>
      <c r="AR161" s="129" t="s">
        <v>235</v>
      </c>
      <c r="AT161" s="129" t="s">
        <v>231</v>
      </c>
      <c r="AU161" s="129" t="s">
        <v>76</v>
      </c>
      <c r="AY161" s="13" t="s">
        <v>228</v>
      </c>
      <c r="BE161" s="130">
        <f t="shared" si="14"/>
        <v>0</v>
      </c>
      <c r="BF161" s="130">
        <f t="shared" si="15"/>
        <v>200.7</v>
      </c>
      <c r="BG161" s="130">
        <f t="shared" si="16"/>
        <v>0</v>
      </c>
      <c r="BH161" s="130">
        <f t="shared" si="17"/>
        <v>0</v>
      </c>
      <c r="BI161" s="130">
        <f t="shared" si="18"/>
        <v>0</v>
      </c>
      <c r="BJ161" s="13" t="s">
        <v>76</v>
      </c>
      <c r="BK161" s="130">
        <f t="shared" si="19"/>
        <v>200.7</v>
      </c>
      <c r="BL161" s="13" t="s">
        <v>235</v>
      </c>
      <c r="BM161" s="129" t="s">
        <v>296</v>
      </c>
    </row>
    <row r="162" spans="2:65" s="1" customFormat="1" ht="16.5" customHeight="1" x14ac:dyDescent="0.2">
      <c r="B162" s="118"/>
      <c r="C162" s="119" t="s">
        <v>297</v>
      </c>
      <c r="D162" s="119" t="s">
        <v>231</v>
      </c>
      <c r="E162" s="120" t="s">
        <v>2978</v>
      </c>
      <c r="F162" s="121" t="s">
        <v>2979</v>
      </c>
      <c r="G162" s="122" t="s">
        <v>1194</v>
      </c>
      <c r="H162" s="123">
        <v>5</v>
      </c>
      <c r="I162" s="124">
        <v>11.15</v>
      </c>
      <c r="J162" s="124">
        <f t="shared" si="10"/>
        <v>55.75</v>
      </c>
      <c r="K162" s="121" t="s">
        <v>1</v>
      </c>
      <c r="L162" s="24"/>
      <c r="M162" s="125" t="s">
        <v>1</v>
      </c>
      <c r="N162" s="126" t="s">
        <v>32</v>
      </c>
      <c r="O162" s="127">
        <v>0</v>
      </c>
      <c r="P162" s="127">
        <f t="shared" si="11"/>
        <v>0</v>
      </c>
      <c r="Q162" s="127">
        <v>0</v>
      </c>
      <c r="R162" s="127">
        <f t="shared" si="12"/>
        <v>0</v>
      </c>
      <c r="S162" s="127">
        <v>0</v>
      </c>
      <c r="T162" s="128">
        <f t="shared" si="13"/>
        <v>0</v>
      </c>
      <c r="AR162" s="129" t="s">
        <v>235</v>
      </c>
      <c r="AT162" s="129" t="s">
        <v>231</v>
      </c>
      <c r="AU162" s="129" t="s">
        <v>76</v>
      </c>
      <c r="AY162" s="13" t="s">
        <v>228</v>
      </c>
      <c r="BE162" s="130">
        <f t="shared" si="14"/>
        <v>0</v>
      </c>
      <c r="BF162" s="130">
        <f t="shared" si="15"/>
        <v>55.75</v>
      </c>
      <c r="BG162" s="130">
        <f t="shared" si="16"/>
        <v>0</v>
      </c>
      <c r="BH162" s="130">
        <f t="shared" si="17"/>
        <v>0</v>
      </c>
      <c r="BI162" s="130">
        <f t="shared" si="18"/>
        <v>0</v>
      </c>
      <c r="BJ162" s="13" t="s">
        <v>76</v>
      </c>
      <c r="BK162" s="130">
        <f t="shared" si="19"/>
        <v>55.75</v>
      </c>
      <c r="BL162" s="13" t="s">
        <v>235</v>
      </c>
      <c r="BM162" s="129" t="s">
        <v>300</v>
      </c>
    </row>
    <row r="163" spans="2:65" s="1" customFormat="1" ht="16.5" customHeight="1" x14ac:dyDescent="0.2">
      <c r="B163" s="118"/>
      <c r="C163" s="119" t="s">
        <v>7</v>
      </c>
      <c r="D163" s="119" t="s">
        <v>231</v>
      </c>
      <c r="E163" s="120" t="s">
        <v>2980</v>
      </c>
      <c r="F163" s="121" t="s">
        <v>2981</v>
      </c>
      <c r="G163" s="122" t="s">
        <v>1194</v>
      </c>
      <c r="H163" s="123">
        <v>7</v>
      </c>
      <c r="I163" s="124">
        <v>20.9</v>
      </c>
      <c r="J163" s="124">
        <f t="shared" si="10"/>
        <v>146.30000000000001</v>
      </c>
      <c r="K163" s="121" t="s">
        <v>1</v>
      </c>
      <c r="L163" s="24"/>
      <c r="M163" s="125" t="s">
        <v>1</v>
      </c>
      <c r="N163" s="126" t="s">
        <v>32</v>
      </c>
      <c r="O163" s="127">
        <v>0</v>
      </c>
      <c r="P163" s="127">
        <f t="shared" si="11"/>
        <v>0</v>
      </c>
      <c r="Q163" s="127">
        <v>0</v>
      </c>
      <c r="R163" s="127">
        <f t="shared" si="12"/>
        <v>0</v>
      </c>
      <c r="S163" s="127">
        <v>0</v>
      </c>
      <c r="T163" s="128">
        <f t="shared" si="13"/>
        <v>0</v>
      </c>
      <c r="AR163" s="129" t="s">
        <v>235</v>
      </c>
      <c r="AT163" s="129" t="s">
        <v>231</v>
      </c>
      <c r="AU163" s="129" t="s">
        <v>76</v>
      </c>
      <c r="AY163" s="13" t="s">
        <v>228</v>
      </c>
      <c r="BE163" s="130">
        <f t="shared" si="14"/>
        <v>0</v>
      </c>
      <c r="BF163" s="130">
        <f t="shared" si="15"/>
        <v>146.30000000000001</v>
      </c>
      <c r="BG163" s="130">
        <f t="shared" si="16"/>
        <v>0</v>
      </c>
      <c r="BH163" s="130">
        <f t="shared" si="17"/>
        <v>0</v>
      </c>
      <c r="BI163" s="130">
        <f t="shared" si="18"/>
        <v>0</v>
      </c>
      <c r="BJ163" s="13" t="s">
        <v>76</v>
      </c>
      <c r="BK163" s="130">
        <f t="shared" si="19"/>
        <v>146.30000000000001</v>
      </c>
      <c r="BL163" s="13" t="s">
        <v>235</v>
      </c>
      <c r="BM163" s="129" t="s">
        <v>303</v>
      </c>
    </row>
    <row r="164" spans="2:65" s="1" customFormat="1" ht="16.5" customHeight="1" x14ac:dyDescent="0.2">
      <c r="B164" s="118"/>
      <c r="C164" s="119" t="s">
        <v>305</v>
      </c>
      <c r="D164" s="119" t="s">
        <v>231</v>
      </c>
      <c r="E164" s="120" t="s">
        <v>2982</v>
      </c>
      <c r="F164" s="121" t="s">
        <v>2983</v>
      </c>
      <c r="G164" s="122" t="s">
        <v>1194</v>
      </c>
      <c r="H164" s="123">
        <v>4</v>
      </c>
      <c r="I164" s="124">
        <v>11.61</v>
      </c>
      <c r="J164" s="124">
        <f t="shared" si="10"/>
        <v>46.44</v>
      </c>
      <c r="K164" s="121" t="s">
        <v>1</v>
      </c>
      <c r="L164" s="24"/>
      <c r="M164" s="125" t="s">
        <v>1</v>
      </c>
      <c r="N164" s="126" t="s">
        <v>32</v>
      </c>
      <c r="O164" s="127">
        <v>0</v>
      </c>
      <c r="P164" s="127">
        <f t="shared" si="11"/>
        <v>0</v>
      </c>
      <c r="Q164" s="127">
        <v>0</v>
      </c>
      <c r="R164" s="127">
        <f t="shared" si="12"/>
        <v>0</v>
      </c>
      <c r="S164" s="127">
        <v>0</v>
      </c>
      <c r="T164" s="128">
        <f t="shared" si="13"/>
        <v>0</v>
      </c>
      <c r="AR164" s="129" t="s">
        <v>235</v>
      </c>
      <c r="AT164" s="129" t="s">
        <v>231</v>
      </c>
      <c r="AU164" s="129" t="s">
        <v>76</v>
      </c>
      <c r="AY164" s="13" t="s">
        <v>228</v>
      </c>
      <c r="BE164" s="130">
        <f t="shared" si="14"/>
        <v>0</v>
      </c>
      <c r="BF164" s="130">
        <f t="shared" si="15"/>
        <v>46.44</v>
      </c>
      <c r="BG164" s="130">
        <f t="shared" si="16"/>
        <v>0</v>
      </c>
      <c r="BH164" s="130">
        <f t="shared" si="17"/>
        <v>0</v>
      </c>
      <c r="BI164" s="130">
        <f t="shared" si="18"/>
        <v>0</v>
      </c>
      <c r="BJ164" s="13" t="s">
        <v>76</v>
      </c>
      <c r="BK164" s="130">
        <f t="shared" si="19"/>
        <v>46.44</v>
      </c>
      <c r="BL164" s="13" t="s">
        <v>235</v>
      </c>
      <c r="BM164" s="129" t="s">
        <v>308</v>
      </c>
    </row>
    <row r="165" spans="2:65" s="1" customFormat="1" ht="16.5" customHeight="1" x14ac:dyDescent="0.2">
      <c r="B165" s="118"/>
      <c r="C165" s="119" t="s">
        <v>268</v>
      </c>
      <c r="D165" s="119" t="s">
        <v>231</v>
      </c>
      <c r="E165" s="120" t="s">
        <v>2984</v>
      </c>
      <c r="F165" s="121" t="s">
        <v>2985</v>
      </c>
      <c r="G165" s="122" t="s">
        <v>1194</v>
      </c>
      <c r="H165" s="123">
        <v>2</v>
      </c>
      <c r="I165" s="124">
        <v>11.61</v>
      </c>
      <c r="J165" s="124">
        <f t="shared" si="10"/>
        <v>23.22</v>
      </c>
      <c r="K165" s="121" t="s">
        <v>1</v>
      </c>
      <c r="L165" s="24"/>
      <c r="M165" s="125" t="s">
        <v>1</v>
      </c>
      <c r="N165" s="126" t="s">
        <v>32</v>
      </c>
      <c r="O165" s="127">
        <v>0</v>
      </c>
      <c r="P165" s="127">
        <f t="shared" si="11"/>
        <v>0</v>
      </c>
      <c r="Q165" s="127">
        <v>0</v>
      </c>
      <c r="R165" s="127">
        <f t="shared" si="12"/>
        <v>0</v>
      </c>
      <c r="S165" s="127">
        <v>0</v>
      </c>
      <c r="T165" s="128">
        <f t="shared" si="13"/>
        <v>0</v>
      </c>
      <c r="AR165" s="129" t="s">
        <v>235</v>
      </c>
      <c r="AT165" s="129" t="s">
        <v>231</v>
      </c>
      <c r="AU165" s="129" t="s">
        <v>76</v>
      </c>
      <c r="AY165" s="13" t="s">
        <v>228</v>
      </c>
      <c r="BE165" s="130">
        <f t="shared" si="14"/>
        <v>0</v>
      </c>
      <c r="BF165" s="130">
        <f t="shared" si="15"/>
        <v>23.22</v>
      </c>
      <c r="BG165" s="130">
        <f t="shared" si="16"/>
        <v>0</v>
      </c>
      <c r="BH165" s="130">
        <f t="shared" si="17"/>
        <v>0</v>
      </c>
      <c r="BI165" s="130">
        <f t="shared" si="18"/>
        <v>0</v>
      </c>
      <c r="BJ165" s="13" t="s">
        <v>76</v>
      </c>
      <c r="BK165" s="130">
        <f t="shared" si="19"/>
        <v>23.22</v>
      </c>
      <c r="BL165" s="13" t="s">
        <v>235</v>
      </c>
      <c r="BM165" s="129" t="s">
        <v>312</v>
      </c>
    </row>
    <row r="166" spans="2:65" s="1" customFormat="1" ht="16.5" customHeight="1" x14ac:dyDescent="0.2">
      <c r="B166" s="118"/>
      <c r="C166" s="119" t="s">
        <v>313</v>
      </c>
      <c r="D166" s="119" t="s">
        <v>231</v>
      </c>
      <c r="E166" s="120" t="s">
        <v>2986</v>
      </c>
      <c r="F166" s="121" t="s">
        <v>2987</v>
      </c>
      <c r="G166" s="122" t="s">
        <v>1194</v>
      </c>
      <c r="H166" s="123">
        <v>2</v>
      </c>
      <c r="I166" s="124">
        <v>118.42</v>
      </c>
      <c r="J166" s="124">
        <f t="shared" si="10"/>
        <v>236.84</v>
      </c>
      <c r="K166" s="121" t="s">
        <v>1</v>
      </c>
      <c r="L166" s="24"/>
      <c r="M166" s="125" t="s">
        <v>1</v>
      </c>
      <c r="N166" s="126" t="s">
        <v>32</v>
      </c>
      <c r="O166" s="127">
        <v>0</v>
      </c>
      <c r="P166" s="127">
        <f t="shared" si="11"/>
        <v>0</v>
      </c>
      <c r="Q166" s="127">
        <v>0</v>
      </c>
      <c r="R166" s="127">
        <f t="shared" si="12"/>
        <v>0</v>
      </c>
      <c r="S166" s="127">
        <v>0</v>
      </c>
      <c r="T166" s="128">
        <f t="shared" si="13"/>
        <v>0</v>
      </c>
      <c r="AR166" s="129" t="s">
        <v>235</v>
      </c>
      <c r="AT166" s="129" t="s">
        <v>231</v>
      </c>
      <c r="AU166" s="129" t="s">
        <v>76</v>
      </c>
      <c r="AY166" s="13" t="s">
        <v>228</v>
      </c>
      <c r="BE166" s="130">
        <f t="shared" si="14"/>
        <v>0</v>
      </c>
      <c r="BF166" s="130">
        <f t="shared" si="15"/>
        <v>236.84</v>
      </c>
      <c r="BG166" s="130">
        <f t="shared" si="16"/>
        <v>0</v>
      </c>
      <c r="BH166" s="130">
        <f t="shared" si="17"/>
        <v>0</v>
      </c>
      <c r="BI166" s="130">
        <f t="shared" si="18"/>
        <v>0</v>
      </c>
      <c r="BJ166" s="13" t="s">
        <v>76</v>
      </c>
      <c r="BK166" s="130">
        <f t="shared" si="19"/>
        <v>236.84</v>
      </c>
      <c r="BL166" s="13" t="s">
        <v>235</v>
      </c>
      <c r="BM166" s="129" t="s">
        <v>316</v>
      </c>
    </row>
    <row r="167" spans="2:65" s="1" customFormat="1" ht="16.5" customHeight="1" x14ac:dyDescent="0.2">
      <c r="B167" s="118"/>
      <c r="C167" s="119" t="s">
        <v>272</v>
      </c>
      <c r="D167" s="119" t="s">
        <v>231</v>
      </c>
      <c r="E167" s="120" t="s">
        <v>2988</v>
      </c>
      <c r="F167" s="121" t="s">
        <v>2989</v>
      </c>
      <c r="G167" s="122" t="s">
        <v>1194</v>
      </c>
      <c r="H167" s="123">
        <v>4</v>
      </c>
      <c r="I167" s="124">
        <v>40.64</v>
      </c>
      <c r="J167" s="124">
        <f t="shared" si="10"/>
        <v>162.56</v>
      </c>
      <c r="K167" s="121" t="s">
        <v>1</v>
      </c>
      <c r="L167" s="24"/>
      <c r="M167" s="125" t="s">
        <v>1</v>
      </c>
      <c r="N167" s="126" t="s">
        <v>32</v>
      </c>
      <c r="O167" s="127">
        <v>0</v>
      </c>
      <c r="P167" s="127">
        <f t="shared" si="11"/>
        <v>0</v>
      </c>
      <c r="Q167" s="127">
        <v>0</v>
      </c>
      <c r="R167" s="127">
        <f t="shared" si="12"/>
        <v>0</v>
      </c>
      <c r="S167" s="127">
        <v>0</v>
      </c>
      <c r="T167" s="128">
        <f t="shared" si="13"/>
        <v>0</v>
      </c>
      <c r="AR167" s="129" t="s">
        <v>235</v>
      </c>
      <c r="AT167" s="129" t="s">
        <v>231</v>
      </c>
      <c r="AU167" s="129" t="s">
        <v>76</v>
      </c>
      <c r="AY167" s="13" t="s">
        <v>228</v>
      </c>
      <c r="BE167" s="130">
        <f t="shared" si="14"/>
        <v>0</v>
      </c>
      <c r="BF167" s="130">
        <f t="shared" si="15"/>
        <v>162.56</v>
      </c>
      <c r="BG167" s="130">
        <f t="shared" si="16"/>
        <v>0</v>
      </c>
      <c r="BH167" s="130">
        <f t="shared" si="17"/>
        <v>0</v>
      </c>
      <c r="BI167" s="130">
        <f t="shared" si="18"/>
        <v>0</v>
      </c>
      <c r="BJ167" s="13" t="s">
        <v>76</v>
      </c>
      <c r="BK167" s="130">
        <f t="shared" si="19"/>
        <v>162.56</v>
      </c>
      <c r="BL167" s="13" t="s">
        <v>235</v>
      </c>
      <c r="BM167" s="129" t="s">
        <v>319</v>
      </c>
    </row>
    <row r="168" spans="2:65" s="1" customFormat="1" ht="16.5" customHeight="1" x14ac:dyDescent="0.2">
      <c r="B168" s="118"/>
      <c r="C168" s="119" t="s">
        <v>320</v>
      </c>
      <c r="D168" s="119" t="s">
        <v>231</v>
      </c>
      <c r="E168" s="120" t="s">
        <v>2990</v>
      </c>
      <c r="F168" s="121" t="s">
        <v>2991</v>
      </c>
      <c r="G168" s="122" t="s">
        <v>1194</v>
      </c>
      <c r="H168" s="123">
        <v>16</v>
      </c>
      <c r="I168" s="124">
        <v>1.74</v>
      </c>
      <c r="J168" s="124">
        <f t="shared" si="10"/>
        <v>27.84</v>
      </c>
      <c r="K168" s="121" t="s">
        <v>1</v>
      </c>
      <c r="L168" s="24"/>
      <c r="M168" s="125" t="s">
        <v>1</v>
      </c>
      <c r="N168" s="126" t="s">
        <v>32</v>
      </c>
      <c r="O168" s="127">
        <v>0</v>
      </c>
      <c r="P168" s="127">
        <f t="shared" si="11"/>
        <v>0</v>
      </c>
      <c r="Q168" s="127">
        <v>0</v>
      </c>
      <c r="R168" s="127">
        <f t="shared" si="12"/>
        <v>0</v>
      </c>
      <c r="S168" s="127">
        <v>0</v>
      </c>
      <c r="T168" s="128">
        <f t="shared" si="13"/>
        <v>0</v>
      </c>
      <c r="AR168" s="129" t="s">
        <v>235</v>
      </c>
      <c r="AT168" s="129" t="s">
        <v>231</v>
      </c>
      <c r="AU168" s="129" t="s">
        <v>76</v>
      </c>
      <c r="AY168" s="13" t="s">
        <v>228</v>
      </c>
      <c r="BE168" s="130">
        <f t="shared" si="14"/>
        <v>0</v>
      </c>
      <c r="BF168" s="130">
        <f t="shared" si="15"/>
        <v>27.84</v>
      </c>
      <c r="BG168" s="130">
        <f t="shared" si="16"/>
        <v>0</v>
      </c>
      <c r="BH168" s="130">
        <f t="shared" si="17"/>
        <v>0</v>
      </c>
      <c r="BI168" s="130">
        <f t="shared" si="18"/>
        <v>0</v>
      </c>
      <c r="BJ168" s="13" t="s">
        <v>76</v>
      </c>
      <c r="BK168" s="130">
        <f t="shared" si="19"/>
        <v>27.84</v>
      </c>
      <c r="BL168" s="13" t="s">
        <v>235</v>
      </c>
      <c r="BM168" s="129" t="s">
        <v>323</v>
      </c>
    </row>
    <row r="169" spans="2:65" s="1" customFormat="1" ht="36" customHeight="1" x14ac:dyDescent="0.2">
      <c r="B169" s="118"/>
      <c r="C169" s="119" t="s">
        <v>276</v>
      </c>
      <c r="D169" s="119" t="s">
        <v>231</v>
      </c>
      <c r="E169" s="120" t="s">
        <v>2992</v>
      </c>
      <c r="F169" s="121" t="s">
        <v>2993</v>
      </c>
      <c r="G169" s="122" t="s">
        <v>1112</v>
      </c>
      <c r="H169" s="123">
        <v>80</v>
      </c>
      <c r="I169" s="124">
        <v>30.19</v>
      </c>
      <c r="J169" s="124">
        <f t="shared" si="10"/>
        <v>2415.1999999999998</v>
      </c>
      <c r="K169" s="121" t="s">
        <v>1</v>
      </c>
      <c r="L169" s="24"/>
      <c r="M169" s="125" t="s">
        <v>1</v>
      </c>
      <c r="N169" s="126" t="s">
        <v>32</v>
      </c>
      <c r="O169" s="127">
        <v>0</v>
      </c>
      <c r="P169" s="127">
        <f t="shared" si="11"/>
        <v>0</v>
      </c>
      <c r="Q169" s="127">
        <v>0</v>
      </c>
      <c r="R169" s="127">
        <f t="shared" si="12"/>
        <v>0</v>
      </c>
      <c r="S169" s="127">
        <v>0</v>
      </c>
      <c r="T169" s="128">
        <f t="shared" si="13"/>
        <v>0</v>
      </c>
      <c r="AR169" s="129" t="s">
        <v>235</v>
      </c>
      <c r="AT169" s="129" t="s">
        <v>231</v>
      </c>
      <c r="AU169" s="129" t="s">
        <v>76</v>
      </c>
      <c r="AY169" s="13" t="s">
        <v>228</v>
      </c>
      <c r="BE169" s="130">
        <f t="shared" si="14"/>
        <v>0</v>
      </c>
      <c r="BF169" s="130">
        <f t="shared" si="15"/>
        <v>2415.1999999999998</v>
      </c>
      <c r="BG169" s="130">
        <f t="shared" si="16"/>
        <v>0</v>
      </c>
      <c r="BH169" s="130">
        <f t="shared" si="17"/>
        <v>0</v>
      </c>
      <c r="BI169" s="130">
        <f t="shared" si="18"/>
        <v>0</v>
      </c>
      <c r="BJ169" s="13" t="s">
        <v>76</v>
      </c>
      <c r="BK169" s="130">
        <f t="shared" si="19"/>
        <v>2415.1999999999998</v>
      </c>
      <c r="BL169" s="13" t="s">
        <v>235</v>
      </c>
      <c r="BM169" s="129" t="s">
        <v>326</v>
      </c>
    </row>
    <row r="170" spans="2:65" s="1" customFormat="1" ht="16.5" customHeight="1" x14ac:dyDescent="0.2">
      <c r="B170" s="118"/>
      <c r="C170" s="119" t="s">
        <v>327</v>
      </c>
      <c r="D170" s="119" t="s">
        <v>231</v>
      </c>
      <c r="E170" s="120" t="s">
        <v>2836</v>
      </c>
      <c r="F170" s="121" t="s">
        <v>2837</v>
      </c>
      <c r="G170" s="122" t="s">
        <v>1194</v>
      </c>
      <c r="H170" s="123">
        <v>2</v>
      </c>
      <c r="I170" s="124">
        <v>482.98</v>
      </c>
      <c r="J170" s="124">
        <f t="shared" si="10"/>
        <v>965.96</v>
      </c>
      <c r="K170" s="121" t="s">
        <v>1</v>
      </c>
      <c r="L170" s="24"/>
      <c r="M170" s="125" t="s">
        <v>1</v>
      </c>
      <c r="N170" s="126" t="s">
        <v>32</v>
      </c>
      <c r="O170" s="127">
        <v>0</v>
      </c>
      <c r="P170" s="127">
        <f t="shared" si="11"/>
        <v>0</v>
      </c>
      <c r="Q170" s="127">
        <v>0</v>
      </c>
      <c r="R170" s="127">
        <f t="shared" si="12"/>
        <v>0</v>
      </c>
      <c r="S170" s="127">
        <v>0</v>
      </c>
      <c r="T170" s="128">
        <f t="shared" si="13"/>
        <v>0</v>
      </c>
      <c r="AR170" s="129" t="s">
        <v>235</v>
      </c>
      <c r="AT170" s="129" t="s">
        <v>231</v>
      </c>
      <c r="AU170" s="129" t="s">
        <v>76</v>
      </c>
      <c r="AY170" s="13" t="s">
        <v>228</v>
      </c>
      <c r="BE170" s="130">
        <f t="shared" si="14"/>
        <v>0</v>
      </c>
      <c r="BF170" s="130">
        <f t="shared" si="15"/>
        <v>965.96</v>
      </c>
      <c r="BG170" s="130">
        <f t="shared" si="16"/>
        <v>0</v>
      </c>
      <c r="BH170" s="130">
        <f t="shared" si="17"/>
        <v>0</v>
      </c>
      <c r="BI170" s="130">
        <f t="shared" si="18"/>
        <v>0</v>
      </c>
      <c r="BJ170" s="13" t="s">
        <v>76</v>
      </c>
      <c r="BK170" s="130">
        <f t="shared" si="19"/>
        <v>965.96</v>
      </c>
      <c r="BL170" s="13" t="s">
        <v>235</v>
      </c>
      <c r="BM170" s="129" t="s">
        <v>330</v>
      </c>
    </row>
    <row r="171" spans="2:65" s="1" customFormat="1" ht="24" customHeight="1" x14ac:dyDescent="0.2">
      <c r="B171" s="118"/>
      <c r="C171" s="119" t="s">
        <v>280</v>
      </c>
      <c r="D171" s="119" t="s">
        <v>231</v>
      </c>
      <c r="E171" s="120" t="s">
        <v>2838</v>
      </c>
      <c r="F171" s="121" t="s">
        <v>2839</v>
      </c>
      <c r="G171" s="122" t="s">
        <v>1112</v>
      </c>
      <c r="H171" s="123">
        <v>64</v>
      </c>
      <c r="I171" s="124">
        <v>30.19</v>
      </c>
      <c r="J171" s="124">
        <f t="shared" si="10"/>
        <v>1932.16</v>
      </c>
      <c r="K171" s="121" t="s">
        <v>1</v>
      </c>
      <c r="L171" s="24"/>
      <c r="M171" s="125" t="s">
        <v>1</v>
      </c>
      <c r="N171" s="126" t="s">
        <v>32</v>
      </c>
      <c r="O171" s="127">
        <v>0</v>
      </c>
      <c r="P171" s="127">
        <f t="shared" si="11"/>
        <v>0</v>
      </c>
      <c r="Q171" s="127">
        <v>0</v>
      </c>
      <c r="R171" s="127">
        <f t="shared" si="12"/>
        <v>0</v>
      </c>
      <c r="S171" s="127">
        <v>0</v>
      </c>
      <c r="T171" s="128">
        <f t="shared" si="13"/>
        <v>0</v>
      </c>
      <c r="AR171" s="129" t="s">
        <v>235</v>
      </c>
      <c r="AT171" s="129" t="s">
        <v>231</v>
      </c>
      <c r="AU171" s="129" t="s">
        <v>76</v>
      </c>
      <c r="AY171" s="13" t="s">
        <v>228</v>
      </c>
      <c r="BE171" s="130">
        <f t="shared" si="14"/>
        <v>0</v>
      </c>
      <c r="BF171" s="130">
        <f t="shared" si="15"/>
        <v>1932.16</v>
      </c>
      <c r="BG171" s="130">
        <f t="shared" si="16"/>
        <v>0</v>
      </c>
      <c r="BH171" s="130">
        <f t="shared" si="17"/>
        <v>0</v>
      </c>
      <c r="BI171" s="130">
        <f t="shared" si="18"/>
        <v>0</v>
      </c>
      <c r="BJ171" s="13" t="s">
        <v>76</v>
      </c>
      <c r="BK171" s="130">
        <f t="shared" si="19"/>
        <v>1932.16</v>
      </c>
      <c r="BL171" s="13" t="s">
        <v>235</v>
      </c>
      <c r="BM171" s="129" t="s">
        <v>333</v>
      </c>
    </row>
    <row r="172" spans="2:65" s="11" customFormat="1" ht="22.95" customHeight="1" x14ac:dyDescent="0.25">
      <c r="B172" s="106"/>
      <c r="D172" s="107" t="s">
        <v>57</v>
      </c>
      <c r="E172" s="116" t="s">
        <v>1215</v>
      </c>
      <c r="F172" s="116" t="s">
        <v>2994</v>
      </c>
      <c r="J172" s="117">
        <f>BK172</f>
        <v>7983.3299999999981</v>
      </c>
      <c r="L172" s="106"/>
      <c r="M172" s="110"/>
      <c r="N172" s="111"/>
      <c r="O172" s="111"/>
      <c r="P172" s="112">
        <f>SUM(P173:P190)</f>
        <v>0</v>
      </c>
      <c r="Q172" s="111"/>
      <c r="R172" s="112">
        <f>SUM(R173:R190)</f>
        <v>0</v>
      </c>
      <c r="S172" s="111"/>
      <c r="T172" s="113">
        <f>SUM(T173:T190)</f>
        <v>0</v>
      </c>
      <c r="AR172" s="107" t="s">
        <v>63</v>
      </c>
      <c r="AT172" s="114" t="s">
        <v>57</v>
      </c>
      <c r="AU172" s="114" t="s">
        <v>63</v>
      </c>
      <c r="AY172" s="107" t="s">
        <v>228</v>
      </c>
      <c r="BK172" s="115">
        <f>SUM(BK173:BK190)</f>
        <v>7983.3299999999981</v>
      </c>
    </row>
    <row r="173" spans="2:65" s="1" customFormat="1" ht="16.5" customHeight="1" x14ac:dyDescent="0.2">
      <c r="B173" s="118"/>
      <c r="C173" s="119" t="s">
        <v>334</v>
      </c>
      <c r="D173" s="119" t="s">
        <v>231</v>
      </c>
      <c r="E173" s="120" t="s">
        <v>2995</v>
      </c>
      <c r="F173" s="121" t="s">
        <v>2996</v>
      </c>
      <c r="G173" s="122" t="s">
        <v>1194</v>
      </c>
      <c r="H173" s="123">
        <v>2</v>
      </c>
      <c r="I173" s="124">
        <v>986.85</v>
      </c>
      <c r="J173" s="124">
        <f t="shared" ref="J173:J190" si="20">ROUND(I173*H173,2)</f>
        <v>1973.7</v>
      </c>
      <c r="K173" s="121" t="s">
        <v>1</v>
      </c>
      <c r="L173" s="24"/>
      <c r="M173" s="125" t="s">
        <v>1</v>
      </c>
      <c r="N173" s="126" t="s">
        <v>32</v>
      </c>
      <c r="O173" s="127">
        <v>0</v>
      </c>
      <c r="P173" s="127">
        <f t="shared" ref="P173:P190" si="21">O173*H173</f>
        <v>0</v>
      </c>
      <c r="Q173" s="127">
        <v>0</v>
      </c>
      <c r="R173" s="127">
        <f t="shared" ref="R173:R190" si="22">Q173*H173</f>
        <v>0</v>
      </c>
      <c r="S173" s="127">
        <v>0</v>
      </c>
      <c r="T173" s="128">
        <f t="shared" ref="T173:T190" si="23">S173*H173</f>
        <v>0</v>
      </c>
      <c r="AR173" s="129" t="s">
        <v>235</v>
      </c>
      <c r="AT173" s="129" t="s">
        <v>231</v>
      </c>
      <c r="AU173" s="129" t="s">
        <v>76</v>
      </c>
      <c r="AY173" s="13" t="s">
        <v>228</v>
      </c>
      <c r="BE173" s="130">
        <f t="shared" ref="BE173:BE190" si="24">IF(N173="základná",J173,0)</f>
        <v>0</v>
      </c>
      <c r="BF173" s="130">
        <f t="shared" ref="BF173:BF190" si="25">IF(N173="znížená",J173,0)</f>
        <v>1973.7</v>
      </c>
      <c r="BG173" s="130">
        <f t="shared" ref="BG173:BG190" si="26">IF(N173="zákl. prenesená",J173,0)</f>
        <v>0</v>
      </c>
      <c r="BH173" s="130">
        <f t="shared" ref="BH173:BH190" si="27">IF(N173="zníž. prenesená",J173,0)</f>
        <v>0</v>
      </c>
      <c r="BI173" s="130">
        <f t="shared" ref="BI173:BI190" si="28">IF(N173="nulová",J173,0)</f>
        <v>0</v>
      </c>
      <c r="BJ173" s="13" t="s">
        <v>76</v>
      </c>
      <c r="BK173" s="130">
        <f t="shared" ref="BK173:BK190" si="29">ROUND(I173*H173,2)</f>
        <v>1973.7</v>
      </c>
      <c r="BL173" s="13" t="s">
        <v>235</v>
      </c>
      <c r="BM173" s="129" t="s">
        <v>337</v>
      </c>
    </row>
    <row r="174" spans="2:65" s="1" customFormat="1" ht="16.5" customHeight="1" x14ac:dyDescent="0.2">
      <c r="B174" s="118"/>
      <c r="C174" s="119" t="s">
        <v>285</v>
      </c>
      <c r="D174" s="119" t="s">
        <v>231</v>
      </c>
      <c r="E174" s="120" t="s">
        <v>2997</v>
      </c>
      <c r="F174" s="121" t="s">
        <v>2998</v>
      </c>
      <c r="G174" s="122" t="s">
        <v>292</v>
      </c>
      <c r="H174" s="123">
        <v>2800</v>
      </c>
      <c r="I174" s="124">
        <v>0.45</v>
      </c>
      <c r="J174" s="124">
        <f t="shared" si="20"/>
        <v>1260</v>
      </c>
      <c r="K174" s="121" t="s">
        <v>1</v>
      </c>
      <c r="L174" s="24"/>
      <c r="M174" s="125" t="s">
        <v>1</v>
      </c>
      <c r="N174" s="126" t="s">
        <v>32</v>
      </c>
      <c r="O174" s="127">
        <v>0</v>
      </c>
      <c r="P174" s="127">
        <f t="shared" si="21"/>
        <v>0</v>
      </c>
      <c r="Q174" s="127">
        <v>0</v>
      </c>
      <c r="R174" s="127">
        <f t="shared" si="22"/>
        <v>0</v>
      </c>
      <c r="S174" s="127">
        <v>0</v>
      </c>
      <c r="T174" s="128">
        <f t="shared" si="23"/>
        <v>0</v>
      </c>
      <c r="AR174" s="129" t="s">
        <v>235</v>
      </c>
      <c r="AT174" s="129" t="s">
        <v>231</v>
      </c>
      <c r="AU174" s="129" t="s">
        <v>76</v>
      </c>
      <c r="AY174" s="13" t="s">
        <v>228</v>
      </c>
      <c r="BE174" s="130">
        <f t="shared" si="24"/>
        <v>0</v>
      </c>
      <c r="BF174" s="130">
        <f t="shared" si="25"/>
        <v>1260</v>
      </c>
      <c r="BG174" s="130">
        <f t="shared" si="26"/>
        <v>0</v>
      </c>
      <c r="BH174" s="130">
        <f t="shared" si="27"/>
        <v>0</v>
      </c>
      <c r="BI174" s="130">
        <f t="shared" si="28"/>
        <v>0</v>
      </c>
      <c r="BJ174" s="13" t="s">
        <v>76</v>
      </c>
      <c r="BK174" s="130">
        <f t="shared" si="29"/>
        <v>1260</v>
      </c>
      <c r="BL174" s="13" t="s">
        <v>235</v>
      </c>
      <c r="BM174" s="129" t="s">
        <v>340</v>
      </c>
    </row>
    <row r="175" spans="2:65" s="1" customFormat="1" ht="16.5" customHeight="1" x14ac:dyDescent="0.2">
      <c r="B175" s="118"/>
      <c r="C175" s="119" t="s">
        <v>341</v>
      </c>
      <c r="D175" s="119" t="s">
        <v>231</v>
      </c>
      <c r="E175" s="120" t="s">
        <v>2999</v>
      </c>
      <c r="F175" s="121" t="s">
        <v>3000</v>
      </c>
      <c r="G175" s="122" t="s">
        <v>292</v>
      </c>
      <c r="H175" s="123">
        <v>270</v>
      </c>
      <c r="I175" s="124">
        <v>0.57999999999999996</v>
      </c>
      <c r="J175" s="124">
        <f t="shared" si="20"/>
        <v>156.6</v>
      </c>
      <c r="K175" s="121" t="s">
        <v>1</v>
      </c>
      <c r="L175" s="24"/>
      <c r="M175" s="125" t="s">
        <v>1</v>
      </c>
      <c r="N175" s="126" t="s">
        <v>32</v>
      </c>
      <c r="O175" s="127">
        <v>0</v>
      </c>
      <c r="P175" s="127">
        <f t="shared" si="21"/>
        <v>0</v>
      </c>
      <c r="Q175" s="127">
        <v>0</v>
      </c>
      <c r="R175" s="127">
        <f t="shared" si="22"/>
        <v>0</v>
      </c>
      <c r="S175" s="127">
        <v>0</v>
      </c>
      <c r="T175" s="128">
        <f t="shared" si="23"/>
        <v>0</v>
      </c>
      <c r="AR175" s="129" t="s">
        <v>235</v>
      </c>
      <c r="AT175" s="129" t="s">
        <v>231</v>
      </c>
      <c r="AU175" s="129" t="s">
        <v>76</v>
      </c>
      <c r="AY175" s="13" t="s">
        <v>228</v>
      </c>
      <c r="BE175" s="130">
        <f t="shared" si="24"/>
        <v>0</v>
      </c>
      <c r="BF175" s="130">
        <f t="shared" si="25"/>
        <v>156.6</v>
      </c>
      <c r="BG175" s="130">
        <f t="shared" si="26"/>
        <v>0</v>
      </c>
      <c r="BH175" s="130">
        <f t="shared" si="27"/>
        <v>0</v>
      </c>
      <c r="BI175" s="130">
        <f t="shared" si="28"/>
        <v>0</v>
      </c>
      <c r="BJ175" s="13" t="s">
        <v>76</v>
      </c>
      <c r="BK175" s="130">
        <f t="shared" si="29"/>
        <v>156.6</v>
      </c>
      <c r="BL175" s="13" t="s">
        <v>235</v>
      </c>
      <c r="BM175" s="129" t="s">
        <v>344</v>
      </c>
    </row>
    <row r="176" spans="2:65" s="1" customFormat="1" ht="16.5" customHeight="1" x14ac:dyDescent="0.2">
      <c r="B176" s="118"/>
      <c r="C176" s="119" t="s">
        <v>288</v>
      </c>
      <c r="D176" s="119" t="s">
        <v>231</v>
      </c>
      <c r="E176" s="120" t="s">
        <v>3001</v>
      </c>
      <c r="F176" s="121" t="s">
        <v>3002</v>
      </c>
      <c r="G176" s="122" t="s">
        <v>292</v>
      </c>
      <c r="H176" s="123">
        <v>480</v>
      </c>
      <c r="I176" s="124">
        <v>0.7</v>
      </c>
      <c r="J176" s="124">
        <f t="shared" si="20"/>
        <v>336</v>
      </c>
      <c r="K176" s="121" t="s">
        <v>1</v>
      </c>
      <c r="L176" s="24"/>
      <c r="M176" s="125" t="s">
        <v>1</v>
      </c>
      <c r="N176" s="126" t="s">
        <v>32</v>
      </c>
      <c r="O176" s="127">
        <v>0</v>
      </c>
      <c r="P176" s="127">
        <f t="shared" si="21"/>
        <v>0</v>
      </c>
      <c r="Q176" s="127">
        <v>0</v>
      </c>
      <c r="R176" s="127">
        <f t="shared" si="22"/>
        <v>0</v>
      </c>
      <c r="S176" s="127">
        <v>0</v>
      </c>
      <c r="T176" s="128">
        <f t="shared" si="23"/>
        <v>0</v>
      </c>
      <c r="AR176" s="129" t="s">
        <v>235</v>
      </c>
      <c r="AT176" s="129" t="s">
        <v>231</v>
      </c>
      <c r="AU176" s="129" t="s">
        <v>76</v>
      </c>
      <c r="AY176" s="13" t="s">
        <v>228</v>
      </c>
      <c r="BE176" s="130">
        <f t="shared" si="24"/>
        <v>0</v>
      </c>
      <c r="BF176" s="130">
        <f t="shared" si="25"/>
        <v>336</v>
      </c>
      <c r="BG176" s="130">
        <f t="shared" si="26"/>
        <v>0</v>
      </c>
      <c r="BH176" s="130">
        <f t="shared" si="27"/>
        <v>0</v>
      </c>
      <c r="BI176" s="130">
        <f t="shared" si="28"/>
        <v>0</v>
      </c>
      <c r="BJ176" s="13" t="s">
        <v>76</v>
      </c>
      <c r="BK176" s="130">
        <f t="shared" si="29"/>
        <v>336</v>
      </c>
      <c r="BL176" s="13" t="s">
        <v>235</v>
      </c>
      <c r="BM176" s="129" t="s">
        <v>347</v>
      </c>
    </row>
    <row r="177" spans="2:65" s="1" customFormat="1" ht="16.5" customHeight="1" x14ac:dyDescent="0.2">
      <c r="B177" s="118"/>
      <c r="C177" s="119" t="s">
        <v>348</v>
      </c>
      <c r="D177" s="119" t="s">
        <v>231</v>
      </c>
      <c r="E177" s="120" t="s">
        <v>5087</v>
      </c>
      <c r="F177" s="121" t="s">
        <v>5088</v>
      </c>
      <c r="G177" s="122" t="s">
        <v>292</v>
      </c>
      <c r="H177" s="123">
        <v>210</v>
      </c>
      <c r="I177" s="124">
        <v>0.57999999999999996</v>
      </c>
      <c r="J177" s="124">
        <f t="shared" si="20"/>
        <v>121.8</v>
      </c>
      <c r="K177" s="121" t="s">
        <v>1</v>
      </c>
      <c r="L177" s="24"/>
      <c r="M177" s="125" t="s">
        <v>1</v>
      </c>
      <c r="N177" s="126" t="s">
        <v>32</v>
      </c>
      <c r="O177" s="127">
        <v>0</v>
      </c>
      <c r="P177" s="127">
        <f t="shared" si="21"/>
        <v>0</v>
      </c>
      <c r="Q177" s="127">
        <v>0</v>
      </c>
      <c r="R177" s="127">
        <f t="shared" si="22"/>
        <v>0</v>
      </c>
      <c r="S177" s="127">
        <v>0</v>
      </c>
      <c r="T177" s="128">
        <f t="shared" si="23"/>
        <v>0</v>
      </c>
      <c r="AR177" s="129" t="s">
        <v>235</v>
      </c>
      <c r="AT177" s="129" t="s">
        <v>231</v>
      </c>
      <c r="AU177" s="129" t="s">
        <v>76</v>
      </c>
      <c r="AY177" s="13" t="s">
        <v>228</v>
      </c>
      <c r="BE177" s="130">
        <f t="shared" si="24"/>
        <v>0</v>
      </c>
      <c r="BF177" s="130">
        <f t="shared" si="25"/>
        <v>121.8</v>
      </c>
      <c r="BG177" s="130">
        <f t="shared" si="26"/>
        <v>0</v>
      </c>
      <c r="BH177" s="130">
        <f t="shared" si="27"/>
        <v>0</v>
      </c>
      <c r="BI177" s="130">
        <f t="shared" si="28"/>
        <v>0</v>
      </c>
      <c r="BJ177" s="13" t="s">
        <v>76</v>
      </c>
      <c r="BK177" s="130">
        <f t="shared" si="29"/>
        <v>121.8</v>
      </c>
      <c r="BL177" s="13" t="s">
        <v>235</v>
      </c>
      <c r="BM177" s="129" t="s">
        <v>351</v>
      </c>
    </row>
    <row r="178" spans="2:65" s="1" customFormat="1" ht="16.5" customHeight="1" x14ac:dyDescent="0.2">
      <c r="B178" s="118"/>
      <c r="C178" s="119" t="s">
        <v>293</v>
      </c>
      <c r="D178" s="119" t="s">
        <v>231</v>
      </c>
      <c r="E178" s="120" t="s">
        <v>3003</v>
      </c>
      <c r="F178" s="121" t="s">
        <v>3004</v>
      </c>
      <c r="G178" s="122" t="s">
        <v>292</v>
      </c>
      <c r="H178" s="123">
        <v>40</v>
      </c>
      <c r="I178" s="124">
        <v>0.86</v>
      </c>
      <c r="J178" s="124">
        <f t="shared" si="20"/>
        <v>34.4</v>
      </c>
      <c r="K178" s="121" t="s">
        <v>1</v>
      </c>
      <c r="L178" s="24"/>
      <c r="M178" s="125" t="s">
        <v>1</v>
      </c>
      <c r="N178" s="126" t="s">
        <v>32</v>
      </c>
      <c r="O178" s="127">
        <v>0</v>
      </c>
      <c r="P178" s="127">
        <f t="shared" si="21"/>
        <v>0</v>
      </c>
      <c r="Q178" s="127">
        <v>0</v>
      </c>
      <c r="R178" s="127">
        <f t="shared" si="22"/>
        <v>0</v>
      </c>
      <c r="S178" s="127">
        <v>0</v>
      </c>
      <c r="T178" s="128">
        <f t="shared" si="23"/>
        <v>0</v>
      </c>
      <c r="AR178" s="129" t="s">
        <v>235</v>
      </c>
      <c r="AT178" s="129" t="s">
        <v>231</v>
      </c>
      <c r="AU178" s="129" t="s">
        <v>76</v>
      </c>
      <c r="AY178" s="13" t="s">
        <v>228</v>
      </c>
      <c r="BE178" s="130">
        <f t="shared" si="24"/>
        <v>0</v>
      </c>
      <c r="BF178" s="130">
        <f t="shared" si="25"/>
        <v>34.4</v>
      </c>
      <c r="BG178" s="130">
        <f t="shared" si="26"/>
        <v>0</v>
      </c>
      <c r="BH178" s="130">
        <f t="shared" si="27"/>
        <v>0</v>
      </c>
      <c r="BI178" s="130">
        <f t="shared" si="28"/>
        <v>0</v>
      </c>
      <c r="BJ178" s="13" t="s">
        <v>76</v>
      </c>
      <c r="BK178" s="130">
        <f t="shared" si="29"/>
        <v>34.4</v>
      </c>
      <c r="BL178" s="13" t="s">
        <v>235</v>
      </c>
      <c r="BM178" s="129" t="s">
        <v>354</v>
      </c>
    </row>
    <row r="179" spans="2:65" s="1" customFormat="1" ht="16.5" customHeight="1" x14ac:dyDescent="0.2">
      <c r="B179" s="118"/>
      <c r="C179" s="119" t="s">
        <v>355</v>
      </c>
      <c r="D179" s="119" t="s">
        <v>231</v>
      </c>
      <c r="E179" s="120" t="s">
        <v>3005</v>
      </c>
      <c r="F179" s="121" t="s">
        <v>3006</v>
      </c>
      <c r="G179" s="122" t="s">
        <v>292</v>
      </c>
      <c r="H179" s="123">
        <v>412</v>
      </c>
      <c r="I179" s="124">
        <v>0.09</v>
      </c>
      <c r="J179" s="124">
        <f t="shared" si="20"/>
        <v>37.08</v>
      </c>
      <c r="K179" s="121" t="s">
        <v>1</v>
      </c>
      <c r="L179" s="24"/>
      <c r="M179" s="125" t="s">
        <v>1</v>
      </c>
      <c r="N179" s="126" t="s">
        <v>32</v>
      </c>
      <c r="O179" s="127">
        <v>0</v>
      </c>
      <c r="P179" s="127">
        <f t="shared" si="21"/>
        <v>0</v>
      </c>
      <c r="Q179" s="127">
        <v>0</v>
      </c>
      <c r="R179" s="127">
        <f t="shared" si="22"/>
        <v>0</v>
      </c>
      <c r="S179" s="127">
        <v>0</v>
      </c>
      <c r="T179" s="128">
        <f t="shared" si="23"/>
        <v>0</v>
      </c>
      <c r="AR179" s="129" t="s">
        <v>235</v>
      </c>
      <c r="AT179" s="129" t="s">
        <v>231</v>
      </c>
      <c r="AU179" s="129" t="s">
        <v>76</v>
      </c>
      <c r="AY179" s="13" t="s">
        <v>228</v>
      </c>
      <c r="BE179" s="130">
        <f t="shared" si="24"/>
        <v>0</v>
      </c>
      <c r="BF179" s="130">
        <f t="shared" si="25"/>
        <v>37.08</v>
      </c>
      <c r="BG179" s="130">
        <f t="shared" si="26"/>
        <v>0</v>
      </c>
      <c r="BH179" s="130">
        <f t="shared" si="27"/>
        <v>0</v>
      </c>
      <c r="BI179" s="130">
        <f t="shared" si="28"/>
        <v>0</v>
      </c>
      <c r="BJ179" s="13" t="s">
        <v>76</v>
      </c>
      <c r="BK179" s="130">
        <f t="shared" si="29"/>
        <v>37.08</v>
      </c>
      <c r="BL179" s="13" t="s">
        <v>235</v>
      </c>
      <c r="BM179" s="129" t="s">
        <v>358</v>
      </c>
    </row>
    <row r="180" spans="2:65" s="1" customFormat="1" ht="16.5" customHeight="1" x14ac:dyDescent="0.2">
      <c r="B180" s="118"/>
      <c r="C180" s="119" t="s">
        <v>296</v>
      </c>
      <c r="D180" s="119" t="s">
        <v>231</v>
      </c>
      <c r="E180" s="120" t="s">
        <v>3007</v>
      </c>
      <c r="F180" s="121" t="s">
        <v>3008</v>
      </c>
      <c r="G180" s="122" t="s">
        <v>292</v>
      </c>
      <c r="H180" s="123">
        <v>40</v>
      </c>
      <c r="I180" s="124">
        <v>0.23</v>
      </c>
      <c r="J180" s="124">
        <f t="shared" si="20"/>
        <v>9.1999999999999993</v>
      </c>
      <c r="K180" s="121" t="s">
        <v>1</v>
      </c>
      <c r="L180" s="24"/>
      <c r="M180" s="125" t="s">
        <v>1</v>
      </c>
      <c r="N180" s="126" t="s">
        <v>32</v>
      </c>
      <c r="O180" s="127">
        <v>0</v>
      </c>
      <c r="P180" s="127">
        <f t="shared" si="21"/>
        <v>0</v>
      </c>
      <c r="Q180" s="127">
        <v>0</v>
      </c>
      <c r="R180" s="127">
        <f t="shared" si="22"/>
        <v>0</v>
      </c>
      <c r="S180" s="127">
        <v>0</v>
      </c>
      <c r="T180" s="128">
        <f t="shared" si="23"/>
        <v>0</v>
      </c>
      <c r="AR180" s="129" t="s">
        <v>235</v>
      </c>
      <c r="AT180" s="129" t="s">
        <v>231</v>
      </c>
      <c r="AU180" s="129" t="s">
        <v>76</v>
      </c>
      <c r="AY180" s="13" t="s">
        <v>228</v>
      </c>
      <c r="BE180" s="130">
        <f t="shared" si="24"/>
        <v>0</v>
      </c>
      <c r="BF180" s="130">
        <f t="shared" si="25"/>
        <v>9.1999999999999993</v>
      </c>
      <c r="BG180" s="130">
        <f t="shared" si="26"/>
        <v>0</v>
      </c>
      <c r="BH180" s="130">
        <f t="shared" si="27"/>
        <v>0</v>
      </c>
      <c r="BI180" s="130">
        <f t="shared" si="28"/>
        <v>0</v>
      </c>
      <c r="BJ180" s="13" t="s">
        <v>76</v>
      </c>
      <c r="BK180" s="130">
        <f t="shared" si="29"/>
        <v>9.1999999999999993</v>
      </c>
      <c r="BL180" s="13" t="s">
        <v>235</v>
      </c>
      <c r="BM180" s="129" t="s">
        <v>361</v>
      </c>
    </row>
    <row r="181" spans="2:65" s="1" customFormat="1" ht="16.5" customHeight="1" x14ac:dyDescent="0.2">
      <c r="B181" s="118"/>
      <c r="C181" s="119" t="s">
        <v>362</v>
      </c>
      <c r="D181" s="119" t="s">
        <v>231</v>
      </c>
      <c r="E181" s="120" t="s">
        <v>3009</v>
      </c>
      <c r="F181" s="121" t="s">
        <v>3010</v>
      </c>
      <c r="G181" s="122" t="s">
        <v>292</v>
      </c>
      <c r="H181" s="123">
        <v>65</v>
      </c>
      <c r="I181" s="124">
        <v>0.49</v>
      </c>
      <c r="J181" s="124">
        <f t="shared" si="20"/>
        <v>31.85</v>
      </c>
      <c r="K181" s="121" t="s">
        <v>1</v>
      </c>
      <c r="L181" s="24"/>
      <c r="M181" s="125" t="s">
        <v>1</v>
      </c>
      <c r="N181" s="126" t="s">
        <v>32</v>
      </c>
      <c r="O181" s="127">
        <v>0</v>
      </c>
      <c r="P181" s="127">
        <f t="shared" si="21"/>
        <v>0</v>
      </c>
      <c r="Q181" s="127">
        <v>0</v>
      </c>
      <c r="R181" s="127">
        <f t="shared" si="22"/>
        <v>0</v>
      </c>
      <c r="S181" s="127">
        <v>0</v>
      </c>
      <c r="T181" s="128">
        <f t="shared" si="23"/>
        <v>0</v>
      </c>
      <c r="AR181" s="129" t="s">
        <v>235</v>
      </c>
      <c r="AT181" s="129" t="s">
        <v>231</v>
      </c>
      <c r="AU181" s="129" t="s">
        <v>76</v>
      </c>
      <c r="AY181" s="13" t="s">
        <v>228</v>
      </c>
      <c r="BE181" s="130">
        <f t="shared" si="24"/>
        <v>0</v>
      </c>
      <c r="BF181" s="130">
        <f t="shared" si="25"/>
        <v>31.85</v>
      </c>
      <c r="BG181" s="130">
        <f t="shared" si="26"/>
        <v>0</v>
      </c>
      <c r="BH181" s="130">
        <f t="shared" si="27"/>
        <v>0</v>
      </c>
      <c r="BI181" s="130">
        <f t="shared" si="28"/>
        <v>0</v>
      </c>
      <c r="BJ181" s="13" t="s">
        <v>76</v>
      </c>
      <c r="BK181" s="130">
        <f t="shared" si="29"/>
        <v>31.85</v>
      </c>
      <c r="BL181" s="13" t="s">
        <v>235</v>
      </c>
      <c r="BM181" s="129" t="s">
        <v>365</v>
      </c>
    </row>
    <row r="182" spans="2:65" s="1" customFormat="1" ht="16.5" customHeight="1" x14ac:dyDescent="0.2">
      <c r="B182" s="118"/>
      <c r="C182" s="119" t="s">
        <v>300</v>
      </c>
      <c r="D182" s="119" t="s">
        <v>231</v>
      </c>
      <c r="E182" s="120" t="s">
        <v>3011</v>
      </c>
      <c r="F182" s="121" t="s">
        <v>3012</v>
      </c>
      <c r="G182" s="122" t="s">
        <v>292</v>
      </c>
      <c r="H182" s="123">
        <v>300</v>
      </c>
      <c r="I182" s="124">
        <v>0.51</v>
      </c>
      <c r="J182" s="124">
        <f t="shared" si="20"/>
        <v>153</v>
      </c>
      <c r="K182" s="121" t="s">
        <v>1</v>
      </c>
      <c r="L182" s="24"/>
      <c r="M182" s="125" t="s">
        <v>1</v>
      </c>
      <c r="N182" s="126" t="s">
        <v>32</v>
      </c>
      <c r="O182" s="127">
        <v>0</v>
      </c>
      <c r="P182" s="127">
        <f t="shared" si="21"/>
        <v>0</v>
      </c>
      <c r="Q182" s="127">
        <v>0</v>
      </c>
      <c r="R182" s="127">
        <f t="shared" si="22"/>
        <v>0</v>
      </c>
      <c r="S182" s="127">
        <v>0</v>
      </c>
      <c r="T182" s="128">
        <f t="shared" si="23"/>
        <v>0</v>
      </c>
      <c r="AR182" s="129" t="s">
        <v>235</v>
      </c>
      <c r="AT182" s="129" t="s">
        <v>231</v>
      </c>
      <c r="AU182" s="129" t="s">
        <v>76</v>
      </c>
      <c r="AY182" s="13" t="s">
        <v>228</v>
      </c>
      <c r="BE182" s="130">
        <f t="shared" si="24"/>
        <v>0</v>
      </c>
      <c r="BF182" s="130">
        <f t="shared" si="25"/>
        <v>153</v>
      </c>
      <c r="BG182" s="130">
        <f t="shared" si="26"/>
        <v>0</v>
      </c>
      <c r="BH182" s="130">
        <f t="shared" si="27"/>
        <v>0</v>
      </c>
      <c r="BI182" s="130">
        <f t="shared" si="28"/>
        <v>0</v>
      </c>
      <c r="BJ182" s="13" t="s">
        <v>76</v>
      </c>
      <c r="BK182" s="130">
        <f t="shared" si="29"/>
        <v>153</v>
      </c>
      <c r="BL182" s="13" t="s">
        <v>235</v>
      </c>
      <c r="BM182" s="129" t="s">
        <v>368</v>
      </c>
    </row>
    <row r="183" spans="2:65" s="1" customFormat="1" ht="16.5" customHeight="1" x14ac:dyDescent="0.2">
      <c r="B183" s="118"/>
      <c r="C183" s="119" t="s">
        <v>369</v>
      </c>
      <c r="D183" s="119" t="s">
        <v>231</v>
      </c>
      <c r="E183" s="120" t="s">
        <v>3013</v>
      </c>
      <c r="F183" s="121" t="s">
        <v>3014</v>
      </c>
      <c r="G183" s="122" t="s">
        <v>292</v>
      </c>
      <c r="H183" s="123">
        <v>240</v>
      </c>
      <c r="I183" s="124">
        <v>0.68</v>
      </c>
      <c r="J183" s="124">
        <f t="shared" si="20"/>
        <v>163.19999999999999</v>
      </c>
      <c r="K183" s="121" t="s">
        <v>1</v>
      </c>
      <c r="L183" s="24"/>
      <c r="M183" s="125" t="s">
        <v>1</v>
      </c>
      <c r="N183" s="126" t="s">
        <v>32</v>
      </c>
      <c r="O183" s="127">
        <v>0</v>
      </c>
      <c r="P183" s="127">
        <f t="shared" si="21"/>
        <v>0</v>
      </c>
      <c r="Q183" s="127">
        <v>0</v>
      </c>
      <c r="R183" s="127">
        <f t="shared" si="22"/>
        <v>0</v>
      </c>
      <c r="S183" s="127">
        <v>0</v>
      </c>
      <c r="T183" s="128">
        <f t="shared" si="23"/>
        <v>0</v>
      </c>
      <c r="AR183" s="129" t="s">
        <v>235</v>
      </c>
      <c r="AT183" s="129" t="s">
        <v>231</v>
      </c>
      <c r="AU183" s="129" t="s">
        <v>76</v>
      </c>
      <c r="AY183" s="13" t="s">
        <v>228</v>
      </c>
      <c r="BE183" s="130">
        <f t="shared" si="24"/>
        <v>0</v>
      </c>
      <c r="BF183" s="130">
        <f t="shared" si="25"/>
        <v>163.19999999999999</v>
      </c>
      <c r="BG183" s="130">
        <f t="shared" si="26"/>
        <v>0</v>
      </c>
      <c r="BH183" s="130">
        <f t="shared" si="27"/>
        <v>0</v>
      </c>
      <c r="BI183" s="130">
        <f t="shared" si="28"/>
        <v>0</v>
      </c>
      <c r="BJ183" s="13" t="s">
        <v>76</v>
      </c>
      <c r="BK183" s="130">
        <f t="shared" si="29"/>
        <v>163.19999999999999</v>
      </c>
      <c r="BL183" s="13" t="s">
        <v>235</v>
      </c>
      <c r="BM183" s="129" t="s">
        <v>372</v>
      </c>
    </row>
    <row r="184" spans="2:65" s="1" customFormat="1" ht="36" customHeight="1" x14ac:dyDescent="0.2">
      <c r="B184" s="118"/>
      <c r="C184" s="119" t="s">
        <v>303</v>
      </c>
      <c r="D184" s="119" t="s">
        <v>231</v>
      </c>
      <c r="E184" s="120" t="s">
        <v>3015</v>
      </c>
      <c r="F184" s="121" t="s">
        <v>3016</v>
      </c>
      <c r="G184" s="122" t="s">
        <v>292</v>
      </c>
      <c r="H184" s="123">
        <v>80</v>
      </c>
      <c r="I184" s="124">
        <v>10.66</v>
      </c>
      <c r="J184" s="124">
        <f t="shared" si="20"/>
        <v>852.8</v>
      </c>
      <c r="K184" s="121" t="s">
        <v>1</v>
      </c>
      <c r="L184" s="24"/>
      <c r="M184" s="125" t="s">
        <v>1</v>
      </c>
      <c r="N184" s="126" t="s">
        <v>32</v>
      </c>
      <c r="O184" s="127">
        <v>0</v>
      </c>
      <c r="P184" s="127">
        <f t="shared" si="21"/>
        <v>0</v>
      </c>
      <c r="Q184" s="127">
        <v>0</v>
      </c>
      <c r="R184" s="127">
        <f t="shared" si="22"/>
        <v>0</v>
      </c>
      <c r="S184" s="127">
        <v>0</v>
      </c>
      <c r="T184" s="128">
        <f t="shared" si="23"/>
        <v>0</v>
      </c>
      <c r="AR184" s="129" t="s">
        <v>235</v>
      </c>
      <c r="AT184" s="129" t="s">
        <v>231</v>
      </c>
      <c r="AU184" s="129" t="s">
        <v>76</v>
      </c>
      <c r="AY184" s="13" t="s">
        <v>228</v>
      </c>
      <c r="BE184" s="130">
        <f t="shared" si="24"/>
        <v>0</v>
      </c>
      <c r="BF184" s="130">
        <f t="shared" si="25"/>
        <v>852.8</v>
      </c>
      <c r="BG184" s="130">
        <f t="shared" si="26"/>
        <v>0</v>
      </c>
      <c r="BH184" s="130">
        <f t="shared" si="27"/>
        <v>0</v>
      </c>
      <c r="BI184" s="130">
        <f t="shared" si="28"/>
        <v>0</v>
      </c>
      <c r="BJ184" s="13" t="s">
        <v>76</v>
      </c>
      <c r="BK184" s="130">
        <f t="shared" si="29"/>
        <v>852.8</v>
      </c>
      <c r="BL184" s="13" t="s">
        <v>235</v>
      </c>
      <c r="BM184" s="129" t="s">
        <v>375</v>
      </c>
    </row>
    <row r="185" spans="2:65" s="1" customFormat="1" ht="36" customHeight="1" x14ac:dyDescent="0.2">
      <c r="B185" s="118"/>
      <c r="C185" s="119" t="s">
        <v>376</v>
      </c>
      <c r="D185" s="119" t="s">
        <v>231</v>
      </c>
      <c r="E185" s="120" t="s">
        <v>3017</v>
      </c>
      <c r="F185" s="121" t="s">
        <v>3018</v>
      </c>
      <c r="G185" s="122" t="s">
        <v>292</v>
      </c>
      <c r="H185" s="123">
        <v>40</v>
      </c>
      <c r="I185" s="124">
        <v>12.11</v>
      </c>
      <c r="J185" s="124">
        <f t="shared" si="20"/>
        <v>484.4</v>
      </c>
      <c r="K185" s="121" t="s">
        <v>1</v>
      </c>
      <c r="L185" s="24"/>
      <c r="M185" s="125" t="s">
        <v>1</v>
      </c>
      <c r="N185" s="126" t="s">
        <v>32</v>
      </c>
      <c r="O185" s="127">
        <v>0</v>
      </c>
      <c r="P185" s="127">
        <f t="shared" si="21"/>
        <v>0</v>
      </c>
      <c r="Q185" s="127">
        <v>0</v>
      </c>
      <c r="R185" s="127">
        <f t="shared" si="22"/>
        <v>0</v>
      </c>
      <c r="S185" s="127">
        <v>0</v>
      </c>
      <c r="T185" s="128">
        <f t="shared" si="23"/>
        <v>0</v>
      </c>
      <c r="AR185" s="129" t="s">
        <v>235</v>
      </c>
      <c r="AT185" s="129" t="s">
        <v>231</v>
      </c>
      <c r="AU185" s="129" t="s">
        <v>76</v>
      </c>
      <c r="AY185" s="13" t="s">
        <v>228</v>
      </c>
      <c r="BE185" s="130">
        <f t="shared" si="24"/>
        <v>0</v>
      </c>
      <c r="BF185" s="130">
        <f t="shared" si="25"/>
        <v>484.4</v>
      </c>
      <c r="BG185" s="130">
        <f t="shared" si="26"/>
        <v>0</v>
      </c>
      <c r="BH185" s="130">
        <f t="shared" si="27"/>
        <v>0</v>
      </c>
      <c r="BI185" s="130">
        <f t="shared" si="28"/>
        <v>0</v>
      </c>
      <c r="BJ185" s="13" t="s">
        <v>76</v>
      </c>
      <c r="BK185" s="130">
        <f t="shared" si="29"/>
        <v>484.4</v>
      </c>
      <c r="BL185" s="13" t="s">
        <v>235</v>
      </c>
      <c r="BM185" s="129" t="s">
        <v>379</v>
      </c>
    </row>
    <row r="186" spans="2:65" s="1" customFormat="1" ht="16.5" customHeight="1" x14ac:dyDescent="0.2">
      <c r="B186" s="118"/>
      <c r="C186" s="119" t="s">
        <v>308</v>
      </c>
      <c r="D186" s="119" t="s">
        <v>231</v>
      </c>
      <c r="E186" s="120" t="s">
        <v>3019</v>
      </c>
      <c r="F186" s="121" t="s">
        <v>3020</v>
      </c>
      <c r="G186" s="122" t="s">
        <v>284</v>
      </c>
      <c r="H186" s="123">
        <v>1</v>
      </c>
      <c r="I186" s="124">
        <v>57.4</v>
      </c>
      <c r="J186" s="124">
        <f t="shared" si="20"/>
        <v>57.4</v>
      </c>
      <c r="K186" s="121" t="s">
        <v>1</v>
      </c>
      <c r="L186" s="24"/>
      <c r="M186" s="125" t="s">
        <v>1</v>
      </c>
      <c r="N186" s="126" t="s">
        <v>32</v>
      </c>
      <c r="O186" s="127">
        <v>0</v>
      </c>
      <c r="P186" s="127">
        <f t="shared" si="21"/>
        <v>0</v>
      </c>
      <c r="Q186" s="127">
        <v>0</v>
      </c>
      <c r="R186" s="127">
        <f t="shared" si="22"/>
        <v>0</v>
      </c>
      <c r="S186" s="127">
        <v>0</v>
      </c>
      <c r="T186" s="128">
        <f t="shared" si="23"/>
        <v>0</v>
      </c>
      <c r="AR186" s="129" t="s">
        <v>235</v>
      </c>
      <c r="AT186" s="129" t="s">
        <v>231</v>
      </c>
      <c r="AU186" s="129" t="s">
        <v>76</v>
      </c>
      <c r="AY186" s="13" t="s">
        <v>228</v>
      </c>
      <c r="BE186" s="130">
        <f t="shared" si="24"/>
        <v>0</v>
      </c>
      <c r="BF186" s="130">
        <f t="shared" si="25"/>
        <v>57.4</v>
      </c>
      <c r="BG186" s="130">
        <f t="shared" si="26"/>
        <v>0</v>
      </c>
      <c r="BH186" s="130">
        <f t="shared" si="27"/>
        <v>0</v>
      </c>
      <c r="BI186" s="130">
        <f t="shared" si="28"/>
        <v>0</v>
      </c>
      <c r="BJ186" s="13" t="s">
        <v>76</v>
      </c>
      <c r="BK186" s="130">
        <f t="shared" si="29"/>
        <v>57.4</v>
      </c>
      <c r="BL186" s="13" t="s">
        <v>235</v>
      </c>
      <c r="BM186" s="129" t="s">
        <v>382</v>
      </c>
    </row>
    <row r="187" spans="2:65" s="1" customFormat="1" ht="16.5" customHeight="1" x14ac:dyDescent="0.2">
      <c r="B187" s="118"/>
      <c r="C187" s="119" t="s">
        <v>383</v>
      </c>
      <c r="D187" s="119" t="s">
        <v>231</v>
      </c>
      <c r="E187" s="120" t="s">
        <v>3021</v>
      </c>
      <c r="F187" s="121" t="s">
        <v>3022</v>
      </c>
      <c r="G187" s="122" t="s">
        <v>1194</v>
      </c>
      <c r="H187" s="123">
        <v>2</v>
      </c>
      <c r="I187" s="124">
        <v>90.56</v>
      </c>
      <c r="J187" s="124">
        <f t="shared" si="20"/>
        <v>181.12</v>
      </c>
      <c r="K187" s="121" t="s">
        <v>1</v>
      </c>
      <c r="L187" s="24"/>
      <c r="M187" s="125" t="s">
        <v>1</v>
      </c>
      <c r="N187" s="126" t="s">
        <v>32</v>
      </c>
      <c r="O187" s="127">
        <v>0</v>
      </c>
      <c r="P187" s="127">
        <f t="shared" si="21"/>
        <v>0</v>
      </c>
      <c r="Q187" s="127">
        <v>0</v>
      </c>
      <c r="R187" s="127">
        <f t="shared" si="22"/>
        <v>0</v>
      </c>
      <c r="S187" s="127">
        <v>0</v>
      </c>
      <c r="T187" s="128">
        <f t="shared" si="23"/>
        <v>0</v>
      </c>
      <c r="AR187" s="129" t="s">
        <v>235</v>
      </c>
      <c r="AT187" s="129" t="s">
        <v>231</v>
      </c>
      <c r="AU187" s="129" t="s">
        <v>76</v>
      </c>
      <c r="AY187" s="13" t="s">
        <v>228</v>
      </c>
      <c r="BE187" s="130">
        <f t="shared" si="24"/>
        <v>0</v>
      </c>
      <c r="BF187" s="130">
        <f t="shared" si="25"/>
        <v>181.12</v>
      </c>
      <c r="BG187" s="130">
        <f t="shared" si="26"/>
        <v>0</v>
      </c>
      <c r="BH187" s="130">
        <f t="shared" si="27"/>
        <v>0</v>
      </c>
      <c r="BI187" s="130">
        <f t="shared" si="28"/>
        <v>0</v>
      </c>
      <c r="BJ187" s="13" t="s">
        <v>76</v>
      </c>
      <c r="BK187" s="130">
        <f t="shared" si="29"/>
        <v>181.12</v>
      </c>
      <c r="BL187" s="13" t="s">
        <v>235</v>
      </c>
      <c r="BM187" s="129" t="s">
        <v>386</v>
      </c>
    </row>
    <row r="188" spans="2:65" s="1" customFormat="1" ht="16.5" customHeight="1" x14ac:dyDescent="0.2">
      <c r="B188" s="118"/>
      <c r="C188" s="119" t="s">
        <v>312</v>
      </c>
      <c r="D188" s="119" t="s">
        <v>231</v>
      </c>
      <c r="E188" s="120" t="s">
        <v>3023</v>
      </c>
      <c r="F188" s="121" t="s">
        <v>3024</v>
      </c>
      <c r="G188" s="122" t="s">
        <v>292</v>
      </c>
      <c r="H188" s="123">
        <v>72</v>
      </c>
      <c r="I188" s="124">
        <v>2.79</v>
      </c>
      <c r="J188" s="124">
        <f t="shared" si="20"/>
        <v>200.88</v>
      </c>
      <c r="K188" s="121" t="s">
        <v>1</v>
      </c>
      <c r="L188" s="24"/>
      <c r="M188" s="125" t="s">
        <v>1</v>
      </c>
      <c r="N188" s="126" t="s">
        <v>32</v>
      </c>
      <c r="O188" s="127">
        <v>0</v>
      </c>
      <c r="P188" s="127">
        <f t="shared" si="21"/>
        <v>0</v>
      </c>
      <c r="Q188" s="127">
        <v>0</v>
      </c>
      <c r="R188" s="127">
        <f t="shared" si="22"/>
        <v>0</v>
      </c>
      <c r="S188" s="127">
        <v>0</v>
      </c>
      <c r="T188" s="128">
        <f t="shared" si="23"/>
        <v>0</v>
      </c>
      <c r="AR188" s="129" t="s">
        <v>235</v>
      </c>
      <c r="AT188" s="129" t="s">
        <v>231</v>
      </c>
      <c r="AU188" s="129" t="s">
        <v>76</v>
      </c>
      <c r="AY188" s="13" t="s">
        <v>228</v>
      </c>
      <c r="BE188" s="130">
        <f t="shared" si="24"/>
        <v>0</v>
      </c>
      <c r="BF188" s="130">
        <f t="shared" si="25"/>
        <v>200.88</v>
      </c>
      <c r="BG188" s="130">
        <f t="shared" si="26"/>
        <v>0</v>
      </c>
      <c r="BH188" s="130">
        <f t="shared" si="27"/>
        <v>0</v>
      </c>
      <c r="BI188" s="130">
        <f t="shared" si="28"/>
        <v>0</v>
      </c>
      <c r="BJ188" s="13" t="s">
        <v>76</v>
      </c>
      <c r="BK188" s="130">
        <f t="shared" si="29"/>
        <v>200.88</v>
      </c>
      <c r="BL188" s="13" t="s">
        <v>235</v>
      </c>
      <c r="BM188" s="129" t="s">
        <v>389</v>
      </c>
    </row>
    <row r="189" spans="2:65" s="1" customFormat="1" ht="16.5" customHeight="1" x14ac:dyDescent="0.2">
      <c r="B189" s="118"/>
      <c r="C189" s="119" t="s">
        <v>390</v>
      </c>
      <c r="D189" s="119" t="s">
        <v>231</v>
      </c>
      <c r="E189" s="120" t="s">
        <v>3025</v>
      </c>
      <c r="F189" s="121" t="s">
        <v>3026</v>
      </c>
      <c r="G189" s="122" t="s">
        <v>292</v>
      </c>
      <c r="H189" s="123">
        <v>252</v>
      </c>
      <c r="I189" s="124">
        <v>0.7</v>
      </c>
      <c r="J189" s="124">
        <f t="shared" si="20"/>
        <v>176.4</v>
      </c>
      <c r="K189" s="121" t="s">
        <v>1</v>
      </c>
      <c r="L189" s="24"/>
      <c r="M189" s="125" t="s">
        <v>1</v>
      </c>
      <c r="N189" s="126" t="s">
        <v>32</v>
      </c>
      <c r="O189" s="127">
        <v>0</v>
      </c>
      <c r="P189" s="127">
        <f t="shared" si="21"/>
        <v>0</v>
      </c>
      <c r="Q189" s="127">
        <v>0</v>
      </c>
      <c r="R189" s="127">
        <f t="shared" si="22"/>
        <v>0</v>
      </c>
      <c r="S189" s="127">
        <v>0</v>
      </c>
      <c r="T189" s="128">
        <f t="shared" si="23"/>
        <v>0</v>
      </c>
      <c r="AR189" s="129" t="s">
        <v>235</v>
      </c>
      <c r="AT189" s="129" t="s">
        <v>231</v>
      </c>
      <c r="AU189" s="129" t="s">
        <v>76</v>
      </c>
      <c r="AY189" s="13" t="s">
        <v>228</v>
      </c>
      <c r="BE189" s="130">
        <f t="shared" si="24"/>
        <v>0</v>
      </c>
      <c r="BF189" s="130">
        <f t="shared" si="25"/>
        <v>176.4</v>
      </c>
      <c r="BG189" s="130">
        <f t="shared" si="26"/>
        <v>0</v>
      </c>
      <c r="BH189" s="130">
        <f t="shared" si="27"/>
        <v>0</v>
      </c>
      <c r="BI189" s="130">
        <f t="shared" si="28"/>
        <v>0</v>
      </c>
      <c r="BJ189" s="13" t="s">
        <v>76</v>
      </c>
      <c r="BK189" s="130">
        <f t="shared" si="29"/>
        <v>176.4</v>
      </c>
      <c r="BL189" s="13" t="s">
        <v>235</v>
      </c>
      <c r="BM189" s="129" t="s">
        <v>393</v>
      </c>
    </row>
    <row r="190" spans="2:65" s="1" customFormat="1" ht="36" customHeight="1" x14ac:dyDescent="0.2">
      <c r="B190" s="118"/>
      <c r="C190" s="119" t="s">
        <v>316</v>
      </c>
      <c r="D190" s="119" t="s">
        <v>231</v>
      </c>
      <c r="E190" s="120" t="s">
        <v>4244</v>
      </c>
      <c r="F190" s="121" t="s">
        <v>4245</v>
      </c>
      <c r="G190" s="122" t="s">
        <v>292</v>
      </c>
      <c r="H190" s="123">
        <v>70</v>
      </c>
      <c r="I190" s="124">
        <v>25.05</v>
      </c>
      <c r="J190" s="124">
        <f t="shared" si="20"/>
        <v>1753.5</v>
      </c>
      <c r="K190" s="121" t="s">
        <v>1</v>
      </c>
      <c r="L190" s="24"/>
      <c r="M190" s="125" t="s">
        <v>1</v>
      </c>
      <c r="N190" s="126" t="s">
        <v>32</v>
      </c>
      <c r="O190" s="127">
        <v>0</v>
      </c>
      <c r="P190" s="127">
        <f t="shared" si="21"/>
        <v>0</v>
      </c>
      <c r="Q190" s="127">
        <v>0</v>
      </c>
      <c r="R190" s="127">
        <f t="shared" si="22"/>
        <v>0</v>
      </c>
      <c r="S190" s="127">
        <v>0</v>
      </c>
      <c r="T190" s="128">
        <f t="shared" si="23"/>
        <v>0</v>
      </c>
      <c r="AR190" s="129" t="s">
        <v>235</v>
      </c>
      <c r="AT190" s="129" t="s">
        <v>231</v>
      </c>
      <c r="AU190" s="129" t="s">
        <v>76</v>
      </c>
      <c r="AY190" s="13" t="s">
        <v>228</v>
      </c>
      <c r="BE190" s="130">
        <f t="shared" si="24"/>
        <v>0</v>
      </c>
      <c r="BF190" s="130">
        <f t="shared" si="25"/>
        <v>1753.5</v>
      </c>
      <c r="BG190" s="130">
        <f t="shared" si="26"/>
        <v>0</v>
      </c>
      <c r="BH190" s="130">
        <f t="shared" si="27"/>
        <v>0</v>
      </c>
      <c r="BI190" s="130">
        <f t="shared" si="28"/>
        <v>0</v>
      </c>
      <c r="BJ190" s="13" t="s">
        <v>76</v>
      </c>
      <c r="BK190" s="130">
        <f t="shared" si="29"/>
        <v>1753.5</v>
      </c>
      <c r="BL190" s="13" t="s">
        <v>235</v>
      </c>
      <c r="BM190" s="129" t="s">
        <v>396</v>
      </c>
    </row>
    <row r="191" spans="2:65" s="11" customFormat="1" ht="22.95" customHeight="1" x14ac:dyDescent="0.25">
      <c r="B191" s="106"/>
      <c r="D191" s="107" t="s">
        <v>57</v>
      </c>
      <c r="E191" s="116" t="s">
        <v>1227</v>
      </c>
      <c r="F191" s="116" t="s">
        <v>3027</v>
      </c>
      <c r="J191" s="117">
        <f>BK191</f>
        <v>12378.92</v>
      </c>
      <c r="L191" s="106"/>
      <c r="M191" s="110"/>
      <c r="N191" s="111"/>
      <c r="O191" s="111"/>
      <c r="P191" s="112">
        <f>SUM(P192:P205)</f>
        <v>0</v>
      </c>
      <c r="Q191" s="111"/>
      <c r="R191" s="112">
        <f>SUM(R192:R205)</f>
        <v>0</v>
      </c>
      <c r="S191" s="111"/>
      <c r="T191" s="113">
        <f>SUM(T192:T205)</f>
        <v>0</v>
      </c>
      <c r="AR191" s="107" t="s">
        <v>63</v>
      </c>
      <c r="AT191" s="114" t="s">
        <v>57</v>
      </c>
      <c r="AU191" s="114" t="s">
        <v>63</v>
      </c>
      <c r="AY191" s="107" t="s">
        <v>228</v>
      </c>
      <c r="BK191" s="115">
        <f>SUM(BK192:BK205)</f>
        <v>12378.92</v>
      </c>
    </row>
    <row r="192" spans="2:65" s="1" customFormat="1" ht="16.5" customHeight="1" x14ac:dyDescent="0.2">
      <c r="B192" s="118"/>
      <c r="C192" s="119" t="s">
        <v>397</v>
      </c>
      <c r="D192" s="119" t="s">
        <v>231</v>
      </c>
      <c r="E192" s="120" t="s">
        <v>3028</v>
      </c>
      <c r="F192" s="121" t="s">
        <v>3029</v>
      </c>
      <c r="G192" s="122" t="s">
        <v>1194</v>
      </c>
      <c r="H192" s="123">
        <v>2</v>
      </c>
      <c r="I192" s="124">
        <v>104.49</v>
      </c>
      <c r="J192" s="124">
        <f t="shared" ref="J192:J205" si="30">ROUND(I192*H192,2)</f>
        <v>208.98</v>
      </c>
      <c r="K192" s="121" t="s">
        <v>1</v>
      </c>
      <c r="L192" s="24"/>
      <c r="M192" s="125" t="s">
        <v>1</v>
      </c>
      <c r="N192" s="126" t="s">
        <v>32</v>
      </c>
      <c r="O192" s="127">
        <v>0</v>
      </c>
      <c r="P192" s="127">
        <f t="shared" ref="P192:P205" si="31">O192*H192</f>
        <v>0</v>
      </c>
      <c r="Q192" s="127">
        <v>0</v>
      </c>
      <c r="R192" s="127">
        <f t="shared" ref="R192:R205" si="32">Q192*H192</f>
        <v>0</v>
      </c>
      <c r="S192" s="127">
        <v>0</v>
      </c>
      <c r="T192" s="128">
        <f t="shared" ref="T192:T205" si="33">S192*H192</f>
        <v>0</v>
      </c>
      <c r="AR192" s="129" t="s">
        <v>235</v>
      </c>
      <c r="AT192" s="129" t="s">
        <v>231</v>
      </c>
      <c r="AU192" s="129" t="s">
        <v>76</v>
      </c>
      <c r="AY192" s="13" t="s">
        <v>228</v>
      </c>
      <c r="BE192" s="130">
        <f t="shared" ref="BE192:BE205" si="34">IF(N192="základná",J192,0)</f>
        <v>0</v>
      </c>
      <c r="BF192" s="130">
        <f t="shared" ref="BF192:BF205" si="35">IF(N192="znížená",J192,0)</f>
        <v>208.98</v>
      </c>
      <c r="BG192" s="130">
        <f t="shared" ref="BG192:BG205" si="36">IF(N192="zákl. prenesená",J192,0)</f>
        <v>0</v>
      </c>
      <c r="BH192" s="130">
        <f t="shared" ref="BH192:BH205" si="37">IF(N192="zníž. prenesená",J192,0)</f>
        <v>0</v>
      </c>
      <c r="BI192" s="130">
        <f t="shared" ref="BI192:BI205" si="38">IF(N192="nulová",J192,0)</f>
        <v>0</v>
      </c>
      <c r="BJ192" s="13" t="s">
        <v>76</v>
      </c>
      <c r="BK192" s="130">
        <f t="shared" ref="BK192:BK205" si="39">ROUND(I192*H192,2)</f>
        <v>208.98</v>
      </c>
      <c r="BL192" s="13" t="s">
        <v>235</v>
      </c>
      <c r="BM192" s="129" t="s">
        <v>400</v>
      </c>
    </row>
    <row r="193" spans="2:65" s="1" customFormat="1" ht="16.5" customHeight="1" x14ac:dyDescent="0.2">
      <c r="B193" s="118"/>
      <c r="C193" s="119" t="s">
        <v>319</v>
      </c>
      <c r="D193" s="119" t="s">
        <v>231</v>
      </c>
      <c r="E193" s="120" t="s">
        <v>3030</v>
      </c>
      <c r="F193" s="121" t="s">
        <v>3031</v>
      </c>
      <c r="G193" s="122" t="s">
        <v>292</v>
      </c>
      <c r="H193" s="123">
        <v>3550</v>
      </c>
      <c r="I193" s="124">
        <v>0.96</v>
      </c>
      <c r="J193" s="124">
        <f t="shared" si="30"/>
        <v>3408</v>
      </c>
      <c r="K193" s="121" t="s">
        <v>1</v>
      </c>
      <c r="L193" s="24"/>
      <c r="M193" s="125" t="s">
        <v>1</v>
      </c>
      <c r="N193" s="126" t="s">
        <v>32</v>
      </c>
      <c r="O193" s="127">
        <v>0</v>
      </c>
      <c r="P193" s="127">
        <f t="shared" si="31"/>
        <v>0</v>
      </c>
      <c r="Q193" s="127">
        <v>0</v>
      </c>
      <c r="R193" s="127">
        <f t="shared" si="32"/>
        <v>0</v>
      </c>
      <c r="S193" s="127">
        <v>0</v>
      </c>
      <c r="T193" s="128">
        <f t="shared" si="33"/>
        <v>0</v>
      </c>
      <c r="AR193" s="129" t="s">
        <v>235</v>
      </c>
      <c r="AT193" s="129" t="s">
        <v>231</v>
      </c>
      <c r="AU193" s="129" t="s">
        <v>76</v>
      </c>
      <c r="AY193" s="13" t="s">
        <v>228</v>
      </c>
      <c r="BE193" s="130">
        <f t="shared" si="34"/>
        <v>0</v>
      </c>
      <c r="BF193" s="130">
        <f t="shared" si="35"/>
        <v>3408</v>
      </c>
      <c r="BG193" s="130">
        <f t="shared" si="36"/>
        <v>0</v>
      </c>
      <c r="BH193" s="130">
        <f t="shared" si="37"/>
        <v>0</v>
      </c>
      <c r="BI193" s="130">
        <f t="shared" si="38"/>
        <v>0</v>
      </c>
      <c r="BJ193" s="13" t="s">
        <v>76</v>
      </c>
      <c r="BK193" s="130">
        <f t="shared" si="39"/>
        <v>3408</v>
      </c>
      <c r="BL193" s="13" t="s">
        <v>235</v>
      </c>
      <c r="BM193" s="129" t="s">
        <v>404</v>
      </c>
    </row>
    <row r="194" spans="2:65" s="1" customFormat="1" ht="16.5" customHeight="1" x14ac:dyDescent="0.2">
      <c r="B194" s="118"/>
      <c r="C194" s="119" t="s">
        <v>407</v>
      </c>
      <c r="D194" s="119" t="s">
        <v>231</v>
      </c>
      <c r="E194" s="120" t="s">
        <v>3032</v>
      </c>
      <c r="F194" s="121" t="s">
        <v>3033</v>
      </c>
      <c r="G194" s="122" t="s">
        <v>292</v>
      </c>
      <c r="H194" s="123">
        <v>40</v>
      </c>
      <c r="I194" s="124">
        <v>1.24</v>
      </c>
      <c r="J194" s="124">
        <f t="shared" si="30"/>
        <v>49.6</v>
      </c>
      <c r="K194" s="121" t="s">
        <v>1</v>
      </c>
      <c r="L194" s="24"/>
      <c r="M194" s="125" t="s">
        <v>1</v>
      </c>
      <c r="N194" s="126" t="s">
        <v>32</v>
      </c>
      <c r="O194" s="127">
        <v>0</v>
      </c>
      <c r="P194" s="127">
        <f t="shared" si="31"/>
        <v>0</v>
      </c>
      <c r="Q194" s="127">
        <v>0</v>
      </c>
      <c r="R194" s="127">
        <f t="shared" si="32"/>
        <v>0</v>
      </c>
      <c r="S194" s="127">
        <v>0</v>
      </c>
      <c r="T194" s="128">
        <f t="shared" si="33"/>
        <v>0</v>
      </c>
      <c r="AR194" s="129" t="s">
        <v>235</v>
      </c>
      <c r="AT194" s="129" t="s">
        <v>231</v>
      </c>
      <c r="AU194" s="129" t="s">
        <v>76</v>
      </c>
      <c r="AY194" s="13" t="s">
        <v>228</v>
      </c>
      <c r="BE194" s="130">
        <f t="shared" si="34"/>
        <v>0</v>
      </c>
      <c r="BF194" s="130">
        <f t="shared" si="35"/>
        <v>49.6</v>
      </c>
      <c r="BG194" s="130">
        <f t="shared" si="36"/>
        <v>0</v>
      </c>
      <c r="BH194" s="130">
        <f t="shared" si="37"/>
        <v>0</v>
      </c>
      <c r="BI194" s="130">
        <f t="shared" si="38"/>
        <v>0</v>
      </c>
      <c r="BJ194" s="13" t="s">
        <v>76</v>
      </c>
      <c r="BK194" s="130">
        <f t="shared" si="39"/>
        <v>49.6</v>
      </c>
      <c r="BL194" s="13" t="s">
        <v>235</v>
      </c>
      <c r="BM194" s="129" t="s">
        <v>410</v>
      </c>
    </row>
    <row r="195" spans="2:65" s="1" customFormat="1" ht="16.5" customHeight="1" x14ac:dyDescent="0.2">
      <c r="B195" s="118"/>
      <c r="C195" s="119" t="s">
        <v>323</v>
      </c>
      <c r="D195" s="119" t="s">
        <v>231</v>
      </c>
      <c r="E195" s="120" t="s">
        <v>3034</v>
      </c>
      <c r="F195" s="121" t="s">
        <v>3035</v>
      </c>
      <c r="G195" s="122" t="s">
        <v>292</v>
      </c>
      <c r="H195" s="123">
        <v>517</v>
      </c>
      <c r="I195" s="124">
        <v>0.68</v>
      </c>
      <c r="J195" s="124">
        <f t="shared" si="30"/>
        <v>351.56</v>
      </c>
      <c r="K195" s="121" t="s">
        <v>1</v>
      </c>
      <c r="L195" s="24"/>
      <c r="M195" s="125" t="s">
        <v>1</v>
      </c>
      <c r="N195" s="126" t="s">
        <v>32</v>
      </c>
      <c r="O195" s="127">
        <v>0</v>
      </c>
      <c r="P195" s="127">
        <f t="shared" si="31"/>
        <v>0</v>
      </c>
      <c r="Q195" s="127">
        <v>0</v>
      </c>
      <c r="R195" s="127">
        <f t="shared" si="32"/>
        <v>0</v>
      </c>
      <c r="S195" s="127">
        <v>0</v>
      </c>
      <c r="T195" s="128">
        <f t="shared" si="33"/>
        <v>0</v>
      </c>
      <c r="AR195" s="129" t="s">
        <v>235</v>
      </c>
      <c r="AT195" s="129" t="s">
        <v>231</v>
      </c>
      <c r="AU195" s="129" t="s">
        <v>76</v>
      </c>
      <c r="AY195" s="13" t="s">
        <v>228</v>
      </c>
      <c r="BE195" s="130">
        <f t="shared" si="34"/>
        <v>0</v>
      </c>
      <c r="BF195" s="130">
        <f t="shared" si="35"/>
        <v>351.56</v>
      </c>
      <c r="BG195" s="130">
        <f t="shared" si="36"/>
        <v>0</v>
      </c>
      <c r="BH195" s="130">
        <f t="shared" si="37"/>
        <v>0</v>
      </c>
      <c r="BI195" s="130">
        <f t="shared" si="38"/>
        <v>0</v>
      </c>
      <c r="BJ195" s="13" t="s">
        <v>76</v>
      </c>
      <c r="BK195" s="130">
        <f t="shared" si="39"/>
        <v>351.56</v>
      </c>
      <c r="BL195" s="13" t="s">
        <v>235</v>
      </c>
      <c r="BM195" s="129" t="s">
        <v>414</v>
      </c>
    </row>
    <row r="196" spans="2:65" s="1" customFormat="1" ht="16.5" customHeight="1" x14ac:dyDescent="0.2">
      <c r="B196" s="118"/>
      <c r="C196" s="119" t="s">
        <v>415</v>
      </c>
      <c r="D196" s="119" t="s">
        <v>231</v>
      </c>
      <c r="E196" s="120" t="s">
        <v>3036</v>
      </c>
      <c r="F196" s="121" t="s">
        <v>3037</v>
      </c>
      <c r="G196" s="122" t="s">
        <v>292</v>
      </c>
      <c r="H196" s="123">
        <v>300</v>
      </c>
      <c r="I196" s="124">
        <v>1.46</v>
      </c>
      <c r="J196" s="124">
        <f t="shared" si="30"/>
        <v>438</v>
      </c>
      <c r="K196" s="121" t="s">
        <v>1</v>
      </c>
      <c r="L196" s="24"/>
      <c r="M196" s="125" t="s">
        <v>1</v>
      </c>
      <c r="N196" s="126" t="s">
        <v>32</v>
      </c>
      <c r="O196" s="127">
        <v>0</v>
      </c>
      <c r="P196" s="127">
        <f t="shared" si="31"/>
        <v>0</v>
      </c>
      <c r="Q196" s="127">
        <v>0</v>
      </c>
      <c r="R196" s="127">
        <f t="shared" si="32"/>
        <v>0</v>
      </c>
      <c r="S196" s="127">
        <v>0</v>
      </c>
      <c r="T196" s="128">
        <f t="shared" si="33"/>
        <v>0</v>
      </c>
      <c r="AR196" s="129" t="s">
        <v>235</v>
      </c>
      <c r="AT196" s="129" t="s">
        <v>231</v>
      </c>
      <c r="AU196" s="129" t="s">
        <v>76</v>
      </c>
      <c r="AY196" s="13" t="s">
        <v>228</v>
      </c>
      <c r="BE196" s="130">
        <f t="shared" si="34"/>
        <v>0</v>
      </c>
      <c r="BF196" s="130">
        <f t="shared" si="35"/>
        <v>438</v>
      </c>
      <c r="BG196" s="130">
        <f t="shared" si="36"/>
        <v>0</v>
      </c>
      <c r="BH196" s="130">
        <f t="shared" si="37"/>
        <v>0</v>
      </c>
      <c r="BI196" s="130">
        <f t="shared" si="38"/>
        <v>0</v>
      </c>
      <c r="BJ196" s="13" t="s">
        <v>76</v>
      </c>
      <c r="BK196" s="130">
        <f t="shared" si="39"/>
        <v>438</v>
      </c>
      <c r="BL196" s="13" t="s">
        <v>235</v>
      </c>
      <c r="BM196" s="129" t="s">
        <v>418</v>
      </c>
    </row>
    <row r="197" spans="2:65" s="1" customFormat="1" ht="16.5" customHeight="1" x14ac:dyDescent="0.2">
      <c r="B197" s="118"/>
      <c r="C197" s="119" t="s">
        <v>326</v>
      </c>
      <c r="D197" s="119" t="s">
        <v>231</v>
      </c>
      <c r="E197" s="120" t="s">
        <v>3038</v>
      </c>
      <c r="F197" s="121" t="s">
        <v>3039</v>
      </c>
      <c r="G197" s="122" t="s">
        <v>292</v>
      </c>
      <c r="H197" s="123">
        <v>240</v>
      </c>
      <c r="I197" s="124">
        <v>1.6</v>
      </c>
      <c r="J197" s="124">
        <f t="shared" si="30"/>
        <v>384</v>
      </c>
      <c r="K197" s="121" t="s">
        <v>1</v>
      </c>
      <c r="L197" s="24"/>
      <c r="M197" s="125" t="s">
        <v>1</v>
      </c>
      <c r="N197" s="126" t="s">
        <v>32</v>
      </c>
      <c r="O197" s="127">
        <v>0</v>
      </c>
      <c r="P197" s="127">
        <f t="shared" si="31"/>
        <v>0</v>
      </c>
      <c r="Q197" s="127">
        <v>0</v>
      </c>
      <c r="R197" s="127">
        <f t="shared" si="32"/>
        <v>0</v>
      </c>
      <c r="S197" s="127">
        <v>0</v>
      </c>
      <c r="T197" s="128">
        <f t="shared" si="33"/>
        <v>0</v>
      </c>
      <c r="AR197" s="129" t="s">
        <v>235</v>
      </c>
      <c r="AT197" s="129" t="s">
        <v>231</v>
      </c>
      <c r="AU197" s="129" t="s">
        <v>76</v>
      </c>
      <c r="AY197" s="13" t="s">
        <v>228</v>
      </c>
      <c r="BE197" s="130">
        <f t="shared" si="34"/>
        <v>0</v>
      </c>
      <c r="BF197" s="130">
        <f t="shared" si="35"/>
        <v>384</v>
      </c>
      <c r="BG197" s="130">
        <f t="shared" si="36"/>
        <v>0</v>
      </c>
      <c r="BH197" s="130">
        <f t="shared" si="37"/>
        <v>0</v>
      </c>
      <c r="BI197" s="130">
        <f t="shared" si="38"/>
        <v>0</v>
      </c>
      <c r="BJ197" s="13" t="s">
        <v>76</v>
      </c>
      <c r="BK197" s="130">
        <f t="shared" si="39"/>
        <v>384</v>
      </c>
      <c r="BL197" s="13" t="s">
        <v>235</v>
      </c>
      <c r="BM197" s="129" t="s">
        <v>421</v>
      </c>
    </row>
    <row r="198" spans="2:65" s="1" customFormat="1" ht="16.5" customHeight="1" x14ac:dyDescent="0.2">
      <c r="B198" s="118"/>
      <c r="C198" s="119" t="s">
        <v>422</v>
      </c>
      <c r="D198" s="119" t="s">
        <v>231</v>
      </c>
      <c r="E198" s="120" t="s">
        <v>3040</v>
      </c>
      <c r="F198" s="121" t="s">
        <v>3041</v>
      </c>
      <c r="G198" s="122" t="s">
        <v>292</v>
      </c>
      <c r="H198" s="123">
        <v>80</v>
      </c>
      <c r="I198" s="124">
        <v>10.86</v>
      </c>
      <c r="J198" s="124">
        <f t="shared" si="30"/>
        <v>868.8</v>
      </c>
      <c r="K198" s="121" t="s">
        <v>1</v>
      </c>
      <c r="L198" s="24"/>
      <c r="M198" s="125" t="s">
        <v>1</v>
      </c>
      <c r="N198" s="126" t="s">
        <v>32</v>
      </c>
      <c r="O198" s="127">
        <v>0</v>
      </c>
      <c r="P198" s="127">
        <f t="shared" si="31"/>
        <v>0</v>
      </c>
      <c r="Q198" s="127">
        <v>0</v>
      </c>
      <c r="R198" s="127">
        <f t="shared" si="32"/>
        <v>0</v>
      </c>
      <c r="S198" s="127">
        <v>0</v>
      </c>
      <c r="T198" s="128">
        <f t="shared" si="33"/>
        <v>0</v>
      </c>
      <c r="AR198" s="129" t="s">
        <v>235</v>
      </c>
      <c r="AT198" s="129" t="s">
        <v>231</v>
      </c>
      <c r="AU198" s="129" t="s">
        <v>76</v>
      </c>
      <c r="AY198" s="13" t="s">
        <v>228</v>
      </c>
      <c r="BE198" s="130">
        <f t="shared" si="34"/>
        <v>0</v>
      </c>
      <c r="BF198" s="130">
        <f t="shared" si="35"/>
        <v>868.8</v>
      </c>
      <c r="BG198" s="130">
        <f t="shared" si="36"/>
        <v>0</v>
      </c>
      <c r="BH198" s="130">
        <f t="shared" si="37"/>
        <v>0</v>
      </c>
      <c r="BI198" s="130">
        <f t="shared" si="38"/>
        <v>0</v>
      </c>
      <c r="BJ198" s="13" t="s">
        <v>76</v>
      </c>
      <c r="BK198" s="130">
        <f t="shared" si="39"/>
        <v>868.8</v>
      </c>
      <c r="BL198" s="13" t="s">
        <v>235</v>
      </c>
      <c r="BM198" s="129" t="s">
        <v>425</v>
      </c>
    </row>
    <row r="199" spans="2:65" s="1" customFormat="1" ht="16.5" customHeight="1" x14ac:dyDescent="0.2">
      <c r="B199" s="118"/>
      <c r="C199" s="119" t="s">
        <v>330</v>
      </c>
      <c r="D199" s="119" t="s">
        <v>231</v>
      </c>
      <c r="E199" s="120" t="s">
        <v>3042</v>
      </c>
      <c r="F199" s="121" t="s">
        <v>3043</v>
      </c>
      <c r="G199" s="122" t="s">
        <v>292</v>
      </c>
      <c r="H199" s="123">
        <v>40</v>
      </c>
      <c r="I199" s="124">
        <v>12.05</v>
      </c>
      <c r="J199" s="124">
        <f t="shared" si="30"/>
        <v>482</v>
      </c>
      <c r="K199" s="121" t="s">
        <v>1</v>
      </c>
      <c r="L199" s="24"/>
      <c r="M199" s="125" t="s">
        <v>1</v>
      </c>
      <c r="N199" s="126" t="s">
        <v>32</v>
      </c>
      <c r="O199" s="127">
        <v>0</v>
      </c>
      <c r="P199" s="127">
        <f t="shared" si="31"/>
        <v>0</v>
      </c>
      <c r="Q199" s="127">
        <v>0</v>
      </c>
      <c r="R199" s="127">
        <f t="shared" si="32"/>
        <v>0</v>
      </c>
      <c r="S199" s="127">
        <v>0</v>
      </c>
      <c r="T199" s="128">
        <f t="shared" si="33"/>
        <v>0</v>
      </c>
      <c r="AR199" s="129" t="s">
        <v>235</v>
      </c>
      <c r="AT199" s="129" t="s">
        <v>231</v>
      </c>
      <c r="AU199" s="129" t="s">
        <v>76</v>
      </c>
      <c r="AY199" s="13" t="s">
        <v>228</v>
      </c>
      <c r="BE199" s="130">
        <f t="shared" si="34"/>
        <v>0</v>
      </c>
      <c r="BF199" s="130">
        <f t="shared" si="35"/>
        <v>482</v>
      </c>
      <c r="BG199" s="130">
        <f t="shared" si="36"/>
        <v>0</v>
      </c>
      <c r="BH199" s="130">
        <f t="shared" si="37"/>
        <v>0</v>
      </c>
      <c r="BI199" s="130">
        <f t="shared" si="38"/>
        <v>0</v>
      </c>
      <c r="BJ199" s="13" t="s">
        <v>76</v>
      </c>
      <c r="BK199" s="130">
        <f t="shared" si="39"/>
        <v>482</v>
      </c>
      <c r="BL199" s="13" t="s">
        <v>235</v>
      </c>
      <c r="BM199" s="129" t="s">
        <v>428</v>
      </c>
    </row>
    <row r="200" spans="2:65" s="1" customFormat="1" ht="16.5" customHeight="1" x14ac:dyDescent="0.2">
      <c r="B200" s="118"/>
      <c r="C200" s="119" t="s">
        <v>429</v>
      </c>
      <c r="D200" s="119" t="s">
        <v>231</v>
      </c>
      <c r="E200" s="120" t="s">
        <v>3044</v>
      </c>
      <c r="F200" s="121" t="s">
        <v>3045</v>
      </c>
      <c r="G200" s="122" t="s">
        <v>1194</v>
      </c>
      <c r="H200" s="123">
        <v>180</v>
      </c>
      <c r="I200" s="124">
        <v>8.2799999999999994</v>
      </c>
      <c r="J200" s="124">
        <f t="shared" si="30"/>
        <v>1490.4</v>
      </c>
      <c r="K200" s="121" t="s">
        <v>1</v>
      </c>
      <c r="L200" s="24"/>
      <c r="M200" s="125" t="s">
        <v>1</v>
      </c>
      <c r="N200" s="126" t="s">
        <v>32</v>
      </c>
      <c r="O200" s="127">
        <v>0</v>
      </c>
      <c r="P200" s="127">
        <f t="shared" si="31"/>
        <v>0</v>
      </c>
      <c r="Q200" s="127">
        <v>0</v>
      </c>
      <c r="R200" s="127">
        <f t="shared" si="32"/>
        <v>0</v>
      </c>
      <c r="S200" s="127">
        <v>0</v>
      </c>
      <c r="T200" s="128">
        <f t="shared" si="33"/>
        <v>0</v>
      </c>
      <c r="AR200" s="129" t="s">
        <v>235</v>
      </c>
      <c r="AT200" s="129" t="s">
        <v>231</v>
      </c>
      <c r="AU200" s="129" t="s">
        <v>76</v>
      </c>
      <c r="AY200" s="13" t="s">
        <v>228</v>
      </c>
      <c r="BE200" s="130">
        <f t="shared" si="34"/>
        <v>0</v>
      </c>
      <c r="BF200" s="130">
        <f t="shared" si="35"/>
        <v>1490.4</v>
      </c>
      <c r="BG200" s="130">
        <f t="shared" si="36"/>
        <v>0</v>
      </c>
      <c r="BH200" s="130">
        <f t="shared" si="37"/>
        <v>0</v>
      </c>
      <c r="BI200" s="130">
        <f t="shared" si="38"/>
        <v>0</v>
      </c>
      <c r="BJ200" s="13" t="s">
        <v>76</v>
      </c>
      <c r="BK200" s="130">
        <f t="shared" si="39"/>
        <v>1490.4</v>
      </c>
      <c r="BL200" s="13" t="s">
        <v>235</v>
      </c>
      <c r="BM200" s="129" t="s">
        <v>432</v>
      </c>
    </row>
    <row r="201" spans="2:65" s="1" customFormat="1" ht="16.5" customHeight="1" x14ac:dyDescent="0.2">
      <c r="B201" s="118"/>
      <c r="C201" s="119" t="s">
        <v>333</v>
      </c>
      <c r="D201" s="119" t="s">
        <v>231</v>
      </c>
      <c r="E201" s="120" t="s">
        <v>3046</v>
      </c>
      <c r="F201" s="121" t="s">
        <v>3047</v>
      </c>
      <c r="G201" s="122" t="s">
        <v>1194</v>
      </c>
      <c r="H201" s="123">
        <v>2</v>
      </c>
      <c r="I201" s="124">
        <v>167.18</v>
      </c>
      <c r="J201" s="124">
        <f t="shared" si="30"/>
        <v>334.36</v>
      </c>
      <c r="K201" s="121" t="s">
        <v>1</v>
      </c>
      <c r="L201" s="24"/>
      <c r="M201" s="125" t="s">
        <v>1</v>
      </c>
      <c r="N201" s="126" t="s">
        <v>32</v>
      </c>
      <c r="O201" s="127">
        <v>0</v>
      </c>
      <c r="P201" s="127">
        <f t="shared" si="31"/>
        <v>0</v>
      </c>
      <c r="Q201" s="127">
        <v>0</v>
      </c>
      <c r="R201" s="127">
        <f t="shared" si="32"/>
        <v>0</v>
      </c>
      <c r="S201" s="127">
        <v>0</v>
      </c>
      <c r="T201" s="128">
        <f t="shared" si="33"/>
        <v>0</v>
      </c>
      <c r="AR201" s="129" t="s">
        <v>235</v>
      </c>
      <c r="AT201" s="129" t="s">
        <v>231</v>
      </c>
      <c r="AU201" s="129" t="s">
        <v>76</v>
      </c>
      <c r="AY201" s="13" t="s">
        <v>228</v>
      </c>
      <c r="BE201" s="130">
        <f t="shared" si="34"/>
        <v>0</v>
      </c>
      <c r="BF201" s="130">
        <f t="shared" si="35"/>
        <v>334.36</v>
      </c>
      <c r="BG201" s="130">
        <f t="shared" si="36"/>
        <v>0</v>
      </c>
      <c r="BH201" s="130">
        <f t="shared" si="37"/>
        <v>0</v>
      </c>
      <c r="BI201" s="130">
        <f t="shared" si="38"/>
        <v>0</v>
      </c>
      <c r="BJ201" s="13" t="s">
        <v>76</v>
      </c>
      <c r="BK201" s="130">
        <f t="shared" si="39"/>
        <v>334.36</v>
      </c>
      <c r="BL201" s="13" t="s">
        <v>235</v>
      </c>
      <c r="BM201" s="129" t="s">
        <v>435</v>
      </c>
    </row>
    <row r="202" spans="2:65" s="1" customFormat="1" ht="16.5" customHeight="1" x14ac:dyDescent="0.2">
      <c r="B202" s="118"/>
      <c r="C202" s="119" t="s">
        <v>438</v>
      </c>
      <c r="D202" s="119" t="s">
        <v>231</v>
      </c>
      <c r="E202" s="120" t="s">
        <v>3048</v>
      </c>
      <c r="F202" s="121" t="s">
        <v>3049</v>
      </c>
      <c r="G202" s="122" t="s">
        <v>292</v>
      </c>
      <c r="H202" s="123">
        <v>72</v>
      </c>
      <c r="I202" s="124">
        <v>2.0499999999999998</v>
      </c>
      <c r="J202" s="124">
        <f t="shared" si="30"/>
        <v>147.6</v>
      </c>
      <c r="K202" s="121" t="s">
        <v>1</v>
      </c>
      <c r="L202" s="24"/>
      <c r="M202" s="125" t="s">
        <v>1</v>
      </c>
      <c r="N202" s="126" t="s">
        <v>32</v>
      </c>
      <c r="O202" s="127">
        <v>0</v>
      </c>
      <c r="P202" s="127">
        <f t="shared" si="31"/>
        <v>0</v>
      </c>
      <c r="Q202" s="127">
        <v>0</v>
      </c>
      <c r="R202" s="127">
        <f t="shared" si="32"/>
        <v>0</v>
      </c>
      <c r="S202" s="127">
        <v>0</v>
      </c>
      <c r="T202" s="128">
        <f t="shared" si="33"/>
        <v>0</v>
      </c>
      <c r="AR202" s="129" t="s">
        <v>235</v>
      </c>
      <c r="AT202" s="129" t="s">
        <v>231</v>
      </c>
      <c r="AU202" s="129" t="s">
        <v>76</v>
      </c>
      <c r="AY202" s="13" t="s">
        <v>228</v>
      </c>
      <c r="BE202" s="130">
        <f t="shared" si="34"/>
        <v>0</v>
      </c>
      <c r="BF202" s="130">
        <f t="shared" si="35"/>
        <v>147.6</v>
      </c>
      <c r="BG202" s="130">
        <f t="shared" si="36"/>
        <v>0</v>
      </c>
      <c r="BH202" s="130">
        <f t="shared" si="37"/>
        <v>0</v>
      </c>
      <c r="BI202" s="130">
        <f t="shared" si="38"/>
        <v>0</v>
      </c>
      <c r="BJ202" s="13" t="s">
        <v>76</v>
      </c>
      <c r="BK202" s="130">
        <f t="shared" si="39"/>
        <v>147.6</v>
      </c>
      <c r="BL202" s="13" t="s">
        <v>235</v>
      </c>
      <c r="BM202" s="129" t="s">
        <v>441</v>
      </c>
    </row>
    <row r="203" spans="2:65" s="1" customFormat="1" ht="16.5" customHeight="1" x14ac:dyDescent="0.2">
      <c r="B203" s="118"/>
      <c r="C203" s="119" t="s">
        <v>337</v>
      </c>
      <c r="D203" s="119" t="s">
        <v>231</v>
      </c>
      <c r="E203" s="120" t="s">
        <v>4246</v>
      </c>
      <c r="F203" s="121" t="s">
        <v>4247</v>
      </c>
      <c r="G203" s="122" t="s">
        <v>292</v>
      </c>
      <c r="H203" s="123">
        <v>322</v>
      </c>
      <c r="I203" s="124">
        <v>11.61</v>
      </c>
      <c r="J203" s="124">
        <f t="shared" si="30"/>
        <v>3738.42</v>
      </c>
      <c r="K203" s="121" t="s">
        <v>1</v>
      </c>
      <c r="L203" s="24"/>
      <c r="M203" s="125" t="s">
        <v>1</v>
      </c>
      <c r="N203" s="126" t="s">
        <v>32</v>
      </c>
      <c r="O203" s="127">
        <v>0</v>
      </c>
      <c r="P203" s="127">
        <f t="shared" si="31"/>
        <v>0</v>
      </c>
      <c r="Q203" s="127">
        <v>0</v>
      </c>
      <c r="R203" s="127">
        <f t="shared" si="32"/>
        <v>0</v>
      </c>
      <c r="S203" s="127">
        <v>0</v>
      </c>
      <c r="T203" s="128">
        <f t="shared" si="33"/>
        <v>0</v>
      </c>
      <c r="AR203" s="129" t="s">
        <v>235</v>
      </c>
      <c r="AT203" s="129" t="s">
        <v>231</v>
      </c>
      <c r="AU203" s="129" t="s">
        <v>76</v>
      </c>
      <c r="AY203" s="13" t="s">
        <v>228</v>
      </c>
      <c r="BE203" s="130">
        <f t="shared" si="34"/>
        <v>0</v>
      </c>
      <c r="BF203" s="130">
        <f t="shared" si="35"/>
        <v>3738.42</v>
      </c>
      <c r="BG203" s="130">
        <f t="shared" si="36"/>
        <v>0</v>
      </c>
      <c r="BH203" s="130">
        <f t="shared" si="37"/>
        <v>0</v>
      </c>
      <c r="BI203" s="130">
        <f t="shared" si="38"/>
        <v>0</v>
      </c>
      <c r="BJ203" s="13" t="s">
        <v>76</v>
      </c>
      <c r="BK203" s="130">
        <f t="shared" si="39"/>
        <v>3738.42</v>
      </c>
      <c r="BL203" s="13" t="s">
        <v>235</v>
      </c>
      <c r="BM203" s="129" t="s">
        <v>444</v>
      </c>
    </row>
    <row r="204" spans="2:65" s="1" customFormat="1" ht="16.5" customHeight="1" x14ac:dyDescent="0.2">
      <c r="B204" s="118"/>
      <c r="C204" s="119" t="s">
        <v>445</v>
      </c>
      <c r="D204" s="119" t="s">
        <v>231</v>
      </c>
      <c r="E204" s="120" t="s">
        <v>3050</v>
      </c>
      <c r="F204" s="121" t="s">
        <v>3051</v>
      </c>
      <c r="G204" s="122" t="s">
        <v>292</v>
      </c>
      <c r="H204" s="123">
        <v>252</v>
      </c>
      <c r="I204" s="124">
        <v>0.7</v>
      </c>
      <c r="J204" s="124">
        <f t="shared" si="30"/>
        <v>176.4</v>
      </c>
      <c r="K204" s="121" t="s">
        <v>1</v>
      </c>
      <c r="L204" s="24"/>
      <c r="M204" s="125" t="s">
        <v>1</v>
      </c>
      <c r="N204" s="126" t="s">
        <v>32</v>
      </c>
      <c r="O204" s="127">
        <v>0</v>
      </c>
      <c r="P204" s="127">
        <f t="shared" si="31"/>
        <v>0</v>
      </c>
      <c r="Q204" s="127">
        <v>0</v>
      </c>
      <c r="R204" s="127">
        <f t="shared" si="32"/>
        <v>0</v>
      </c>
      <c r="S204" s="127">
        <v>0</v>
      </c>
      <c r="T204" s="128">
        <f t="shared" si="33"/>
        <v>0</v>
      </c>
      <c r="AR204" s="129" t="s">
        <v>235</v>
      </c>
      <c r="AT204" s="129" t="s">
        <v>231</v>
      </c>
      <c r="AU204" s="129" t="s">
        <v>76</v>
      </c>
      <c r="AY204" s="13" t="s">
        <v>228</v>
      </c>
      <c r="BE204" s="130">
        <f t="shared" si="34"/>
        <v>0</v>
      </c>
      <c r="BF204" s="130">
        <f t="shared" si="35"/>
        <v>176.4</v>
      </c>
      <c r="BG204" s="130">
        <f t="shared" si="36"/>
        <v>0</v>
      </c>
      <c r="BH204" s="130">
        <f t="shared" si="37"/>
        <v>0</v>
      </c>
      <c r="BI204" s="130">
        <f t="shared" si="38"/>
        <v>0</v>
      </c>
      <c r="BJ204" s="13" t="s">
        <v>76</v>
      </c>
      <c r="BK204" s="130">
        <f t="shared" si="39"/>
        <v>176.4</v>
      </c>
      <c r="BL204" s="13" t="s">
        <v>235</v>
      </c>
      <c r="BM204" s="129" t="s">
        <v>448</v>
      </c>
    </row>
    <row r="205" spans="2:65" s="1" customFormat="1" ht="16.5" customHeight="1" x14ac:dyDescent="0.2">
      <c r="B205" s="118"/>
      <c r="C205" s="119" t="s">
        <v>340</v>
      </c>
      <c r="D205" s="119" t="s">
        <v>231</v>
      </c>
      <c r="E205" s="120" t="s">
        <v>3052</v>
      </c>
      <c r="F205" s="121" t="s">
        <v>3053</v>
      </c>
      <c r="G205" s="122" t="s">
        <v>292</v>
      </c>
      <c r="H205" s="123">
        <v>80</v>
      </c>
      <c r="I205" s="124">
        <v>3.76</v>
      </c>
      <c r="J205" s="124">
        <f t="shared" si="30"/>
        <v>300.8</v>
      </c>
      <c r="K205" s="121" t="s">
        <v>1</v>
      </c>
      <c r="L205" s="24"/>
      <c r="M205" s="125" t="s">
        <v>1</v>
      </c>
      <c r="N205" s="126" t="s">
        <v>32</v>
      </c>
      <c r="O205" s="127">
        <v>0</v>
      </c>
      <c r="P205" s="127">
        <f t="shared" si="31"/>
        <v>0</v>
      </c>
      <c r="Q205" s="127">
        <v>0</v>
      </c>
      <c r="R205" s="127">
        <f t="shared" si="32"/>
        <v>0</v>
      </c>
      <c r="S205" s="127">
        <v>0</v>
      </c>
      <c r="T205" s="128">
        <f t="shared" si="33"/>
        <v>0</v>
      </c>
      <c r="AR205" s="129" t="s">
        <v>235</v>
      </c>
      <c r="AT205" s="129" t="s">
        <v>231</v>
      </c>
      <c r="AU205" s="129" t="s">
        <v>76</v>
      </c>
      <c r="AY205" s="13" t="s">
        <v>228</v>
      </c>
      <c r="BE205" s="130">
        <f t="shared" si="34"/>
        <v>0</v>
      </c>
      <c r="BF205" s="130">
        <f t="shared" si="35"/>
        <v>300.8</v>
      </c>
      <c r="BG205" s="130">
        <f t="shared" si="36"/>
        <v>0</v>
      </c>
      <c r="BH205" s="130">
        <f t="shared" si="37"/>
        <v>0</v>
      </c>
      <c r="BI205" s="130">
        <f t="shared" si="38"/>
        <v>0</v>
      </c>
      <c r="BJ205" s="13" t="s">
        <v>76</v>
      </c>
      <c r="BK205" s="130">
        <f t="shared" si="39"/>
        <v>300.8</v>
      </c>
      <c r="BL205" s="13" t="s">
        <v>235</v>
      </c>
      <c r="BM205" s="129" t="s">
        <v>451</v>
      </c>
    </row>
    <row r="206" spans="2:65" s="11" customFormat="1" ht="22.95" customHeight="1" x14ac:dyDescent="0.25">
      <c r="B206" s="106"/>
      <c r="D206" s="107" t="s">
        <v>57</v>
      </c>
      <c r="E206" s="116" t="s">
        <v>1240</v>
      </c>
      <c r="F206" s="116" t="s">
        <v>3054</v>
      </c>
      <c r="J206" s="117">
        <f>BK206</f>
        <v>381.49</v>
      </c>
      <c r="L206" s="106"/>
      <c r="M206" s="110"/>
      <c r="N206" s="111"/>
      <c r="O206" s="111"/>
      <c r="P206" s="112">
        <f>SUM(P207:P209)</f>
        <v>0</v>
      </c>
      <c r="Q206" s="111"/>
      <c r="R206" s="112">
        <f>SUM(R207:R209)</f>
        <v>0</v>
      </c>
      <c r="S206" s="111"/>
      <c r="T206" s="113">
        <f>SUM(T207:T209)</f>
        <v>0</v>
      </c>
      <c r="AR206" s="107" t="s">
        <v>63</v>
      </c>
      <c r="AT206" s="114" t="s">
        <v>57</v>
      </c>
      <c r="AU206" s="114" t="s">
        <v>63</v>
      </c>
      <c r="AY206" s="107" t="s">
        <v>228</v>
      </c>
      <c r="BK206" s="115">
        <f>SUM(BK207:BK209)</f>
        <v>381.49</v>
      </c>
    </row>
    <row r="207" spans="2:65" s="1" customFormat="1" ht="16.5" customHeight="1" x14ac:dyDescent="0.2">
      <c r="B207" s="118"/>
      <c r="C207" s="119" t="s">
        <v>452</v>
      </c>
      <c r="D207" s="119" t="s">
        <v>231</v>
      </c>
      <c r="E207" s="120" t="s">
        <v>3055</v>
      </c>
      <c r="F207" s="121" t="s">
        <v>3056</v>
      </c>
      <c r="G207" s="122" t="s">
        <v>570</v>
      </c>
      <c r="H207" s="123">
        <v>1</v>
      </c>
      <c r="I207" s="124">
        <v>129.56</v>
      </c>
      <c r="J207" s="124">
        <f>ROUND(I207*H207,2)</f>
        <v>129.56</v>
      </c>
      <c r="K207" s="121" t="s">
        <v>1</v>
      </c>
      <c r="L207" s="24"/>
      <c r="M207" s="125" t="s">
        <v>1</v>
      </c>
      <c r="N207" s="126" t="s">
        <v>32</v>
      </c>
      <c r="O207" s="127">
        <v>0</v>
      </c>
      <c r="P207" s="127">
        <f>O207*H207</f>
        <v>0</v>
      </c>
      <c r="Q207" s="127">
        <v>0</v>
      </c>
      <c r="R207" s="127">
        <f>Q207*H207</f>
        <v>0</v>
      </c>
      <c r="S207" s="127">
        <v>0</v>
      </c>
      <c r="T207" s="128">
        <f>S207*H207</f>
        <v>0</v>
      </c>
      <c r="AR207" s="129" t="s">
        <v>235</v>
      </c>
      <c r="AT207" s="129" t="s">
        <v>231</v>
      </c>
      <c r="AU207" s="129" t="s">
        <v>76</v>
      </c>
      <c r="AY207" s="13" t="s">
        <v>228</v>
      </c>
      <c r="BE207" s="130">
        <f>IF(N207="základná",J207,0)</f>
        <v>0</v>
      </c>
      <c r="BF207" s="130">
        <f>IF(N207="znížená",J207,0)</f>
        <v>129.56</v>
      </c>
      <c r="BG207" s="130">
        <f>IF(N207="zákl. prenesená",J207,0)</f>
        <v>0</v>
      </c>
      <c r="BH207" s="130">
        <f>IF(N207="zníž. prenesená",J207,0)</f>
        <v>0</v>
      </c>
      <c r="BI207" s="130">
        <f>IF(N207="nulová",J207,0)</f>
        <v>0</v>
      </c>
      <c r="BJ207" s="13" t="s">
        <v>76</v>
      </c>
      <c r="BK207" s="130">
        <f>ROUND(I207*H207,2)</f>
        <v>129.56</v>
      </c>
      <c r="BL207" s="13" t="s">
        <v>235</v>
      </c>
      <c r="BM207" s="129" t="s">
        <v>455</v>
      </c>
    </row>
    <row r="208" spans="2:65" s="1" customFormat="1" ht="16.5" customHeight="1" x14ac:dyDescent="0.2">
      <c r="B208" s="118"/>
      <c r="C208" s="119" t="s">
        <v>344</v>
      </c>
      <c r="D208" s="119" t="s">
        <v>231</v>
      </c>
      <c r="E208" s="120" t="s">
        <v>3057</v>
      </c>
      <c r="F208" s="121" t="s">
        <v>3058</v>
      </c>
      <c r="G208" s="122" t="s">
        <v>570</v>
      </c>
      <c r="H208" s="123">
        <v>1</v>
      </c>
      <c r="I208" s="124">
        <v>35.99</v>
      </c>
      <c r="J208" s="124">
        <f>ROUND(I208*H208,2)</f>
        <v>35.99</v>
      </c>
      <c r="K208" s="121" t="s">
        <v>1</v>
      </c>
      <c r="L208" s="24"/>
      <c r="M208" s="125" t="s">
        <v>1</v>
      </c>
      <c r="N208" s="126" t="s">
        <v>32</v>
      </c>
      <c r="O208" s="127">
        <v>0</v>
      </c>
      <c r="P208" s="127">
        <f>O208*H208</f>
        <v>0</v>
      </c>
      <c r="Q208" s="127">
        <v>0</v>
      </c>
      <c r="R208" s="127">
        <f>Q208*H208</f>
        <v>0</v>
      </c>
      <c r="S208" s="127">
        <v>0</v>
      </c>
      <c r="T208" s="128">
        <f>S208*H208</f>
        <v>0</v>
      </c>
      <c r="AR208" s="129" t="s">
        <v>235</v>
      </c>
      <c r="AT208" s="129" t="s">
        <v>231</v>
      </c>
      <c r="AU208" s="129" t="s">
        <v>76</v>
      </c>
      <c r="AY208" s="13" t="s">
        <v>228</v>
      </c>
      <c r="BE208" s="130">
        <f>IF(N208="základná",J208,0)</f>
        <v>0</v>
      </c>
      <c r="BF208" s="130">
        <f>IF(N208="znížená",J208,0)</f>
        <v>35.99</v>
      </c>
      <c r="BG208" s="130">
        <f>IF(N208="zákl. prenesená",J208,0)</f>
        <v>0</v>
      </c>
      <c r="BH208" s="130">
        <f>IF(N208="zníž. prenesená",J208,0)</f>
        <v>0</v>
      </c>
      <c r="BI208" s="130">
        <f>IF(N208="nulová",J208,0)</f>
        <v>0</v>
      </c>
      <c r="BJ208" s="13" t="s">
        <v>76</v>
      </c>
      <c r="BK208" s="130">
        <f>ROUND(I208*H208,2)</f>
        <v>35.99</v>
      </c>
      <c r="BL208" s="13" t="s">
        <v>235</v>
      </c>
      <c r="BM208" s="129" t="s">
        <v>458</v>
      </c>
    </row>
    <row r="209" spans="2:65" s="1" customFormat="1" ht="16.5" customHeight="1" x14ac:dyDescent="0.2">
      <c r="B209" s="118"/>
      <c r="C209" s="119" t="s">
        <v>459</v>
      </c>
      <c r="D209" s="119" t="s">
        <v>231</v>
      </c>
      <c r="E209" s="120" t="s">
        <v>3059</v>
      </c>
      <c r="F209" s="121" t="s">
        <v>3060</v>
      </c>
      <c r="G209" s="122" t="s">
        <v>570</v>
      </c>
      <c r="H209" s="123">
        <v>1</v>
      </c>
      <c r="I209" s="124">
        <v>215.94</v>
      </c>
      <c r="J209" s="124">
        <f>ROUND(I209*H209,2)</f>
        <v>215.94</v>
      </c>
      <c r="K209" s="121" t="s">
        <v>1</v>
      </c>
      <c r="L209" s="24"/>
      <c r="M209" s="125" t="s">
        <v>1</v>
      </c>
      <c r="N209" s="126" t="s">
        <v>32</v>
      </c>
      <c r="O209" s="127">
        <v>0</v>
      </c>
      <c r="P209" s="127">
        <f>O209*H209</f>
        <v>0</v>
      </c>
      <c r="Q209" s="127">
        <v>0</v>
      </c>
      <c r="R209" s="127">
        <f>Q209*H209</f>
        <v>0</v>
      </c>
      <c r="S209" s="127">
        <v>0</v>
      </c>
      <c r="T209" s="128">
        <f>S209*H209</f>
        <v>0</v>
      </c>
      <c r="AR209" s="129" t="s">
        <v>235</v>
      </c>
      <c r="AT209" s="129" t="s">
        <v>231</v>
      </c>
      <c r="AU209" s="129" t="s">
        <v>76</v>
      </c>
      <c r="AY209" s="13" t="s">
        <v>228</v>
      </c>
      <c r="BE209" s="130">
        <f>IF(N209="základná",J209,0)</f>
        <v>0</v>
      </c>
      <c r="BF209" s="130">
        <f>IF(N209="znížená",J209,0)</f>
        <v>215.94</v>
      </c>
      <c r="BG209" s="130">
        <f>IF(N209="zákl. prenesená",J209,0)</f>
        <v>0</v>
      </c>
      <c r="BH209" s="130">
        <f>IF(N209="zníž. prenesená",J209,0)</f>
        <v>0</v>
      </c>
      <c r="BI209" s="130">
        <f>IF(N209="nulová",J209,0)</f>
        <v>0</v>
      </c>
      <c r="BJ209" s="13" t="s">
        <v>76</v>
      </c>
      <c r="BK209" s="130">
        <f>ROUND(I209*H209,2)</f>
        <v>215.94</v>
      </c>
      <c r="BL209" s="13" t="s">
        <v>235</v>
      </c>
      <c r="BM209" s="129" t="s">
        <v>462</v>
      </c>
    </row>
    <row r="210" spans="2:65" s="11" customFormat="1" ht="22.95" customHeight="1" x14ac:dyDescent="0.25">
      <c r="B210" s="106"/>
      <c r="D210" s="107" t="s">
        <v>57</v>
      </c>
      <c r="E210" s="116" t="s">
        <v>1247</v>
      </c>
      <c r="F210" s="116" t="s">
        <v>3061</v>
      </c>
      <c r="J210" s="117">
        <f>BK210</f>
        <v>610.03</v>
      </c>
      <c r="L210" s="106"/>
      <c r="M210" s="110"/>
      <c r="N210" s="111"/>
      <c r="O210" s="111"/>
      <c r="P210" s="112">
        <f>SUM(P211:P214)</f>
        <v>0</v>
      </c>
      <c r="Q210" s="111"/>
      <c r="R210" s="112">
        <f>SUM(R211:R214)</f>
        <v>0</v>
      </c>
      <c r="S210" s="111"/>
      <c r="T210" s="113">
        <f>SUM(T211:T214)</f>
        <v>0</v>
      </c>
      <c r="AR210" s="107" t="s">
        <v>63</v>
      </c>
      <c r="AT210" s="114" t="s">
        <v>57</v>
      </c>
      <c r="AU210" s="114" t="s">
        <v>63</v>
      </c>
      <c r="AY210" s="107" t="s">
        <v>228</v>
      </c>
      <c r="BK210" s="115">
        <f>SUM(BK211:BK214)</f>
        <v>610.03</v>
      </c>
    </row>
    <row r="211" spans="2:65" s="1" customFormat="1" ht="16.5" customHeight="1" x14ac:dyDescent="0.2">
      <c r="B211" s="118"/>
      <c r="C211" s="119" t="s">
        <v>347</v>
      </c>
      <c r="D211" s="119" t="s">
        <v>231</v>
      </c>
      <c r="E211" s="120" t="s">
        <v>3062</v>
      </c>
      <c r="F211" s="121" t="s">
        <v>3063</v>
      </c>
      <c r="G211" s="122" t="s">
        <v>570</v>
      </c>
      <c r="H211" s="123">
        <v>1</v>
      </c>
      <c r="I211" s="124">
        <v>136.76</v>
      </c>
      <c r="J211" s="124">
        <f>ROUND(I211*H211,2)</f>
        <v>136.76</v>
      </c>
      <c r="K211" s="121" t="s">
        <v>1</v>
      </c>
      <c r="L211" s="24"/>
      <c r="M211" s="125" t="s">
        <v>1</v>
      </c>
      <c r="N211" s="126" t="s">
        <v>32</v>
      </c>
      <c r="O211" s="127">
        <v>0</v>
      </c>
      <c r="P211" s="127">
        <f>O211*H211</f>
        <v>0</v>
      </c>
      <c r="Q211" s="127">
        <v>0</v>
      </c>
      <c r="R211" s="127">
        <f>Q211*H211</f>
        <v>0</v>
      </c>
      <c r="S211" s="127">
        <v>0</v>
      </c>
      <c r="T211" s="128">
        <f>S211*H211</f>
        <v>0</v>
      </c>
      <c r="AR211" s="129" t="s">
        <v>235</v>
      </c>
      <c r="AT211" s="129" t="s">
        <v>231</v>
      </c>
      <c r="AU211" s="129" t="s">
        <v>76</v>
      </c>
      <c r="AY211" s="13" t="s">
        <v>228</v>
      </c>
      <c r="BE211" s="130">
        <f>IF(N211="základná",J211,0)</f>
        <v>0</v>
      </c>
      <c r="BF211" s="130">
        <f>IF(N211="znížená",J211,0)</f>
        <v>136.76</v>
      </c>
      <c r="BG211" s="130">
        <f>IF(N211="zákl. prenesená",J211,0)</f>
        <v>0</v>
      </c>
      <c r="BH211" s="130">
        <f>IF(N211="zníž. prenesená",J211,0)</f>
        <v>0</v>
      </c>
      <c r="BI211" s="130">
        <f>IF(N211="nulová",J211,0)</f>
        <v>0</v>
      </c>
      <c r="BJ211" s="13" t="s">
        <v>76</v>
      </c>
      <c r="BK211" s="130">
        <f>ROUND(I211*H211,2)</f>
        <v>136.76</v>
      </c>
      <c r="BL211" s="13" t="s">
        <v>235</v>
      </c>
      <c r="BM211" s="129" t="s">
        <v>465</v>
      </c>
    </row>
    <row r="212" spans="2:65" s="1" customFormat="1" ht="16.5" customHeight="1" x14ac:dyDescent="0.2">
      <c r="B212" s="118"/>
      <c r="C212" s="119" t="s">
        <v>466</v>
      </c>
      <c r="D212" s="119" t="s">
        <v>231</v>
      </c>
      <c r="E212" s="120" t="s">
        <v>3064</v>
      </c>
      <c r="F212" s="121" t="s">
        <v>3065</v>
      </c>
      <c r="G212" s="122" t="s">
        <v>570</v>
      </c>
      <c r="H212" s="123">
        <v>1</v>
      </c>
      <c r="I212" s="124">
        <v>113.37</v>
      </c>
      <c r="J212" s="124">
        <f>ROUND(I212*H212,2)</f>
        <v>113.37</v>
      </c>
      <c r="K212" s="121" t="s">
        <v>1</v>
      </c>
      <c r="L212" s="24"/>
      <c r="M212" s="125" t="s">
        <v>1</v>
      </c>
      <c r="N212" s="126" t="s">
        <v>32</v>
      </c>
      <c r="O212" s="127">
        <v>0</v>
      </c>
      <c r="P212" s="127">
        <f>O212*H212</f>
        <v>0</v>
      </c>
      <c r="Q212" s="127">
        <v>0</v>
      </c>
      <c r="R212" s="127">
        <f>Q212*H212</f>
        <v>0</v>
      </c>
      <c r="S212" s="127">
        <v>0</v>
      </c>
      <c r="T212" s="128">
        <f>S212*H212</f>
        <v>0</v>
      </c>
      <c r="AR212" s="129" t="s">
        <v>235</v>
      </c>
      <c r="AT212" s="129" t="s">
        <v>231</v>
      </c>
      <c r="AU212" s="129" t="s">
        <v>76</v>
      </c>
      <c r="AY212" s="13" t="s">
        <v>228</v>
      </c>
      <c r="BE212" s="130">
        <f>IF(N212="základná",J212,0)</f>
        <v>0</v>
      </c>
      <c r="BF212" s="130">
        <f>IF(N212="znížená",J212,0)</f>
        <v>113.37</v>
      </c>
      <c r="BG212" s="130">
        <f>IF(N212="zákl. prenesená",J212,0)</f>
        <v>0</v>
      </c>
      <c r="BH212" s="130">
        <f>IF(N212="zníž. prenesená",J212,0)</f>
        <v>0</v>
      </c>
      <c r="BI212" s="130">
        <f>IF(N212="nulová",J212,0)</f>
        <v>0</v>
      </c>
      <c r="BJ212" s="13" t="s">
        <v>76</v>
      </c>
      <c r="BK212" s="130">
        <f>ROUND(I212*H212,2)</f>
        <v>113.37</v>
      </c>
      <c r="BL212" s="13" t="s">
        <v>235</v>
      </c>
      <c r="BM212" s="129" t="s">
        <v>469</v>
      </c>
    </row>
    <row r="213" spans="2:65" s="1" customFormat="1" ht="16.5" customHeight="1" x14ac:dyDescent="0.2">
      <c r="B213" s="118"/>
      <c r="C213" s="119" t="s">
        <v>351</v>
      </c>
      <c r="D213" s="119" t="s">
        <v>231</v>
      </c>
      <c r="E213" s="120" t="s">
        <v>3066</v>
      </c>
      <c r="F213" s="121" t="s">
        <v>3067</v>
      </c>
      <c r="G213" s="122" t="s">
        <v>570</v>
      </c>
      <c r="H213" s="123">
        <v>1</v>
      </c>
      <c r="I213" s="124">
        <v>179.95</v>
      </c>
      <c r="J213" s="124">
        <f>ROUND(I213*H213,2)</f>
        <v>179.95</v>
      </c>
      <c r="K213" s="121" t="s">
        <v>1</v>
      </c>
      <c r="L213" s="24"/>
      <c r="M213" s="125" t="s">
        <v>1</v>
      </c>
      <c r="N213" s="126" t="s">
        <v>32</v>
      </c>
      <c r="O213" s="127">
        <v>0</v>
      </c>
      <c r="P213" s="127">
        <f>O213*H213</f>
        <v>0</v>
      </c>
      <c r="Q213" s="127">
        <v>0</v>
      </c>
      <c r="R213" s="127">
        <f>Q213*H213</f>
        <v>0</v>
      </c>
      <c r="S213" s="127">
        <v>0</v>
      </c>
      <c r="T213" s="128">
        <f>S213*H213</f>
        <v>0</v>
      </c>
      <c r="AR213" s="129" t="s">
        <v>235</v>
      </c>
      <c r="AT213" s="129" t="s">
        <v>231</v>
      </c>
      <c r="AU213" s="129" t="s">
        <v>76</v>
      </c>
      <c r="AY213" s="13" t="s">
        <v>228</v>
      </c>
      <c r="BE213" s="130">
        <f>IF(N213="základná",J213,0)</f>
        <v>0</v>
      </c>
      <c r="BF213" s="130">
        <f>IF(N213="znížená",J213,0)</f>
        <v>179.95</v>
      </c>
      <c r="BG213" s="130">
        <f>IF(N213="zákl. prenesená",J213,0)</f>
        <v>0</v>
      </c>
      <c r="BH213" s="130">
        <f>IF(N213="zníž. prenesená",J213,0)</f>
        <v>0</v>
      </c>
      <c r="BI213" s="130">
        <f>IF(N213="nulová",J213,0)</f>
        <v>0</v>
      </c>
      <c r="BJ213" s="13" t="s">
        <v>76</v>
      </c>
      <c r="BK213" s="130">
        <f>ROUND(I213*H213,2)</f>
        <v>179.95</v>
      </c>
      <c r="BL213" s="13" t="s">
        <v>235</v>
      </c>
      <c r="BM213" s="129" t="s">
        <v>472</v>
      </c>
    </row>
    <row r="214" spans="2:65" s="1" customFormat="1" ht="16.5" customHeight="1" x14ac:dyDescent="0.2">
      <c r="B214" s="118"/>
      <c r="C214" s="119" t="s">
        <v>473</v>
      </c>
      <c r="D214" s="119" t="s">
        <v>231</v>
      </c>
      <c r="E214" s="120" t="s">
        <v>3068</v>
      </c>
      <c r="F214" s="121" t="s">
        <v>3069</v>
      </c>
      <c r="G214" s="122" t="s">
        <v>570</v>
      </c>
      <c r="H214" s="123">
        <v>1</v>
      </c>
      <c r="I214" s="124">
        <v>179.95</v>
      </c>
      <c r="J214" s="124">
        <f>ROUND(I214*H214,2)</f>
        <v>179.95</v>
      </c>
      <c r="K214" s="121" t="s">
        <v>1</v>
      </c>
      <c r="L214" s="24"/>
      <c r="M214" s="125" t="s">
        <v>1</v>
      </c>
      <c r="N214" s="126" t="s">
        <v>32</v>
      </c>
      <c r="O214" s="127">
        <v>0</v>
      </c>
      <c r="P214" s="127">
        <f>O214*H214</f>
        <v>0</v>
      </c>
      <c r="Q214" s="127">
        <v>0</v>
      </c>
      <c r="R214" s="127">
        <f>Q214*H214</f>
        <v>0</v>
      </c>
      <c r="S214" s="127">
        <v>0</v>
      </c>
      <c r="T214" s="128">
        <f>S214*H214</f>
        <v>0</v>
      </c>
      <c r="AR214" s="129" t="s">
        <v>235</v>
      </c>
      <c r="AT214" s="129" t="s">
        <v>231</v>
      </c>
      <c r="AU214" s="129" t="s">
        <v>76</v>
      </c>
      <c r="AY214" s="13" t="s">
        <v>228</v>
      </c>
      <c r="BE214" s="130">
        <f>IF(N214="základná",J214,0)</f>
        <v>0</v>
      </c>
      <c r="BF214" s="130">
        <f>IF(N214="znížená",J214,0)</f>
        <v>179.95</v>
      </c>
      <c r="BG214" s="130">
        <f>IF(N214="zákl. prenesená",J214,0)</f>
        <v>0</v>
      </c>
      <c r="BH214" s="130">
        <f>IF(N214="zníž. prenesená",J214,0)</f>
        <v>0</v>
      </c>
      <c r="BI214" s="130">
        <f>IF(N214="nulová",J214,0)</f>
        <v>0</v>
      </c>
      <c r="BJ214" s="13" t="s">
        <v>76</v>
      </c>
      <c r="BK214" s="130">
        <f>ROUND(I214*H214,2)</f>
        <v>179.95</v>
      </c>
      <c r="BL214" s="13" t="s">
        <v>235</v>
      </c>
      <c r="BM214" s="129" t="s">
        <v>476</v>
      </c>
    </row>
    <row r="215" spans="2:65" s="11" customFormat="1" ht="22.95" customHeight="1" x14ac:dyDescent="0.25">
      <c r="B215" s="106"/>
      <c r="D215" s="107" t="s">
        <v>57</v>
      </c>
      <c r="E215" s="116" t="s">
        <v>1252</v>
      </c>
      <c r="F215" s="116" t="s">
        <v>3070</v>
      </c>
      <c r="J215" s="117">
        <f>BK215</f>
        <v>371.26</v>
      </c>
      <c r="L215" s="106"/>
      <c r="M215" s="110"/>
      <c r="N215" s="111"/>
      <c r="O215" s="111"/>
      <c r="P215" s="112">
        <f>SUM(P216:P219)</f>
        <v>0</v>
      </c>
      <c r="Q215" s="111"/>
      <c r="R215" s="112">
        <f>SUM(R216:R219)</f>
        <v>0</v>
      </c>
      <c r="S215" s="111"/>
      <c r="T215" s="113">
        <f>SUM(T216:T219)</f>
        <v>0</v>
      </c>
      <c r="AR215" s="107" t="s">
        <v>63</v>
      </c>
      <c r="AT215" s="114" t="s">
        <v>57</v>
      </c>
      <c r="AU215" s="114" t="s">
        <v>63</v>
      </c>
      <c r="AY215" s="107" t="s">
        <v>228</v>
      </c>
      <c r="BK215" s="115">
        <f>SUM(BK216:BK219)</f>
        <v>371.26</v>
      </c>
    </row>
    <row r="216" spans="2:65" s="1" customFormat="1" ht="24" customHeight="1" x14ac:dyDescent="0.2">
      <c r="B216" s="118"/>
      <c r="C216" s="119" t="s">
        <v>354</v>
      </c>
      <c r="D216" s="119" t="s">
        <v>231</v>
      </c>
      <c r="E216" s="120" t="s">
        <v>3071</v>
      </c>
      <c r="F216" s="121" t="s">
        <v>3072</v>
      </c>
      <c r="G216" s="122" t="s">
        <v>284</v>
      </c>
      <c r="H216" s="123">
        <v>40</v>
      </c>
      <c r="I216" s="124">
        <v>3.48</v>
      </c>
      <c r="J216" s="124">
        <f>ROUND(I216*H216,2)</f>
        <v>139.19999999999999</v>
      </c>
      <c r="K216" s="121" t="s">
        <v>1</v>
      </c>
      <c r="L216" s="24"/>
      <c r="M216" s="125" t="s">
        <v>1</v>
      </c>
      <c r="N216" s="126" t="s">
        <v>32</v>
      </c>
      <c r="O216" s="127">
        <v>0</v>
      </c>
      <c r="P216" s="127">
        <f>O216*H216</f>
        <v>0</v>
      </c>
      <c r="Q216" s="127">
        <v>0</v>
      </c>
      <c r="R216" s="127">
        <f>Q216*H216</f>
        <v>0</v>
      </c>
      <c r="S216" s="127">
        <v>0</v>
      </c>
      <c r="T216" s="128">
        <f>S216*H216</f>
        <v>0</v>
      </c>
      <c r="AR216" s="129" t="s">
        <v>235</v>
      </c>
      <c r="AT216" s="129" t="s">
        <v>231</v>
      </c>
      <c r="AU216" s="129" t="s">
        <v>76</v>
      </c>
      <c r="AY216" s="13" t="s">
        <v>228</v>
      </c>
      <c r="BE216" s="130">
        <f>IF(N216="základná",J216,0)</f>
        <v>0</v>
      </c>
      <c r="BF216" s="130">
        <f>IF(N216="znížená",J216,0)</f>
        <v>139.19999999999999</v>
      </c>
      <c r="BG216" s="130">
        <f>IF(N216="zákl. prenesená",J216,0)</f>
        <v>0</v>
      </c>
      <c r="BH216" s="130">
        <f>IF(N216="zníž. prenesená",J216,0)</f>
        <v>0</v>
      </c>
      <c r="BI216" s="130">
        <f>IF(N216="nulová",J216,0)</f>
        <v>0</v>
      </c>
      <c r="BJ216" s="13" t="s">
        <v>76</v>
      </c>
      <c r="BK216" s="130">
        <f>ROUND(I216*H216,2)</f>
        <v>139.19999999999999</v>
      </c>
      <c r="BL216" s="13" t="s">
        <v>235</v>
      </c>
      <c r="BM216" s="129" t="s">
        <v>479</v>
      </c>
    </row>
    <row r="217" spans="2:65" s="1" customFormat="1" ht="24" customHeight="1" x14ac:dyDescent="0.2">
      <c r="B217" s="118"/>
      <c r="C217" s="119" t="s">
        <v>480</v>
      </c>
      <c r="D217" s="119" t="s">
        <v>231</v>
      </c>
      <c r="E217" s="120" t="s">
        <v>3073</v>
      </c>
      <c r="F217" s="121" t="s">
        <v>3074</v>
      </c>
      <c r="G217" s="122" t="s">
        <v>284</v>
      </c>
      <c r="H217" s="123">
        <v>40</v>
      </c>
      <c r="I217" s="124">
        <v>2.3199999999999998</v>
      </c>
      <c r="J217" s="124">
        <f>ROUND(I217*H217,2)</f>
        <v>92.8</v>
      </c>
      <c r="K217" s="121" t="s">
        <v>1</v>
      </c>
      <c r="L217" s="24"/>
      <c r="M217" s="125" t="s">
        <v>1</v>
      </c>
      <c r="N217" s="126" t="s">
        <v>32</v>
      </c>
      <c r="O217" s="127">
        <v>0</v>
      </c>
      <c r="P217" s="127">
        <f>O217*H217</f>
        <v>0</v>
      </c>
      <c r="Q217" s="127">
        <v>0</v>
      </c>
      <c r="R217" s="127">
        <f>Q217*H217</f>
        <v>0</v>
      </c>
      <c r="S217" s="127">
        <v>0</v>
      </c>
      <c r="T217" s="128">
        <f>S217*H217</f>
        <v>0</v>
      </c>
      <c r="AR217" s="129" t="s">
        <v>235</v>
      </c>
      <c r="AT217" s="129" t="s">
        <v>231</v>
      </c>
      <c r="AU217" s="129" t="s">
        <v>76</v>
      </c>
      <c r="AY217" s="13" t="s">
        <v>228</v>
      </c>
      <c r="BE217" s="130">
        <f>IF(N217="základná",J217,0)</f>
        <v>0</v>
      </c>
      <c r="BF217" s="130">
        <f>IF(N217="znížená",J217,0)</f>
        <v>92.8</v>
      </c>
      <c r="BG217" s="130">
        <f>IF(N217="zákl. prenesená",J217,0)</f>
        <v>0</v>
      </c>
      <c r="BH217" s="130">
        <f>IF(N217="zníž. prenesená",J217,0)</f>
        <v>0</v>
      </c>
      <c r="BI217" s="130">
        <f>IF(N217="nulová",J217,0)</f>
        <v>0</v>
      </c>
      <c r="BJ217" s="13" t="s">
        <v>76</v>
      </c>
      <c r="BK217" s="130">
        <f>ROUND(I217*H217,2)</f>
        <v>92.8</v>
      </c>
      <c r="BL217" s="13" t="s">
        <v>235</v>
      </c>
      <c r="BM217" s="129" t="s">
        <v>483</v>
      </c>
    </row>
    <row r="218" spans="2:65" s="1" customFormat="1" ht="24" customHeight="1" x14ac:dyDescent="0.2">
      <c r="B218" s="118"/>
      <c r="C218" s="119" t="s">
        <v>358</v>
      </c>
      <c r="D218" s="119" t="s">
        <v>231</v>
      </c>
      <c r="E218" s="120" t="s">
        <v>3075</v>
      </c>
      <c r="F218" s="121" t="s">
        <v>3076</v>
      </c>
      <c r="G218" s="122" t="s">
        <v>284</v>
      </c>
      <c r="H218" s="123">
        <v>40</v>
      </c>
      <c r="I218" s="124">
        <v>1.74</v>
      </c>
      <c r="J218" s="124">
        <f>ROUND(I218*H218,2)</f>
        <v>69.599999999999994</v>
      </c>
      <c r="K218" s="121" t="s">
        <v>1</v>
      </c>
      <c r="L218" s="24"/>
      <c r="M218" s="125" t="s">
        <v>1</v>
      </c>
      <c r="N218" s="126" t="s">
        <v>32</v>
      </c>
      <c r="O218" s="127">
        <v>0</v>
      </c>
      <c r="P218" s="127">
        <f>O218*H218</f>
        <v>0</v>
      </c>
      <c r="Q218" s="127">
        <v>0</v>
      </c>
      <c r="R218" s="127">
        <f>Q218*H218</f>
        <v>0</v>
      </c>
      <c r="S218" s="127">
        <v>0</v>
      </c>
      <c r="T218" s="128">
        <f>S218*H218</f>
        <v>0</v>
      </c>
      <c r="AR218" s="129" t="s">
        <v>235</v>
      </c>
      <c r="AT218" s="129" t="s">
        <v>231</v>
      </c>
      <c r="AU218" s="129" t="s">
        <v>76</v>
      </c>
      <c r="AY218" s="13" t="s">
        <v>228</v>
      </c>
      <c r="BE218" s="130">
        <f>IF(N218="základná",J218,0)</f>
        <v>0</v>
      </c>
      <c r="BF218" s="130">
        <f>IF(N218="znížená",J218,0)</f>
        <v>69.599999999999994</v>
      </c>
      <c r="BG218" s="130">
        <f>IF(N218="zákl. prenesená",J218,0)</f>
        <v>0</v>
      </c>
      <c r="BH218" s="130">
        <f>IF(N218="zníž. prenesená",J218,0)</f>
        <v>0</v>
      </c>
      <c r="BI218" s="130">
        <f>IF(N218="nulová",J218,0)</f>
        <v>0</v>
      </c>
      <c r="BJ218" s="13" t="s">
        <v>76</v>
      </c>
      <c r="BK218" s="130">
        <f>ROUND(I218*H218,2)</f>
        <v>69.599999999999994</v>
      </c>
      <c r="BL218" s="13" t="s">
        <v>235</v>
      </c>
      <c r="BM218" s="129" t="s">
        <v>486</v>
      </c>
    </row>
    <row r="219" spans="2:65" s="1" customFormat="1" ht="16.5" customHeight="1" x14ac:dyDescent="0.2">
      <c r="B219" s="118"/>
      <c r="C219" s="119" t="s">
        <v>487</v>
      </c>
      <c r="D219" s="119" t="s">
        <v>231</v>
      </c>
      <c r="E219" s="120" t="s">
        <v>3077</v>
      </c>
      <c r="F219" s="121" t="s">
        <v>3078</v>
      </c>
      <c r="G219" s="122" t="s">
        <v>271</v>
      </c>
      <c r="H219" s="123">
        <v>0.3</v>
      </c>
      <c r="I219" s="124">
        <v>232.2</v>
      </c>
      <c r="J219" s="124">
        <f>ROUND(I219*H219,2)</f>
        <v>69.66</v>
      </c>
      <c r="K219" s="121" t="s">
        <v>1</v>
      </c>
      <c r="L219" s="24"/>
      <c r="M219" s="125" t="s">
        <v>1</v>
      </c>
      <c r="N219" s="126" t="s">
        <v>32</v>
      </c>
      <c r="O219" s="127">
        <v>0</v>
      </c>
      <c r="P219" s="127">
        <f>O219*H219</f>
        <v>0</v>
      </c>
      <c r="Q219" s="127">
        <v>0</v>
      </c>
      <c r="R219" s="127">
        <f>Q219*H219</f>
        <v>0</v>
      </c>
      <c r="S219" s="127">
        <v>0</v>
      </c>
      <c r="T219" s="128">
        <f>S219*H219</f>
        <v>0</v>
      </c>
      <c r="AR219" s="129" t="s">
        <v>235</v>
      </c>
      <c r="AT219" s="129" t="s">
        <v>231</v>
      </c>
      <c r="AU219" s="129" t="s">
        <v>76</v>
      </c>
      <c r="AY219" s="13" t="s">
        <v>228</v>
      </c>
      <c r="BE219" s="130">
        <f>IF(N219="základná",J219,0)</f>
        <v>0</v>
      </c>
      <c r="BF219" s="130">
        <f>IF(N219="znížená",J219,0)</f>
        <v>69.66</v>
      </c>
      <c r="BG219" s="130">
        <f>IF(N219="zákl. prenesená",J219,0)</f>
        <v>0</v>
      </c>
      <c r="BH219" s="130">
        <f>IF(N219="zníž. prenesená",J219,0)</f>
        <v>0</v>
      </c>
      <c r="BI219" s="130">
        <f>IF(N219="nulová",J219,0)</f>
        <v>0</v>
      </c>
      <c r="BJ219" s="13" t="s">
        <v>76</v>
      </c>
      <c r="BK219" s="130">
        <f>ROUND(I219*H219,2)</f>
        <v>69.66</v>
      </c>
      <c r="BL219" s="13" t="s">
        <v>235</v>
      </c>
      <c r="BM219" s="129" t="s">
        <v>490</v>
      </c>
    </row>
    <row r="220" spans="2:65" s="11" customFormat="1" ht="25.95" customHeight="1" x14ac:dyDescent="0.25">
      <c r="B220" s="106"/>
      <c r="D220" s="107" t="s">
        <v>57</v>
      </c>
      <c r="E220" s="108" t="s">
        <v>1269</v>
      </c>
      <c r="F220" s="108" t="s">
        <v>5089</v>
      </c>
      <c r="J220" s="109">
        <f>BK220</f>
        <v>43314.380000000005</v>
      </c>
      <c r="L220" s="106"/>
      <c r="M220" s="110"/>
      <c r="N220" s="111"/>
      <c r="O220" s="111"/>
      <c r="P220" s="112">
        <f>P221+P235+P253+P272+P288+P292+P297+P302+P303+P306+P312+P323+P335+P339+P344</f>
        <v>0</v>
      </c>
      <c r="Q220" s="111"/>
      <c r="R220" s="112">
        <f>R221+R235+R253+R272+R288+R292+R297+R302+R303+R306+R312+R323+R335+R339+R344</f>
        <v>0</v>
      </c>
      <c r="S220" s="111"/>
      <c r="T220" s="113">
        <f>T221+T235+T253+T272+T288+T292+T297+T302+T303+T306+T312+T323+T335+T339+T344</f>
        <v>0</v>
      </c>
      <c r="AR220" s="107" t="s">
        <v>63</v>
      </c>
      <c r="AT220" s="114" t="s">
        <v>57</v>
      </c>
      <c r="AU220" s="114" t="s">
        <v>58</v>
      </c>
      <c r="AY220" s="107" t="s">
        <v>228</v>
      </c>
      <c r="BK220" s="115">
        <f>BK221+BK235+BK253+BK272+BK288+BK292+BK297+BK302+BK303+BK306+BK312+BK323+BK335+BK339+BK344</f>
        <v>43314.380000000005</v>
      </c>
    </row>
    <row r="221" spans="2:65" s="11" customFormat="1" ht="22.95" customHeight="1" x14ac:dyDescent="0.25">
      <c r="B221" s="106"/>
      <c r="D221" s="107" t="s">
        <v>57</v>
      </c>
      <c r="E221" s="116" t="s">
        <v>1943</v>
      </c>
      <c r="F221" s="116" t="s">
        <v>2942</v>
      </c>
      <c r="J221" s="117">
        <f>BK221</f>
        <v>15080.75</v>
      </c>
      <c r="L221" s="106"/>
      <c r="M221" s="110"/>
      <c r="N221" s="111"/>
      <c r="O221" s="111"/>
      <c r="P221" s="112">
        <f>SUM(P222:P234)</f>
        <v>0</v>
      </c>
      <c r="Q221" s="111"/>
      <c r="R221" s="112">
        <f>SUM(R222:R234)</f>
        <v>0</v>
      </c>
      <c r="S221" s="111"/>
      <c r="T221" s="113">
        <f>SUM(T222:T234)</f>
        <v>0</v>
      </c>
      <c r="AR221" s="107" t="s">
        <v>63</v>
      </c>
      <c r="AT221" s="114" t="s">
        <v>57</v>
      </c>
      <c r="AU221" s="114" t="s">
        <v>63</v>
      </c>
      <c r="AY221" s="107" t="s">
        <v>228</v>
      </c>
      <c r="BK221" s="115">
        <f>SUM(BK222:BK234)</f>
        <v>15080.75</v>
      </c>
    </row>
    <row r="222" spans="2:65" s="1" customFormat="1" ht="16.5" customHeight="1" x14ac:dyDescent="0.2">
      <c r="B222" s="118"/>
      <c r="C222" s="119" t="s">
        <v>361</v>
      </c>
      <c r="D222" s="119" t="s">
        <v>231</v>
      </c>
      <c r="E222" s="120" t="s">
        <v>5090</v>
      </c>
      <c r="F222" s="121" t="s">
        <v>5091</v>
      </c>
      <c r="G222" s="122" t="s">
        <v>243</v>
      </c>
      <c r="H222" s="123">
        <v>2</v>
      </c>
      <c r="I222" s="124">
        <v>179.1</v>
      </c>
      <c r="J222" s="124">
        <f t="shared" ref="J222:J234" si="40">ROUND(I222*H222,2)</f>
        <v>358.2</v>
      </c>
      <c r="K222" s="121" t="s">
        <v>1</v>
      </c>
      <c r="L222" s="24"/>
      <c r="M222" s="125" t="s">
        <v>1</v>
      </c>
      <c r="N222" s="126" t="s">
        <v>32</v>
      </c>
      <c r="O222" s="127">
        <v>0</v>
      </c>
      <c r="P222" s="127">
        <f t="shared" ref="P222:P234" si="41">O222*H222</f>
        <v>0</v>
      </c>
      <c r="Q222" s="127">
        <v>0</v>
      </c>
      <c r="R222" s="127">
        <f t="shared" ref="R222:R234" si="42">Q222*H222</f>
        <v>0</v>
      </c>
      <c r="S222" s="127">
        <v>0</v>
      </c>
      <c r="T222" s="128">
        <f t="shared" ref="T222:T234" si="43">S222*H222</f>
        <v>0</v>
      </c>
      <c r="AR222" s="129" t="s">
        <v>235</v>
      </c>
      <c r="AT222" s="129" t="s">
        <v>231</v>
      </c>
      <c r="AU222" s="129" t="s">
        <v>76</v>
      </c>
      <c r="AY222" s="13" t="s">
        <v>228</v>
      </c>
      <c r="BE222" s="130">
        <f t="shared" ref="BE222:BE234" si="44">IF(N222="základná",J222,0)</f>
        <v>0</v>
      </c>
      <c r="BF222" s="130">
        <f t="shared" ref="BF222:BF234" si="45">IF(N222="znížená",J222,0)</f>
        <v>358.2</v>
      </c>
      <c r="BG222" s="130">
        <f t="shared" ref="BG222:BG234" si="46">IF(N222="zákl. prenesená",J222,0)</f>
        <v>0</v>
      </c>
      <c r="BH222" s="130">
        <f t="shared" ref="BH222:BH234" si="47">IF(N222="zníž. prenesená",J222,0)</f>
        <v>0</v>
      </c>
      <c r="BI222" s="130">
        <f t="shared" ref="BI222:BI234" si="48">IF(N222="nulová",J222,0)</f>
        <v>0</v>
      </c>
      <c r="BJ222" s="13" t="s">
        <v>76</v>
      </c>
      <c r="BK222" s="130">
        <f t="shared" ref="BK222:BK234" si="49">ROUND(I222*H222,2)</f>
        <v>358.2</v>
      </c>
      <c r="BL222" s="13" t="s">
        <v>235</v>
      </c>
      <c r="BM222" s="129" t="s">
        <v>493</v>
      </c>
    </row>
    <row r="223" spans="2:65" s="1" customFormat="1" ht="24" customHeight="1" x14ac:dyDescent="0.2">
      <c r="B223" s="118"/>
      <c r="C223" s="119" t="s">
        <v>494</v>
      </c>
      <c r="D223" s="119" t="s">
        <v>231</v>
      </c>
      <c r="E223" s="120" t="s">
        <v>5092</v>
      </c>
      <c r="F223" s="121" t="s">
        <v>5093</v>
      </c>
      <c r="G223" s="122" t="s">
        <v>243</v>
      </c>
      <c r="H223" s="123">
        <v>9</v>
      </c>
      <c r="I223" s="124">
        <v>38.479999999999997</v>
      </c>
      <c r="J223" s="124">
        <f t="shared" si="40"/>
        <v>346.32</v>
      </c>
      <c r="K223" s="121" t="s">
        <v>1</v>
      </c>
      <c r="L223" s="24"/>
      <c r="M223" s="125" t="s">
        <v>1</v>
      </c>
      <c r="N223" s="126" t="s">
        <v>32</v>
      </c>
      <c r="O223" s="127">
        <v>0</v>
      </c>
      <c r="P223" s="127">
        <f t="shared" si="41"/>
        <v>0</v>
      </c>
      <c r="Q223" s="127">
        <v>0</v>
      </c>
      <c r="R223" s="127">
        <f t="shared" si="42"/>
        <v>0</v>
      </c>
      <c r="S223" s="127">
        <v>0</v>
      </c>
      <c r="T223" s="128">
        <f t="shared" si="43"/>
        <v>0</v>
      </c>
      <c r="AR223" s="129" t="s">
        <v>235</v>
      </c>
      <c r="AT223" s="129" t="s">
        <v>231</v>
      </c>
      <c r="AU223" s="129" t="s">
        <v>76</v>
      </c>
      <c r="AY223" s="13" t="s">
        <v>228</v>
      </c>
      <c r="BE223" s="130">
        <f t="shared" si="44"/>
        <v>0</v>
      </c>
      <c r="BF223" s="130">
        <f t="shared" si="45"/>
        <v>346.32</v>
      </c>
      <c r="BG223" s="130">
        <f t="shared" si="46"/>
        <v>0</v>
      </c>
      <c r="BH223" s="130">
        <f t="shared" si="47"/>
        <v>0</v>
      </c>
      <c r="BI223" s="130">
        <f t="shared" si="48"/>
        <v>0</v>
      </c>
      <c r="BJ223" s="13" t="s">
        <v>76</v>
      </c>
      <c r="BK223" s="130">
        <f t="shared" si="49"/>
        <v>346.32</v>
      </c>
      <c r="BL223" s="13" t="s">
        <v>235</v>
      </c>
      <c r="BM223" s="129" t="s">
        <v>497</v>
      </c>
    </row>
    <row r="224" spans="2:65" s="1" customFormat="1" ht="16.5" customHeight="1" x14ac:dyDescent="0.2">
      <c r="B224" s="118"/>
      <c r="C224" s="119" t="s">
        <v>365</v>
      </c>
      <c r="D224" s="119" t="s">
        <v>231</v>
      </c>
      <c r="E224" s="120" t="s">
        <v>5094</v>
      </c>
      <c r="F224" s="121" t="s">
        <v>5095</v>
      </c>
      <c r="G224" s="122" t="s">
        <v>243</v>
      </c>
      <c r="H224" s="123">
        <v>1</v>
      </c>
      <c r="I224" s="124">
        <v>119.69</v>
      </c>
      <c r="J224" s="124">
        <f t="shared" si="40"/>
        <v>119.69</v>
      </c>
      <c r="K224" s="121" t="s">
        <v>1</v>
      </c>
      <c r="L224" s="24"/>
      <c r="M224" s="125" t="s">
        <v>1</v>
      </c>
      <c r="N224" s="126" t="s">
        <v>32</v>
      </c>
      <c r="O224" s="127">
        <v>0</v>
      </c>
      <c r="P224" s="127">
        <f t="shared" si="41"/>
        <v>0</v>
      </c>
      <c r="Q224" s="127">
        <v>0</v>
      </c>
      <c r="R224" s="127">
        <f t="shared" si="42"/>
        <v>0</v>
      </c>
      <c r="S224" s="127">
        <v>0</v>
      </c>
      <c r="T224" s="128">
        <f t="shared" si="43"/>
        <v>0</v>
      </c>
      <c r="AR224" s="129" t="s">
        <v>235</v>
      </c>
      <c r="AT224" s="129" t="s">
        <v>231</v>
      </c>
      <c r="AU224" s="129" t="s">
        <v>76</v>
      </c>
      <c r="AY224" s="13" t="s">
        <v>228</v>
      </c>
      <c r="BE224" s="130">
        <f t="shared" si="44"/>
        <v>0</v>
      </c>
      <c r="BF224" s="130">
        <f t="shared" si="45"/>
        <v>119.69</v>
      </c>
      <c r="BG224" s="130">
        <f t="shared" si="46"/>
        <v>0</v>
      </c>
      <c r="BH224" s="130">
        <f t="shared" si="47"/>
        <v>0</v>
      </c>
      <c r="BI224" s="130">
        <f t="shared" si="48"/>
        <v>0</v>
      </c>
      <c r="BJ224" s="13" t="s">
        <v>76</v>
      </c>
      <c r="BK224" s="130">
        <f t="shared" si="49"/>
        <v>119.69</v>
      </c>
      <c r="BL224" s="13" t="s">
        <v>235</v>
      </c>
      <c r="BM224" s="129" t="s">
        <v>500</v>
      </c>
    </row>
    <row r="225" spans="2:65" s="1" customFormat="1" ht="16.5" customHeight="1" x14ac:dyDescent="0.2">
      <c r="B225" s="118"/>
      <c r="C225" s="119" t="s">
        <v>501</v>
      </c>
      <c r="D225" s="119" t="s">
        <v>231</v>
      </c>
      <c r="E225" s="120" t="s">
        <v>5096</v>
      </c>
      <c r="F225" s="121" t="s">
        <v>5097</v>
      </c>
      <c r="G225" s="122" t="s">
        <v>243</v>
      </c>
      <c r="H225" s="123">
        <v>2</v>
      </c>
      <c r="I225" s="124">
        <v>34.979999999999997</v>
      </c>
      <c r="J225" s="124">
        <f t="shared" si="40"/>
        <v>69.959999999999994</v>
      </c>
      <c r="K225" s="121" t="s">
        <v>1</v>
      </c>
      <c r="L225" s="24"/>
      <c r="M225" s="125" t="s">
        <v>1</v>
      </c>
      <c r="N225" s="126" t="s">
        <v>32</v>
      </c>
      <c r="O225" s="127">
        <v>0</v>
      </c>
      <c r="P225" s="127">
        <f t="shared" si="41"/>
        <v>0</v>
      </c>
      <c r="Q225" s="127">
        <v>0</v>
      </c>
      <c r="R225" s="127">
        <f t="shared" si="42"/>
        <v>0</v>
      </c>
      <c r="S225" s="127">
        <v>0</v>
      </c>
      <c r="T225" s="128">
        <f t="shared" si="43"/>
        <v>0</v>
      </c>
      <c r="AR225" s="129" t="s">
        <v>235</v>
      </c>
      <c r="AT225" s="129" t="s">
        <v>231</v>
      </c>
      <c r="AU225" s="129" t="s">
        <v>76</v>
      </c>
      <c r="AY225" s="13" t="s">
        <v>228</v>
      </c>
      <c r="BE225" s="130">
        <f t="shared" si="44"/>
        <v>0</v>
      </c>
      <c r="BF225" s="130">
        <f t="shared" si="45"/>
        <v>69.959999999999994</v>
      </c>
      <c r="BG225" s="130">
        <f t="shared" si="46"/>
        <v>0</v>
      </c>
      <c r="BH225" s="130">
        <f t="shared" si="47"/>
        <v>0</v>
      </c>
      <c r="BI225" s="130">
        <f t="shared" si="48"/>
        <v>0</v>
      </c>
      <c r="BJ225" s="13" t="s">
        <v>76</v>
      </c>
      <c r="BK225" s="130">
        <f t="shared" si="49"/>
        <v>69.959999999999994</v>
      </c>
      <c r="BL225" s="13" t="s">
        <v>235</v>
      </c>
      <c r="BM225" s="129" t="s">
        <v>504</v>
      </c>
    </row>
    <row r="226" spans="2:65" s="1" customFormat="1" ht="16.5" customHeight="1" x14ac:dyDescent="0.2">
      <c r="B226" s="118"/>
      <c r="C226" s="119" t="s">
        <v>368</v>
      </c>
      <c r="D226" s="119" t="s">
        <v>231</v>
      </c>
      <c r="E226" s="120" t="s">
        <v>5098</v>
      </c>
      <c r="F226" s="121" t="s">
        <v>5099</v>
      </c>
      <c r="G226" s="122" t="s">
        <v>243</v>
      </c>
      <c r="H226" s="123">
        <v>1</v>
      </c>
      <c r="I226" s="124">
        <v>107.58</v>
      </c>
      <c r="J226" s="124">
        <f t="shared" si="40"/>
        <v>107.58</v>
      </c>
      <c r="K226" s="121" t="s">
        <v>1</v>
      </c>
      <c r="L226" s="24"/>
      <c r="M226" s="125" t="s">
        <v>1</v>
      </c>
      <c r="N226" s="126" t="s">
        <v>32</v>
      </c>
      <c r="O226" s="127">
        <v>0</v>
      </c>
      <c r="P226" s="127">
        <f t="shared" si="41"/>
        <v>0</v>
      </c>
      <c r="Q226" s="127">
        <v>0</v>
      </c>
      <c r="R226" s="127">
        <f t="shared" si="42"/>
        <v>0</v>
      </c>
      <c r="S226" s="127">
        <v>0</v>
      </c>
      <c r="T226" s="128">
        <f t="shared" si="43"/>
        <v>0</v>
      </c>
      <c r="AR226" s="129" t="s">
        <v>235</v>
      </c>
      <c r="AT226" s="129" t="s">
        <v>231</v>
      </c>
      <c r="AU226" s="129" t="s">
        <v>76</v>
      </c>
      <c r="AY226" s="13" t="s">
        <v>228</v>
      </c>
      <c r="BE226" s="130">
        <f t="shared" si="44"/>
        <v>0</v>
      </c>
      <c r="BF226" s="130">
        <f t="shared" si="45"/>
        <v>107.58</v>
      </c>
      <c r="BG226" s="130">
        <f t="shared" si="46"/>
        <v>0</v>
      </c>
      <c r="BH226" s="130">
        <f t="shared" si="47"/>
        <v>0</v>
      </c>
      <c r="BI226" s="130">
        <f t="shared" si="48"/>
        <v>0</v>
      </c>
      <c r="BJ226" s="13" t="s">
        <v>76</v>
      </c>
      <c r="BK226" s="130">
        <f t="shared" si="49"/>
        <v>107.58</v>
      </c>
      <c r="BL226" s="13" t="s">
        <v>235</v>
      </c>
      <c r="BM226" s="129" t="s">
        <v>507</v>
      </c>
    </row>
    <row r="227" spans="2:65" s="1" customFormat="1" ht="24" customHeight="1" x14ac:dyDescent="0.2">
      <c r="B227" s="118"/>
      <c r="C227" s="119" t="s">
        <v>508</v>
      </c>
      <c r="D227" s="119" t="s">
        <v>231</v>
      </c>
      <c r="E227" s="120" t="s">
        <v>5100</v>
      </c>
      <c r="F227" s="121" t="s">
        <v>5101</v>
      </c>
      <c r="G227" s="122" t="s">
        <v>243</v>
      </c>
      <c r="H227" s="123">
        <v>2</v>
      </c>
      <c r="I227" s="124">
        <v>176.04</v>
      </c>
      <c r="J227" s="124">
        <f t="shared" si="40"/>
        <v>352.08</v>
      </c>
      <c r="K227" s="121" t="s">
        <v>1</v>
      </c>
      <c r="L227" s="24"/>
      <c r="M227" s="125" t="s">
        <v>1</v>
      </c>
      <c r="N227" s="126" t="s">
        <v>32</v>
      </c>
      <c r="O227" s="127">
        <v>0</v>
      </c>
      <c r="P227" s="127">
        <f t="shared" si="41"/>
        <v>0</v>
      </c>
      <c r="Q227" s="127">
        <v>0</v>
      </c>
      <c r="R227" s="127">
        <f t="shared" si="42"/>
        <v>0</v>
      </c>
      <c r="S227" s="127">
        <v>0</v>
      </c>
      <c r="T227" s="128">
        <f t="shared" si="43"/>
        <v>0</v>
      </c>
      <c r="AR227" s="129" t="s">
        <v>235</v>
      </c>
      <c r="AT227" s="129" t="s">
        <v>231</v>
      </c>
      <c r="AU227" s="129" t="s">
        <v>76</v>
      </c>
      <c r="AY227" s="13" t="s">
        <v>228</v>
      </c>
      <c r="BE227" s="130">
        <f t="shared" si="44"/>
        <v>0</v>
      </c>
      <c r="BF227" s="130">
        <f t="shared" si="45"/>
        <v>352.08</v>
      </c>
      <c r="BG227" s="130">
        <f t="shared" si="46"/>
        <v>0</v>
      </c>
      <c r="BH227" s="130">
        <f t="shared" si="47"/>
        <v>0</v>
      </c>
      <c r="BI227" s="130">
        <f t="shared" si="48"/>
        <v>0</v>
      </c>
      <c r="BJ227" s="13" t="s">
        <v>76</v>
      </c>
      <c r="BK227" s="130">
        <f t="shared" si="49"/>
        <v>352.08</v>
      </c>
      <c r="BL227" s="13" t="s">
        <v>235</v>
      </c>
      <c r="BM227" s="129" t="s">
        <v>511</v>
      </c>
    </row>
    <row r="228" spans="2:65" s="1" customFormat="1" ht="24" customHeight="1" x14ac:dyDescent="0.2">
      <c r="B228" s="118"/>
      <c r="C228" s="119" t="s">
        <v>372</v>
      </c>
      <c r="D228" s="119" t="s">
        <v>231</v>
      </c>
      <c r="E228" s="120" t="s">
        <v>5102</v>
      </c>
      <c r="F228" s="121" t="s">
        <v>5103</v>
      </c>
      <c r="G228" s="122" t="s">
        <v>243</v>
      </c>
      <c r="H228" s="123">
        <v>1</v>
      </c>
      <c r="I228" s="124">
        <v>54.02</v>
      </c>
      <c r="J228" s="124">
        <f t="shared" si="40"/>
        <v>54.02</v>
      </c>
      <c r="K228" s="121" t="s">
        <v>1</v>
      </c>
      <c r="L228" s="24"/>
      <c r="M228" s="125" t="s">
        <v>1</v>
      </c>
      <c r="N228" s="126" t="s">
        <v>32</v>
      </c>
      <c r="O228" s="127">
        <v>0</v>
      </c>
      <c r="P228" s="127">
        <f t="shared" si="41"/>
        <v>0</v>
      </c>
      <c r="Q228" s="127">
        <v>0</v>
      </c>
      <c r="R228" s="127">
        <f t="shared" si="42"/>
        <v>0</v>
      </c>
      <c r="S228" s="127">
        <v>0</v>
      </c>
      <c r="T228" s="128">
        <f t="shared" si="43"/>
        <v>0</v>
      </c>
      <c r="AR228" s="129" t="s">
        <v>235</v>
      </c>
      <c r="AT228" s="129" t="s">
        <v>231</v>
      </c>
      <c r="AU228" s="129" t="s">
        <v>76</v>
      </c>
      <c r="AY228" s="13" t="s">
        <v>228</v>
      </c>
      <c r="BE228" s="130">
        <f t="shared" si="44"/>
        <v>0</v>
      </c>
      <c r="BF228" s="130">
        <f t="shared" si="45"/>
        <v>54.02</v>
      </c>
      <c r="BG228" s="130">
        <f t="shared" si="46"/>
        <v>0</v>
      </c>
      <c r="BH228" s="130">
        <f t="shared" si="47"/>
        <v>0</v>
      </c>
      <c r="BI228" s="130">
        <f t="shared" si="48"/>
        <v>0</v>
      </c>
      <c r="BJ228" s="13" t="s">
        <v>76</v>
      </c>
      <c r="BK228" s="130">
        <f t="shared" si="49"/>
        <v>54.02</v>
      </c>
      <c r="BL228" s="13" t="s">
        <v>235</v>
      </c>
      <c r="BM228" s="129" t="s">
        <v>514</v>
      </c>
    </row>
    <row r="229" spans="2:65" s="1" customFormat="1" ht="16.5" customHeight="1" x14ac:dyDescent="0.2">
      <c r="B229" s="118"/>
      <c r="C229" s="119" t="s">
        <v>515</v>
      </c>
      <c r="D229" s="119" t="s">
        <v>231</v>
      </c>
      <c r="E229" s="120" t="s">
        <v>5104</v>
      </c>
      <c r="F229" s="121" t="s">
        <v>5105</v>
      </c>
      <c r="G229" s="122" t="s">
        <v>243</v>
      </c>
      <c r="H229" s="123">
        <v>6</v>
      </c>
      <c r="I229" s="124">
        <v>210.34</v>
      </c>
      <c r="J229" s="124">
        <f t="shared" si="40"/>
        <v>1262.04</v>
      </c>
      <c r="K229" s="121" t="s">
        <v>1</v>
      </c>
      <c r="L229" s="24"/>
      <c r="M229" s="125" t="s">
        <v>1</v>
      </c>
      <c r="N229" s="126" t="s">
        <v>32</v>
      </c>
      <c r="O229" s="127">
        <v>0</v>
      </c>
      <c r="P229" s="127">
        <f t="shared" si="41"/>
        <v>0</v>
      </c>
      <c r="Q229" s="127">
        <v>0</v>
      </c>
      <c r="R229" s="127">
        <f t="shared" si="42"/>
        <v>0</v>
      </c>
      <c r="S229" s="127">
        <v>0</v>
      </c>
      <c r="T229" s="128">
        <f t="shared" si="43"/>
        <v>0</v>
      </c>
      <c r="AR229" s="129" t="s">
        <v>235</v>
      </c>
      <c r="AT229" s="129" t="s">
        <v>231</v>
      </c>
      <c r="AU229" s="129" t="s">
        <v>76</v>
      </c>
      <c r="AY229" s="13" t="s">
        <v>228</v>
      </c>
      <c r="BE229" s="130">
        <f t="shared" si="44"/>
        <v>0</v>
      </c>
      <c r="BF229" s="130">
        <f t="shared" si="45"/>
        <v>1262.04</v>
      </c>
      <c r="BG229" s="130">
        <f t="shared" si="46"/>
        <v>0</v>
      </c>
      <c r="BH229" s="130">
        <f t="shared" si="47"/>
        <v>0</v>
      </c>
      <c r="BI229" s="130">
        <f t="shared" si="48"/>
        <v>0</v>
      </c>
      <c r="BJ229" s="13" t="s">
        <v>76</v>
      </c>
      <c r="BK229" s="130">
        <f t="shared" si="49"/>
        <v>1262.04</v>
      </c>
      <c r="BL229" s="13" t="s">
        <v>235</v>
      </c>
      <c r="BM229" s="129" t="s">
        <v>518</v>
      </c>
    </row>
    <row r="230" spans="2:65" s="1" customFormat="1" ht="36" customHeight="1" x14ac:dyDescent="0.2">
      <c r="B230" s="118"/>
      <c r="C230" s="119" t="s">
        <v>375</v>
      </c>
      <c r="D230" s="119" t="s">
        <v>231</v>
      </c>
      <c r="E230" s="120" t="s">
        <v>5106</v>
      </c>
      <c r="F230" s="121" t="s">
        <v>5107</v>
      </c>
      <c r="G230" s="122" t="s">
        <v>1194</v>
      </c>
      <c r="H230" s="123">
        <v>1</v>
      </c>
      <c r="I230" s="124">
        <v>8010.9</v>
      </c>
      <c r="J230" s="124">
        <f t="shared" si="40"/>
        <v>8010.9</v>
      </c>
      <c r="K230" s="121" t="s">
        <v>1</v>
      </c>
      <c r="L230" s="24"/>
      <c r="M230" s="125" t="s">
        <v>1</v>
      </c>
      <c r="N230" s="126" t="s">
        <v>32</v>
      </c>
      <c r="O230" s="127">
        <v>0</v>
      </c>
      <c r="P230" s="127">
        <f t="shared" si="41"/>
        <v>0</v>
      </c>
      <c r="Q230" s="127">
        <v>0</v>
      </c>
      <c r="R230" s="127">
        <f t="shared" si="42"/>
        <v>0</v>
      </c>
      <c r="S230" s="127">
        <v>0</v>
      </c>
      <c r="T230" s="128">
        <f t="shared" si="43"/>
        <v>0</v>
      </c>
      <c r="AR230" s="129" t="s">
        <v>235</v>
      </c>
      <c r="AT230" s="129" t="s">
        <v>231</v>
      </c>
      <c r="AU230" s="129" t="s">
        <v>76</v>
      </c>
      <c r="AY230" s="13" t="s">
        <v>228</v>
      </c>
      <c r="BE230" s="130">
        <f t="shared" si="44"/>
        <v>0</v>
      </c>
      <c r="BF230" s="130">
        <f t="shared" si="45"/>
        <v>8010.9</v>
      </c>
      <c r="BG230" s="130">
        <f t="shared" si="46"/>
        <v>0</v>
      </c>
      <c r="BH230" s="130">
        <f t="shared" si="47"/>
        <v>0</v>
      </c>
      <c r="BI230" s="130">
        <f t="shared" si="48"/>
        <v>0</v>
      </c>
      <c r="BJ230" s="13" t="s">
        <v>76</v>
      </c>
      <c r="BK230" s="130">
        <f t="shared" si="49"/>
        <v>8010.9</v>
      </c>
      <c r="BL230" s="13" t="s">
        <v>235</v>
      </c>
      <c r="BM230" s="129" t="s">
        <v>521</v>
      </c>
    </row>
    <row r="231" spans="2:65" s="1" customFormat="1" ht="24" customHeight="1" x14ac:dyDescent="0.2">
      <c r="B231" s="118"/>
      <c r="C231" s="119" t="s">
        <v>522</v>
      </c>
      <c r="D231" s="119" t="s">
        <v>231</v>
      </c>
      <c r="E231" s="120" t="s">
        <v>5108</v>
      </c>
      <c r="F231" s="121" t="s">
        <v>5109</v>
      </c>
      <c r="G231" s="122" t="s">
        <v>243</v>
      </c>
      <c r="H231" s="123">
        <v>1</v>
      </c>
      <c r="I231" s="124">
        <v>3831.3</v>
      </c>
      <c r="J231" s="124">
        <f t="shared" si="40"/>
        <v>3831.3</v>
      </c>
      <c r="K231" s="121" t="s">
        <v>1</v>
      </c>
      <c r="L231" s="24"/>
      <c r="M231" s="125" t="s">
        <v>1</v>
      </c>
      <c r="N231" s="126" t="s">
        <v>32</v>
      </c>
      <c r="O231" s="127">
        <v>0</v>
      </c>
      <c r="P231" s="127">
        <f t="shared" si="41"/>
        <v>0</v>
      </c>
      <c r="Q231" s="127">
        <v>0</v>
      </c>
      <c r="R231" s="127">
        <f t="shared" si="42"/>
        <v>0</v>
      </c>
      <c r="S231" s="127">
        <v>0</v>
      </c>
      <c r="T231" s="128">
        <f t="shared" si="43"/>
        <v>0</v>
      </c>
      <c r="AR231" s="129" t="s">
        <v>235</v>
      </c>
      <c r="AT231" s="129" t="s">
        <v>231</v>
      </c>
      <c r="AU231" s="129" t="s">
        <v>76</v>
      </c>
      <c r="AY231" s="13" t="s">
        <v>228</v>
      </c>
      <c r="BE231" s="130">
        <f t="shared" si="44"/>
        <v>0</v>
      </c>
      <c r="BF231" s="130">
        <f t="shared" si="45"/>
        <v>3831.3</v>
      </c>
      <c r="BG231" s="130">
        <f t="shared" si="46"/>
        <v>0</v>
      </c>
      <c r="BH231" s="130">
        <f t="shared" si="47"/>
        <v>0</v>
      </c>
      <c r="BI231" s="130">
        <f t="shared" si="48"/>
        <v>0</v>
      </c>
      <c r="BJ231" s="13" t="s">
        <v>76</v>
      </c>
      <c r="BK231" s="130">
        <f t="shared" si="49"/>
        <v>3831.3</v>
      </c>
      <c r="BL231" s="13" t="s">
        <v>235</v>
      </c>
      <c r="BM231" s="129" t="s">
        <v>525</v>
      </c>
    </row>
    <row r="232" spans="2:65" s="1" customFormat="1" ht="16.5" customHeight="1" x14ac:dyDescent="0.2">
      <c r="B232" s="118"/>
      <c r="C232" s="119" t="s">
        <v>379</v>
      </c>
      <c r="D232" s="119" t="s">
        <v>231</v>
      </c>
      <c r="E232" s="120" t="s">
        <v>5110</v>
      </c>
      <c r="F232" s="121" t="s">
        <v>5111</v>
      </c>
      <c r="G232" s="122" t="s">
        <v>243</v>
      </c>
      <c r="H232" s="123">
        <v>2</v>
      </c>
      <c r="I232" s="124">
        <v>183.44</v>
      </c>
      <c r="J232" s="124">
        <f t="shared" si="40"/>
        <v>366.88</v>
      </c>
      <c r="K232" s="121" t="s">
        <v>1</v>
      </c>
      <c r="L232" s="24"/>
      <c r="M232" s="125" t="s">
        <v>1</v>
      </c>
      <c r="N232" s="126" t="s">
        <v>32</v>
      </c>
      <c r="O232" s="127">
        <v>0</v>
      </c>
      <c r="P232" s="127">
        <f t="shared" si="41"/>
        <v>0</v>
      </c>
      <c r="Q232" s="127">
        <v>0</v>
      </c>
      <c r="R232" s="127">
        <f t="shared" si="42"/>
        <v>0</v>
      </c>
      <c r="S232" s="127">
        <v>0</v>
      </c>
      <c r="T232" s="128">
        <f t="shared" si="43"/>
        <v>0</v>
      </c>
      <c r="AR232" s="129" t="s">
        <v>235</v>
      </c>
      <c r="AT232" s="129" t="s">
        <v>231</v>
      </c>
      <c r="AU232" s="129" t="s">
        <v>76</v>
      </c>
      <c r="AY232" s="13" t="s">
        <v>228</v>
      </c>
      <c r="BE232" s="130">
        <f t="shared" si="44"/>
        <v>0</v>
      </c>
      <c r="BF232" s="130">
        <f t="shared" si="45"/>
        <v>366.88</v>
      </c>
      <c r="BG232" s="130">
        <f t="shared" si="46"/>
        <v>0</v>
      </c>
      <c r="BH232" s="130">
        <f t="shared" si="47"/>
        <v>0</v>
      </c>
      <c r="BI232" s="130">
        <f t="shared" si="48"/>
        <v>0</v>
      </c>
      <c r="BJ232" s="13" t="s">
        <v>76</v>
      </c>
      <c r="BK232" s="130">
        <f t="shared" si="49"/>
        <v>366.88</v>
      </c>
      <c r="BL232" s="13" t="s">
        <v>235</v>
      </c>
      <c r="BM232" s="129" t="s">
        <v>528</v>
      </c>
    </row>
    <row r="233" spans="2:65" s="1" customFormat="1" ht="16.5" customHeight="1" x14ac:dyDescent="0.2">
      <c r="B233" s="118"/>
      <c r="C233" s="119" t="s">
        <v>529</v>
      </c>
      <c r="D233" s="119" t="s">
        <v>231</v>
      </c>
      <c r="E233" s="120" t="s">
        <v>5112</v>
      </c>
      <c r="F233" s="121" t="s">
        <v>5113</v>
      </c>
      <c r="G233" s="122" t="s">
        <v>243</v>
      </c>
      <c r="H233" s="123">
        <v>3</v>
      </c>
      <c r="I233" s="124">
        <v>4.18</v>
      </c>
      <c r="J233" s="124">
        <f t="shared" si="40"/>
        <v>12.54</v>
      </c>
      <c r="K233" s="121" t="s">
        <v>1</v>
      </c>
      <c r="L233" s="24"/>
      <c r="M233" s="125" t="s">
        <v>1</v>
      </c>
      <c r="N233" s="126" t="s">
        <v>32</v>
      </c>
      <c r="O233" s="127">
        <v>0</v>
      </c>
      <c r="P233" s="127">
        <f t="shared" si="41"/>
        <v>0</v>
      </c>
      <c r="Q233" s="127">
        <v>0</v>
      </c>
      <c r="R233" s="127">
        <f t="shared" si="42"/>
        <v>0</v>
      </c>
      <c r="S233" s="127">
        <v>0</v>
      </c>
      <c r="T233" s="128">
        <f t="shared" si="43"/>
        <v>0</v>
      </c>
      <c r="AR233" s="129" t="s">
        <v>235</v>
      </c>
      <c r="AT233" s="129" t="s">
        <v>231</v>
      </c>
      <c r="AU233" s="129" t="s">
        <v>76</v>
      </c>
      <c r="AY233" s="13" t="s">
        <v>228</v>
      </c>
      <c r="BE233" s="130">
        <f t="shared" si="44"/>
        <v>0</v>
      </c>
      <c r="BF233" s="130">
        <f t="shared" si="45"/>
        <v>12.54</v>
      </c>
      <c r="BG233" s="130">
        <f t="shared" si="46"/>
        <v>0</v>
      </c>
      <c r="BH233" s="130">
        <f t="shared" si="47"/>
        <v>0</v>
      </c>
      <c r="BI233" s="130">
        <f t="shared" si="48"/>
        <v>0</v>
      </c>
      <c r="BJ233" s="13" t="s">
        <v>76</v>
      </c>
      <c r="BK233" s="130">
        <f t="shared" si="49"/>
        <v>12.54</v>
      </c>
      <c r="BL233" s="13" t="s">
        <v>235</v>
      </c>
      <c r="BM233" s="129" t="s">
        <v>532</v>
      </c>
    </row>
    <row r="234" spans="2:65" s="1" customFormat="1" ht="16.5" customHeight="1" x14ac:dyDescent="0.2">
      <c r="B234" s="118"/>
      <c r="C234" s="119" t="s">
        <v>382</v>
      </c>
      <c r="D234" s="119" t="s">
        <v>231</v>
      </c>
      <c r="E234" s="120" t="s">
        <v>5114</v>
      </c>
      <c r="F234" s="121" t="s">
        <v>5115</v>
      </c>
      <c r="G234" s="122" t="s">
        <v>243</v>
      </c>
      <c r="H234" s="123">
        <v>1</v>
      </c>
      <c r="I234" s="124">
        <v>189.24</v>
      </c>
      <c r="J234" s="124">
        <f t="shared" si="40"/>
        <v>189.24</v>
      </c>
      <c r="K234" s="121" t="s">
        <v>1</v>
      </c>
      <c r="L234" s="24"/>
      <c r="M234" s="125" t="s">
        <v>1</v>
      </c>
      <c r="N234" s="126" t="s">
        <v>32</v>
      </c>
      <c r="O234" s="127">
        <v>0</v>
      </c>
      <c r="P234" s="127">
        <f t="shared" si="41"/>
        <v>0</v>
      </c>
      <c r="Q234" s="127">
        <v>0</v>
      </c>
      <c r="R234" s="127">
        <f t="shared" si="42"/>
        <v>0</v>
      </c>
      <c r="S234" s="127">
        <v>0</v>
      </c>
      <c r="T234" s="128">
        <f t="shared" si="43"/>
        <v>0</v>
      </c>
      <c r="AR234" s="129" t="s">
        <v>235</v>
      </c>
      <c r="AT234" s="129" t="s">
        <v>231</v>
      </c>
      <c r="AU234" s="129" t="s">
        <v>76</v>
      </c>
      <c r="AY234" s="13" t="s">
        <v>228</v>
      </c>
      <c r="BE234" s="130">
        <f t="shared" si="44"/>
        <v>0</v>
      </c>
      <c r="BF234" s="130">
        <f t="shared" si="45"/>
        <v>189.24</v>
      </c>
      <c r="BG234" s="130">
        <f t="shared" si="46"/>
        <v>0</v>
      </c>
      <c r="BH234" s="130">
        <f t="shared" si="47"/>
        <v>0</v>
      </c>
      <c r="BI234" s="130">
        <f t="shared" si="48"/>
        <v>0</v>
      </c>
      <c r="BJ234" s="13" t="s">
        <v>76</v>
      </c>
      <c r="BK234" s="130">
        <f t="shared" si="49"/>
        <v>189.24</v>
      </c>
      <c r="BL234" s="13" t="s">
        <v>235</v>
      </c>
      <c r="BM234" s="129" t="s">
        <v>535</v>
      </c>
    </row>
    <row r="235" spans="2:65" s="11" customFormat="1" ht="22.95" customHeight="1" x14ac:dyDescent="0.25">
      <c r="B235" s="106"/>
      <c r="D235" s="107" t="s">
        <v>57</v>
      </c>
      <c r="E235" s="116" t="s">
        <v>1211</v>
      </c>
      <c r="F235" s="116" t="s">
        <v>2973</v>
      </c>
      <c r="J235" s="117">
        <f>BK235</f>
        <v>4691.8099999999995</v>
      </c>
      <c r="L235" s="106"/>
      <c r="M235" s="110"/>
      <c r="N235" s="111"/>
      <c r="O235" s="111"/>
      <c r="P235" s="112">
        <f>SUM(P236:P252)</f>
        <v>0</v>
      </c>
      <c r="Q235" s="111"/>
      <c r="R235" s="112">
        <f>SUM(R236:R252)</f>
        <v>0</v>
      </c>
      <c r="S235" s="111"/>
      <c r="T235" s="113">
        <f>SUM(T236:T252)</f>
        <v>0</v>
      </c>
      <c r="AR235" s="107" t="s">
        <v>63</v>
      </c>
      <c r="AT235" s="114" t="s">
        <v>57</v>
      </c>
      <c r="AU235" s="114" t="s">
        <v>63</v>
      </c>
      <c r="AY235" s="107" t="s">
        <v>228</v>
      </c>
      <c r="BK235" s="115">
        <f>SUM(BK236:BK252)</f>
        <v>4691.8099999999995</v>
      </c>
    </row>
    <row r="236" spans="2:65" s="1" customFormat="1" ht="16.5" customHeight="1" x14ac:dyDescent="0.2">
      <c r="B236" s="118"/>
      <c r="C236" s="119" t="s">
        <v>536</v>
      </c>
      <c r="D236" s="119" t="s">
        <v>231</v>
      </c>
      <c r="E236" s="120" t="s">
        <v>5116</v>
      </c>
      <c r="F236" s="121" t="s">
        <v>5117</v>
      </c>
      <c r="G236" s="122" t="s">
        <v>243</v>
      </c>
      <c r="H236" s="123">
        <v>2</v>
      </c>
      <c r="I236" s="124">
        <v>8.36</v>
      </c>
      <c r="J236" s="124">
        <f t="shared" ref="J236:J252" si="50">ROUND(I236*H236,2)</f>
        <v>16.72</v>
      </c>
      <c r="K236" s="121" t="s">
        <v>1</v>
      </c>
      <c r="L236" s="24"/>
      <c r="M236" s="125" t="s">
        <v>1</v>
      </c>
      <c r="N236" s="126" t="s">
        <v>32</v>
      </c>
      <c r="O236" s="127">
        <v>0</v>
      </c>
      <c r="P236" s="127">
        <f t="shared" ref="P236:P252" si="51">O236*H236</f>
        <v>0</v>
      </c>
      <c r="Q236" s="127">
        <v>0</v>
      </c>
      <c r="R236" s="127">
        <f t="shared" ref="R236:R252" si="52">Q236*H236</f>
        <v>0</v>
      </c>
      <c r="S236" s="127">
        <v>0</v>
      </c>
      <c r="T236" s="128">
        <f t="shared" ref="T236:T252" si="53">S236*H236</f>
        <v>0</v>
      </c>
      <c r="AR236" s="129" t="s">
        <v>235</v>
      </c>
      <c r="AT236" s="129" t="s">
        <v>231</v>
      </c>
      <c r="AU236" s="129" t="s">
        <v>76</v>
      </c>
      <c r="AY236" s="13" t="s">
        <v>228</v>
      </c>
      <c r="BE236" s="130">
        <f t="shared" ref="BE236:BE252" si="54">IF(N236="základná",J236,0)</f>
        <v>0</v>
      </c>
      <c r="BF236" s="130">
        <f t="shared" ref="BF236:BF252" si="55">IF(N236="znížená",J236,0)</f>
        <v>16.72</v>
      </c>
      <c r="BG236" s="130">
        <f t="shared" ref="BG236:BG252" si="56">IF(N236="zákl. prenesená",J236,0)</f>
        <v>0</v>
      </c>
      <c r="BH236" s="130">
        <f t="shared" ref="BH236:BH252" si="57">IF(N236="zníž. prenesená",J236,0)</f>
        <v>0</v>
      </c>
      <c r="BI236" s="130">
        <f t="shared" ref="BI236:BI252" si="58">IF(N236="nulová",J236,0)</f>
        <v>0</v>
      </c>
      <c r="BJ236" s="13" t="s">
        <v>76</v>
      </c>
      <c r="BK236" s="130">
        <f t="shared" ref="BK236:BK252" si="59">ROUND(I236*H236,2)</f>
        <v>16.72</v>
      </c>
      <c r="BL236" s="13" t="s">
        <v>235</v>
      </c>
      <c r="BM236" s="129" t="s">
        <v>539</v>
      </c>
    </row>
    <row r="237" spans="2:65" s="1" customFormat="1" ht="16.5" customHeight="1" x14ac:dyDescent="0.2">
      <c r="B237" s="118"/>
      <c r="C237" s="119" t="s">
        <v>386</v>
      </c>
      <c r="D237" s="119" t="s">
        <v>231</v>
      </c>
      <c r="E237" s="120" t="s">
        <v>5118</v>
      </c>
      <c r="F237" s="121" t="s">
        <v>5119</v>
      </c>
      <c r="G237" s="122" t="s">
        <v>243</v>
      </c>
      <c r="H237" s="123">
        <v>11</v>
      </c>
      <c r="I237" s="124">
        <v>11.15</v>
      </c>
      <c r="J237" s="124">
        <f t="shared" si="50"/>
        <v>122.65</v>
      </c>
      <c r="K237" s="121" t="s">
        <v>1</v>
      </c>
      <c r="L237" s="24"/>
      <c r="M237" s="125" t="s">
        <v>1</v>
      </c>
      <c r="N237" s="126" t="s">
        <v>32</v>
      </c>
      <c r="O237" s="127">
        <v>0</v>
      </c>
      <c r="P237" s="127">
        <f t="shared" si="51"/>
        <v>0</v>
      </c>
      <c r="Q237" s="127">
        <v>0</v>
      </c>
      <c r="R237" s="127">
        <f t="shared" si="52"/>
        <v>0</v>
      </c>
      <c r="S237" s="127">
        <v>0</v>
      </c>
      <c r="T237" s="128">
        <f t="shared" si="53"/>
        <v>0</v>
      </c>
      <c r="AR237" s="129" t="s">
        <v>235</v>
      </c>
      <c r="AT237" s="129" t="s">
        <v>231</v>
      </c>
      <c r="AU237" s="129" t="s">
        <v>76</v>
      </c>
      <c r="AY237" s="13" t="s">
        <v>228</v>
      </c>
      <c r="BE237" s="130">
        <f t="shared" si="54"/>
        <v>0</v>
      </c>
      <c r="BF237" s="130">
        <f t="shared" si="55"/>
        <v>122.65</v>
      </c>
      <c r="BG237" s="130">
        <f t="shared" si="56"/>
        <v>0</v>
      </c>
      <c r="BH237" s="130">
        <f t="shared" si="57"/>
        <v>0</v>
      </c>
      <c r="BI237" s="130">
        <f t="shared" si="58"/>
        <v>0</v>
      </c>
      <c r="BJ237" s="13" t="s">
        <v>76</v>
      </c>
      <c r="BK237" s="130">
        <f t="shared" si="59"/>
        <v>122.65</v>
      </c>
      <c r="BL237" s="13" t="s">
        <v>235</v>
      </c>
      <c r="BM237" s="129" t="s">
        <v>542</v>
      </c>
    </row>
    <row r="238" spans="2:65" s="1" customFormat="1" ht="16.5" customHeight="1" x14ac:dyDescent="0.2">
      <c r="B238" s="118"/>
      <c r="C238" s="119" t="s">
        <v>543</v>
      </c>
      <c r="D238" s="119" t="s">
        <v>231</v>
      </c>
      <c r="E238" s="120" t="s">
        <v>5120</v>
      </c>
      <c r="F238" s="121" t="s">
        <v>5121</v>
      </c>
      <c r="G238" s="122" t="s">
        <v>243</v>
      </c>
      <c r="H238" s="123">
        <v>1</v>
      </c>
      <c r="I238" s="124">
        <v>11.15</v>
      </c>
      <c r="J238" s="124">
        <f t="shared" si="50"/>
        <v>11.15</v>
      </c>
      <c r="K238" s="121" t="s">
        <v>1</v>
      </c>
      <c r="L238" s="24"/>
      <c r="M238" s="125" t="s">
        <v>1</v>
      </c>
      <c r="N238" s="126" t="s">
        <v>32</v>
      </c>
      <c r="O238" s="127">
        <v>0</v>
      </c>
      <c r="P238" s="127">
        <f t="shared" si="51"/>
        <v>0</v>
      </c>
      <c r="Q238" s="127">
        <v>0</v>
      </c>
      <c r="R238" s="127">
        <f t="shared" si="52"/>
        <v>0</v>
      </c>
      <c r="S238" s="127">
        <v>0</v>
      </c>
      <c r="T238" s="128">
        <f t="shared" si="53"/>
        <v>0</v>
      </c>
      <c r="AR238" s="129" t="s">
        <v>235</v>
      </c>
      <c r="AT238" s="129" t="s">
        <v>231</v>
      </c>
      <c r="AU238" s="129" t="s">
        <v>76</v>
      </c>
      <c r="AY238" s="13" t="s">
        <v>228</v>
      </c>
      <c r="BE238" s="130">
        <f t="shared" si="54"/>
        <v>0</v>
      </c>
      <c r="BF238" s="130">
        <f t="shared" si="55"/>
        <v>11.15</v>
      </c>
      <c r="BG238" s="130">
        <f t="shared" si="56"/>
        <v>0</v>
      </c>
      <c r="BH238" s="130">
        <f t="shared" si="57"/>
        <v>0</v>
      </c>
      <c r="BI238" s="130">
        <f t="shared" si="58"/>
        <v>0</v>
      </c>
      <c r="BJ238" s="13" t="s">
        <v>76</v>
      </c>
      <c r="BK238" s="130">
        <f t="shared" si="59"/>
        <v>11.15</v>
      </c>
      <c r="BL238" s="13" t="s">
        <v>235</v>
      </c>
      <c r="BM238" s="129" t="s">
        <v>546</v>
      </c>
    </row>
    <row r="239" spans="2:65" s="1" customFormat="1" ht="16.5" customHeight="1" x14ac:dyDescent="0.2">
      <c r="B239" s="118"/>
      <c r="C239" s="119" t="s">
        <v>389</v>
      </c>
      <c r="D239" s="119" t="s">
        <v>231</v>
      </c>
      <c r="E239" s="120" t="s">
        <v>5122</v>
      </c>
      <c r="F239" s="121" t="s">
        <v>5123</v>
      </c>
      <c r="G239" s="122" t="s">
        <v>243</v>
      </c>
      <c r="H239" s="123">
        <v>2</v>
      </c>
      <c r="I239" s="124">
        <v>20.9</v>
      </c>
      <c r="J239" s="124">
        <f t="shared" si="50"/>
        <v>41.8</v>
      </c>
      <c r="K239" s="121" t="s">
        <v>1</v>
      </c>
      <c r="L239" s="24"/>
      <c r="M239" s="125" t="s">
        <v>1</v>
      </c>
      <c r="N239" s="126" t="s">
        <v>32</v>
      </c>
      <c r="O239" s="127">
        <v>0</v>
      </c>
      <c r="P239" s="127">
        <f t="shared" si="51"/>
        <v>0</v>
      </c>
      <c r="Q239" s="127">
        <v>0</v>
      </c>
      <c r="R239" s="127">
        <f t="shared" si="52"/>
        <v>0</v>
      </c>
      <c r="S239" s="127">
        <v>0</v>
      </c>
      <c r="T239" s="128">
        <f t="shared" si="53"/>
        <v>0</v>
      </c>
      <c r="AR239" s="129" t="s">
        <v>235</v>
      </c>
      <c r="AT239" s="129" t="s">
        <v>231</v>
      </c>
      <c r="AU239" s="129" t="s">
        <v>76</v>
      </c>
      <c r="AY239" s="13" t="s">
        <v>228</v>
      </c>
      <c r="BE239" s="130">
        <f t="shared" si="54"/>
        <v>0</v>
      </c>
      <c r="BF239" s="130">
        <f t="shared" si="55"/>
        <v>41.8</v>
      </c>
      <c r="BG239" s="130">
        <f t="shared" si="56"/>
        <v>0</v>
      </c>
      <c r="BH239" s="130">
        <f t="shared" si="57"/>
        <v>0</v>
      </c>
      <c r="BI239" s="130">
        <f t="shared" si="58"/>
        <v>0</v>
      </c>
      <c r="BJ239" s="13" t="s">
        <v>76</v>
      </c>
      <c r="BK239" s="130">
        <f t="shared" si="59"/>
        <v>41.8</v>
      </c>
      <c r="BL239" s="13" t="s">
        <v>235</v>
      </c>
      <c r="BM239" s="129" t="s">
        <v>549</v>
      </c>
    </row>
    <row r="240" spans="2:65" s="1" customFormat="1" ht="16.5" customHeight="1" x14ac:dyDescent="0.2">
      <c r="B240" s="118"/>
      <c r="C240" s="119" t="s">
        <v>552</v>
      </c>
      <c r="D240" s="119" t="s">
        <v>231</v>
      </c>
      <c r="E240" s="120" t="s">
        <v>5124</v>
      </c>
      <c r="F240" s="121" t="s">
        <v>5125</v>
      </c>
      <c r="G240" s="122" t="s">
        <v>243</v>
      </c>
      <c r="H240" s="123">
        <v>1</v>
      </c>
      <c r="I240" s="124">
        <v>11.15</v>
      </c>
      <c r="J240" s="124">
        <f t="shared" si="50"/>
        <v>11.15</v>
      </c>
      <c r="K240" s="121" t="s">
        <v>1</v>
      </c>
      <c r="L240" s="24"/>
      <c r="M240" s="125" t="s">
        <v>1</v>
      </c>
      <c r="N240" s="126" t="s">
        <v>32</v>
      </c>
      <c r="O240" s="127">
        <v>0</v>
      </c>
      <c r="P240" s="127">
        <f t="shared" si="51"/>
        <v>0</v>
      </c>
      <c r="Q240" s="127">
        <v>0</v>
      </c>
      <c r="R240" s="127">
        <f t="shared" si="52"/>
        <v>0</v>
      </c>
      <c r="S240" s="127">
        <v>0</v>
      </c>
      <c r="T240" s="128">
        <f t="shared" si="53"/>
        <v>0</v>
      </c>
      <c r="AR240" s="129" t="s">
        <v>235</v>
      </c>
      <c r="AT240" s="129" t="s">
        <v>231</v>
      </c>
      <c r="AU240" s="129" t="s">
        <v>76</v>
      </c>
      <c r="AY240" s="13" t="s">
        <v>228</v>
      </c>
      <c r="BE240" s="130">
        <f t="shared" si="54"/>
        <v>0</v>
      </c>
      <c r="BF240" s="130">
        <f t="shared" si="55"/>
        <v>11.15</v>
      </c>
      <c r="BG240" s="130">
        <f t="shared" si="56"/>
        <v>0</v>
      </c>
      <c r="BH240" s="130">
        <f t="shared" si="57"/>
        <v>0</v>
      </c>
      <c r="BI240" s="130">
        <f t="shared" si="58"/>
        <v>0</v>
      </c>
      <c r="BJ240" s="13" t="s">
        <v>76</v>
      </c>
      <c r="BK240" s="130">
        <f t="shared" si="59"/>
        <v>11.15</v>
      </c>
      <c r="BL240" s="13" t="s">
        <v>235</v>
      </c>
      <c r="BM240" s="129" t="s">
        <v>555</v>
      </c>
    </row>
    <row r="241" spans="2:65" s="1" customFormat="1" ht="24" customHeight="1" x14ac:dyDescent="0.2">
      <c r="B241" s="118"/>
      <c r="C241" s="119" t="s">
        <v>393</v>
      </c>
      <c r="D241" s="119" t="s">
        <v>231</v>
      </c>
      <c r="E241" s="120" t="s">
        <v>5126</v>
      </c>
      <c r="F241" s="121" t="s">
        <v>5127</v>
      </c>
      <c r="G241" s="122" t="s">
        <v>243</v>
      </c>
      <c r="H241" s="123">
        <v>2</v>
      </c>
      <c r="I241" s="124">
        <v>13.93</v>
      </c>
      <c r="J241" s="124">
        <f t="shared" si="50"/>
        <v>27.86</v>
      </c>
      <c r="K241" s="121" t="s">
        <v>1</v>
      </c>
      <c r="L241" s="24"/>
      <c r="M241" s="125" t="s">
        <v>1</v>
      </c>
      <c r="N241" s="126" t="s">
        <v>32</v>
      </c>
      <c r="O241" s="127">
        <v>0</v>
      </c>
      <c r="P241" s="127">
        <f t="shared" si="51"/>
        <v>0</v>
      </c>
      <c r="Q241" s="127">
        <v>0</v>
      </c>
      <c r="R241" s="127">
        <f t="shared" si="52"/>
        <v>0</v>
      </c>
      <c r="S241" s="127">
        <v>0</v>
      </c>
      <c r="T241" s="128">
        <f t="shared" si="53"/>
        <v>0</v>
      </c>
      <c r="AR241" s="129" t="s">
        <v>235</v>
      </c>
      <c r="AT241" s="129" t="s">
        <v>231</v>
      </c>
      <c r="AU241" s="129" t="s">
        <v>76</v>
      </c>
      <c r="AY241" s="13" t="s">
        <v>228</v>
      </c>
      <c r="BE241" s="130">
        <f t="shared" si="54"/>
        <v>0</v>
      </c>
      <c r="BF241" s="130">
        <f t="shared" si="55"/>
        <v>27.86</v>
      </c>
      <c r="BG241" s="130">
        <f t="shared" si="56"/>
        <v>0</v>
      </c>
      <c r="BH241" s="130">
        <f t="shared" si="57"/>
        <v>0</v>
      </c>
      <c r="BI241" s="130">
        <f t="shared" si="58"/>
        <v>0</v>
      </c>
      <c r="BJ241" s="13" t="s">
        <v>76</v>
      </c>
      <c r="BK241" s="130">
        <f t="shared" si="59"/>
        <v>27.86</v>
      </c>
      <c r="BL241" s="13" t="s">
        <v>235</v>
      </c>
      <c r="BM241" s="129" t="s">
        <v>562</v>
      </c>
    </row>
    <row r="242" spans="2:65" s="1" customFormat="1" ht="16.5" customHeight="1" x14ac:dyDescent="0.2">
      <c r="B242" s="118"/>
      <c r="C242" s="119" t="s">
        <v>563</v>
      </c>
      <c r="D242" s="119" t="s">
        <v>231</v>
      </c>
      <c r="E242" s="120" t="s">
        <v>5128</v>
      </c>
      <c r="F242" s="121" t="s">
        <v>5129</v>
      </c>
      <c r="G242" s="122" t="s">
        <v>243</v>
      </c>
      <c r="H242" s="123">
        <v>6</v>
      </c>
      <c r="I242" s="124">
        <v>20.9</v>
      </c>
      <c r="J242" s="124">
        <f t="shared" si="50"/>
        <v>125.4</v>
      </c>
      <c r="K242" s="121" t="s">
        <v>1</v>
      </c>
      <c r="L242" s="24"/>
      <c r="M242" s="125" t="s">
        <v>1</v>
      </c>
      <c r="N242" s="126" t="s">
        <v>32</v>
      </c>
      <c r="O242" s="127">
        <v>0</v>
      </c>
      <c r="P242" s="127">
        <f t="shared" si="51"/>
        <v>0</v>
      </c>
      <c r="Q242" s="127">
        <v>0</v>
      </c>
      <c r="R242" s="127">
        <f t="shared" si="52"/>
        <v>0</v>
      </c>
      <c r="S242" s="127">
        <v>0</v>
      </c>
      <c r="T242" s="128">
        <f t="shared" si="53"/>
        <v>0</v>
      </c>
      <c r="AR242" s="129" t="s">
        <v>235</v>
      </c>
      <c r="AT242" s="129" t="s">
        <v>231</v>
      </c>
      <c r="AU242" s="129" t="s">
        <v>76</v>
      </c>
      <c r="AY242" s="13" t="s">
        <v>228</v>
      </c>
      <c r="BE242" s="130">
        <f t="shared" si="54"/>
        <v>0</v>
      </c>
      <c r="BF242" s="130">
        <f t="shared" si="55"/>
        <v>125.4</v>
      </c>
      <c r="BG242" s="130">
        <f t="shared" si="56"/>
        <v>0</v>
      </c>
      <c r="BH242" s="130">
        <f t="shared" si="57"/>
        <v>0</v>
      </c>
      <c r="BI242" s="130">
        <f t="shared" si="58"/>
        <v>0</v>
      </c>
      <c r="BJ242" s="13" t="s">
        <v>76</v>
      </c>
      <c r="BK242" s="130">
        <f t="shared" si="59"/>
        <v>125.4</v>
      </c>
      <c r="BL242" s="13" t="s">
        <v>235</v>
      </c>
      <c r="BM242" s="129" t="s">
        <v>567</v>
      </c>
    </row>
    <row r="243" spans="2:65" s="1" customFormat="1" ht="16.5" customHeight="1" x14ac:dyDescent="0.2">
      <c r="B243" s="118"/>
      <c r="C243" s="119" t="s">
        <v>396</v>
      </c>
      <c r="D243" s="119" t="s">
        <v>231</v>
      </c>
      <c r="E243" s="120" t="s">
        <v>5130</v>
      </c>
      <c r="F243" s="121" t="s">
        <v>5131</v>
      </c>
      <c r="G243" s="122" t="s">
        <v>243</v>
      </c>
      <c r="H243" s="123">
        <v>1</v>
      </c>
      <c r="I243" s="124">
        <v>9.75</v>
      </c>
      <c r="J243" s="124">
        <f t="shared" si="50"/>
        <v>9.75</v>
      </c>
      <c r="K243" s="121" t="s">
        <v>1</v>
      </c>
      <c r="L243" s="24"/>
      <c r="M243" s="125" t="s">
        <v>1</v>
      </c>
      <c r="N243" s="126" t="s">
        <v>32</v>
      </c>
      <c r="O243" s="127">
        <v>0</v>
      </c>
      <c r="P243" s="127">
        <f t="shared" si="51"/>
        <v>0</v>
      </c>
      <c r="Q243" s="127">
        <v>0</v>
      </c>
      <c r="R243" s="127">
        <f t="shared" si="52"/>
        <v>0</v>
      </c>
      <c r="S243" s="127">
        <v>0</v>
      </c>
      <c r="T243" s="128">
        <f t="shared" si="53"/>
        <v>0</v>
      </c>
      <c r="AR243" s="129" t="s">
        <v>235</v>
      </c>
      <c r="AT243" s="129" t="s">
        <v>231</v>
      </c>
      <c r="AU243" s="129" t="s">
        <v>76</v>
      </c>
      <c r="AY243" s="13" t="s">
        <v>228</v>
      </c>
      <c r="BE243" s="130">
        <f t="shared" si="54"/>
        <v>0</v>
      </c>
      <c r="BF243" s="130">
        <f t="shared" si="55"/>
        <v>9.75</v>
      </c>
      <c r="BG243" s="130">
        <f t="shared" si="56"/>
        <v>0</v>
      </c>
      <c r="BH243" s="130">
        <f t="shared" si="57"/>
        <v>0</v>
      </c>
      <c r="BI243" s="130">
        <f t="shared" si="58"/>
        <v>0</v>
      </c>
      <c r="BJ243" s="13" t="s">
        <v>76</v>
      </c>
      <c r="BK243" s="130">
        <f t="shared" si="59"/>
        <v>9.75</v>
      </c>
      <c r="BL243" s="13" t="s">
        <v>235</v>
      </c>
      <c r="BM243" s="129" t="s">
        <v>571</v>
      </c>
    </row>
    <row r="244" spans="2:65" s="1" customFormat="1" ht="16.5" customHeight="1" x14ac:dyDescent="0.2">
      <c r="B244" s="118"/>
      <c r="C244" s="119" t="s">
        <v>574</v>
      </c>
      <c r="D244" s="119" t="s">
        <v>231</v>
      </c>
      <c r="E244" s="120" t="s">
        <v>5132</v>
      </c>
      <c r="F244" s="121" t="s">
        <v>5133</v>
      </c>
      <c r="G244" s="122" t="s">
        <v>243</v>
      </c>
      <c r="H244" s="123">
        <v>1</v>
      </c>
      <c r="I244" s="124">
        <v>20.9</v>
      </c>
      <c r="J244" s="124">
        <f t="shared" si="50"/>
        <v>20.9</v>
      </c>
      <c r="K244" s="121" t="s">
        <v>1</v>
      </c>
      <c r="L244" s="24"/>
      <c r="M244" s="125" t="s">
        <v>1</v>
      </c>
      <c r="N244" s="126" t="s">
        <v>32</v>
      </c>
      <c r="O244" s="127">
        <v>0</v>
      </c>
      <c r="P244" s="127">
        <f t="shared" si="51"/>
        <v>0</v>
      </c>
      <c r="Q244" s="127">
        <v>0</v>
      </c>
      <c r="R244" s="127">
        <f t="shared" si="52"/>
        <v>0</v>
      </c>
      <c r="S244" s="127">
        <v>0</v>
      </c>
      <c r="T244" s="128">
        <f t="shared" si="53"/>
        <v>0</v>
      </c>
      <c r="AR244" s="129" t="s">
        <v>235</v>
      </c>
      <c r="AT244" s="129" t="s">
        <v>231</v>
      </c>
      <c r="AU244" s="129" t="s">
        <v>76</v>
      </c>
      <c r="AY244" s="13" t="s">
        <v>228</v>
      </c>
      <c r="BE244" s="130">
        <f t="shared" si="54"/>
        <v>0</v>
      </c>
      <c r="BF244" s="130">
        <f t="shared" si="55"/>
        <v>20.9</v>
      </c>
      <c r="BG244" s="130">
        <f t="shared" si="56"/>
        <v>0</v>
      </c>
      <c r="BH244" s="130">
        <f t="shared" si="57"/>
        <v>0</v>
      </c>
      <c r="BI244" s="130">
        <f t="shared" si="58"/>
        <v>0</v>
      </c>
      <c r="BJ244" s="13" t="s">
        <v>76</v>
      </c>
      <c r="BK244" s="130">
        <f t="shared" si="59"/>
        <v>20.9</v>
      </c>
      <c r="BL244" s="13" t="s">
        <v>235</v>
      </c>
      <c r="BM244" s="129" t="s">
        <v>577</v>
      </c>
    </row>
    <row r="245" spans="2:65" s="1" customFormat="1" ht="16.5" customHeight="1" x14ac:dyDescent="0.2">
      <c r="B245" s="118"/>
      <c r="C245" s="119" t="s">
        <v>400</v>
      </c>
      <c r="D245" s="119" t="s">
        <v>231</v>
      </c>
      <c r="E245" s="120" t="s">
        <v>5134</v>
      </c>
      <c r="F245" s="121" t="s">
        <v>5135</v>
      </c>
      <c r="G245" s="122" t="s">
        <v>1194</v>
      </c>
      <c r="H245" s="123">
        <v>1</v>
      </c>
      <c r="I245" s="124">
        <v>11.15</v>
      </c>
      <c r="J245" s="124">
        <f t="shared" si="50"/>
        <v>11.15</v>
      </c>
      <c r="K245" s="121" t="s">
        <v>1</v>
      </c>
      <c r="L245" s="24"/>
      <c r="M245" s="125" t="s">
        <v>1</v>
      </c>
      <c r="N245" s="126" t="s">
        <v>32</v>
      </c>
      <c r="O245" s="127">
        <v>0</v>
      </c>
      <c r="P245" s="127">
        <f t="shared" si="51"/>
        <v>0</v>
      </c>
      <c r="Q245" s="127">
        <v>0</v>
      </c>
      <c r="R245" s="127">
        <f t="shared" si="52"/>
        <v>0</v>
      </c>
      <c r="S245" s="127">
        <v>0</v>
      </c>
      <c r="T245" s="128">
        <f t="shared" si="53"/>
        <v>0</v>
      </c>
      <c r="AR245" s="129" t="s">
        <v>235</v>
      </c>
      <c r="AT245" s="129" t="s">
        <v>231</v>
      </c>
      <c r="AU245" s="129" t="s">
        <v>76</v>
      </c>
      <c r="AY245" s="13" t="s">
        <v>228</v>
      </c>
      <c r="BE245" s="130">
        <f t="shared" si="54"/>
        <v>0</v>
      </c>
      <c r="BF245" s="130">
        <f t="shared" si="55"/>
        <v>11.15</v>
      </c>
      <c r="BG245" s="130">
        <f t="shared" si="56"/>
        <v>0</v>
      </c>
      <c r="BH245" s="130">
        <f t="shared" si="57"/>
        <v>0</v>
      </c>
      <c r="BI245" s="130">
        <f t="shared" si="58"/>
        <v>0</v>
      </c>
      <c r="BJ245" s="13" t="s">
        <v>76</v>
      </c>
      <c r="BK245" s="130">
        <f t="shared" si="59"/>
        <v>11.15</v>
      </c>
      <c r="BL245" s="13" t="s">
        <v>235</v>
      </c>
      <c r="BM245" s="129" t="s">
        <v>580</v>
      </c>
    </row>
    <row r="246" spans="2:65" s="1" customFormat="1" ht="24" customHeight="1" x14ac:dyDescent="0.2">
      <c r="B246" s="118"/>
      <c r="C246" s="119" t="s">
        <v>405</v>
      </c>
      <c r="D246" s="119" t="s">
        <v>231</v>
      </c>
      <c r="E246" s="120" t="s">
        <v>5136</v>
      </c>
      <c r="F246" s="121" t="s">
        <v>5137</v>
      </c>
      <c r="G246" s="122" t="s">
        <v>243</v>
      </c>
      <c r="H246" s="123">
        <v>1</v>
      </c>
      <c r="I246" s="124">
        <v>118.42</v>
      </c>
      <c r="J246" s="124">
        <f t="shared" si="50"/>
        <v>118.42</v>
      </c>
      <c r="K246" s="121" t="s">
        <v>1</v>
      </c>
      <c r="L246" s="24"/>
      <c r="M246" s="125" t="s">
        <v>1</v>
      </c>
      <c r="N246" s="126" t="s">
        <v>32</v>
      </c>
      <c r="O246" s="127">
        <v>0</v>
      </c>
      <c r="P246" s="127">
        <f t="shared" si="51"/>
        <v>0</v>
      </c>
      <c r="Q246" s="127">
        <v>0</v>
      </c>
      <c r="R246" s="127">
        <f t="shared" si="52"/>
        <v>0</v>
      </c>
      <c r="S246" s="127">
        <v>0</v>
      </c>
      <c r="T246" s="128">
        <f t="shared" si="53"/>
        <v>0</v>
      </c>
      <c r="AR246" s="129" t="s">
        <v>235</v>
      </c>
      <c r="AT246" s="129" t="s">
        <v>231</v>
      </c>
      <c r="AU246" s="129" t="s">
        <v>76</v>
      </c>
      <c r="AY246" s="13" t="s">
        <v>228</v>
      </c>
      <c r="BE246" s="130">
        <f t="shared" si="54"/>
        <v>0</v>
      </c>
      <c r="BF246" s="130">
        <f t="shared" si="55"/>
        <v>118.42</v>
      </c>
      <c r="BG246" s="130">
        <f t="shared" si="56"/>
        <v>0</v>
      </c>
      <c r="BH246" s="130">
        <f t="shared" si="57"/>
        <v>0</v>
      </c>
      <c r="BI246" s="130">
        <f t="shared" si="58"/>
        <v>0</v>
      </c>
      <c r="BJ246" s="13" t="s">
        <v>76</v>
      </c>
      <c r="BK246" s="130">
        <f t="shared" si="59"/>
        <v>118.42</v>
      </c>
      <c r="BL246" s="13" t="s">
        <v>235</v>
      </c>
      <c r="BM246" s="129" t="s">
        <v>585</v>
      </c>
    </row>
    <row r="247" spans="2:65" s="1" customFormat="1" ht="16.5" customHeight="1" x14ac:dyDescent="0.2">
      <c r="B247" s="118"/>
      <c r="C247" s="119" t="s">
        <v>404</v>
      </c>
      <c r="D247" s="119" t="s">
        <v>231</v>
      </c>
      <c r="E247" s="120" t="s">
        <v>5138</v>
      </c>
      <c r="F247" s="121" t="s">
        <v>2983</v>
      </c>
      <c r="G247" s="122" t="s">
        <v>243</v>
      </c>
      <c r="H247" s="123">
        <v>2</v>
      </c>
      <c r="I247" s="124">
        <v>11.61</v>
      </c>
      <c r="J247" s="124">
        <f t="shared" si="50"/>
        <v>23.22</v>
      </c>
      <c r="K247" s="121" t="s">
        <v>1</v>
      </c>
      <c r="L247" s="24"/>
      <c r="M247" s="125" t="s">
        <v>1</v>
      </c>
      <c r="N247" s="126" t="s">
        <v>32</v>
      </c>
      <c r="O247" s="127">
        <v>0</v>
      </c>
      <c r="P247" s="127">
        <f t="shared" si="51"/>
        <v>0</v>
      </c>
      <c r="Q247" s="127">
        <v>0</v>
      </c>
      <c r="R247" s="127">
        <f t="shared" si="52"/>
        <v>0</v>
      </c>
      <c r="S247" s="127">
        <v>0</v>
      </c>
      <c r="T247" s="128">
        <f t="shared" si="53"/>
        <v>0</v>
      </c>
      <c r="AR247" s="129" t="s">
        <v>235</v>
      </c>
      <c r="AT247" s="129" t="s">
        <v>231</v>
      </c>
      <c r="AU247" s="129" t="s">
        <v>76</v>
      </c>
      <c r="AY247" s="13" t="s">
        <v>228</v>
      </c>
      <c r="BE247" s="130">
        <f t="shared" si="54"/>
        <v>0</v>
      </c>
      <c r="BF247" s="130">
        <f t="shared" si="55"/>
        <v>23.22</v>
      </c>
      <c r="BG247" s="130">
        <f t="shared" si="56"/>
        <v>0</v>
      </c>
      <c r="BH247" s="130">
        <f t="shared" si="57"/>
        <v>0</v>
      </c>
      <c r="BI247" s="130">
        <f t="shared" si="58"/>
        <v>0</v>
      </c>
      <c r="BJ247" s="13" t="s">
        <v>76</v>
      </c>
      <c r="BK247" s="130">
        <f t="shared" si="59"/>
        <v>23.22</v>
      </c>
      <c r="BL247" s="13" t="s">
        <v>235</v>
      </c>
      <c r="BM247" s="129" t="s">
        <v>588</v>
      </c>
    </row>
    <row r="248" spans="2:65" s="1" customFormat="1" ht="16.5" customHeight="1" x14ac:dyDescent="0.2">
      <c r="B248" s="118"/>
      <c r="C248" s="119" t="s">
        <v>436</v>
      </c>
      <c r="D248" s="119" t="s">
        <v>231</v>
      </c>
      <c r="E248" s="120" t="s">
        <v>5139</v>
      </c>
      <c r="F248" s="121" t="s">
        <v>5140</v>
      </c>
      <c r="G248" s="122" t="s">
        <v>243</v>
      </c>
      <c r="H248" s="123">
        <v>3</v>
      </c>
      <c r="I248" s="124">
        <v>1.74</v>
      </c>
      <c r="J248" s="124">
        <f t="shared" si="50"/>
        <v>5.22</v>
      </c>
      <c r="K248" s="121" t="s">
        <v>1</v>
      </c>
      <c r="L248" s="24"/>
      <c r="M248" s="125" t="s">
        <v>1</v>
      </c>
      <c r="N248" s="126" t="s">
        <v>32</v>
      </c>
      <c r="O248" s="127">
        <v>0</v>
      </c>
      <c r="P248" s="127">
        <f t="shared" si="51"/>
        <v>0</v>
      </c>
      <c r="Q248" s="127">
        <v>0</v>
      </c>
      <c r="R248" s="127">
        <f t="shared" si="52"/>
        <v>0</v>
      </c>
      <c r="S248" s="127">
        <v>0</v>
      </c>
      <c r="T248" s="128">
        <f t="shared" si="53"/>
        <v>0</v>
      </c>
      <c r="AR248" s="129" t="s">
        <v>235</v>
      </c>
      <c r="AT248" s="129" t="s">
        <v>231</v>
      </c>
      <c r="AU248" s="129" t="s">
        <v>76</v>
      </c>
      <c r="AY248" s="13" t="s">
        <v>228</v>
      </c>
      <c r="BE248" s="130">
        <f t="shared" si="54"/>
        <v>0</v>
      </c>
      <c r="BF248" s="130">
        <f t="shared" si="55"/>
        <v>5.22</v>
      </c>
      <c r="BG248" s="130">
        <f t="shared" si="56"/>
        <v>0</v>
      </c>
      <c r="BH248" s="130">
        <f t="shared" si="57"/>
        <v>0</v>
      </c>
      <c r="BI248" s="130">
        <f t="shared" si="58"/>
        <v>0</v>
      </c>
      <c r="BJ248" s="13" t="s">
        <v>76</v>
      </c>
      <c r="BK248" s="130">
        <f t="shared" si="59"/>
        <v>5.22</v>
      </c>
      <c r="BL248" s="13" t="s">
        <v>235</v>
      </c>
      <c r="BM248" s="129" t="s">
        <v>591</v>
      </c>
    </row>
    <row r="249" spans="2:65" s="1" customFormat="1" ht="16.5" customHeight="1" x14ac:dyDescent="0.2">
      <c r="B249" s="118"/>
      <c r="C249" s="119" t="s">
        <v>410</v>
      </c>
      <c r="D249" s="119" t="s">
        <v>231</v>
      </c>
      <c r="E249" s="120" t="s">
        <v>5141</v>
      </c>
      <c r="F249" s="121" t="s">
        <v>5142</v>
      </c>
      <c r="G249" s="122" t="s">
        <v>243</v>
      </c>
      <c r="H249" s="123">
        <v>1</v>
      </c>
      <c r="I249" s="124">
        <v>40.64</v>
      </c>
      <c r="J249" s="124">
        <f t="shared" si="50"/>
        <v>40.64</v>
      </c>
      <c r="K249" s="121" t="s">
        <v>1</v>
      </c>
      <c r="L249" s="24"/>
      <c r="M249" s="125" t="s">
        <v>1</v>
      </c>
      <c r="N249" s="126" t="s">
        <v>32</v>
      </c>
      <c r="O249" s="127">
        <v>0</v>
      </c>
      <c r="P249" s="127">
        <f t="shared" si="51"/>
        <v>0</v>
      </c>
      <c r="Q249" s="127">
        <v>0</v>
      </c>
      <c r="R249" s="127">
        <f t="shared" si="52"/>
        <v>0</v>
      </c>
      <c r="S249" s="127">
        <v>0</v>
      </c>
      <c r="T249" s="128">
        <f t="shared" si="53"/>
        <v>0</v>
      </c>
      <c r="AR249" s="129" t="s">
        <v>235</v>
      </c>
      <c r="AT249" s="129" t="s">
        <v>231</v>
      </c>
      <c r="AU249" s="129" t="s">
        <v>76</v>
      </c>
      <c r="AY249" s="13" t="s">
        <v>228</v>
      </c>
      <c r="BE249" s="130">
        <f t="shared" si="54"/>
        <v>0</v>
      </c>
      <c r="BF249" s="130">
        <f t="shared" si="55"/>
        <v>40.64</v>
      </c>
      <c r="BG249" s="130">
        <f t="shared" si="56"/>
        <v>0</v>
      </c>
      <c r="BH249" s="130">
        <f t="shared" si="57"/>
        <v>0</v>
      </c>
      <c r="BI249" s="130">
        <f t="shared" si="58"/>
        <v>0</v>
      </c>
      <c r="BJ249" s="13" t="s">
        <v>76</v>
      </c>
      <c r="BK249" s="130">
        <f t="shared" si="59"/>
        <v>40.64</v>
      </c>
      <c r="BL249" s="13" t="s">
        <v>235</v>
      </c>
      <c r="BM249" s="129" t="s">
        <v>594</v>
      </c>
    </row>
    <row r="250" spans="2:65" s="1" customFormat="1" ht="36" customHeight="1" x14ac:dyDescent="0.2">
      <c r="B250" s="118"/>
      <c r="C250" s="119" t="s">
        <v>595</v>
      </c>
      <c r="D250" s="119" t="s">
        <v>231</v>
      </c>
      <c r="E250" s="120" t="s">
        <v>2992</v>
      </c>
      <c r="F250" s="121" t="s">
        <v>2993</v>
      </c>
      <c r="G250" s="122" t="s">
        <v>1112</v>
      </c>
      <c r="H250" s="123">
        <v>80</v>
      </c>
      <c r="I250" s="124">
        <v>30.19</v>
      </c>
      <c r="J250" s="124">
        <f t="shared" si="50"/>
        <v>2415.1999999999998</v>
      </c>
      <c r="K250" s="121" t="s">
        <v>1</v>
      </c>
      <c r="L250" s="24"/>
      <c r="M250" s="125" t="s">
        <v>1</v>
      </c>
      <c r="N250" s="126" t="s">
        <v>32</v>
      </c>
      <c r="O250" s="127">
        <v>0</v>
      </c>
      <c r="P250" s="127">
        <f t="shared" si="51"/>
        <v>0</v>
      </c>
      <c r="Q250" s="127">
        <v>0</v>
      </c>
      <c r="R250" s="127">
        <f t="shared" si="52"/>
        <v>0</v>
      </c>
      <c r="S250" s="127">
        <v>0</v>
      </c>
      <c r="T250" s="128">
        <f t="shared" si="53"/>
        <v>0</v>
      </c>
      <c r="AR250" s="129" t="s">
        <v>235</v>
      </c>
      <c r="AT250" s="129" t="s">
        <v>231</v>
      </c>
      <c r="AU250" s="129" t="s">
        <v>76</v>
      </c>
      <c r="AY250" s="13" t="s">
        <v>228</v>
      </c>
      <c r="BE250" s="130">
        <f t="shared" si="54"/>
        <v>0</v>
      </c>
      <c r="BF250" s="130">
        <f t="shared" si="55"/>
        <v>2415.1999999999998</v>
      </c>
      <c r="BG250" s="130">
        <f t="shared" si="56"/>
        <v>0</v>
      </c>
      <c r="BH250" s="130">
        <f t="shared" si="57"/>
        <v>0</v>
      </c>
      <c r="BI250" s="130">
        <f t="shared" si="58"/>
        <v>0</v>
      </c>
      <c r="BJ250" s="13" t="s">
        <v>76</v>
      </c>
      <c r="BK250" s="130">
        <f t="shared" si="59"/>
        <v>2415.1999999999998</v>
      </c>
      <c r="BL250" s="13" t="s">
        <v>235</v>
      </c>
      <c r="BM250" s="129" t="s">
        <v>598</v>
      </c>
    </row>
    <row r="251" spans="2:65" s="1" customFormat="1" ht="16.5" customHeight="1" x14ac:dyDescent="0.2">
      <c r="B251" s="118"/>
      <c r="C251" s="119" t="s">
        <v>414</v>
      </c>
      <c r="D251" s="119" t="s">
        <v>231</v>
      </c>
      <c r="E251" s="120" t="s">
        <v>5143</v>
      </c>
      <c r="F251" s="121" t="s">
        <v>2837</v>
      </c>
      <c r="G251" s="122" t="s">
        <v>243</v>
      </c>
      <c r="H251" s="123">
        <v>1</v>
      </c>
      <c r="I251" s="124">
        <v>482.98</v>
      </c>
      <c r="J251" s="124">
        <f t="shared" si="50"/>
        <v>482.98</v>
      </c>
      <c r="K251" s="121" t="s">
        <v>1</v>
      </c>
      <c r="L251" s="24"/>
      <c r="M251" s="125" t="s">
        <v>1</v>
      </c>
      <c r="N251" s="126" t="s">
        <v>32</v>
      </c>
      <c r="O251" s="127">
        <v>0</v>
      </c>
      <c r="P251" s="127">
        <f t="shared" si="51"/>
        <v>0</v>
      </c>
      <c r="Q251" s="127">
        <v>0</v>
      </c>
      <c r="R251" s="127">
        <f t="shared" si="52"/>
        <v>0</v>
      </c>
      <c r="S251" s="127">
        <v>0</v>
      </c>
      <c r="T251" s="128">
        <f t="shared" si="53"/>
        <v>0</v>
      </c>
      <c r="AR251" s="129" t="s">
        <v>235</v>
      </c>
      <c r="AT251" s="129" t="s">
        <v>231</v>
      </c>
      <c r="AU251" s="129" t="s">
        <v>76</v>
      </c>
      <c r="AY251" s="13" t="s">
        <v>228</v>
      </c>
      <c r="BE251" s="130">
        <f t="shared" si="54"/>
        <v>0</v>
      </c>
      <c r="BF251" s="130">
        <f t="shared" si="55"/>
        <v>482.98</v>
      </c>
      <c r="BG251" s="130">
        <f t="shared" si="56"/>
        <v>0</v>
      </c>
      <c r="BH251" s="130">
        <f t="shared" si="57"/>
        <v>0</v>
      </c>
      <c r="BI251" s="130">
        <f t="shared" si="58"/>
        <v>0</v>
      </c>
      <c r="BJ251" s="13" t="s">
        <v>76</v>
      </c>
      <c r="BK251" s="130">
        <f t="shared" si="59"/>
        <v>482.98</v>
      </c>
      <c r="BL251" s="13" t="s">
        <v>235</v>
      </c>
      <c r="BM251" s="129" t="s">
        <v>601</v>
      </c>
    </row>
    <row r="252" spans="2:65" s="1" customFormat="1" ht="16.5" customHeight="1" x14ac:dyDescent="0.2">
      <c r="B252" s="118"/>
      <c r="C252" s="119" t="s">
        <v>602</v>
      </c>
      <c r="D252" s="119" t="s">
        <v>231</v>
      </c>
      <c r="E252" s="120" t="s">
        <v>5144</v>
      </c>
      <c r="F252" s="121" t="s">
        <v>5145</v>
      </c>
      <c r="G252" s="122" t="s">
        <v>1112</v>
      </c>
      <c r="H252" s="123">
        <v>40</v>
      </c>
      <c r="I252" s="124">
        <v>30.19</v>
      </c>
      <c r="J252" s="124">
        <f t="shared" si="50"/>
        <v>1207.5999999999999</v>
      </c>
      <c r="K252" s="121" t="s">
        <v>1</v>
      </c>
      <c r="L252" s="24"/>
      <c r="M252" s="125" t="s">
        <v>1</v>
      </c>
      <c r="N252" s="126" t="s">
        <v>32</v>
      </c>
      <c r="O252" s="127">
        <v>0</v>
      </c>
      <c r="P252" s="127">
        <f t="shared" si="51"/>
        <v>0</v>
      </c>
      <c r="Q252" s="127">
        <v>0</v>
      </c>
      <c r="R252" s="127">
        <f t="shared" si="52"/>
        <v>0</v>
      </c>
      <c r="S252" s="127">
        <v>0</v>
      </c>
      <c r="T252" s="128">
        <f t="shared" si="53"/>
        <v>0</v>
      </c>
      <c r="AR252" s="129" t="s">
        <v>235</v>
      </c>
      <c r="AT252" s="129" t="s">
        <v>231</v>
      </c>
      <c r="AU252" s="129" t="s">
        <v>76</v>
      </c>
      <c r="AY252" s="13" t="s">
        <v>228</v>
      </c>
      <c r="BE252" s="130">
        <f t="shared" si="54"/>
        <v>0</v>
      </c>
      <c r="BF252" s="130">
        <f t="shared" si="55"/>
        <v>1207.5999999999999</v>
      </c>
      <c r="BG252" s="130">
        <f t="shared" si="56"/>
        <v>0</v>
      </c>
      <c r="BH252" s="130">
        <f t="shared" si="57"/>
        <v>0</v>
      </c>
      <c r="BI252" s="130">
        <f t="shared" si="58"/>
        <v>0</v>
      </c>
      <c r="BJ252" s="13" t="s">
        <v>76</v>
      </c>
      <c r="BK252" s="130">
        <f t="shared" si="59"/>
        <v>1207.5999999999999</v>
      </c>
      <c r="BL252" s="13" t="s">
        <v>235</v>
      </c>
      <c r="BM252" s="129" t="s">
        <v>605</v>
      </c>
    </row>
    <row r="253" spans="2:65" s="11" customFormat="1" ht="22.95" customHeight="1" x14ac:dyDescent="0.25">
      <c r="B253" s="106"/>
      <c r="D253" s="107" t="s">
        <v>57</v>
      </c>
      <c r="E253" s="116" t="s">
        <v>1215</v>
      </c>
      <c r="F253" s="116" t="s">
        <v>2994</v>
      </c>
      <c r="J253" s="117">
        <f>BK253</f>
        <v>4132.5299999999988</v>
      </c>
      <c r="L253" s="106"/>
      <c r="M253" s="110"/>
      <c r="N253" s="111"/>
      <c r="O253" s="111"/>
      <c r="P253" s="112">
        <f>SUM(P254:P271)</f>
        <v>0</v>
      </c>
      <c r="Q253" s="111"/>
      <c r="R253" s="112">
        <f>SUM(R254:R271)</f>
        <v>0</v>
      </c>
      <c r="S253" s="111"/>
      <c r="T253" s="113">
        <f>SUM(T254:T271)</f>
        <v>0</v>
      </c>
      <c r="AR253" s="107" t="s">
        <v>63</v>
      </c>
      <c r="AT253" s="114" t="s">
        <v>57</v>
      </c>
      <c r="AU253" s="114" t="s">
        <v>63</v>
      </c>
      <c r="AY253" s="107" t="s">
        <v>228</v>
      </c>
      <c r="BK253" s="115">
        <f>SUM(BK254:BK271)</f>
        <v>4132.5299999999988</v>
      </c>
    </row>
    <row r="254" spans="2:65" s="1" customFormat="1" ht="24" customHeight="1" x14ac:dyDescent="0.2">
      <c r="B254" s="118"/>
      <c r="C254" s="119" t="s">
        <v>418</v>
      </c>
      <c r="D254" s="119" t="s">
        <v>231</v>
      </c>
      <c r="E254" s="120" t="s">
        <v>5146</v>
      </c>
      <c r="F254" s="121" t="s">
        <v>5147</v>
      </c>
      <c r="G254" s="122" t="s">
        <v>5148</v>
      </c>
      <c r="H254" s="123">
        <v>1</v>
      </c>
      <c r="I254" s="124">
        <v>986.85</v>
      </c>
      <c r="J254" s="124">
        <f t="shared" ref="J254:J271" si="60">ROUND(I254*H254,2)</f>
        <v>986.85</v>
      </c>
      <c r="K254" s="121" t="s">
        <v>1</v>
      </c>
      <c r="L254" s="24"/>
      <c r="M254" s="125" t="s">
        <v>1</v>
      </c>
      <c r="N254" s="126" t="s">
        <v>32</v>
      </c>
      <c r="O254" s="127">
        <v>0</v>
      </c>
      <c r="P254" s="127">
        <f t="shared" ref="P254:P271" si="61">O254*H254</f>
        <v>0</v>
      </c>
      <c r="Q254" s="127">
        <v>0</v>
      </c>
      <c r="R254" s="127">
        <f t="shared" ref="R254:R271" si="62">Q254*H254</f>
        <v>0</v>
      </c>
      <c r="S254" s="127">
        <v>0</v>
      </c>
      <c r="T254" s="128">
        <f t="shared" ref="T254:T271" si="63">S254*H254</f>
        <v>0</v>
      </c>
      <c r="AR254" s="129" t="s">
        <v>235</v>
      </c>
      <c r="AT254" s="129" t="s">
        <v>231</v>
      </c>
      <c r="AU254" s="129" t="s">
        <v>76</v>
      </c>
      <c r="AY254" s="13" t="s">
        <v>228</v>
      </c>
      <c r="BE254" s="130">
        <f t="shared" ref="BE254:BE271" si="64">IF(N254="základná",J254,0)</f>
        <v>0</v>
      </c>
      <c r="BF254" s="130">
        <f t="shared" ref="BF254:BF271" si="65">IF(N254="znížená",J254,0)</f>
        <v>986.85</v>
      </c>
      <c r="BG254" s="130">
        <f t="shared" ref="BG254:BG271" si="66">IF(N254="zákl. prenesená",J254,0)</f>
        <v>0</v>
      </c>
      <c r="BH254" s="130">
        <f t="shared" ref="BH254:BH271" si="67">IF(N254="zníž. prenesená",J254,0)</f>
        <v>0</v>
      </c>
      <c r="BI254" s="130">
        <f t="shared" ref="BI254:BI271" si="68">IF(N254="nulová",J254,0)</f>
        <v>0</v>
      </c>
      <c r="BJ254" s="13" t="s">
        <v>76</v>
      </c>
      <c r="BK254" s="130">
        <f t="shared" ref="BK254:BK271" si="69">ROUND(I254*H254,2)</f>
        <v>986.85</v>
      </c>
      <c r="BL254" s="13" t="s">
        <v>235</v>
      </c>
      <c r="BM254" s="129" t="s">
        <v>610</v>
      </c>
    </row>
    <row r="255" spans="2:65" s="1" customFormat="1" ht="16.5" customHeight="1" x14ac:dyDescent="0.2">
      <c r="B255" s="118"/>
      <c r="C255" s="119" t="s">
        <v>613</v>
      </c>
      <c r="D255" s="119" t="s">
        <v>231</v>
      </c>
      <c r="E255" s="120" t="s">
        <v>5149</v>
      </c>
      <c r="F255" s="121" t="s">
        <v>5150</v>
      </c>
      <c r="G255" s="122" t="s">
        <v>292</v>
      </c>
      <c r="H255" s="123">
        <v>400</v>
      </c>
      <c r="I255" s="124">
        <v>2.21</v>
      </c>
      <c r="J255" s="124">
        <f t="shared" si="60"/>
        <v>884</v>
      </c>
      <c r="K255" s="121" t="s">
        <v>1</v>
      </c>
      <c r="L255" s="24"/>
      <c r="M255" s="125" t="s">
        <v>1</v>
      </c>
      <c r="N255" s="126" t="s">
        <v>32</v>
      </c>
      <c r="O255" s="127">
        <v>0</v>
      </c>
      <c r="P255" s="127">
        <f t="shared" si="61"/>
        <v>0</v>
      </c>
      <c r="Q255" s="127">
        <v>0</v>
      </c>
      <c r="R255" s="127">
        <f t="shared" si="62"/>
        <v>0</v>
      </c>
      <c r="S255" s="127">
        <v>0</v>
      </c>
      <c r="T255" s="128">
        <f t="shared" si="63"/>
        <v>0</v>
      </c>
      <c r="AR255" s="129" t="s">
        <v>235</v>
      </c>
      <c r="AT255" s="129" t="s">
        <v>231</v>
      </c>
      <c r="AU255" s="129" t="s">
        <v>76</v>
      </c>
      <c r="AY255" s="13" t="s">
        <v>228</v>
      </c>
      <c r="BE255" s="130">
        <f t="shared" si="64"/>
        <v>0</v>
      </c>
      <c r="BF255" s="130">
        <f t="shared" si="65"/>
        <v>884</v>
      </c>
      <c r="BG255" s="130">
        <f t="shared" si="66"/>
        <v>0</v>
      </c>
      <c r="BH255" s="130">
        <f t="shared" si="67"/>
        <v>0</v>
      </c>
      <c r="BI255" s="130">
        <f t="shared" si="68"/>
        <v>0</v>
      </c>
      <c r="BJ255" s="13" t="s">
        <v>76</v>
      </c>
      <c r="BK255" s="130">
        <f t="shared" si="69"/>
        <v>884</v>
      </c>
      <c r="BL255" s="13" t="s">
        <v>235</v>
      </c>
      <c r="BM255" s="129" t="s">
        <v>616</v>
      </c>
    </row>
    <row r="256" spans="2:65" s="1" customFormat="1" ht="16.5" customHeight="1" x14ac:dyDescent="0.2">
      <c r="B256" s="118"/>
      <c r="C256" s="119" t="s">
        <v>421</v>
      </c>
      <c r="D256" s="119" t="s">
        <v>231</v>
      </c>
      <c r="E256" s="120" t="s">
        <v>5151</v>
      </c>
      <c r="F256" s="121" t="s">
        <v>5152</v>
      </c>
      <c r="G256" s="122" t="s">
        <v>292</v>
      </c>
      <c r="H256" s="123">
        <v>100</v>
      </c>
      <c r="I256" s="124">
        <v>2.79</v>
      </c>
      <c r="J256" s="124">
        <f t="shared" si="60"/>
        <v>279</v>
      </c>
      <c r="K256" s="121" t="s">
        <v>1</v>
      </c>
      <c r="L256" s="24"/>
      <c r="M256" s="125" t="s">
        <v>1</v>
      </c>
      <c r="N256" s="126" t="s">
        <v>32</v>
      </c>
      <c r="O256" s="127">
        <v>0</v>
      </c>
      <c r="P256" s="127">
        <f t="shared" si="61"/>
        <v>0</v>
      </c>
      <c r="Q256" s="127">
        <v>0</v>
      </c>
      <c r="R256" s="127">
        <f t="shared" si="62"/>
        <v>0</v>
      </c>
      <c r="S256" s="127">
        <v>0</v>
      </c>
      <c r="T256" s="128">
        <f t="shared" si="63"/>
        <v>0</v>
      </c>
      <c r="AR256" s="129" t="s">
        <v>235</v>
      </c>
      <c r="AT256" s="129" t="s">
        <v>231</v>
      </c>
      <c r="AU256" s="129" t="s">
        <v>76</v>
      </c>
      <c r="AY256" s="13" t="s">
        <v>228</v>
      </c>
      <c r="BE256" s="130">
        <f t="shared" si="64"/>
        <v>0</v>
      </c>
      <c r="BF256" s="130">
        <f t="shared" si="65"/>
        <v>279</v>
      </c>
      <c r="BG256" s="130">
        <f t="shared" si="66"/>
        <v>0</v>
      </c>
      <c r="BH256" s="130">
        <f t="shared" si="67"/>
        <v>0</v>
      </c>
      <c r="BI256" s="130">
        <f t="shared" si="68"/>
        <v>0</v>
      </c>
      <c r="BJ256" s="13" t="s">
        <v>76</v>
      </c>
      <c r="BK256" s="130">
        <f t="shared" si="69"/>
        <v>279</v>
      </c>
      <c r="BL256" s="13" t="s">
        <v>235</v>
      </c>
      <c r="BM256" s="129" t="s">
        <v>619</v>
      </c>
    </row>
    <row r="257" spans="2:65" s="1" customFormat="1" ht="16.5" customHeight="1" x14ac:dyDescent="0.2">
      <c r="B257" s="118"/>
      <c r="C257" s="119" t="s">
        <v>620</v>
      </c>
      <c r="D257" s="119" t="s">
        <v>231</v>
      </c>
      <c r="E257" s="120" t="s">
        <v>5153</v>
      </c>
      <c r="F257" s="121" t="s">
        <v>5154</v>
      </c>
      <c r="G257" s="122" t="s">
        <v>292</v>
      </c>
      <c r="H257" s="123">
        <v>40</v>
      </c>
      <c r="I257" s="124">
        <v>3.09</v>
      </c>
      <c r="J257" s="124">
        <f t="shared" si="60"/>
        <v>123.6</v>
      </c>
      <c r="K257" s="121" t="s">
        <v>1</v>
      </c>
      <c r="L257" s="24"/>
      <c r="M257" s="125" t="s">
        <v>1</v>
      </c>
      <c r="N257" s="126" t="s">
        <v>32</v>
      </c>
      <c r="O257" s="127">
        <v>0</v>
      </c>
      <c r="P257" s="127">
        <f t="shared" si="61"/>
        <v>0</v>
      </c>
      <c r="Q257" s="127">
        <v>0</v>
      </c>
      <c r="R257" s="127">
        <f t="shared" si="62"/>
        <v>0</v>
      </c>
      <c r="S257" s="127">
        <v>0</v>
      </c>
      <c r="T257" s="128">
        <f t="shared" si="63"/>
        <v>0</v>
      </c>
      <c r="AR257" s="129" t="s">
        <v>235</v>
      </c>
      <c r="AT257" s="129" t="s">
        <v>231</v>
      </c>
      <c r="AU257" s="129" t="s">
        <v>76</v>
      </c>
      <c r="AY257" s="13" t="s">
        <v>228</v>
      </c>
      <c r="BE257" s="130">
        <f t="shared" si="64"/>
        <v>0</v>
      </c>
      <c r="BF257" s="130">
        <f t="shared" si="65"/>
        <v>123.6</v>
      </c>
      <c r="BG257" s="130">
        <f t="shared" si="66"/>
        <v>0</v>
      </c>
      <c r="BH257" s="130">
        <f t="shared" si="67"/>
        <v>0</v>
      </c>
      <c r="BI257" s="130">
        <f t="shared" si="68"/>
        <v>0</v>
      </c>
      <c r="BJ257" s="13" t="s">
        <v>76</v>
      </c>
      <c r="BK257" s="130">
        <f t="shared" si="69"/>
        <v>123.6</v>
      </c>
      <c r="BL257" s="13" t="s">
        <v>235</v>
      </c>
      <c r="BM257" s="129" t="s">
        <v>623</v>
      </c>
    </row>
    <row r="258" spans="2:65" s="1" customFormat="1" ht="16.5" customHeight="1" x14ac:dyDescent="0.2">
      <c r="B258" s="118"/>
      <c r="C258" s="119" t="s">
        <v>425</v>
      </c>
      <c r="D258" s="119" t="s">
        <v>231</v>
      </c>
      <c r="E258" s="120" t="s">
        <v>5155</v>
      </c>
      <c r="F258" s="121" t="s">
        <v>5156</v>
      </c>
      <c r="G258" s="122" t="s">
        <v>292</v>
      </c>
      <c r="H258" s="123">
        <v>480</v>
      </c>
      <c r="I258" s="124">
        <v>0.45</v>
      </c>
      <c r="J258" s="124">
        <f t="shared" si="60"/>
        <v>216</v>
      </c>
      <c r="K258" s="121" t="s">
        <v>1</v>
      </c>
      <c r="L258" s="24"/>
      <c r="M258" s="125" t="s">
        <v>1</v>
      </c>
      <c r="N258" s="126" t="s">
        <v>32</v>
      </c>
      <c r="O258" s="127">
        <v>0</v>
      </c>
      <c r="P258" s="127">
        <f t="shared" si="61"/>
        <v>0</v>
      </c>
      <c r="Q258" s="127">
        <v>0</v>
      </c>
      <c r="R258" s="127">
        <f t="shared" si="62"/>
        <v>0</v>
      </c>
      <c r="S258" s="127">
        <v>0</v>
      </c>
      <c r="T258" s="128">
        <f t="shared" si="63"/>
        <v>0</v>
      </c>
      <c r="AR258" s="129" t="s">
        <v>235</v>
      </c>
      <c r="AT258" s="129" t="s">
        <v>231</v>
      </c>
      <c r="AU258" s="129" t="s">
        <v>76</v>
      </c>
      <c r="AY258" s="13" t="s">
        <v>228</v>
      </c>
      <c r="BE258" s="130">
        <f t="shared" si="64"/>
        <v>0</v>
      </c>
      <c r="BF258" s="130">
        <f t="shared" si="65"/>
        <v>216</v>
      </c>
      <c r="BG258" s="130">
        <f t="shared" si="66"/>
        <v>0</v>
      </c>
      <c r="BH258" s="130">
        <f t="shared" si="67"/>
        <v>0</v>
      </c>
      <c r="BI258" s="130">
        <f t="shared" si="68"/>
        <v>0</v>
      </c>
      <c r="BJ258" s="13" t="s">
        <v>76</v>
      </c>
      <c r="BK258" s="130">
        <f t="shared" si="69"/>
        <v>216</v>
      </c>
      <c r="BL258" s="13" t="s">
        <v>235</v>
      </c>
      <c r="BM258" s="129" t="s">
        <v>626</v>
      </c>
    </row>
    <row r="259" spans="2:65" s="1" customFormat="1" ht="16.5" customHeight="1" x14ac:dyDescent="0.2">
      <c r="B259" s="118"/>
      <c r="C259" s="119" t="s">
        <v>627</v>
      </c>
      <c r="D259" s="119" t="s">
        <v>231</v>
      </c>
      <c r="E259" s="120" t="s">
        <v>5157</v>
      </c>
      <c r="F259" s="121" t="s">
        <v>5158</v>
      </c>
      <c r="G259" s="122" t="s">
        <v>292</v>
      </c>
      <c r="H259" s="123">
        <v>166</v>
      </c>
      <c r="I259" s="124">
        <v>0.7</v>
      </c>
      <c r="J259" s="124">
        <f t="shared" si="60"/>
        <v>116.2</v>
      </c>
      <c r="K259" s="121" t="s">
        <v>1</v>
      </c>
      <c r="L259" s="24"/>
      <c r="M259" s="125" t="s">
        <v>1</v>
      </c>
      <c r="N259" s="126" t="s">
        <v>32</v>
      </c>
      <c r="O259" s="127">
        <v>0</v>
      </c>
      <c r="P259" s="127">
        <f t="shared" si="61"/>
        <v>0</v>
      </c>
      <c r="Q259" s="127">
        <v>0</v>
      </c>
      <c r="R259" s="127">
        <f t="shared" si="62"/>
        <v>0</v>
      </c>
      <c r="S259" s="127">
        <v>0</v>
      </c>
      <c r="T259" s="128">
        <f t="shared" si="63"/>
        <v>0</v>
      </c>
      <c r="AR259" s="129" t="s">
        <v>235</v>
      </c>
      <c r="AT259" s="129" t="s">
        <v>231</v>
      </c>
      <c r="AU259" s="129" t="s">
        <v>76</v>
      </c>
      <c r="AY259" s="13" t="s">
        <v>228</v>
      </c>
      <c r="BE259" s="130">
        <f t="shared" si="64"/>
        <v>0</v>
      </c>
      <c r="BF259" s="130">
        <f t="shared" si="65"/>
        <v>116.2</v>
      </c>
      <c r="BG259" s="130">
        <f t="shared" si="66"/>
        <v>0</v>
      </c>
      <c r="BH259" s="130">
        <f t="shared" si="67"/>
        <v>0</v>
      </c>
      <c r="BI259" s="130">
        <f t="shared" si="68"/>
        <v>0</v>
      </c>
      <c r="BJ259" s="13" t="s">
        <v>76</v>
      </c>
      <c r="BK259" s="130">
        <f t="shared" si="69"/>
        <v>116.2</v>
      </c>
      <c r="BL259" s="13" t="s">
        <v>235</v>
      </c>
      <c r="BM259" s="129" t="s">
        <v>630</v>
      </c>
    </row>
    <row r="260" spans="2:65" s="1" customFormat="1" ht="16.5" customHeight="1" x14ac:dyDescent="0.2">
      <c r="B260" s="118"/>
      <c r="C260" s="119" t="s">
        <v>428</v>
      </c>
      <c r="D260" s="119" t="s">
        <v>231</v>
      </c>
      <c r="E260" s="120" t="s">
        <v>5159</v>
      </c>
      <c r="F260" s="121" t="s">
        <v>5160</v>
      </c>
      <c r="G260" s="122" t="s">
        <v>292</v>
      </c>
      <c r="H260" s="123">
        <v>10</v>
      </c>
      <c r="I260" s="124">
        <v>0.57999999999999996</v>
      </c>
      <c r="J260" s="124">
        <f t="shared" si="60"/>
        <v>5.8</v>
      </c>
      <c r="K260" s="121" t="s">
        <v>1</v>
      </c>
      <c r="L260" s="24"/>
      <c r="M260" s="125" t="s">
        <v>1</v>
      </c>
      <c r="N260" s="126" t="s">
        <v>32</v>
      </c>
      <c r="O260" s="127">
        <v>0</v>
      </c>
      <c r="P260" s="127">
        <f t="shared" si="61"/>
        <v>0</v>
      </c>
      <c r="Q260" s="127">
        <v>0</v>
      </c>
      <c r="R260" s="127">
        <f t="shared" si="62"/>
        <v>0</v>
      </c>
      <c r="S260" s="127">
        <v>0</v>
      </c>
      <c r="T260" s="128">
        <f t="shared" si="63"/>
        <v>0</v>
      </c>
      <c r="AR260" s="129" t="s">
        <v>235</v>
      </c>
      <c r="AT260" s="129" t="s">
        <v>231</v>
      </c>
      <c r="AU260" s="129" t="s">
        <v>76</v>
      </c>
      <c r="AY260" s="13" t="s">
        <v>228</v>
      </c>
      <c r="BE260" s="130">
        <f t="shared" si="64"/>
        <v>0</v>
      </c>
      <c r="BF260" s="130">
        <f t="shared" si="65"/>
        <v>5.8</v>
      </c>
      <c r="BG260" s="130">
        <f t="shared" si="66"/>
        <v>0</v>
      </c>
      <c r="BH260" s="130">
        <f t="shared" si="67"/>
        <v>0</v>
      </c>
      <c r="BI260" s="130">
        <f t="shared" si="68"/>
        <v>0</v>
      </c>
      <c r="BJ260" s="13" t="s">
        <v>76</v>
      </c>
      <c r="BK260" s="130">
        <f t="shared" si="69"/>
        <v>5.8</v>
      </c>
      <c r="BL260" s="13" t="s">
        <v>235</v>
      </c>
      <c r="BM260" s="129" t="s">
        <v>635</v>
      </c>
    </row>
    <row r="261" spans="2:65" s="1" customFormat="1" ht="16.5" customHeight="1" x14ac:dyDescent="0.2">
      <c r="B261" s="118"/>
      <c r="C261" s="119" t="s">
        <v>636</v>
      </c>
      <c r="D261" s="119" t="s">
        <v>231</v>
      </c>
      <c r="E261" s="120" t="s">
        <v>3005</v>
      </c>
      <c r="F261" s="121" t="s">
        <v>3006</v>
      </c>
      <c r="G261" s="122" t="s">
        <v>292</v>
      </c>
      <c r="H261" s="123">
        <v>80</v>
      </c>
      <c r="I261" s="124">
        <v>0.09</v>
      </c>
      <c r="J261" s="124">
        <f t="shared" si="60"/>
        <v>7.2</v>
      </c>
      <c r="K261" s="121" t="s">
        <v>1</v>
      </c>
      <c r="L261" s="24"/>
      <c r="M261" s="125" t="s">
        <v>1</v>
      </c>
      <c r="N261" s="126" t="s">
        <v>32</v>
      </c>
      <c r="O261" s="127">
        <v>0</v>
      </c>
      <c r="P261" s="127">
        <f t="shared" si="61"/>
        <v>0</v>
      </c>
      <c r="Q261" s="127">
        <v>0</v>
      </c>
      <c r="R261" s="127">
        <f t="shared" si="62"/>
        <v>0</v>
      </c>
      <c r="S261" s="127">
        <v>0</v>
      </c>
      <c r="T261" s="128">
        <f t="shared" si="63"/>
        <v>0</v>
      </c>
      <c r="AR261" s="129" t="s">
        <v>235</v>
      </c>
      <c r="AT261" s="129" t="s">
        <v>231</v>
      </c>
      <c r="AU261" s="129" t="s">
        <v>76</v>
      </c>
      <c r="AY261" s="13" t="s">
        <v>228</v>
      </c>
      <c r="BE261" s="130">
        <f t="shared" si="64"/>
        <v>0</v>
      </c>
      <c r="BF261" s="130">
        <f t="shared" si="65"/>
        <v>7.2</v>
      </c>
      <c r="BG261" s="130">
        <f t="shared" si="66"/>
        <v>0</v>
      </c>
      <c r="BH261" s="130">
        <f t="shared" si="67"/>
        <v>0</v>
      </c>
      <c r="BI261" s="130">
        <f t="shared" si="68"/>
        <v>0</v>
      </c>
      <c r="BJ261" s="13" t="s">
        <v>76</v>
      </c>
      <c r="BK261" s="130">
        <f t="shared" si="69"/>
        <v>7.2</v>
      </c>
      <c r="BL261" s="13" t="s">
        <v>235</v>
      </c>
      <c r="BM261" s="129" t="s">
        <v>639</v>
      </c>
    </row>
    <row r="262" spans="2:65" s="1" customFormat="1" ht="16.5" customHeight="1" x14ac:dyDescent="0.2">
      <c r="B262" s="118"/>
      <c r="C262" s="119" t="s">
        <v>432</v>
      </c>
      <c r="D262" s="119" t="s">
        <v>231</v>
      </c>
      <c r="E262" s="120" t="s">
        <v>3007</v>
      </c>
      <c r="F262" s="121" t="s">
        <v>3008</v>
      </c>
      <c r="G262" s="122" t="s">
        <v>292</v>
      </c>
      <c r="H262" s="123">
        <v>40</v>
      </c>
      <c r="I262" s="124">
        <v>0.23</v>
      </c>
      <c r="J262" s="124">
        <f t="shared" si="60"/>
        <v>9.1999999999999993</v>
      </c>
      <c r="K262" s="121" t="s">
        <v>1</v>
      </c>
      <c r="L262" s="24"/>
      <c r="M262" s="125" t="s">
        <v>1</v>
      </c>
      <c r="N262" s="126" t="s">
        <v>32</v>
      </c>
      <c r="O262" s="127">
        <v>0</v>
      </c>
      <c r="P262" s="127">
        <f t="shared" si="61"/>
        <v>0</v>
      </c>
      <c r="Q262" s="127">
        <v>0</v>
      </c>
      <c r="R262" s="127">
        <f t="shared" si="62"/>
        <v>0</v>
      </c>
      <c r="S262" s="127">
        <v>0</v>
      </c>
      <c r="T262" s="128">
        <f t="shared" si="63"/>
        <v>0</v>
      </c>
      <c r="AR262" s="129" t="s">
        <v>235</v>
      </c>
      <c r="AT262" s="129" t="s">
        <v>231</v>
      </c>
      <c r="AU262" s="129" t="s">
        <v>76</v>
      </c>
      <c r="AY262" s="13" t="s">
        <v>228</v>
      </c>
      <c r="BE262" s="130">
        <f t="shared" si="64"/>
        <v>0</v>
      </c>
      <c r="BF262" s="130">
        <f t="shared" si="65"/>
        <v>9.1999999999999993</v>
      </c>
      <c r="BG262" s="130">
        <f t="shared" si="66"/>
        <v>0</v>
      </c>
      <c r="BH262" s="130">
        <f t="shared" si="67"/>
        <v>0</v>
      </c>
      <c r="BI262" s="130">
        <f t="shared" si="68"/>
        <v>0</v>
      </c>
      <c r="BJ262" s="13" t="s">
        <v>76</v>
      </c>
      <c r="BK262" s="130">
        <f t="shared" si="69"/>
        <v>9.1999999999999993</v>
      </c>
      <c r="BL262" s="13" t="s">
        <v>235</v>
      </c>
      <c r="BM262" s="129" t="s">
        <v>642</v>
      </c>
    </row>
    <row r="263" spans="2:65" s="1" customFormat="1" ht="16.5" customHeight="1" x14ac:dyDescent="0.2">
      <c r="B263" s="118"/>
      <c r="C263" s="119" t="s">
        <v>643</v>
      </c>
      <c r="D263" s="119" t="s">
        <v>231</v>
      </c>
      <c r="E263" s="120" t="s">
        <v>3009</v>
      </c>
      <c r="F263" s="121" t="s">
        <v>3010</v>
      </c>
      <c r="G263" s="122" t="s">
        <v>292</v>
      </c>
      <c r="H263" s="123">
        <v>25</v>
      </c>
      <c r="I263" s="124">
        <v>0.49</v>
      </c>
      <c r="J263" s="124">
        <f t="shared" si="60"/>
        <v>12.25</v>
      </c>
      <c r="K263" s="121" t="s">
        <v>1</v>
      </c>
      <c r="L263" s="24"/>
      <c r="M263" s="125" t="s">
        <v>1</v>
      </c>
      <c r="N263" s="126" t="s">
        <v>32</v>
      </c>
      <c r="O263" s="127">
        <v>0</v>
      </c>
      <c r="P263" s="127">
        <f t="shared" si="61"/>
        <v>0</v>
      </c>
      <c r="Q263" s="127">
        <v>0</v>
      </c>
      <c r="R263" s="127">
        <f t="shared" si="62"/>
        <v>0</v>
      </c>
      <c r="S263" s="127">
        <v>0</v>
      </c>
      <c r="T263" s="128">
        <f t="shared" si="63"/>
        <v>0</v>
      </c>
      <c r="AR263" s="129" t="s">
        <v>235</v>
      </c>
      <c r="AT263" s="129" t="s">
        <v>231</v>
      </c>
      <c r="AU263" s="129" t="s">
        <v>76</v>
      </c>
      <c r="AY263" s="13" t="s">
        <v>228</v>
      </c>
      <c r="BE263" s="130">
        <f t="shared" si="64"/>
        <v>0</v>
      </c>
      <c r="BF263" s="130">
        <f t="shared" si="65"/>
        <v>12.25</v>
      </c>
      <c r="BG263" s="130">
        <f t="shared" si="66"/>
        <v>0</v>
      </c>
      <c r="BH263" s="130">
        <f t="shared" si="67"/>
        <v>0</v>
      </c>
      <c r="BI263" s="130">
        <f t="shared" si="68"/>
        <v>0</v>
      </c>
      <c r="BJ263" s="13" t="s">
        <v>76</v>
      </c>
      <c r="BK263" s="130">
        <f t="shared" si="69"/>
        <v>12.25</v>
      </c>
      <c r="BL263" s="13" t="s">
        <v>235</v>
      </c>
      <c r="BM263" s="129" t="s">
        <v>646</v>
      </c>
    </row>
    <row r="264" spans="2:65" s="1" customFormat="1" ht="16.5" customHeight="1" x14ac:dyDescent="0.2">
      <c r="B264" s="118"/>
      <c r="C264" s="119" t="s">
        <v>435</v>
      </c>
      <c r="D264" s="119" t="s">
        <v>231</v>
      </c>
      <c r="E264" s="120" t="s">
        <v>5161</v>
      </c>
      <c r="F264" s="121" t="s">
        <v>5162</v>
      </c>
      <c r="G264" s="122" t="s">
        <v>292</v>
      </c>
      <c r="H264" s="123">
        <v>30</v>
      </c>
      <c r="I264" s="124">
        <v>0.66</v>
      </c>
      <c r="J264" s="124">
        <f t="shared" si="60"/>
        <v>19.8</v>
      </c>
      <c r="K264" s="121" t="s">
        <v>1</v>
      </c>
      <c r="L264" s="24"/>
      <c r="M264" s="125" t="s">
        <v>1</v>
      </c>
      <c r="N264" s="126" t="s">
        <v>32</v>
      </c>
      <c r="O264" s="127">
        <v>0</v>
      </c>
      <c r="P264" s="127">
        <f t="shared" si="61"/>
        <v>0</v>
      </c>
      <c r="Q264" s="127">
        <v>0</v>
      </c>
      <c r="R264" s="127">
        <f t="shared" si="62"/>
        <v>0</v>
      </c>
      <c r="S264" s="127">
        <v>0</v>
      </c>
      <c r="T264" s="128">
        <f t="shared" si="63"/>
        <v>0</v>
      </c>
      <c r="AR264" s="129" t="s">
        <v>235</v>
      </c>
      <c r="AT264" s="129" t="s">
        <v>231</v>
      </c>
      <c r="AU264" s="129" t="s">
        <v>76</v>
      </c>
      <c r="AY264" s="13" t="s">
        <v>228</v>
      </c>
      <c r="BE264" s="130">
        <f t="shared" si="64"/>
        <v>0</v>
      </c>
      <c r="BF264" s="130">
        <f t="shared" si="65"/>
        <v>19.8</v>
      </c>
      <c r="BG264" s="130">
        <f t="shared" si="66"/>
        <v>0</v>
      </c>
      <c r="BH264" s="130">
        <f t="shared" si="67"/>
        <v>0</v>
      </c>
      <c r="BI264" s="130">
        <f t="shared" si="68"/>
        <v>0</v>
      </c>
      <c r="BJ264" s="13" t="s">
        <v>76</v>
      </c>
      <c r="BK264" s="130">
        <f t="shared" si="69"/>
        <v>19.8</v>
      </c>
      <c r="BL264" s="13" t="s">
        <v>235</v>
      </c>
      <c r="BM264" s="129" t="s">
        <v>649</v>
      </c>
    </row>
    <row r="265" spans="2:65" s="1" customFormat="1" ht="16.5" customHeight="1" x14ac:dyDescent="0.2">
      <c r="B265" s="118"/>
      <c r="C265" s="119" t="s">
        <v>650</v>
      </c>
      <c r="D265" s="119" t="s">
        <v>231</v>
      </c>
      <c r="E265" s="120" t="s">
        <v>5163</v>
      </c>
      <c r="F265" s="121" t="s">
        <v>5164</v>
      </c>
      <c r="G265" s="122" t="s">
        <v>292</v>
      </c>
      <c r="H265" s="123">
        <v>20</v>
      </c>
      <c r="I265" s="124">
        <v>1.08</v>
      </c>
      <c r="J265" s="124">
        <f t="shared" si="60"/>
        <v>21.6</v>
      </c>
      <c r="K265" s="121" t="s">
        <v>1</v>
      </c>
      <c r="L265" s="24"/>
      <c r="M265" s="125" t="s">
        <v>1</v>
      </c>
      <c r="N265" s="126" t="s">
        <v>32</v>
      </c>
      <c r="O265" s="127">
        <v>0</v>
      </c>
      <c r="P265" s="127">
        <f t="shared" si="61"/>
        <v>0</v>
      </c>
      <c r="Q265" s="127">
        <v>0</v>
      </c>
      <c r="R265" s="127">
        <f t="shared" si="62"/>
        <v>0</v>
      </c>
      <c r="S265" s="127">
        <v>0</v>
      </c>
      <c r="T265" s="128">
        <f t="shared" si="63"/>
        <v>0</v>
      </c>
      <c r="AR265" s="129" t="s">
        <v>235</v>
      </c>
      <c r="AT265" s="129" t="s">
        <v>231</v>
      </c>
      <c r="AU265" s="129" t="s">
        <v>76</v>
      </c>
      <c r="AY265" s="13" t="s">
        <v>228</v>
      </c>
      <c r="BE265" s="130">
        <f t="shared" si="64"/>
        <v>0</v>
      </c>
      <c r="BF265" s="130">
        <f t="shared" si="65"/>
        <v>21.6</v>
      </c>
      <c r="BG265" s="130">
        <f t="shared" si="66"/>
        <v>0</v>
      </c>
      <c r="BH265" s="130">
        <f t="shared" si="67"/>
        <v>0</v>
      </c>
      <c r="BI265" s="130">
        <f t="shared" si="68"/>
        <v>0</v>
      </c>
      <c r="BJ265" s="13" t="s">
        <v>76</v>
      </c>
      <c r="BK265" s="130">
        <f t="shared" si="69"/>
        <v>21.6</v>
      </c>
      <c r="BL265" s="13" t="s">
        <v>235</v>
      </c>
      <c r="BM265" s="129" t="s">
        <v>653</v>
      </c>
    </row>
    <row r="266" spans="2:65" s="1" customFormat="1" ht="36" customHeight="1" x14ac:dyDescent="0.2">
      <c r="B266" s="118"/>
      <c r="C266" s="119" t="s">
        <v>441</v>
      </c>
      <c r="D266" s="119" t="s">
        <v>231</v>
      </c>
      <c r="E266" s="120" t="s">
        <v>3015</v>
      </c>
      <c r="F266" s="121" t="s">
        <v>3016</v>
      </c>
      <c r="G266" s="122" t="s">
        <v>292</v>
      </c>
      <c r="H266" s="123">
        <v>60</v>
      </c>
      <c r="I266" s="124">
        <v>10.66</v>
      </c>
      <c r="J266" s="124">
        <f t="shared" si="60"/>
        <v>639.6</v>
      </c>
      <c r="K266" s="121" t="s">
        <v>1</v>
      </c>
      <c r="L266" s="24"/>
      <c r="M266" s="125" t="s">
        <v>1</v>
      </c>
      <c r="N266" s="126" t="s">
        <v>32</v>
      </c>
      <c r="O266" s="127">
        <v>0</v>
      </c>
      <c r="P266" s="127">
        <f t="shared" si="61"/>
        <v>0</v>
      </c>
      <c r="Q266" s="127">
        <v>0</v>
      </c>
      <c r="R266" s="127">
        <f t="shared" si="62"/>
        <v>0</v>
      </c>
      <c r="S266" s="127">
        <v>0</v>
      </c>
      <c r="T266" s="128">
        <f t="shared" si="63"/>
        <v>0</v>
      </c>
      <c r="AR266" s="129" t="s">
        <v>235</v>
      </c>
      <c r="AT266" s="129" t="s">
        <v>231</v>
      </c>
      <c r="AU266" s="129" t="s">
        <v>76</v>
      </c>
      <c r="AY266" s="13" t="s">
        <v>228</v>
      </c>
      <c r="BE266" s="130">
        <f t="shared" si="64"/>
        <v>0</v>
      </c>
      <c r="BF266" s="130">
        <f t="shared" si="65"/>
        <v>639.6</v>
      </c>
      <c r="BG266" s="130">
        <f t="shared" si="66"/>
        <v>0</v>
      </c>
      <c r="BH266" s="130">
        <f t="shared" si="67"/>
        <v>0</v>
      </c>
      <c r="BI266" s="130">
        <f t="shared" si="68"/>
        <v>0</v>
      </c>
      <c r="BJ266" s="13" t="s">
        <v>76</v>
      </c>
      <c r="BK266" s="130">
        <f t="shared" si="69"/>
        <v>639.6</v>
      </c>
      <c r="BL266" s="13" t="s">
        <v>235</v>
      </c>
      <c r="BM266" s="129" t="s">
        <v>656</v>
      </c>
    </row>
    <row r="267" spans="2:65" s="1" customFormat="1" ht="36" customHeight="1" x14ac:dyDescent="0.2">
      <c r="B267" s="118"/>
      <c r="C267" s="119" t="s">
        <v>657</v>
      </c>
      <c r="D267" s="119" t="s">
        <v>231</v>
      </c>
      <c r="E267" s="120" t="s">
        <v>5165</v>
      </c>
      <c r="F267" s="121" t="s">
        <v>5166</v>
      </c>
      <c r="G267" s="122" t="s">
        <v>292</v>
      </c>
      <c r="H267" s="123">
        <v>10</v>
      </c>
      <c r="I267" s="124">
        <v>12.11</v>
      </c>
      <c r="J267" s="124">
        <f t="shared" si="60"/>
        <v>121.1</v>
      </c>
      <c r="K267" s="121" t="s">
        <v>1</v>
      </c>
      <c r="L267" s="24"/>
      <c r="M267" s="125" t="s">
        <v>1</v>
      </c>
      <c r="N267" s="126" t="s">
        <v>32</v>
      </c>
      <c r="O267" s="127">
        <v>0</v>
      </c>
      <c r="P267" s="127">
        <f t="shared" si="61"/>
        <v>0</v>
      </c>
      <c r="Q267" s="127">
        <v>0</v>
      </c>
      <c r="R267" s="127">
        <f t="shared" si="62"/>
        <v>0</v>
      </c>
      <c r="S267" s="127">
        <v>0</v>
      </c>
      <c r="T267" s="128">
        <f t="shared" si="63"/>
        <v>0</v>
      </c>
      <c r="AR267" s="129" t="s">
        <v>235</v>
      </c>
      <c r="AT267" s="129" t="s">
        <v>231</v>
      </c>
      <c r="AU267" s="129" t="s">
        <v>76</v>
      </c>
      <c r="AY267" s="13" t="s">
        <v>228</v>
      </c>
      <c r="BE267" s="130">
        <f t="shared" si="64"/>
        <v>0</v>
      </c>
      <c r="BF267" s="130">
        <f t="shared" si="65"/>
        <v>121.1</v>
      </c>
      <c r="BG267" s="130">
        <f t="shared" si="66"/>
        <v>0</v>
      </c>
      <c r="BH267" s="130">
        <f t="shared" si="67"/>
        <v>0</v>
      </c>
      <c r="BI267" s="130">
        <f t="shared" si="68"/>
        <v>0</v>
      </c>
      <c r="BJ267" s="13" t="s">
        <v>76</v>
      </c>
      <c r="BK267" s="130">
        <f t="shared" si="69"/>
        <v>121.1</v>
      </c>
      <c r="BL267" s="13" t="s">
        <v>235</v>
      </c>
      <c r="BM267" s="129" t="s">
        <v>660</v>
      </c>
    </row>
    <row r="268" spans="2:65" s="1" customFormat="1" ht="36" customHeight="1" x14ac:dyDescent="0.2">
      <c r="B268" s="118"/>
      <c r="C268" s="119" t="s">
        <v>444</v>
      </c>
      <c r="D268" s="119" t="s">
        <v>231</v>
      </c>
      <c r="E268" s="120" t="s">
        <v>5167</v>
      </c>
      <c r="F268" s="121" t="s">
        <v>5168</v>
      </c>
      <c r="G268" s="122" t="s">
        <v>292</v>
      </c>
      <c r="H268" s="123">
        <v>20</v>
      </c>
      <c r="I268" s="124">
        <v>25.05</v>
      </c>
      <c r="J268" s="124">
        <f t="shared" si="60"/>
        <v>501</v>
      </c>
      <c r="K268" s="121" t="s">
        <v>1</v>
      </c>
      <c r="L268" s="24"/>
      <c r="M268" s="125" t="s">
        <v>1</v>
      </c>
      <c r="N268" s="126" t="s">
        <v>32</v>
      </c>
      <c r="O268" s="127">
        <v>0</v>
      </c>
      <c r="P268" s="127">
        <f t="shared" si="61"/>
        <v>0</v>
      </c>
      <c r="Q268" s="127">
        <v>0</v>
      </c>
      <c r="R268" s="127">
        <f t="shared" si="62"/>
        <v>0</v>
      </c>
      <c r="S268" s="127">
        <v>0</v>
      </c>
      <c r="T268" s="128">
        <f t="shared" si="63"/>
        <v>0</v>
      </c>
      <c r="AR268" s="129" t="s">
        <v>235</v>
      </c>
      <c r="AT268" s="129" t="s">
        <v>231</v>
      </c>
      <c r="AU268" s="129" t="s">
        <v>76</v>
      </c>
      <c r="AY268" s="13" t="s">
        <v>228</v>
      </c>
      <c r="BE268" s="130">
        <f t="shared" si="64"/>
        <v>0</v>
      </c>
      <c r="BF268" s="130">
        <f t="shared" si="65"/>
        <v>501</v>
      </c>
      <c r="BG268" s="130">
        <f t="shared" si="66"/>
        <v>0</v>
      </c>
      <c r="BH268" s="130">
        <f t="shared" si="67"/>
        <v>0</v>
      </c>
      <c r="BI268" s="130">
        <f t="shared" si="68"/>
        <v>0</v>
      </c>
      <c r="BJ268" s="13" t="s">
        <v>76</v>
      </c>
      <c r="BK268" s="130">
        <f t="shared" si="69"/>
        <v>501</v>
      </c>
      <c r="BL268" s="13" t="s">
        <v>235</v>
      </c>
      <c r="BM268" s="129" t="s">
        <v>663</v>
      </c>
    </row>
    <row r="269" spans="2:65" s="1" customFormat="1" ht="16.5" customHeight="1" x14ac:dyDescent="0.2">
      <c r="B269" s="118"/>
      <c r="C269" s="119" t="s">
        <v>664</v>
      </c>
      <c r="D269" s="119" t="s">
        <v>231</v>
      </c>
      <c r="E269" s="120" t="s">
        <v>5169</v>
      </c>
      <c r="F269" s="121" t="s">
        <v>3026</v>
      </c>
      <c r="G269" s="122" t="s">
        <v>243</v>
      </c>
      <c r="H269" s="123">
        <v>120</v>
      </c>
      <c r="I269" s="124">
        <v>0.7</v>
      </c>
      <c r="J269" s="124">
        <f t="shared" si="60"/>
        <v>84</v>
      </c>
      <c r="K269" s="121" t="s">
        <v>1</v>
      </c>
      <c r="L269" s="24"/>
      <c r="M269" s="125" t="s">
        <v>1</v>
      </c>
      <c r="N269" s="126" t="s">
        <v>32</v>
      </c>
      <c r="O269" s="127">
        <v>0</v>
      </c>
      <c r="P269" s="127">
        <f t="shared" si="61"/>
        <v>0</v>
      </c>
      <c r="Q269" s="127">
        <v>0</v>
      </c>
      <c r="R269" s="127">
        <f t="shared" si="62"/>
        <v>0</v>
      </c>
      <c r="S269" s="127">
        <v>0</v>
      </c>
      <c r="T269" s="128">
        <f t="shared" si="63"/>
        <v>0</v>
      </c>
      <c r="AR269" s="129" t="s">
        <v>235</v>
      </c>
      <c r="AT269" s="129" t="s">
        <v>231</v>
      </c>
      <c r="AU269" s="129" t="s">
        <v>76</v>
      </c>
      <c r="AY269" s="13" t="s">
        <v>228</v>
      </c>
      <c r="BE269" s="130">
        <f t="shared" si="64"/>
        <v>0</v>
      </c>
      <c r="BF269" s="130">
        <f t="shared" si="65"/>
        <v>84</v>
      </c>
      <c r="BG269" s="130">
        <f t="shared" si="66"/>
        <v>0</v>
      </c>
      <c r="BH269" s="130">
        <f t="shared" si="67"/>
        <v>0</v>
      </c>
      <c r="BI269" s="130">
        <f t="shared" si="68"/>
        <v>0</v>
      </c>
      <c r="BJ269" s="13" t="s">
        <v>76</v>
      </c>
      <c r="BK269" s="130">
        <f t="shared" si="69"/>
        <v>84</v>
      </c>
      <c r="BL269" s="13" t="s">
        <v>235</v>
      </c>
      <c r="BM269" s="129" t="s">
        <v>667</v>
      </c>
    </row>
    <row r="270" spans="2:65" s="1" customFormat="1" ht="16.5" customHeight="1" x14ac:dyDescent="0.2">
      <c r="B270" s="118"/>
      <c r="C270" s="119" t="s">
        <v>448</v>
      </c>
      <c r="D270" s="119" t="s">
        <v>231</v>
      </c>
      <c r="E270" s="120" t="s">
        <v>3019</v>
      </c>
      <c r="F270" s="121" t="s">
        <v>3020</v>
      </c>
      <c r="G270" s="122" t="s">
        <v>284</v>
      </c>
      <c r="H270" s="123">
        <v>0.5</v>
      </c>
      <c r="I270" s="124">
        <v>57.4</v>
      </c>
      <c r="J270" s="124">
        <f t="shared" si="60"/>
        <v>28.7</v>
      </c>
      <c r="K270" s="121" t="s">
        <v>1</v>
      </c>
      <c r="L270" s="24"/>
      <c r="M270" s="125" t="s">
        <v>1</v>
      </c>
      <c r="N270" s="126" t="s">
        <v>32</v>
      </c>
      <c r="O270" s="127">
        <v>0</v>
      </c>
      <c r="P270" s="127">
        <f t="shared" si="61"/>
        <v>0</v>
      </c>
      <c r="Q270" s="127">
        <v>0</v>
      </c>
      <c r="R270" s="127">
        <f t="shared" si="62"/>
        <v>0</v>
      </c>
      <c r="S270" s="127">
        <v>0</v>
      </c>
      <c r="T270" s="128">
        <f t="shared" si="63"/>
        <v>0</v>
      </c>
      <c r="AR270" s="129" t="s">
        <v>235</v>
      </c>
      <c r="AT270" s="129" t="s">
        <v>231</v>
      </c>
      <c r="AU270" s="129" t="s">
        <v>76</v>
      </c>
      <c r="AY270" s="13" t="s">
        <v>228</v>
      </c>
      <c r="BE270" s="130">
        <f t="shared" si="64"/>
        <v>0</v>
      </c>
      <c r="BF270" s="130">
        <f t="shared" si="65"/>
        <v>28.7</v>
      </c>
      <c r="BG270" s="130">
        <f t="shared" si="66"/>
        <v>0</v>
      </c>
      <c r="BH270" s="130">
        <f t="shared" si="67"/>
        <v>0</v>
      </c>
      <c r="BI270" s="130">
        <f t="shared" si="68"/>
        <v>0</v>
      </c>
      <c r="BJ270" s="13" t="s">
        <v>76</v>
      </c>
      <c r="BK270" s="130">
        <f t="shared" si="69"/>
        <v>28.7</v>
      </c>
      <c r="BL270" s="13" t="s">
        <v>235</v>
      </c>
      <c r="BM270" s="129" t="s">
        <v>670</v>
      </c>
    </row>
    <row r="271" spans="2:65" s="1" customFormat="1" ht="24" customHeight="1" x14ac:dyDescent="0.2">
      <c r="B271" s="118"/>
      <c r="C271" s="119" t="s">
        <v>671</v>
      </c>
      <c r="D271" s="119" t="s">
        <v>231</v>
      </c>
      <c r="E271" s="120" t="s">
        <v>5170</v>
      </c>
      <c r="F271" s="121" t="s">
        <v>5171</v>
      </c>
      <c r="G271" s="122" t="s">
        <v>570</v>
      </c>
      <c r="H271" s="123">
        <v>1</v>
      </c>
      <c r="I271" s="124">
        <v>76.626000000000005</v>
      </c>
      <c r="J271" s="124">
        <f t="shared" si="60"/>
        <v>76.63</v>
      </c>
      <c r="K271" s="121" t="s">
        <v>1</v>
      </c>
      <c r="L271" s="24"/>
      <c r="M271" s="125" t="s">
        <v>1</v>
      </c>
      <c r="N271" s="126" t="s">
        <v>32</v>
      </c>
      <c r="O271" s="127">
        <v>0</v>
      </c>
      <c r="P271" s="127">
        <f t="shared" si="61"/>
        <v>0</v>
      </c>
      <c r="Q271" s="127">
        <v>0</v>
      </c>
      <c r="R271" s="127">
        <f t="shared" si="62"/>
        <v>0</v>
      </c>
      <c r="S271" s="127">
        <v>0</v>
      </c>
      <c r="T271" s="128">
        <f t="shared" si="63"/>
        <v>0</v>
      </c>
      <c r="AR271" s="129" t="s">
        <v>235</v>
      </c>
      <c r="AT271" s="129" t="s">
        <v>231</v>
      </c>
      <c r="AU271" s="129" t="s">
        <v>76</v>
      </c>
      <c r="AY271" s="13" t="s">
        <v>228</v>
      </c>
      <c r="BE271" s="130">
        <f t="shared" si="64"/>
        <v>0</v>
      </c>
      <c r="BF271" s="130">
        <f t="shared" si="65"/>
        <v>76.63</v>
      </c>
      <c r="BG271" s="130">
        <f t="shared" si="66"/>
        <v>0</v>
      </c>
      <c r="BH271" s="130">
        <f t="shared" si="67"/>
        <v>0</v>
      </c>
      <c r="BI271" s="130">
        <f t="shared" si="68"/>
        <v>0</v>
      </c>
      <c r="BJ271" s="13" t="s">
        <v>76</v>
      </c>
      <c r="BK271" s="130">
        <f t="shared" si="69"/>
        <v>76.63</v>
      </c>
      <c r="BL271" s="13" t="s">
        <v>235</v>
      </c>
      <c r="BM271" s="129" t="s">
        <v>674</v>
      </c>
    </row>
    <row r="272" spans="2:65" s="11" customFormat="1" ht="22.95" customHeight="1" x14ac:dyDescent="0.25">
      <c r="B272" s="106"/>
      <c r="D272" s="107" t="s">
        <v>57</v>
      </c>
      <c r="E272" s="116" t="s">
        <v>1227</v>
      </c>
      <c r="F272" s="116" t="s">
        <v>3027</v>
      </c>
      <c r="J272" s="117">
        <f>BK272</f>
        <v>3574.1599999999994</v>
      </c>
      <c r="L272" s="106"/>
      <c r="M272" s="110"/>
      <c r="N272" s="111"/>
      <c r="O272" s="111"/>
      <c r="P272" s="112">
        <f>SUM(P273:P287)</f>
        <v>0</v>
      </c>
      <c r="Q272" s="111"/>
      <c r="R272" s="112">
        <f>SUM(R273:R287)</f>
        <v>0</v>
      </c>
      <c r="S272" s="111"/>
      <c r="T272" s="113">
        <f>SUM(T273:T287)</f>
        <v>0</v>
      </c>
      <c r="AR272" s="107" t="s">
        <v>63</v>
      </c>
      <c r="AT272" s="114" t="s">
        <v>57</v>
      </c>
      <c r="AU272" s="114" t="s">
        <v>63</v>
      </c>
      <c r="AY272" s="107" t="s">
        <v>228</v>
      </c>
      <c r="BK272" s="115">
        <f>SUM(BK273:BK287)</f>
        <v>3574.1599999999994</v>
      </c>
    </row>
    <row r="273" spans="2:65" s="1" customFormat="1" ht="24" customHeight="1" x14ac:dyDescent="0.2">
      <c r="B273" s="118"/>
      <c r="C273" s="119" t="s">
        <v>451</v>
      </c>
      <c r="D273" s="119" t="s">
        <v>231</v>
      </c>
      <c r="E273" s="120" t="s">
        <v>5172</v>
      </c>
      <c r="F273" s="121" t="s">
        <v>5173</v>
      </c>
      <c r="G273" s="122" t="s">
        <v>1194</v>
      </c>
      <c r="H273" s="123">
        <v>1</v>
      </c>
      <c r="I273" s="124">
        <v>104.49</v>
      </c>
      <c r="J273" s="124">
        <f t="shared" ref="J273:J287" si="70">ROUND(I273*H273,2)</f>
        <v>104.49</v>
      </c>
      <c r="K273" s="121" t="s">
        <v>1</v>
      </c>
      <c r="L273" s="24"/>
      <c r="M273" s="125" t="s">
        <v>1</v>
      </c>
      <c r="N273" s="126" t="s">
        <v>32</v>
      </c>
      <c r="O273" s="127">
        <v>0</v>
      </c>
      <c r="P273" s="127">
        <f t="shared" ref="P273:P287" si="71">O273*H273</f>
        <v>0</v>
      </c>
      <c r="Q273" s="127">
        <v>0</v>
      </c>
      <c r="R273" s="127">
        <f t="shared" ref="R273:R287" si="72">Q273*H273</f>
        <v>0</v>
      </c>
      <c r="S273" s="127">
        <v>0</v>
      </c>
      <c r="T273" s="128">
        <f t="shared" ref="T273:T287" si="73">S273*H273</f>
        <v>0</v>
      </c>
      <c r="AR273" s="129" t="s">
        <v>235</v>
      </c>
      <c r="AT273" s="129" t="s">
        <v>231</v>
      </c>
      <c r="AU273" s="129" t="s">
        <v>76</v>
      </c>
      <c r="AY273" s="13" t="s">
        <v>228</v>
      </c>
      <c r="BE273" s="130">
        <f t="shared" ref="BE273:BE287" si="74">IF(N273="základná",J273,0)</f>
        <v>0</v>
      </c>
      <c r="BF273" s="130">
        <f t="shared" ref="BF273:BF287" si="75">IF(N273="znížená",J273,0)</f>
        <v>104.49</v>
      </c>
      <c r="BG273" s="130">
        <f t="shared" ref="BG273:BG287" si="76">IF(N273="zákl. prenesená",J273,0)</f>
        <v>0</v>
      </c>
      <c r="BH273" s="130">
        <f t="shared" ref="BH273:BH287" si="77">IF(N273="zníž. prenesená",J273,0)</f>
        <v>0</v>
      </c>
      <c r="BI273" s="130">
        <f t="shared" ref="BI273:BI287" si="78">IF(N273="nulová",J273,0)</f>
        <v>0</v>
      </c>
      <c r="BJ273" s="13" t="s">
        <v>76</v>
      </c>
      <c r="BK273" s="130">
        <f t="shared" ref="BK273:BK287" si="79">ROUND(I273*H273,2)</f>
        <v>104.49</v>
      </c>
      <c r="BL273" s="13" t="s">
        <v>235</v>
      </c>
      <c r="BM273" s="129" t="s">
        <v>677</v>
      </c>
    </row>
    <row r="274" spans="2:65" s="1" customFormat="1" ht="16.5" customHeight="1" x14ac:dyDescent="0.2">
      <c r="B274" s="118"/>
      <c r="C274" s="119" t="s">
        <v>678</v>
      </c>
      <c r="D274" s="119" t="s">
        <v>231</v>
      </c>
      <c r="E274" s="120" t="s">
        <v>3030</v>
      </c>
      <c r="F274" s="121" t="s">
        <v>3031</v>
      </c>
      <c r="G274" s="122" t="s">
        <v>292</v>
      </c>
      <c r="H274" s="123">
        <v>1046</v>
      </c>
      <c r="I274" s="124">
        <v>0.96</v>
      </c>
      <c r="J274" s="124">
        <f t="shared" si="70"/>
        <v>1004.16</v>
      </c>
      <c r="K274" s="121" t="s">
        <v>1</v>
      </c>
      <c r="L274" s="24"/>
      <c r="M274" s="125" t="s">
        <v>1</v>
      </c>
      <c r="N274" s="126" t="s">
        <v>32</v>
      </c>
      <c r="O274" s="127">
        <v>0</v>
      </c>
      <c r="P274" s="127">
        <f t="shared" si="71"/>
        <v>0</v>
      </c>
      <c r="Q274" s="127">
        <v>0</v>
      </c>
      <c r="R274" s="127">
        <f t="shared" si="72"/>
        <v>0</v>
      </c>
      <c r="S274" s="127">
        <v>0</v>
      </c>
      <c r="T274" s="128">
        <f t="shared" si="73"/>
        <v>0</v>
      </c>
      <c r="AR274" s="129" t="s">
        <v>235</v>
      </c>
      <c r="AT274" s="129" t="s">
        <v>231</v>
      </c>
      <c r="AU274" s="129" t="s">
        <v>76</v>
      </c>
      <c r="AY274" s="13" t="s">
        <v>228</v>
      </c>
      <c r="BE274" s="130">
        <f t="shared" si="74"/>
        <v>0</v>
      </c>
      <c r="BF274" s="130">
        <f t="shared" si="75"/>
        <v>1004.16</v>
      </c>
      <c r="BG274" s="130">
        <f t="shared" si="76"/>
        <v>0</v>
      </c>
      <c r="BH274" s="130">
        <f t="shared" si="77"/>
        <v>0</v>
      </c>
      <c r="BI274" s="130">
        <f t="shared" si="78"/>
        <v>0</v>
      </c>
      <c r="BJ274" s="13" t="s">
        <v>76</v>
      </c>
      <c r="BK274" s="130">
        <f t="shared" si="79"/>
        <v>1004.16</v>
      </c>
      <c r="BL274" s="13" t="s">
        <v>235</v>
      </c>
      <c r="BM274" s="129" t="s">
        <v>681</v>
      </c>
    </row>
    <row r="275" spans="2:65" s="1" customFormat="1" ht="16.5" customHeight="1" x14ac:dyDescent="0.2">
      <c r="B275" s="118"/>
      <c r="C275" s="119" t="s">
        <v>455</v>
      </c>
      <c r="D275" s="119" t="s">
        <v>231</v>
      </c>
      <c r="E275" s="120" t="s">
        <v>5174</v>
      </c>
      <c r="F275" s="121" t="s">
        <v>5175</v>
      </c>
      <c r="G275" s="122" t="s">
        <v>292</v>
      </c>
      <c r="H275" s="123">
        <v>10</v>
      </c>
      <c r="I275" s="124">
        <v>0.96</v>
      </c>
      <c r="J275" s="124">
        <f t="shared" si="70"/>
        <v>9.6</v>
      </c>
      <c r="K275" s="121" t="s">
        <v>1</v>
      </c>
      <c r="L275" s="24"/>
      <c r="M275" s="125" t="s">
        <v>1</v>
      </c>
      <c r="N275" s="126" t="s">
        <v>32</v>
      </c>
      <c r="O275" s="127">
        <v>0</v>
      </c>
      <c r="P275" s="127">
        <f t="shared" si="71"/>
        <v>0</v>
      </c>
      <c r="Q275" s="127">
        <v>0</v>
      </c>
      <c r="R275" s="127">
        <f t="shared" si="72"/>
        <v>0</v>
      </c>
      <c r="S275" s="127">
        <v>0</v>
      </c>
      <c r="T275" s="128">
        <f t="shared" si="73"/>
        <v>0</v>
      </c>
      <c r="AR275" s="129" t="s">
        <v>235</v>
      </c>
      <c r="AT275" s="129" t="s">
        <v>231</v>
      </c>
      <c r="AU275" s="129" t="s">
        <v>76</v>
      </c>
      <c r="AY275" s="13" t="s">
        <v>228</v>
      </c>
      <c r="BE275" s="130">
        <f t="shared" si="74"/>
        <v>0</v>
      </c>
      <c r="BF275" s="130">
        <f t="shared" si="75"/>
        <v>9.6</v>
      </c>
      <c r="BG275" s="130">
        <f t="shared" si="76"/>
        <v>0</v>
      </c>
      <c r="BH275" s="130">
        <f t="shared" si="77"/>
        <v>0</v>
      </c>
      <c r="BI275" s="130">
        <f t="shared" si="78"/>
        <v>0</v>
      </c>
      <c r="BJ275" s="13" t="s">
        <v>76</v>
      </c>
      <c r="BK275" s="130">
        <f t="shared" si="79"/>
        <v>9.6</v>
      </c>
      <c r="BL275" s="13" t="s">
        <v>235</v>
      </c>
      <c r="BM275" s="129" t="s">
        <v>684</v>
      </c>
    </row>
    <row r="276" spans="2:65" s="1" customFormat="1" ht="16.5" customHeight="1" x14ac:dyDescent="0.2">
      <c r="B276" s="118"/>
      <c r="C276" s="119" t="s">
        <v>685</v>
      </c>
      <c r="D276" s="119" t="s">
        <v>231</v>
      </c>
      <c r="E276" s="120" t="s">
        <v>5176</v>
      </c>
      <c r="F276" s="121" t="s">
        <v>5177</v>
      </c>
      <c r="G276" s="122" t="s">
        <v>292</v>
      </c>
      <c r="H276" s="123">
        <v>140</v>
      </c>
      <c r="I276" s="124">
        <v>0.96</v>
      </c>
      <c r="J276" s="124">
        <f t="shared" si="70"/>
        <v>134.4</v>
      </c>
      <c r="K276" s="121" t="s">
        <v>1</v>
      </c>
      <c r="L276" s="24"/>
      <c r="M276" s="125" t="s">
        <v>1</v>
      </c>
      <c r="N276" s="126" t="s">
        <v>32</v>
      </c>
      <c r="O276" s="127">
        <v>0</v>
      </c>
      <c r="P276" s="127">
        <f t="shared" si="71"/>
        <v>0</v>
      </c>
      <c r="Q276" s="127">
        <v>0</v>
      </c>
      <c r="R276" s="127">
        <f t="shared" si="72"/>
        <v>0</v>
      </c>
      <c r="S276" s="127">
        <v>0</v>
      </c>
      <c r="T276" s="128">
        <f t="shared" si="73"/>
        <v>0</v>
      </c>
      <c r="AR276" s="129" t="s">
        <v>235</v>
      </c>
      <c r="AT276" s="129" t="s">
        <v>231</v>
      </c>
      <c r="AU276" s="129" t="s">
        <v>76</v>
      </c>
      <c r="AY276" s="13" t="s">
        <v>228</v>
      </c>
      <c r="BE276" s="130">
        <f t="shared" si="74"/>
        <v>0</v>
      </c>
      <c r="BF276" s="130">
        <f t="shared" si="75"/>
        <v>134.4</v>
      </c>
      <c r="BG276" s="130">
        <f t="shared" si="76"/>
        <v>0</v>
      </c>
      <c r="BH276" s="130">
        <f t="shared" si="77"/>
        <v>0</v>
      </c>
      <c r="BI276" s="130">
        <f t="shared" si="78"/>
        <v>0</v>
      </c>
      <c r="BJ276" s="13" t="s">
        <v>76</v>
      </c>
      <c r="BK276" s="130">
        <f t="shared" si="79"/>
        <v>134.4</v>
      </c>
      <c r="BL276" s="13" t="s">
        <v>235</v>
      </c>
      <c r="BM276" s="129" t="s">
        <v>688</v>
      </c>
    </row>
    <row r="277" spans="2:65" s="1" customFormat="1" ht="16.5" customHeight="1" x14ac:dyDescent="0.2">
      <c r="B277" s="118"/>
      <c r="C277" s="119" t="s">
        <v>458</v>
      </c>
      <c r="D277" s="119" t="s">
        <v>231</v>
      </c>
      <c r="E277" s="120" t="s">
        <v>3034</v>
      </c>
      <c r="F277" s="121" t="s">
        <v>3035</v>
      </c>
      <c r="G277" s="122" t="s">
        <v>292</v>
      </c>
      <c r="H277" s="123">
        <v>145</v>
      </c>
      <c r="I277" s="124">
        <v>0.68</v>
      </c>
      <c r="J277" s="124">
        <f t="shared" si="70"/>
        <v>98.6</v>
      </c>
      <c r="K277" s="121" t="s">
        <v>1</v>
      </c>
      <c r="L277" s="24"/>
      <c r="M277" s="125" t="s">
        <v>1</v>
      </c>
      <c r="N277" s="126" t="s">
        <v>32</v>
      </c>
      <c r="O277" s="127">
        <v>0</v>
      </c>
      <c r="P277" s="127">
        <f t="shared" si="71"/>
        <v>0</v>
      </c>
      <c r="Q277" s="127">
        <v>0</v>
      </c>
      <c r="R277" s="127">
        <f t="shared" si="72"/>
        <v>0</v>
      </c>
      <c r="S277" s="127">
        <v>0</v>
      </c>
      <c r="T277" s="128">
        <f t="shared" si="73"/>
        <v>0</v>
      </c>
      <c r="AR277" s="129" t="s">
        <v>235</v>
      </c>
      <c r="AT277" s="129" t="s">
        <v>231</v>
      </c>
      <c r="AU277" s="129" t="s">
        <v>76</v>
      </c>
      <c r="AY277" s="13" t="s">
        <v>228</v>
      </c>
      <c r="BE277" s="130">
        <f t="shared" si="74"/>
        <v>0</v>
      </c>
      <c r="BF277" s="130">
        <f t="shared" si="75"/>
        <v>98.6</v>
      </c>
      <c r="BG277" s="130">
        <f t="shared" si="76"/>
        <v>0</v>
      </c>
      <c r="BH277" s="130">
        <f t="shared" si="77"/>
        <v>0</v>
      </c>
      <c r="BI277" s="130">
        <f t="shared" si="78"/>
        <v>0</v>
      </c>
      <c r="BJ277" s="13" t="s">
        <v>76</v>
      </c>
      <c r="BK277" s="130">
        <f t="shared" si="79"/>
        <v>98.6</v>
      </c>
      <c r="BL277" s="13" t="s">
        <v>235</v>
      </c>
      <c r="BM277" s="129" t="s">
        <v>691</v>
      </c>
    </row>
    <row r="278" spans="2:65" s="1" customFormat="1" ht="16.5" customHeight="1" x14ac:dyDescent="0.2">
      <c r="B278" s="118"/>
      <c r="C278" s="119" t="s">
        <v>692</v>
      </c>
      <c r="D278" s="119" t="s">
        <v>231</v>
      </c>
      <c r="E278" s="120" t="s">
        <v>5161</v>
      </c>
      <c r="F278" s="121" t="s">
        <v>5162</v>
      </c>
      <c r="G278" s="122" t="s">
        <v>292</v>
      </c>
      <c r="H278" s="123">
        <v>30</v>
      </c>
      <c r="I278" s="124">
        <v>1.7</v>
      </c>
      <c r="J278" s="124">
        <f t="shared" si="70"/>
        <v>51</v>
      </c>
      <c r="K278" s="121" t="s">
        <v>1</v>
      </c>
      <c r="L278" s="24"/>
      <c r="M278" s="125" t="s">
        <v>1</v>
      </c>
      <c r="N278" s="126" t="s">
        <v>32</v>
      </c>
      <c r="O278" s="127">
        <v>0</v>
      </c>
      <c r="P278" s="127">
        <f t="shared" si="71"/>
        <v>0</v>
      </c>
      <c r="Q278" s="127">
        <v>0</v>
      </c>
      <c r="R278" s="127">
        <f t="shared" si="72"/>
        <v>0</v>
      </c>
      <c r="S278" s="127">
        <v>0</v>
      </c>
      <c r="T278" s="128">
        <f t="shared" si="73"/>
        <v>0</v>
      </c>
      <c r="AR278" s="129" t="s">
        <v>235</v>
      </c>
      <c r="AT278" s="129" t="s">
        <v>231</v>
      </c>
      <c r="AU278" s="129" t="s">
        <v>76</v>
      </c>
      <c r="AY278" s="13" t="s">
        <v>228</v>
      </c>
      <c r="BE278" s="130">
        <f t="shared" si="74"/>
        <v>0</v>
      </c>
      <c r="BF278" s="130">
        <f t="shared" si="75"/>
        <v>51</v>
      </c>
      <c r="BG278" s="130">
        <f t="shared" si="76"/>
        <v>0</v>
      </c>
      <c r="BH278" s="130">
        <f t="shared" si="77"/>
        <v>0</v>
      </c>
      <c r="BI278" s="130">
        <f t="shared" si="78"/>
        <v>0</v>
      </c>
      <c r="BJ278" s="13" t="s">
        <v>76</v>
      </c>
      <c r="BK278" s="130">
        <f t="shared" si="79"/>
        <v>51</v>
      </c>
      <c r="BL278" s="13" t="s">
        <v>235</v>
      </c>
      <c r="BM278" s="129" t="s">
        <v>695</v>
      </c>
    </row>
    <row r="279" spans="2:65" s="1" customFormat="1" ht="16.5" customHeight="1" x14ac:dyDescent="0.2">
      <c r="B279" s="118"/>
      <c r="C279" s="119" t="s">
        <v>462</v>
      </c>
      <c r="D279" s="119" t="s">
        <v>231</v>
      </c>
      <c r="E279" s="120" t="s">
        <v>5163</v>
      </c>
      <c r="F279" s="121" t="s">
        <v>5164</v>
      </c>
      <c r="G279" s="122" t="s">
        <v>292</v>
      </c>
      <c r="H279" s="123">
        <v>20</v>
      </c>
      <c r="I279" s="124">
        <v>1.83</v>
      </c>
      <c r="J279" s="124">
        <f t="shared" si="70"/>
        <v>36.6</v>
      </c>
      <c r="K279" s="121" t="s">
        <v>1</v>
      </c>
      <c r="L279" s="24"/>
      <c r="M279" s="125" t="s">
        <v>1</v>
      </c>
      <c r="N279" s="126" t="s">
        <v>32</v>
      </c>
      <c r="O279" s="127">
        <v>0</v>
      </c>
      <c r="P279" s="127">
        <f t="shared" si="71"/>
        <v>0</v>
      </c>
      <c r="Q279" s="127">
        <v>0</v>
      </c>
      <c r="R279" s="127">
        <f t="shared" si="72"/>
        <v>0</v>
      </c>
      <c r="S279" s="127">
        <v>0</v>
      </c>
      <c r="T279" s="128">
        <f t="shared" si="73"/>
        <v>0</v>
      </c>
      <c r="AR279" s="129" t="s">
        <v>235</v>
      </c>
      <c r="AT279" s="129" t="s">
        <v>231</v>
      </c>
      <c r="AU279" s="129" t="s">
        <v>76</v>
      </c>
      <c r="AY279" s="13" t="s">
        <v>228</v>
      </c>
      <c r="BE279" s="130">
        <f t="shared" si="74"/>
        <v>0</v>
      </c>
      <c r="BF279" s="130">
        <f t="shared" si="75"/>
        <v>36.6</v>
      </c>
      <c r="BG279" s="130">
        <f t="shared" si="76"/>
        <v>0</v>
      </c>
      <c r="BH279" s="130">
        <f t="shared" si="77"/>
        <v>0</v>
      </c>
      <c r="BI279" s="130">
        <f t="shared" si="78"/>
        <v>0</v>
      </c>
      <c r="BJ279" s="13" t="s">
        <v>76</v>
      </c>
      <c r="BK279" s="130">
        <f t="shared" si="79"/>
        <v>36.6</v>
      </c>
      <c r="BL279" s="13" t="s">
        <v>235</v>
      </c>
      <c r="BM279" s="129" t="s">
        <v>698</v>
      </c>
    </row>
    <row r="280" spans="2:65" s="1" customFormat="1" ht="16.5" customHeight="1" x14ac:dyDescent="0.2">
      <c r="B280" s="118"/>
      <c r="C280" s="119" t="s">
        <v>699</v>
      </c>
      <c r="D280" s="119" t="s">
        <v>231</v>
      </c>
      <c r="E280" s="120" t="s">
        <v>5178</v>
      </c>
      <c r="F280" s="121" t="s">
        <v>3045</v>
      </c>
      <c r="G280" s="122" t="s">
        <v>243</v>
      </c>
      <c r="H280" s="123">
        <v>106</v>
      </c>
      <c r="I280" s="124">
        <v>8.2799999999999994</v>
      </c>
      <c r="J280" s="124">
        <f t="shared" si="70"/>
        <v>877.68</v>
      </c>
      <c r="K280" s="121" t="s">
        <v>1</v>
      </c>
      <c r="L280" s="24"/>
      <c r="M280" s="125" t="s">
        <v>1</v>
      </c>
      <c r="N280" s="126" t="s">
        <v>32</v>
      </c>
      <c r="O280" s="127">
        <v>0</v>
      </c>
      <c r="P280" s="127">
        <f t="shared" si="71"/>
        <v>0</v>
      </c>
      <c r="Q280" s="127">
        <v>0</v>
      </c>
      <c r="R280" s="127">
        <f t="shared" si="72"/>
        <v>0</v>
      </c>
      <c r="S280" s="127">
        <v>0</v>
      </c>
      <c r="T280" s="128">
        <f t="shared" si="73"/>
        <v>0</v>
      </c>
      <c r="AR280" s="129" t="s">
        <v>235</v>
      </c>
      <c r="AT280" s="129" t="s">
        <v>231</v>
      </c>
      <c r="AU280" s="129" t="s">
        <v>76</v>
      </c>
      <c r="AY280" s="13" t="s">
        <v>228</v>
      </c>
      <c r="BE280" s="130">
        <f t="shared" si="74"/>
        <v>0</v>
      </c>
      <c r="BF280" s="130">
        <f t="shared" si="75"/>
        <v>877.68</v>
      </c>
      <c r="BG280" s="130">
        <f t="shared" si="76"/>
        <v>0</v>
      </c>
      <c r="BH280" s="130">
        <f t="shared" si="77"/>
        <v>0</v>
      </c>
      <c r="BI280" s="130">
        <f t="shared" si="78"/>
        <v>0</v>
      </c>
      <c r="BJ280" s="13" t="s">
        <v>76</v>
      </c>
      <c r="BK280" s="130">
        <f t="shared" si="79"/>
        <v>877.68</v>
      </c>
      <c r="BL280" s="13" t="s">
        <v>235</v>
      </c>
      <c r="BM280" s="129" t="s">
        <v>702</v>
      </c>
    </row>
    <row r="281" spans="2:65" s="1" customFormat="1" ht="16.5" customHeight="1" x14ac:dyDescent="0.2">
      <c r="B281" s="118"/>
      <c r="C281" s="119" t="s">
        <v>465</v>
      </c>
      <c r="D281" s="119" t="s">
        <v>231</v>
      </c>
      <c r="E281" s="120" t="s">
        <v>5179</v>
      </c>
      <c r="F281" s="121" t="s">
        <v>5180</v>
      </c>
      <c r="G281" s="122" t="s">
        <v>243</v>
      </c>
      <c r="H281" s="123">
        <v>8</v>
      </c>
      <c r="I281" s="124">
        <v>14.4</v>
      </c>
      <c r="J281" s="124">
        <f t="shared" si="70"/>
        <v>115.2</v>
      </c>
      <c r="K281" s="121" t="s">
        <v>1</v>
      </c>
      <c r="L281" s="24"/>
      <c r="M281" s="125" t="s">
        <v>1</v>
      </c>
      <c r="N281" s="126" t="s">
        <v>32</v>
      </c>
      <c r="O281" s="127">
        <v>0</v>
      </c>
      <c r="P281" s="127">
        <f t="shared" si="71"/>
        <v>0</v>
      </c>
      <c r="Q281" s="127">
        <v>0</v>
      </c>
      <c r="R281" s="127">
        <f t="shared" si="72"/>
        <v>0</v>
      </c>
      <c r="S281" s="127">
        <v>0</v>
      </c>
      <c r="T281" s="128">
        <f t="shared" si="73"/>
        <v>0</v>
      </c>
      <c r="AR281" s="129" t="s">
        <v>235</v>
      </c>
      <c r="AT281" s="129" t="s">
        <v>231</v>
      </c>
      <c r="AU281" s="129" t="s">
        <v>76</v>
      </c>
      <c r="AY281" s="13" t="s">
        <v>228</v>
      </c>
      <c r="BE281" s="130">
        <f t="shared" si="74"/>
        <v>0</v>
      </c>
      <c r="BF281" s="130">
        <f t="shared" si="75"/>
        <v>115.2</v>
      </c>
      <c r="BG281" s="130">
        <f t="shared" si="76"/>
        <v>0</v>
      </c>
      <c r="BH281" s="130">
        <f t="shared" si="77"/>
        <v>0</v>
      </c>
      <c r="BI281" s="130">
        <f t="shared" si="78"/>
        <v>0</v>
      </c>
      <c r="BJ281" s="13" t="s">
        <v>76</v>
      </c>
      <c r="BK281" s="130">
        <f t="shared" si="79"/>
        <v>115.2</v>
      </c>
      <c r="BL281" s="13" t="s">
        <v>235</v>
      </c>
      <c r="BM281" s="129" t="s">
        <v>705</v>
      </c>
    </row>
    <row r="282" spans="2:65" s="1" customFormat="1" ht="16.5" customHeight="1" x14ac:dyDescent="0.2">
      <c r="B282" s="118"/>
      <c r="C282" s="119" t="s">
        <v>706</v>
      </c>
      <c r="D282" s="119" t="s">
        <v>231</v>
      </c>
      <c r="E282" s="120" t="s">
        <v>5181</v>
      </c>
      <c r="F282" s="121" t="s">
        <v>5182</v>
      </c>
      <c r="G282" s="122" t="s">
        <v>292</v>
      </c>
      <c r="H282" s="123">
        <v>50</v>
      </c>
      <c r="I282" s="124">
        <v>10.86</v>
      </c>
      <c r="J282" s="124">
        <f t="shared" si="70"/>
        <v>543</v>
      </c>
      <c r="K282" s="121" t="s">
        <v>1</v>
      </c>
      <c r="L282" s="24"/>
      <c r="M282" s="125" t="s">
        <v>1</v>
      </c>
      <c r="N282" s="126" t="s">
        <v>32</v>
      </c>
      <c r="O282" s="127">
        <v>0</v>
      </c>
      <c r="P282" s="127">
        <f t="shared" si="71"/>
        <v>0</v>
      </c>
      <c r="Q282" s="127">
        <v>0</v>
      </c>
      <c r="R282" s="127">
        <f t="shared" si="72"/>
        <v>0</v>
      </c>
      <c r="S282" s="127">
        <v>0</v>
      </c>
      <c r="T282" s="128">
        <f t="shared" si="73"/>
        <v>0</v>
      </c>
      <c r="AR282" s="129" t="s">
        <v>235</v>
      </c>
      <c r="AT282" s="129" t="s">
        <v>231</v>
      </c>
      <c r="AU282" s="129" t="s">
        <v>76</v>
      </c>
      <c r="AY282" s="13" t="s">
        <v>228</v>
      </c>
      <c r="BE282" s="130">
        <f t="shared" si="74"/>
        <v>0</v>
      </c>
      <c r="BF282" s="130">
        <f t="shared" si="75"/>
        <v>543</v>
      </c>
      <c r="BG282" s="130">
        <f t="shared" si="76"/>
        <v>0</v>
      </c>
      <c r="BH282" s="130">
        <f t="shared" si="77"/>
        <v>0</v>
      </c>
      <c r="BI282" s="130">
        <f t="shared" si="78"/>
        <v>0</v>
      </c>
      <c r="BJ282" s="13" t="s">
        <v>76</v>
      </c>
      <c r="BK282" s="130">
        <f t="shared" si="79"/>
        <v>543</v>
      </c>
      <c r="BL282" s="13" t="s">
        <v>235</v>
      </c>
      <c r="BM282" s="129" t="s">
        <v>709</v>
      </c>
    </row>
    <row r="283" spans="2:65" s="1" customFormat="1" ht="16.5" customHeight="1" x14ac:dyDescent="0.2">
      <c r="B283" s="118"/>
      <c r="C283" s="119" t="s">
        <v>469</v>
      </c>
      <c r="D283" s="119" t="s">
        <v>231</v>
      </c>
      <c r="E283" s="120" t="s">
        <v>5183</v>
      </c>
      <c r="F283" s="121" t="s">
        <v>5184</v>
      </c>
      <c r="G283" s="122" t="s">
        <v>292</v>
      </c>
      <c r="H283" s="123">
        <v>10</v>
      </c>
      <c r="I283" s="124">
        <v>12.05</v>
      </c>
      <c r="J283" s="124">
        <f t="shared" si="70"/>
        <v>120.5</v>
      </c>
      <c r="K283" s="121" t="s">
        <v>1</v>
      </c>
      <c r="L283" s="24"/>
      <c r="M283" s="125" t="s">
        <v>1</v>
      </c>
      <c r="N283" s="126" t="s">
        <v>32</v>
      </c>
      <c r="O283" s="127">
        <v>0</v>
      </c>
      <c r="P283" s="127">
        <f t="shared" si="71"/>
        <v>0</v>
      </c>
      <c r="Q283" s="127">
        <v>0</v>
      </c>
      <c r="R283" s="127">
        <f t="shared" si="72"/>
        <v>0</v>
      </c>
      <c r="S283" s="127">
        <v>0</v>
      </c>
      <c r="T283" s="128">
        <f t="shared" si="73"/>
        <v>0</v>
      </c>
      <c r="AR283" s="129" t="s">
        <v>235</v>
      </c>
      <c r="AT283" s="129" t="s">
        <v>231</v>
      </c>
      <c r="AU283" s="129" t="s">
        <v>76</v>
      </c>
      <c r="AY283" s="13" t="s">
        <v>228</v>
      </c>
      <c r="BE283" s="130">
        <f t="shared" si="74"/>
        <v>0</v>
      </c>
      <c r="BF283" s="130">
        <f t="shared" si="75"/>
        <v>120.5</v>
      </c>
      <c r="BG283" s="130">
        <f t="shared" si="76"/>
        <v>0</v>
      </c>
      <c r="BH283" s="130">
        <f t="shared" si="77"/>
        <v>0</v>
      </c>
      <c r="BI283" s="130">
        <f t="shared" si="78"/>
        <v>0</v>
      </c>
      <c r="BJ283" s="13" t="s">
        <v>76</v>
      </c>
      <c r="BK283" s="130">
        <f t="shared" si="79"/>
        <v>120.5</v>
      </c>
      <c r="BL283" s="13" t="s">
        <v>235</v>
      </c>
      <c r="BM283" s="129" t="s">
        <v>712</v>
      </c>
    </row>
    <row r="284" spans="2:65" s="1" customFormat="1" ht="16.5" customHeight="1" x14ac:dyDescent="0.2">
      <c r="B284" s="118"/>
      <c r="C284" s="119" t="s">
        <v>713</v>
      </c>
      <c r="D284" s="119" t="s">
        <v>231</v>
      </c>
      <c r="E284" s="120" t="s">
        <v>5185</v>
      </c>
      <c r="F284" s="121" t="s">
        <v>5186</v>
      </c>
      <c r="G284" s="122" t="s">
        <v>292</v>
      </c>
      <c r="H284" s="123">
        <v>20</v>
      </c>
      <c r="I284" s="124">
        <v>14.48</v>
      </c>
      <c r="J284" s="124">
        <f t="shared" si="70"/>
        <v>289.60000000000002</v>
      </c>
      <c r="K284" s="121" t="s">
        <v>1</v>
      </c>
      <c r="L284" s="24"/>
      <c r="M284" s="125" t="s">
        <v>1</v>
      </c>
      <c r="N284" s="126" t="s">
        <v>32</v>
      </c>
      <c r="O284" s="127">
        <v>0</v>
      </c>
      <c r="P284" s="127">
        <f t="shared" si="71"/>
        <v>0</v>
      </c>
      <c r="Q284" s="127">
        <v>0</v>
      </c>
      <c r="R284" s="127">
        <f t="shared" si="72"/>
        <v>0</v>
      </c>
      <c r="S284" s="127">
        <v>0</v>
      </c>
      <c r="T284" s="128">
        <f t="shared" si="73"/>
        <v>0</v>
      </c>
      <c r="AR284" s="129" t="s">
        <v>235</v>
      </c>
      <c r="AT284" s="129" t="s">
        <v>231</v>
      </c>
      <c r="AU284" s="129" t="s">
        <v>76</v>
      </c>
      <c r="AY284" s="13" t="s">
        <v>228</v>
      </c>
      <c r="BE284" s="130">
        <f t="shared" si="74"/>
        <v>0</v>
      </c>
      <c r="BF284" s="130">
        <f t="shared" si="75"/>
        <v>289.60000000000002</v>
      </c>
      <c r="BG284" s="130">
        <f t="shared" si="76"/>
        <v>0</v>
      </c>
      <c r="BH284" s="130">
        <f t="shared" si="77"/>
        <v>0</v>
      </c>
      <c r="BI284" s="130">
        <f t="shared" si="78"/>
        <v>0</v>
      </c>
      <c r="BJ284" s="13" t="s">
        <v>76</v>
      </c>
      <c r="BK284" s="130">
        <f t="shared" si="79"/>
        <v>289.60000000000002</v>
      </c>
      <c r="BL284" s="13" t="s">
        <v>235</v>
      </c>
      <c r="BM284" s="129" t="s">
        <v>716</v>
      </c>
    </row>
    <row r="285" spans="2:65" s="1" customFormat="1" ht="16.5" customHeight="1" x14ac:dyDescent="0.2">
      <c r="B285" s="118"/>
      <c r="C285" s="119" t="s">
        <v>472</v>
      </c>
      <c r="D285" s="119" t="s">
        <v>231</v>
      </c>
      <c r="E285" s="120" t="s">
        <v>5187</v>
      </c>
      <c r="F285" s="121" t="s">
        <v>5188</v>
      </c>
      <c r="G285" s="122" t="s">
        <v>284</v>
      </c>
      <c r="H285" s="123">
        <v>0.5</v>
      </c>
      <c r="I285" s="124">
        <v>57.4</v>
      </c>
      <c r="J285" s="124">
        <f t="shared" si="70"/>
        <v>28.7</v>
      </c>
      <c r="K285" s="121" t="s">
        <v>1</v>
      </c>
      <c r="L285" s="24"/>
      <c r="M285" s="125" t="s">
        <v>1</v>
      </c>
      <c r="N285" s="126" t="s">
        <v>32</v>
      </c>
      <c r="O285" s="127">
        <v>0</v>
      </c>
      <c r="P285" s="127">
        <f t="shared" si="71"/>
        <v>0</v>
      </c>
      <c r="Q285" s="127">
        <v>0</v>
      </c>
      <c r="R285" s="127">
        <f t="shared" si="72"/>
        <v>0</v>
      </c>
      <c r="S285" s="127">
        <v>0</v>
      </c>
      <c r="T285" s="128">
        <f t="shared" si="73"/>
        <v>0</v>
      </c>
      <c r="AR285" s="129" t="s">
        <v>235</v>
      </c>
      <c r="AT285" s="129" t="s">
        <v>231</v>
      </c>
      <c r="AU285" s="129" t="s">
        <v>76</v>
      </c>
      <c r="AY285" s="13" t="s">
        <v>228</v>
      </c>
      <c r="BE285" s="130">
        <f t="shared" si="74"/>
        <v>0</v>
      </c>
      <c r="BF285" s="130">
        <f t="shared" si="75"/>
        <v>28.7</v>
      </c>
      <c r="BG285" s="130">
        <f t="shared" si="76"/>
        <v>0</v>
      </c>
      <c r="BH285" s="130">
        <f t="shared" si="77"/>
        <v>0</v>
      </c>
      <c r="BI285" s="130">
        <f t="shared" si="78"/>
        <v>0</v>
      </c>
      <c r="BJ285" s="13" t="s">
        <v>76</v>
      </c>
      <c r="BK285" s="130">
        <f t="shared" si="79"/>
        <v>28.7</v>
      </c>
      <c r="BL285" s="13" t="s">
        <v>235</v>
      </c>
      <c r="BM285" s="129" t="s">
        <v>721</v>
      </c>
    </row>
    <row r="286" spans="2:65" s="1" customFormat="1" ht="16.5" customHeight="1" x14ac:dyDescent="0.2">
      <c r="B286" s="118"/>
      <c r="C286" s="119" t="s">
        <v>722</v>
      </c>
      <c r="D286" s="119" t="s">
        <v>231</v>
      </c>
      <c r="E286" s="120" t="s">
        <v>5189</v>
      </c>
      <c r="F286" s="121" t="s">
        <v>5190</v>
      </c>
      <c r="G286" s="122" t="s">
        <v>243</v>
      </c>
      <c r="H286" s="123">
        <v>120</v>
      </c>
      <c r="I286" s="124">
        <v>0.7</v>
      </c>
      <c r="J286" s="124">
        <f t="shared" si="70"/>
        <v>84</v>
      </c>
      <c r="K286" s="121" t="s">
        <v>1</v>
      </c>
      <c r="L286" s="24"/>
      <c r="M286" s="125" t="s">
        <v>1</v>
      </c>
      <c r="N286" s="126" t="s">
        <v>32</v>
      </c>
      <c r="O286" s="127">
        <v>0</v>
      </c>
      <c r="P286" s="127">
        <f t="shared" si="71"/>
        <v>0</v>
      </c>
      <c r="Q286" s="127">
        <v>0</v>
      </c>
      <c r="R286" s="127">
        <f t="shared" si="72"/>
        <v>0</v>
      </c>
      <c r="S286" s="127">
        <v>0</v>
      </c>
      <c r="T286" s="128">
        <f t="shared" si="73"/>
        <v>0</v>
      </c>
      <c r="AR286" s="129" t="s">
        <v>235</v>
      </c>
      <c r="AT286" s="129" t="s">
        <v>231</v>
      </c>
      <c r="AU286" s="129" t="s">
        <v>76</v>
      </c>
      <c r="AY286" s="13" t="s">
        <v>228</v>
      </c>
      <c r="BE286" s="130">
        <f t="shared" si="74"/>
        <v>0</v>
      </c>
      <c r="BF286" s="130">
        <f t="shared" si="75"/>
        <v>84</v>
      </c>
      <c r="BG286" s="130">
        <f t="shared" si="76"/>
        <v>0</v>
      </c>
      <c r="BH286" s="130">
        <f t="shared" si="77"/>
        <v>0</v>
      </c>
      <c r="BI286" s="130">
        <f t="shared" si="78"/>
        <v>0</v>
      </c>
      <c r="BJ286" s="13" t="s">
        <v>76</v>
      </c>
      <c r="BK286" s="130">
        <f t="shared" si="79"/>
        <v>84</v>
      </c>
      <c r="BL286" s="13" t="s">
        <v>235</v>
      </c>
      <c r="BM286" s="129" t="s">
        <v>725</v>
      </c>
    </row>
    <row r="287" spans="2:65" s="1" customFormat="1" ht="16.5" customHeight="1" x14ac:dyDescent="0.2">
      <c r="B287" s="118"/>
      <c r="C287" s="119" t="s">
        <v>476</v>
      </c>
      <c r="D287" s="119" t="s">
        <v>231</v>
      </c>
      <c r="E287" s="120" t="s">
        <v>5191</v>
      </c>
      <c r="F287" s="121" t="s">
        <v>5192</v>
      </c>
      <c r="G287" s="122" t="s">
        <v>570</v>
      </c>
      <c r="H287" s="123">
        <v>1</v>
      </c>
      <c r="I287" s="124">
        <v>76.626000000000005</v>
      </c>
      <c r="J287" s="124">
        <f t="shared" si="70"/>
        <v>76.63</v>
      </c>
      <c r="K287" s="121" t="s">
        <v>1</v>
      </c>
      <c r="L287" s="24"/>
      <c r="M287" s="125" t="s">
        <v>1</v>
      </c>
      <c r="N287" s="126" t="s">
        <v>32</v>
      </c>
      <c r="O287" s="127">
        <v>0</v>
      </c>
      <c r="P287" s="127">
        <f t="shared" si="71"/>
        <v>0</v>
      </c>
      <c r="Q287" s="127">
        <v>0</v>
      </c>
      <c r="R287" s="127">
        <f t="shared" si="72"/>
        <v>0</v>
      </c>
      <c r="S287" s="127">
        <v>0</v>
      </c>
      <c r="T287" s="128">
        <f t="shared" si="73"/>
        <v>0</v>
      </c>
      <c r="AR287" s="129" t="s">
        <v>235</v>
      </c>
      <c r="AT287" s="129" t="s">
        <v>231</v>
      </c>
      <c r="AU287" s="129" t="s">
        <v>76</v>
      </c>
      <c r="AY287" s="13" t="s">
        <v>228</v>
      </c>
      <c r="BE287" s="130">
        <f t="shared" si="74"/>
        <v>0</v>
      </c>
      <c r="BF287" s="130">
        <f t="shared" si="75"/>
        <v>76.63</v>
      </c>
      <c r="BG287" s="130">
        <f t="shared" si="76"/>
        <v>0</v>
      </c>
      <c r="BH287" s="130">
        <f t="shared" si="77"/>
        <v>0</v>
      </c>
      <c r="BI287" s="130">
        <f t="shared" si="78"/>
        <v>0</v>
      </c>
      <c r="BJ287" s="13" t="s">
        <v>76</v>
      </c>
      <c r="BK287" s="130">
        <f t="shared" si="79"/>
        <v>76.63</v>
      </c>
      <c r="BL287" s="13" t="s">
        <v>235</v>
      </c>
      <c r="BM287" s="129" t="s">
        <v>728</v>
      </c>
    </row>
    <row r="288" spans="2:65" s="11" customFormat="1" ht="22.95" customHeight="1" x14ac:dyDescent="0.25">
      <c r="B288" s="106"/>
      <c r="D288" s="107" t="s">
        <v>57</v>
      </c>
      <c r="E288" s="116" t="s">
        <v>1240</v>
      </c>
      <c r="F288" s="116" t="s">
        <v>3054</v>
      </c>
      <c r="J288" s="117">
        <f>BK288</f>
        <v>147.66</v>
      </c>
      <c r="L288" s="106"/>
      <c r="M288" s="110"/>
      <c r="N288" s="111"/>
      <c r="O288" s="111"/>
      <c r="P288" s="112">
        <f>SUM(P289:P291)</f>
        <v>0</v>
      </c>
      <c r="Q288" s="111"/>
      <c r="R288" s="112">
        <f>SUM(R289:R291)</f>
        <v>0</v>
      </c>
      <c r="S288" s="111"/>
      <c r="T288" s="113">
        <f>SUM(T289:T291)</f>
        <v>0</v>
      </c>
      <c r="AR288" s="107" t="s">
        <v>63</v>
      </c>
      <c r="AT288" s="114" t="s">
        <v>57</v>
      </c>
      <c r="AU288" s="114" t="s">
        <v>63</v>
      </c>
      <c r="AY288" s="107" t="s">
        <v>228</v>
      </c>
      <c r="BK288" s="115">
        <f>SUM(BK289:BK291)</f>
        <v>147.66</v>
      </c>
    </row>
    <row r="289" spans="2:65" s="1" customFormat="1" ht="16.5" customHeight="1" x14ac:dyDescent="0.2">
      <c r="B289" s="118"/>
      <c r="C289" s="119" t="s">
        <v>729</v>
      </c>
      <c r="D289" s="119" t="s">
        <v>231</v>
      </c>
      <c r="E289" s="120" t="s">
        <v>3055</v>
      </c>
      <c r="F289" s="121" t="s">
        <v>3056</v>
      </c>
      <c r="G289" s="122" t="s">
        <v>570</v>
      </c>
      <c r="H289" s="123">
        <v>1</v>
      </c>
      <c r="I289" s="124">
        <v>50.15</v>
      </c>
      <c r="J289" s="124">
        <f>ROUND(I289*H289,2)</f>
        <v>50.15</v>
      </c>
      <c r="K289" s="121" t="s">
        <v>1</v>
      </c>
      <c r="L289" s="24"/>
      <c r="M289" s="125" t="s">
        <v>1</v>
      </c>
      <c r="N289" s="126" t="s">
        <v>32</v>
      </c>
      <c r="O289" s="127">
        <v>0</v>
      </c>
      <c r="P289" s="127">
        <f>O289*H289</f>
        <v>0</v>
      </c>
      <c r="Q289" s="127">
        <v>0</v>
      </c>
      <c r="R289" s="127">
        <f>Q289*H289</f>
        <v>0</v>
      </c>
      <c r="S289" s="127">
        <v>0</v>
      </c>
      <c r="T289" s="128">
        <f>S289*H289</f>
        <v>0</v>
      </c>
      <c r="AR289" s="129" t="s">
        <v>235</v>
      </c>
      <c r="AT289" s="129" t="s">
        <v>231</v>
      </c>
      <c r="AU289" s="129" t="s">
        <v>76</v>
      </c>
      <c r="AY289" s="13" t="s">
        <v>228</v>
      </c>
      <c r="BE289" s="130">
        <f>IF(N289="základná",J289,0)</f>
        <v>0</v>
      </c>
      <c r="BF289" s="130">
        <f>IF(N289="znížená",J289,0)</f>
        <v>50.15</v>
      </c>
      <c r="BG289" s="130">
        <f>IF(N289="zákl. prenesená",J289,0)</f>
        <v>0</v>
      </c>
      <c r="BH289" s="130">
        <f>IF(N289="zníž. prenesená",J289,0)</f>
        <v>0</v>
      </c>
      <c r="BI289" s="130">
        <f>IF(N289="nulová",J289,0)</f>
        <v>0</v>
      </c>
      <c r="BJ289" s="13" t="s">
        <v>76</v>
      </c>
      <c r="BK289" s="130">
        <f>ROUND(I289*H289,2)</f>
        <v>50.15</v>
      </c>
      <c r="BL289" s="13" t="s">
        <v>235</v>
      </c>
      <c r="BM289" s="129" t="s">
        <v>732</v>
      </c>
    </row>
    <row r="290" spans="2:65" s="1" customFormat="1" ht="16.5" customHeight="1" x14ac:dyDescent="0.2">
      <c r="B290" s="118"/>
      <c r="C290" s="119" t="s">
        <v>479</v>
      </c>
      <c r="D290" s="119" t="s">
        <v>231</v>
      </c>
      <c r="E290" s="120" t="s">
        <v>3057</v>
      </c>
      <c r="F290" s="121" t="s">
        <v>3058</v>
      </c>
      <c r="G290" s="122" t="s">
        <v>570</v>
      </c>
      <c r="H290" s="123">
        <v>1</v>
      </c>
      <c r="I290" s="124">
        <v>13.93</v>
      </c>
      <c r="J290" s="124">
        <f>ROUND(I290*H290,2)</f>
        <v>13.93</v>
      </c>
      <c r="K290" s="121" t="s">
        <v>1</v>
      </c>
      <c r="L290" s="24"/>
      <c r="M290" s="125" t="s">
        <v>1</v>
      </c>
      <c r="N290" s="126" t="s">
        <v>32</v>
      </c>
      <c r="O290" s="127">
        <v>0</v>
      </c>
      <c r="P290" s="127">
        <f>O290*H290</f>
        <v>0</v>
      </c>
      <c r="Q290" s="127">
        <v>0</v>
      </c>
      <c r="R290" s="127">
        <f>Q290*H290</f>
        <v>0</v>
      </c>
      <c r="S290" s="127">
        <v>0</v>
      </c>
      <c r="T290" s="128">
        <f>S290*H290</f>
        <v>0</v>
      </c>
      <c r="AR290" s="129" t="s">
        <v>235</v>
      </c>
      <c r="AT290" s="129" t="s">
        <v>231</v>
      </c>
      <c r="AU290" s="129" t="s">
        <v>76</v>
      </c>
      <c r="AY290" s="13" t="s">
        <v>228</v>
      </c>
      <c r="BE290" s="130">
        <f>IF(N290="základná",J290,0)</f>
        <v>0</v>
      </c>
      <c r="BF290" s="130">
        <f>IF(N290="znížená",J290,0)</f>
        <v>13.93</v>
      </c>
      <c r="BG290" s="130">
        <f>IF(N290="zákl. prenesená",J290,0)</f>
        <v>0</v>
      </c>
      <c r="BH290" s="130">
        <f>IF(N290="zníž. prenesená",J290,0)</f>
        <v>0</v>
      </c>
      <c r="BI290" s="130">
        <f>IF(N290="nulová",J290,0)</f>
        <v>0</v>
      </c>
      <c r="BJ290" s="13" t="s">
        <v>76</v>
      </c>
      <c r="BK290" s="130">
        <f>ROUND(I290*H290,2)</f>
        <v>13.93</v>
      </c>
      <c r="BL290" s="13" t="s">
        <v>235</v>
      </c>
      <c r="BM290" s="129" t="s">
        <v>735</v>
      </c>
    </row>
    <row r="291" spans="2:65" s="1" customFormat="1" ht="16.5" customHeight="1" x14ac:dyDescent="0.2">
      <c r="B291" s="118"/>
      <c r="C291" s="119" t="s">
        <v>736</v>
      </c>
      <c r="D291" s="119" t="s">
        <v>231</v>
      </c>
      <c r="E291" s="120" t="s">
        <v>3059</v>
      </c>
      <c r="F291" s="121" t="s">
        <v>3060</v>
      </c>
      <c r="G291" s="122" t="s">
        <v>570</v>
      </c>
      <c r="H291" s="123">
        <v>1</v>
      </c>
      <c r="I291" s="124">
        <v>83.58</v>
      </c>
      <c r="J291" s="124">
        <f>ROUND(I291*H291,2)</f>
        <v>83.58</v>
      </c>
      <c r="K291" s="121" t="s">
        <v>1</v>
      </c>
      <c r="L291" s="24"/>
      <c r="M291" s="125" t="s">
        <v>1</v>
      </c>
      <c r="N291" s="126" t="s">
        <v>32</v>
      </c>
      <c r="O291" s="127">
        <v>0</v>
      </c>
      <c r="P291" s="127">
        <f>O291*H291</f>
        <v>0</v>
      </c>
      <c r="Q291" s="127">
        <v>0</v>
      </c>
      <c r="R291" s="127">
        <f>Q291*H291</f>
        <v>0</v>
      </c>
      <c r="S291" s="127">
        <v>0</v>
      </c>
      <c r="T291" s="128">
        <f>S291*H291</f>
        <v>0</v>
      </c>
      <c r="AR291" s="129" t="s">
        <v>235</v>
      </c>
      <c r="AT291" s="129" t="s">
        <v>231</v>
      </c>
      <c r="AU291" s="129" t="s">
        <v>76</v>
      </c>
      <c r="AY291" s="13" t="s">
        <v>228</v>
      </c>
      <c r="BE291" s="130">
        <f>IF(N291="základná",J291,0)</f>
        <v>0</v>
      </c>
      <c r="BF291" s="130">
        <f>IF(N291="znížená",J291,0)</f>
        <v>83.58</v>
      </c>
      <c r="BG291" s="130">
        <f>IF(N291="zákl. prenesená",J291,0)</f>
        <v>0</v>
      </c>
      <c r="BH291" s="130">
        <f>IF(N291="zníž. prenesená",J291,0)</f>
        <v>0</v>
      </c>
      <c r="BI291" s="130">
        <f>IF(N291="nulová",J291,0)</f>
        <v>0</v>
      </c>
      <c r="BJ291" s="13" t="s">
        <v>76</v>
      </c>
      <c r="BK291" s="130">
        <f>ROUND(I291*H291,2)</f>
        <v>83.58</v>
      </c>
      <c r="BL291" s="13" t="s">
        <v>235</v>
      </c>
      <c r="BM291" s="129" t="s">
        <v>739</v>
      </c>
    </row>
    <row r="292" spans="2:65" s="11" customFormat="1" ht="22.95" customHeight="1" x14ac:dyDescent="0.25">
      <c r="B292" s="106"/>
      <c r="D292" s="107" t="s">
        <v>57</v>
      </c>
      <c r="E292" s="116" t="s">
        <v>1247</v>
      </c>
      <c r="F292" s="116" t="s">
        <v>3061</v>
      </c>
      <c r="J292" s="117">
        <f>BK292</f>
        <v>236.11</v>
      </c>
      <c r="L292" s="106"/>
      <c r="M292" s="110"/>
      <c r="N292" s="111"/>
      <c r="O292" s="111"/>
      <c r="P292" s="112">
        <f>SUM(P293:P296)</f>
        <v>0</v>
      </c>
      <c r="Q292" s="111"/>
      <c r="R292" s="112">
        <f>SUM(R293:R296)</f>
        <v>0</v>
      </c>
      <c r="S292" s="111"/>
      <c r="T292" s="113">
        <f>SUM(T293:T296)</f>
        <v>0</v>
      </c>
      <c r="AR292" s="107" t="s">
        <v>63</v>
      </c>
      <c r="AT292" s="114" t="s">
        <v>57</v>
      </c>
      <c r="AU292" s="114" t="s">
        <v>63</v>
      </c>
      <c r="AY292" s="107" t="s">
        <v>228</v>
      </c>
      <c r="BK292" s="115">
        <f>SUM(BK293:BK296)</f>
        <v>236.11</v>
      </c>
    </row>
    <row r="293" spans="2:65" s="1" customFormat="1" ht="16.5" customHeight="1" x14ac:dyDescent="0.2">
      <c r="B293" s="118"/>
      <c r="C293" s="119" t="s">
        <v>483</v>
      </c>
      <c r="D293" s="119" t="s">
        <v>231</v>
      </c>
      <c r="E293" s="120" t="s">
        <v>3062</v>
      </c>
      <c r="F293" s="121" t="s">
        <v>3063</v>
      </c>
      <c r="G293" s="122" t="s">
        <v>570</v>
      </c>
      <c r="H293" s="123">
        <v>1</v>
      </c>
      <c r="I293" s="124">
        <v>52.93</v>
      </c>
      <c r="J293" s="124">
        <f>ROUND(I293*H293,2)</f>
        <v>52.93</v>
      </c>
      <c r="K293" s="121" t="s">
        <v>1</v>
      </c>
      <c r="L293" s="24"/>
      <c r="M293" s="125" t="s">
        <v>1</v>
      </c>
      <c r="N293" s="126" t="s">
        <v>32</v>
      </c>
      <c r="O293" s="127">
        <v>0</v>
      </c>
      <c r="P293" s="127">
        <f>O293*H293</f>
        <v>0</v>
      </c>
      <c r="Q293" s="127">
        <v>0</v>
      </c>
      <c r="R293" s="127">
        <f>Q293*H293</f>
        <v>0</v>
      </c>
      <c r="S293" s="127">
        <v>0</v>
      </c>
      <c r="T293" s="128">
        <f>S293*H293</f>
        <v>0</v>
      </c>
      <c r="AR293" s="129" t="s">
        <v>235</v>
      </c>
      <c r="AT293" s="129" t="s">
        <v>231</v>
      </c>
      <c r="AU293" s="129" t="s">
        <v>76</v>
      </c>
      <c r="AY293" s="13" t="s">
        <v>228</v>
      </c>
      <c r="BE293" s="130">
        <f>IF(N293="základná",J293,0)</f>
        <v>0</v>
      </c>
      <c r="BF293" s="130">
        <f>IF(N293="znížená",J293,0)</f>
        <v>52.93</v>
      </c>
      <c r="BG293" s="130">
        <f>IF(N293="zákl. prenesená",J293,0)</f>
        <v>0</v>
      </c>
      <c r="BH293" s="130">
        <f>IF(N293="zníž. prenesená",J293,0)</f>
        <v>0</v>
      </c>
      <c r="BI293" s="130">
        <f>IF(N293="nulová",J293,0)</f>
        <v>0</v>
      </c>
      <c r="BJ293" s="13" t="s">
        <v>76</v>
      </c>
      <c r="BK293" s="130">
        <f>ROUND(I293*H293,2)</f>
        <v>52.93</v>
      </c>
      <c r="BL293" s="13" t="s">
        <v>235</v>
      </c>
      <c r="BM293" s="129" t="s">
        <v>742</v>
      </c>
    </row>
    <row r="294" spans="2:65" s="1" customFormat="1" ht="16.5" customHeight="1" x14ac:dyDescent="0.2">
      <c r="B294" s="118"/>
      <c r="C294" s="119" t="s">
        <v>743</v>
      </c>
      <c r="D294" s="119" t="s">
        <v>231</v>
      </c>
      <c r="E294" s="120" t="s">
        <v>3064</v>
      </c>
      <c r="F294" s="121" t="s">
        <v>3065</v>
      </c>
      <c r="G294" s="122" t="s">
        <v>570</v>
      </c>
      <c r="H294" s="123">
        <v>1</v>
      </c>
      <c r="I294" s="124">
        <v>43.88</v>
      </c>
      <c r="J294" s="124">
        <f>ROUND(I294*H294,2)</f>
        <v>43.88</v>
      </c>
      <c r="K294" s="121" t="s">
        <v>1</v>
      </c>
      <c r="L294" s="24"/>
      <c r="M294" s="125" t="s">
        <v>1</v>
      </c>
      <c r="N294" s="126" t="s">
        <v>32</v>
      </c>
      <c r="O294" s="127">
        <v>0</v>
      </c>
      <c r="P294" s="127">
        <f>O294*H294</f>
        <v>0</v>
      </c>
      <c r="Q294" s="127">
        <v>0</v>
      </c>
      <c r="R294" s="127">
        <f>Q294*H294</f>
        <v>0</v>
      </c>
      <c r="S294" s="127">
        <v>0</v>
      </c>
      <c r="T294" s="128">
        <f>S294*H294</f>
        <v>0</v>
      </c>
      <c r="AR294" s="129" t="s">
        <v>235</v>
      </c>
      <c r="AT294" s="129" t="s">
        <v>231</v>
      </c>
      <c r="AU294" s="129" t="s">
        <v>76</v>
      </c>
      <c r="AY294" s="13" t="s">
        <v>228</v>
      </c>
      <c r="BE294" s="130">
        <f>IF(N294="základná",J294,0)</f>
        <v>0</v>
      </c>
      <c r="BF294" s="130">
        <f>IF(N294="znížená",J294,0)</f>
        <v>43.88</v>
      </c>
      <c r="BG294" s="130">
        <f>IF(N294="zákl. prenesená",J294,0)</f>
        <v>0</v>
      </c>
      <c r="BH294" s="130">
        <f>IF(N294="zníž. prenesená",J294,0)</f>
        <v>0</v>
      </c>
      <c r="BI294" s="130">
        <f>IF(N294="nulová",J294,0)</f>
        <v>0</v>
      </c>
      <c r="BJ294" s="13" t="s">
        <v>76</v>
      </c>
      <c r="BK294" s="130">
        <f>ROUND(I294*H294,2)</f>
        <v>43.88</v>
      </c>
      <c r="BL294" s="13" t="s">
        <v>235</v>
      </c>
      <c r="BM294" s="129" t="s">
        <v>746</v>
      </c>
    </row>
    <row r="295" spans="2:65" s="1" customFormat="1" ht="16.5" customHeight="1" x14ac:dyDescent="0.2">
      <c r="B295" s="118"/>
      <c r="C295" s="119" t="s">
        <v>486</v>
      </c>
      <c r="D295" s="119" t="s">
        <v>231</v>
      </c>
      <c r="E295" s="120" t="s">
        <v>3066</v>
      </c>
      <c r="F295" s="121" t="s">
        <v>3067</v>
      </c>
      <c r="G295" s="122" t="s">
        <v>570</v>
      </c>
      <c r="H295" s="123">
        <v>1</v>
      </c>
      <c r="I295" s="124">
        <v>69.650000000000006</v>
      </c>
      <c r="J295" s="124">
        <f>ROUND(I295*H295,2)</f>
        <v>69.650000000000006</v>
      </c>
      <c r="K295" s="121" t="s">
        <v>1</v>
      </c>
      <c r="L295" s="24"/>
      <c r="M295" s="125" t="s">
        <v>1</v>
      </c>
      <c r="N295" s="126" t="s">
        <v>32</v>
      </c>
      <c r="O295" s="127">
        <v>0</v>
      </c>
      <c r="P295" s="127">
        <f>O295*H295</f>
        <v>0</v>
      </c>
      <c r="Q295" s="127">
        <v>0</v>
      </c>
      <c r="R295" s="127">
        <f>Q295*H295</f>
        <v>0</v>
      </c>
      <c r="S295" s="127">
        <v>0</v>
      </c>
      <c r="T295" s="128">
        <f>S295*H295</f>
        <v>0</v>
      </c>
      <c r="AR295" s="129" t="s">
        <v>235</v>
      </c>
      <c r="AT295" s="129" t="s">
        <v>231</v>
      </c>
      <c r="AU295" s="129" t="s">
        <v>76</v>
      </c>
      <c r="AY295" s="13" t="s">
        <v>228</v>
      </c>
      <c r="BE295" s="130">
        <f>IF(N295="základná",J295,0)</f>
        <v>0</v>
      </c>
      <c r="BF295" s="130">
        <f>IF(N295="znížená",J295,0)</f>
        <v>69.650000000000006</v>
      </c>
      <c r="BG295" s="130">
        <f>IF(N295="zákl. prenesená",J295,0)</f>
        <v>0</v>
      </c>
      <c r="BH295" s="130">
        <f>IF(N295="zníž. prenesená",J295,0)</f>
        <v>0</v>
      </c>
      <c r="BI295" s="130">
        <f>IF(N295="nulová",J295,0)</f>
        <v>0</v>
      </c>
      <c r="BJ295" s="13" t="s">
        <v>76</v>
      </c>
      <c r="BK295" s="130">
        <f>ROUND(I295*H295,2)</f>
        <v>69.650000000000006</v>
      </c>
      <c r="BL295" s="13" t="s">
        <v>235</v>
      </c>
      <c r="BM295" s="129" t="s">
        <v>749</v>
      </c>
    </row>
    <row r="296" spans="2:65" s="1" customFormat="1" ht="16.5" customHeight="1" x14ac:dyDescent="0.2">
      <c r="B296" s="118"/>
      <c r="C296" s="119" t="s">
        <v>750</v>
      </c>
      <c r="D296" s="119" t="s">
        <v>231</v>
      </c>
      <c r="E296" s="120" t="s">
        <v>3068</v>
      </c>
      <c r="F296" s="121" t="s">
        <v>3069</v>
      </c>
      <c r="G296" s="122" t="s">
        <v>570</v>
      </c>
      <c r="H296" s="123">
        <v>1</v>
      </c>
      <c r="I296" s="124">
        <v>69.650000000000006</v>
      </c>
      <c r="J296" s="124">
        <f>ROUND(I296*H296,2)</f>
        <v>69.650000000000006</v>
      </c>
      <c r="K296" s="121" t="s">
        <v>1</v>
      </c>
      <c r="L296" s="24"/>
      <c r="M296" s="125" t="s">
        <v>1</v>
      </c>
      <c r="N296" s="126" t="s">
        <v>32</v>
      </c>
      <c r="O296" s="127">
        <v>0</v>
      </c>
      <c r="P296" s="127">
        <f>O296*H296</f>
        <v>0</v>
      </c>
      <c r="Q296" s="127">
        <v>0</v>
      </c>
      <c r="R296" s="127">
        <f>Q296*H296</f>
        <v>0</v>
      </c>
      <c r="S296" s="127">
        <v>0</v>
      </c>
      <c r="T296" s="128">
        <f>S296*H296</f>
        <v>0</v>
      </c>
      <c r="AR296" s="129" t="s">
        <v>235</v>
      </c>
      <c r="AT296" s="129" t="s">
        <v>231</v>
      </c>
      <c r="AU296" s="129" t="s">
        <v>76</v>
      </c>
      <c r="AY296" s="13" t="s">
        <v>228</v>
      </c>
      <c r="BE296" s="130">
        <f>IF(N296="základná",J296,0)</f>
        <v>0</v>
      </c>
      <c r="BF296" s="130">
        <f>IF(N296="znížená",J296,0)</f>
        <v>69.650000000000006</v>
      </c>
      <c r="BG296" s="130">
        <f>IF(N296="zákl. prenesená",J296,0)</f>
        <v>0</v>
      </c>
      <c r="BH296" s="130">
        <f>IF(N296="zníž. prenesená",J296,0)</f>
        <v>0</v>
      </c>
      <c r="BI296" s="130">
        <f>IF(N296="nulová",J296,0)</f>
        <v>0</v>
      </c>
      <c r="BJ296" s="13" t="s">
        <v>76</v>
      </c>
      <c r="BK296" s="130">
        <f>ROUND(I296*H296,2)</f>
        <v>69.650000000000006</v>
      </c>
      <c r="BL296" s="13" t="s">
        <v>235</v>
      </c>
      <c r="BM296" s="129" t="s">
        <v>753</v>
      </c>
    </row>
    <row r="297" spans="2:65" s="11" customFormat="1" ht="22.95" customHeight="1" x14ac:dyDescent="0.25">
      <c r="B297" s="106"/>
      <c r="D297" s="107" t="s">
        <v>57</v>
      </c>
      <c r="E297" s="116" t="s">
        <v>1252</v>
      </c>
      <c r="F297" s="116" t="s">
        <v>3070</v>
      </c>
      <c r="J297" s="117">
        <f>BK297</f>
        <v>143.86000000000001</v>
      </c>
      <c r="L297" s="106"/>
      <c r="M297" s="110"/>
      <c r="N297" s="111"/>
      <c r="O297" s="111"/>
      <c r="P297" s="112">
        <f>SUM(P298:P301)</f>
        <v>0</v>
      </c>
      <c r="Q297" s="111"/>
      <c r="R297" s="112">
        <f>SUM(R298:R301)</f>
        <v>0</v>
      </c>
      <c r="S297" s="111"/>
      <c r="T297" s="113">
        <f>SUM(T298:T301)</f>
        <v>0</v>
      </c>
      <c r="AR297" s="107" t="s">
        <v>63</v>
      </c>
      <c r="AT297" s="114" t="s">
        <v>57</v>
      </c>
      <c r="AU297" s="114" t="s">
        <v>63</v>
      </c>
      <c r="AY297" s="107" t="s">
        <v>228</v>
      </c>
      <c r="BK297" s="115">
        <f>SUM(BK298:BK301)</f>
        <v>143.86000000000001</v>
      </c>
    </row>
    <row r="298" spans="2:65" s="1" customFormat="1" ht="24" customHeight="1" x14ac:dyDescent="0.2">
      <c r="B298" s="118"/>
      <c r="C298" s="119" t="s">
        <v>490</v>
      </c>
      <c r="D298" s="119" t="s">
        <v>231</v>
      </c>
      <c r="E298" s="120" t="s">
        <v>3071</v>
      </c>
      <c r="F298" s="121" t="s">
        <v>3072</v>
      </c>
      <c r="G298" s="122" t="s">
        <v>284</v>
      </c>
      <c r="H298" s="123">
        <v>16</v>
      </c>
      <c r="I298" s="124">
        <v>3.48</v>
      </c>
      <c r="J298" s="124">
        <f>ROUND(I298*H298,2)</f>
        <v>55.68</v>
      </c>
      <c r="K298" s="121" t="s">
        <v>1</v>
      </c>
      <c r="L298" s="24"/>
      <c r="M298" s="125" t="s">
        <v>1</v>
      </c>
      <c r="N298" s="126" t="s">
        <v>32</v>
      </c>
      <c r="O298" s="127">
        <v>0</v>
      </c>
      <c r="P298" s="127">
        <f>O298*H298</f>
        <v>0</v>
      </c>
      <c r="Q298" s="127">
        <v>0</v>
      </c>
      <c r="R298" s="127">
        <f>Q298*H298</f>
        <v>0</v>
      </c>
      <c r="S298" s="127">
        <v>0</v>
      </c>
      <c r="T298" s="128">
        <f>S298*H298</f>
        <v>0</v>
      </c>
      <c r="AR298" s="129" t="s">
        <v>235</v>
      </c>
      <c r="AT298" s="129" t="s">
        <v>231</v>
      </c>
      <c r="AU298" s="129" t="s">
        <v>76</v>
      </c>
      <c r="AY298" s="13" t="s">
        <v>228</v>
      </c>
      <c r="BE298" s="130">
        <f>IF(N298="základná",J298,0)</f>
        <v>0</v>
      </c>
      <c r="BF298" s="130">
        <f>IF(N298="znížená",J298,0)</f>
        <v>55.68</v>
      </c>
      <c r="BG298" s="130">
        <f>IF(N298="zákl. prenesená",J298,0)</f>
        <v>0</v>
      </c>
      <c r="BH298" s="130">
        <f>IF(N298="zníž. prenesená",J298,0)</f>
        <v>0</v>
      </c>
      <c r="BI298" s="130">
        <f>IF(N298="nulová",J298,0)</f>
        <v>0</v>
      </c>
      <c r="BJ298" s="13" t="s">
        <v>76</v>
      </c>
      <c r="BK298" s="130">
        <f>ROUND(I298*H298,2)</f>
        <v>55.68</v>
      </c>
      <c r="BL298" s="13" t="s">
        <v>235</v>
      </c>
      <c r="BM298" s="129" t="s">
        <v>756</v>
      </c>
    </row>
    <row r="299" spans="2:65" s="1" customFormat="1" ht="24" customHeight="1" x14ac:dyDescent="0.2">
      <c r="B299" s="118"/>
      <c r="C299" s="119" t="s">
        <v>757</v>
      </c>
      <c r="D299" s="119" t="s">
        <v>231</v>
      </c>
      <c r="E299" s="120" t="s">
        <v>3073</v>
      </c>
      <c r="F299" s="121" t="s">
        <v>3074</v>
      </c>
      <c r="G299" s="122" t="s">
        <v>284</v>
      </c>
      <c r="H299" s="123">
        <v>16</v>
      </c>
      <c r="I299" s="124">
        <v>2.3199999999999998</v>
      </c>
      <c r="J299" s="124">
        <f>ROUND(I299*H299,2)</f>
        <v>37.119999999999997</v>
      </c>
      <c r="K299" s="121" t="s">
        <v>1</v>
      </c>
      <c r="L299" s="24"/>
      <c r="M299" s="125" t="s">
        <v>1</v>
      </c>
      <c r="N299" s="126" t="s">
        <v>32</v>
      </c>
      <c r="O299" s="127">
        <v>0</v>
      </c>
      <c r="P299" s="127">
        <f>O299*H299</f>
        <v>0</v>
      </c>
      <c r="Q299" s="127">
        <v>0</v>
      </c>
      <c r="R299" s="127">
        <f>Q299*H299</f>
        <v>0</v>
      </c>
      <c r="S299" s="127">
        <v>0</v>
      </c>
      <c r="T299" s="128">
        <f>S299*H299</f>
        <v>0</v>
      </c>
      <c r="AR299" s="129" t="s">
        <v>235</v>
      </c>
      <c r="AT299" s="129" t="s">
        <v>231</v>
      </c>
      <c r="AU299" s="129" t="s">
        <v>76</v>
      </c>
      <c r="AY299" s="13" t="s">
        <v>228</v>
      </c>
      <c r="BE299" s="130">
        <f>IF(N299="základná",J299,0)</f>
        <v>0</v>
      </c>
      <c r="BF299" s="130">
        <f>IF(N299="znížená",J299,0)</f>
        <v>37.119999999999997</v>
      </c>
      <c r="BG299" s="130">
        <f>IF(N299="zákl. prenesená",J299,0)</f>
        <v>0</v>
      </c>
      <c r="BH299" s="130">
        <f>IF(N299="zníž. prenesená",J299,0)</f>
        <v>0</v>
      </c>
      <c r="BI299" s="130">
        <f>IF(N299="nulová",J299,0)</f>
        <v>0</v>
      </c>
      <c r="BJ299" s="13" t="s">
        <v>76</v>
      </c>
      <c r="BK299" s="130">
        <f>ROUND(I299*H299,2)</f>
        <v>37.119999999999997</v>
      </c>
      <c r="BL299" s="13" t="s">
        <v>235</v>
      </c>
      <c r="BM299" s="129" t="s">
        <v>760</v>
      </c>
    </row>
    <row r="300" spans="2:65" s="1" customFormat="1" ht="24" customHeight="1" x14ac:dyDescent="0.2">
      <c r="B300" s="118"/>
      <c r="C300" s="119" t="s">
        <v>493</v>
      </c>
      <c r="D300" s="119" t="s">
        <v>231</v>
      </c>
      <c r="E300" s="120" t="s">
        <v>3075</v>
      </c>
      <c r="F300" s="121" t="s">
        <v>3076</v>
      </c>
      <c r="G300" s="122" t="s">
        <v>284</v>
      </c>
      <c r="H300" s="123">
        <v>16</v>
      </c>
      <c r="I300" s="124">
        <v>1.74</v>
      </c>
      <c r="J300" s="124">
        <f>ROUND(I300*H300,2)</f>
        <v>27.84</v>
      </c>
      <c r="K300" s="121" t="s">
        <v>1</v>
      </c>
      <c r="L300" s="24"/>
      <c r="M300" s="125" t="s">
        <v>1</v>
      </c>
      <c r="N300" s="126" t="s">
        <v>32</v>
      </c>
      <c r="O300" s="127">
        <v>0</v>
      </c>
      <c r="P300" s="127">
        <f>O300*H300</f>
        <v>0</v>
      </c>
      <c r="Q300" s="127">
        <v>0</v>
      </c>
      <c r="R300" s="127">
        <f>Q300*H300</f>
        <v>0</v>
      </c>
      <c r="S300" s="127">
        <v>0</v>
      </c>
      <c r="T300" s="128">
        <f>S300*H300</f>
        <v>0</v>
      </c>
      <c r="AR300" s="129" t="s">
        <v>235</v>
      </c>
      <c r="AT300" s="129" t="s">
        <v>231</v>
      </c>
      <c r="AU300" s="129" t="s">
        <v>76</v>
      </c>
      <c r="AY300" s="13" t="s">
        <v>228</v>
      </c>
      <c r="BE300" s="130">
        <f>IF(N300="základná",J300,0)</f>
        <v>0</v>
      </c>
      <c r="BF300" s="130">
        <f>IF(N300="znížená",J300,0)</f>
        <v>27.84</v>
      </c>
      <c r="BG300" s="130">
        <f>IF(N300="zákl. prenesená",J300,0)</f>
        <v>0</v>
      </c>
      <c r="BH300" s="130">
        <f>IF(N300="zníž. prenesená",J300,0)</f>
        <v>0</v>
      </c>
      <c r="BI300" s="130">
        <f>IF(N300="nulová",J300,0)</f>
        <v>0</v>
      </c>
      <c r="BJ300" s="13" t="s">
        <v>76</v>
      </c>
      <c r="BK300" s="130">
        <f>ROUND(I300*H300,2)</f>
        <v>27.84</v>
      </c>
      <c r="BL300" s="13" t="s">
        <v>235</v>
      </c>
      <c r="BM300" s="129" t="s">
        <v>763</v>
      </c>
    </row>
    <row r="301" spans="2:65" s="1" customFormat="1" ht="16.5" customHeight="1" x14ac:dyDescent="0.2">
      <c r="B301" s="118"/>
      <c r="C301" s="119" t="s">
        <v>764</v>
      </c>
      <c r="D301" s="119" t="s">
        <v>231</v>
      </c>
      <c r="E301" s="120" t="s">
        <v>3077</v>
      </c>
      <c r="F301" s="121" t="s">
        <v>3078</v>
      </c>
      <c r="G301" s="122" t="s">
        <v>271</v>
      </c>
      <c r="H301" s="123">
        <v>0.1</v>
      </c>
      <c r="I301" s="124">
        <v>232.2</v>
      </c>
      <c r="J301" s="124">
        <f>ROUND(I301*H301,2)</f>
        <v>23.22</v>
      </c>
      <c r="K301" s="121" t="s">
        <v>1</v>
      </c>
      <c r="L301" s="24"/>
      <c r="M301" s="125" t="s">
        <v>1</v>
      </c>
      <c r="N301" s="126" t="s">
        <v>32</v>
      </c>
      <c r="O301" s="127">
        <v>0</v>
      </c>
      <c r="P301" s="127">
        <f>O301*H301</f>
        <v>0</v>
      </c>
      <c r="Q301" s="127">
        <v>0</v>
      </c>
      <c r="R301" s="127">
        <f>Q301*H301</f>
        <v>0</v>
      </c>
      <c r="S301" s="127">
        <v>0</v>
      </c>
      <c r="T301" s="128">
        <f>S301*H301</f>
        <v>0</v>
      </c>
      <c r="AR301" s="129" t="s">
        <v>235</v>
      </c>
      <c r="AT301" s="129" t="s">
        <v>231</v>
      </c>
      <c r="AU301" s="129" t="s">
        <v>76</v>
      </c>
      <c r="AY301" s="13" t="s">
        <v>228</v>
      </c>
      <c r="BE301" s="130">
        <f>IF(N301="základná",J301,0)</f>
        <v>0</v>
      </c>
      <c r="BF301" s="130">
        <f>IF(N301="znížená",J301,0)</f>
        <v>23.22</v>
      </c>
      <c r="BG301" s="130">
        <f>IF(N301="zákl. prenesená",J301,0)</f>
        <v>0</v>
      </c>
      <c r="BH301" s="130">
        <f>IF(N301="zníž. prenesená",J301,0)</f>
        <v>0</v>
      </c>
      <c r="BI301" s="130">
        <f>IF(N301="nulová",J301,0)</f>
        <v>0</v>
      </c>
      <c r="BJ301" s="13" t="s">
        <v>76</v>
      </c>
      <c r="BK301" s="130">
        <f>ROUND(I301*H301,2)</f>
        <v>23.22</v>
      </c>
      <c r="BL301" s="13" t="s">
        <v>235</v>
      </c>
      <c r="BM301" s="129" t="s">
        <v>767</v>
      </c>
    </row>
    <row r="302" spans="2:65" s="11" customFormat="1" ht="22.95" customHeight="1" x14ac:dyDescent="0.25">
      <c r="B302" s="106"/>
      <c r="D302" s="107" t="s">
        <v>57</v>
      </c>
      <c r="E302" s="116" t="s">
        <v>2036</v>
      </c>
      <c r="F302" s="116" t="s">
        <v>5193</v>
      </c>
      <c r="J302" s="117">
        <f>BK302</f>
        <v>0</v>
      </c>
      <c r="L302" s="106"/>
      <c r="M302" s="110"/>
      <c r="N302" s="111"/>
      <c r="O302" s="111"/>
      <c r="P302" s="112">
        <v>0</v>
      </c>
      <c r="Q302" s="111"/>
      <c r="R302" s="112">
        <v>0</v>
      </c>
      <c r="S302" s="111"/>
      <c r="T302" s="113">
        <v>0</v>
      </c>
      <c r="AR302" s="107" t="s">
        <v>63</v>
      </c>
      <c r="AT302" s="114" t="s">
        <v>57</v>
      </c>
      <c r="AU302" s="114" t="s">
        <v>63</v>
      </c>
      <c r="AY302" s="107" t="s">
        <v>228</v>
      </c>
      <c r="BK302" s="115">
        <v>0</v>
      </c>
    </row>
    <row r="303" spans="2:65" s="11" customFormat="1" ht="22.95" customHeight="1" x14ac:dyDescent="0.25">
      <c r="B303" s="106"/>
      <c r="D303" s="107" t="s">
        <v>57</v>
      </c>
      <c r="E303" s="116" t="s">
        <v>1943</v>
      </c>
      <c r="F303" s="116" t="s">
        <v>2942</v>
      </c>
      <c r="J303" s="117">
        <f>BK303</f>
        <v>4184.3599999999997</v>
      </c>
      <c r="L303" s="106"/>
      <c r="M303" s="110"/>
      <c r="N303" s="111"/>
      <c r="O303" s="111"/>
      <c r="P303" s="112">
        <f>SUM(P304:P305)</f>
        <v>0</v>
      </c>
      <c r="Q303" s="111"/>
      <c r="R303" s="112">
        <f>SUM(R304:R305)</f>
        <v>0</v>
      </c>
      <c r="S303" s="111"/>
      <c r="T303" s="113">
        <f>SUM(T304:T305)</f>
        <v>0</v>
      </c>
      <c r="AR303" s="107" t="s">
        <v>63</v>
      </c>
      <c r="AT303" s="114" t="s">
        <v>57</v>
      </c>
      <c r="AU303" s="114" t="s">
        <v>63</v>
      </c>
      <c r="AY303" s="107" t="s">
        <v>228</v>
      </c>
      <c r="BK303" s="115">
        <f>SUM(BK304:BK305)</f>
        <v>4184.3599999999997</v>
      </c>
    </row>
    <row r="304" spans="2:65" s="1" customFormat="1" ht="24" customHeight="1" x14ac:dyDescent="0.2">
      <c r="B304" s="118"/>
      <c r="C304" s="119" t="s">
        <v>497</v>
      </c>
      <c r="D304" s="119" t="s">
        <v>231</v>
      </c>
      <c r="E304" s="120" t="s">
        <v>5194</v>
      </c>
      <c r="F304" s="121" t="s">
        <v>5195</v>
      </c>
      <c r="G304" s="122" t="s">
        <v>243</v>
      </c>
      <c r="H304" s="123">
        <v>1</v>
      </c>
      <c r="I304" s="124">
        <v>38.479999999999997</v>
      </c>
      <c r="J304" s="124">
        <f>ROUND(I304*H304,2)</f>
        <v>38.479999999999997</v>
      </c>
      <c r="K304" s="121" t="s">
        <v>1</v>
      </c>
      <c r="L304" s="24"/>
      <c r="M304" s="125" t="s">
        <v>1</v>
      </c>
      <c r="N304" s="126" t="s">
        <v>32</v>
      </c>
      <c r="O304" s="127">
        <v>0</v>
      </c>
      <c r="P304" s="127">
        <f>O304*H304</f>
        <v>0</v>
      </c>
      <c r="Q304" s="127">
        <v>0</v>
      </c>
      <c r="R304" s="127">
        <f>Q304*H304</f>
        <v>0</v>
      </c>
      <c r="S304" s="127">
        <v>0</v>
      </c>
      <c r="T304" s="128">
        <f>S304*H304</f>
        <v>0</v>
      </c>
      <c r="AR304" s="129" t="s">
        <v>235</v>
      </c>
      <c r="AT304" s="129" t="s">
        <v>231</v>
      </c>
      <c r="AU304" s="129" t="s">
        <v>76</v>
      </c>
      <c r="AY304" s="13" t="s">
        <v>228</v>
      </c>
      <c r="BE304" s="130">
        <f>IF(N304="základná",J304,0)</f>
        <v>0</v>
      </c>
      <c r="BF304" s="130">
        <f>IF(N304="znížená",J304,0)</f>
        <v>38.479999999999997</v>
      </c>
      <c r="BG304" s="130">
        <f>IF(N304="zákl. prenesená",J304,0)</f>
        <v>0</v>
      </c>
      <c r="BH304" s="130">
        <f>IF(N304="zníž. prenesená",J304,0)</f>
        <v>0</v>
      </c>
      <c r="BI304" s="130">
        <f>IF(N304="nulová",J304,0)</f>
        <v>0</v>
      </c>
      <c r="BJ304" s="13" t="s">
        <v>76</v>
      </c>
      <c r="BK304" s="130">
        <f>ROUND(I304*H304,2)</f>
        <v>38.479999999999997</v>
      </c>
      <c r="BL304" s="13" t="s">
        <v>235</v>
      </c>
      <c r="BM304" s="129" t="s">
        <v>770</v>
      </c>
    </row>
    <row r="305" spans="2:65" s="1" customFormat="1" ht="48" customHeight="1" x14ac:dyDescent="0.2">
      <c r="B305" s="118"/>
      <c r="C305" s="119" t="s">
        <v>771</v>
      </c>
      <c r="D305" s="119" t="s">
        <v>231</v>
      </c>
      <c r="E305" s="120" t="s">
        <v>5196</v>
      </c>
      <c r="F305" s="121" t="s">
        <v>5197</v>
      </c>
      <c r="G305" s="122" t="s">
        <v>1194</v>
      </c>
      <c r="H305" s="123">
        <v>1</v>
      </c>
      <c r="I305" s="124">
        <v>4145.88</v>
      </c>
      <c r="J305" s="124">
        <f>ROUND(I305*H305,2)</f>
        <v>4145.88</v>
      </c>
      <c r="K305" s="121" t="s">
        <v>1</v>
      </c>
      <c r="L305" s="24"/>
      <c r="M305" s="125" t="s">
        <v>1</v>
      </c>
      <c r="N305" s="126" t="s">
        <v>32</v>
      </c>
      <c r="O305" s="127">
        <v>0</v>
      </c>
      <c r="P305" s="127">
        <f>O305*H305</f>
        <v>0</v>
      </c>
      <c r="Q305" s="127">
        <v>0</v>
      </c>
      <c r="R305" s="127">
        <f>Q305*H305</f>
        <v>0</v>
      </c>
      <c r="S305" s="127">
        <v>0</v>
      </c>
      <c r="T305" s="128">
        <f>S305*H305</f>
        <v>0</v>
      </c>
      <c r="AR305" s="129" t="s">
        <v>235</v>
      </c>
      <c r="AT305" s="129" t="s">
        <v>231</v>
      </c>
      <c r="AU305" s="129" t="s">
        <v>76</v>
      </c>
      <c r="AY305" s="13" t="s">
        <v>228</v>
      </c>
      <c r="BE305" s="130">
        <f>IF(N305="základná",J305,0)</f>
        <v>0</v>
      </c>
      <c r="BF305" s="130">
        <f>IF(N305="znížená",J305,0)</f>
        <v>4145.88</v>
      </c>
      <c r="BG305" s="130">
        <f>IF(N305="zákl. prenesená",J305,0)</f>
        <v>0</v>
      </c>
      <c r="BH305" s="130">
        <f>IF(N305="zníž. prenesená",J305,0)</f>
        <v>0</v>
      </c>
      <c r="BI305" s="130">
        <f>IF(N305="nulová",J305,0)</f>
        <v>0</v>
      </c>
      <c r="BJ305" s="13" t="s">
        <v>76</v>
      </c>
      <c r="BK305" s="130">
        <f>ROUND(I305*H305,2)</f>
        <v>4145.88</v>
      </c>
      <c r="BL305" s="13" t="s">
        <v>235</v>
      </c>
      <c r="BM305" s="129" t="s">
        <v>774</v>
      </c>
    </row>
    <row r="306" spans="2:65" s="11" customFormat="1" ht="22.95" customHeight="1" x14ac:dyDescent="0.25">
      <c r="B306" s="106"/>
      <c r="D306" s="107" t="s">
        <v>57</v>
      </c>
      <c r="E306" s="116" t="s">
        <v>1211</v>
      </c>
      <c r="F306" s="116" t="s">
        <v>2973</v>
      </c>
      <c r="J306" s="117">
        <f>BK306</f>
        <v>1227.08</v>
      </c>
      <c r="L306" s="106"/>
      <c r="M306" s="110"/>
      <c r="N306" s="111"/>
      <c r="O306" s="111"/>
      <c r="P306" s="112">
        <f>SUM(P307:P311)</f>
        <v>0</v>
      </c>
      <c r="Q306" s="111"/>
      <c r="R306" s="112">
        <f>SUM(R307:R311)</f>
        <v>0</v>
      </c>
      <c r="S306" s="111"/>
      <c r="T306" s="113">
        <f>SUM(T307:T311)</f>
        <v>0</v>
      </c>
      <c r="AR306" s="107" t="s">
        <v>63</v>
      </c>
      <c r="AT306" s="114" t="s">
        <v>57</v>
      </c>
      <c r="AU306" s="114" t="s">
        <v>63</v>
      </c>
      <c r="AY306" s="107" t="s">
        <v>228</v>
      </c>
      <c r="BK306" s="115">
        <f>SUM(BK307:BK311)</f>
        <v>1227.08</v>
      </c>
    </row>
    <row r="307" spans="2:65" s="1" customFormat="1" ht="16.5" customHeight="1" x14ac:dyDescent="0.2">
      <c r="B307" s="118"/>
      <c r="C307" s="119" t="s">
        <v>500</v>
      </c>
      <c r="D307" s="119" t="s">
        <v>231</v>
      </c>
      <c r="E307" s="120" t="s">
        <v>5118</v>
      </c>
      <c r="F307" s="121" t="s">
        <v>5119</v>
      </c>
      <c r="G307" s="122" t="s">
        <v>243</v>
      </c>
      <c r="H307" s="123">
        <v>1</v>
      </c>
      <c r="I307" s="124">
        <v>8.36</v>
      </c>
      <c r="J307" s="124">
        <f>ROUND(I307*H307,2)</f>
        <v>8.36</v>
      </c>
      <c r="K307" s="121" t="s">
        <v>1</v>
      </c>
      <c r="L307" s="24"/>
      <c r="M307" s="125" t="s">
        <v>1</v>
      </c>
      <c r="N307" s="126" t="s">
        <v>32</v>
      </c>
      <c r="O307" s="127">
        <v>0</v>
      </c>
      <c r="P307" s="127">
        <f>O307*H307</f>
        <v>0</v>
      </c>
      <c r="Q307" s="127">
        <v>0</v>
      </c>
      <c r="R307" s="127">
        <f>Q307*H307</f>
        <v>0</v>
      </c>
      <c r="S307" s="127">
        <v>0</v>
      </c>
      <c r="T307" s="128">
        <f>S307*H307</f>
        <v>0</v>
      </c>
      <c r="AR307" s="129" t="s">
        <v>235</v>
      </c>
      <c r="AT307" s="129" t="s">
        <v>231</v>
      </c>
      <c r="AU307" s="129" t="s">
        <v>76</v>
      </c>
      <c r="AY307" s="13" t="s">
        <v>228</v>
      </c>
      <c r="BE307" s="130">
        <f>IF(N307="základná",J307,0)</f>
        <v>0</v>
      </c>
      <c r="BF307" s="130">
        <f>IF(N307="znížená",J307,0)</f>
        <v>8.36</v>
      </c>
      <c r="BG307" s="130">
        <f>IF(N307="zákl. prenesená",J307,0)</f>
        <v>0</v>
      </c>
      <c r="BH307" s="130">
        <f>IF(N307="zníž. prenesená",J307,0)</f>
        <v>0</v>
      </c>
      <c r="BI307" s="130">
        <f>IF(N307="nulová",J307,0)</f>
        <v>0</v>
      </c>
      <c r="BJ307" s="13" t="s">
        <v>76</v>
      </c>
      <c r="BK307" s="130">
        <f>ROUND(I307*H307,2)</f>
        <v>8.36</v>
      </c>
      <c r="BL307" s="13" t="s">
        <v>235</v>
      </c>
      <c r="BM307" s="129" t="s">
        <v>777</v>
      </c>
    </row>
    <row r="308" spans="2:65" s="1" customFormat="1" ht="16.5" customHeight="1" x14ac:dyDescent="0.2">
      <c r="B308" s="118"/>
      <c r="C308" s="119" t="s">
        <v>778</v>
      </c>
      <c r="D308" s="119" t="s">
        <v>231</v>
      </c>
      <c r="E308" s="120" t="s">
        <v>5134</v>
      </c>
      <c r="F308" s="121" t="s">
        <v>5135</v>
      </c>
      <c r="G308" s="122" t="s">
        <v>1194</v>
      </c>
      <c r="H308" s="123">
        <v>1</v>
      </c>
      <c r="I308" s="124">
        <v>11.15</v>
      </c>
      <c r="J308" s="124">
        <f>ROUND(I308*H308,2)</f>
        <v>11.15</v>
      </c>
      <c r="K308" s="121" t="s">
        <v>1</v>
      </c>
      <c r="L308" s="24"/>
      <c r="M308" s="125" t="s">
        <v>1</v>
      </c>
      <c r="N308" s="126" t="s">
        <v>32</v>
      </c>
      <c r="O308" s="127">
        <v>0</v>
      </c>
      <c r="P308" s="127">
        <f>O308*H308</f>
        <v>0</v>
      </c>
      <c r="Q308" s="127">
        <v>0</v>
      </c>
      <c r="R308" s="127">
        <f>Q308*H308</f>
        <v>0</v>
      </c>
      <c r="S308" s="127">
        <v>0</v>
      </c>
      <c r="T308" s="128">
        <f>S308*H308</f>
        <v>0</v>
      </c>
      <c r="AR308" s="129" t="s">
        <v>235</v>
      </c>
      <c r="AT308" s="129" t="s">
        <v>231</v>
      </c>
      <c r="AU308" s="129" t="s">
        <v>76</v>
      </c>
      <c r="AY308" s="13" t="s">
        <v>228</v>
      </c>
      <c r="BE308" s="130">
        <f>IF(N308="základná",J308,0)</f>
        <v>0</v>
      </c>
      <c r="BF308" s="130">
        <f>IF(N308="znížená",J308,0)</f>
        <v>11.15</v>
      </c>
      <c r="BG308" s="130">
        <f>IF(N308="zákl. prenesená",J308,0)</f>
        <v>0</v>
      </c>
      <c r="BH308" s="130">
        <f>IF(N308="zníž. prenesená",J308,0)</f>
        <v>0</v>
      </c>
      <c r="BI308" s="130">
        <f>IF(N308="nulová",J308,0)</f>
        <v>0</v>
      </c>
      <c r="BJ308" s="13" t="s">
        <v>76</v>
      </c>
      <c r="BK308" s="130">
        <f>ROUND(I308*H308,2)</f>
        <v>11.15</v>
      </c>
      <c r="BL308" s="13" t="s">
        <v>235</v>
      </c>
      <c r="BM308" s="129" t="s">
        <v>781</v>
      </c>
    </row>
    <row r="309" spans="2:65" s="1" customFormat="1" ht="36" customHeight="1" x14ac:dyDescent="0.2">
      <c r="B309" s="118"/>
      <c r="C309" s="119" t="s">
        <v>504</v>
      </c>
      <c r="D309" s="119" t="s">
        <v>231</v>
      </c>
      <c r="E309" s="120" t="s">
        <v>2992</v>
      </c>
      <c r="F309" s="121" t="s">
        <v>2993</v>
      </c>
      <c r="G309" s="122" t="s">
        <v>1112</v>
      </c>
      <c r="H309" s="123">
        <v>16</v>
      </c>
      <c r="I309" s="124">
        <v>30.19</v>
      </c>
      <c r="J309" s="124">
        <f>ROUND(I309*H309,2)</f>
        <v>483.04</v>
      </c>
      <c r="K309" s="121" t="s">
        <v>1</v>
      </c>
      <c r="L309" s="24"/>
      <c r="M309" s="125" t="s">
        <v>1</v>
      </c>
      <c r="N309" s="126" t="s">
        <v>32</v>
      </c>
      <c r="O309" s="127">
        <v>0</v>
      </c>
      <c r="P309" s="127">
        <f>O309*H309</f>
        <v>0</v>
      </c>
      <c r="Q309" s="127">
        <v>0</v>
      </c>
      <c r="R309" s="127">
        <f>Q309*H309</f>
        <v>0</v>
      </c>
      <c r="S309" s="127">
        <v>0</v>
      </c>
      <c r="T309" s="128">
        <f>S309*H309</f>
        <v>0</v>
      </c>
      <c r="AR309" s="129" t="s">
        <v>235</v>
      </c>
      <c r="AT309" s="129" t="s">
        <v>231</v>
      </c>
      <c r="AU309" s="129" t="s">
        <v>76</v>
      </c>
      <c r="AY309" s="13" t="s">
        <v>228</v>
      </c>
      <c r="BE309" s="130">
        <f>IF(N309="základná",J309,0)</f>
        <v>0</v>
      </c>
      <c r="BF309" s="130">
        <f>IF(N309="znížená",J309,0)</f>
        <v>483.04</v>
      </c>
      <c r="BG309" s="130">
        <f>IF(N309="zákl. prenesená",J309,0)</f>
        <v>0</v>
      </c>
      <c r="BH309" s="130">
        <f>IF(N309="zníž. prenesená",J309,0)</f>
        <v>0</v>
      </c>
      <c r="BI309" s="130">
        <f>IF(N309="nulová",J309,0)</f>
        <v>0</v>
      </c>
      <c r="BJ309" s="13" t="s">
        <v>76</v>
      </c>
      <c r="BK309" s="130">
        <f>ROUND(I309*H309,2)</f>
        <v>483.04</v>
      </c>
      <c r="BL309" s="13" t="s">
        <v>235</v>
      </c>
      <c r="BM309" s="129" t="s">
        <v>784</v>
      </c>
    </row>
    <row r="310" spans="2:65" s="1" customFormat="1" ht="16.5" customHeight="1" x14ac:dyDescent="0.2">
      <c r="B310" s="118"/>
      <c r="C310" s="119" t="s">
        <v>787</v>
      </c>
      <c r="D310" s="119" t="s">
        <v>231</v>
      </c>
      <c r="E310" s="120" t="s">
        <v>5143</v>
      </c>
      <c r="F310" s="121" t="s">
        <v>2837</v>
      </c>
      <c r="G310" s="122" t="s">
        <v>243</v>
      </c>
      <c r="H310" s="123">
        <v>1</v>
      </c>
      <c r="I310" s="124">
        <v>241.49</v>
      </c>
      <c r="J310" s="124">
        <f>ROUND(I310*H310,2)</f>
        <v>241.49</v>
      </c>
      <c r="K310" s="121" t="s">
        <v>1</v>
      </c>
      <c r="L310" s="24"/>
      <c r="M310" s="125" t="s">
        <v>1</v>
      </c>
      <c r="N310" s="126" t="s">
        <v>32</v>
      </c>
      <c r="O310" s="127">
        <v>0</v>
      </c>
      <c r="P310" s="127">
        <f>O310*H310</f>
        <v>0</v>
      </c>
      <c r="Q310" s="127">
        <v>0</v>
      </c>
      <c r="R310" s="127">
        <f>Q310*H310</f>
        <v>0</v>
      </c>
      <c r="S310" s="127">
        <v>0</v>
      </c>
      <c r="T310" s="128">
        <f>S310*H310</f>
        <v>0</v>
      </c>
      <c r="AR310" s="129" t="s">
        <v>235</v>
      </c>
      <c r="AT310" s="129" t="s">
        <v>231</v>
      </c>
      <c r="AU310" s="129" t="s">
        <v>76</v>
      </c>
      <c r="AY310" s="13" t="s">
        <v>228</v>
      </c>
      <c r="BE310" s="130">
        <f>IF(N310="základná",J310,0)</f>
        <v>0</v>
      </c>
      <c r="BF310" s="130">
        <f>IF(N310="znížená",J310,0)</f>
        <v>241.49</v>
      </c>
      <c r="BG310" s="130">
        <f>IF(N310="zákl. prenesená",J310,0)</f>
        <v>0</v>
      </c>
      <c r="BH310" s="130">
        <f>IF(N310="zníž. prenesená",J310,0)</f>
        <v>0</v>
      </c>
      <c r="BI310" s="130">
        <f>IF(N310="nulová",J310,0)</f>
        <v>0</v>
      </c>
      <c r="BJ310" s="13" t="s">
        <v>76</v>
      </c>
      <c r="BK310" s="130">
        <f>ROUND(I310*H310,2)</f>
        <v>241.49</v>
      </c>
      <c r="BL310" s="13" t="s">
        <v>235</v>
      </c>
      <c r="BM310" s="129" t="s">
        <v>790</v>
      </c>
    </row>
    <row r="311" spans="2:65" s="1" customFormat="1" ht="16.5" customHeight="1" x14ac:dyDescent="0.2">
      <c r="B311" s="118"/>
      <c r="C311" s="119" t="s">
        <v>507</v>
      </c>
      <c r="D311" s="119" t="s">
        <v>231</v>
      </c>
      <c r="E311" s="120" t="s">
        <v>5144</v>
      </c>
      <c r="F311" s="121" t="s">
        <v>5145</v>
      </c>
      <c r="G311" s="122" t="s">
        <v>1112</v>
      </c>
      <c r="H311" s="123">
        <v>16</v>
      </c>
      <c r="I311" s="124">
        <v>30.19</v>
      </c>
      <c r="J311" s="124">
        <f>ROUND(I311*H311,2)</f>
        <v>483.04</v>
      </c>
      <c r="K311" s="121" t="s">
        <v>1</v>
      </c>
      <c r="L311" s="24"/>
      <c r="M311" s="125" t="s">
        <v>1</v>
      </c>
      <c r="N311" s="126" t="s">
        <v>32</v>
      </c>
      <c r="O311" s="127">
        <v>0</v>
      </c>
      <c r="P311" s="127">
        <f>O311*H311</f>
        <v>0</v>
      </c>
      <c r="Q311" s="127">
        <v>0</v>
      </c>
      <c r="R311" s="127">
        <f>Q311*H311</f>
        <v>0</v>
      </c>
      <c r="S311" s="127">
        <v>0</v>
      </c>
      <c r="T311" s="128">
        <f>S311*H311</f>
        <v>0</v>
      </c>
      <c r="AR311" s="129" t="s">
        <v>235</v>
      </c>
      <c r="AT311" s="129" t="s">
        <v>231</v>
      </c>
      <c r="AU311" s="129" t="s">
        <v>76</v>
      </c>
      <c r="AY311" s="13" t="s">
        <v>228</v>
      </c>
      <c r="BE311" s="130">
        <f>IF(N311="základná",J311,0)</f>
        <v>0</v>
      </c>
      <c r="BF311" s="130">
        <f>IF(N311="znížená",J311,0)</f>
        <v>483.04</v>
      </c>
      <c r="BG311" s="130">
        <f>IF(N311="zákl. prenesená",J311,0)</f>
        <v>0</v>
      </c>
      <c r="BH311" s="130">
        <f>IF(N311="zníž. prenesená",J311,0)</f>
        <v>0</v>
      </c>
      <c r="BI311" s="130">
        <f>IF(N311="nulová",J311,0)</f>
        <v>0</v>
      </c>
      <c r="BJ311" s="13" t="s">
        <v>76</v>
      </c>
      <c r="BK311" s="130">
        <f>ROUND(I311*H311,2)</f>
        <v>483.04</v>
      </c>
      <c r="BL311" s="13" t="s">
        <v>235</v>
      </c>
      <c r="BM311" s="129" t="s">
        <v>793</v>
      </c>
    </row>
    <row r="312" spans="2:65" s="11" customFormat="1" ht="22.95" customHeight="1" x14ac:dyDescent="0.25">
      <c r="B312" s="106"/>
      <c r="D312" s="107" t="s">
        <v>57</v>
      </c>
      <c r="E312" s="116" t="s">
        <v>1215</v>
      </c>
      <c r="F312" s="116" t="s">
        <v>2994</v>
      </c>
      <c r="J312" s="117">
        <f>BK312</f>
        <v>3973.39</v>
      </c>
      <c r="L312" s="106"/>
      <c r="M312" s="110"/>
      <c r="N312" s="111"/>
      <c r="O312" s="111"/>
      <c r="P312" s="112">
        <f>SUM(P313:P322)</f>
        <v>0</v>
      </c>
      <c r="Q312" s="111"/>
      <c r="R312" s="112">
        <f>SUM(R313:R322)</f>
        <v>0</v>
      </c>
      <c r="S312" s="111"/>
      <c r="T312" s="113">
        <f>SUM(T313:T322)</f>
        <v>0</v>
      </c>
      <c r="AR312" s="107" t="s">
        <v>63</v>
      </c>
      <c r="AT312" s="114" t="s">
        <v>57</v>
      </c>
      <c r="AU312" s="114" t="s">
        <v>63</v>
      </c>
      <c r="AY312" s="107" t="s">
        <v>228</v>
      </c>
      <c r="BK312" s="115">
        <f>SUM(BK313:BK322)</f>
        <v>3973.39</v>
      </c>
    </row>
    <row r="313" spans="2:65" s="1" customFormat="1" ht="16.5" customHeight="1" x14ac:dyDescent="0.2">
      <c r="B313" s="118"/>
      <c r="C313" s="119" t="s">
        <v>794</v>
      </c>
      <c r="D313" s="119" t="s">
        <v>231</v>
      </c>
      <c r="E313" s="120" t="s">
        <v>5149</v>
      </c>
      <c r="F313" s="121" t="s">
        <v>5150</v>
      </c>
      <c r="G313" s="122" t="s">
        <v>292</v>
      </c>
      <c r="H313" s="123">
        <v>630</v>
      </c>
      <c r="I313" s="124">
        <v>2.21</v>
      </c>
      <c r="J313" s="124">
        <f t="shared" ref="J313:J322" si="80">ROUND(I313*H313,2)</f>
        <v>1392.3</v>
      </c>
      <c r="K313" s="121" t="s">
        <v>1</v>
      </c>
      <c r="L313" s="24"/>
      <c r="M313" s="125" t="s">
        <v>1</v>
      </c>
      <c r="N313" s="126" t="s">
        <v>32</v>
      </c>
      <c r="O313" s="127">
        <v>0</v>
      </c>
      <c r="P313" s="127">
        <f t="shared" ref="P313:P322" si="81">O313*H313</f>
        <v>0</v>
      </c>
      <c r="Q313" s="127">
        <v>0</v>
      </c>
      <c r="R313" s="127">
        <f t="shared" ref="R313:R322" si="82">Q313*H313</f>
        <v>0</v>
      </c>
      <c r="S313" s="127">
        <v>0</v>
      </c>
      <c r="T313" s="128">
        <f t="shared" ref="T313:T322" si="83">S313*H313</f>
        <v>0</v>
      </c>
      <c r="AR313" s="129" t="s">
        <v>235</v>
      </c>
      <c r="AT313" s="129" t="s">
        <v>231</v>
      </c>
      <c r="AU313" s="129" t="s">
        <v>76</v>
      </c>
      <c r="AY313" s="13" t="s">
        <v>228</v>
      </c>
      <c r="BE313" s="130">
        <f t="shared" ref="BE313:BE322" si="84">IF(N313="základná",J313,0)</f>
        <v>0</v>
      </c>
      <c r="BF313" s="130">
        <f t="shared" ref="BF313:BF322" si="85">IF(N313="znížená",J313,0)</f>
        <v>1392.3</v>
      </c>
      <c r="BG313" s="130">
        <f t="shared" ref="BG313:BG322" si="86">IF(N313="zákl. prenesená",J313,0)</f>
        <v>0</v>
      </c>
      <c r="BH313" s="130">
        <f t="shared" ref="BH313:BH322" si="87">IF(N313="zníž. prenesená",J313,0)</f>
        <v>0</v>
      </c>
      <c r="BI313" s="130">
        <f t="shared" ref="BI313:BI322" si="88">IF(N313="nulová",J313,0)</f>
        <v>0</v>
      </c>
      <c r="BJ313" s="13" t="s">
        <v>76</v>
      </c>
      <c r="BK313" s="130">
        <f t="shared" ref="BK313:BK322" si="89">ROUND(I313*H313,2)</f>
        <v>1392.3</v>
      </c>
      <c r="BL313" s="13" t="s">
        <v>235</v>
      </c>
      <c r="BM313" s="129" t="s">
        <v>797</v>
      </c>
    </row>
    <row r="314" spans="2:65" s="1" customFormat="1" ht="16.5" customHeight="1" x14ac:dyDescent="0.2">
      <c r="B314" s="118"/>
      <c r="C314" s="119" t="s">
        <v>511</v>
      </c>
      <c r="D314" s="119" t="s">
        <v>231</v>
      </c>
      <c r="E314" s="120" t="s">
        <v>5153</v>
      </c>
      <c r="F314" s="121" t="s">
        <v>5154</v>
      </c>
      <c r="G314" s="122" t="s">
        <v>292</v>
      </c>
      <c r="H314" s="123">
        <v>150</v>
      </c>
      <c r="I314" s="124">
        <v>3.09</v>
      </c>
      <c r="J314" s="124">
        <f t="shared" si="80"/>
        <v>463.5</v>
      </c>
      <c r="K314" s="121" t="s">
        <v>1</v>
      </c>
      <c r="L314" s="24"/>
      <c r="M314" s="125" t="s">
        <v>1</v>
      </c>
      <c r="N314" s="126" t="s">
        <v>32</v>
      </c>
      <c r="O314" s="127">
        <v>0</v>
      </c>
      <c r="P314" s="127">
        <f t="shared" si="81"/>
        <v>0</v>
      </c>
      <c r="Q314" s="127">
        <v>0</v>
      </c>
      <c r="R314" s="127">
        <f t="shared" si="82"/>
        <v>0</v>
      </c>
      <c r="S314" s="127">
        <v>0</v>
      </c>
      <c r="T314" s="128">
        <f t="shared" si="83"/>
        <v>0</v>
      </c>
      <c r="AR314" s="129" t="s">
        <v>235</v>
      </c>
      <c r="AT314" s="129" t="s">
        <v>231</v>
      </c>
      <c r="AU314" s="129" t="s">
        <v>76</v>
      </c>
      <c r="AY314" s="13" t="s">
        <v>228</v>
      </c>
      <c r="BE314" s="130">
        <f t="shared" si="84"/>
        <v>0</v>
      </c>
      <c r="BF314" s="130">
        <f t="shared" si="85"/>
        <v>463.5</v>
      </c>
      <c r="BG314" s="130">
        <f t="shared" si="86"/>
        <v>0</v>
      </c>
      <c r="BH314" s="130">
        <f t="shared" si="87"/>
        <v>0</v>
      </c>
      <c r="BI314" s="130">
        <f t="shared" si="88"/>
        <v>0</v>
      </c>
      <c r="BJ314" s="13" t="s">
        <v>76</v>
      </c>
      <c r="BK314" s="130">
        <f t="shared" si="89"/>
        <v>463.5</v>
      </c>
      <c r="BL314" s="13" t="s">
        <v>235</v>
      </c>
      <c r="BM314" s="129" t="s">
        <v>800</v>
      </c>
    </row>
    <row r="315" spans="2:65" s="1" customFormat="1" ht="16.5" customHeight="1" x14ac:dyDescent="0.2">
      <c r="B315" s="118"/>
      <c r="C315" s="119" t="s">
        <v>801</v>
      </c>
      <c r="D315" s="119" t="s">
        <v>231</v>
      </c>
      <c r="E315" s="120" t="s">
        <v>5155</v>
      </c>
      <c r="F315" s="121" t="s">
        <v>5156</v>
      </c>
      <c r="G315" s="122" t="s">
        <v>292</v>
      </c>
      <c r="H315" s="123">
        <v>20</v>
      </c>
      <c r="I315" s="124">
        <v>0.45</v>
      </c>
      <c r="J315" s="124">
        <f t="shared" si="80"/>
        <v>9</v>
      </c>
      <c r="K315" s="121" t="s">
        <v>1</v>
      </c>
      <c r="L315" s="24"/>
      <c r="M315" s="125" t="s">
        <v>1</v>
      </c>
      <c r="N315" s="126" t="s">
        <v>32</v>
      </c>
      <c r="O315" s="127">
        <v>0</v>
      </c>
      <c r="P315" s="127">
        <f t="shared" si="81"/>
        <v>0</v>
      </c>
      <c r="Q315" s="127">
        <v>0</v>
      </c>
      <c r="R315" s="127">
        <f t="shared" si="82"/>
        <v>0</v>
      </c>
      <c r="S315" s="127">
        <v>0</v>
      </c>
      <c r="T315" s="128">
        <f t="shared" si="83"/>
        <v>0</v>
      </c>
      <c r="AR315" s="129" t="s">
        <v>235</v>
      </c>
      <c r="AT315" s="129" t="s">
        <v>231</v>
      </c>
      <c r="AU315" s="129" t="s">
        <v>76</v>
      </c>
      <c r="AY315" s="13" t="s">
        <v>228</v>
      </c>
      <c r="BE315" s="130">
        <f t="shared" si="84"/>
        <v>0</v>
      </c>
      <c r="BF315" s="130">
        <f t="shared" si="85"/>
        <v>9</v>
      </c>
      <c r="BG315" s="130">
        <f t="shared" si="86"/>
        <v>0</v>
      </c>
      <c r="BH315" s="130">
        <f t="shared" si="87"/>
        <v>0</v>
      </c>
      <c r="BI315" s="130">
        <f t="shared" si="88"/>
        <v>0</v>
      </c>
      <c r="BJ315" s="13" t="s">
        <v>76</v>
      </c>
      <c r="BK315" s="130">
        <f t="shared" si="89"/>
        <v>9</v>
      </c>
      <c r="BL315" s="13" t="s">
        <v>235</v>
      </c>
      <c r="BM315" s="129" t="s">
        <v>804</v>
      </c>
    </row>
    <row r="316" spans="2:65" s="1" customFormat="1" ht="16.5" customHeight="1" x14ac:dyDescent="0.2">
      <c r="B316" s="118"/>
      <c r="C316" s="119" t="s">
        <v>514</v>
      </c>
      <c r="D316" s="119" t="s">
        <v>231</v>
      </c>
      <c r="E316" s="120" t="s">
        <v>3005</v>
      </c>
      <c r="F316" s="121" t="s">
        <v>3006</v>
      </c>
      <c r="G316" s="122" t="s">
        <v>292</v>
      </c>
      <c r="H316" s="123">
        <v>2</v>
      </c>
      <c r="I316" s="124">
        <v>0.09</v>
      </c>
      <c r="J316" s="124">
        <f t="shared" si="80"/>
        <v>0.18</v>
      </c>
      <c r="K316" s="121" t="s">
        <v>1</v>
      </c>
      <c r="L316" s="24"/>
      <c r="M316" s="125" t="s">
        <v>1</v>
      </c>
      <c r="N316" s="126" t="s">
        <v>32</v>
      </c>
      <c r="O316" s="127">
        <v>0</v>
      </c>
      <c r="P316" s="127">
        <f t="shared" si="81"/>
        <v>0</v>
      </c>
      <c r="Q316" s="127">
        <v>0</v>
      </c>
      <c r="R316" s="127">
        <f t="shared" si="82"/>
        <v>0</v>
      </c>
      <c r="S316" s="127">
        <v>0</v>
      </c>
      <c r="T316" s="128">
        <f t="shared" si="83"/>
        <v>0</v>
      </c>
      <c r="AR316" s="129" t="s">
        <v>235</v>
      </c>
      <c r="AT316" s="129" t="s">
        <v>231</v>
      </c>
      <c r="AU316" s="129" t="s">
        <v>76</v>
      </c>
      <c r="AY316" s="13" t="s">
        <v>228</v>
      </c>
      <c r="BE316" s="130">
        <f t="shared" si="84"/>
        <v>0</v>
      </c>
      <c r="BF316" s="130">
        <f t="shared" si="85"/>
        <v>0.18</v>
      </c>
      <c r="BG316" s="130">
        <f t="shared" si="86"/>
        <v>0</v>
      </c>
      <c r="BH316" s="130">
        <f t="shared" si="87"/>
        <v>0</v>
      </c>
      <c r="BI316" s="130">
        <f t="shared" si="88"/>
        <v>0</v>
      </c>
      <c r="BJ316" s="13" t="s">
        <v>76</v>
      </c>
      <c r="BK316" s="130">
        <f t="shared" si="89"/>
        <v>0.18</v>
      </c>
      <c r="BL316" s="13" t="s">
        <v>235</v>
      </c>
      <c r="BM316" s="129" t="s">
        <v>807</v>
      </c>
    </row>
    <row r="317" spans="2:65" s="1" customFormat="1" ht="16.5" customHeight="1" x14ac:dyDescent="0.2">
      <c r="B317" s="118"/>
      <c r="C317" s="119" t="s">
        <v>808</v>
      </c>
      <c r="D317" s="119" t="s">
        <v>231</v>
      </c>
      <c r="E317" s="120" t="s">
        <v>3009</v>
      </c>
      <c r="F317" s="121" t="s">
        <v>3010</v>
      </c>
      <c r="G317" s="122" t="s">
        <v>292</v>
      </c>
      <c r="H317" s="123">
        <v>0.25</v>
      </c>
      <c r="I317" s="124">
        <v>0.49</v>
      </c>
      <c r="J317" s="124">
        <f t="shared" si="80"/>
        <v>0.12</v>
      </c>
      <c r="K317" s="121" t="s">
        <v>1</v>
      </c>
      <c r="L317" s="24"/>
      <c r="M317" s="125" t="s">
        <v>1</v>
      </c>
      <c r="N317" s="126" t="s">
        <v>32</v>
      </c>
      <c r="O317" s="127">
        <v>0</v>
      </c>
      <c r="P317" s="127">
        <f t="shared" si="81"/>
        <v>0</v>
      </c>
      <c r="Q317" s="127">
        <v>0</v>
      </c>
      <c r="R317" s="127">
        <f t="shared" si="82"/>
        <v>0</v>
      </c>
      <c r="S317" s="127">
        <v>0</v>
      </c>
      <c r="T317" s="128">
        <f t="shared" si="83"/>
        <v>0</v>
      </c>
      <c r="AR317" s="129" t="s">
        <v>235</v>
      </c>
      <c r="AT317" s="129" t="s">
        <v>231</v>
      </c>
      <c r="AU317" s="129" t="s">
        <v>76</v>
      </c>
      <c r="AY317" s="13" t="s">
        <v>228</v>
      </c>
      <c r="BE317" s="130">
        <f t="shared" si="84"/>
        <v>0</v>
      </c>
      <c r="BF317" s="130">
        <f t="shared" si="85"/>
        <v>0.12</v>
      </c>
      <c r="BG317" s="130">
        <f t="shared" si="86"/>
        <v>0</v>
      </c>
      <c r="BH317" s="130">
        <f t="shared" si="87"/>
        <v>0</v>
      </c>
      <c r="BI317" s="130">
        <f t="shared" si="88"/>
        <v>0</v>
      </c>
      <c r="BJ317" s="13" t="s">
        <v>76</v>
      </c>
      <c r="BK317" s="130">
        <f t="shared" si="89"/>
        <v>0.12</v>
      </c>
      <c r="BL317" s="13" t="s">
        <v>235</v>
      </c>
      <c r="BM317" s="129" t="s">
        <v>811</v>
      </c>
    </row>
    <row r="318" spans="2:65" s="1" customFormat="1" ht="16.5" customHeight="1" x14ac:dyDescent="0.2">
      <c r="B318" s="118"/>
      <c r="C318" s="119" t="s">
        <v>518</v>
      </c>
      <c r="D318" s="119" t="s">
        <v>231</v>
      </c>
      <c r="E318" s="120" t="s">
        <v>5161</v>
      </c>
      <c r="F318" s="121" t="s">
        <v>5162</v>
      </c>
      <c r="G318" s="122" t="s">
        <v>292</v>
      </c>
      <c r="H318" s="123">
        <v>6</v>
      </c>
      <c r="I318" s="124">
        <v>0.66</v>
      </c>
      <c r="J318" s="124">
        <f t="shared" si="80"/>
        <v>3.96</v>
      </c>
      <c r="K318" s="121" t="s">
        <v>1</v>
      </c>
      <c r="L318" s="24"/>
      <c r="M318" s="125" t="s">
        <v>1</v>
      </c>
      <c r="N318" s="126" t="s">
        <v>32</v>
      </c>
      <c r="O318" s="127">
        <v>0</v>
      </c>
      <c r="P318" s="127">
        <f t="shared" si="81"/>
        <v>0</v>
      </c>
      <c r="Q318" s="127">
        <v>0</v>
      </c>
      <c r="R318" s="127">
        <f t="shared" si="82"/>
        <v>0</v>
      </c>
      <c r="S318" s="127">
        <v>0</v>
      </c>
      <c r="T318" s="128">
        <f t="shared" si="83"/>
        <v>0</v>
      </c>
      <c r="AR318" s="129" t="s">
        <v>235</v>
      </c>
      <c r="AT318" s="129" t="s">
        <v>231</v>
      </c>
      <c r="AU318" s="129" t="s">
        <v>76</v>
      </c>
      <c r="AY318" s="13" t="s">
        <v>228</v>
      </c>
      <c r="BE318" s="130">
        <f t="shared" si="84"/>
        <v>0</v>
      </c>
      <c r="BF318" s="130">
        <f t="shared" si="85"/>
        <v>3.96</v>
      </c>
      <c r="BG318" s="130">
        <f t="shared" si="86"/>
        <v>0</v>
      </c>
      <c r="BH318" s="130">
        <f t="shared" si="87"/>
        <v>0</v>
      </c>
      <c r="BI318" s="130">
        <f t="shared" si="88"/>
        <v>0</v>
      </c>
      <c r="BJ318" s="13" t="s">
        <v>76</v>
      </c>
      <c r="BK318" s="130">
        <f t="shared" si="89"/>
        <v>3.96</v>
      </c>
      <c r="BL318" s="13" t="s">
        <v>235</v>
      </c>
      <c r="BM318" s="129" t="s">
        <v>814</v>
      </c>
    </row>
    <row r="319" spans="2:65" s="1" customFormat="1" ht="36" customHeight="1" x14ac:dyDescent="0.2">
      <c r="B319" s="118"/>
      <c r="C319" s="119" t="s">
        <v>815</v>
      </c>
      <c r="D319" s="119" t="s">
        <v>231</v>
      </c>
      <c r="E319" s="120" t="s">
        <v>3015</v>
      </c>
      <c r="F319" s="121" t="s">
        <v>3016</v>
      </c>
      <c r="G319" s="122" t="s">
        <v>292</v>
      </c>
      <c r="H319" s="123">
        <v>190</v>
      </c>
      <c r="I319" s="124">
        <v>10.66</v>
      </c>
      <c r="J319" s="124">
        <f t="shared" si="80"/>
        <v>2025.4</v>
      </c>
      <c r="K319" s="121" t="s">
        <v>1</v>
      </c>
      <c r="L319" s="24"/>
      <c r="M319" s="125" t="s">
        <v>1</v>
      </c>
      <c r="N319" s="126" t="s">
        <v>32</v>
      </c>
      <c r="O319" s="127">
        <v>0</v>
      </c>
      <c r="P319" s="127">
        <f t="shared" si="81"/>
        <v>0</v>
      </c>
      <c r="Q319" s="127">
        <v>0</v>
      </c>
      <c r="R319" s="127">
        <f t="shared" si="82"/>
        <v>0</v>
      </c>
      <c r="S319" s="127">
        <v>0</v>
      </c>
      <c r="T319" s="128">
        <f t="shared" si="83"/>
        <v>0</v>
      </c>
      <c r="AR319" s="129" t="s">
        <v>235</v>
      </c>
      <c r="AT319" s="129" t="s">
        <v>231</v>
      </c>
      <c r="AU319" s="129" t="s">
        <v>76</v>
      </c>
      <c r="AY319" s="13" t="s">
        <v>228</v>
      </c>
      <c r="BE319" s="130">
        <f t="shared" si="84"/>
        <v>0</v>
      </c>
      <c r="BF319" s="130">
        <f t="shared" si="85"/>
        <v>2025.4</v>
      </c>
      <c r="BG319" s="130">
        <f t="shared" si="86"/>
        <v>0</v>
      </c>
      <c r="BH319" s="130">
        <f t="shared" si="87"/>
        <v>0</v>
      </c>
      <c r="BI319" s="130">
        <f t="shared" si="88"/>
        <v>0</v>
      </c>
      <c r="BJ319" s="13" t="s">
        <v>76</v>
      </c>
      <c r="BK319" s="130">
        <f t="shared" si="89"/>
        <v>2025.4</v>
      </c>
      <c r="BL319" s="13" t="s">
        <v>235</v>
      </c>
      <c r="BM319" s="129" t="s">
        <v>818</v>
      </c>
    </row>
    <row r="320" spans="2:65" s="1" customFormat="1" ht="16.5" customHeight="1" x14ac:dyDescent="0.2">
      <c r="B320" s="118"/>
      <c r="C320" s="119" t="s">
        <v>521</v>
      </c>
      <c r="D320" s="119" t="s">
        <v>231</v>
      </c>
      <c r="E320" s="120" t="s">
        <v>5169</v>
      </c>
      <c r="F320" s="121" t="s">
        <v>3026</v>
      </c>
      <c r="G320" s="122" t="s">
        <v>243</v>
      </c>
      <c r="H320" s="123">
        <v>22</v>
      </c>
      <c r="I320" s="124">
        <v>0.7</v>
      </c>
      <c r="J320" s="124">
        <f t="shared" si="80"/>
        <v>15.4</v>
      </c>
      <c r="K320" s="121" t="s">
        <v>1</v>
      </c>
      <c r="L320" s="24"/>
      <c r="M320" s="125" t="s">
        <v>1</v>
      </c>
      <c r="N320" s="126" t="s">
        <v>32</v>
      </c>
      <c r="O320" s="127">
        <v>0</v>
      </c>
      <c r="P320" s="127">
        <f t="shared" si="81"/>
        <v>0</v>
      </c>
      <c r="Q320" s="127">
        <v>0</v>
      </c>
      <c r="R320" s="127">
        <f t="shared" si="82"/>
        <v>0</v>
      </c>
      <c r="S320" s="127">
        <v>0</v>
      </c>
      <c r="T320" s="128">
        <f t="shared" si="83"/>
        <v>0</v>
      </c>
      <c r="AR320" s="129" t="s">
        <v>235</v>
      </c>
      <c r="AT320" s="129" t="s">
        <v>231</v>
      </c>
      <c r="AU320" s="129" t="s">
        <v>76</v>
      </c>
      <c r="AY320" s="13" t="s">
        <v>228</v>
      </c>
      <c r="BE320" s="130">
        <f t="shared" si="84"/>
        <v>0</v>
      </c>
      <c r="BF320" s="130">
        <f t="shared" si="85"/>
        <v>15.4</v>
      </c>
      <c r="BG320" s="130">
        <f t="shared" si="86"/>
        <v>0</v>
      </c>
      <c r="BH320" s="130">
        <f t="shared" si="87"/>
        <v>0</v>
      </c>
      <c r="BI320" s="130">
        <f t="shared" si="88"/>
        <v>0</v>
      </c>
      <c r="BJ320" s="13" t="s">
        <v>76</v>
      </c>
      <c r="BK320" s="130">
        <f t="shared" si="89"/>
        <v>15.4</v>
      </c>
      <c r="BL320" s="13" t="s">
        <v>235</v>
      </c>
      <c r="BM320" s="129" t="s">
        <v>821</v>
      </c>
    </row>
    <row r="321" spans="2:65" s="1" customFormat="1" ht="16.5" customHeight="1" x14ac:dyDescent="0.2">
      <c r="B321" s="118"/>
      <c r="C321" s="119" t="s">
        <v>824</v>
      </c>
      <c r="D321" s="119" t="s">
        <v>231</v>
      </c>
      <c r="E321" s="120" t="s">
        <v>3019</v>
      </c>
      <c r="F321" s="121" t="s">
        <v>3020</v>
      </c>
      <c r="G321" s="122" t="s">
        <v>284</v>
      </c>
      <c r="H321" s="123">
        <v>0.5</v>
      </c>
      <c r="I321" s="124">
        <v>57.4</v>
      </c>
      <c r="J321" s="124">
        <f t="shared" si="80"/>
        <v>28.7</v>
      </c>
      <c r="K321" s="121" t="s">
        <v>1</v>
      </c>
      <c r="L321" s="24"/>
      <c r="M321" s="125" t="s">
        <v>1</v>
      </c>
      <c r="N321" s="126" t="s">
        <v>32</v>
      </c>
      <c r="O321" s="127">
        <v>0</v>
      </c>
      <c r="P321" s="127">
        <f t="shared" si="81"/>
        <v>0</v>
      </c>
      <c r="Q321" s="127">
        <v>0</v>
      </c>
      <c r="R321" s="127">
        <f t="shared" si="82"/>
        <v>0</v>
      </c>
      <c r="S321" s="127">
        <v>0</v>
      </c>
      <c r="T321" s="128">
        <f t="shared" si="83"/>
        <v>0</v>
      </c>
      <c r="AR321" s="129" t="s">
        <v>235</v>
      </c>
      <c r="AT321" s="129" t="s">
        <v>231</v>
      </c>
      <c r="AU321" s="129" t="s">
        <v>76</v>
      </c>
      <c r="AY321" s="13" t="s">
        <v>228</v>
      </c>
      <c r="BE321" s="130">
        <f t="shared" si="84"/>
        <v>0</v>
      </c>
      <c r="BF321" s="130">
        <f t="shared" si="85"/>
        <v>28.7</v>
      </c>
      <c r="BG321" s="130">
        <f t="shared" si="86"/>
        <v>0</v>
      </c>
      <c r="BH321" s="130">
        <f t="shared" si="87"/>
        <v>0</v>
      </c>
      <c r="BI321" s="130">
        <f t="shared" si="88"/>
        <v>0</v>
      </c>
      <c r="BJ321" s="13" t="s">
        <v>76</v>
      </c>
      <c r="BK321" s="130">
        <f t="shared" si="89"/>
        <v>28.7</v>
      </c>
      <c r="BL321" s="13" t="s">
        <v>235</v>
      </c>
      <c r="BM321" s="129" t="s">
        <v>827</v>
      </c>
    </row>
    <row r="322" spans="2:65" s="1" customFormat="1" ht="24" customHeight="1" x14ac:dyDescent="0.2">
      <c r="B322" s="118"/>
      <c r="C322" s="119" t="s">
        <v>525</v>
      </c>
      <c r="D322" s="119" t="s">
        <v>231</v>
      </c>
      <c r="E322" s="120" t="s">
        <v>5170</v>
      </c>
      <c r="F322" s="121" t="s">
        <v>5171</v>
      </c>
      <c r="G322" s="122" t="s">
        <v>570</v>
      </c>
      <c r="H322" s="123">
        <v>1</v>
      </c>
      <c r="I322" s="124">
        <v>34.83</v>
      </c>
      <c r="J322" s="124">
        <f t="shared" si="80"/>
        <v>34.83</v>
      </c>
      <c r="K322" s="121" t="s">
        <v>1</v>
      </c>
      <c r="L322" s="24"/>
      <c r="M322" s="125" t="s">
        <v>1</v>
      </c>
      <c r="N322" s="126" t="s">
        <v>32</v>
      </c>
      <c r="O322" s="127">
        <v>0</v>
      </c>
      <c r="P322" s="127">
        <f t="shared" si="81"/>
        <v>0</v>
      </c>
      <c r="Q322" s="127">
        <v>0</v>
      </c>
      <c r="R322" s="127">
        <f t="shared" si="82"/>
        <v>0</v>
      </c>
      <c r="S322" s="127">
        <v>0</v>
      </c>
      <c r="T322" s="128">
        <f t="shared" si="83"/>
        <v>0</v>
      </c>
      <c r="AR322" s="129" t="s">
        <v>235</v>
      </c>
      <c r="AT322" s="129" t="s">
        <v>231</v>
      </c>
      <c r="AU322" s="129" t="s">
        <v>76</v>
      </c>
      <c r="AY322" s="13" t="s">
        <v>228</v>
      </c>
      <c r="BE322" s="130">
        <f t="shared" si="84"/>
        <v>0</v>
      </c>
      <c r="BF322" s="130">
        <f t="shared" si="85"/>
        <v>34.83</v>
      </c>
      <c r="BG322" s="130">
        <f t="shared" si="86"/>
        <v>0</v>
      </c>
      <c r="BH322" s="130">
        <f t="shared" si="87"/>
        <v>0</v>
      </c>
      <c r="BI322" s="130">
        <f t="shared" si="88"/>
        <v>0</v>
      </c>
      <c r="BJ322" s="13" t="s">
        <v>76</v>
      </c>
      <c r="BK322" s="130">
        <f t="shared" si="89"/>
        <v>34.83</v>
      </c>
      <c r="BL322" s="13" t="s">
        <v>235</v>
      </c>
      <c r="BM322" s="129" t="s">
        <v>830</v>
      </c>
    </row>
    <row r="323" spans="2:65" s="11" customFormat="1" ht="22.95" customHeight="1" x14ac:dyDescent="0.25">
      <c r="B323" s="106"/>
      <c r="D323" s="107" t="s">
        <v>57</v>
      </c>
      <c r="E323" s="116" t="s">
        <v>1227</v>
      </c>
      <c r="F323" s="116" t="s">
        <v>3027</v>
      </c>
      <c r="J323" s="117">
        <f>BK323</f>
        <v>3266.86</v>
      </c>
      <c r="L323" s="106"/>
      <c r="M323" s="110"/>
      <c r="N323" s="111"/>
      <c r="O323" s="111"/>
      <c r="P323" s="112">
        <f>SUM(P324:P334)</f>
        <v>0</v>
      </c>
      <c r="Q323" s="111"/>
      <c r="R323" s="112">
        <f>SUM(R324:R334)</f>
        <v>0</v>
      </c>
      <c r="S323" s="111"/>
      <c r="T323" s="113">
        <f>SUM(T324:T334)</f>
        <v>0</v>
      </c>
      <c r="AR323" s="107" t="s">
        <v>63</v>
      </c>
      <c r="AT323" s="114" t="s">
        <v>57</v>
      </c>
      <c r="AU323" s="114" t="s">
        <v>63</v>
      </c>
      <c r="AY323" s="107" t="s">
        <v>228</v>
      </c>
      <c r="BK323" s="115">
        <f>SUM(BK324:BK334)</f>
        <v>3266.86</v>
      </c>
    </row>
    <row r="324" spans="2:65" s="1" customFormat="1" ht="16.5" customHeight="1" x14ac:dyDescent="0.2">
      <c r="B324" s="118"/>
      <c r="C324" s="119" t="s">
        <v>831</v>
      </c>
      <c r="D324" s="119" t="s">
        <v>231</v>
      </c>
      <c r="E324" s="120" t="s">
        <v>3030</v>
      </c>
      <c r="F324" s="121" t="s">
        <v>3031</v>
      </c>
      <c r="G324" s="122" t="s">
        <v>292</v>
      </c>
      <c r="H324" s="123">
        <v>650</v>
      </c>
      <c r="I324" s="124">
        <v>0.96</v>
      </c>
      <c r="J324" s="124">
        <f t="shared" ref="J324:J334" si="90">ROUND(I324*H324,2)</f>
        <v>624</v>
      </c>
      <c r="K324" s="121" t="s">
        <v>1</v>
      </c>
      <c r="L324" s="24"/>
      <c r="M324" s="125" t="s">
        <v>1</v>
      </c>
      <c r="N324" s="126" t="s">
        <v>32</v>
      </c>
      <c r="O324" s="127">
        <v>0</v>
      </c>
      <c r="P324" s="127">
        <f t="shared" ref="P324:P334" si="91">O324*H324</f>
        <v>0</v>
      </c>
      <c r="Q324" s="127">
        <v>0</v>
      </c>
      <c r="R324" s="127">
        <f t="shared" ref="R324:R334" si="92">Q324*H324</f>
        <v>0</v>
      </c>
      <c r="S324" s="127">
        <v>0</v>
      </c>
      <c r="T324" s="128">
        <f t="shared" ref="T324:T334" si="93">S324*H324</f>
        <v>0</v>
      </c>
      <c r="AR324" s="129" t="s">
        <v>235</v>
      </c>
      <c r="AT324" s="129" t="s">
        <v>231</v>
      </c>
      <c r="AU324" s="129" t="s">
        <v>76</v>
      </c>
      <c r="AY324" s="13" t="s">
        <v>228</v>
      </c>
      <c r="BE324" s="130">
        <f t="shared" ref="BE324:BE334" si="94">IF(N324="základná",J324,0)</f>
        <v>0</v>
      </c>
      <c r="BF324" s="130">
        <f t="shared" ref="BF324:BF334" si="95">IF(N324="znížená",J324,0)</f>
        <v>624</v>
      </c>
      <c r="BG324" s="130">
        <f t="shared" ref="BG324:BG334" si="96">IF(N324="zákl. prenesená",J324,0)</f>
        <v>0</v>
      </c>
      <c r="BH324" s="130">
        <f t="shared" ref="BH324:BH334" si="97">IF(N324="zníž. prenesená",J324,0)</f>
        <v>0</v>
      </c>
      <c r="BI324" s="130">
        <f t="shared" ref="BI324:BI334" si="98">IF(N324="nulová",J324,0)</f>
        <v>0</v>
      </c>
      <c r="BJ324" s="13" t="s">
        <v>76</v>
      </c>
      <c r="BK324" s="130">
        <f t="shared" ref="BK324:BK334" si="99">ROUND(I324*H324,2)</f>
        <v>624</v>
      </c>
      <c r="BL324" s="13" t="s">
        <v>235</v>
      </c>
      <c r="BM324" s="129" t="s">
        <v>834</v>
      </c>
    </row>
    <row r="325" spans="2:65" s="1" customFormat="1" ht="16.5" customHeight="1" x14ac:dyDescent="0.2">
      <c r="B325" s="118"/>
      <c r="C325" s="119" t="s">
        <v>528</v>
      </c>
      <c r="D325" s="119" t="s">
        <v>231</v>
      </c>
      <c r="E325" s="120" t="s">
        <v>5176</v>
      </c>
      <c r="F325" s="121" t="s">
        <v>5177</v>
      </c>
      <c r="G325" s="122" t="s">
        <v>292</v>
      </c>
      <c r="H325" s="123">
        <v>150</v>
      </c>
      <c r="I325" s="124">
        <v>0.96</v>
      </c>
      <c r="J325" s="124">
        <f t="shared" si="90"/>
        <v>144</v>
      </c>
      <c r="K325" s="121" t="s">
        <v>1</v>
      </c>
      <c r="L325" s="24"/>
      <c r="M325" s="125" t="s">
        <v>1</v>
      </c>
      <c r="N325" s="126" t="s">
        <v>32</v>
      </c>
      <c r="O325" s="127">
        <v>0</v>
      </c>
      <c r="P325" s="127">
        <f t="shared" si="91"/>
        <v>0</v>
      </c>
      <c r="Q325" s="127">
        <v>0</v>
      </c>
      <c r="R325" s="127">
        <f t="shared" si="92"/>
        <v>0</v>
      </c>
      <c r="S325" s="127">
        <v>0</v>
      </c>
      <c r="T325" s="128">
        <f t="shared" si="93"/>
        <v>0</v>
      </c>
      <c r="AR325" s="129" t="s">
        <v>235</v>
      </c>
      <c r="AT325" s="129" t="s">
        <v>231</v>
      </c>
      <c r="AU325" s="129" t="s">
        <v>76</v>
      </c>
      <c r="AY325" s="13" t="s">
        <v>228</v>
      </c>
      <c r="BE325" s="130">
        <f t="shared" si="94"/>
        <v>0</v>
      </c>
      <c r="BF325" s="130">
        <f t="shared" si="95"/>
        <v>144</v>
      </c>
      <c r="BG325" s="130">
        <f t="shared" si="96"/>
        <v>0</v>
      </c>
      <c r="BH325" s="130">
        <f t="shared" si="97"/>
        <v>0</v>
      </c>
      <c r="BI325" s="130">
        <f t="shared" si="98"/>
        <v>0</v>
      </c>
      <c r="BJ325" s="13" t="s">
        <v>76</v>
      </c>
      <c r="BK325" s="130">
        <f t="shared" si="99"/>
        <v>144</v>
      </c>
      <c r="BL325" s="13" t="s">
        <v>235</v>
      </c>
      <c r="BM325" s="129" t="s">
        <v>837</v>
      </c>
    </row>
    <row r="326" spans="2:65" s="1" customFormat="1" ht="16.5" customHeight="1" x14ac:dyDescent="0.2">
      <c r="B326" s="118"/>
      <c r="C326" s="119" t="s">
        <v>838</v>
      </c>
      <c r="D326" s="119" t="s">
        <v>231</v>
      </c>
      <c r="E326" s="120" t="s">
        <v>3034</v>
      </c>
      <c r="F326" s="121" t="s">
        <v>3035</v>
      </c>
      <c r="G326" s="122" t="s">
        <v>292</v>
      </c>
      <c r="H326" s="123">
        <v>2.25</v>
      </c>
      <c r="I326" s="124">
        <v>0.68</v>
      </c>
      <c r="J326" s="124">
        <f t="shared" si="90"/>
        <v>1.53</v>
      </c>
      <c r="K326" s="121" t="s">
        <v>1</v>
      </c>
      <c r="L326" s="24"/>
      <c r="M326" s="125" t="s">
        <v>1</v>
      </c>
      <c r="N326" s="126" t="s">
        <v>32</v>
      </c>
      <c r="O326" s="127">
        <v>0</v>
      </c>
      <c r="P326" s="127">
        <f t="shared" si="91"/>
        <v>0</v>
      </c>
      <c r="Q326" s="127">
        <v>0</v>
      </c>
      <c r="R326" s="127">
        <f t="shared" si="92"/>
        <v>0</v>
      </c>
      <c r="S326" s="127">
        <v>0</v>
      </c>
      <c r="T326" s="128">
        <f t="shared" si="93"/>
        <v>0</v>
      </c>
      <c r="AR326" s="129" t="s">
        <v>235</v>
      </c>
      <c r="AT326" s="129" t="s">
        <v>231</v>
      </c>
      <c r="AU326" s="129" t="s">
        <v>76</v>
      </c>
      <c r="AY326" s="13" t="s">
        <v>228</v>
      </c>
      <c r="BE326" s="130">
        <f t="shared" si="94"/>
        <v>0</v>
      </c>
      <c r="BF326" s="130">
        <f t="shared" si="95"/>
        <v>1.53</v>
      </c>
      <c r="BG326" s="130">
        <f t="shared" si="96"/>
        <v>0</v>
      </c>
      <c r="BH326" s="130">
        <f t="shared" si="97"/>
        <v>0</v>
      </c>
      <c r="BI326" s="130">
        <f t="shared" si="98"/>
        <v>0</v>
      </c>
      <c r="BJ326" s="13" t="s">
        <v>76</v>
      </c>
      <c r="BK326" s="130">
        <f t="shared" si="99"/>
        <v>1.53</v>
      </c>
      <c r="BL326" s="13" t="s">
        <v>235</v>
      </c>
      <c r="BM326" s="129" t="s">
        <v>841</v>
      </c>
    </row>
    <row r="327" spans="2:65" s="1" customFormat="1" ht="16.5" customHeight="1" x14ac:dyDescent="0.2">
      <c r="B327" s="118"/>
      <c r="C327" s="119" t="s">
        <v>532</v>
      </c>
      <c r="D327" s="119" t="s">
        <v>231</v>
      </c>
      <c r="E327" s="120" t="s">
        <v>5161</v>
      </c>
      <c r="F327" s="121" t="s">
        <v>5162</v>
      </c>
      <c r="G327" s="122" t="s">
        <v>292</v>
      </c>
      <c r="H327" s="123">
        <v>6</v>
      </c>
      <c r="I327" s="124">
        <v>1.7</v>
      </c>
      <c r="J327" s="124">
        <f t="shared" si="90"/>
        <v>10.199999999999999</v>
      </c>
      <c r="K327" s="121" t="s">
        <v>1</v>
      </c>
      <c r="L327" s="24"/>
      <c r="M327" s="125" t="s">
        <v>1</v>
      </c>
      <c r="N327" s="126" t="s">
        <v>32</v>
      </c>
      <c r="O327" s="127">
        <v>0</v>
      </c>
      <c r="P327" s="127">
        <f t="shared" si="91"/>
        <v>0</v>
      </c>
      <c r="Q327" s="127">
        <v>0</v>
      </c>
      <c r="R327" s="127">
        <f t="shared" si="92"/>
        <v>0</v>
      </c>
      <c r="S327" s="127">
        <v>0</v>
      </c>
      <c r="T327" s="128">
        <f t="shared" si="93"/>
        <v>0</v>
      </c>
      <c r="AR327" s="129" t="s">
        <v>235</v>
      </c>
      <c r="AT327" s="129" t="s">
        <v>231</v>
      </c>
      <c r="AU327" s="129" t="s">
        <v>76</v>
      </c>
      <c r="AY327" s="13" t="s">
        <v>228</v>
      </c>
      <c r="BE327" s="130">
        <f t="shared" si="94"/>
        <v>0</v>
      </c>
      <c r="BF327" s="130">
        <f t="shared" si="95"/>
        <v>10.199999999999999</v>
      </c>
      <c r="BG327" s="130">
        <f t="shared" si="96"/>
        <v>0</v>
      </c>
      <c r="BH327" s="130">
        <f t="shared" si="97"/>
        <v>0</v>
      </c>
      <c r="BI327" s="130">
        <f t="shared" si="98"/>
        <v>0</v>
      </c>
      <c r="BJ327" s="13" t="s">
        <v>76</v>
      </c>
      <c r="BK327" s="130">
        <f t="shared" si="99"/>
        <v>10.199999999999999</v>
      </c>
      <c r="BL327" s="13" t="s">
        <v>235</v>
      </c>
      <c r="BM327" s="129" t="s">
        <v>844</v>
      </c>
    </row>
    <row r="328" spans="2:65" s="1" customFormat="1" ht="16.5" customHeight="1" x14ac:dyDescent="0.2">
      <c r="B328" s="118"/>
      <c r="C328" s="119" t="s">
        <v>845</v>
      </c>
      <c r="D328" s="119" t="s">
        <v>231</v>
      </c>
      <c r="E328" s="120" t="s">
        <v>5178</v>
      </c>
      <c r="F328" s="121" t="s">
        <v>3045</v>
      </c>
      <c r="G328" s="122" t="s">
        <v>243</v>
      </c>
      <c r="H328" s="123">
        <v>20</v>
      </c>
      <c r="I328" s="124">
        <v>8.2799999999999994</v>
      </c>
      <c r="J328" s="124">
        <f t="shared" si="90"/>
        <v>165.6</v>
      </c>
      <c r="K328" s="121" t="s">
        <v>1</v>
      </c>
      <c r="L328" s="24"/>
      <c r="M328" s="125" t="s">
        <v>1</v>
      </c>
      <c r="N328" s="126" t="s">
        <v>32</v>
      </c>
      <c r="O328" s="127">
        <v>0</v>
      </c>
      <c r="P328" s="127">
        <f t="shared" si="91"/>
        <v>0</v>
      </c>
      <c r="Q328" s="127">
        <v>0</v>
      </c>
      <c r="R328" s="127">
        <f t="shared" si="92"/>
        <v>0</v>
      </c>
      <c r="S328" s="127">
        <v>0</v>
      </c>
      <c r="T328" s="128">
        <f t="shared" si="93"/>
        <v>0</v>
      </c>
      <c r="AR328" s="129" t="s">
        <v>235</v>
      </c>
      <c r="AT328" s="129" t="s">
        <v>231</v>
      </c>
      <c r="AU328" s="129" t="s">
        <v>76</v>
      </c>
      <c r="AY328" s="13" t="s">
        <v>228</v>
      </c>
      <c r="BE328" s="130">
        <f t="shared" si="94"/>
        <v>0</v>
      </c>
      <c r="BF328" s="130">
        <f t="shared" si="95"/>
        <v>165.6</v>
      </c>
      <c r="BG328" s="130">
        <f t="shared" si="96"/>
        <v>0</v>
      </c>
      <c r="BH328" s="130">
        <f t="shared" si="97"/>
        <v>0</v>
      </c>
      <c r="BI328" s="130">
        <f t="shared" si="98"/>
        <v>0</v>
      </c>
      <c r="BJ328" s="13" t="s">
        <v>76</v>
      </c>
      <c r="BK328" s="130">
        <f t="shared" si="99"/>
        <v>165.6</v>
      </c>
      <c r="BL328" s="13" t="s">
        <v>235</v>
      </c>
      <c r="BM328" s="129" t="s">
        <v>848</v>
      </c>
    </row>
    <row r="329" spans="2:65" s="1" customFormat="1" ht="16.5" customHeight="1" x14ac:dyDescent="0.2">
      <c r="B329" s="118"/>
      <c r="C329" s="119" t="s">
        <v>535</v>
      </c>
      <c r="D329" s="119" t="s">
        <v>231</v>
      </c>
      <c r="E329" s="120" t="s">
        <v>5179</v>
      </c>
      <c r="F329" s="121" t="s">
        <v>5180</v>
      </c>
      <c r="G329" s="122" t="s">
        <v>243</v>
      </c>
      <c r="H329" s="123">
        <v>2</v>
      </c>
      <c r="I329" s="124">
        <v>14.4</v>
      </c>
      <c r="J329" s="124">
        <f t="shared" si="90"/>
        <v>28.8</v>
      </c>
      <c r="K329" s="121" t="s">
        <v>1</v>
      </c>
      <c r="L329" s="24"/>
      <c r="M329" s="125" t="s">
        <v>1</v>
      </c>
      <c r="N329" s="126" t="s">
        <v>32</v>
      </c>
      <c r="O329" s="127">
        <v>0</v>
      </c>
      <c r="P329" s="127">
        <f t="shared" si="91"/>
        <v>0</v>
      </c>
      <c r="Q329" s="127">
        <v>0</v>
      </c>
      <c r="R329" s="127">
        <f t="shared" si="92"/>
        <v>0</v>
      </c>
      <c r="S329" s="127">
        <v>0</v>
      </c>
      <c r="T329" s="128">
        <f t="shared" si="93"/>
        <v>0</v>
      </c>
      <c r="AR329" s="129" t="s">
        <v>235</v>
      </c>
      <c r="AT329" s="129" t="s">
        <v>231</v>
      </c>
      <c r="AU329" s="129" t="s">
        <v>76</v>
      </c>
      <c r="AY329" s="13" t="s">
        <v>228</v>
      </c>
      <c r="BE329" s="130">
        <f t="shared" si="94"/>
        <v>0</v>
      </c>
      <c r="BF329" s="130">
        <f t="shared" si="95"/>
        <v>28.8</v>
      </c>
      <c r="BG329" s="130">
        <f t="shared" si="96"/>
        <v>0</v>
      </c>
      <c r="BH329" s="130">
        <f t="shared" si="97"/>
        <v>0</v>
      </c>
      <c r="BI329" s="130">
        <f t="shared" si="98"/>
        <v>0</v>
      </c>
      <c r="BJ329" s="13" t="s">
        <v>76</v>
      </c>
      <c r="BK329" s="130">
        <f t="shared" si="99"/>
        <v>28.8</v>
      </c>
      <c r="BL329" s="13" t="s">
        <v>235</v>
      </c>
      <c r="BM329" s="129" t="s">
        <v>851</v>
      </c>
    </row>
    <row r="330" spans="2:65" s="1" customFormat="1" ht="16.5" customHeight="1" x14ac:dyDescent="0.2">
      <c r="B330" s="118"/>
      <c r="C330" s="119" t="s">
        <v>852</v>
      </c>
      <c r="D330" s="119" t="s">
        <v>231</v>
      </c>
      <c r="E330" s="120" t="s">
        <v>5181</v>
      </c>
      <c r="F330" s="121" t="s">
        <v>5182</v>
      </c>
      <c r="G330" s="122" t="s">
        <v>292</v>
      </c>
      <c r="H330" s="123">
        <v>190</v>
      </c>
      <c r="I330" s="124">
        <v>10.86</v>
      </c>
      <c r="J330" s="124">
        <f t="shared" si="90"/>
        <v>2063.4</v>
      </c>
      <c r="K330" s="121" t="s">
        <v>1</v>
      </c>
      <c r="L330" s="24"/>
      <c r="M330" s="125" t="s">
        <v>1</v>
      </c>
      <c r="N330" s="126" t="s">
        <v>32</v>
      </c>
      <c r="O330" s="127">
        <v>0</v>
      </c>
      <c r="P330" s="127">
        <f t="shared" si="91"/>
        <v>0</v>
      </c>
      <c r="Q330" s="127">
        <v>0</v>
      </c>
      <c r="R330" s="127">
        <f t="shared" si="92"/>
        <v>0</v>
      </c>
      <c r="S330" s="127">
        <v>0</v>
      </c>
      <c r="T330" s="128">
        <f t="shared" si="93"/>
        <v>0</v>
      </c>
      <c r="AR330" s="129" t="s">
        <v>235</v>
      </c>
      <c r="AT330" s="129" t="s">
        <v>231</v>
      </c>
      <c r="AU330" s="129" t="s">
        <v>76</v>
      </c>
      <c r="AY330" s="13" t="s">
        <v>228</v>
      </c>
      <c r="BE330" s="130">
        <f t="shared" si="94"/>
        <v>0</v>
      </c>
      <c r="BF330" s="130">
        <f t="shared" si="95"/>
        <v>2063.4</v>
      </c>
      <c r="BG330" s="130">
        <f t="shared" si="96"/>
        <v>0</v>
      </c>
      <c r="BH330" s="130">
        <f t="shared" si="97"/>
        <v>0</v>
      </c>
      <c r="BI330" s="130">
        <f t="shared" si="98"/>
        <v>0</v>
      </c>
      <c r="BJ330" s="13" t="s">
        <v>76</v>
      </c>
      <c r="BK330" s="130">
        <f t="shared" si="99"/>
        <v>2063.4</v>
      </c>
      <c r="BL330" s="13" t="s">
        <v>235</v>
      </c>
      <c r="BM330" s="129" t="s">
        <v>855</v>
      </c>
    </row>
    <row r="331" spans="2:65" s="1" customFormat="1" ht="16.5" customHeight="1" x14ac:dyDescent="0.2">
      <c r="B331" s="118"/>
      <c r="C331" s="119" t="s">
        <v>539</v>
      </c>
      <c r="D331" s="119" t="s">
        <v>231</v>
      </c>
      <c r="E331" s="120" t="s">
        <v>5187</v>
      </c>
      <c r="F331" s="121" t="s">
        <v>5188</v>
      </c>
      <c r="G331" s="122" t="s">
        <v>284</v>
      </c>
      <c r="H331" s="123">
        <v>0.5</v>
      </c>
      <c r="I331" s="124">
        <v>57.4</v>
      </c>
      <c r="J331" s="124">
        <f t="shared" si="90"/>
        <v>28.7</v>
      </c>
      <c r="K331" s="121" t="s">
        <v>1</v>
      </c>
      <c r="L331" s="24"/>
      <c r="M331" s="125" t="s">
        <v>1</v>
      </c>
      <c r="N331" s="126" t="s">
        <v>32</v>
      </c>
      <c r="O331" s="127">
        <v>0</v>
      </c>
      <c r="P331" s="127">
        <f t="shared" si="91"/>
        <v>0</v>
      </c>
      <c r="Q331" s="127">
        <v>0</v>
      </c>
      <c r="R331" s="127">
        <f t="shared" si="92"/>
        <v>0</v>
      </c>
      <c r="S331" s="127">
        <v>0</v>
      </c>
      <c r="T331" s="128">
        <f t="shared" si="93"/>
        <v>0</v>
      </c>
      <c r="AR331" s="129" t="s">
        <v>235</v>
      </c>
      <c r="AT331" s="129" t="s">
        <v>231</v>
      </c>
      <c r="AU331" s="129" t="s">
        <v>76</v>
      </c>
      <c r="AY331" s="13" t="s">
        <v>228</v>
      </c>
      <c r="BE331" s="130">
        <f t="shared" si="94"/>
        <v>0</v>
      </c>
      <c r="BF331" s="130">
        <f t="shared" si="95"/>
        <v>28.7</v>
      </c>
      <c r="BG331" s="130">
        <f t="shared" si="96"/>
        <v>0</v>
      </c>
      <c r="BH331" s="130">
        <f t="shared" si="97"/>
        <v>0</v>
      </c>
      <c r="BI331" s="130">
        <f t="shared" si="98"/>
        <v>0</v>
      </c>
      <c r="BJ331" s="13" t="s">
        <v>76</v>
      </c>
      <c r="BK331" s="130">
        <f t="shared" si="99"/>
        <v>28.7</v>
      </c>
      <c r="BL331" s="13" t="s">
        <v>235</v>
      </c>
      <c r="BM331" s="129" t="s">
        <v>858</v>
      </c>
    </row>
    <row r="332" spans="2:65" s="1" customFormat="1" ht="16.5" customHeight="1" x14ac:dyDescent="0.2">
      <c r="B332" s="118"/>
      <c r="C332" s="119" t="s">
        <v>859</v>
      </c>
      <c r="D332" s="119" t="s">
        <v>231</v>
      </c>
      <c r="E332" s="120" t="s">
        <v>3052</v>
      </c>
      <c r="F332" s="121" t="s">
        <v>3053</v>
      </c>
      <c r="G332" s="122" t="s">
        <v>292</v>
      </c>
      <c r="H332" s="123">
        <v>40</v>
      </c>
      <c r="I332" s="124">
        <v>3.76</v>
      </c>
      <c r="J332" s="124">
        <f t="shared" si="90"/>
        <v>150.4</v>
      </c>
      <c r="K332" s="121" t="s">
        <v>1</v>
      </c>
      <c r="L332" s="24"/>
      <c r="M332" s="125" t="s">
        <v>1</v>
      </c>
      <c r="N332" s="126" t="s">
        <v>32</v>
      </c>
      <c r="O332" s="127">
        <v>0</v>
      </c>
      <c r="P332" s="127">
        <f t="shared" si="91"/>
        <v>0</v>
      </c>
      <c r="Q332" s="127">
        <v>0</v>
      </c>
      <c r="R332" s="127">
        <f t="shared" si="92"/>
        <v>0</v>
      </c>
      <c r="S332" s="127">
        <v>0</v>
      </c>
      <c r="T332" s="128">
        <f t="shared" si="93"/>
        <v>0</v>
      </c>
      <c r="AR332" s="129" t="s">
        <v>235</v>
      </c>
      <c r="AT332" s="129" t="s">
        <v>231</v>
      </c>
      <c r="AU332" s="129" t="s">
        <v>76</v>
      </c>
      <c r="AY332" s="13" t="s">
        <v>228</v>
      </c>
      <c r="BE332" s="130">
        <f t="shared" si="94"/>
        <v>0</v>
      </c>
      <c r="BF332" s="130">
        <f t="shared" si="95"/>
        <v>150.4</v>
      </c>
      <c r="BG332" s="130">
        <f t="shared" si="96"/>
        <v>0</v>
      </c>
      <c r="BH332" s="130">
        <f t="shared" si="97"/>
        <v>0</v>
      </c>
      <c r="BI332" s="130">
        <f t="shared" si="98"/>
        <v>0</v>
      </c>
      <c r="BJ332" s="13" t="s">
        <v>76</v>
      </c>
      <c r="BK332" s="130">
        <f t="shared" si="99"/>
        <v>150.4</v>
      </c>
      <c r="BL332" s="13" t="s">
        <v>235</v>
      </c>
      <c r="BM332" s="129" t="s">
        <v>862</v>
      </c>
    </row>
    <row r="333" spans="2:65" s="1" customFormat="1" ht="16.5" customHeight="1" x14ac:dyDescent="0.2">
      <c r="B333" s="118"/>
      <c r="C333" s="119" t="s">
        <v>542</v>
      </c>
      <c r="D333" s="119" t="s">
        <v>231</v>
      </c>
      <c r="E333" s="120" t="s">
        <v>5189</v>
      </c>
      <c r="F333" s="121" t="s">
        <v>5190</v>
      </c>
      <c r="G333" s="122" t="s">
        <v>243</v>
      </c>
      <c r="H333" s="123">
        <v>22</v>
      </c>
      <c r="I333" s="124">
        <v>0.7</v>
      </c>
      <c r="J333" s="124">
        <f t="shared" si="90"/>
        <v>15.4</v>
      </c>
      <c r="K333" s="121" t="s">
        <v>1</v>
      </c>
      <c r="L333" s="24"/>
      <c r="M333" s="125" t="s">
        <v>1</v>
      </c>
      <c r="N333" s="126" t="s">
        <v>32</v>
      </c>
      <c r="O333" s="127">
        <v>0</v>
      </c>
      <c r="P333" s="127">
        <f t="shared" si="91"/>
        <v>0</v>
      </c>
      <c r="Q333" s="127">
        <v>0</v>
      </c>
      <c r="R333" s="127">
        <f t="shared" si="92"/>
        <v>0</v>
      </c>
      <c r="S333" s="127">
        <v>0</v>
      </c>
      <c r="T333" s="128">
        <f t="shared" si="93"/>
        <v>0</v>
      </c>
      <c r="AR333" s="129" t="s">
        <v>235</v>
      </c>
      <c r="AT333" s="129" t="s">
        <v>231</v>
      </c>
      <c r="AU333" s="129" t="s">
        <v>76</v>
      </c>
      <c r="AY333" s="13" t="s">
        <v>228</v>
      </c>
      <c r="BE333" s="130">
        <f t="shared" si="94"/>
        <v>0</v>
      </c>
      <c r="BF333" s="130">
        <f t="shared" si="95"/>
        <v>15.4</v>
      </c>
      <c r="BG333" s="130">
        <f t="shared" si="96"/>
        <v>0</v>
      </c>
      <c r="BH333" s="130">
        <f t="shared" si="97"/>
        <v>0</v>
      </c>
      <c r="BI333" s="130">
        <f t="shared" si="98"/>
        <v>0</v>
      </c>
      <c r="BJ333" s="13" t="s">
        <v>76</v>
      </c>
      <c r="BK333" s="130">
        <f t="shared" si="99"/>
        <v>15.4</v>
      </c>
      <c r="BL333" s="13" t="s">
        <v>235</v>
      </c>
      <c r="BM333" s="129" t="s">
        <v>867</v>
      </c>
    </row>
    <row r="334" spans="2:65" s="1" customFormat="1" ht="16.5" customHeight="1" x14ac:dyDescent="0.2">
      <c r="B334" s="118"/>
      <c r="C334" s="119" t="s">
        <v>868</v>
      </c>
      <c r="D334" s="119" t="s">
        <v>231</v>
      </c>
      <c r="E334" s="120" t="s">
        <v>5191</v>
      </c>
      <c r="F334" s="121" t="s">
        <v>5192</v>
      </c>
      <c r="G334" s="122" t="s">
        <v>570</v>
      </c>
      <c r="H334" s="123">
        <v>1</v>
      </c>
      <c r="I334" s="124">
        <v>34.83</v>
      </c>
      <c r="J334" s="124">
        <f t="shared" si="90"/>
        <v>34.83</v>
      </c>
      <c r="K334" s="121" t="s">
        <v>1</v>
      </c>
      <c r="L334" s="24"/>
      <c r="M334" s="125" t="s">
        <v>1</v>
      </c>
      <c r="N334" s="126" t="s">
        <v>32</v>
      </c>
      <c r="O334" s="127">
        <v>0</v>
      </c>
      <c r="P334" s="127">
        <f t="shared" si="91"/>
        <v>0</v>
      </c>
      <c r="Q334" s="127">
        <v>0</v>
      </c>
      <c r="R334" s="127">
        <f t="shared" si="92"/>
        <v>0</v>
      </c>
      <c r="S334" s="127">
        <v>0</v>
      </c>
      <c r="T334" s="128">
        <f t="shared" si="93"/>
        <v>0</v>
      </c>
      <c r="AR334" s="129" t="s">
        <v>235</v>
      </c>
      <c r="AT334" s="129" t="s">
        <v>231</v>
      </c>
      <c r="AU334" s="129" t="s">
        <v>76</v>
      </c>
      <c r="AY334" s="13" t="s">
        <v>228</v>
      </c>
      <c r="BE334" s="130">
        <f t="shared" si="94"/>
        <v>0</v>
      </c>
      <c r="BF334" s="130">
        <f t="shared" si="95"/>
        <v>34.83</v>
      </c>
      <c r="BG334" s="130">
        <f t="shared" si="96"/>
        <v>0</v>
      </c>
      <c r="BH334" s="130">
        <f t="shared" si="97"/>
        <v>0</v>
      </c>
      <c r="BI334" s="130">
        <f t="shared" si="98"/>
        <v>0</v>
      </c>
      <c r="BJ334" s="13" t="s">
        <v>76</v>
      </c>
      <c r="BK334" s="130">
        <f t="shared" si="99"/>
        <v>34.83</v>
      </c>
      <c r="BL334" s="13" t="s">
        <v>235</v>
      </c>
      <c r="BM334" s="129" t="s">
        <v>871</v>
      </c>
    </row>
    <row r="335" spans="2:65" s="11" customFormat="1" ht="22.95" customHeight="1" x14ac:dyDescent="0.25">
      <c r="B335" s="106"/>
      <c r="D335" s="107" t="s">
        <v>57</v>
      </c>
      <c r="E335" s="116" t="s">
        <v>1240</v>
      </c>
      <c r="F335" s="116" t="s">
        <v>3054</v>
      </c>
      <c r="J335" s="117">
        <f>BK335</f>
        <v>307.72000000000003</v>
      </c>
      <c r="L335" s="106"/>
      <c r="M335" s="110"/>
      <c r="N335" s="111"/>
      <c r="O335" s="111"/>
      <c r="P335" s="112">
        <f>SUM(P336:P338)</f>
        <v>0</v>
      </c>
      <c r="Q335" s="111"/>
      <c r="R335" s="112">
        <f>SUM(R336:R338)</f>
        <v>0</v>
      </c>
      <c r="S335" s="111"/>
      <c r="T335" s="113">
        <f>SUM(T336:T338)</f>
        <v>0</v>
      </c>
      <c r="AR335" s="107" t="s">
        <v>63</v>
      </c>
      <c r="AT335" s="114" t="s">
        <v>57</v>
      </c>
      <c r="AU335" s="114" t="s">
        <v>63</v>
      </c>
      <c r="AY335" s="107" t="s">
        <v>228</v>
      </c>
      <c r="BK335" s="115">
        <f>SUM(BK336:BK338)</f>
        <v>307.72000000000003</v>
      </c>
    </row>
    <row r="336" spans="2:65" s="1" customFormat="1" ht="16.5" customHeight="1" x14ac:dyDescent="0.2">
      <c r="B336" s="118"/>
      <c r="C336" s="119" t="s">
        <v>546</v>
      </c>
      <c r="D336" s="119" t="s">
        <v>231</v>
      </c>
      <c r="E336" s="120" t="s">
        <v>3055</v>
      </c>
      <c r="F336" s="121" t="s">
        <v>3056</v>
      </c>
      <c r="G336" s="122" t="s">
        <v>570</v>
      </c>
      <c r="H336" s="123">
        <v>1</v>
      </c>
      <c r="I336" s="124">
        <v>104.51</v>
      </c>
      <c r="J336" s="124">
        <f>ROUND(I336*H336,2)</f>
        <v>104.51</v>
      </c>
      <c r="K336" s="121" t="s">
        <v>1</v>
      </c>
      <c r="L336" s="24"/>
      <c r="M336" s="125" t="s">
        <v>1</v>
      </c>
      <c r="N336" s="126" t="s">
        <v>32</v>
      </c>
      <c r="O336" s="127">
        <v>0</v>
      </c>
      <c r="P336" s="127">
        <f>O336*H336</f>
        <v>0</v>
      </c>
      <c r="Q336" s="127">
        <v>0</v>
      </c>
      <c r="R336" s="127">
        <f>Q336*H336</f>
        <v>0</v>
      </c>
      <c r="S336" s="127">
        <v>0</v>
      </c>
      <c r="T336" s="128">
        <f>S336*H336</f>
        <v>0</v>
      </c>
      <c r="AR336" s="129" t="s">
        <v>235</v>
      </c>
      <c r="AT336" s="129" t="s">
        <v>231</v>
      </c>
      <c r="AU336" s="129" t="s">
        <v>76</v>
      </c>
      <c r="AY336" s="13" t="s">
        <v>228</v>
      </c>
      <c r="BE336" s="130">
        <f>IF(N336="základná",J336,0)</f>
        <v>0</v>
      </c>
      <c r="BF336" s="130">
        <f>IF(N336="znížená",J336,0)</f>
        <v>104.51</v>
      </c>
      <c r="BG336" s="130">
        <f>IF(N336="zákl. prenesená",J336,0)</f>
        <v>0</v>
      </c>
      <c r="BH336" s="130">
        <f>IF(N336="zníž. prenesená",J336,0)</f>
        <v>0</v>
      </c>
      <c r="BI336" s="130">
        <f>IF(N336="nulová",J336,0)</f>
        <v>0</v>
      </c>
      <c r="BJ336" s="13" t="s">
        <v>76</v>
      </c>
      <c r="BK336" s="130">
        <f>ROUND(I336*H336,2)</f>
        <v>104.51</v>
      </c>
      <c r="BL336" s="13" t="s">
        <v>235</v>
      </c>
      <c r="BM336" s="129" t="s">
        <v>874</v>
      </c>
    </row>
    <row r="337" spans="2:65" s="1" customFormat="1" ht="16.5" customHeight="1" x14ac:dyDescent="0.2">
      <c r="B337" s="118"/>
      <c r="C337" s="119" t="s">
        <v>875</v>
      </c>
      <c r="D337" s="119" t="s">
        <v>231</v>
      </c>
      <c r="E337" s="120" t="s">
        <v>3057</v>
      </c>
      <c r="F337" s="121" t="s">
        <v>3058</v>
      </c>
      <c r="G337" s="122" t="s">
        <v>570</v>
      </c>
      <c r="H337" s="123">
        <v>1</v>
      </c>
      <c r="I337" s="124">
        <v>29.03</v>
      </c>
      <c r="J337" s="124">
        <f>ROUND(I337*H337,2)</f>
        <v>29.03</v>
      </c>
      <c r="K337" s="121" t="s">
        <v>1</v>
      </c>
      <c r="L337" s="24"/>
      <c r="M337" s="125" t="s">
        <v>1</v>
      </c>
      <c r="N337" s="126" t="s">
        <v>32</v>
      </c>
      <c r="O337" s="127">
        <v>0</v>
      </c>
      <c r="P337" s="127">
        <f>O337*H337</f>
        <v>0</v>
      </c>
      <c r="Q337" s="127">
        <v>0</v>
      </c>
      <c r="R337" s="127">
        <f>Q337*H337</f>
        <v>0</v>
      </c>
      <c r="S337" s="127">
        <v>0</v>
      </c>
      <c r="T337" s="128">
        <f>S337*H337</f>
        <v>0</v>
      </c>
      <c r="AR337" s="129" t="s">
        <v>235</v>
      </c>
      <c r="AT337" s="129" t="s">
        <v>231</v>
      </c>
      <c r="AU337" s="129" t="s">
        <v>76</v>
      </c>
      <c r="AY337" s="13" t="s">
        <v>228</v>
      </c>
      <c r="BE337" s="130">
        <f>IF(N337="základná",J337,0)</f>
        <v>0</v>
      </c>
      <c r="BF337" s="130">
        <f>IF(N337="znížená",J337,0)</f>
        <v>29.03</v>
      </c>
      <c r="BG337" s="130">
        <f>IF(N337="zákl. prenesená",J337,0)</f>
        <v>0</v>
      </c>
      <c r="BH337" s="130">
        <f>IF(N337="zníž. prenesená",J337,0)</f>
        <v>0</v>
      </c>
      <c r="BI337" s="130">
        <f>IF(N337="nulová",J337,0)</f>
        <v>0</v>
      </c>
      <c r="BJ337" s="13" t="s">
        <v>76</v>
      </c>
      <c r="BK337" s="130">
        <f>ROUND(I337*H337,2)</f>
        <v>29.03</v>
      </c>
      <c r="BL337" s="13" t="s">
        <v>235</v>
      </c>
      <c r="BM337" s="129" t="s">
        <v>878</v>
      </c>
    </row>
    <row r="338" spans="2:65" s="1" customFormat="1" ht="16.5" customHeight="1" x14ac:dyDescent="0.2">
      <c r="B338" s="118"/>
      <c r="C338" s="119" t="s">
        <v>549</v>
      </c>
      <c r="D338" s="119" t="s">
        <v>231</v>
      </c>
      <c r="E338" s="120" t="s">
        <v>3059</v>
      </c>
      <c r="F338" s="121" t="s">
        <v>3060</v>
      </c>
      <c r="G338" s="122" t="s">
        <v>570</v>
      </c>
      <c r="H338" s="123">
        <v>1</v>
      </c>
      <c r="I338" s="124">
        <v>174.18</v>
      </c>
      <c r="J338" s="124">
        <f>ROUND(I338*H338,2)</f>
        <v>174.18</v>
      </c>
      <c r="K338" s="121" t="s">
        <v>1</v>
      </c>
      <c r="L338" s="24"/>
      <c r="M338" s="125" t="s">
        <v>1</v>
      </c>
      <c r="N338" s="126" t="s">
        <v>32</v>
      </c>
      <c r="O338" s="127">
        <v>0</v>
      </c>
      <c r="P338" s="127">
        <f>O338*H338</f>
        <v>0</v>
      </c>
      <c r="Q338" s="127">
        <v>0</v>
      </c>
      <c r="R338" s="127">
        <f>Q338*H338</f>
        <v>0</v>
      </c>
      <c r="S338" s="127">
        <v>0</v>
      </c>
      <c r="T338" s="128">
        <f>S338*H338</f>
        <v>0</v>
      </c>
      <c r="AR338" s="129" t="s">
        <v>235</v>
      </c>
      <c r="AT338" s="129" t="s">
        <v>231</v>
      </c>
      <c r="AU338" s="129" t="s">
        <v>76</v>
      </c>
      <c r="AY338" s="13" t="s">
        <v>228</v>
      </c>
      <c r="BE338" s="130">
        <f>IF(N338="základná",J338,0)</f>
        <v>0</v>
      </c>
      <c r="BF338" s="130">
        <f>IF(N338="znížená",J338,0)</f>
        <v>174.18</v>
      </c>
      <c r="BG338" s="130">
        <f>IF(N338="zákl. prenesená",J338,0)</f>
        <v>0</v>
      </c>
      <c r="BH338" s="130">
        <f>IF(N338="zníž. prenesená",J338,0)</f>
        <v>0</v>
      </c>
      <c r="BI338" s="130">
        <f>IF(N338="nulová",J338,0)</f>
        <v>0</v>
      </c>
      <c r="BJ338" s="13" t="s">
        <v>76</v>
      </c>
      <c r="BK338" s="130">
        <f>ROUND(I338*H338,2)</f>
        <v>174.18</v>
      </c>
      <c r="BL338" s="13" t="s">
        <v>235</v>
      </c>
      <c r="BM338" s="129" t="s">
        <v>881</v>
      </c>
    </row>
    <row r="339" spans="2:65" s="11" customFormat="1" ht="22.95" customHeight="1" x14ac:dyDescent="0.25">
      <c r="B339" s="106"/>
      <c r="D339" s="107" t="s">
        <v>57</v>
      </c>
      <c r="E339" s="116" t="s">
        <v>1247</v>
      </c>
      <c r="F339" s="116" t="s">
        <v>3061</v>
      </c>
      <c r="J339" s="117">
        <f>BK339</f>
        <v>492.04999999999995</v>
      </c>
      <c r="L339" s="106"/>
      <c r="M339" s="110"/>
      <c r="N339" s="111"/>
      <c r="O339" s="111"/>
      <c r="P339" s="112">
        <f>SUM(P340:P343)</f>
        <v>0</v>
      </c>
      <c r="Q339" s="111"/>
      <c r="R339" s="112">
        <f>SUM(R340:R343)</f>
        <v>0</v>
      </c>
      <c r="S339" s="111"/>
      <c r="T339" s="113">
        <f>SUM(T340:T343)</f>
        <v>0</v>
      </c>
      <c r="AR339" s="107" t="s">
        <v>63</v>
      </c>
      <c r="AT339" s="114" t="s">
        <v>57</v>
      </c>
      <c r="AU339" s="114" t="s">
        <v>63</v>
      </c>
      <c r="AY339" s="107" t="s">
        <v>228</v>
      </c>
      <c r="BK339" s="115">
        <f>SUM(BK340:BK343)</f>
        <v>492.04999999999995</v>
      </c>
    </row>
    <row r="340" spans="2:65" s="1" customFormat="1" ht="16.5" customHeight="1" x14ac:dyDescent="0.2">
      <c r="B340" s="118"/>
      <c r="C340" s="119" t="s">
        <v>884</v>
      </c>
      <c r="D340" s="119" t="s">
        <v>231</v>
      </c>
      <c r="E340" s="120" t="s">
        <v>3062</v>
      </c>
      <c r="F340" s="121" t="s">
        <v>3063</v>
      </c>
      <c r="G340" s="122" t="s">
        <v>570</v>
      </c>
      <c r="H340" s="123">
        <v>1</v>
      </c>
      <c r="I340" s="124">
        <v>110.31</v>
      </c>
      <c r="J340" s="124">
        <f>ROUND(I340*H340,2)</f>
        <v>110.31</v>
      </c>
      <c r="K340" s="121" t="s">
        <v>1</v>
      </c>
      <c r="L340" s="24"/>
      <c r="M340" s="125" t="s">
        <v>1</v>
      </c>
      <c r="N340" s="126" t="s">
        <v>32</v>
      </c>
      <c r="O340" s="127">
        <v>0</v>
      </c>
      <c r="P340" s="127">
        <f>O340*H340</f>
        <v>0</v>
      </c>
      <c r="Q340" s="127">
        <v>0</v>
      </c>
      <c r="R340" s="127">
        <f>Q340*H340</f>
        <v>0</v>
      </c>
      <c r="S340" s="127">
        <v>0</v>
      </c>
      <c r="T340" s="128">
        <f>S340*H340</f>
        <v>0</v>
      </c>
      <c r="AR340" s="129" t="s">
        <v>235</v>
      </c>
      <c r="AT340" s="129" t="s">
        <v>231</v>
      </c>
      <c r="AU340" s="129" t="s">
        <v>76</v>
      </c>
      <c r="AY340" s="13" t="s">
        <v>228</v>
      </c>
      <c r="BE340" s="130">
        <f>IF(N340="základná",J340,0)</f>
        <v>0</v>
      </c>
      <c r="BF340" s="130">
        <f>IF(N340="znížená",J340,0)</f>
        <v>110.31</v>
      </c>
      <c r="BG340" s="130">
        <f>IF(N340="zákl. prenesená",J340,0)</f>
        <v>0</v>
      </c>
      <c r="BH340" s="130">
        <f>IF(N340="zníž. prenesená",J340,0)</f>
        <v>0</v>
      </c>
      <c r="BI340" s="130">
        <f>IF(N340="nulová",J340,0)</f>
        <v>0</v>
      </c>
      <c r="BJ340" s="13" t="s">
        <v>76</v>
      </c>
      <c r="BK340" s="130">
        <f>ROUND(I340*H340,2)</f>
        <v>110.31</v>
      </c>
      <c r="BL340" s="13" t="s">
        <v>235</v>
      </c>
      <c r="BM340" s="129" t="s">
        <v>887</v>
      </c>
    </row>
    <row r="341" spans="2:65" s="1" customFormat="1" ht="16.5" customHeight="1" x14ac:dyDescent="0.2">
      <c r="B341" s="118"/>
      <c r="C341" s="119" t="s">
        <v>555</v>
      </c>
      <c r="D341" s="119" t="s">
        <v>231</v>
      </c>
      <c r="E341" s="120" t="s">
        <v>3064</v>
      </c>
      <c r="F341" s="121" t="s">
        <v>3065</v>
      </c>
      <c r="G341" s="122" t="s">
        <v>570</v>
      </c>
      <c r="H341" s="123">
        <v>1</v>
      </c>
      <c r="I341" s="124">
        <v>91.44</v>
      </c>
      <c r="J341" s="124">
        <f>ROUND(I341*H341,2)</f>
        <v>91.44</v>
      </c>
      <c r="K341" s="121" t="s">
        <v>1</v>
      </c>
      <c r="L341" s="24"/>
      <c r="M341" s="125" t="s">
        <v>1</v>
      </c>
      <c r="N341" s="126" t="s">
        <v>32</v>
      </c>
      <c r="O341" s="127">
        <v>0</v>
      </c>
      <c r="P341" s="127">
        <f>O341*H341</f>
        <v>0</v>
      </c>
      <c r="Q341" s="127">
        <v>0</v>
      </c>
      <c r="R341" s="127">
        <f>Q341*H341</f>
        <v>0</v>
      </c>
      <c r="S341" s="127">
        <v>0</v>
      </c>
      <c r="T341" s="128">
        <f>S341*H341</f>
        <v>0</v>
      </c>
      <c r="AR341" s="129" t="s">
        <v>235</v>
      </c>
      <c r="AT341" s="129" t="s">
        <v>231</v>
      </c>
      <c r="AU341" s="129" t="s">
        <v>76</v>
      </c>
      <c r="AY341" s="13" t="s">
        <v>228</v>
      </c>
      <c r="BE341" s="130">
        <f>IF(N341="základná",J341,0)</f>
        <v>0</v>
      </c>
      <c r="BF341" s="130">
        <f>IF(N341="znížená",J341,0)</f>
        <v>91.44</v>
      </c>
      <c r="BG341" s="130">
        <f>IF(N341="zákl. prenesená",J341,0)</f>
        <v>0</v>
      </c>
      <c r="BH341" s="130">
        <f>IF(N341="zníž. prenesená",J341,0)</f>
        <v>0</v>
      </c>
      <c r="BI341" s="130">
        <f>IF(N341="nulová",J341,0)</f>
        <v>0</v>
      </c>
      <c r="BJ341" s="13" t="s">
        <v>76</v>
      </c>
      <c r="BK341" s="130">
        <f>ROUND(I341*H341,2)</f>
        <v>91.44</v>
      </c>
      <c r="BL341" s="13" t="s">
        <v>235</v>
      </c>
      <c r="BM341" s="129" t="s">
        <v>890</v>
      </c>
    </row>
    <row r="342" spans="2:65" s="1" customFormat="1" ht="16.5" customHeight="1" x14ac:dyDescent="0.2">
      <c r="B342" s="118"/>
      <c r="C342" s="119" t="s">
        <v>2200</v>
      </c>
      <c r="D342" s="119" t="s">
        <v>231</v>
      </c>
      <c r="E342" s="120" t="s">
        <v>3066</v>
      </c>
      <c r="F342" s="121" t="s">
        <v>3067</v>
      </c>
      <c r="G342" s="122" t="s">
        <v>570</v>
      </c>
      <c r="H342" s="123">
        <v>1</v>
      </c>
      <c r="I342" s="124">
        <v>145.15</v>
      </c>
      <c r="J342" s="124">
        <f>ROUND(I342*H342,2)</f>
        <v>145.15</v>
      </c>
      <c r="K342" s="121" t="s">
        <v>1</v>
      </c>
      <c r="L342" s="24"/>
      <c r="M342" s="125" t="s">
        <v>1</v>
      </c>
      <c r="N342" s="126" t="s">
        <v>32</v>
      </c>
      <c r="O342" s="127">
        <v>0</v>
      </c>
      <c r="P342" s="127">
        <f>O342*H342</f>
        <v>0</v>
      </c>
      <c r="Q342" s="127">
        <v>0</v>
      </c>
      <c r="R342" s="127">
        <f>Q342*H342</f>
        <v>0</v>
      </c>
      <c r="S342" s="127">
        <v>0</v>
      </c>
      <c r="T342" s="128">
        <f>S342*H342</f>
        <v>0</v>
      </c>
      <c r="AR342" s="129" t="s">
        <v>235</v>
      </c>
      <c r="AT342" s="129" t="s">
        <v>231</v>
      </c>
      <c r="AU342" s="129" t="s">
        <v>76</v>
      </c>
      <c r="AY342" s="13" t="s">
        <v>228</v>
      </c>
      <c r="BE342" s="130">
        <f>IF(N342="základná",J342,0)</f>
        <v>0</v>
      </c>
      <c r="BF342" s="130">
        <f>IF(N342="znížená",J342,0)</f>
        <v>145.15</v>
      </c>
      <c r="BG342" s="130">
        <f>IF(N342="zákl. prenesená",J342,0)</f>
        <v>0</v>
      </c>
      <c r="BH342" s="130">
        <f>IF(N342="zníž. prenesená",J342,0)</f>
        <v>0</v>
      </c>
      <c r="BI342" s="130">
        <f>IF(N342="nulová",J342,0)</f>
        <v>0</v>
      </c>
      <c r="BJ342" s="13" t="s">
        <v>76</v>
      </c>
      <c r="BK342" s="130">
        <f>ROUND(I342*H342,2)</f>
        <v>145.15</v>
      </c>
      <c r="BL342" s="13" t="s">
        <v>235</v>
      </c>
      <c r="BM342" s="129" t="s">
        <v>2201</v>
      </c>
    </row>
    <row r="343" spans="2:65" s="1" customFormat="1" ht="16.5" customHeight="1" x14ac:dyDescent="0.2">
      <c r="B343" s="118"/>
      <c r="C343" s="119" t="s">
        <v>562</v>
      </c>
      <c r="D343" s="119" t="s">
        <v>231</v>
      </c>
      <c r="E343" s="120" t="s">
        <v>3068</v>
      </c>
      <c r="F343" s="121" t="s">
        <v>3069</v>
      </c>
      <c r="G343" s="122" t="s">
        <v>570</v>
      </c>
      <c r="H343" s="123">
        <v>1</v>
      </c>
      <c r="I343" s="124">
        <v>145.15</v>
      </c>
      <c r="J343" s="124">
        <f>ROUND(I343*H343,2)</f>
        <v>145.15</v>
      </c>
      <c r="K343" s="121" t="s">
        <v>1</v>
      </c>
      <c r="L343" s="24"/>
      <c r="M343" s="125" t="s">
        <v>1</v>
      </c>
      <c r="N343" s="126" t="s">
        <v>32</v>
      </c>
      <c r="O343" s="127">
        <v>0</v>
      </c>
      <c r="P343" s="127">
        <f>O343*H343</f>
        <v>0</v>
      </c>
      <c r="Q343" s="127">
        <v>0</v>
      </c>
      <c r="R343" s="127">
        <f>Q343*H343</f>
        <v>0</v>
      </c>
      <c r="S343" s="127">
        <v>0</v>
      </c>
      <c r="T343" s="128">
        <f>S343*H343</f>
        <v>0</v>
      </c>
      <c r="AR343" s="129" t="s">
        <v>235</v>
      </c>
      <c r="AT343" s="129" t="s">
        <v>231</v>
      </c>
      <c r="AU343" s="129" t="s">
        <v>76</v>
      </c>
      <c r="AY343" s="13" t="s">
        <v>228</v>
      </c>
      <c r="BE343" s="130">
        <f>IF(N343="základná",J343,0)</f>
        <v>0</v>
      </c>
      <c r="BF343" s="130">
        <f>IF(N343="znížená",J343,0)</f>
        <v>145.15</v>
      </c>
      <c r="BG343" s="130">
        <f>IF(N343="zákl. prenesená",J343,0)</f>
        <v>0</v>
      </c>
      <c r="BH343" s="130">
        <f>IF(N343="zníž. prenesená",J343,0)</f>
        <v>0</v>
      </c>
      <c r="BI343" s="130">
        <f>IF(N343="nulová",J343,0)</f>
        <v>0</v>
      </c>
      <c r="BJ343" s="13" t="s">
        <v>76</v>
      </c>
      <c r="BK343" s="130">
        <f>ROUND(I343*H343,2)</f>
        <v>145.15</v>
      </c>
      <c r="BL343" s="13" t="s">
        <v>235</v>
      </c>
      <c r="BM343" s="129" t="s">
        <v>2202</v>
      </c>
    </row>
    <row r="344" spans="2:65" s="11" customFormat="1" ht="22.95" customHeight="1" x14ac:dyDescent="0.25">
      <c r="B344" s="106"/>
      <c r="D344" s="107" t="s">
        <v>57</v>
      </c>
      <c r="E344" s="116" t="s">
        <v>1252</v>
      </c>
      <c r="F344" s="116" t="s">
        <v>3070</v>
      </c>
      <c r="J344" s="117">
        <f>BK344</f>
        <v>1856.04</v>
      </c>
      <c r="L344" s="106"/>
      <c r="M344" s="110"/>
      <c r="N344" s="111"/>
      <c r="O344" s="111"/>
      <c r="P344" s="112">
        <f>SUM(P345:P348)</f>
        <v>0</v>
      </c>
      <c r="Q344" s="111"/>
      <c r="R344" s="112">
        <f>SUM(R345:R348)</f>
        <v>0</v>
      </c>
      <c r="S344" s="111"/>
      <c r="T344" s="113">
        <f>SUM(T345:T348)</f>
        <v>0</v>
      </c>
      <c r="AR344" s="107" t="s">
        <v>63</v>
      </c>
      <c r="AT344" s="114" t="s">
        <v>57</v>
      </c>
      <c r="AU344" s="114" t="s">
        <v>63</v>
      </c>
      <c r="AY344" s="107" t="s">
        <v>228</v>
      </c>
      <c r="BK344" s="115">
        <f>SUM(BK345:BK348)</f>
        <v>1856.04</v>
      </c>
    </row>
    <row r="345" spans="2:65" s="1" customFormat="1" ht="24" customHeight="1" x14ac:dyDescent="0.2">
      <c r="B345" s="118"/>
      <c r="C345" s="119" t="s">
        <v>2203</v>
      </c>
      <c r="D345" s="119" t="s">
        <v>231</v>
      </c>
      <c r="E345" s="120" t="s">
        <v>3071</v>
      </c>
      <c r="F345" s="121" t="s">
        <v>3072</v>
      </c>
      <c r="G345" s="122" t="s">
        <v>284</v>
      </c>
      <c r="H345" s="123">
        <v>240</v>
      </c>
      <c r="I345" s="124">
        <v>3.48</v>
      </c>
      <c r="J345" s="124">
        <f>ROUND(I345*H345,2)</f>
        <v>835.2</v>
      </c>
      <c r="K345" s="121" t="s">
        <v>1</v>
      </c>
      <c r="L345" s="24"/>
      <c r="M345" s="125" t="s">
        <v>1</v>
      </c>
      <c r="N345" s="126" t="s">
        <v>32</v>
      </c>
      <c r="O345" s="127">
        <v>0</v>
      </c>
      <c r="P345" s="127">
        <f>O345*H345</f>
        <v>0</v>
      </c>
      <c r="Q345" s="127">
        <v>0</v>
      </c>
      <c r="R345" s="127">
        <f>Q345*H345</f>
        <v>0</v>
      </c>
      <c r="S345" s="127">
        <v>0</v>
      </c>
      <c r="T345" s="128">
        <f>S345*H345</f>
        <v>0</v>
      </c>
      <c r="AR345" s="129" t="s">
        <v>235</v>
      </c>
      <c r="AT345" s="129" t="s">
        <v>231</v>
      </c>
      <c r="AU345" s="129" t="s">
        <v>76</v>
      </c>
      <c r="AY345" s="13" t="s">
        <v>228</v>
      </c>
      <c r="BE345" s="130">
        <f>IF(N345="základná",J345,0)</f>
        <v>0</v>
      </c>
      <c r="BF345" s="130">
        <f>IF(N345="znížená",J345,0)</f>
        <v>835.2</v>
      </c>
      <c r="BG345" s="130">
        <f>IF(N345="zákl. prenesená",J345,0)</f>
        <v>0</v>
      </c>
      <c r="BH345" s="130">
        <f>IF(N345="zníž. prenesená",J345,0)</f>
        <v>0</v>
      </c>
      <c r="BI345" s="130">
        <f>IF(N345="nulová",J345,0)</f>
        <v>0</v>
      </c>
      <c r="BJ345" s="13" t="s">
        <v>76</v>
      </c>
      <c r="BK345" s="130">
        <f>ROUND(I345*H345,2)</f>
        <v>835.2</v>
      </c>
      <c r="BL345" s="13" t="s">
        <v>235</v>
      </c>
      <c r="BM345" s="129" t="s">
        <v>2204</v>
      </c>
    </row>
    <row r="346" spans="2:65" s="1" customFormat="1" ht="24" customHeight="1" x14ac:dyDescent="0.2">
      <c r="B346" s="118"/>
      <c r="C346" s="119" t="s">
        <v>567</v>
      </c>
      <c r="D346" s="119" t="s">
        <v>231</v>
      </c>
      <c r="E346" s="120" t="s">
        <v>3073</v>
      </c>
      <c r="F346" s="121" t="s">
        <v>3074</v>
      </c>
      <c r="G346" s="122" t="s">
        <v>284</v>
      </c>
      <c r="H346" s="123">
        <v>240</v>
      </c>
      <c r="I346" s="124">
        <v>2.3199999999999998</v>
      </c>
      <c r="J346" s="124">
        <f>ROUND(I346*H346,2)</f>
        <v>556.79999999999995</v>
      </c>
      <c r="K346" s="121" t="s">
        <v>1</v>
      </c>
      <c r="L346" s="24"/>
      <c r="M346" s="125" t="s">
        <v>1</v>
      </c>
      <c r="N346" s="126" t="s">
        <v>32</v>
      </c>
      <c r="O346" s="127">
        <v>0</v>
      </c>
      <c r="P346" s="127">
        <f>O346*H346</f>
        <v>0</v>
      </c>
      <c r="Q346" s="127">
        <v>0</v>
      </c>
      <c r="R346" s="127">
        <f>Q346*H346</f>
        <v>0</v>
      </c>
      <c r="S346" s="127">
        <v>0</v>
      </c>
      <c r="T346" s="128">
        <f>S346*H346</f>
        <v>0</v>
      </c>
      <c r="AR346" s="129" t="s">
        <v>235</v>
      </c>
      <c r="AT346" s="129" t="s">
        <v>231</v>
      </c>
      <c r="AU346" s="129" t="s">
        <v>76</v>
      </c>
      <c r="AY346" s="13" t="s">
        <v>228</v>
      </c>
      <c r="BE346" s="130">
        <f>IF(N346="základná",J346,0)</f>
        <v>0</v>
      </c>
      <c r="BF346" s="130">
        <f>IF(N346="znížená",J346,0)</f>
        <v>556.79999999999995</v>
      </c>
      <c r="BG346" s="130">
        <f>IF(N346="zákl. prenesená",J346,0)</f>
        <v>0</v>
      </c>
      <c r="BH346" s="130">
        <f>IF(N346="zníž. prenesená",J346,0)</f>
        <v>0</v>
      </c>
      <c r="BI346" s="130">
        <f>IF(N346="nulová",J346,0)</f>
        <v>0</v>
      </c>
      <c r="BJ346" s="13" t="s">
        <v>76</v>
      </c>
      <c r="BK346" s="130">
        <f>ROUND(I346*H346,2)</f>
        <v>556.79999999999995</v>
      </c>
      <c r="BL346" s="13" t="s">
        <v>235</v>
      </c>
      <c r="BM346" s="129" t="s">
        <v>2205</v>
      </c>
    </row>
    <row r="347" spans="2:65" s="1" customFormat="1" ht="24" customHeight="1" x14ac:dyDescent="0.2">
      <c r="B347" s="118"/>
      <c r="C347" s="119" t="s">
        <v>2206</v>
      </c>
      <c r="D347" s="119" t="s">
        <v>231</v>
      </c>
      <c r="E347" s="120" t="s">
        <v>3075</v>
      </c>
      <c r="F347" s="121" t="s">
        <v>3076</v>
      </c>
      <c r="G347" s="122" t="s">
        <v>284</v>
      </c>
      <c r="H347" s="123">
        <v>240</v>
      </c>
      <c r="I347" s="124">
        <v>1.74</v>
      </c>
      <c r="J347" s="124">
        <f>ROUND(I347*H347,2)</f>
        <v>417.6</v>
      </c>
      <c r="K347" s="121" t="s">
        <v>1</v>
      </c>
      <c r="L347" s="24"/>
      <c r="M347" s="125" t="s">
        <v>1</v>
      </c>
      <c r="N347" s="126" t="s">
        <v>32</v>
      </c>
      <c r="O347" s="127">
        <v>0</v>
      </c>
      <c r="P347" s="127">
        <f>O347*H347</f>
        <v>0</v>
      </c>
      <c r="Q347" s="127">
        <v>0</v>
      </c>
      <c r="R347" s="127">
        <f>Q347*H347</f>
        <v>0</v>
      </c>
      <c r="S347" s="127">
        <v>0</v>
      </c>
      <c r="T347" s="128">
        <f>S347*H347</f>
        <v>0</v>
      </c>
      <c r="AR347" s="129" t="s">
        <v>235</v>
      </c>
      <c r="AT347" s="129" t="s">
        <v>231</v>
      </c>
      <c r="AU347" s="129" t="s">
        <v>76</v>
      </c>
      <c r="AY347" s="13" t="s">
        <v>228</v>
      </c>
      <c r="BE347" s="130">
        <f>IF(N347="základná",J347,0)</f>
        <v>0</v>
      </c>
      <c r="BF347" s="130">
        <f>IF(N347="znížená",J347,0)</f>
        <v>417.6</v>
      </c>
      <c r="BG347" s="130">
        <f>IF(N347="zákl. prenesená",J347,0)</f>
        <v>0</v>
      </c>
      <c r="BH347" s="130">
        <f>IF(N347="zníž. prenesená",J347,0)</f>
        <v>0</v>
      </c>
      <c r="BI347" s="130">
        <f>IF(N347="nulová",J347,0)</f>
        <v>0</v>
      </c>
      <c r="BJ347" s="13" t="s">
        <v>76</v>
      </c>
      <c r="BK347" s="130">
        <f>ROUND(I347*H347,2)</f>
        <v>417.6</v>
      </c>
      <c r="BL347" s="13" t="s">
        <v>235</v>
      </c>
      <c r="BM347" s="129" t="s">
        <v>2207</v>
      </c>
    </row>
    <row r="348" spans="2:65" s="1" customFormat="1" ht="16.5" customHeight="1" x14ac:dyDescent="0.2">
      <c r="B348" s="118"/>
      <c r="C348" s="119" t="s">
        <v>571</v>
      </c>
      <c r="D348" s="119" t="s">
        <v>231</v>
      </c>
      <c r="E348" s="120" t="s">
        <v>3077</v>
      </c>
      <c r="F348" s="121" t="s">
        <v>3078</v>
      </c>
      <c r="G348" s="122" t="s">
        <v>271</v>
      </c>
      <c r="H348" s="123">
        <v>0.2</v>
      </c>
      <c r="I348" s="124">
        <v>232.2</v>
      </c>
      <c r="J348" s="124">
        <f>ROUND(I348*H348,2)</f>
        <v>46.44</v>
      </c>
      <c r="K348" s="121" t="s">
        <v>1</v>
      </c>
      <c r="L348" s="24"/>
      <c r="M348" s="140" t="s">
        <v>1</v>
      </c>
      <c r="N348" s="141" t="s">
        <v>32</v>
      </c>
      <c r="O348" s="142">
        <v>0</v>
      </c>
      <c r="P348" s="142">
        <f>O348*H348</f>
        <v>0</v>
      </c>
      <c r="Q348" s="142">
        <v>0</v>
      </c>
      <c r="R348" s="142">
        <f>Q348*H348</f>
        <v>0</v>
      </c>
      <c r="S348" s="142">
        <v>0</v>
      </c>
      <c r="T348" s="143">
        <f>S348*H348</f>
        <v>0</v>
      </c>
      <c r="AR348" s="129" t="s">
        <v>235</v>
      </c>
      <c r="AT348" s="129" t="s">
        <v>231</v>
      </c>
      <c r="AU348" s="129" t="s">
        <v>76</v>
      </c>
      <c r="AY348" s="13" t="s">
        <v>228</v>
      </c>
      <c r="BE348" s="130">
        <f>IF(N348="základná",J348,0)</f>
        <v>0</v>
      </c>
      <c r="BF348" s="130">
        <f>IF(N348="znížená",J348,0)</f>
        <v>46.44</v>
      </c>
      <c r="BG348" s="130">
        <f>IF(N348="zákl. prenesená",J348,0)</f>
        <v>0</v>
      </c>
      <c r="BH348" s="130">
        <f>IF(N348="zníž. prenesená",J348,0)</f>
        <v>0</v>
      </c>
      <c r="BI348" s="130">
        <f>IF(N348="nulová",J348,0)</f>
        <v>0</v>
      </c>
      <c r="BJ348" s="13" t="s">
        <v>76</v>
      </c>
      <c r="BK348" s="130">
        <f>ROUND(I348*H348,2)</f>
        <v>46.44</v>
      </c>
      <c r="BL348" s="13" t="s">
        <v>235</v>
      </c>
      <c r="BM348" s="129" t="s">
        <v>2208</v>
      </c>
    </row>
    <row r="349" spans="2:65" s="1" customFormat="1" ht="7.05" customHeight="1" x14ac:dyDescent="0.2">
      <c r="B349" s="33"/>
      <c r="C349" s="34"/>
      <c r="D349" s="34"/>
      <c r="E349" s="34"/>
      <c r="F349" s="34"/>
      <c r="G349" s="34"/>
      <c r="H349" s="34"/>
      <c r="I349" s="34"/>
      <c r="J349" s="34"/>
      <c r="K349" s="34"/>
      <c r="L349" s="24"/>
    </row>
  </sheetData>
  <autoFilter ref="C139:K348" xr:uid="{00000000-0009-0000-0000-00002A000000}"/>
  <mergeCells count="14">
    <mergeCell ref="E87:H87"/>
    <mergeCell ref="E130:H130"/>
    <mergeCell ref="E132:H132"/>
    <mergeCell ref="L2:V2"/>
    <mergeCell ref="E9:H9"/>
    <mergeCell ref="E18:H18"/>
    <mergeCell ref="E27:H27"/>
    <mergeCell ref="E85:H85"/>
    <mergeCell ref="C4:J4"/>
    <mergeCell ref="F6:J7"/>
    <mergeCell ref="C82:J82"/>
    <mergeCell ref="E84:J84"/>
    <mergeCell ref="C127:J127"/>
    <mergeCell ref="E129:J129"/>
  </mergeCells>
  <pageMargins left="0.39374999999999999" right="0.39374999999999999" top="0.39374999999999999" bottom="0.39374999999999999" header="0" footer="0"/>
  <pageSetup paperSize="9" scale="89" fitToHeight="100" orientation="portrait" blackAndWhite="1" r:id="rId1"/>
  <headerFooter>
    <oddFooter>&amp;CStrana &amp;P z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pageSetUpPr fitToPage="1"/>
  </sheetPr>
  <dimension ref="A1:BM369"/>
  <sheetViews>
    <sheetView showGridLines="0" topLeftCell="C109" zoomScale="80" zoomScaleNormal="80" workbookViewId="0">
      <selection activeCell="AG169" sqref="AG169:AG185"/>
    </sheetView>
  </sheetViews>
  <sheetFormatPr defaultColWidth="8.7109375" defaultRowHeight="10.199999999999999" x14ac:dyDescent="0.2"/>
  <cols>
    <col min="1" max="1" width="8.28515625" customWidth="1"/>
    <col min="2" max="2" width="1.7109375" customWidth="1"/>
    <col min="3" max="4" width="4.28515625" customWidth="1"/>
    <col min="5" max="5" width="17.28515625" customWidth="1"/>
    <col min="6" max="6" width="50.7109375" customWidth="1"/>
    <col min="7" max="7" width="7" customWidth="1"/>
    <col min="8" max="8" width="11.42578125" customWidth="1"/>
    <col min="9" max="10" width="20.28515625" customWidth="1"/>
    <col min="11" max="11" width="20.28515625" hidden="1" customWidth="1"/>
    <col min="12" max="12" width="9.28515625" customWidth="1"/>
    <col min="13" max="13" width="10.7109375" hidden="1" customWidth="1"/>
    <col min="14" max="14" width="9.28515625" hidden="1"/>
    <col min="15" max="20" width="14.28515625" hidden="1" customWidth="1"/>
    <col min="21" max="21" width="16.28515625" hidden="1" customWidth="1"/>
    <col min="22" max="22" width="12.28515625" customWidth="1"/>
    <col min="23" max="23" width="1.7109375" customWidth="1"/>
    <col min="24" max="24" width="5.7109375" customWidth="1"/>
    <col min="25" max="25" width="4.28515625" customWidth="1"/>
    <col min="26" max="26" width="17.28515625" customWidth="1"/>
    <col min="27" max="27" width="50.7109375" customWidth="1"/>
    <col min="28" max="28" width="7" customWidth="1"/>
    <col min="29" max="29" width="11.42578125" customWidth="1"/>
    <col min="30" max="31" width="20.28515625" customWidth="1"/>
    <col min="32" max="32" width="15" style="223" customWidth="1"/>
    <col min="34" max="34" width="13.7109375" style="560" customWidth="1"/>
    <col min="35" max="35" width="12.28515625" style="560" bestFit="1" customWidth="1"/>
    <col min="37" max="37" width="12.7109375" customWidth="1"/>
    <col min="44" max="65" width="9.28515625" hidden="1"/>
  </cols>
  <sheetData>
    <row r="1" spans="1:46" x14ac:dyDescent="0.2">
      <c r="A1" s="73"/>
    </row>
    <row r="2" spans="1:46" ht="37.049999999999997" customHeight="1" x14ac:dyDescent="0.2">
      <c r="L2" s="1227" t="s">
        <v>5</v>
      </c>
      <c r="M2" s="1225"/>
      <c r="N2" s="1225"/>
      <c r="O2" s="1225"/>
      <c r="P2" s="1225"/>
      <c r="Q2" s="1225"/>
      <c r="R2" s="1225"/>
      <c r="S2" s="1225"/>
      <c r="T2" s="1225"/>
      <c r="U2" s="1225"/>
      <c r="V2" s="1225"/>
      <c r="AT2" s="13" t="s">
        <v>72</v>
      </c>
    </row>
    <row r="3" spans="1:46" ht="7.05" customHeight="1" x14ac:dyDescent="0.2">
      <c r="B3" s="14"/>
      <c r="C3" s="15"/>
      <c r="D3" s="15"/>
      <c r="E3" s="15"/>
      <c r="F3" s="15"/>
      <c r="G3" s="15"/>
      <c r="H3" s="15"/>
      <c r="I3" s="15"/>
      <c r="J3" s="15"/>
      <c r="K3" s="15"/>
      <c r="L3" s="16"/>
      <c r="W3" s="152"/>
      <c r="X3" s="153"/>
      <c r="Y3" s="153"/>
      <c r="Z3" s="153"/>
      <c r="AA3" s="153"/>
      <c r="AB3" s="153"/>
      <c r="AC3" s="153"/>
      <c r="AD3" s="153"/>
      <c r="AE3" s="154"/>
      <c r="AT3" s="13" t="s">
        <v>58</v>
      </c>
    </row>
    <row r="4" spans="1:46" ht="25.05" customHeight="1" x14ac:dyDescent="0.2">
      <c r="B4" s="16"/>
      <c r="C4" s="1165" t="s">
        <v>185</v>
      </c>
      <c r="D4" s="1165"/>
      <c r="E4" s="1165"/>
      <c r="F4" s="1165"/>
      <c r="G4" s="1165"/>
      <c r="H4" s="1165"/>
      <c r="I4" s="1165"/>
      <c r="J4" s="1165"/>
      <c r="L4" s="16"/>
      <c r="M4" s="74" t="s">
        <v>9</v>
      </c>
      <c r="W4" s="155"/>
      <c r="X4" s="1237" t="s">
        <v>185</v>
      </c>
      <c r="Y4" s="1237"/>
      <c r="Z4" s="1237"/>
      <c r="AA4" s="1237"/>
      <c r="AB4" s="1237"/>
      <c r="AC4" s="1237"/>
      <c r="AD4" s="1237"/>
      <c r="AE4" s="1238"/>
      <c r="AT4" s="13" t="s">
        <v>3</v>
      </c>
    </row>
    <row r="5" spans="1:46" ht="7.05" customHeight="1" x14ac:dyDescent="0.2">
      <c r="B5" s="16"/>
      <c r="L5" s="16"/>
      <c r="W5" s="155"/>
      <c r="X5" s="156"/>
      <c r="Y5" s="156"/>
      <c r="Z5" s="156"/>
      <c r="AA5" s="156"/>
      <c r="AB5" s="156"/>
      <c r="AC5" s="156"/>
      <c r="AD5" s="156"/>
      <c r="AE5" s="157"/>
    </row>
    <row r="6" spans="1:46" ht="12" customHeight="1" x14ac:dyDescent="0.2">
      <c r="B6" s="16"/>
      <c r="D6" s="548" t="s">
        <v>12</v>
      </c>
      <c r="F6" s="1254" t="s">
        <v>6176</v>
      </c>
      <c r="G6" s="1254"/>
      <c r="H6" s="1254"/>
      <c r="I6" s="1254"/>
      <c r="J6" s="1254"/>
      <c r="L6" s="16"/>
      <c r="W6" s="155"/>
      <c r="X6" s="156"/>
      <c r="Y6" s="541" t="s">
        <v>12</v>
      </c>
      <c r="Z6" s="156"/>
      <c r="AA6" s="1239" t="s">
        <v>6176</v>
      </c>
      <c r="AB6" s="1239"/>
      <c r="AC6" s="1239"/>
      <c r="AD6" s="1239"/>
      <c r="AE6" s="1240"/>
    </row>
    <row r="7" spans="1:46" ht="22.95" customHeight="1" x14ac:dyDescent="0.2">
      <c r="B7" s="16"/>
      <c r="D7" s="527"/>
      <c r="E7" s="531"/>
      <c r="F7" s="1254"/>
      <c r="G7" s="1254"/>
      <c r="H7" s="1254"/>
      <c r="I7" s="1254"/>
      <c r="J7" s="1254"/>
      <c r="L7" s="16"/>
      <c r="W7" s="155"/>
      <c r="X7" s="156"/>
      <c r="Y7" s="539"/>
      <c r="Z7" s="245"/>
      <c r="AA7" s="1239"/>
      <c r="AB7" s="1239"/>
      <c r="AC7" s="1239"/>
      <c r="AD7" s="1239"/>
      <c r="AE7" s="1240"/>
    </row>
    <row r="8" spans="1:46" s="1" customFormat="1" ht="12" customHeight="1" x14ac:dyDescent="0.2">
      <c r="B8" s="24"/>
      <c r="D8" s="549" t="s">
        <v>186</v>
      </c>
      <c r="F8" s="532" t="s">
        <v>1174</v>
      </c>
      <c r="L8" s="24"/>
      <c r="W8" s="158"/>
      <c r="X8" s="557"/>
      <c r="Y8" s="550" t="s">
        <v>186</v>
      </c>
      <c r="Z8" s="557"/>
      <c r="AA8" s="555" t="s">
        <v>1174</v>
      </c>
      <c r="AB8" s="557"/>
      <c r="AC8" s="557"/>
      <c r="AD8" s="557"/>
      <c r="AE8" s="159"/>
      <c r="AF8" s="224"/>
      <c r="AH8" s="561"/>
      <c r="AI8" s="561"/>
    </row>
    <row r="9" spans="1:46" s="1" customFormat="1" ht="37.049999999999997" customHeight="1" x14ac:dyDescent="0.2">
      <c r="B9" s="24"/>
      <c r="D9" s="521"/>
      <c r="E9" s="1251"/>
      <c r="F9" s="1252"/>
      <c r="G9" s="1252"/>
      <c r="H9" s="1252"/>
      <c r="L9" s="24"/>
      <c r="W9" s="158"/>
      <c r="X9" s="557"/>
      <c r="Y9" s="557"/>
      <c r="Z9" s="1245"/>
      <c r="AA9" s="1246"/>
      <c r="AB9" s="1246"/>
      <c r="AC9" s="1246"/>
      <c r="AD9" s="557"/>
      <c r="AE9" s="159"/>
      <c r="AF9" s="224"/>
      <c r="AH9" s="561"/>
      <c r="AI9" s="561"/>
    </row>
    <row r="10" spans="1:46" s="1" customFormat="1" x14ac:dyDescent="0.2">
      <c r="B10" s="24"/>
      <c r="D10" s="521"/>
      <c r="L10" s="24"/>
      <c r="W10" s="158"/>
      <c r="X10" s="557"/>
      <c r="Y10" s="557"/>
      <c r="Z10" s="557"/>
      <c r="AA10" s="557"/>
      <c r="AB10" s="557"/>
      <c r="AC10" s="557"/>
      <c r="AD10" s="557"/>
      <c r="AE10" s="159"/>
      <c r="AF10" s="224"/>
      <c r="AH10" s="561"/>
      <c r="AI10" s="561"/>
    </row>
    <row r="11" spans="1:46" s="1" customFormat="1" ht="12" customHeight="1" x14ac:dyDescent="0.2">
      <c r="B11" s="24"/>
      <c r="D11" s="528" t="s">
        <v>13</v>
      </c>
      <c r="F11" s="19" t="s">
        <v>1</v>
      </c>
      <c r="I11" s="538" t="s">
        <v>14</v>
      </c>
      <c r="J11" s="19" t="s">
        <v>1</v>
      </c>
      <c r="L11" s="24"/>
      <c r="W11" s="158"/>
      <c r="X11" s="557"/>
      <c r="Y11" s="538" t="s">
        <v>13</v>
      </c>
      <c r="Z11" s="557"/>
      <c r="AA11" s="558" t="s">
        <v>1</v>
      </c>
      <c r="AB11" s="557"/>
      <c r="AC11" s="557"/>
      <c r="AD11" s="538" t="s">
        <v>14</v>
      </c>
      <c r="AE11" s="161" t="s">
        <v>1</v>
      </c>
      <c r="AF11" s="224"/>
      <c r="AH11" s="561"/>
      <c r="AI11" s="561"/>
    </row>
    <row r="12" spans="1:46" s="1" customFormat="1" ht="12" customHeight="1" x14ac:dyDescent="0.2">
      <c r="B12" s="24"/>
      <c r="D12" s="528" t="s">
        <v>15</v>
      </c>
      <c r="F12" s="520" t="s">
        <v>6173</v>
      </c>
      <c r="I12" s="538" t="s">
        <v>17</v>
      </c>
      <c r="J12" s="39"/>
      <c r="L12" s="24"/>
      <c r="W12" s="158"/>
      <c r="X12" s="557"/>
      <c r="Y12" s="538" t="s">
        <v>15</v>
      </c>
      <c r="Z12" s="557"/>
      <c r="AA12" s="558" t="s">
        <v>6173</v>
      </c>
      <c r="AB12" s="557"/>
      <c r="AC12" s="557"/>
      <c r="AD12" s="538" t="s">
        <v>17</v>
      </c>
      <c r="AE12" s="162"/>
      <c r="AF12" s="224"/>
      <c r="AH12" s="561"/>
      <c r="AI12" s="561"/>
    </row>
    <row r="13" spans="1:46" s="1" customFormat="1" ht="10.95" customHeight="1" x14ac:dyDescent="0.2">
      <c r="B13" s="24"/>
      <c r="D13" s="521"/>
      <c r="E13" s="19" t="str">
        <f>IF('Rekapitulácia stavby'!E9="","",'Rekapitulácia stavby'!E9)</f>
        <v/>
      </c>
      <c r="F13" s="521"/>
      <c r="I13" s="523"/>
      <c r="L13" s="24"/>
      <c r="W13" s="158"/>
      <c r="X13" s="557"/>
      <c r="Y13" s="557"/>
      <c r="Z13" s="558"/>
      <c r="AA13" s="557"/>
      <c r="AB13" s="557"/>
      <c r="AC13" s="557"/>
      <c r="AD13" s="557"/>
      <c r="AE13" s="159"/>
      <c r="AF13" s="224"/>
      <c r="AH13" s="561"/>
      <c r="AI13" s="561"/>
    </row>
    <row r="14" spans="1:46" s="1" customFormat="1" ht="12" customHeight="1" x14ac:dyDescent="0.2">
      <c r="B14" s="24"/>
      <c r="D14" s="528" t="s">
        <v>18</v>
      </c>
      <c r="F14" s="529" t="s">
        <v>6175</v>
      </c>
      <c r="I14" s="538" t="s">
        <v>19</v>
      </c>
      <c r="J14" s="19" t="str">
        <f>IF('Rekapitulácia stavby'!AN10="","",'Rekapitulácia stavby'!AN10)</f>
        <v/>
      </c>
      <c r="L14" s="24"/>
      <c r="W14" s="158"/>
      <c r="X14" s="557"/>
      <c r="Y14" s="538" t="s">
        <v>18</v>
      </c>
      <c r="Z14" s="557"/>
      <c r="AA14" s="576" t="s">
        <v>6175</v>
      </c>
      <c r="AB14" s="557"/>
      <c r="AC14" s="557"/>
      <c r="AD14" s="538" t="s">
        <v>19</v>
      </c>
      <c r="AE14" s="161" t="str">
        <f>IF('Rekapitulácia stavby'!BI10="","",'Rekapitulácia stavby'!BI10)</f>
        <v/>
      </c>
      <c r="AF14" s="224"/>
      <c r="AH14" s="561"/>
      <c r="AI14" s="561"/>
    </row>
    <row r="15" spans="1:46" s="1" customFormat="1" ht="18" customHeight="1" x14ac:dyDescent="0.2">
      <c r="B15" s="24"/>
      <c r="D15" s="521"/>
      <c r="E15" s="19" t="str">
        <f>IF('Rekapitulácia stavby'!E11="","",'Rekapitulácia stavby'!E11)</f>
        <v/>
      </c>
      <c r="F15" s="521"/>
      <c r="I15" s="538" t="s">
        <v>20</v>
      </c>
      <c r="J15" s="19" t="str">
        <f>IF('Rekapitulácia stavby'!AN11="","",'Rekapitulácia stavby'!AN11)</f>
        <v/>
      </c>
      <c r="L15" s="24"/>
      <c r="W15" s="158"/>
      <c r="X15" s="557"/>
      <c r="Y15" s="557"/>
      <c r="Z15" s="558"/>
      <c r="AA15" s="557"/>
      <c r="AB15" s="557"/>
      <c r="AC15" s="557"/>
      <c r="AD15" s="538" t="s">
        <v>20</v>
      </c>
      <c r="AE15" s="161" t="str">
        <f>IF('Rekapitulácia stavby'!BI11="","",'Rekapitulácia stavby'!BI11)</f>
        <v/>
      </c>
      <c r="AF15" s="224"/>
      <c r="AH15" s="561"/>
      <c r="AI15" s="561"/>
    </row>
    <row r="16" spans="1:46" s="1" customFormat="1" ht="7.05" customHeight="1" x14ac:dyDescent="0.2">
      <c r="B16" s="24"/>
      <c r="D16" s="521"/>
      <c r="F16" s="521"/>
      <c r="I16" s="523"/>
      <c r="L16" s="24"/>
      <c r="W16" s="158"/>
      <c r="X16" s="557"/>
      <c r="Y16" s="557"/>
      <c r="Z16" s="557"/>
      <c r="AA16" s="557"/>
      <c r="AB16" s="557"/>
      <c r="AC16" s="557"/>
      <c r="AD16" s="557"/>
      <c r="AE16" s="159"/>
      <c r="AF16" s="224"/>
      <c r="AH16" s="561"/>
      <c r="AI16" s="561"/>
    </row>
    <row r="17" spans="2:35" s="1" customFormat="1" ht="12" customHeight="1" x14ac:dyDescent="0.2">
      <c r="B17" s="24"/>
      <c r="D17" s="528" t="s">
        <v>21</v>
      </c>
      <c r="F17" s="529" t="s">
        <v>5202</v>
      </c>
      <c r="I17" s="538" t="s">
        <v>19</v>
      </c>
      <c r="J17" s="19"/>
      <c r="L17" s="24"/>
      <c r="W17" s="158"/>
      <c r="X17" s="557"/>
      <c r="Y17" s="538" t="s">
        <v>21</v>
      </c>
      <c r="Z17" s="557"/>
      <c r="AA17" s="576" t="s">
        <v>5202</v>
      </c>
      <c r="AB17" s="557"/>
      <c r="AC17" s="557"/>
      <c r="AD17" s="538" t="s">
        <v>19</v>
      </c>
      <c r="AE17" s="161"/>
      <c r="AF17" s="224"/>
      <c r="AH17" s="561"/>
      <c r="AI17" s="561"/>
    </row>
    <row r="18" spans="2:35" s="1" customFormat="1" ht="18" customHeight="1" x14ac:dyDescent="0.2">
      <c r="B18" s="24"/>
      <c r="D18" s="521"/>
      <c r="E18" s="1161"/>
      <c r="F18" s="1161"/>
      <c r="G18" s="1161"/>
      <c r="H18" s="1161"/>
      <c r="I18" s="538" t="s">
        <v>20</v>
      </c>
      <c r="J18" s="19" t="str">
        <f>'Rekapitulácia stavby'!AN14</f>
        <v/>
      </c>
      <c r="L18" s="24"/>
      <c r="W18" s="158"/>
      <c r="X18" s="557"/>
      <c r="Y18" s="557"/>
      <c r="Z18" s="1247"/>
      <c r="AA18" s="1247"/>
      <c r="AB18" s="1247"/>
      <c r="AC18" s="1247"/>
      <c r="AD18" s="538" t="s">
        <v>20</v>
      </c>
      <c r="AE18" s="161"/>
      <c r="AF18" s="224"/>
      <c r="AH18" s="561"/>
      <c r="AI18" s="561"/>
    </row>
    <row r="19" spans="2:35" s="1" customFormat="1" ht="7.05" customHeight="1" x14ac:dyDescent="0.2">
      <c r="B19" s="24"/>
      <c r="D19" s="521"/>
      <c r="I19" s="523"/>
      <c r="L19" s="24"/>
      <c r="W19" s="158"/>
      <c r="X19" s="557"/>
      <c r="Y19" s="557"/>
      <c r="Z19" s="557"/>
      <c r="AA19" s="557"/>
      <c r="AB19" s="557"/>
      <c r="AC19" s="557"/>
      <c r="AD19" s="557"/>
      <c r="AE19" s="159"/>
      <c r="AF19" s="224"/>
      <c r="AH19" s="561"/>
      <c r="AI19" s="561"/>
    </row>
    <row r="20" spans="2:35" s="1" customFormat="1" ht="12" customHeight="1" x14ac:dyDescent="0.2">
      <c r="B20" s="24"/>
      <c r="D20" s="528" t="s">
        <v>22</v>
      </c>
      <c r="I20" s="538" t="s">
        <v>19</v>
      </c>
      <c r="J20" s="19" t="str">
        <f>IF('Rekapitulácia stavby'!AN16="","",'Rekapitulácia stavby'!AN16)</f>
        <v/>
      </c>
      <c r="L20" s="24"/>
      <c r="W20" s="158"/>
      <c r="X20" s="557"/>
      <c r="Y20" s="538" t="s">
        <v>22</v>
      </c>
      <c r="Z20" s="557"/>
      <c r="AA20" s="557"/>
      <c r="AB20" s="557"/>
      <c r="AC20" s="557"/>
      <c r="AD20" s="538" t="s">
        <v>19</v>
      </c>
      <c r="AE20" s="161" t="str">
        <f>IF('Rekapitulácia stavby'!BI16="","",'Rekapitulácia stavby'!BI16)</f>
        <v/>
      </c>
      <c r="AF20" s="224"/>
      <c r="AH20" s="561"/>
      <c r="AI20" s="561"/>
    </row>
    <row r="21" spans="2:35" s="1" customFormat="1" ht="18" customHeight="1" x14ac:dyDescent="0.2">
      <c r="B21" s="24"/>
      <c r="D21" s="521"/>
      <c r="E21" s="19" t="str">
        <f>IF('Rekapitulácia stavby'!E17="","",'Rekapitulácia stavby'!E17)</f>
        <v xml:space="preserve"> </v>
      </c>
      <c r="I21" s="538" t="s">
        <v>20</v>
      </c>
      <c r="J21" s="19" t="str">
        <f>IF('Rekapitulácia stavby'!AN17="","",'Rekapitulácia stavby'!AN17)</f>
        <v/>
      </c>
      <c r="L21" s="24"/>
      <c r="W21" s="158"/>
      <c r="X21" s="557"/>
      <c r="Y21" s="557"/>
      <c r="Z21" s="558" t="str">
        <f>IF('Rekapitulácia stavby'!Z17="","",'Rekapitulácia stavby'!Z17)</f>
        <v/>
      </c>
      <c r="AA21" s="557"/>
      <c r="AB21" s="557"/>
      <c r="AC21" s="557"/>
      <c r="AD21" s="538" t="s">
        <v>20</v>
      </c>
      <c r="AE21" s="161" t="str">
        <f>IF('Rekapitulácia stavby'!BI17="","",'Rekapitulácia stavby'!BI17)</f>
        <v/>
      </c>
      <c r="AF21" s="224"/>
      <c r="AH21" s="561"/>
      <c r="AI21" s="561"/>
    </row>
    <row r="22" spans="2:35" s="1" customFormat="1" ht="7.05" customHeight="1" x14ac:dyDescent="0.2">
      <c r="B22" s="24"/>
      <c r="D22" s="521"/>
      <c r="I22" s="523"/>
      <c r="L22" s="24"/>
      <c r="W22" s="158"/>
      <c r="X22" s="557"/>
      <c r="Y22" s="557"/>
      <c r="Z22" s="557"/>
      <c r="AA22" s="557"/>
      <c r="AB22" s="557"/>
      <c r="AC22" s="557"/>
      <c r="AD22" s="557"/>
      <c r="AE22" s="159"/>
      <c r="AF22" s="224"/>
      <c r="AH22" s="561"/>
      <c r="AI22" s="561"/>
    </row>
    <row r="23" spans="2:35" s="1" customFormat="1" ht="12" customHeight="1" x14ac:dyDescent="0.2">
      <c r="B23" s="24"/>
      <c r="D23" s="528" t="s">
        <v>24</v>
      </c>
      <c r="I23" s="538" t="s">
        <v>19</v>
      </c>
      <c r="J23" s="19" t="str">
        <f>IF('Rekapitulácia stavby'!AN19="","",'Rekapitulácia stavby'!AN19)</f>
        <v/>
      </c>
      <c r="L23" s="24"/>
      <c r="W23" s="158"/>
      <c r="X23" s="557"/>
      <c r="Y23" s="538" t="s">
        <v>24</v>
      </c>
      <c r="Z23" s="557"/>
      <c r="AA23" s="557"/>
      <c r="AB23" s="557"/>
      <c r="AC23" s="557"/>
      <c r="AD23" s="538" t="s">
        <v>19</v>
      </c>
      <c r="AE23" s="161" t="str">
        <f>IF('Rekapitulácia stavby'!BI19="","",'Rekapitulácia stavby'!BI19)</f>
        <v/>
      </c>
      <c r="AF23" s="224"/>
      <c r="AH23" s="561"/>
      <c r="AI23" s="561"/>
    </row>
    <row r="24" spans="2:35" s="1" customFormat="1" ht="18" customHeight="1" x14ac:dyDescent="0.2">
      <c r="B24" s="24"/>
      <c r="D24" s="521"/>
      <c r="E24" s="19" t="str">
        <f>IF('Rekapitulácia stavby'!E20="","",'Rekapitulácia stavby'!E20)</f>
        <v xml:space="preserve"> </v>
      </c>
      <c r="I24" s="538" t="s">
        <v>20</v>
      </c>
      <c r="J24" s="19" t="str">
        <f>IF('Rekapitulácia stavby'!AN20="","",'Rekapitulácia stavby'!AN20)</f>
        <v/>
      </c>
      <c r="L24" s="24"/>
      <c r="W24" s="158"/>
      <c r="X24" s="557"/>
      <c r="Y24" s="557"/>
      <c r="Z24" s="558" t="str">
        <f>IF('Rekapitulácia stavby'!Z20="","",'Rekapitulácia stavby'!Z20)</f>
        <v/>
      </c>
      <c r="AA24" s="557"/>
      <c r="AB24" s="557"/>
      <c r="AC24" s="557"/>
      <c r="AD24" s="538" t="s">
        <v>20</v>
      </c>
      <c r="AE24" s="161" t="str">
        <f>IF('Rekapitulácia stavby'!BI20="","",'Rekapitulácia stavby'!BI20)</f>
        <v/>
      </c>
      <c r="AF24" s="224"/>
      <c r="AH24" s="561"/>
      <c r="AI24" s="561"/>
    </row>
    <row r="25" spans="2:35" s="1" customFormat="1" ht="7.05" customHeight="1" x14ac:dyDescent="0.2">
      <c r="B25" s="24"/>
      <c r="D25" s="521"/>
      <c r="L25" s="24"/>
      <c r="W25" s="158"/>
      <c r="X25" s="557"/>
      <c r="Y25" s="557"/>
      <c r="Z25" s="557"/>
      <c r="AA25" s="557"/>
      <c r="AB25" s="557"/>
      <c r="AC25" s="557"/>
      <c r="AD25" s="557"/>
      <c r="AE25" s="159"/>
      <c r="AF25" s="224"/>
      <c r="AH25" s="561"/>
      <c r="AI25" s="561"/>
    </row>
    <row r="26" spans="2:35" s="1" customFormat="1" ht="12" customHeight="1" x14ac:dyDescent="0.2">
      <c r="B26" s="24"/>
      <c r="D26" s="528" t="s">
        <v>25</v>
      </c>
      <c r="L26" s="24"/>
      <c r="W26" s="158"/>
      <c r="X26" s="557"/>
      <c r="Y26" s="538" t="s">
        <v>25</v>
      </c>
      <c r="Z26" s="557"/>
      <c r="AA26" s="557"/>
      <c r="AB26" s="557"/>
      <c r="AC26" s="557"/>
      <c r="AD26" s="557"/>
      <c r="AE26" s="159"/>
      <c r="AF26" s="224"/>
      <c r="AH26" s="561"/>
      <c r="AI26" s="561"/>
    </row>
    <row r="27" spans="2:35" s="7" customFormat="1" ht="16.5" customHeight="1" x14ac:dyDescent="0.2">
      <c r="B27" s="75"/>
      <c r="E27" s="1228" t="s">
        <v>1</v>
      </c>
      <c r="F27" s="1228"/>
      <c r="G27" s="1228"/>
      <c r="H27" s="1228"/>
      <c r="L27" s="75"/>
      <c r="W27" s="163"/>
      <c r="X27" s="164"/>
      <c r="Y27" s="164"/>
      <c r="Z27" s="1248" t="s">
        <v>1</v>
      </c>
      <c r="AA27" s="1248"/>
      <c r="AB27" s="1248"/>
      <c r="AC27" s="1248"/>
      <c r="AD27" s="164"/>
      <c r="AE27" s="165"/>
      <c r="AF27" s="10"/>
      <c r="AH27" s="562"/>
      <c r="AI27" s="562"/>
    </row>
    <row r="28" spans="2:35" s="1" customFormat="1" ht="7.05" customHeight="1" x14ac:dyDescent="0.2">
      <c r="B28" s="24"/>
      <c r="L28" s="24"/>
      <c r="W28" s="158"/>
      <c r="X28" s="557"/>
      <c r="Y28" s="557"/>
      <c r="Z28" s="557"/>
      <c r="AA28" s="557"/>
      <c r="AB28" s="557"/>
      <c r="AC28" s="557"/>
      <c r="AD28" s="557"/>
      <c r="AE28" s="159"/>
      <c r="AF28" s="224"/>
      <c r="AH28" s="561"/>
      <c r="AI28" s="561"/>
    </row>
    <row r="29" spans="2:35" s="1" customFormat="1" ht="7.05" customHeight="1" x14ac:dyDescent="0.2">
      <c r="B29" s="24"/>
      <c r="D29" s="40"/>
      <c r="E29" s="40"/>
      <c r="F29" s="40"/>
      <c r="G29" s="40"/>
      <c r="H29" s="40"/>
      <c r="I29" s="40"/>
      <c r="J29" s="40"/>
      <c r="K29" s="40"/>
      <c r="L29" s="24"/>
      <c r="W29" s="158"/>
      <c r="X29" s="557"/>
      <c r="Y29" s="40"/>
      <c r="Z29" s="40"/>
      <c r="AA29" s="40"/>
      <c r="AB29" s="40"/>
      <c r="AC29" s="40"/>
      <c r="AD29" s="40"/>
      <c r="AE29" s="166"/>
      <c r="AF29" s="224"/>
      <c r="AH29" s="561"/>
      <c r="AI29" s="561"/>
    </row>
    <row r="30" spans="2:35" s="1" customFormat="1" ht="25.2" customHeight="1" x14ac:dyDescent="0.2">
      <c r="B30" s="24"/>
      <c r="D30" s="76" t="s">
        <v>26</v>
      </c>
      <c r="J30" s="53">
        <f>ROUND(J153, 2)</f>
        <v>7888.36</v>
      </c>
      <c r="L30" s="24"/>
      <c r="W30" s="158"/>
      <c r="X30" s="557"/>
      <c r="Y30" s="167" t="s">
        <v>26</v>
      </c>
      <c r="Z30" s="557"/>
      <c r="AA30" s="557"/>
      <c r="AB30" s="557"/>
      <c r="AC30" s="557"/>
      <c r="AD30" s="557"/>
      <c r="AE30" s="168">
        <f>ROUND(AE153, 2)</f>
        <v>43306.46</v>
      </c>
      <c r="AF30" s="224"/>
      <c r="AH30" s="561"/>
      <c r="AI30" s="561"/>
    </row>
    <row r="31" spans="2:35" s="1" customFormat="1" ht="7.05" customHeight="1" x14ac:dyDescent="0.2">
      <c r="B31" s="24"/>
      <c r="D31" s="40"/>
      <c r="E31" s="40"/>
      <c r="F31" s="40"/>
      <c r="G31" s="40"/>
      <c r="H31" s="40"/>
      <c r="I31" s="40"/>
      <c r="J31" s="40"/>
      <c r="K31" s="40"/>
      <c r="L31" s="24"/>
      <c r="W31" s="158"/>
      <c r="X31" s="557"/>
      <c r="Y31" s="40"/>
      <c r="Z31" s="40"/>
      <c r="AA31" s="40"/>
      <c r="AB31" s="40"/>
      <c r="AC31" s="40"/>
      <c r="AD31" s="40"/>
      <c r="AE31" s="166"/>
      <c r="AF31" s="224"/>
      <c r="AH31" s="561"/>
      <c r="AI31" s="561"/>
    </row>
    <row r="32" spans="2:35" s="1" customFormat="1" ht="14.55" customHeight="1" x14ac:dyDescent="0.2">
      <c r="B32" s="24"/>
      <c r="D32" s="521"/>
      <c r="E32" s="521"/>
      <c r="F32" s="534" t="s">
        <v>28</v>
      </c>
      <c r="G32" s="521"/>
      <c r="H32" s="521"/>
      <c r="I32" s="534" t="s">
        <v>27</v>
      </c>
      <c r="J32" s="534" t="s">
        <v>29</v>
      </c>
      <c r="L32" s="24"/>
      <c r="W32" s="158"/>
      <c r="X32" s="557"/>
      <c r="Y32" s="557"/>
      <c r="Z32" s="557"/>
      <c r="AA32" s="542" t="s">
        <v>28</v>
      </c>
      <c r="AB32" s="557"/>
      <c r="AC32" s="557"/>
      <c r="AD32" s="542" t="s">
        <v>27</v>
      </c>
      <c r="AE32" s="543" t="s">
        <v>29</v>
      </c>
      <c r="AF32" s="224"/>
      <c r="AH32" s="561"/>
      <c r="AI32" s="561"/>
    </row>
    <row r="33" spans="2:35" s="1" customFormat="1" ht="14.55" customHeight="1" x14ac:dyDescent="0.2">
      <c r="B33" s="24"/>
      <c r="D33" s="13" t="s">
        <v>30</v>
      </c>
      <c r="E33" s="528" t="s">
        <v>31</v>
      </c>
      <c r="F33" s="398">
        <f>ROUND((SUM(BE153:BE367)),  2)</f>
        <v>0</v>
      </c>
      <c r="G33" s="521"/>
      <c r="H33" s="521"/>
      <c r="I33" s="535">
        <v>0.2</v>
      </c>
      <c r="J33" s="398">
        <f>ROUND(((SUM(BE153:BE367))*I33),  2)</f>
        <v>0</v>
      </c>
      <c r="L33" s="24"/>
      <c r="W33" s="158"/>
      <c r="X33" s="557"/>
      <c r="Y33" s="544" t="s">
        <v>30</v>
      </c>
      <c r="Z33" s="538" t="s">
        <v>31</v>
      </c>
      <c r="AA33" s="545">
        <f>ROUND((SUM(BZ153:BZ367)),  2)</f>
        <v>0</v>
      </c>
      <c r="AB33" s="557"/>
      <c r="AC33" s="557"/>
      <c r="AD33" s="546">
        <v>0.2</v>
      </c>
      <c r="AE33" s="547">
        <f>ROUND(((SUM(BZ153:BZ367))*AD33),  2)</f>
        <v>0</v>
      </c>
      <c r="AF33" s="224"/>
      <c r="AH33" s="561"/>
      <c r="AI33" s="561"/>
    </row>
    <row r="34" spans="2:35" s="1" customFormat="1" ht="14.55" customHeight="1" x14ac:dyDescent="0.2">
      <c r="B34" s="24"/>
      <c r="D34" s="521"/>
      <c r="E34" s="528" t="s">
        <v>32</v>
      </c>
      <c r="F34" s="398">
        <f>ROUND((SUM(BF153:BF367)),  2)</f>
        <v>7888.36</v>
      </c>
      <c r="G34" s="521"/>
      <c r="H34" s="521"/>
      <c r="I34" s="535">
        <v>0.2</v>
      </c>
      <c r="J34" s="398">
        <f>ROUND(((SUM(BF153:BF367))*I34),  2)</f>
        <v>1577.67</v>
      </c>
      <c r="L34" s="24"/>
      <c r="W34" s="158"/>
      <c r="X34" s="557"/>
      <c r="Y34" s="557"/>
      <c r="Z34" s="538" t="s">
        <v>32</v>
      </c>
      <c r="AA34" s="545">
        <f>AE30</f>
        <v>43306.46</v>
      </c>
      <c r="AB34" s="557"/>
      <c r="AC34" s="557"/>
      <c r="AD34" s="546">
        <v>0.2</v>
      </c>
      <c r="AE34" s="547">
        <f>AE30*0.2</f>
        <v>8661.2919999999995</v>
      </c>
      <c r="AF34" s="224"/>
      <c r="AH34" s="561"/>
      <c r="AI34" s="561"/>
    </row>
    <row r="35" spans="2:35" s="1" customFormat="1" ht="14.55" hidden="1" customHeight="1" x14ac:dyDescent="0.2">
      <c r="B35" s="24"/>
      <c r="D35" s="521"/>
      <c r="E35" s="528" t="s">
        <v>33</v>
      </c>
      <c r="F35" s="398">
        <f>ROUND((SUM(BG153:BG367)),  2)</f>
        <v>0</v>
      </c>
      <c r="G35" s="521"/>
      <c r="H35" s="521"/>
      <c r="I35" s="535">
        <v>0.2</v>
      </c>
      <c r="J35" s="398">
        <f>0</f>
        <v>0</v>
      </c>
      <c r="L35" s="24"/>
      <c r="W35" s="158"/>
      <c r="X35" s="557"/>
      <c r="Y35" s="557"/>
      <c r="Z35" s="559" t="s">
        <v>33</v>
      </c>
      <c r="AA35" s="170">
        <f>ROUND((SUM(CB153:CB367)),  2)</f>
        <v>0</v>
      </c>
      <c r="AB35" s="557"/>
      <c r="AC35" s="557"/>
      <c r="AD35" s="171">
        <v>0.2</v>
      </c>
      <c r="AE35" s="172">
        <f>0</f>
        <v>0</v>
      </c>
      <c r="AF35" s="224"/>
      <c r="AH35" s="561"/>
      <c r="AI35" s="561"/>
    </row>
    <row r="36" spans="2:35" s="1" customFormat="1" ht="14.55" hidden="1" customHeight="1" x14ac:dyDescent="0.2">
      <c r="B36" s="24"/>
      <c r="D36" s="521"/>
      <c r="E36" s="528" t="s">
        <v>34</v>
      </c>
      <c r="F36" s="398">
        <f>ROUND((SUM(BH153:BH367)),  2)</f>
        <v>0</v>
      </c>
      <c r="G36" s="521"/>
      <c r="H36" s="521"/>
      <c r="I36" s="535">
        <v>0.2</v>
      </c>
      <c r="J36" s="398">
        <f>0</f>
        <v>0</v>
      </c>
      <c r="L36" s="24"/>
      <c r="W36" s="158"/>
      <c r="X36" s="557"/>
      <c r="Y36" s="557"/>
      <c r="Z36" s="559" t="s">
        <v>34</v>
      </c>
      <c r="AA36" s="170">
        <f>ROUND((SUM(CC153:CC367)),  2)</f>
        <v>0</v>
      </c>
      <c r="AB36" s="557"/>
      <c r="AC36" s="557"/>
      <c r="AD36" s="171">
        <v>0.2</v>
      </c>
      <c r="AE36" s="172">
        <f>0</f>
        <v>0</v>
      </c>
      <c r="AF36" s="224"/>
      <c r="AH36" s="561"/>
      <c r="AI36" s="561"/>
    </row>
    <row r="37" spans="2:35" s="1" customFormat="1" ht="14.55" hidden="1" customHeight="1" x14ac:dyDescent="0.2">
      <c r="B37" s="24"/>
      <c r="D37" s="521"/>
      <c r="E37" s="528" t="s">
        <v>35</v>
      </c>
      <c r="F37" s="398">
        <f>ROUND((SUM(BI153:BI367)),  2)</f>
        <v>0</v>
      </c>
      <c r="G37" s="521"/>
      <c r="H37" s="521"/>
      <c r="I37" s="535">
        <v>0</v>
      </c>
      <c r="J37" s="398">
        <f>0</f>
        <v>0</v>
      </c>
      <c r="L37" s="24"/>
      <c r="W37" s="158"/>
      <c r="X37" s="557"/>
      <c r="Y37" s="557"/>
      <c r="Z37" s="559" t="s">
        <v>35</v>
      </c>
      <c r="AA37" s="170">
        <f>ROUND((SUM(CD153:CD367)),  2)</f>
        <v>0</v>
      </c>
      <c r="AB37" s="557"/>
      <c r="AC37" s="557"/>
      <c r="AD37" s="171">
        <v>0</v>
      </c>
      <c r="AE37" s="172">
        <f>0</f>
        <v>0</v>
      </c>
      <c r="AF37" s="224"/>
      <c r="AH37" s="561"/>
      <c r="AI37" s="561"/>
    </row>
    <row r="38" spans="2:35" s="1" customFormat="1" ht="7.05" customHeight="1" x14ac:dyDescent="0.2">
      <c r="B38" s="24"/>
      <c r="D38" s="521"/>
      <c r="E38" s="521"/>
      <c r="F38" s="521"/>
      <c r="G38" s="521"/>
      <c r="H38" s="521"/>
      <c r="I38" s="521"/>
      <c r="J38" s="521"/>
      <c r="L38" s="24"/>
      <c r="W38" s="158"/>
      <c r="X38" s="557"/>
      <c r="Y38" s="557"/>
      <c r="Z38" s="557"/>
      <c r="AA38" s="557"/>
      <c r="AB38" s="557"/>
      <c r="AC38" s="557"/>
      <c r="AD38" s="557"/>
      <c r="AE38" s="159"/>
      <c r="AF38" s="224"/>
      <c r="AH38" s="561"/>
      <c r="AI38" s="561"/>
    </row>
    <row r="39" spans="2:35" s="1" customFormat="1" ht="25.2" customHeight="1" x14ac:dyDescent="0.2">
      <c r="B39" s="24"/>
      <c r="C39" s="80"/>
      <c r="D39" s="81" t="s">
        <v>36</v>
      </c>
      <c r="E39" s="44"/>
      <c r="F39" s="44"/>
      <c r="G39" s="82" t="s">
        <v>37</v>
      </c>
      <c r="H39" s="83" t="s">
        <v>38</v>
      </c>
      <c r="I39" s="44"/>
      <c r="J39" s="84">
        <f>SUM(J30:J37)</f>
        <v>9466.0299999999988</v>
      </c>
      <c r="K39" s="85"/>
      <c r="L39" s="24"/>
      <c r="W39" s="158"/>
      <c r="X39" s="173"/>
      <c r="Y39" s="81" t="s">
        <v>36</v>
      </c>
      <c r="Z39" s="44"/>
      <c r="AA39" s="44"/>
      <c r="AB39" s="82" t="s">
        <v>37</v>
      </c>
      <c r="AC39" s="83" t="s">
        <v>38</v>
      </c>
      <c r="AD39" s="44"/>
      <c r="AE39" s="174">
        <f>SUM(AE30:AE37)</f>
        <v>51967.752</v>
      </c>
      <c r="AF39" s="224"/>
      <c r="AH39" s="561"/>
      <c r="AI39" s="561"/>
    </row>
    <row r="40" spans="2:35" s="1" customFormat="1" ht="14.55" customHeight="1" x14ac:dyDescent="0.2">
      <c r="B40" s="24"/>
      <c r="L40" s="24"/>
      <c r="W40" s="158"/>
      <c r="X40" s="557"/>
      <c r="Y40" s="557"/>
      <c r="Z40" s="557"/>
      <c r="AA40" s="557"/>
      <c r="AB40" s="557"/>
      <c r="AC40" s="557"/>
      <c r="AD40" s="557"/>
      <c r="AE40" s="159"/>
      <c r="AF40" s="224"/>
      <c r="AH40" s="561"/>
      <c r="AI40" s="561"/>
    </row>
    <row r="41" spans="2:35" ht="14.55" customHeight="1" x14ac:dyDescent="0.2">
      <c r="B41" s="16"/>
      <c r="L41" s="16"/>
      <c r="W41" s="155"/>
      <c r="X41" s="156"/>
      <c r="Y41" s="156"/>
      <c r="Z41" s="156"/>
      <c r="AA41" s="156"/>
      <c r="AB41" s="156"/>
      <c r="AC41" s="156"/>
      <c r="AD41" s="156"/>
      <c r="AE41" s="157"/>
    </row>
    <row r="42" spans="2:35" ht="14.55" customHeight="1" x14ac:dyDescent="0.2">
      <c r="B42" s="16"/>
      <c r="L42" s="16"/>
      <c r="W42" s="155"/>
      <c r="X42" s="156"/>
      <c r="Y42" s="156"/>
      <c r="Z42" s="156"/>
      <c r="AA42" s="156"/>
      <c r="AB42" s="156"/>
      <c r="AC42" s="156"/>
      <c r="AD42" s="156"/>
      <c r="AE42" s="157"/>
    </row>
    <row r="43" spans="2:35" ht="14.55" customHeight="1" x14ac:dyDescent="0.2">
      <c r="B43" s="16"/>
      <c r="L43" s="16"/>
      <c r="W43" s="155"/>
      <c r="X43" s="156"/>
      <c r="Y43" s="156"/>
      <c r="Z43" s="156"/>
      <c r="AA43" s="156"/>
      <c r="AB43" s="156"/>
      <c r="AC43" s="156"/>
      <c r="AD43" s="156"/>
      <c r="AE43" s="157"/>
    </row>
    <row r="44" spans="2:35" ht="14.55" customHeight="1" x14ac:dyDescent="0.2">
      <c r="B44" s="16"/>
      <c r="L44" s="16"/>
      <c r="W44" s="155"/>
      <c r="X44" s="156"/>
      <c r="Y44" s="156"/>
      <c r="Z44" s="156"/>
      <c r="AA44" s="156"/>
      <c r="AB44" s="156"/>
      <c r="AC44" s="156"/>
      <c r="AD44" s="156"/>
      <c r="AE44" s="157"/>
    </row>
    <row r="45" spans="2:35" ht="14.55" customHeight="1" x14ac:dyDescent="0.2">
      <c r="B45" s="16"/>
      <c r="L45" s="16"/>
      <c r="W45" s="155"/>
      <c r="X45" s="156"/>
      <c r="Y45" s="156"/>
      <c r="Z45" s="156"/>
      <c r="AA45" s="156"/>
      <c r="AB45" s="156"/>
      <c r="AC45" s="156"/>
      <c r="AD45" s="156"/>
      <c r="AE45" s="157"/>
    </row>
    <row r="46" spans="2:35" ht="14.55" customHeight="1" x14ac:dyDescent="0.2">
      <c r="B46" s="16"/>
      <c r="L46" s="16"/>
      <c r="W46" s="155"/>
      <c r="X46" s="156"/>
      <c r="Y46" s="156"/>
      <c r="Z46" s="156"/>
      <c r="AA46" s="156"/>
      <c r="AB46" s="156"/>
      <c r="AC46" s="156"/>
      <c r="AD46" s="156"/>
      <c r="AE46" s="157"/>
    </row>
    <row r="47" spans="2:35" ht="14.55" customHeight="1" x14ac:dyDescent="0.2">
      <c r="B47" s="16"/>
      <c r="L47" s="16"/>
      <c r="W47" s="155"/>
      <c r="X47" s="156"/>
      <c r="Y47" s="156"/>
      <c r="Z47" s="156"/>
      <c r="AA47" s="156"/>
      <c r="AB47" s="156"/>
      <c r="AC47" s="156"/>
      <c r="AD47" s="156"/>
      <c r="AE47" s="157"/>
    </row>
    <row r="48" spans="2:35" ht="14.55" customHeight="1" x14ac:dyDescent="0.2">
      <c r="B48" s="16"/>
      <c r="L48" s="16"/>
      <c r="W48" s="155"/>
      <c r="X48" s="156"/>
      <c r="Y48" s="156"/>
      <c r="Z48" s="156"/>
      <c r="AA48" s="156"/>
      <c r="AB48" s="156"/>
      <c r="AC48" s="156"/>
      <c r="AD48" s="156"/>
      <c r="AE48" s="157"/>
    </row>
    <row r="49" spans="2:35" ht="14.55" customHeight="1" x14ac:dyDescent="0.2">
      <c r="B49" s="16"/>
      <c r="D49" s="156"/>
      <c r="E49" s="156"/>
      <c r="F49" s="156"/>
      <c r="G49" s="156"/>
      <c r="H49" s="156"/>
      <c r="I49" s="156"/>
      <c r="J49" s="156"/>
      <c r="L49" s="16"/>
      <c r="W49" s="155"/>
      <c r="X49" s="156"/>
      <c r="Y49" s="156"/>
      <c r="Z49" s="156"/>
      <c r="AA49" s="156"/>
      <c r="AB49" s="156"/>
      <c r="AC49" s="156"/>
      <c r="AD49" s="156"/>
      <c r="AE49" s="157"/>
    </row>
    <row r="50" spans="2:35" s="1" customFormat="1" ht="14.55" customHeight="1" x14ac:dyDescent="0.2">
      <c r="B50" s="24"/>
      <c r="D50" s="530"/>
      <c r="E50" s="523"/>
      <c r="F50" s="523"/>
      <c r="G50" s="530"/>
      <c r="H50" s="523"/>
      <c r="I50" s="523"/>
      <c r="J50" s="523"/>
      <c r="K50" s="32"/>
      <c r="L50" s="24"/>
      <c r="W50" s="158"/>
      <c r="X50" s="557"/>
      <c r="Y50" s="530"/>
      <c r="Z50" s="557"/>
      <c r="AA50" s="557"/>
      <c r="AB50" s="530"/>
      <c r="AC50" s="557"/>
      <c r="AD50" s="557"/>
      <c r="AE50" s="159"/>
      <c r="AF50" s="224"/>
      <c r="AH50" s="561"/>
      <c r="AI50" s="561"/>
    </row>
    <row r="51" spans="2:35" x14ac:dyDescent="0.2">
      <c r="B51" s="16"/>
      <c r="D51" s="156"/>
      <c r="E51" s="156"/>
      <c r="F51" s="156"/>
      <c r="G51" s="156"/>
      <c r="H51" s="156"/>
      <c r="I51" s="156"/>
      <c r="J51" s="156"/>
      <c r="L51" s="16"/>
      <c r="W51" s="155"/>
      <c r="X51" s="156"/>
      <c r="Y51" s="156"/>
      <c r="Z51" s="156"/>
      <c r="AA51" s="156"/>
      <c r="AB51" s="156"/>
      <c r="AC51" s="156"/>
      <c r="AD51" s="156"/>
      <c r="AE51" s="157"/>
    </row>
    <row r="52" spans="2:35" x14ac:dyDescent="0.2">
      <c r="B52" s="16"/>
      <c r="D52" s="156"/>
      <c r="E52" s="156"/>
      <c r="F52" s="156"/>
      <c r="G52" s="156"/>
      <c r="H52" s="156"/>
      <c r="I52" s="156"/>
      <c r="J52" s="156"/>
      <c r="L52" s="16"/>
      <c r="W52" s="155"/>
      <c r="X52" s="156"/>
      <c r="Y52" s="156"/>
      <c r="Z52" s="156"/>
      <c r="AA52" s="156"/>
      <c r="AB52" s="156"/>
      <c r="AC52" s="156"/>
      <c r="AD52" s="156"/>
      <c r="AE52" s="157"/>
    </row>
    <row r="53" spans="2:35" x14ac:dyDescent="0.2">
      <c r="B53" s="16"/>
      <c r="D53" s="156"/>
      <c r="E53" s="156"/>
      <c r="F53" s="156"/>
      <c r="G53" s="156"/>
      <c r="H53" s="156"/>
      <c r="I53" s="156"/>
      <c r="J53" s="156"/>
      <c r="L53" s="16"/>
      <c r="W53" s="155"/>
      <c r="X53" s="156"/>
      <c r="Y53" s="156"/>
      <c r="Z53" s="156"/>
      <c r="AA53" s="156"/>
      <c r="AB53" s="156"/>
      <c r="AC53" s="156"/>
      <c r="AD53" s="156"/>
      <c r="AE53" s="157"/>
    </row>
    <row r="54" spans="2:35" x14ac:dyDescent="0.2">
      <c r="B54" s="16"/>
      <c r="D54" s="156"/>
      <c r="E54" s="156"/>
      <c r="F54" s="156"/>
      <c r="G54" s="156"/>
      <c r="H54" s="156"/>
      <c r="I54" s="156"/>
      <c r="J54" s="156"/>
      <c r="L54" s="16"/>
      <c r="W54" s="155"/>
      <c r="X54" s="156"/>
      <c r="Y54" s="156"/>
      <c r="Z54" s="156"/>
      <c r="AA54" s="156"/>
      <c r="AB54" s="156"/>
      <c r="AC54" s="156"/>
      <c r="AD54" s="156"/>
      <c r="AE54" s="157"/>
    </row>
    <row r="55" spans="2:35" x14ac:dyDescent="0.2">
      <c r="B55" s="16"/>
      <c r="D55" s="156"/>
      <c r="E55" s="156"/>
      <c r="F55" s="156"/>
      <c r="G55" s="156"/>
      <c r="H55" s="156"/>
      <c r="I55" s="156"/>
      <c r="J55" s="156"/>
      <c r="L55" s="16"/>
      <c r="W55" s="155"/>
      <c r="X55" s="156"/>
      <c r="Y55" s="156"/>
      <c r="Z55" s="156"/>
      <c r="AA55" s="156"/>
      <c r="AB55" s="156"/>
      <c r="AC55" s="156"/>
      <c r="AD55" s="156"/>
      <c r="AE55" s="157"/>
    </row>
    <row r="56" spans="2:35" x14ac:dyDescent="0.2">
      <c r="B56" s="16"/>
      <c r="D56" s="156"/>
      <c r="E56" s="156"/>
      <c r="F56" s="156"/>
      <c r="G56" s="156"/>
      <c r="H56" s="156"/>
      <c r="I56" s="156"/>
      <c r="J56" s="156"/>
      <c r="L56" s="16"/>
      <c r="W56" s="155"/>
      <c r="X56" s="156"/>
      <c r="Y56" s="156"/>
      <c r="Z56" s="156"/>
      <c r="AA56" s="156"/>
      <c r="AB56" s="156"/>
      <c r="AC56" s="156"/>
      <c r="AD56" s="156"/>
      <c r="AE56" s="157"/>
    </row>
    <row r="57" spans="2:35" x14ac:dyDescent="0.2">
      <c r="B57" s="16"/>
      <c r="D57" s="156"/>
      <c r="E57" s="156"/>
      <c r="F57" s="156"/>
      <c r="G57" s="156"/>
      <c r="H57" s="156"/>
      <c r="I57" s="156"/>
      <c r="J57" s="156"/>
      <c r="L57" s="16"/>
      <c r="W57" s="155"/>
      <c r="X57" s="156"/>
      <c r="Y57" s="156"/>
      <c r="Z57" s="156"/>
      <c r="AA57" s="156"/>
      <c r="AB57" s="156"/>
      <c r="AC57" s="156"/>
      <c r="AD57" s="156"/>
      <c r="AE57" s="157"/>
    </row>
    <row r="58" spans="2:35" x14ac:dyDescent="0.2">
      <c r="B58" s="16"/>
      <c r="D58" s="156"/>
      <c r="E58" s="156"/>
      <c r="F58" s="156"/>
      <c r="G58" s="156"/>
      <c r="H58" s="156"/>
      <c r="I58" s="156"/>
      <c r="J58" s="156"/>
      <c r="L58" s="16"/>
      <c r="W58" s="155"/>
      <c r="X58" s="156"/>
      <c r="Y58" s="156"/>
      <c r="Z58" s="156"/>
      <c r="AA58" s="156"/>
      <c r="AB58" s="156"/>
      <c r="AC58" s="156"/>
      <c r="AD58" s="156"/>
      <c r="AE58" s="157"/>
    </row>
    <row r="59" spans="2:35" x14ac:dyDescent="0.2">
      <c r="B59" s="16"/>
      <c r="D59" s="156"/>
      <c r="E59" s="156"/>
      <c r="F59" s="156"/>
      <c r="G59" s="156"/>
      <c r="H59" s="156"/>
      <c r="I59" s="156"/>
      <c r="J59" s="156"/>
      <c r="L59" s="16"/>
      <c r="W59" s="155"/>
      <c r="X59" s="156"/>
      <c r="Y59" s="156"/>
      <c r="Z59" s="156"/>
      <c r="AA59" s="156"/>
      <c r="AB59" s="156"/>
      <c r="AC59" s="156"/>
      <c r="AD59" s="156"/>
      <c r="AE59" s="157"/>
    </row>
    <row r="60" spans="2:35" x14ac:dyDescent="0.2">
      <c r="B60" s="16"/>
      <c r="D60" s="156"/>
      <c r="E60" s="156"/>
      <c r="F60" s="156"/>
      <c r="G60" s="156"/>
      <c r="H60" s="156"/>
      <c r="I60" s="156"/>
      <c r="J60" s="156"/>
      <c r="L60" s="16"/>
      <c r="W60" s="155"/>
      <c r="X60" s="156"/>
      <c r="Y60" s="156"/>
      <c r="Z60" s="156"/>
      <c r="AA60" s="156"/>
      <c r="AB60" s="156"/>
      <c r="AC60" s="156"/>
      <c r="AD60" s="156"/>
      <c r="AE60" s="157"/>
    </row>
    <row r="61" spans="2:35" s="1" customFormat="1" ht="13.2" x14ac:dyDescent="0.2">
      <c r="B61" s="24"/>
      <c r="D61" s="522"/>
      <c r="E61" s="523"/>
      <c r="F61" s="536"/>
      <c r="G61" s="522"/>
      <c r="H61" s="523"/>
      <c r="I61" s="523"/>
      <c r="J61" s="169"/>
      <c r="K61" s="26"/>
      <c r="L61" s="24"/>
      <c r="W61" s="158"/>
      <c r="X61" s="557"/>
      <c r="Y61" s="559"/>
      <c r="Z61" s="557"/>
      <c r="AA61" s="536"/>
      <c r="AB61" s="559"/>
      <c r="AC61" s="557"/>
      <c r="AD61" s="557"/>
      <c r="AE61" s="577"/>
      <c r="AF61" s="224"/>
      <c r="AH61" s="561"/>
      <c r="AI61" s="561"/>
    </row>
    <row r="62" spans="2:35" x14ac:dyDescent="0.2">
      <c r="B62" s="16"/>
      <c r="D62" s="156"/>
      <c r="E62" s="156"/>
      <c r="F62" s="156"/>
      <c r="G62" s="156"/>
      <c r="H62" s="156"/>
      <c r="I62" s="156"/>
      <c r="J62" s="156"/>
      <c r="L62" s="16"/>
      <c r="W62" s="155"/>
      <c r="X62" s="156"/>
      <c r="Y62" s="156"/>
      <c r="Z62" s="156"/>
      <c r="AA62" s="156"/>
      <c r="AB62" s="156"/>
      <c r="AC62" s="156"/>
      <c r="AD62" s="156"/>
      <c r="AE62" s="157"/>
    </row>
    <row r="63" spans="2:35" x14ac:dyDescent="0.2">
      <c r="B63" s="16"/>
      <c r="D63" s="156"/>
      <c r="E63" s="156"/>
      <c r="F63" s="156"/>
      <c r="G63" s="156"/>
      <c r="H63" s="156"/>
      <c r="I63" s="156"/>
      <c r="J63" s="156"/>
      <c r="L63" s="16"/>
      <c r="W63" s="155"/>
      <c r="X63" s="156"/>
      <c r="Y63" s="156"/>
      <c r="Z63" s="156"/>
      <c r="AA63" s="156"/>
      <c r="AB63" s="156"/>
      <c r="AC63" s="156"/>
      <c r="AD63" s="156"/>
      <c r="AE63" s="157"/>
    </row>
    <row r="64" spans="2:35" x14ac:dyDescent="0.2">
      <c r="B64" s="16"/>
      <c r="D64" s="156"/>
      <c r="E64" s="156"/>
      <c r="F64" s="156"/>
      <c r="G64" s="156"/>
      <c r="H64" s="156"/>
      <c r="I64" s="156"/>
      <c r="J64" s="156"/>
      <c r="L64" s="16"/>
      <c r="W64" s="155"/>
      <c r="X64" s="156"/>
      <c r="Y64" s="156"/>
      <c r="Z64" s="156"/>
      <c r="AA64" s="156"/>
      <c r="AB64" s="156"/>
      <c r="AC64" s="156"/>
      <c r="AD64" s="156"/>
      <c r="AE64" s="157"/>
    </row>
    <row r="65" spans="2:35" s="1" customFormat="1" ht="13.2" x14ac:dyDescent="0.2">
      <c r="B65" s="24"/>
      <c r="D65" s="530"/>
      <c r="E65" s="523"/>
      <c r="F65" s="523"/>
      <c r="G65" s="530"/>
      <c r="H65" s="523"/>
      <c r="I65" s="523"/>
      <c r="J65" s="523"/>
      <c r="K65" s="32"/>
      <c r="L65" s="24"/>
      <c r="W65" s="158"/>
      <c r="X65" s="557"/>
      <c r="Y65" s="530"/>
      <c r="Z65" s="557"/>
      <c r="AA65" s="557"/>
      <c r="AB65" s="530"/>
      <c r="AC65" s="557"/>
      <c r="AD65" s="557"/>
      <c r="AE65" s="159"/>
      <c r="AF65" s="224"/>
      <c r="AH65" s="561"/>
      <c r="AI65" s="561"/>
    </row>
    <row r="66" spans="2:35" x14ac:dyDescent="0.2">
      <c r="B66" s="16"/>
      <c r="D66" s="156"/>
      <c r="E66" s="156"/>
      <c r="F66" s="156"/>
      <c r="G66" s="156"/>
      <c r="H66" s="156"/>
      <c r="I66" s="156"/>
      <c r="J66" s="156"/>
      <c r="L66" s="16"/>
      <c r="W66" s="155"/>
      <c r="X66" s="156"/>
      <c r="Y66" s="156"/>
      <c r="Z66" s="156"/>
      <c r="AA66" s="156"/>
      <c r="AB66" s="156"/>
      <c r="AC66" s="156"/>
      <c r="AD66" s="156"/>
      <c r="AE66" s="157"/>
    </row>
    <row r="67" spans="2:35" x14ac:dyDescent="0.2">
      <c r="B67" s="16"/>
      <c r="D67" s="156"/>
      <c r="E67" s="156"/>
      <c r="F67" s="156"/>
      <c r="G67" s="156"/>
      <c r="H67" s="156"/>
      <c r="I67" s="156"/>
      <c r="J67" s="156"/>
      <c r="L67" s="16"/>
      <c r="W67" s="155"/>
      <c r="X67" s="156"/>
      <c r="Y67" s="156"/>
      <c r="Z67" s="156"/>
      <c r="AA67" s="156"/>
      <c r="AB67" s="156"/>
      <c r="AC67" s="156"/>
      <c r="AD67" s="156"/>
      <c r="AE67" s="157"/>
    </row>
    <row r="68" spans="2:35" x14ac:dyDescent="0.2">
      <c r="B68" s="16"/>
      <c r="D68" s="156"/>
      <c r="E68" s="156"/>
      <c r="F68" s="156"/>
      <c r="G68" s="156"/>
      <c r="H68" s="156"/>
      <c r="I68" s="156"/>
      <c r="J68" s="156"/>
      <c r="L68" s="16"/>
      <c r="W68" s="155"/>
      <c r="X68" s="156"/>
      <c r="Y68" s="156"/>
      <c r="Z68" s="156"/>
      <c r="AA68" s="156"/>
      <c r="AB68" s="156"/>
      <c r="AC68" s="156"/>
      <c r="AD68" s="156"/>
      <c r="AE68" s="157"/>
    </row>
    <row r="69" spans="2:35" x14ac:dyDescent="0.2">
      <c r="B69" s="16"/>
      <c r="D69" s="156"/>
      <c r="E69" s="156"/>
      <c r="F69" s="156"/>
      <c r="G69" s="156"/>
      <c r="H69" s="156"/>
      <c r="I69" s="156"/>
      <c r="J69" s="156"/>
      <c r="L69" s="16"/>
      <c r="W69" s="155"/>
      <c r="X69" s="156"/>
      <c r="Y69" s="156"/>
      <c r="Z69" s="156"/>
      <c r="AA69" s="156"/>
      <c r="AB69" s="156"/>
      <c r="AC69" s="156"/>
      <c r="AD69" s="156"/>
      <c r="AE69" s="157"/>
    </row>
    <row r="70" spans="2:35" x14ac:dyDescent="0.2">
      <c r="B70" s="16"/>
      <c r="D70" s="156"/>
      <c r="E70" s="156"/>
      <c r="F70" s="156"/>
      <c r="G70" s="156"/>
      <c r="H70" s="156"/>
      <c r="I70" s="156"/>
      <c r="J70" s="156"/>
      <c r="L70" s="16"/>
      <c r="W70" s="155"/>
      <c r="X70" s="156"/>
      <c r="Y70" s="156"/>
      <c r="Z70" s="156"/>
      <c r="AA70" s="156"/>
      <c r="AB70" s="156"/>
      <c r="AC70" s="156"/>
      <c r="AD70" s="156"/>
      <c r="AE70" s="157"/>
    </row>
    <row r="71" spans="2:35" x14ac:dyDescent="0.2">
      <c r="B71" s="16"/>
      <c r="D71" s="156"/>
      <c r="E71" s="156"/>
      <c r="F71" s="156"/>
      <c r="G71" s="156"/>
      <c r="H71" s="156"/>
      <c r="I71" s="156"/>
      <c r="J71" s="156"/>
      <c r="L71" s="16"/>
      <c r="W71" s="155"/>
      <c r="X71" s="156"/>
      <c r="Y71" s="156"/>
      <c r="Z71" s="156"/>
      <c r="AA71" s="156"/>
      <c r="AB71" s="156"/>
      <c r="AC71" s="156"/>
      <c r="AD71" s="156"/>
      <c r="AE71" s="157"/>
    </row>
    <row r="72" spans="2:35" x14ac:dyDescent="0.2">
      <c r="B72" s="16"/>
      <c r="D72" s="156"/>
      <c r="E72" s="156"/>
      <c r="F72" s="156"/>
      <c r="G72" s="156"/>
      <c r="H72" s="156"/>
      <c r="I72" s="156"/>
      <c r="J72" s="156"/>
      <c r="L72" s="16"/>
      <c r="W72" s="155"/>
      <c r="X72" s="156"/>
      <c r="Y72" s="156"/>
      <c r="Z72" s="156"/>
      <c r="AA72" s="156"/>
      <c r="AB72" s="156"/>
      <c r="AC72" s="156"/>
      <c r="AD72" s="156"/>
      <c r="AE72" s="157"/>
    </row>
    <row r="73" spans="2:35" x14ac:dyDescent="0.2">
      <c r="B73" s="16"/>
      <c r="D73" s="156"/>
      <c r="E73" s="156"/>
      <c r="F73" s="156"/>
      <c r="G73" s="156"/>
      <c r="H73" s="156"/>
      <c r="I73" s="156"/>
      <c r="J73" s="156"/>
      <c r="L73" s="16"/>
      <c r="W73" s="155"/>
      <c r="X73" s="156"/>
      <c r="Y73" s="156"/>
      <c r="Z73" s="156"/>
      <c r="AA73" s="156"/>
      <c r="AB73" s="156"/>
      <c r="AC73" s="156"/>
      <c r="AD73" s="156"/>
      <c r="AE73" s="157"/>
    </row>
    <row r="74" spans="2:35" x14ac:dyDescent="0.2">
      <c r="B74" s="16"/>
      <c r="D74" s="156"/>
      <c r="E74" s="156"/>
      <c r="F74" s="156"/>
      <c r="G74" s="156"/>
      <c r="H74" s="156"/>
      <c r="I74" s="156"/>
      <c r="J74" s="156"/>
      <c r="L74" s="16"/>
      <c r="W74" s="155"/>
      <c r="X74" s="156"/>
      <c r="Y74" s="156"/>
      <c r="Z74" s="156"/>
      <c r="AA74" s="156"/>
      <c r="AB74" s="156"/>
      <c r="AC74" s="156"/>
      <c r="AD74" s="156"/>
      <c r="AE74" s="157"/>
    </row>
    <row r="75" spans="2:35" x14ac:dyDescent="0.2">
      <c r="B75" s="16"/>
      <c r="D75" s="156"/>
      <c r="E75" s="156"/>
      <c r="F75" s="156"/>
      <c r="G75" s="156"/>
      <c r="H75" s="156"/>
      <c r="I75" s="156"/>
      <c r="J75" s="156"/>
      <c r="L75" s="16"/>
      <c r="W75" s="155"/>
      <c r="X75" s="156"/>
      <c r="Y75" s="156"/>
      <c r="Z75" s="156"/>
      <c r="AA75" s="156"/>
      <c r="AB75" s="156"/>
      <c r="AC75" s="156"/>
      <c r="AD75" s="156"/>
      <c r="AE75" s="157"/>
    </row>
    <row r="76" spans="2:35" s="1" customFormat="1" ht="13.2" x14ac:dyDescent="0.2">
      <c r="B76" s="24"/>
      <c r="D76" s="522"/>
      <c r="E76" s="523"/>
      <c r="F76" s="536"/>
      <c r="G76" s="522"/>
      <c r="H76" s="523"/>
      <c r="I76" s="523"/>
      <c r="J76" s="169"/>
      <c r="K76" s="26"/>
      <c r="L76" s="24"/>
      <c r="W76" s="158"/>
      <c r="X76" s="557"/>
      <c r="Y76" s="559"/>
      <c r="Z76" s="557"/>
      <c r="AA76" s="536"/>
      <c r="AB76" s="559"/>
      <c r="AC76" s="557"/>
      <c r="AD76" s="557"/>
      <c r="AE76" s="577"/>
      <c r="AF76" s="224"/>
      <c r="AH76" s="561"/>
      <c r="AI76" s="561"/>
    </row>
    <row r="77" spans="2:35" s="1" customFormat="1" ht="14.55" customHeight="1" x14ac:dyDescent="0.2">
      <c r="B77" s="33"/>
      <c r="C77" s="34"/>
      <c r="D77" s="34"/>
      <c r="E77" s="34"/>
      <c r="F77" s="34"/>
      <c r="G77" s="34"/>
      <c r="H77" s="34"/>
      <c r="I77" s="34"/>
      <c r="J77" s="34"/>
      <c r="K77" s="34"/>
      <c r="L77" s="24"/>
      <c r="W77" s="175"/>
      <c r="X77" s="176"/>
      <c r="Y77" s="176"/>
      <c r="Z77" s="176"/>
      <c r="AA77" s="176"/>
      <c r="AB77" s="176"/>
      <c r="AC77" s="176"/>
      <c r="AD77" s="176"/>
      <c r="AE77" s="177"/>
      <c r="AF77" s="224"/>
      <c r="AH77" s="561"/>
      <c r="AI77" s="561"/>
    </row>
    <row r="81" spans="2:47" s="1" customFormat="1" ht="7.05" customHeight="1" x14ac:dyDescent="0.2">
      <c r="B81" s="35"/>
      <c r="C81" s="36"/>
      <c r="D81" s="36"/>
      <c r="E81" s="36"/>
      <c r="F81" s="36"/>
      <c r="G81" s="36"/>
      <c r="H81" s="36"/>
      <c r="I81" s="36"/>
      <c r="J81" s="36"/>
      <c r="K81" s="36"/>
      <c r="L81" s="24"/>
      <c r="W81" s="178"/>
      <c r="X81" s="179"/>
      <c r="Y81" s="179"/>
      <c r="Z81" s="179"/>
      <c r="AA81" s="179"/>
      <c r="AB81" s="179"/>
      <c r="AC81" s="179"/>
      <c r="AD81" s="179"/>
      <c r="AE81" s="180"/>
      <c r="AF81" s="224"/>
      <c r="AH81" s="561"/>
      <c r="AI81" s="561"/>
    </row>
    <row r="82" spans="2:47" s="1" customFormat="1" ht="25.05" customHeight="1" x14ac:dyDescent="0.2">
      <c r="B82" s="24"/>
      <c r="C82" s="1165" t="s">
        <v>188</v>
      </c>
      <c r="D82" s="1165"/>
      <c r="E82" s="1165"/>
      <c r="F82" s="1165"/>
      <c r="G82" s="1165"/>
      <c r="H82" s="1165"/>
      <c r="I82" s="1165"/>
      <c r="J82" s="1165"/>
      <c r="L82" s="24"/>
      <c r="W82" s="158"/>
      <c r="X82" s="1237" t="s">
        <v>188</v>
      </c>
      <c r="Y82" s="1237"/>
      <c r="Z82" s="1237"/>
      <c r="AA82" s="1237"/>
      <c r="AB82" s="1237"/>
      <c r="AC82" s="1237"/>
      <c r="AD82" s="1237"/>
      <c r="AE82" s="1238"/>
      <c r="AF82" s="224"/>
      <c r="AH82" s="561"/>
      <c r="AI82" s="561"/>
    </row>
    <row r="83" spans="2:47" s="1" customFormat="1" ht="7.05" customHeight="1" x14ac:dyDescent="0.2">
      <c r="B83" s="24"/>
      <c r="E83" s="521"/>
      <c r="F83" s="521"/>
      <c r="G83" s="521"/>
      <c r="H83" s="521"/>
      <c r="I83" s="521"/>
      <c r="J83" s="521"/>
      <c r="L83" s="24"/>
      <c r="W83" s="158"/>
      <c r="X83" s="557"/>
      <c r="Y83" s="557"/>
      <c r="Z83" s="557"/>
      <c r="AA83" s="557"/>
      <c r="AB83" s="557"/>
      <c r="AC83" s="557"/>
      <c r="AD83" s="557"/>
      <c r="AE83" s="159"/>
      <c r="AF83" s="224"/>
      <c r="AH83" s="561"/>
      <c r="AI83" s="561"/>
    </row>
    <row r="84" spans="2:47" s="1" customFormat="1" ht="12" customHeight="1" x14ac:dyDescent="0.2">
      <c r="B84" s="24"/>
      <c r="C84" s="528" t="s">
        <v>12</v>
      </c>
      <c r="E84" s="1242" t="s">
        <v>6177</v>
      </c>
      <c r="F84" s="1242"/>
      <c r="G84" s="1242"/>
      <c r="H84" s="1242"/>
      <c r="I84" s="1242"/>
      <c r="J84" s="1242"/>
      <c r="L84" s="24"/>
      <c r="W84" s="158"/>
      <c r="X84" s="538" t="s">
        <v>12</v>
      </c>
      <c r="Y84" s="557"/>
      <c r="Z84" s="1163" t="s">
        <v>6177</v>
      </c>
      <c r="AA84" s="1163"/>
      <c r="AB84" s="1163"/>
      <c r="AC84" s="1163"/>
      <c r="AD84" s="1163"/>
      <c r="AE84" s="1241"/>
      <c r="AF84" s="224"/>
      <c r="AH84" s="561"/>
      <c r="AI84" s="561"/>
    </row>
    <row r="85" spans="2:47" s="1" customFormat="1" ht="24" customHeight="1" x14ac:dyDescent="0.2">
      <c r="B85" s="24"/>
      <c r="C85" s="521"/>
      <c r="E85" s="1243"/>
      <c r="F85" s="1244"/>
      <c r="G85" s="1244"/>
      <c r="H85" s="1244"/>
      <c r="L85" s="24"/>
      <c r="W85" s="158"/>
      <c r="X85" s="557"/>
      <c r="Y85" s="557"/>
      <c r="Z85" s="1249"/>
      <c r="AA85" s="1250"/>
      <c r="AB85" s="1250"/>
      <c r="AC85" s="1250"/>
      <c r="AD85" s="557"/>
      <c r="AE85" s="159"/>
      <c r="AF85" s="224"/>
      <c r="AH85" s="561"/>
      <c r="AI85" s="561"/>
    </row>
    <row r="86" spans="2:47" s="1" customFormat="1" ht="12" customHeight="1" x14ac:dyDescent="0.2">
      <c r="B86" s="24"/>
      <c r="C86" s="528" t="s">
        <v>186</v>
      </c>
      <c r="F86" s="532" t="s">
        <v>1174</v>
      </c>
      <c r="L86" s="24"/>
      <c r="W86" s="158"/>
      <c r="X86" s="538" t="s">
        <v>186</v>
      </c>
      <c r="Y86" s="557"/>
      <c r="Z86" s="557"/>
      <c r="AA86" s="555" t="s">
        <v>1174</v>
      </c>
      <c r="AB86" s="557"/>
      <c r="AC86" s="557"/>
      <c r="AD86" s="557"/>
      <c r="AE86" s="159"/>
      <c r="AF86" s="224"/>
      <c r="AH86" s="561"/>
      <c r="AI86" s="561"/>
    </row>
    <row r="87" spans="2:47" s="1" customFormat="1" ht="16.5" customHeight="1" x14ac:dyDescent="0.2">
      <c r="B87" s="24"/>
      <c r="C87" s="521"/>
      <c r="E87" s="1251"/>
      <c r="F87" s="1252"/>
      <c r="G87" s="1252"/>
      <c r="H87" s="1252"/>
      <c r="L87" s="24"/>
      <c r="W87" s="158"/>
      <c r="X87" s="557"/>
      <c r="Y87" s="557"/>
      <c r="Z87" s="1245"/>
      <c r="AA87" s="1246"/>
      <c r="AB87" s="1246"/>
      <c r="AC87" s="1246"/>
      <c r="AD87" s="557"/>
      <c r="AE87" s="159"/>
      <c r="AF87" s="224"/>
      <c r="AH87" s="561"/>
      <c r="AI87" s="561"/>
    </row>
    <row r="88" spans="2:47" s="1" customFormat="1" ht="7.05" customHeight="1" x14ac:dyDescent="0.2">
      <c r="B88" s="24"/>
      <c r="C88" s="521"/>
      <c r="L88" s="24"/>
      <c r="W88" s="158"/>
      <c r="X88" s="557"/>
      <c r="Y88" s="557"/>
      <c r="Z88" s="557"/>
      <c r="AA88" s="557"/>
      <c r="AB88" s="557"/>
      <c r="AC88" s="557"/>
      <c r="AD88" s="557"/>
      <c r="AE88" s="159"/>
      <c r="AF88" s="224"/>
      <c r="AH88" s="561"/>
      <c r="AI88" s="561"/>
    </row>
    <row r="89" spans="2:47" s="1" customFormat="1" ht="12" customHeight="1" x14ac:dyDescent="0.2">
      <c r="B89" s="24"/>
      <c r="C89" s="528" t="s">
        <v>15</v>
      </c>
      <c r="F89" s="19" t="str">
        <f>F12</f>
        <v>Kuzmányho nábrežie 28, 960 01 Zvolen</v>
      </c>
      <c r="I89" s="528" t="s">
        <v>17</v>
      </c>
      <c r="J89" s="39" t="str">
        <f>IF(J12="","",J12)</f>
        <v/>
      </c>
      <c r="L89" s="24"/>
      <c r="W89" s="158"/>
      <c r="X89" s="538" t="s">
        <v>15</v>
      </c>
      <c r="Y89" s="557"/>
      <c r="Z89" s="557"/>
      <c r="AA89" s="558" t="str">
        <f>AA12</f>
        <v>Kuzmányho nábrežie 28, 960 01 Zvolen</v>
      </c>
      <c r="AB89" s="557"/>
      <c r="AC89" s="557"/>
      <c r="AD89" s="538" t="s">
        <v>17</v>
      </c>
      <c r="AE89" s="162" t="str">
        <f>IF(AE12="","",AE12)</f>
        <v/>
      </c>
      <c r="AF89" s="224"/>
      <c r="AH89" s="561"/>
      <c r="AI89" s="561"/>
    </row>
    <row r="90" spans="2:47" s="1" customFormat="1" ht="7.05" customHeight="1" x14ac:dyDescent="0.2">
      <c r="B90" s="24"/>
      <c r="C90" s="521"/>
      <c r="I90" s="521"/>
      <c r="L90" s="24"/>
      <c r="W90" s="158"/>
      <c r="X90" s="557"/>
      <c r="Y90" s="557"/>
      <c r="Z90" s="557"/>
      <c r="AA90" s="557"/>
      <c r="AB90" s="557"/>
      <c r="AC90" s="557"/>
      <c r="AD90" s="557"/>
      <c r="AE90" s="159"/>
      <c r="AF90" s="224"/>
      <c r="AH90" s="561"/>
      <c r="AI90" s="561"/>
    </row>
    <row r="91" spans="2:47" s="1" customFormat="1" ht="15.3" customHeight="1" x14ac:dyDescent="0.2">
      <c r="B91" s="24"/>
      <c r="C91" s="528" t="s">
        <v>18</v>
      </c>
      <c r="F91" s="529" t="s">
        <v>6175</v>
      </c>
      <c r="I91" s="528" t="s">
        <v>22</v>
      </c>
      <c r="J91" s="22" t="str">
        <f>E21</f>
        <v xml:space="preserve"> </v>
      </c>
      <c r="L91" s="24"/>
      <c r="W91" s="158"/>
      <c r="X91" s="538" t="s">
        <v>18</v>
      </c>
      <c r="Y91" s="557"/>
      <c r="Z91" s="557"/>
      <c r="AA91" s="576" t="s">
        <v>6175</v>
      </c>
      <c r="AB91" s="557"/>
      <c r="AC91" s="557"/>
      <c r="AD91" s="538" t="s">
        <v>22</v>
      </c>
      <c r="AE91" s="181" t="str">
        <f>Z21</f>
        <v/>
      </c>
      <c r="AF91" s="224"/>
      <c r="AH91" s="561"/>
      <c r="AI91" s="561"/>
    </row>
    <row r="92" spans="2:47" s="1" customFormat="1" ht="15.3" customHeight="1" x14ac:dyDescent="0.2">
      <c r="B92" s="24"/>
      <c r="C92" s="528" t="s">
        <v>21</v>
      </c>
      <c r="F92" s="529" t="s">
        <v>5202</v>
      </c>
      <c r="I92" s="528" t="s">
        <v>24</v>
      </c>
      <c r="J92" s="22" t="str">
        <f>E24</f>
        <v xml:space="preserve"> </v>
      </c>
      <c r="L92" s="24"/>
      <c r="W92" s="158"/>
      <c r="X92" s="538" t="s">
        <v>21</v>
      </c>
      <c r="Y92" s="557"/>
      <c r="Z92" s="557"/>
      <c r="AA92" s="576" t="s">
        <v>5202</v>
      </c>
      <c r="AB92" s="557"/>
      <c r="AC92" s="557"/>
      <c r="AD92" s="538" t="s">
        <v>24</v>
      </c>
      <c r="AE92" s="181" t="str">
        <f>Z24</f>
        <v/>
      </c>
      <c r="AF92" s="224"/>
      <c r="AH92" s="561"/>
      <c r="AI92" s="561"/>
    </row>
    <row r="93" spans="2:47" s="1" customFormat="1" ht="10.199999999999999" customHeight="1" x14ac:dyDescent="0.2">
      <c r="B93" s="24"/>
      <c r="L93" s="24"/>
      <c r="W93" s="158"/>
      <c r="X93" s="557"/>
      <c r="Y93" s="557"/>
      <c r="Z93" s="557"/>
      <c r="AA93" s="557"/>
      <c r="AB93" s="557"/>
      <c r="AC93" s="557"/>
      <c r="AD93" s="557"/>
      <c r="AE93" s="159"/>
      <c r="AF93" s="224"/>
      <c r="AH93" s="561"/>
      <c r="AI93" s="561"/>
    </row>
    <row r="94" spans="2:47" s="1" customFormat="1" ht="29.25" customHeight="1" x14ac:dyDescent="0.2">
      <c r="B94" s="24"/>
      <c r="C94" s="86" t="s">
        <v>189</v>
      </c>
      <c r="D94" s="80"/>
      <c r="E94" s="80"/>
      <c r="F94" s="80"/>
      <c r="G94" s="80"/>
      <c r="H94" s="80"/>
      <c r="I94" s="80"/>
      <c r="J94" s="87" t="s">
        <v>190</v>
      </c>
      <c r="K94" s="80"/>
      <c r="L94" s="24"/>
      <c r="W94" s="158"/>
      <c r="X94" s="182" t="s">
        <v>189</v>
      </c>
      <c r="Y94" s="173"/>
      <c r="Z94" s="173"/>
      <c r="AA94" s="173"/>
      <c r="AB94" s="173"/>
      <c r="AC94" s="173"/>
      <c r="AD94" s="173"/>
      <c r="AE94" s="183" t="s">
        <v>190</v>
      </c>
      <c r="AF94" s="224"/>
      <c r="AH94" s="561"/>
      <c r="AI94" s="561"/>
    </row>
    <row r="95" spans="2:47" s="1" customFormat="1" ht="10.199999999999999" customHeight="1" x14ac:dyDescent="0.2">
      <c r="B95" s="24"/>
      <c r="L95" s="24"/>
      <c r="W95" s="158"/>
      <c r="X95" s="557"/>
      <c r="Y95" s="557"/>
      <c r="Z95" s="557"/>
      <c r="AA95" s="557"/>
      <c r="AB95" s="557"/>
      <c r="AC95" s="557"/>
      <c r="AD95" s="557"/>
      <c r="AE95" s="159"/>
      <c r="AF95" s="224"/>
      <c r="AH95" s="561"/>
      <c r="AI95" s="561"/>
    </row>
    <row r="96" spans="2:47" s="1" customFormat="1" ht="22.95" customHeight="1" x14ac:dyDescent="0.2">
      <c r="B96" s="24"/>
      <c r="C96" s="88" t="s">
        <v>191</v>
      </c>
      <c r="J96" s="53">
        <f>J153</f>
        <v>7888.3600000000006</v>
      </c>
      <c r="L96" s="24"/>
      <c r="W96" s="158"/>
      <c r="X96" s="184" t="s">
        <v>191</v>
      </c>
      <c r="Y96" s="557"/>
      <c r="Z96" s="557"/>
      <c r="AA96" s="557"/>
      <c r="AB96" s="557"/>
      <c r="AC96" s="557"/>
      <c r="AD96" s="557"/>
      <c r="AE96" s="1155">
        <f>AE153</f>
        <v>43306.459599999995</v>
      </c>
      <c r="AF96" s="1159"/>
      <c r="AH96" s="561"/>
      <c r="AI96" s="561"/>
      <c r="AU96" s="13" t="s">
        <v>192</v>
      </c>
    </row>
    <row r="97" spans="2:35" s="8" customFormat="1" ht="25.05" customHeight="1" x14ac:dyDescent="0.2">
      <c r="B97" s="89"/>
      <c r="D97" s="90" t="s">
        <v>1175</v>
      </c>
      <c r="E97" s="91"/>
      <c r="F97" s="91"/>
      <c r="G97" s="91"/>
      <c r="H97" s="91"/>
      <c r="I97" s="91"/>
      <c r="J97" s="92">
        <f>J154</f>
        <v>88.34</v>
      </c>
      <c r="L97" s="89"/>
      <c r="W97" s="185"/>
      <c r="X97" s="186"/>
      <c r="Y97" s="90" t="s">
        <v>1175</v>
      </c>
      <c r="Z97" s="91"/>
      <c r="AA97" s="91"/>
      <c r="AB97" s="91"/>
      <c r="AC97" s="91"/>
      <c r="AD97" s="91"/>
      <c r="AE97" s="187">
        <f>AE154</f>
        <v>265.02000000000004</v>
      </c>
      <c r="AF97" s="225"/>
      <c r="AH97" s="563"/>
      <c r="AI97" s="563"/>
    </row>
    <row r="98" spans="2:35" s="8" customFormat="1" ht="25.05" customHeight="1" x14ac:dyDescent="0.2">
      <c r="B98" s="89"/>
      <c r="D98" s="90" t="s">
        <v>1176</v>
      </c>
      <c r="E98" s="91"/>
      <c r="F98" s="91"/>
      <c r="G98" s="91"/>
      <c r="H98" s="91"/>
      <c r="I98" s="91"/>
      <c r="J98" s="92">
        <f>J158</f>
        <v>3854.9799999999996</v>
      </c>
      <c r="L98" s="89"/>
      <c r="W98" s="185"/>
      <c r="X98" s="186"/>
      <c r="Y98" s="90" t="s">
        <v>1176</v>
      </c>
      <c r="Z98" s="91"/>
      <c r="AA98" s="91"/>
      <c r="AB98" s="91"/>
      <c r="AC98" s="91"/>
      <c r="AD98" s="91"/>
      <c r="AE98" s="1154">
        <f>AE158</f>
        <v>14243.769999999999</v>
      </c>
      <c r="AF98" s="1158"/>
      <c r="AH98" s="563"/>
      <c r="AI98" s="563"/>
    </row>
    <row r="99" spans="2:35" s="9" customFormat="1" ht="19.95" customHeight="1" x14ac:dyDescent="0.2">
      <c r="B99" s="93"/>
      <c r="D99" s="94" t="s">
        <v>1177</v>
      </c>
      <c r="E99" s="95"/>
      <c r="F99" s="95"/>
      <c r="G99" s="95"/>
      <c r="H99" s="95"/>
      <c r="I99" s="95"/>
      <c r="J99" s="96">
        <f>J159</f>
        <v>3175.73</v>
      </c>
      <c r="L99" s="93"/>
      <c r="W99" s="188"/>
      <c r="X99" s="189"/>
      <c r="Y99" s="94" t="s">
        <v>1177</v>
      </c>
      <c r="Z99" s="95"/>
      <c r="AA99" s="95"/>
      <c r="AB99" s="95"/>
      <c r="AC99" s="95"/>
      <c r="AD99" s="95"/>
      <c r="AE99" s="190">
        <f>AE159</f>
        <v>5579.0900000000011</v>
      </c>
      <c r="AF99" s="226"/>
      <c r="AH99" s="564"/>
      <c r="AI99" s="564"/>
    </row>
    <row r="100" spans="2:35" s="9" customFormat="1" ht="19.95" customHeight="1" x14ac:dyDescent="0.2">
      <c r="B100" s="93"/>
      <c r="D100" s="94" t="s">
        <v>1178</v>
      </c>
      <c r="E100" s="95"/>
      <c r="F100" s="95"/>
      <c r="G100" s="95"/>
      <c r="H100" s="95"/>
      <c r="I100" s="95"/>
      <c r="J100" s="96">
        <f>J164</f>
        <v>117.14</v>
      </c>
      <c r="L100" s="93"/>
      <c r="W100" s="188"/>
      <c r="X100" s="189"/>
      <c r="Y100" s="94" t="s">
        <v>1178</v>
      </c>
      <c r="Z100" s="95"/>
      <c r="AA100" s="95"/>
      <c r="AB100" s="95"/>
      <c r="AC100" s="95"/>
      <c r="AD100" s="95"/>
      <c r="AE100" s="190">
        <f>AE164</f>
        <v>430.20000000000005</v>
      </c>
      <c r="AF100" s="226"/>
      <c r="AH100" s="564"/>
      <c r="AI100" s="564"/>
    </row>
    <row r="101" spans="2:35" s="9" customFormat="1" ht="19.95" customHeight="1" x14ac:dyDescent="0.2">
      <c r="B101" s="93"/>
      <c r="D101" s="1234" t="s">
        <v>5205</v>
      </c>
      <c r="E101" s="1235"/>
      <c r="F101" s="1235"/>
      <c r="G101" s="1235"/>
      <c r="H101" s="1235"/>
      <c r="I101" s="1235"/>
      <c r="J101" s="1235"/>
      <c r="K101" s="1236"/>
      <c r="L101" s="93"/>
      <c r="W101" s="188"/>
      <c r="X101" s="189"/>
      <c r="Y101" s="94" t="s">
        <v>6824</v>
      </c>
      <c r="Z101" s="95"/>
      <c r="AA101" s="95"/>
      <c r="AB101" s="95"/>
      <c r="AC101" s="95"/>
      <c r="AD101" s="95"/>
      <c r="AE101" s="190">
        <f>AE171</f>
        <v>5456</v>
      </c>
      <c r="AF101" s="226"/>
      <c r="AH101" s="564"/>
      <c r="AI101" s="564"/>
    </row>
    <row r="102" spans="2:35" s="9" customFormat="1" ht="19.95" customHeight="1" x14ac:dyDescent="0.2">
      <c r="B102" s="93"/>
      <c r="D102" s="94" t="s">
        <v>1179</v>
      </c>
      <c r="E102" s="95"/>
      <c r="F102" s="95"/>
      <c r="G102" s="95"/>
      <c r="H102" s="95"/>
      <c r="I102" s="95"/>
      <c r="J102" s="96">
        <f>J173</f>
        <v>248.62</v>
      </c>
      <c r="L102" s="93"/>
      <c r="W102" s="188"/>
      <c r="X102" s="189"/>
      <c r="Y102" s="94" t="s">
        <v>1179</v>
      </c>
      <c r="Z102" s="95"/>
      <c r="AA102" s="95"/>
      <c r="AB102" s="95"/>
      <c r="AC102" s="95"/>
      <c r="AD102" s="95"/>
      <c r="AE102" s="190">
        <f>AE173</f>
        <v>362.71999999999997</v>
      </c>
      <c r="AF102" s="226"/>
      <c r="AH102" s="564"/>
      <c r="AI102" s="564"/>
    </row>
    <row r="103" spans="2:35" s="9" customFormat="1" ht="19.95" customHeight="1" x14ac:dyDescent="0.2">
      <c r="B103" s="93"/>
      <c r="D103" s="1234" t="s">
        <v>5205</v>
      </c>
      <c r="E103" s="1235"/>
      <c r="F103" s="1235"/>
      <c r="G103" s="1235"/>
      <c r="H103" s="1235"/>
      <c r="I103" s="1235"/>
      <c r="J103" s="1235"/>
      <c r="K103" s="1236"/>
      <c r="L103" s="93"/>
      <c r="W103" s="188"/>
      <c r="X103" s="189"/>
      <c r="Y103" s="94" t="s">
        <v>6825</v>
      </c>
      <c r="Z103" s="95"/>
      <c r="AA103" s="95"/>
      <c r="AB103" s="95"/>
      <c r="AC103" s="95"/>
      <c r="AD103" s="95"/>
      <c r="AE103" s="190">
        <f>AE182</f>
        <v>414</v>
      </c>
      <c r="AF103" s="226"/>
      <c r="AH103" s="564"/>
      <c r="AI103" s="564"/>
    </row>
    <row r="104" spans="2:35" s="9" customFormat="1" ht="19.95" customHeight="1" x14ac:dyDescent="0.2">
      <c r="B104" s="93"/>
      <c r="D104" s="1234" t="s">
        <v>5205</v>
      </c>
      <c r="E104" s="1235"/>
      <c r="F104" s="1235"/>
      <c r="G104" s="1235"/>
      <c r="H104" s="1235"/>
      <c r="I104" s="1235"/>
      <c r="J104" s="1235"/>
      <c r="K104" s="1236"/>
      <c r="L104" s="93"/>
      <c r="W104" s="188"/>
      <c r="X104" s="189"/>
      <c r="Y104" s="94" t="s">
        <v>6826</v>
      </c>
      <c r="Z104" s="95"/>
      <c r="AA104" s="95"/>
      <c r="AB104" s="95"/>
      <c r="AC104" s="95"/>
      <c r="AD104" s="95"/>
      <c r="AE104" s="190">
        <f>AE184</f>
        <v>521.38</v>
      </c>
      <c r="AF104" s="226"/>
      <c r="AH104" s="564"/>
      <c r="AI104" s="564"/>
    </row>
    <row r="105" spans="2:35" s="9" customFormat="1" ht="19.95" customHeight="1" x14ac:dyDescent="0.2">
      <c r="B105" s="93"/>
      <c r="D105" s="94" t="s">
        <v>1180</v>
      </c>
      <c r="E105" s="95"/>
      <c r="F105" s="95"/>
      <c r="G105" s="95"/>
      <c r="H105" s="95"/>
      <c r="I105" s="95"/>
      <c r="J105" s="96">
        <f>J189</f>
        <v>313.49</v>
      </c>
      <c r="L105" s="93"/>
      <c r="W105" s="188"/>
      <c r="X105" s="189"/>
      <c r="Y105" s="94" t="s">
        <v>1180</v>
      </c>
      <c r="Z105" s="95"/>
      <c r="AA105" s="95"/>
      <c r="AB105" s="95"/>
      <c r="AC105" s="95"/>
      <c r="AD105" s="95"/>
      <c r="AE105" s="190">
        <f>AE189</f>
        <v>1480.3799999999999</v>
      </c>
      <c r="AF105" s="226"/>
      <c r="AH105" s="564"/>
      <c r="AI105" s="564"/>
    </row>
    <row r="106" spans="2:35" s="8" customFormat="1" ht="25.05" customHeight="1" x14ac:dyDescent="0.2">
      <c r="B106" s="89"/>
      <c r="D106" s="90" t="s">
        <v>1181</v>
      </c>
      <c r="E106" s="91"/>
      <c r="F106" s="91"/>
      <c r="G106" s="91"/>
      <c r="H106" s="91"/>
      <c r="I106" s="91"/>
      <c r="J106" s="92">
        <f>J196</f>
        <v>2211.42</v>
      </c>
      <c r="L106" s="89"/>
      <c r="W106" s="185"/>
      <c r="X106" s="186"/>
      <c r="Y106" s="90" t="s">
        <v>1181</v>
      </c>
      <c r="Z106" s="91"/>
      <c r="AA106" s="91"/>
      <c r="AB106" s="91"/>
      <c r="AC106" s="91"/>
      <c r="AD106" s="91"/>
      <c r="AE106" s="1154">
        <f>AE196</f>
        <v>4940.54</v>
      </c>
      <c r="AF106" s="1158"/>
      <c r="AH106" s="563"/>
      <c r="AI106" s="563"/>
    </row>
    <row r="107" spans="2:35" s="9" customFormat="1" ht="19.95" customHeight="1" x14ac:dyDescent="0.2">
      <c r="B107" s="93"/>
      <c r="D107" s="94" t="s">
        <v>1182</v>
      </c>
      <c r="E107" s="95"/>
      <c r="F107" s="95"/>
      <c r="G107" s="95"/>
      <c r="H107" s="95"/>
      <c r="I107" s="95"/>
      <c r="J107" s="96">
        <f>J199</f>
        <v>45.230000000000004</v>
      </c>
      <c r="L107" s="93"/>
      <c r="W107" s="188"/>
      <c r="X107" s="189"/>
      <c r="Y107" s="94" t="s">
        <v>1182</v>
      </c>
      <c r="Z107" s="95"/>
      <c r="AA107" s="95"/>
      <c r="AB107" s="95"/>
      <c r="AC107" s="95"/>
      <c r="AD107" s="95"/>
      <c r="AE107" s="190">
        <f>AE199</f>
        <v>428.42000000000007</v>
      </c>
      <c r="AF107" s="226"/>
      <c r="AH107" s="564"/>
      <c r="AI107" s="564"/>
    </row>
    <row r="108" spans="2:35" s="9" customFormat="1" ht="19.95" customHeight="1" x14ac:dyDescent="0.2">
      <c r="B108" s="93"/>
      <c r="D108" s="94" t="s">
        <v>1183</v>
      </c>
      <c r="E108" s="95"/>
      <c r="F108" s="95"/>
      <c r="G108" s="95"/>
      <c r="H108" s="95"/>
      <c r="I108" s="95"/>
      <c r="J108" s="96">
        <f>J213</f>
        <v>416.55999999999995</v>
      </c>
      <c r="L108" s="93"/>
      <c r="W108" s="188"/>
      <c r="X108" s="189"/>
      <c r="Y108" s="94" t="s">
        <v>1183</v>
      </c>
      <c r="Z108" s="95"/>
      <c r="AA108" s="95"/>
      <c r="AB108" s="95"/>
      <c r="AC108" s="95"/>
      <c r="AD108" s="95"/>
      <c r="AE108" s="190">
        <f>AE213</f>
        <v>1025.1099999999999</v>
      </c>
      <c r="AF108" s="226"/>
      <c r="AH108" s="564"/>
      <c r="AI108" s="564"/>
    </row>
    <row r="109" spans="2:35" s="9" customFormat="1" ht="19.95" customHeight="1" x14ac:dyDescent="0.2">
      <c r="B109" s="93"/>
      <c r="D109" s="94" t="s">
        <v>1184</v>
      </c>
      <c r="E109" s="95"/>
      <c r="F109" s="95"/>
      <c r="G109" s="95"/>
      <c r="H109" s="95"/>
      <c r="I109" s="95"/>
      <c r="J109" s="96">
        <f>J220</f>
        <v>1604.31</v>
      </c>
      <c r="L109" s="93"/>
      <c r="W109" s="188"/>
      <c r="X109" s="189"/>
      <c r="Y109" s="94" t="s">
        <v>1184</v>
      </c>
      <c r="Z109" s="95"/>
      <c r="AA109" s="95"/>
      <c r="AB109" s="95"/>
      <c r="AC109" s="95"/>
      <c r="AD109" s="95"/>
      <c r="AE109" s="190">
        <f>AE220</f>
        <v>753.32</v>
      </c>
      <c r="AF109" s="226"/>
      <c r="AH109" s="564"/>
      <c r="AI109" s="564"/>
    </row>
    <row r="110" spans="2:35" s="9" customFormat="1" ht="19.95" customHeight="1" x14ac:dyDescent="0.25">
      <c r="B110" s="93"/>
      <c r="D110" s="1234" t="s">
        <v>5205</v>
      </c>
      <c r="E110" s="1235"/>
      <c r="F110" s="1235"/>
      <c r="G110" s="1235"/>
      <c r="H110" s="1235"/>
      <c r="I110" s="1235"/>
      <c r="J110" s="1235"/>
      <c r="K110" s="1236"/>
      <c r="L110" s="93"/>
      <c r="W110" s="188"/>
      <c r="X110" s="189"/>
      <c r="Y110" s="301" t="s">
        <v>5670</v>
      </c>
      <c r="Z110" s="95"/>
      <c r="AA110" s="95"/>
      <c r="AB110" s="95"/>
      <c r="AC110" s="95"/>
      <c r="AD110" s="95"/>
      <c r="AE110" s="190">
        <f>AE224</f>
        <v>2539.9299999999998</v>
      </c>
      <c r="AF110" s="226"/>
      <c r="AH110" s="564"/>
      <c r="AI110" s="564"/>
    </row>
    <row r="111" spans="2:35" s="9" customFormat="1" ht="24" customHeight="1" x14ac:dyDescent="0.2">
      <c r="B111" s="93"/>
      <c r="D111" s="1234" t="s">
        <v>5205</v>
      </c>
      <c r="E111" s="1235"/>
      <c r="F111" s="1235"/>
      <c r="G111" s="1235"/>
      <c r="H111" s="1235"/>
      <c r="I111" s="1235"/>
      <c r="J111" s="1235"/>
      <c r="K111" s="1236"/>
      <c r="L111" s="93"/>
      <c r="W111" s="188"/>
      <c r="X111" s="189"/>
      <c r="Y111" s="308" t="s">
        <v>5671</v>
      </c>
      <c r="Z111" s="309"/>
      <c r="AA111" s="309"/>
      <c r="AB111" s="95"/>
      <c r="AC111" s="95"/>
      <c r="AD111" s="95"/>
      <c r="AE111" s="1154">
        <f>AE234</f>
        <v>8673.9196000000011</v>
      </c>
      <c r="AF111" s="1267"/>
      <c r="AH111" s="564"/>
      <c r="AI111" s="564"/>
    </row>
    <row r="112" spans="2:35" s="9" customFormat="1" ht="19.95" customHeight="1" x14ac:dyDescent="0.25">
      <c r="B112" s="93"/>
      <c r="D112" s="1234" t="s">
        <v>5205</v>
      </c>
      <c r="E112" s="1235"/>
      <c r="F112" s="1235"/>
      <c r="G112" s="1235"/>
      <c r="H112" s="1235"/>
      <c r="I112" s="1235"/>
      <c r="J112" s="1235"/>
      <c r="K112" s="1236"/>
      <c r="L112" s="93"/>
      <c r="W112" s="188"/>
      <c r="X112" s="189"/>
      <c r="Y112" s="301" t="s">
        <v>5672</v>
      </c>
      <c r="Z112" s="310"/>
      <c r="AA112" s="310"/>
      <c r="AB112" s="310"/>
      <c r="AC112" s="310"/>
      <c r="AD112" s="95"/>
      <c r="AE112" s="190">
        <f>AE235</f>
        <v>2118.91</v>
      </c>
      <c r="AF112" s="1267"/>
      <c r="AH112" s="564"/>
      <c r="AI112" s="564"/>
    </row>
    <row r="113" spans="2:35" s="9" customFormat="1" ht="19.95" customHeight="1" x14ac:dyDescent="0.25">
      <c r="B113" s="93"/>
      <c r="D113" s="1234" t="s">
        <v>5205</v>
      </c>
      <c r="E113" s="1235"/>
      <c r="F113" s="1235"/>
      <c r="G113" s="1235"/>
      <c r="H113" s="1235"/>
      <c r="I113" s="1235"/>
      <c r="J113" s="1235"/>
      <c r="K113" s="1236"/>
      <c r="L113" s="93"/>
      <c r="W113" s="188"/>
      <c r="X113" s="189"/>
      <c r="Y113" s="201" t="s">
        <v>6827</v>
      </c>
      <c r="Z113" s="310"/>
      <c r="AA113" s="310"/>
      <c r="AB113" s="310"/>
      <c r="AC113" s="310"/>
      <c r="AD113" s="95"/>
      <c r="AE113" s="190">
        <f>AE239</f>
        <v>2596.66</v>
      </c>
      <c r="AF113" s="1267"/>
      <c r="AH113" s="564"/>
      <c r="AI113" s="564"/>
    </row>
    <row r="114" spans="2:35" s="9" customFormat="1" ht="19.95" customHeight="1" x14ac:dyDescent="0.25">
      <c r="B114" s="93"/>
      <c r="D114" s="1234" t="s">
        <v>5205</v>
      </c>
      <c r="E114" s="1235"/>
      <c r="F114" s="1235"/>
      <c r="G114" s="1235"/>
      <c r="H114" s="1235"/>
      <c r="I114" s="1235"/>
      <c r="J114" s="1235"/>
      <c r="K114" s="1236"/>
      <c r="L114" s="93"/>
      <c r="W114" s="188"/>
      <c r="X114" s="189"/>
      <c r="Y114" s="201" t="s">
        <v>6828</v>
      </c>
      <c r="Z114" s="310"/>
      <c r="AA114" s="310"/>
      <c r="AB114" s="310"/>
      <c r="AC114" s="310"/>
      <c r="AD114" s="95"/>
      <c r="AE114" s="190">
        <f>AE248</f>
        <v>11.6496</v>
      </c>
      <c r="AF114" s="1267"/>
      <c r="AH114" s="564"/>
      <c r="AI114" s="564"/>
    </row>
    <row r="115" spans="2:35" s="9" customFormat="1" ht="19.95" customHeight="1" x14ac:dyDescent="0.25">
      <c r="B115" s="93"/>
      <c r="D115" s="1234" t="s">
        <v>5205</v>
      </c>
      <c r="E115" s="1235"/>
      <c r="F115" s="1235"/>
      <c r="G115" s="1235"/>
      <c r="H115" s="1235"/>
      <c r="I115" s="1235"/>
      <c r="J115" s="1235"/>
      <c r="K115" s="1236"/>
      <c r="L115" s="93"/>
      <c r="W115" s="188"/>
      <c r="X115" s="189"/>
      <c r="Y115" s="301" t="s">
        <v>5673</v>
      </c>
      <c r="Z115" s="310"/>
      <c r="AA115" s="310"/>
      <c r="AB115" s="310"/>
      <c r="AC115" s="310"/>
      <c r="AD115" s="95"/>
      <c r="AE115" s="190">
        <f>AE250</f>
        <v>2237.44</v>
      </c>
      <c r="AF115" s="226"/>
      <c r="AH115" s="564"/>
      <c r="AI115" s="564"/>
    </row>
    <row r="116" spans="2:35" s="9" customFormat="1" ht="19.95" customHeight="1" x14ac:dyDescent="0.25">
      <c r="B116" s="93"/>
      <c r="D116" s="1234" t="s">
        <v>5205</v>
      </c>
      <c r="E116" s="1235"/>
      <c r="F116" s="1235"/>
      <c r="G116" s="1235"/>
      <c r="H116" s="1235"/>
      <c r="I116" s="1235"/>
      <c r="J116" s="1235"/>
      <c r="K116" s="1236"/>
      <c r="L116" s="93"/>
      <c r="W116" s="188"/>
      <c r="X116" s="189"/>
      <c r="Y116" s="301" t="s">
        <v>5674</v>
      </c>
      <c r="Z116" s="310"/>
      <c r="AA116" s="310"/>
      <c r="AB116" s="310"/>
      <c r="AC116" s="310"/>
      <c r="AD116" s="95"/>
      <c r="AE116" s="190">
        <f>AE254</f>
        <v>398.84000000000003</v>
      </c>
      <c r="AF116" s="226"/>
      <c r="AH116" s="564"/>
      <c r="AI116" s="564"/>
    </row>
    <row r="117" spans="2:35" s="9" customFormat="1" ht="19.95" customHeight="1" x14ac:dyDescent="0.25">
      <c r="B117" s="93"/>
      <c r="D117" s="1234" t="s">
        <v>5205</v>
      </c>
      <c r="E117" s="1235"/>
      <c r="F117" s="1235"/>
      <c r="G117" s="1235"/>
      <c r="H117" s="1235"/>
      <c r="I117" s="1235"/>
      <c r="J117" s="1235"/>
      <c r="K117" s="1236"/>
      <c r="L117" s="93"/>
      <c r="W117" s="188"/>
      <c r="X117" s="311"/>
      <c r="Y117" s="312" t="s">
        <v>5675</v>
      </c>
      <c r="Z117" s="310"/>
      <c r="AA117" s="310"/>
      <c r="AB117" s="310"/>
      <c r="AC117" s="310"/>
      <c r="AD117" s="310"/>
      <c r="AE117" s="190">
        <f>AE259</f>
        <v>266.99</v>
      </c>
      <c r="AF117" s="226"/>
      <c r="AH117" s="564"/>
      <c r="AI117" s="564"/>
    </row>
    <row r="118" spans="2:35" s="9" customFormat="1" ht="19.95" customHeight="1" x14ac:dyDescent="0.25">
      <c r="B118" s="93"/>
      <c r="D118" s="1234" t="s">
        <v>5205</v>
      </c>
      <c r="E118" s="1235"/>
      <c r="F118" s="1235"/>
      <c r="G118" s="1235"/>
      <c r="H118" s="1235"/>
      <c r="I118" s="1235"/>
      <c r="J118" s="1235"/>
      <c r="K118" s="1236"/>
      <c r="L118" s="93"/>
      <c r="W118" s="188"/>
      <c r="X118" s="311"/>
      <c r="Y118" s="312" t="s">
        <v>5676</v>
      </c>
      <c r="Z118" s="310"/>
      <c r="AA118" s="310"/>
      <c r="AB118" s="310"/>
      <c r="AC118" s="310"/>
      <c r="AD118" s="310"/>
      <c r="AE118" s="190">
        <f>AE262</f>
        <v>1043.4299999999998</v>
      </c>
      <c r="AF118" s="226"/>
      <c r="AH118" s="564"/>
      <c r="AI118" s="564"/>
    </row>
    <row r="119" spans="2:35" s="9" customFormat="1" ht="24" customHeight="1" x14ac:dyDescent="0.25">
      <c r="B119" s="93"/>
      <c r="D119" s="1234" t="s">
        <v>5205</v>
      </c>
      <c r="E119" s="1235"/>
      <c r="F119" s="1235"/>
      <c r="G119" s="1235"/>
      <c r="H119" s="1235"/>
      <c r="I119" s="1235"/>
      <c r="J119" s="1235"/>
      <c r="K119" s="1236"/>
      <c r="L119" s="93"/>
      <c r="W119" s="188"/>
      <c r="X119" s="189"/>
      <c r="Y119" s="313" t="s">
        <v>5677</v>
      </c>
      <c r="Z119" s="310"/>
      <c r="AA119" s="310"/>
      <c r="AB119" s="310"/>
      <c r="AC119" s="310"/>
      <c r="AD119" s="95"/>
      <c r="AE119" s="187">
        <f>AE273</f>
        <v>2114.2099999999996</v>
      </c>
      <c r="AF119" s="226"/>
      <c r="AH119" s="564"/>
      <c r="AI119" s="564"/>
    </row>
    <row r="120" spans="2:35" s="9" customFormat="1" ht="19.95" customHeight="1" x14ac:dyDescent="0.25">
      <c r="B120" s="93"/>
      <c r="D120" s="1234" t="s">
        <v>5205</v>
      </c>
      <c r="E120" s="1235"/>
      <c r="F120" s="1235"/>
      <c r="G120" s="1235"/>
      <c r="H120" s="1235"/>
      <c r="I120" s="1235"/>
      <c r="J120" s="1235"/>
      <c r="K120" s="1236"/>
      <c r="L120" s="93"/>
      <c r="W120" s="188"/>
      <c r="X120" s="311"/>
      <c r="Y120" s="312" t="s">
        <v>5678</v>
      </c>
      <c r="Z120" s="310"/>
      <c r="AA120" s="310"/>
      <c r="AB120" s="310"/>
      <c r="AC120" s="310"/>
      <c r="AD120" s="310"/>
      <c r="AE120" s="314">
        <f>AE274</f>
        <v>736.66</v>
      </c>
      <c r="AF120" s="226"/>
      <c r="AH120" s="564"/>
      <c r="AI120" s="564"/>
    </row>
    <row r="121" spans="2:35" s="9" customFormat="1" ht="19.95" customHeight="1" x14ac:dyDescent="0.25">
      <c r="B121" s="93"/>
      <c r="D121" s="1234" t="s">
        <v>5205</v>
      </c>
      <c r="E121" s="1235"/>
      <c r="F121" s="1235"/>
      <c r="G121" s="1235"/>
      <c r="H121" s="1235"/>
      <c r="I121" s="1235"/>
      <c r="J121" s="1235"/>
      <c r="K121" s="1236"/>
      <c r="L121" s="93"/>
      <c r="W121" s="188"/>
      <c r="X121" s="311"/>
      <c r="Y121" s="312" t="s">
        <v>5679</v>
      </c>
      <c r="Z121" s="310"/>
      <c r="AA121" s="310"/>
      <c r="AB121" s="310"/>
      <c r="AC121" s="310"/>
      <c r="AD121" s="310"/>
      <c r="AE121" s="314">
        <f>AE279</f>
        <v>63.519999999999996</v>
      </c>
      <c r="AF121" s="226"/>
      <c r="AH121" s="564"/>
      <c r="AI121" s="564"/>
    </row>
    <row r="122" spans="2:35" s="9" customFormat="1" ht="19.95" customHeight="1" x14ac:dyDescent="0.25">
      <c r="B122" s="93"/>
      <c r="D122" s="1234" t="s">
        <v>5205</v>
      </c>
      <c r="E122" s="1235"/>
      <c r="F122" s="1235"/>
      <c r="G122" s="1235"/>
      <c r="H122" s="1235"/>
      <c r="I122" s="1235"/>
      <c r="J122" s="1235"/>
      <c r="K122" s="1236"/>
      <c r="L122" s="93"/>
      <c r="W122" s="188"/>
      <c r="X122" s="311"/>
      <c r="Y122" s="312" t="s">
        <v>5680</v>
      </c>
      <c r="Z122" s="310"/>
      <c r="AA122" s="310"/>
      <c r="AB122" s="310"/>
      <c r="AC122" s="310"/>
      <c r="AD122" s="310"/>
      <c r="AE122" s="314">
        <f>AE284</f>
        <v>1314.0299999999997</v>
      </c>
      <c r="AF122" s="226"/>
      <c r="AH122" s="564"/>
      <c r="AI122" s="564"/>
    </row>
    <row r="123" spans="2:35" s="8" customFormat="1" ht="25.05" customHeight="1" x14ac:dyDescent="0.2">
      <c r="B123" s="89"/>
      <c r="D123" s="90" t="s">
        <v>1185</v>
      </c>
      <c r="E123" s="91"/>
      <c r="F123" s="91"/>
      <c r="G123" s="91"/>
      <c r="H123" s="91"/>
      <c r="I123" s="91"/>
      <c r="J123" s="92">
        <f>J299</f>
        <v>118.67999999999999</v>
      </c>
      <c r="L123" s="89"/>
      <c r="W123" s="185"/>
      <c r="X123" s="315"/>
      <c r="Y123" s="308" t="s">
        <v>1185</v>
      </c>
      <c r="Z123" s="309"/>
      <c r="AA123" s="309"/>
      <c r="AB123" s="309"/>
      <c r="AC123" s="309"/>
      <c r="AD123" s="309"/>
      <c r="AE123" s="316">
        <f>AE299</f>
        <v>423.42</v>
      </c>
      <c r="AF123" s="225"/>
      <c r="AH123" s="563"/>
      <c r="AI123" s="563"/>
    </row>
    <row r="124" spans="2:35" s="8" customFormat="1" ht="25.05" customHeight="1" x14ac:dyDescent="0.2">
      <c r="B124" s="89"/>
      <c r="D124" s="90" t="s">
        <v>1186</v>
      </c>
      <c r="E124" s="91"/>
      <c r="F124" s="91"/>
      <c r="G124" s="91"/>
      <c r="H124" s="91"/>
      <c r="I124" s="91"/>
      <c r="J124" s="92">
        <f>J304</f>
        <v>921.71</v>
      </c>
      <c r="L124" s="89"/>
      <c r="W124" s="185"/>
      <c r="X124" s="186"/>
      <c r="Y124" s="90" t="s">
        <v>1186</v>
      </c>
      <c r="Z124" s="91"/>
      <c r="AA124" s="91"/>
      <c r="AB124" s="91"/>
      <c r="AC124" s="91"/>
      <c r="AD124" s="91"/>
      <c r="AE124" s="187">
        <f>AE304</f>
        <v>4931.51</v>
      </c>
      <c r="AF124" s="225"/>
      <c r="AH124" s="563"/>
      <c r="AI124" s="563"/>
    </row>
    <row r="125" spans="2:35" s="9" customFormat="1" ht="19.95" customHeight="1" x14ac:dyDescent="0.2">
      <c r="B125" s="93"/>
      <c r="D125" s="94" t="s">
        <v>1187</v>
      </c>
      <c r="E125" s="95"/>
      <c r="F125" s="95"/>
      <c r="G125" s="95"/>
      <c r="H125" s="95"/>
      <c r="I125" s="95"/>
      <c r="J125" s="96">
        <f>J305</f>
        <v>921.71</v>
      </c>
      <c r="L125" s="93"/>
      <c r="W125" s="188"/>
      <c r="X125" s="189"/>
      <c r="Y125" s="94" t="s">
        <v>1187</v>
      </c>
      <c r="Z125" s="95"/>
      <c r="AA125" s="95"/>
      <c r="AB125" s="95"/>
      <c r="AC125" s="95"/>
      <c r="AD125" s="95"/>
      <c r="AE125" s="190">
        <f>AE305</f>
        <v>1830.1499999999999</v>
      </c>
      <c r="AF125" s="226"/>
      <c r="AH125" s="564"/>
      <c r="AI125" s="564"/>
    </row>
    <row r="126" spans="2:35" s="9" customFormat="1" ht="19.95" customHeight="1" x14ac:dyDescent="0.25">
      <c r="B126" s="93"/>
      <c r="D126" s="1234" t="s">
        <v>5205</v>
      </c>
      <c r="E126" s="1235"/>
      <c r="F126" s="1235"/>
      <c r="G126" s="1235"/>
      <c r="H126" s="1235"/>
      <c r="I126" s="1235"/>
      <c r="J126" s="1235"/>
      <c r="K126" s="1236"/>
      <c r="L126" s="93"/>
      <c r="W126" s="188"/>
      <c r="X126" s="189"/>
      <c r="Y126" s="301" t="s">
        <v>5681</v>
      </c>
      <c r="Z126" s="95"/>
      <c r="AA126" s="95"/>
      <c r="AB126" s="95"/>
      <c r="AC126" s="95"/>
      <c r="AD126" s="95"/>
      <c r="AE126" s="190">
        <f>AE315</f>
        <v>674.83</v>
      </c>
      <c r="AF126" s="226"/>
      <c r="AH126" s="564"/>
      <c r="AI126" s="564"/>
    </row>
    <row r="127" spans="2:35" s="9" customFormat="1" ht="19.95" customHeight="1" x14ac:dyDescent="0.25">
      <c r="B127" s="93"/>
      <c r="D127" s="1234" t="s">
        <v>5205</v>
      </c>
      <c r="E127" s="1235"/>
      <c r="F127" s="1235"/>
      <c r="G127" s="1235"/>
      <c r="H127" s="1235"/>
      <c r="I127" s="1235"/>
      <c r="J127" s="1235"/>
      <c r="K127" s="1236"/>
      <c r="L127" s="93"/>
      <c r="W127" s="188"/>
      <c r="X127" s="189"/>
      <c r="Y127" s="301" t="s">
        <v>5682</v>
      </c>
      <c r="Z127" s="95"/>
      <c r="AA127" s="95"/>
      <c r="AB127" s="95"/>
      <c r="AC127" s="95"/>
      <c r="AD127" s="95"/>
      <c r="AE127" s="190">
        <f>AE317</f>
        <v>1297.1400000000001</v>
      </c>
      <c r="AF127" s="226"/>
      <c r="AH127" s="564"/>
      <c r="AI127" s="564"/>
    </row>
    <row r="128" spans="2:35" s="9" customFormat="1" ht="19.95" customHeight="1" x14ac:dyDescent="0.25">
      <c r="B128" s="93"/>
      <c r="D128" s="1234" t="s">
        <v>5205</v>
      </c>
      <c r="E128" s="1235"/>
      <c r="F128" s="1235"/>
      <c r="G128" s="1235"/>
      <c r="H128" s="1235"/>
      <c r="I128" s="1235"/>
      <c r="J128" s="1235"/>
      <c r="K128" s="1236"/>
      <c r="L128" s="93"/>
      <c r="W128" s="188"/>
      <c r="X128" s="189"/>
      <c r="Y128" s="301" t="s">
        <v>5683</v>
      </c>
      <c r="Z128" s="95"/>
      <c r="AA128" s="95"/>
      <c r="AB128" s="95"/>
      <c r="AC128" s="95"/>
      <c r="AD128" s="95"/>
      <c r="AE128" s="190">
        <f>AE321</f>
        <v>1129.3899999999999</v>
      </c>
      <c r="AF128" s="226"/>
      <c r="AH128" s="564"/>
      <c r="AI128" s="564"/>
    </row>
    <row r="129" spans="2:39" s="8" customFormat="1" ht="25.05" customHeight="1" x14ac:dyDescent="0.2">
      <c r="B129" s="89"/>
      <c r="D129" s="90" t="s">
        <v>1188</v>
      </c>
      <c r="E129" s="91"/>
      <c r="F129" s="91"/>
      <c r="G129" s="91"/>
      <c r="H129" s="91"/>
      <c r="I129" s="91"/>
      <c r="J129" s="92">
        <f>J330</f>
        <v>559.71</v>
      </c>
      <c r="L129" s="89"/>
      <c r="W129" s="185"/>
      <c r="X129" s="186"/>
      <c r="Y129" s="90" t="s">
        <v>1188</v>
      </c>
      <c r="Z129" s="91"/>
      <c r="AA129" s="91"/>
      <c r="AB129" s="91"/>
      <c r="AC129" s="91"/>
      <c r="AD129" s="91"/>
      <c r="AE129" s="187">
        <f>AE330</f>
        <v>1678.75</v>
      </c>
      <c r="AF129" s="225"/>
      <c r="AH129" s="563"/>
      <c r="AI129" s="563"/>
    </row>
    <row r="130" spans="2:39" s="8" customFormat="1" ht="25.05" customHeight="1" x14ac:dyDescent="0.25">
      <c r="B130" s="89"/>
      <c r="D130" s="1234" t="s">
        <v>5205</v>
      </c>
      <c r="E130" s="1235"/>
      <c r="F130" s="1235"/>
      <c r="G130" s="1235"/>
      <c r="H130" s="1235"/>
      <c r="I130" s="1235"/>
      <c r="J130" s="1235"/>
      <c r="K130" s="1236"/>
      <c r="L130" s="89"/>
      <c r="W130" s="185"/>
      <c r="X130" s="186"/>
      <c r="Y130" s="306" t="s">
        <v>5577</v>
      </c>
      <c r="Z130" s="91"/>
      <c r="AA130" s="91"/>
      <c r="AB130" s="91"/>
      <c r="AC130" s="91"/>
      <c r="AD130" s="91"/>
      <c r="AE130" s="187">
        <f>AE335</f>
        <v>1319.6500000000003</v>
      </c>
      <c r="AF130" s="225"/>
      <c r="AH130" s="563"/>
      <c r="AI130" s="563"/>
    </row>
    <row r="131" spans="2:39" s="8" customFormat="1" ht="25.05" customHeight="1" x14ac:dyDescent="0.25">
      <c r="B131" s="89"/>
      <c r="D131" s="1234" t="s">
        <v>5205</v>
      </c>
      <c r="E131" s="1235"/>
      <c r="F131" s="1235"/>
      <c r="G131" s="1235"/>
      <c r="H131" s="1235"/>
      <c r="I131" s="1235"/>
      <c r="J131" s="1235"/>
      <c r="K131" s="1236"/>
      <c r="L131" s="89"/>
      <c r="W131" s="185"/>
      <c r="X131" s="186"/>
      <c r="Y131" s="306" t="s">
        <v>5600</v>
      </c>
      <c r="Z131" s="91"/>
      <c r="AA131" s="91"/>
      <c r="AB131" s="91"/>
      <c r="AC131" s="91"/>
      <c r="AD131" s="91"/>
      <c r="AE131" s="187">
        <f>AE352</f>
        <v>2760</v>
      </c>
      <c r="AF131" s="225"/>
      <c r="AH131" s="563"/>
      <c r="AI131" s="563"/>
    </row>
    <row r="132" spans="2:39" s="8" customFormat="1" ht="25.05" customHeight="1" x14ac:dyDescent="0.25">
      <c r="B132" s="89"/>
      <c r="D132" s="1234" t="s">
        <v>5205</v>
      </c>
      <c r="E132" s="1235"/>
      <c r="F132" s="1235"/>
      <c r="G132" s="1235"/>
      <c r="H132" s="1235"/>
      <c r="I132" s="1235"/>
      <c r="J132" s="1235"/>
      <c r="K132" s="1236"/>
      <c r="L132" s="89"/>
      <c r="W132" s="185"/>
      <c r="X132" s="186"/>
      <c r="Y132" s="306" t="s">
        <v>5612</v>
      </c>
      <c r="Z132" s="91"/>
      <c r="AA132" s="91"/>
      <c r="AB132" s="91"/>
      <c r="AC132" s="91"/>
      <c r="AD132" s="91"/>
      <c r="AE132" s="187">
        <f>AE358</f>
        <v>1407.33</v>
      </c>
      <c r="AF132" s="225"/>
      <c r="AH132" s="563"/>
      <c r="AI132" s="563"/>
    </row>
    <row r="133" spans="2:39" s="8" customFormat="1" ht="25.05" customHeight="1" x14ac:dyDescent="0.2">
      <c r="B133" s="89"/>
      <c r="D133" s="90" t="s">
        <v>1189</v>
      </c>
      <c r="E133" s="91"/>
      <c r="F133" s="91"/>
      <c r="G133" s="91"/>
      <c r="H133" s="91"/>
      <c r="I133" s="91"/>
      <c r="J133" s="92">
        <f>J365</f>
        <v>133.52000000000001</v>
      </c>
      <c r="L133" s="89"/>
      <c r="W133" s="185"/>
      <c r="X133" s="186"/>
      <c r="Y133" s="90" t="s">
        <v>1189</v>
      </c>
      <c r="Z133" s="91"/>
      <c r="AA133" s="91"/>
      <c r="AB133" s="91"/>
      <c r="AC133" s="91"/>
      <c r="AD133" s="91"/>
      <c r="AE133" s="187">
        <f>AE365</f>
        <v>548.33999999999992</v>
      </c>
      <c r="AF133" s="225"/>
      <c r="AH133" s="563"/>
      <c r="AI133" s="563"/>
    </row>
    <row r="134" spans="2:39" s="1" customFormat="1" ht="21.75" customHeight="1" x14ac:dyDescent="0.2">
      <c r="B134" s="24"/>
      <c r="L134" s="24"/>
      <c r="W134" s="158"/>
      <c r="X134" s="557"/>
      <c r="Y134" s="557"/>
      <c r="Z134" s="557"/>
      <c r="AA134" s="557"/>
      <c r="AB134" s="557"/>
      <c r="AC134" s="557"/>
      <c r="AD134" s="557"/>
      <c r="AE134" s="159"/>
      <c r="AF134" s="224"/>
      <c r="AH134" s="561"/>
      <c r="AI134" s="561"/>
    </row>
    <row r="135" spans="2:39" s="1" customFormat="1" ht="7.05" customHeight="1" x14ac:dyDescent="0.2">
      <c r="B135" s="33"/>
      <c r="C135" s="34"/>
      <c r="D135" s="34"/>
      <c r="E135" s="34"/>
      <c r="F135" s="34"/>
      <c r="G135" s="34"/>
      <c r="H135" s="34"/>
      <c r="I135" s="34"/>
      <c r="J135" s="34"/>
      <c r="K135" s="34"/>
      <c r="L135" s="24"/>
      <c r="W135" s="175"/>
      <c r="X135" s="176"/>
      <c r="Y135" s="176"/>
      <c r="Z135" s="176"/>
      <c r="AA135" s="176"/>
      <c r="AB135" s="176"/>
      <c r="AC135" s="176"/>
      <c r="AD135" s="176"/>
      <c r="AE135" s="177"/>
      <c r="AF135" s="224"/>
      <c r="AH135" s="561"/>
      <c r="AI135" s="561"/>
    </row>
    <row r="139" spans="2:39" s="1" customFormat="1" ht="7.05" customHeight="1" x14ac:dyDescent="0.2">
      <c r="B139" s="35"/>
      <c r="C139" s="36"/>
      <c r="D139" s="36"/>
      <c r="E139" s="36"/>
      <c r="F139" s="36"/>
      <c r="G139" s="36"/>
      <c r="H139" s="36"/>
      <c r="I139" s="36"/>
      <c r="J139" s="36"/>
      <c r="K139" s="36"/>
      <c r="L139" s="24"/>
      <c r="W139" s="178"/>
      <c r="X139" s="179"/>
      <c r="Y139" s="179"/>
      <c r="Z139" s="179"/>
      <c r="AA139" s="179"/>
      <c r="AB139" s="179"/>
      <c r="AC139" s="179"/>
      <c r="AD139" s="179"/>
      <c r="AE139" s="180"/>
      <c r="AF139" s="224"/>
      <c r="AH139" s="561"/>
      <c r="AI139" s="561"/>
    </row>
    <row r="140" spans="2:39" s="1" customFormat="1" ht="25.05" customHeight="1" x14ac:dyDescent="0.2">
      <c r="B140" s="24"/>
      <c r="C140" s="1165" t="s">
        <v>214</v>
      </c>
      <c r="D140" s="1165"/>
      <c r="E140" s="1165"/>
      <c r="F140" s="1165"/>
      <c r="G140" s="1165"/>
      <c r="H140" s="1165"/>
      <c r="I140" s="1165"/>
      <c r="J140" s="1165"/>
      <c r="L140" s="24"/>
      <c r="W140" s="158"/>
      <c r="X140" s="1237" t="s">
        <v>214</v>
      </c>
      <c r="Y140" s="1237"/>
      <c r="Z140" s="1237"/>
      <c r="AA140" s="1237"/>
      <c r="AB140" s="1237"/>
      <c r="AC140" s="1237"/>
      <c r="AD140" s="1237"/>
      <c r="AE140" s="1238"/>
      <c r="AF140" s="224"/>
      <c r="AH140" s="567"/>
      <c r="AI140" s="567"/>
      <c r="AJ140" s="407"/>
      <c r="AK140" s="407"/>
      <c r="AL140" s="407"/>
      <c r="AM140" s="407"/>
    </row>
    <row r="141" spans="2:39" s="1" customFormat="1" ht="7.05" customHeight="1" x14ac:dyDescent="0.2">
      <c r="B141" s="24"/>
      <c r="L141" s="24"/>
      <c r="W141" s="158"/>
      <c r="X141" s="557"/>
      <c r="Y141" s="557"/>
      <c r="Z141" s="557"/>
      <c r="AA141" s="557"/>
      <c r="AB141" s="557"/>
      <c r="AC141" s="557"/>
      <c r="AD141" s="557"/>
      <c r="AE141" s="159"/>
      <c r="AF141" s="224"/>
      <c r="AH141" s="567"/>
      <c r="AI141" s="567"/>
      <c r="AJ141" s="407"/>
      <c r="AK141" s="407"/>
      <c r="AL141" s="407"/>
      <c r="AM141" s="407"/>
    </row>
    <row r="142" spans="2:39" s="1" customFormat="1" ht="12" customHeight="1" x14ac:dyDescent="0.2">
      <c r="B142" s="24"/>
      <c r="C142" s="528" t="s">
        <v>12</v>
      </c>
      <c r="E142" s="1242" t="s">
        <v>6177</v>
      </c>
      <c r="F142" s="1242"/>
      <c r="G142" s="1242"/>
      <c r="H142" s="1242"/>
      <c r="I142" s="1242"/>
      <c r="J142" s="1242"/>
      <c r="L142" s="24"/>
      <c r="W142" s="158"/>
      <c r="X142" s="538" t="s">
        <v>12</v>
      </c>
      <c r="Y142" s="557"/>
      <c r="Z142" s="1163" t="s">
        <v>6177</v>
      </c>
      <c r="AA142" s="1163"/>
      <c r="AB142" s="1163"/>
      <c r="AC142" s="1163"/>
      <c r="AD142" s="1163"/>
      <c r="AE142" s="1241"/>
      <c r="AF142" s="224"/>
      <c r="AH142" s="567"/>
      <c r="AI142" s="567"/>
      <c r="AJ142" s="407"/>
      <c r="AK142" s="407"/>
      <c r="AL142" s="407"/>
      <c r="AM142" s="407"/>
    </row>
    <row r="143" spans="2:39" s="1" customFormat="1" ht="24" customHeight="1" x14ac:dyDescent="0.2">
      <c r="B143" s="24"/>
      <c r="C143" s="521"/>
      <c r="E143" s="1243"/>
      <c r="F143" s="1244"/>
      <c r="G143" s="1244"/>
      <c r="H143" s="1244"/>
      <c r="L143" s="24"/>
      <c r="W143" s="158"/>
      <c r="X143" s="557"/>
      <c r="Y143" s="557"/>
      <c r="Z143" s="1249"/>
      <c r="AA143" s="1250"/>
      <c r="AB143" s="1250"/>
      <c r="AC143" s="1250"/>
      <c r="AD143" s="557"/>
      <c r="AE143" s="159"/>
      <c r="AF143" s="224"/>
      <c r="AH143" s="567"/>
      <c r="AI143" s="567"/>
      <c r="AJ143" s="406"/>
      <c r="AK143" s="407"/>
      <c r="AL143" s="407"/>
      <c r="AM143" s="407"/>
    </row>
    <row r="144" spans="2:39" s="1" customFormat="1" ht="12" customHeight="1" x14ac:dyDescent="0.2">
      <c r="B144" s="24"/>
      <c r="C144" s="528" t="s">
        <v>186</v>
      </c>
      <c r="F144" s="532" t="s">
        <v>1174</v>
      </c>
      <c r="L144" s="24"/>
      <c r="W144" s="158"/>
      <c r="X144" s="538" t="s">
        <v>186</v>
      </c>
      <c r="Y144" s="557"/>
      <c r="Z144" s="557"/>
      <c r="AA144" s="555" t="s">
        <v>1174</v>
      </c>
      <c r="AB144" s="557"/>
      <c r="AC144" s="557"/>
      <c r="AD144" s="557"/>
      <c r="AE144" s="159"/>
      <c r="AF144" s="224"/>
      <c r="AH144" s="567"/>
      <c r="AI144" s="567"/>
      <c r="AJ144" s="407"/>
      <c r="AK144" s="407"/>
      <c r="AL144" s="407"/>
      <c r="AM144" s="407"/>
    </row>
    <row r="145" spans="2:65" s="1" customFormat="1" ht="16.5" customHeight="1" x14ac:dyDescent="0.2">
      <c r="B145" s="24"/>
      <c r="C145" s="521"/>
      <c r="E145" s="1251"/>
      <c r="F145" s="1252"/>
      <c r="G145" s="1252"/>
      <c r="H145" s="1252"/>
      <c r="L145" s="24"/>
      <c r="W145" s="158"/>
      <c r="X145" s="557"/>
      <c r="Y145" s="557"/>
      <c r="Z145" s="1245"/>
      <c r="AA145" s="1246"/>
      <c r="AB145" s="1246"/>
      <c r="AC145" s="1246"/>
      <c r="AD145" s="557"/>
      <c r="AE145" s="159"/>
      <c r="AF145" s="224"/>
      <c r="AH145" s="567"/>
      <c r="AI145" s="567"/>
      <c r="AJ145" s="407"/>
      <c r="AK145" s="407"/>
      <c r="AL145" s="407"/>
      <c r="AM145" s="407"/>
    </row>
    <row r="146" spans="2:65" s="1" customFormat="1" ht="7.05" customHeight="1" x14ac:dyDescent="0.2">
      <c r="B146" s="24"/>
      <c r="C146" s="521"/>
      <c r="L146" s="24"/>
      <c r="W146" s="158"/>
      <c r="X146" s="557"/>
      <c r="Y146" s="557"/>
      <c r="Z146" s="557"/>
      <c r="AA146" s="557"/>
      <c r="AB146" s="557"/>
      <c r="AC146" s="557"/>
      <c r="AD146" s="557"/>
      <c r="AE146" s="159"/>
      <c r="AF146" s="224"/>
      <c r="AH146" s="567"/>
      <c r="AI146" s="567"/>
      <c r="AJ146" s="407"/>
      <c r="AK146" s="407"/>
      <c r="AL146" s="407"/>
      <c r="AM146" s="407"/>
    </row>
    <row r="147" spans="2:65" s="1" customFormat="1" ht="12" customHeight="1" x14ac:dyDescent="0.2">
      <c r="B147" s="24"/>
      <c r="C147" s="528" t="s">
        <v>15</v>
      </c>
      <c r="F147" s="19" t="str">
        <f>F12</f>
        <v>Kuzmányho nábrežie 28, 960 01 Zvolen</v>
      </c>
      <c r="I147" s="528" t="s">
        <v>17</v>
      </c>
      <c r="J147" s="39" t="str">
        <f>IF(J12="","",J12)</f>
        <v/>
      </c>
      <c r="L147" s="24"/>
      <c r="W147" s="158"/>
      <c r="X147" s="538" t="s">
        <v>15</v>
      </c>
      <c r="Y147" s="557"/>
      <c r="Z147" s="557"/>
      <c r="AA147" s="558" t="str">
        <f>AA12</f>
        <v>Kuzmányho nábrežie 28, 960 01 Zvolen</v>
      </c>
      <c r="AB147" s="557"/>
      <c r="AC147" s="557"/>
      <c r="AD147" s="538" t="s">
        <v>17</v>
      </c>
      <c r="AE147" s="162" t="str">
        <f>IF(AE12="","",AE12)</f>
        <v/>
      </c>
      <c r="AF147" s="224"/>
      <c r="AH147" s="567"/>
      <c r="AI147" s="567"/>
      <c r="AJ147" s="407"/>
      <c r="AK147" s="407"/>
      <c r="AL147" s="407"/>
      <c r="AM147" s="407"/>
    </row>
    <row r="148" spans="2:65" s="1" customFormat="1" ht="7.05" customHeight="1" x14ac:dyDescent="0.2">
      <c r="B148" s="24"/>
      <c r="C148" s="521"/>
      <c r="I148" s="521"/>
      <c r="L148" s="24"/>
      <c r="W148" s="158"/>
      <c r="X148" s="557"/>
      <c r="Y148" s="557"/>
      <c r="Z148" s="557"/>
      <c r="AA148" s="557"/>
      <c r="AB148" s="557"/>
      <c r="AC148" s="557"/>
      <c r="AD148" s="557"/>
      <c r="AE148" s="159"/>
      <c r="AF148" s="224"/>
      <c r="AH148" s="567"/>
      <c r="AI148" s="567"/>
      <c r="AJ148" s="407"/>
      <c r="AK148" s="407"/>
      <c r="AL148" s="407"/>
      <c r="AM148" s="407"/>
    </row>
    <row r="149" spans="2:65" s="1" customFormat="1" ht="15.3" customHeight="1" x14ac:dyDescent="0.2">
      <c r="B149" s="24"/>
      <c r="C149" s="528" t="s">
        <v>18</v>
      </c>
      <c r="F149" s="529" t="s">
        <v>6175</v>
      </c>
      <c r="I149" s="528" t="s">
        <v>22</v>
      </c>
      <c r="J149" s="22" t="str">
        <f>E21</f>
        <v xml:space="preserve"> </v>
      </c>
      <c r="L149" s="24"/>
      <c r="W149" s="158"/>
      <c r="X149" s="538" t="s">
        <v>18</v>
      </c>
      <c r="Y149" s="557"/>
      <c r="Z149" s="557"/>
      <c r="AA149" s="576" t="s">
        <v>6175</v>
      </c>
      <c r="AB149" s="557"/>
      <c r="AC149" s="557"/>
      <c r="AD149" s="538" t="s">
        <v>22</v>
      </c>
      <c r="AE149" s="181" t="str">
        <f>Z21</f>
        <v/>
      </c>
      <c r="AF149" s="224"/>
      <c r="AH149" s="567"/>
      <c r="AI149" s="567"/>
      <c r="AJ149" s="407"/>
      <c r="AK149" s="407"/>
      <c r="AL149" s="407"/>
      <c r="AM149" s="407"/>
    </row>
    <row r="150" spans="2:65" s="1" customFormat="1" ht="15.3" customHeight="1" x14ac:dyDescent="0.2">
      <c r="B150" s="24"/>
      <c r="C150" s="528" t="s">
        <v>21</v>
      </c>
      <c r="F150" s="529" t="s">
        <v>5202</v>
      </c>
      <c r="I150" s="528" t="s">
        <v>24</v>
      </c>
      <c r="J150" s="22" t="str">
        <f>E24</f>
        <v xml:space="preserve"> </v>
      </c>
      <c r="L150" s="24"/>
      <c r="W150" s="158"/>
      <c r="X150" s="538" t="s">
        <v>21</v>
      </c>
      <c r="Y150" s="557"/>
      <c r="Z150" s="557"/>
      <c r="AA150" s="576" t="s">
        <v>5202</v>
      </c>
      <c r="AB150" s="557"/>
      <c r="AC150" s="557"/>
      <c r="AD150" s="538" t="s">
        <v>24</v>
      </c>
      <c r="AE150" s="632"/>
      <c r="AF150" s="224"/>
      <c r="AH150" s="567"/>
      <c r="AI150" s="567"/>
      <c r="AJ150" s="407"/>
      <c r="AK150" s="407"/>
      <c r="AL150" s="407"/>
      <c r="AM150" s="407"/>
    </row>
    <row r="151" spans="2:65" s="1" customFormat="1" ht="10.199999999999999" customHeight="1" x14ac:dyDescent="0.2">
      <c r="B151" s="24"/>
      <c r="L151" s="24"/>
      <c r="W151" s="158"/>
      <c r="X151" s="557"/>
      <c r="Y151" s="557"/>
      <c r="Z151" s="557"/>
      <c r="AA151" s="557"/>
      <c r="AB151" s="557"/>
      <c r="AC151" s="557"/>
      <c r="AD151" s="557"/>
      <c r="AE151" s="159"/>
      <c r="AF151" s="224"/>
      <c r="AH151" s="567"/>
      <c r="AI151" s="567"/>
      <c r="AJ151" s="407"/>
      <c r="AK151" s="407"/>
      <c r="AL151" s="407"/>
      <c r="AM151" s="407"/>
    </row>
    <row r="152" spans="2:65" s="10" customFormat="1" ht="29.25" customHeight="1" x14ac:dyDescent="0.2">
      <c r="B152" s="97"/>
      <c r="C152" s="98" t="s">
        <v>215</v>
      </c>
      <c r="D152" s="99" t="s">
        <v>43</v>
      </c>
      <c r="E152" s="99" t="s">
        <v>41</v>
      </c>
      <c r="F152" s="99" t="s">
        <v>42</v>
      </c>
      <c r="G152" s="99" t="s">
        <v>216</v>
      </c>
      <c r="H152" s="99" t="s">
        <v>217</v>
      </c>
      <c r="I152" s="99" t="s">
        <v>218</v>
      </c>
      <c r="J152" s="100" t="s">
        <v>190</v>
      </c>
      <c r="K152" s="101" t="s">
        <v>219</v>
      </c>
      <c r="L152" s="97"/>
      <c r="M152" s="46" t="s">
        <v>1</v>
      </c>
      <c r="N152" s="47" t="s">
        <v>30</v>
      </c>
      <c r="O152" s="47" t="s">
        <v>220</v>
      </c>
      <c r="P152" s="47" t="s">
        <v>221</v>
      </c>
      <c r="Q152" s="47" t="s">
        <v>222</v>
      </c>
      <c r="R152" s="47" t="s">
        <v>223</v>
      </c>
      <c r="S152" s="47" t="s">
        <v>224</v>
      </c>
      <c r="T152" s="48" t="s">
        <v>225</v>
      </c>
      <c r="W152" s="191"/>
      <c r="X152" s="98" t="s">
        <v>215</v>
      </c>
      <c r="Y152" s="99" t="s">
        <v>43</v>
      </c>
      <c r="Z152" s="99" t="s">
        <v>41</v>
      </c>
      <c r="AA152" s="99" t="s">
        <v>42</v>
      </c>
      <c r="AB152" s="99" t="s">
        <v>216</v>
      </c>
      <c r="AC152" s="99" t="s">
        <v>217</v>
      </c>
      <c r="AD152" s="99" t="s">
        <v>218</v>
      </c>
      <c r="AE152" s="192" t="s">
        <v>190</v>
      </c>
      <c r="AF152" s="228" t="s">
        <v>5220</v>
      </c>
      <c r="AH152" s="578"/>
      <c r="AI152" s="578"/>
      <c r="AJ152" s="524"/>
      <c r="AK152" s="524"/>
      <c r="AL152" s="524"/>
      <c r="AM152" s="524"/>
    </row>
    <row r="153" spans="2:65" s="1" customFormat="1" ht="22.95" customHeight="1" x14ac:dyDescent="0.3">
      <c r="B153" s="24"/>
      <c r="C153" s="51" t="s">
        <v>191</v>
      </c>
      <c r="J153" s="102">
        <f>J154+J158+J196+J299+J304+J330+J365</f>
        <v>7888.3600000000006</v>
      </c>
      <c r="L153" s="24"/>
      <c r="M153" s="49"/>
      <c r="N153" s="40"/>
      <c r="O153" s="40"/>
      <c r="P153" s="103" t="e">
        <f>P154+P158+P196+P299+P304+P330+P365+#REF!</f>
        <v>#REF!</v>
      </c>
      <c r="Q153" s="40"/>
      <c r="R153" s="103" t="e">
        <f>R154+R158+R196+R299+R304+R330+R365+#REF!</f>
        <v>#REF!</v>
      </c>
      <c r="S153" s="40"/>
      <c r="T153" s="104" t="e">
        <f>T154+T158+T196+T299+T304+T330+T365+#REF!</f>
        <v>#REF!</v>
      </c>
      <c r="W153" s="158"/>
      <c r="X153" s="193" t="s">
        <v>191</v>
      </c>
      <c r="Y153" s="557"/>
      <c r="Z153" s="557"/>
      <c r="AA153" s="557"/>
      <c r="AB153" s="557"/>
      <c r="AC153" s="557"/>
      <c r="AD153" s="557"/>
      <c r="AE153" s="194">
        <f>AE154+AE158+AE196+AE234+AE273+AE299+AE304+AE330+AE335+AE352+AE358+AE365</f>
        <v>43306.459599999995</v>
      </c>
      <c r="AF153" s="224"/>
      <c r="AH153" s="579"/>
      <c r="AI153" s="579"/>
      <c r="AJ153" s="407"/>
      <c r="AK153" s="406"/>
      <c r="AL153" s="407"/>
      <c r="AM153" s="407"/>
      <c r="AT153" s="13" t="s">
        <v>57</v>
      </c>
      <c r="AU153" s="13" t="s">
        <v>192</v>
      </c>
      <c r="BK153" s="105" t="e">
        <f>BK154+BK158+BK196+BK299+BK304+BK330+BK365+#REF!</f>
        <v>#REF!</v>
      </c>
    </row>
    <row r="154" spans="2:65" s="11" customFormat="1" ht="25.95" customHeight="1" x14ac:dyDescent="0.25">
      <c r="B154" s="106"/>
      <c r="D154" s="107" t="s">
        <v>57</v>
      </c>
      <c r="E154" s="108" t="s">
        <v>1190</v>
      </c>
      <c r="F154" s="108" t="s">
        <v>1191</v>
      </c>
      <c r="J154" s="109">
        <f>BK154</f>
        <v>88.34</v>
      </c>
      <c r="L154" s="106"/>
      <c r="M154" s="110"/>
      <c r="N154" s="111"/>
      <c r="O154" s="111"/>
      <c r="P154" s="112">
        <f>SUM(P155:P157)</f>
        <v>0</v>
      </c>
      <c r="Q154" s="111"/>
      <c r="R154" s="112">
        <f>SUM(R155:R157)</f>
        <v>0</v>
      </c>
      <c r="S154" s="111"/>
      <c r="T154" s="113">
        <f>SUM(T155:T157)</f>
        <v>0</v>
      </c>
      <c r="W154" s="195"/>
      <c r="X154" s="111"/>
      <c r="Y154" s="196" t="s">
        <v>57</v>
      </c>
      <c r="Z154" s="197" t="s">
        <v>1190</v>
      </c>
      <c r="AA154" s="197" t="s">
        <v>1191</v>
      </c>
      <c r="AB154" s="111"/>
      <c r="AC154" s="111"/>
      <c r="AD154" s="111"/>
      <c r="AE154" s="198">
        <f>SUM(AE155:AE157)</f>
        <v>265.02000000000004</v>
      </c>
      <c r="AF154" s="114"/>
      <c r="AH154" s="580"/>
      <c r="AI154" s="580"/>
      <c r="AJ154" s="292"/>
      <c r="AK154" s="580"/>
      <c r="AL154" s="292"/>
      <c r="AM154" s="292"/>
      <c r="AR154" s="107" t="s">
        <v>76</v>
      </c>
      <c r="AT154" s="114" t="s">
        <v>57</v>
      </c>
      <c r="AU154" s="114" t="s">
        <v>58</v>
      </c>
      <c r="AY154" s="107" t="s">
        <v>228</v>
      </c>
      <c r="BK154" s="115">
        <f>SUM(BK155:BK157)</f>
        <v>88.34</v>
      </c>
    </row>
    <row r="155" spans="2:65" s="1" customFormat="1" ht="18" customHeight="1" x14ac:dyDescent="0.2">
      <c r="B155" s="118"/>
      <c r="C155" s="205" t="s">
        <v>63</v>
      </c>
      <c r="D155" s="119" t="s">
        <v>231</v>
      </c>
      <c r="E155" s="120" t="s">
        <v>1192</v>
      </c>
      <c r="F155" s="121" t="s">
        <v>1193</v>
      </c>
      <c r="G155" s="122" t="s">
        <v>1194</v>
      </c>
      <c r="H155" s="206">
        <v>12</v>
      </c>
      <c r="I155" s="124">
        <v>5.81</v>
      </c>
      <c r="J155" s="124">
        <f>ROUND(I155*H155,2)</f>
        <v>69.72</v>
      </c>
      <c r="K155" s="121" t="s">
        <v>1</v>
      </c>
      <c r="L155" s="24"/>
      <c r="M155" s="125" t="s">
        <v>1</v>
      </c>
      <c r="N155" s="126" t="s">
        <v>32</v>
      </c>
      <c r="O155" s="127">
        <v>0</v>
      </c>
      <c r="P155" s="127">
        <f>O155*H155</f>
        <v>0</v>
      </c>
      <c r="Q155" s="127">
        <v>0</v>
      </c>
      <c r="R155" s="127">
        <f>Q155*H155</f>
        <v>0</v>
      </c>
      <c r="S155" s="127">
        <v>0</v>
      </c>
      <c r="T155" s="128">
        <f>S155*H155</f>
        <v>0</v>
      </c>
      <c r="W155" s="199"/>
      <c r="X155" s="205" t="s">
        <v>63</v>
      </c>
      <c r="Y155" s="119" t="s">
        <v>231</v>
      </c>
      <c r="Z155" s="120" t="s">
        <v>1192</v>
      </c>
      <c r="AA155" s="121" t="s">
        <v>1193</v>
      </c>
      <c r="AB155" s="122" t="s">
        <v>1194</v>
      </c>
      <c r="AC155" s="206">
        <f>12+24</f>
        <v>36</v>
      </c>
      <c r="AD155" s="124">
        <v>5.81</v>
      </c>
      <c r="AE155" s="200">
        <f>ROUND(AD155*AC155,2)</f>
        <v>209.16</v>
      </c>
      <c r="AF155" s="227">
        <v>10</v>
      </c>
      <c r="AH155" s="567"/>
      <c r="AI155" s="567"/>
      <c r="AJ155" s="407"/>
      <c r="AK155" s="567"/>
      <c r="AL155" s="407"/>
      <c r="AM155" s="407"/>
      <c r="AR155" s="129" t="s">
        <v>258</v>
      </c>
      <c r="AT155" s="129" t="s">
        <v>231</v>
      </c>
      <c r="AU155" s="129" t="s">
        <v>63</v>
      </c>
      <c r="AY155" s="13" t="s">
        <v>228</v>
      </c>
      <c r="BE155" s="130">
        <f>IF(N155="základná",J155,0)</f>
        <v>0</v>
      </c>
      <c r="BF155" s="130">
        <f>IF(N155="znížená",J155,0)</f>
        <v>69.72</v>
      </c>
      <c r="BG155" s="130">
        <f>IF(N155="zákl. prenesená",J155,0)</f>
        <v>0</v>
      </c>
      <c r="BH155" s="130">
        <f>IF(N155="zníž. prenesená",J155,0)</f>
        <v>0</v>
      </c>
      <c r="BI155" s="130">
        <f>IF(N155="nulová",J155,0)</f>
        <v>0</v>
      </c>
      <c r="BJ155" s="13" t="s">
        <v>76</v>
      </c>
      <c r="BK155" s="130">
        <f>ROUND(I155*H155,2)</f>
        <v>69.72</v>
      </c>
      <c r="BL155" s="13" t="s">
        <v>258</v>
      </c>
      <c r="BM155" s="129" t="s">
        <v>76</v>
      </c>
    </row>
    <row r="156" spans="2:65" s="1" customFormat="1" ht="18" customHeight="1" x14ac:dyDescent="0.2">
      <c r="B156" s="118"/>
      <c r="C156" s="205" t="s">
        <v>76</v>
      </c>
      <c r="D156" s="119" t="s">
        <v>231</v>
      </c>
      <c r="E156" s="120" t="s">
        <v>1195</v>
      </c>
      <c r="F156" s="121" t="s">
        <v>1196</v>
      </c>
      <c r="G156" s="122" t="s">
        <v>1194</v>
      </c>
      <c r="H156" s="206">
        <v>12</v>
      </c>
      <c r="I156" s="124">
        <v>1.45</v>
      </c>
      <c r="J156" s="124">
        <f>ROUND(I156*H156,2)</f>
        <v>17.399999999999999</v>
      </c>
      <c r="K156" s="121" t="s">
        <v>1</v>
      </c>
      <c r="L156" s="24"/>
      <c r="M156" s="125" t="s">
        <v>1</v>
      </c>
      <c r="N156" s="126" t="s">
        <v>32</v>
      </c>
      <c r="O156" s="127">
        <v>0</v>
      </c>
      <c r="P156" s="127">
        <f>O156*H156</f>
        <v>0</v>
      </c>
      <c r="Q156" s="127">
        <v>0</v>
      </c>
      <c r="R156" s="127">
        <f>Q156*H156</f>
        <v>0</v>
      </c>
      <c r="S156" s="127">
        <v>0</v>
      </c>
      <c r="T156" s="128">
        <f>S156*H156</f>
        <v>0</v>
      </c>
      <c r="W156" s="199"/>
      <c r="X156" s="205" t="s">
        <v>76</v>
      </c>
      <c r="Y156" s="119" t="s">
        <v>231</v>
      </c>
      <c r="Z156" s="120" t="s">
        <v>1195</v>
      </c>
      <c r="AA156" s="121" t="s">
        <v>1196</v>
      </c>
      <c r="AB156" s="122" t="s">
        <v>1194</v>
      </c>
      <c r="AC156" s="206">
        <f>12+24</f>
        <v>36</v>
      </c>
      <c r="AD156" s="124">
        <v>1.45</v>
      </c>
      <c r="AE156" s="200">
        <f>ROUND(AD156*AC156,2)</f>
        <v>52.2</v>
      </c>
      <c r="AF156" s="227">
        <v>10</v>
      </c>
      <c r="AH156" s="567"/>
      <c r="AI156" s="567"/>
      <c r="AJ156" s="407"/>
      <c r="AK156" s="567"/>
      <c r="AL156" s="407"/>
      <c r="AM156" s="407"/>
      <c r="AR156" s="129" t="s">
        <v>258</v>
      </c>
      <c r="AT156" s="129" t="s">
        <v>231</v>
      </c>
      <c r="AU156" s="129" t="s">
        <v>63</v>
      </c>
      <c r="AY156" s="13" t="s">
        <v>228</v>
      </c>
      <c r="BE156" s="130">
        <f>IF(N156="základná",J156,0)</f>
        <v>0</v>
      </c>
      <c r="BF156" s="130">
        <f>IF(N156="znížená",J156,0)</f>
        <v>17.399999999999999</v>
      </c>
      <c r="BG156" s="130">
        <f>IF(N156="zákl. prenesená",J156,0)</f>
        <v>0</v>
      </c>
      <c r="BH156" s="130">
        <f>IF(N156="zníž. prenesená",J156,0)</f>
        <v>0</v>
      </c>
      <c r="BI156" s="130">
        <f>IF(N156="nulová",J156,0)</f>
        <v>0</v>
      </c>
      <c r="BJ156" s="13" t="s">
        <v>76</v>
      </c>
      <c r="BK156" s="130">
        <f>ROUND(I156*H156,2)</f>
        <v>17.399999999999999</v>
      </c>
      <c r="BL156" s="13" t="s">
        <v>258</v>
      </c>
      <c r="BM156" s="129" t="s">
        <v>235</v>
      </c>
    </row>
    <row r="157" spans="2:65" s="1" customFormat="1" ht="18" customHeight="1" x14ac:dyDescent="0.2">
      <c r="B157" s="118"/>
      <c r="C157" s="205" t="s">
        <v>229</v>
      </c>
      <c r="D157" s="119" t="s">
        <v>231</v>
      </c>
      <c r="E157" s="120" t="s">
        <v>1197</v>
      </c>
      <c r="F157" s="121" t="s">
        <v>1198</v>
      </c>
      <c r="G157" s="122" t="s">
        <v>570</v>
      </c>
      <c r="H157" s="123">
        <v>1.4</v>
      </c>
      <c r="I157" s="213">
        <v>0.87</v>
      </c>
      <c r="J157" s="124">
        <f>ROUND(I157*H157,2)</f>
        <v>1.22</v>
      </c>
      <c r="K157" s="121" t="s">
        <v>1</v>
      </c>
      <c r="L157" s="24"/>
      <c r="M157" s="125" t="s">
        <v>1</v>
      </c>
      <c r="N157" s="126" t="s">
        <v>32</v>
      </c>
      <c r="O157" s="127">
        <v>0</v>
      </c>
      <c r="P157" s="127">
        <f>O157*H157</f>
        <v>0</v>
      </c>
      <c r="Q157" s="127">
        <v>0</v>
      </c>
      <c r="R157" s="127">
        <f>Q157*H157</f>
        <v>0</v>
      </c>
      <c r="S157" s="127">
        <v>0</v>
      </c>
      <c r="T157" s="128">
        <f>S157*H157</f>
        <v>0</v>
      </c>
      <c r="W157" s="199"/>
      <c r="X157" s="205" t="s">
        <v>229</v>
      </c>
      <c r="Y157" s="119" t="s">
        <v>231</v>
      </c>
      <c r="Z157" s="120" t="s">
        <v>1197</v>
      </c>
      <c r="AA157" s="121" t="s">
        <v>1198</v>
      </c>
      <c r="AB157" s="122" t="s">
        <v>570</v>
      </c>
      <c r="AC157" s="123">
        <v>1.4</v>
      </c>
      <c r="AD157" s="213">
        <f>0.87+1.742</f>
        <v>2.6120000000000001</v>
      </c>
      <c r="AE157" s="200">
        <f>ROUND(AD157*AC157,2)</f>
        <v>3.66</v>
      </c>
      <c r="AF157" s="956">
        <v>10</v>
      </c>
      <c r="AH157" s="567"/>
      <c r="AI157" s="567"/>
      <c r="AJ157" s="407"/>
      <c r="AK157" s="567"/>
      <c r="AL157" s="407"/>
      <c r="AM157" s="407"/>
      <c r="AR157" s="129" t="s">
        <v>258</v>
      </c>
      <c r="AT157" s="129" t="s">
        <v>231</v>
      </c>
      <c r="AU157" s="129" t="s">
        <v>63</v>
      </c>
      <c r="AY157" s="13" t="s">
        <v>228</v>
      </c>
      <c r="BE157" s="130">
        <f>IF(N157="základná",J157,0)</f>
        <v>0</v>
      </c>
      <c r="BF157" s="130">
        <f>IF(N157="znížená",J157,0)</f>
        <v>1.22</v>
      </c>
      <c r="BG157" s="130">
        <f>IF(N157="zákl. prenesená",J157,0)</f>
        <v>0</v>
      </c>
      <c r="BH157" s="130">
        <f>IF(N157="zníž. prenesená",J157,0)</f>
        <v>0</v>
      </c>
      <c r="BI157" s="130">
        <f>IF(N157="nulová",J157,0)</f>
        <v>0</v>
      </c>
      <c r="BJ157" s="13" t="s">
        <v>76</v>
      </c>
      <c r="BK157" s="130">
        <f>ROUND(I157*H157,2)</f>
        <v>1.22</v>
      </c>
      <c r="BL157" s="13" t="s">
        <v>258</v>
      </c>
      <c r="BM157" s="129" t="s">
        <v>240</v>
      </c>
    </row>
    <row r="158" spans="2:65" s="11" customFormat="1" ht="25.95" customHeight="1" x14ac:dyDescent="0.25">
      <c r="B158" s="106"/>
      <c r="D158" s="107" t="s">
        <v>57</v>
      </c>
      <c r="E158" s="108" t="s">
        <v>1199</v>
      </c>
      <c r="F158" s="108" t="s">
        <v>1200</v>
      </c>
      <c r="J158" s="109">
        <f>BK158</f>
        <v>3854.9799999999996</v>
      </c>
      <c r="L158" s="106"/>
      <c r="M158" s="110"/>
      <c r="N158" s="111"/>
      <c r="O158" s="111"/>
      <c r="P158" s="112">
        <f>P159+P164+P173+P189</f>
        <v>0</v>
      </c>
      <c r="Q158" s="111"/>
      <c r="R158" s="112">
        <f>R159+R164+R173+R189</f>
        <v>0</v>
      </c>
      <c r="S158" s="111"/>
      <c r="T158" s="113">
        <f>T159+T164+T173+T189</f>
        <v>0</v>
      </c>
      <c r="W158" s="195"/>
      <c r="X158" s="111"/>
      <c r="Y158" s="196" t="s">
        <v>57</v>
      </c>
      <c r="Z158" s="197" t="s">
        <v>1199</v>
      </c>
      <c r="AA158" s="197" t="s">
        <v>1200</v>
      </c>
      <c r="AB158" s="111"/>
      <c r="AC158" s="111"/>
      <c r="AD158" s="111"/>
      <c r="AE158" s="198">
        <f>AE159+AE164+AE171+AE173+AE182+AE184+AE189</f>
        <v>14243.769999999999</v>
      </c>
      <c r="AF158" s="956"/>
      <c r="AH158" s="567"/>
      <c r="AI158" s="567"/>
      <c r="AJ158" s="292"/>
      <c r="AK158" s="567"/>
      <c r="AL158" s="292"/>
      <c r="AM158" s="292"/>
      <c r="AR158" s="107" t="s">
        <v>76</v>
      </c>
      <c r="AT158" s="114" t="s">
        <v>57</v>
      </c>
      <c r="AU158" s="114" t="s">
        <v>58</v>
      </c>
      <c r="AY158" s="107" t="s">
        <v>228</v>
      </c>
      <c r="BK158" s="115">
        <f>BK159+BK164+BK173+BK189</f>
        <v>3854.9799999999996</v>
      </c>
    </row>
    <row r="159" spans="2:65" s="11" customFormat="1" ht="22.95" customHeight="1" x14ac:dyDescent="0.25">
      <c r="B159" s="106"/>
      <c r="D159" s="107" t="s">
        <v>57</v>
      </c>
      <c r="E159" s="116" t="s">
        <v>1201</v>
      </c>
      <c r="F159" s="116" t="s">
        <v>1202</v>
      </c>
      <c r="J159" s="117">
        <f>BK159</f>
        <v>3175.73</v>
      </c>
      <c r="L159" s="106"/>
      <c r="M159" s="110"/>
      <c r="N159" s="111"/>
      <c r="O159" s="111"/>
      <c r="P159" s="112">
        <f>SUM(P160:P163)</f>
        <v>0</v>
      </c>
      <c r="Q159" s="111"/>
      <c r="R159" s="112">
        <f>SUM(R160:R163)</f>
        <v>0</v>
      </c>
      <c r="S159" s="111"/>
      <c r="T159" s="113">
        <f>SUM(T160:T163)</f>
        <v>0</v>
      </c>
      <c r="W159" s="195"/>
      <c r="X159" s="111"/>
      <c r="Y159" s="196" t="s">
        <v>57</v>
      </c>
      <c r="Z159" s="201" t="s">
        <v>1201</v>
      </c>
      <c r="AA159" s="201" t="s">
        <v>1202</v>
      </c>
      <c r="AB159" s="111"/>
      <c r="AC159" s="111"/>
      <c r="AD159" s="111"/>
      <c r="AE159" s="202">
        <f>SUM(AE160:AE163)</f>
        <v>5579.0900000000011</v>
      </c>
      <c r="AF159" s="956"/>
      <c r="AH159" s="567"/>
      <c r="AI159" s="567"/>
      <c r="AJ159" s="292"/>
      <c r="AK159" s="567"/>
      <c r="AL159" s="292"/>
      <c r="AM159" s="292"/>
      <c r="AR159" s="107" t="s">
        <v>76</v>
      </c>
      <c r="AT159" s="114" t="s">
        <v>57</v>
      </c>
      <c r="AU159" s="114" t="s">
        <v>63</v>
      </c>
      <c r="AY159" s="107" t="s">
        <v>228</v>
      </c>
      <c r="BK159" s="115">
        <f>SUM(BK160:BK163)</f>
        <v>3175.73</v>
      </c>
    </row>
    <row r="160" spans="2:65" s="1" customFormat="1" ht="18" customHeight="1" x14ac:dyDescent="0.2">
      <c r="B160" s="118"/>
      <c r="C160" s="205" t="s">
        <v>235</v>
      </c>
      <c r="D160" s="119" t="s">
        <v>231</v>
      </c>
      <c r="E160" s="120" t="s">
        <v>1203</v>
      </c>
      <c r="F160" s="121" t="s">
        <v>1204</v>
      </c>
      <c r="G160" s="122" t="s">
        <v>292</v>
      </c>
      <c r="H160" s="206">
        <v>171</v>
      </c>
      <c r="I160" s="124">
        <v>10.57</v>
      </c>
      <c r="J160" s="124">
        <f>ROUND(I160*H160,2)</f>
        <v>1807.47</v>
      </c>
      <c r="K160" s="121" t="s">
        <v>1</v>
      </c>
      <c r="L160" s="24"/>
      <c r="M160" s="125" t="s">
        <v>1</v>
      </c>
      <c r="N160" s="126" t="s">
        <v>32</v>
      </c>
      <c r="O160" s="127">
        <v>0</v>
      </c>
      <c r="P160" s="127">
        <f>O160*H160</f>
        <v>0</v>
      </c>
      <c r="Q160" s="127">
        <v>0</v>
      </c>
      <c r="R160" s="127">
        <f>Q160*H160</f>
        <v>0</v>
      </c>
      <c r="S160" s="127">
        <v>0</v>
      </c>
      <c r="T160" s="128">
        <f>S160*H160</f>
        <v>0</v>
      </c>
      <c r="W160" s="199"/>
      <c r="X160" s="205" t="s">
        <v>235</v>
      </c>
      <c r="Y160" s="119" t="s">
        <v>231</v>
      </c>
      <c r="Z160" s="120" t="s">
        <v>1203</v>
      </c>
      <c r="AA160" s="121" t="s">
        <v>1204</v>
      </c>
      <c r="AB160" s="122" t="s">
        <v>292</v>
      </c>
      <c r="AC160" s="206">
        <f>30+48</f>
        <v>78</v>
      </c>
      <c r="AD160" s="124">
        <v>10.57</v>
      </c>
      <c r="AE160" s="200">
        <f>ROUND(AD160*AC160,2)</f>
        <v>824.46</v>
      </c>
      <c r="AF160" s="956" t="s">
        <v>5452</v>
      </c>
      <c r="AH160" s="567"/>
      <c r="AI160" s="567"/>
      <c r="AJ160" s="407"/>
      <c r="AK160" s="567"/>
      <c r="AL160" s="407"/>
      <c r="AM160" s="407"/>
      <c r="AR160" s="129" t="s">
        <v>258</v>
      </c>
      <c r="AT160" s="129" t="s">
        <v>231</v>
      </c>
      <c r="AU160" s="129" t="s">
        <v>76</v>
      </c>
      <c r="AY160" s="13" t="s">
        <v>228</v>
      </c>
      <c r="BE160" s="130">
        <f>IF(N160="základná",J160,0)</f>
        <v>0</v>
      </c>
      <c r="BF160" s="130">
        <f>IF(N160="znížená",J160,0)</f>
        <v>1807.47</v>
      </c>
      <c r="BG160" s="130">
        <f>IF(N160="zákl. prenesená",J160,0)</f>
        <v>0</v>
      </c>
      <c r="BH160" s="130">
        <f>IF(N160="zníž. prenesená",J160,0)</f>
        <v>0</v>
      </c>
      <c r="BI160" s="130">
        <f>IF(N160="nulová",J160,0)</f>
        <v>0</v>
      </c>
      <c r="BJ160" s="13" t="s">
        <v>76</v>
      </c>
      <c r="BK160" s="130">
        <f>ROUND(I160*H160,2)</f>
        <v>1807.47</v>
      </c>
      <c r="BL160" s="13" t="s">
        <v>258</v>
      </c>
      <c r="BM160" s="129" t="s">
        <v>244</v>
      </c>
    </row>
    <row r="161" spans="2:65" s="1" customFormat="1" ht="18" customHeight="1" x14ac:dyDescent="0.2">
      <c r="B161" s="118"/>
      <c r="C161" s="205" t="s">
        <v>245</v>
      </c>
      <c r="D161" s="119" t="s">
        <v>231</v>
      </c>
      <c r="E161" s="120" t="s">
        <v>1205</v>
      </c>
      <c r="F161" s="121" t="s">
        <v>1206</v>
      </c>
      <c r="G161" s="122" t="s">
        <v>292</v>
      </c>
      <c r="H161" s="206">
        <v>53</v>
      </c>
      <c r="I161" s="124">
        <v>12.16</v>
      </c>
      <c r="J161" s="124">
        <f>ROUND(I161*H161,2)</f>
        <v>644.48</v>
      </c>
      <c r="K161" s="121" t="s">
        <v>1</v>
      </c>
      <c r="L161" s="24"/>
      <c r="M161" s="125" t="s">
        <v>1</v>
      </c>
      <c r="N161" s="126" t="s">
        <v>32</v>
      </c>
      <c r="O161" s="127">
        <v>0</v>
      </c>
      <c r="P161" s="127">
        <f>O161*H161</f>
        <v>0</v>
      </c>
      <c r="Q161" s="127">
        <v>0</v>
      </c>
      <c r="R161" s="127">
        <f>Q161*H161</f>
        <v>0</v>
      </c>
      <c r="S161" s="127">
        <v>0</v>
      </c>
      <c r="T161" s="128">
        <f>S161*H161</f>
        <v>0</v>
      </c>
      <c r="W161" s="199"/>
      <c r="X161" s="205" t="s">
        <v>245</v>
      </c>
      <c r="Y161" s="119" t="s">
        <v>231</v>
      </c>
      <c r="Z161" s="120" t="s">
        <v>1205</v>
      </c>
      <c r="AA161" s="121" t="s">
        <v>1206</v>
      </c>
      <c r="AB161" s="122" t="s">
        <v>292</v>
      </c>
      <c r="AC161" s="206">
        <f>57+14+43.8</f>
        <v>114.8</v>
      </c>
      <c r="AD161" s="124">
        <v>12.16</v>
      </c>
      <c r="AE161" s="200">
        <f>ROUND(AD161*AC161,2)</f>
        <v>1395.97</v>
      </c>
      <c r="AF161" s="1152" t="s">
        <v>6178</v>
      </c>
      <c r="AG161" s="407"/>
      <c r="AH161" s="567"/>
      <c r="AI161" s="567"/>
      <c r="AJ161" s="407"/>
      <c r="AK161" s="567"/>
      <c r="AL161" s="407"/>
      <c r="AM161" s="407"/>
      <c r="AR161" s="129" t="s">
        <v>258</v>
      </c>
      <c r="AT161" s="129" t="s">
        <v>231</v>
      </c>
      <c r="AU161" s="129" t="s">
        <v>76</v>
      </c>
      <c r="AY161" s="13" t="s">
        <v>228</v>
      </c>
      <c r="BE161" s="130">
        <f>IF(N161="základná",J161,0)</f>
        <v>0</v>
      </c>
      <c r="BF161" s="130">
        <f>IF(N161="znížená",J161,0)</f>
        <v>644.48</v>
      </c>
      <c r="BG161" s="130">
        <f>IF(N161="zákl. prenesená",J161,0)</f>
        <v>0</v>
      </c>
      <c r="BH161" s="130">
        <f>IF(N161="zníž. prenesená",J161,0)</f>
        <v>0</v>
      </c>
      <c r="BI161" s="130">
        <f>IF(N161="nulová",J161,0)</f>
        <v>0</v>
      </c>
      <c r="BJ161" s="13" t="s">
        <v>76</v>
      </c>
      <c r="BK161" s="130">
        <f>ROUND(I161*H161,2)</f>
        <v>644.48</v>
      </c>
      <c r="BL161" s="13" t="s">
        <v>258</v>
      </c>
      <c r="BM161" s="129" t="s">
        <v>248</v>
      </c>
    </row>
    <row r="162" spans="2:65" s="1" customFormat="1" ht="18" customHeight="1" x14ac:dyDescent="0.2">
      <c r="B162" s="118"/>
      <c r="C162" s="205" t="s">
        <v>240</v>
      </c>
      <c r="D162" s="119" t="s">
        <v>231</v>
      </c>
      <c r="E162" s="120" t="s">
        <v>1207</v>
      </c>
      <c r="F162" s="121" t="s">
        <v>1208</v>
      </c>
      <c r="G162" s="122" t="s">
        <v>292</v>
      </c>
      <c r="H162" s="206">
        <v>4</v>
      </c>
      <c r="I162" s="124">
        <v>19.57</v>
      </c>
      <c r="J162" s="124">
        <f>ROUND(I162*H162,2)</f>
        <v>78.28</v>
      </c>
      <c r="K162" s="121" t="s">
        <v>1</v>
      </c>
      <c r="L162" s="24"/>
      <c r="M162" s="125" t="s">
        <v>1</v>
      </c>
      <c r="N162" s="126" t="s">
        <v>32</v>
      </c>
      <c r="O162" s="127">
        <v>0</v>
      </c>
      <c r="P162" s="127">
        <f>O162*H162</f>
        <v>0</v>
      </c>
      <c r="Q162" s="127">
        <v>0</v>
      </c>
      <c r="R162" s="127">
        <f>Q162*H162</f>
        <v>0</v>
      </c>
      <c r="S162" s="127">
        <v>0</v>
      </c>
      <c r="T162" s="128">
        <f>S162*H162</f>
        <v>0</v>
      </c>
      <c r="W162" s="199"/>
      <c r="X162" s="205" t="s">
        <v>240</v>
      </c>
      <c r="Y162" s="119" t="s">
        <v>231</v>
      </c>
      <c r="Z162" s="120" t="s">
        <v>1207</v>
      </c>
      <c r="AA162" s="121" t="s">
        <v>1208</v>
      </c>
      <c r="AB162" s="122" t="s">
        <v>292</v>
      </c>
      <c r="AC162" s="206">
        <f>0+125+11</f>
        <v>136</v>
      </c>
      <c r="AD162" s="124">
        <v>19.57</v>
      </c>
      <c r="AE162" s="200">
        <f>ROUND(AD162*AC162,2)</f>
        <v>2661.52</v>
      </c>
      <c r="AF162" s="956" t="s">
        <v>6178</v>
      </c>
      <c r="AG162" s="407"/>
      <c r="AH162" s="567"/>
      <c r="AI162" s="567"/>
      <c r="AJ162" s="407"/>
      <c r="AK162" s="567"/>
      <c r="AL162" s="407"/>
      <c r="AM162" s="407"/>
      <c r="AR162" s="129" t="s">
        <v>258</v>
      </c>
      <c r="AT162" s="129" t="s">
        <v>231</v>
      </c>
      <c r="AU162" s="129" t="s">
        <v>76</v>
      </c>
      <c r="AY162" s="13" t="s">
        <v>228</v>
      </c>
      <c r="BE162" s="130">
        <f>IF(N162="základná",J162,0)</f>
        <v>0</v>
      </c>
      <c r="BF162" s="130">
        <f>IF(N162="znížená",J162,0)</f>
        <v>78.28</v>
      </c>
      <c r="BG162" s="130">
        <f>IF(N162="zákl. prenesená",J162,0)</f>
        <v>0</v>
      </c>
      <c r="BH162" s="130">
        <f>IF(N162="zníž. prenesená",J162,0)</f>
        <v>0</v>
      </c>
      <c r="BI162" s="130">
        <f>IF(N162="nulová",J162,0)</f>
        <v>0</v>
      </c>
      <c r="BJ162" s="13" t="s">
        <v>76</v>
      </c>
      <c r="BK162" s="130">
        <f>ROUND(I162*H162,2)</f>
        <v>78.28</v>
      </c>
      <c r="BL162" s="13" t="s">
        <v>258</v>
      </c>
      <c r="BM162" s="129" t="s">
        <v>251</v>
      </c>
    </row>
    <row r="163" spans="2:65" s="1" customFormat="1" ht="18" customHeight="1" x14ac:dyDescent="0.2">
      <c r="B163" s="118"/>
      <c r="C163" s="205" t="s">
        <v>252</v>
      </c>
      <c r="D163" s="119" t="s">
        <v>231</v>
      </c>
      <c r="E163" s="120" t="s">
        <v>1209</v>
      </c>
      <c r="F163" s="121" t="s">
        <v>1210</v>
      </c>
      <c r="G163" s="122" t="s">
        <v>292</v>
      </c>
      <c r="H163" s="206">
        <v>25</v>
      </c>
      <c r="I163" s="124">
        <v>25.82</v>
      </c>
      <c r="J163" s="124">
        <f>ROUND(I163*H163,2)</f>
        <v>645.5</v>
      </c>
      <c r="K163" s="121" t="s">
        <v>1</v>
      </c>
      <c r="L163" s="24"/>
      <c r="M163" s="125" t="s">
        <v>1</v>
      </c>
      <c r="N163" s="126" t="s">
        <v>32</v>
      </c>
      <c r="O163" s="127">
        <v>0</v>
      </c>
      <c r="P163" s="127">
        <f>O163*H163</f>
        <v>0</v>
      </c>
      <c r="Q163" s="127">
        <v>0</v>
      </c>
      <c r="R163" s="127">
        <f>Q163*H163</f>
        <v>0</v>
      </c>
      <c r="S163" s="127">
        <v>0</v>
      </c>
      <c r="T163" s="128">
        <f>S163*H163</f>
        <v>0</v>
      </c>
      <c r="W163" s="199"/>
      <c r="X163" s="205" t="s">
        <v>252</v>
      </c>
      <c r="Y163" s="119" t="s">
        <v>231</v>
      </c>
      <c r="Z163" s="120" t="s">
        <v>1209</v>
      </c>
      <c r="AA163" s="121" t="s">
        <v>1210</v>
      </c>
      <c r="AB163" s="122" t="s">
        <v>292</v>
      </c>
      <c r="AC163" s="206">
        <f>0+27</f>
        <v>27</v>
      </c>
      <c r="AD163" s="124">
        <v>25.82</v>
      </c>
      <c r="AE163" s="200">
        <f>ROUND(AD163*AC163,2)</f>
        <v>697.14</v>
      </c>
      <c r="AF163" s="956" t="s">
        <v>5452</v>
      </c>
      <c r="AG163" s="407"/>
      <c r="AH163" s="567"/>
      <c r="AI163" s="567"/>
      <c r="AJ163" s="407"/>
      <c r="AK163" s="567"/>
      <c r="AL163" s="407"/>
      <c r="AM163" s="407"/>
      <c r="AR163" s="129" t="s">
        <v>258</v>
      </c>
      <c r="AT163" s="129" t="s">
        <v>231</v>
      </c>
      <c r="AU163" s="129" t="s">
        <v>76</v>
      </c>
      <c r="AY163" s="13" t="s">
        <v>228</v>
      </c>
      <c r="BE163" s="130">
        <f>IF(N163="základná",J163,0)</f>
        <v>0</v>
      </c>
      <c r="BF163" s="130">
        <f>IF(N163="znížená",J163,0)</f>
        <v>645.5</v>
      </c>
      <c r="BG163" s="130">
        <f>IF(N163="zákl. prenesená",J163,0)</f>
        <v>0</v>
      </c>
      <c r="BH163" s="130">
        <f>IF(N163="zníž. prenesená",J163,0)</f>
        <v>0</v>
      </c>
      <c r="BI163" s="130">
        <f>IF(N163="nulová",J163,0)</f>
        <v>0</v>
      </c>
      <c r="BJ163" s="13" t="s">
        <v>76</v>
      </c>
      <c r="BK163" s="130">
        <f>ROUND(I163*H163,2)</f>
        <v>645.5</v>
      </c>
      <c r="BL163" s="13" t="s">
        <v>258</v>
      </c>
      <c r="BM163" s="129" t="s">
        <v>255</v>
      </c>
    </row>
    <row r="164" spans="2:65" s="11" customFormat="1" ht="22.95" customHeight="1" x14ac:dyDescent="0.25">
      <c r="B164" s="106"/>
      <c r="D164" s="107" t="s">
        <v>57</v>
      </c>
      <c r="E164" s="116" t="s">
        <v>1211</v>
      </c>
      <c r="F164" s="116" t="s">
        <v>1212</v>
      </c>
      <c r="J164" s="117">
        <f>BK164</f>
        <v>117.14</v>
      </c>
      <c r="L164" s="106"/>
      <c r="M164" s="110"/>
      <c r="N164" s="111"/>
      <c r="O164" s="111"/>
      <c r="P164" s="112">
        <f>SUM(P168:P169)</f>
        <v>0</v>
      </c>
      <c r="Q164" s="111"/>
      <c r="R164" s="112">
        <f>SUM(R168:R169)</f>
        <v>0</v>
      </c>
      <c r="S164" s="111"/>
      <c r="T164" s="113">
        <f>SUM(T168:T169)</f>
        <v>0</v>
      </c>
      <c r="W164" s="195"/>
      <c r="X164" s="111"/>
      <c r="Y164" s="196" t="s">
        <v>57</v>
      </c>
      <c r="Z164" s="201" t="s">
        <v>1211</v>
      </c>
      <c r="AA164" s="201" t="s">
        <v>1212</v>
      </c>
      <c r="AB164" s="111"/>
      <c r="AC164" s="111"/>
      <c r="AD164" s="111"/>
      <c r="AE164" s="202">
        <f>SUM(AE165:AE170)</f>
        <v>430.20000000000005</v>
      </c>
      <c r="AF164" s="291"/>
      <c r="AG164" s="292"/>
      <c r="AH164" s="567"/>
      <c r="AI164" s="567"/>
      <c r="AJ164" s="292"/>
      <c r="AK164" s="567"/>
      <c r="AL164" s="292"/>
      <c r="AM164" s="292"/>
      <c r="AR164" s="107" t="s">
        <v>76</v>
      </c>
      <c r="AT164" s="114" t="s">
        <v>57</v>
      </c>
      <c r="AU164" s="114" t="s">
        <v>63</v>
      </c>
      <c r="AY164" s="107" t="s">
        <v>228</v>
      </c>
      <c r="BK164" s="115">
        <f>SUM(BK168:BK169)</f>
        <v>117.14</v>
      </c>
    </row>
    <row r="165" spans="2:65" s="11" customFormat="1" ht="18" customHeight="1" x14ac:dyDescent="0.2">
      <c r="B165" s="106"/>
      <c r="C165" s="1234" t="s">
        <v>5205</v>
      </c>
      <c r="D165" s="1235"/>
      <c r="E165" s="1235"/>
      <c r="F165" s="1235"/>
      <c r="G165" s="1235"/>
      <c r="H165" s="1235"/>
      <c r="I165" s="1235"/>
      <c r="J165" s="1236"/>
      <c r="L165" s="106"/>
      <c r="M165" s="110"/>
      <c r="N165" s="111"/>
      <c r="O165" s="111"/>
      <c r="P165" s="112"/>
      <c r="Q165" s="111"/>
      <c r="R165" s="112"/>
      <c r="S165" s="111"/>
      <c r="T165" s="113"/>
      <c r="W165" s="195"/>
      <c r="X165" s="207" t="s">
        <v>5453</v>
      </c>
      <c r="Y165" s="207" t="s">
        <v>231</v>
      </c>
      <c r="Z165" s="208" t="s">
        <v>3557</v>
      </c>
      <c r="AA165" s="209" t="s">
        <v>1204</v>
      </c>
      <c r="AB165" s="210" t="s">
        <v>1194</v>
      </c>
      <c r="AC165" s="211">
        <f>0+36</f>
        <v>36</v>
      </c>
      <c r="AD165" s="212">
        <v>3.89</v>
      </c>
      <c r="AE165" s="214">
        <f t="shared" ref="AE165:AE170" si="0">ROUND(AD165*AC165,2)</f>
        <v>140.04</v>
      </c>
      <c r="AF165" s="956">
        <v>10</v>
      </c>
      <c r="AG165" s="292"/>
      <c r="AH165" s="567"/>
      <c r="AI165" s="567"/>
      <c r="AJ165" s="292"/>
      <c r="AK165" s="567"/>
      <c r="AL165" s="292"/>
      <c r="AM165" s="292"/>
      <c r="AR165" s="107"/>
      <c r="AT165" s="114"/>
      <c r="AU165" s="114"/>
      <c r="AY165" s="107"/>
      <c r="BK165" s="115"/>
    </row>
    <row r="166" spans="2:65" s="11" customFormat="1" ht="18" customHeight="1" x14ac:dyDescent="0.2">
      <c r="B166" s="106"/>
      <c r="C166" s="1234" t="s">
        <v>5205</v>
      </c>
      <c r="D166" s="1235"/>
      <c r="E166" s="1235"/>
      <c r="F166" s="1235"/>
      <c r="G166" s="1235"/>
      <c r="H166" s="1235"/>
      <c r="I166" s="1235"/>
      <c r="J166" s="1236"/>
      <c r="L166" s="106"/>
      <c r="M166" s="110"/>
      <c r="N166" s="111"/>
      <c r="O166" s="111"/>
      <c r="P166" s="112"/>
      <c r="Q166" s="111"/>
      <c r="R166" s="112"/>
      <c r="S166" s="111"/>
      <c r="T166" s="113"/>
      <c r="W166" s="195"/>
      <c r="X166" s="207" t="s">
        <v>5204</v>
      </c>
      <c r="Y166" s="207" t="s">
        <v>231</v>
      </c>
      <c r="Z166" s="208" t="s">
        <v>4479</v>
      </c>
      <c r="AA166" s="209" t="s">
        <v>1206</v>
      </c>
      <c r="AB166" s="210" t="s">
        <v>1194</v>
      </c>
      <c r="AC166" s="211">
        <v>2</v>
      </c>
      <c r="AD166" s="212">
        <v>9.4</v>
      </c>
      <c r="AE166" s="214">
        <f t="shared" si="0"/>
        <v>18.8</v>
      </c>
      <c r="AF166" s="956">
        <v>7</v>
      </c>
      <c r="AG166" s="292"/>
      <c r="AH166" s="567"/>
      <c r="AI166" s="567"/>
      <c r="AJ166" s="292"/>
      <c r="AK166" s="567"/>
      <c r="AL166" s="292"/>
      <c r="AM166" s="292"/>
      <c r="AR166" s="107"/>
      <c r="AT166" s="114"/>
      <c r="AU166" s="114"/>
      <c r="AY166" s="107"/>
      <c r="BK166" s="115"/>
    </row>
    <row r="167" spans="2:65" s="11" customFormat="1" ht="18" customHeight="1" x14ac:dyDescent="0.2">
      <c r="B167" s="106"/>
      <c r="C167" s="1234" t="s">
        <v>5205</v>
      </c>
      <c r="D167" s="1235"/>
      <c r="E167" s="1235"/>
      <c r="F167" s="1235"/>
      <c r="G167" s="1235"/>
      <c r="H167" s="1235"/>
      <c r="I167" s="1235"/>
      <c r="J167" s="1236"/>
      <c r="L167" s="106"/>
      <c r="M167" s="110"/>
      <c r="N167" s="111"/>
      <c r="O167" s="111"/>
      <c r="P167" s="112"/>
      <c r="Q167" s="111"/>
      <c r="R167" s="112"/>
      <c r="S167" s="111"/>
      <c r="T167" s="113"/>
      <c r="W167" s="195"/>
      <c r="X167" s="207" t="s">
        <v>5691</v>
      </c>
      <c r="Y167" s="207" t="s">
        <v>231</v>
      </c>
      <c r="Z167" s="208" t="s">
        <v>4479</v>
      </c>
      <c r="AA167" s="209" t="s">
        <v>1206</v>
      </c>
      <c r="AB167" s="210" t="s">
        <v>1194</v>
      </c>
      <c r="AC167" s="211">
        <v>4</v>
      </c>
      <c r="AD167" s="212">
        <v>6</v>
      </c>
      <c r="AE167" s="214">
        <f t="shared" si="0"/>
        <v>24</v>
      </c>
      <c r="AF167" s="956">
        <v>10</v>
      </c>
      <c r="AG167" s="292"/>
      <c r="AH167" s="567"/>
      <c r="AI167" s="567"/>
      <c r="AJ167" s="292"/>
      <c r="AK167" s="567"/>
      <c r="AL167" s="292"/>
      <c r="AM167" s="292"/>
      <c r="AR167" s="107"/>
      <c r="AT167" s="114"/>
      <c r="AU167" s="114"/>
      <c r="AY167" s="107"/>
      <c r="BK167" s="115"/>
    </row>
    <row r="168" spans="2:65" s="1" customFormat="1" ht="18" customHeight="1" x14ac:dyDescent="0.2">
      <c r="B168" s="118"/>
      <c r="C168" s="205" t="s">
        <v>244</v>
      </c>
      <c r="D168" s="119" t="s">
        <v>231</v>
      </c>
      <c r="E168" s="120" t="s">
        <v>1213</v>
      </c>
      <c r="F168" s="121" t="s">
        <v>1208</v>
      </c>
      <c r="G168" s="122" t="s">
        <v>1194</v>
      </c>
      <c r="H168" s="206">
        <v>10</v>
      </c>
      <c r="I168" s="124">
        <v>9.58</v>
      </c>
      <c r="J168" s="124">
        <f>ROUND(I168*H168,2)</f>
        <v>95.8</v>
      </c>
      <c r="K168" s="121" t="s">
        <v>1</v>
      </c>
      <c r="L168" s="24"/>
      <c r="M168" s="125" t="s">
        <v>1</v>
      </c>
      <c r="N168" s="126" t="s">
        <v>32</v>
      </c>
      <c r="O168" s="127">
        <v>0</v>
      </c>
      <c r="P168" s="127">
        <f>O168*H168</f>
        <v>0</v>
      </c>
      <c r="Q168" s="127">
        <v>0</v>
      </c>
      <c r="R168" s="127">
        <f>Q168*H168</f>
        <v>0</v>
      </c>
      <c r="S168" s="127">
        <v>0</v>
      </c>
      <c r="T168" s="128">
        <f>S168*H168</f>
        <v>0</v>
      </c>
      <c r="W168" s="199"/>
      <c r="X168" s="205" t="s">
        <v>244</v>
      </c>
      <c r="Y168" s="119" t="s">
        <v>231</v>
      </c>
      <c r="Z168" s="120" t="s">
        <v>1213</v>
      </c>
      <c r="AA168" s="121" t="s">
        <v>1208</v>
      </c>
      <c r="AB168" s="122" t="s">
        <v>1194</v>
      </c>
      <c r="AC168" s="206">
        <v>8</v>
      </c>
      <c r="AD168" s="124">
        <v>9.58</v>
      </c>
      <c r="AE168" s="200">
        <f t="shared" si="0"/>
        <v>76.64</v>
      </c>
      <c r="AF168" s="956">
        <v>7</v>
      </c>
      <c r="AG168" s="407"/>
      <c r="AH168" s="567"/>
      <c r="AI168" s="567"/>
      <c r="AJ168" s="407"/>
      <c r="AK168" s="567"/>
      <c r="AL168" s="407"/>
      <c r="AM168" s="407"/>
      <c r="AR168" s="129" t="s">
        <v>258</v>
      </c>
      <c r="AT168" s="129" t="s">
        <v>231</v>
      </c>
      <c r="AU168" s="129" t="s">
        <v>76</v>
      </c>
      <c r="AY168" s="13" t="s">
        <v>228</v>
      </c>
      <c r="BE168" s="130">
        <f>IF(N168="základná",J168,0)</f>
        <v>0</v>
      </c>
      <c r="BF168" s="130">
        <f>IF(N168="znížená",J168,0)</f>
        <v>95.8</v>
      </c>
      <c r="BG168" s="130">
        <f>IF(N168="zákl. prenesená",J168,0)</f>
        <v>0</v>
      </c>
      <c r="BH168" s="130">
        <f>IF(N168="zníž. prenesená",J168,0)</f>
        <v>0</v>
      </c>
      <c r="BI168" s="130">
        <f>IF(N168="nulová",J168,0)</f>
        <v>0</v>
      </c>
      <c r="BJ168" s="13" t="s">
        <v>76</v>
      </c>
      <c r="BK168" s="130">
        <f>ROUND(I168*H168,2)</f>
        <v>95.8</v>
      </c>
      <c r="BL168" s="13" t="s">
        <v>258</v>
      </c>
      <c r="BM168" s="129" t="s">
        <v>258</v>
      </c>
    </row>
    <row r="169" spans="2:65" s="1" customFormat="1" ht="18" customHeight="1" x14ac:dyDescent="0.2">
      <c r="B169" s="118"/>
      <c r="C169" s="205" t="s">
        <v>259</v>
      </c>
      <c r="D169" s="119" t="s">
        <v>231</v>
      </c>
      <c r="E169" s="120" t="s">
        <v>1214</v>
      </c>
      <c r="F169" s="121" t="s">
        <v>1210</v>
      </c>
      <c r="G169" s="122" t="s">
        <v>1194</v>
      </c>
      <c r="H169" s="206">
        <v>2</v>
      </c>
      <c r="I169" s="124">
        <v>10.67</v>
      </c>
      <c r="J169" s="124">
        <f>ROUND(I169*H169,2)</f>
        <v>21.34</v>
      </c>
      <c r="K169" s="121" t="s">
        <v>1</v>
      </c>
      <c r="L169" s="24"/>
      <c r="M169" s="125" t="s">
        <v>1</v>
      </c>
      <c r="N169" s="126" t="s">
        <v>32</v>
      </c>
      <c r="O169" s="127">
        <v>0</v>
      </c>
      <c r="P169" s="127">
        <f>O169*H169</f>
        <v>0</v>
      </c>
      <c r="Q169" s="127">
        <v>0</v>
      </c>
      <c r="R169" s="127">
        <f>Q169*H169</f>
        <v>0</v>
      </c>
      <c r="S169" s="127">
        <v>0</v>
      </c>
      <c r="T169" s="128">
        <f>S169*H169</f>
        <v>0</v>
      </c>
      <c r="W169" s="199"/>
      <c r="X169" s="205" t="s">
        <v>259</v>
      </c>
      <c r="Y169" s="119" t="s">
        <v>231</v>
      </c>
      <c r="Z169" s="120" t="s">
        <v>1214</v>
      </c>
      <c r="AA169" s="121" t="s">
        <v>1210</v>
      </c>
      <c r="AB169" s="122" t="s">
        <v>1194</v>
      </c>
      <c r="AC169" s="206">
        <f>0+8</f>
        <v>8</v>
      </c>
      <c r="AD169" s="124">
        <v>10.67</v>
      </c>
      <c r="AE169" s="200">
        <f t="shared" si="0"/>
        <v>85.36</v>
      </c>
      <c r="AF169" s="956" t="s">
        <v>5452</v>
      </c>
      <c r="AG169" s="407"/>
      <c r="AH169" s="567"/>
      <c r="AI169" s="567"/>
      <c r="AJ169" s="407"/>
      <c r="AK169" s="567"/>
      <c r="AL169" s="407"/>
      <c r="AM169" s="407"/>
      <c r="AR169" s="129" t="s">
        <v>258</v>
      </c>
      <c r="AT169" s="129" t="s">
        <v>231</v>
      </c>
      <c r="AU169" s="129" t="s">
        <v>76</v>
      </c>
      <c r="AY169" s="13" t="s">
        <v>228</v>
      </c>
      <c r="BE169" s="130">
        <f>IF(N169="základná",J169,0)</f>
        <v>0</v>
      </c>
      <c r="BF169" s="130">
        <f>IF(N169="znížená",J169,0)</f>
        <v>21.34</v>
      </c>
      <c r="BG169" s="130">
        <f>IF(N169="zákl. prenesená",J169,0)</f>
        <v>0</v>
      </c>
      <c r="BH169" s="130">
        <f>IF(N169="zníž. prenesená",J169,0)</f>
        <v>0</v>
      </c>
      <c r="BI169" s="130">
        <f>IF(N169="nulová",J169,0)</f>
        <v>0</v>
      </c>
      <c r="BJ169" s="13" t="s">
        <v>76</v>
      </c>
      <c r="BK169" s="130">
        <f>ROUND(I169*H169,2)</f>
        <v>21.34</v>
      </c>
      <c r="BL169" s="13" t="s">
        <v>258</v>
      </c>
      <c r="BM169" s="129" t="s">
        <v>262</v>
      </c>
    </row>
    <row r="170" spans="2:65" s="260" customFormat="1" ht="18" customHeight="1" x14ac:dyDescent="0.2">
      <c r="B170" s="118"/>
      <c r="C170" s="1234" t="s">
        <v>5205</v>
      </c>
      <c r="D170" s="1235"/>
      <c r="E170" s="1235"/>
      <c r="F170" s="1235"/>
      <c r="G170" s="1235"/>
      <c r="H170" s="1235"/>
      <c r="I170" s="1235"/>
      <c r="J170" s="1236"/>
      <c r="K170" s="222"/>
      <c r="L170" s="24"/>
      <c r="M170" s="125"/>
      <c r="N170" s="126"/>
      <c r="O170" s="127"/>
      <c r="P170" s="127"/>
      <c r="Q170" s="127"/>
      <c r="R170" s="127"/>
      <c r="S170" s="127"/>
      <c r="T170" s="128"/>
      <c r="W170" s="199"/>
      <c r="X170" s="207" t="s">
        <v>5341</v>
      </c>
      <c r="Y170" s="207" t="s">
        <v>231</v>
      </c>
      <c r="Z170" s="208" t="s">
        <v>5225</v>
      </c>
      <c r="AA170" s="209" t="s">
        <v>5454</v>
      </c>
      <c r="AB170" s="210" t="s">
        <v>1194</v>
      </c>
      <c r="AC170" s="211">
        <f>0+8</f>
        <v>8</v>
      </c>
      <c r="AD170" s="212">
        <v>10.67</v>
      </c>
      <c r="AE170" s="214">
        <f t="shared" si="0"/>
        <v>85.36</v>
      </c>
      <c r="AF170" s="956">
        <v>10</v>
      </c>
      <c r="AG170" s="407"/>
      <c r="AH170" s="567"/>
      <c r="AI170" s="567"/>
      <c r="AJ170" s="407"/>
      <c r="AK170" s="567"/>
      <c r="AL170" s="407"/>
      <c r="AM170" s="407"/>
      <c r="AR170" s="129"/>
      <c r="AT170" s="129"/>
      <c r="AU170" s="129"/>
      <c r="AY170" s="13"/>
      <c r="BE170" s="130"/>
      <c r="BF170" s="130"/>
      <c r="BG170" s="130"/>
      <c r="BH170" s="130"/>
      <c r="BI170" s="130"/>
      <c r="BJ170" s="13"/>
      <c r="BK170" s="130"/>
      <c r="BL170" s="13"/>
      <c r="BM170" s="129"/>
    </row>
    <row r="171" spans="2:65" s="260" customFormat="1" ht="26.25" customHeight="1" x14ac:dyDescent="0.25">
      <c r="B171" s="118"/>
      <c r="C171" s="284"/>
      <c r="D171" s="284"/>
      <c r="E171" s="284"/>
      <c r="F171" s="284"/>
      <c r="G171" s="284"/>
      <c r="H171" s="284"/>
      <c r="I171" s="284"/>
      <c r="J171" s="284"/>
      <c r="K171" s="222"/>
      <c r="L171" s="24"/>
      <c r="M171" s="125"/>
      <c r="N171" s="126"/>
      <c r="O171" s="127"/>
      <c r="P171" s="127"/>
      <c r="Q171" s="127"/>
      <c r="R171" s="127"/>
      <c r="S171" s="127"/>
      <c r="T171" s="128"/>
      <c r="W171" s="199"/>
      <c r="X171" s="280"/>
      <c r="Y171" s="196" t="s">
        <v>57</v>
      </c>
      <c r="Z171" s="201" t="s">
        <v>1227</v>
      </c>
      <c r="AA171" s="201" t="s">
        <v>3558</v>
      </c>
      <c r="AB171" s="280"/>
      <c r="AC171" s="280"/>
      <c r="AD171" s="280"/>
      <c r="AE171" s="281">
        <f>AE172</f>
        <v>5456</v>
      </c>
      <c r="AF171" s="956"/>
      <c r="AG171" s="407"/>
      <c r="AH171" s="567"/>
      <c r="AI171" s="567"/>
      <c r="AJ171" s="407"/>
      <c r="AK171" s="567"/>
      <c r="AL171" s="407"/>
      <c r="AM171" s="407"/>
      <c r="AR171" s="129"/>
      <c r="AT171" s="129"/>
      <c r="AU171" s="129"/>
      <c r="AY171" s="13"/>
      <c r="BE171" s="130"/>
      <c r="BF171" s="130"/>
      <c r="BG171" s="130"/>
      <c r="BH171" s="130"/>
      <c r="BI171" s="130"/>
      <c r="BJ171" s="13"/>
      <c r="BK171" s="130"/>
      <c r="BL171" s="13"/>
      <c r="BM171" s="129"/>
    </row>
    <row r="172" spans="2:65" s="260" customFormat="1" ht="16.5" customHeight="1" x14ac:dyDescent="0.2">
      <c r="B172" s="118"/>
      <c r="C172" s="1234" t="s">
        <v>5205</v>
      </c>
      <c r="D172" s="1235"/>
      <c r="E172" s="1235"/>
      <c r="F172" s="1235"/>
      <c r="G172" s="1235"/>
      <c r="H172" s="1235"/>
      <c r="I172" s="1235"/>
      <c r="J172" s="1236"/>
      <c r="K172" s="222"/>
      <c r="L172" s="24"/>
      <c r="M172" s="125"/>
      <c r="N172" s="126"/>
      <c r="O172" s="127"/>
      <c r="P172" s="127"/>
      <c r="Q172" s="127"/>
      <c r="R172" s="127"/>
      <c r="S172" s="127"/>
      <c r="T172" s="128"/>
      <c r="W172" s="199"/>
      <c r="X172" s="207" t="s">
        <v>5456</v>
      </c>
      <c r="Y172" s="207" t="s">
        <v>231</v>
      </c>
      <c r="Z172" s="208" t="s">
        <v>5226</v>
      </c>
      <c r="AA172" s="209" t="s">
        <v>5455</v>
      </c>
      <c r="AB172" s="210" t="s">
        <v>292</v>
      </c>
      <c r="AC172" s="211">
        <v>62</v>
      </c>
      <c r="AD172" s="212">
        <v>88</v>
      </c>
      <c r="AE172" s="214">
        <f>ROUND(AD172*AC172,2)</f>
        <v>5456</v>
      </c>
      <c r="AF172" s="956">
        <v>10</v>
      </c>
      <c r="AG172" s="407"/>
      <c r="AH172" s="567"/>
      <c r="AI172" s="567"/>
      <c r="AJ172" s="407"/>
      <c r="AK172" s="567"/>
      <c r="AL172" s="407"/>
      <c r="AM172" s="407"/>
      <c r="AR172" s="129"/>
      <c r="AT172" s="129"/>
      <c r="AU172" s="129"/>
      <c r="AY172" s="13"/>
      <c r="BE172" s="130"/>
      <c r="BF172" s="130"/>
      <c r="BG172" s="130"/>
      <c r="BH172" s="130"/>
      <c r="BI172" s="130"/>
      <c r="BJ172" s="13"/>
      <c r="BK172" s="130"/>
      <c r="BL172" s="13"/>
      <c r="BM172" s="129"/>
    </row>
    <row r="173" spans="2:65" s="11" customFormat="1" ht="22.95" customHeight="1" x14ac:dyDescent="0.25">
      <c r="B173" s="106"/>
      <c r="D173" s="107" t="s">
        <v>57</v>
      </c>
      <c r="E173" s="116" t="s">
        <v>1215</v>
      </c>
      <c r="F173" s="116" t="s">
        <v>1216</v>
      </c>
      <c r="J173" s="117">
        <f>BK173</f>
        <v>248.62</v>
      </c>
      <c r="L173" s="106"/>
      <c r="M173" s="110"/>
      <c r="N173" s="111"/>
      <c r="O173" s="111"/>
      <c r="P173" s="112">
        <f>SUM(P174:P179)</f>
        <v>0</v>
      </c>
      <c r="Q173" s="111"/>
      <c r="R173" s="112">
        <f>SUM(R174:R179)</f>
        <v>0</v>
      </c>
      <c r="S173" s="111"/>
      <c r="T173" s="113">
        <f>SUM(T174:T179)</f>
        <v>0</v>
      </c>
      <c r="W173" s="195"/>
      <c r="X173" s="111"/>
      <c r="Y173" s="196" t="s">
        <v>57</v>
      </c>
      <c r="Z173" s="201" t="s">
        <v>1215</v>
      </c>
      <c r="AA173" s="201" t="s">
        <v>1216</v>
      </c>
      <c r="AB173" s="111"/>
      <c r="AC173" s="111"/>
      <c r="AD173" s="111"/>
      <c r="AE173" s="202">
        <f>SUM(AE174:AE181)</f>
        <v>362.71999999999997</v>
      </c>
      <c r="AF173" s="291"/>
      <c r="AG173" s="292"/>
      <c r="AH173" s="567"/>
      <c r="AI173" s="567"/>
      <c r="AJ173" s="292"/>
      <c r="AK173" s="567"/>
      <c r="AL173" s="292"/>
      <c r="AM173" s="292"/>
      <c r="AR173" s="107" t="s">
        <v>76</v>
      </c>
      <c r="AT173" s="114" t="s">
        <v>57</v>
      </c>
      <c r="AU173" s="114" t="s">
        <v>63</v>
      </c>
      <c r="AY173" s="107" t="s">
        <v>228</v>
      </c>
      <c r="BK173" s="115">
        <f>SUM(BK174:BK179)</f>
        <v>248.62</v>
      </c>
    </row>
    <row r="174" spans="2:65" s="1" customFormat="1" ht="18" customHeight="1" x14ac:dyDescent="0.2">
      <c r="B174" s="118"/>
      <c r="C174" s="205" t="s">
        <v>248</v>
      </c>
      <c r="D174" s="119" t="s">
        <v>231</v>
      </c>
      <c r="E174" s="120" t="s">
        <v>1217</v>
      </c>
      <c r="F174" s="121" t="s">
        <v>1218</v>
      </c>
      <c r="G174" s="122" t="s">
        <v>1194</v>
      </c>
      <c r="H174" s="206">
        <v>4</v>
      </c>
      <c r="I174" s="124">
        <v>13.86</v>
      </c>
      <c r="J174" s="124">
        <f>ROUND(I174*H174,2)</f>
        <v>55.44</v>
      </c>
      <c r="K174" s="121" t="s">
        <v>1</v>
      </c>
      <c r="L174" s="24"/>
      <c r="M174" s="125" t="s">
        <v>1</v>
      </c>
      <c r="N174" s="126" t="s">
        <v>32</v>
      </c>
      <c r="O174" s="127">
        <v>0</v>
      </c>
      <c r="P174" s="127">
        <f>O174*H174</f>
        <v>0</v>
      </c>
      <c r="Q174" s="127">
        <v>0</v>
      </c>
      <c r="R174" s="127">
        <f>Q174*H174</f>
        <v>0</v>
      </c>
      <c r="S174" s="127">
        <v>0</v>
      </c>
      <c r="T174" s="128">
        <f>S174*H174</f>
        <v>0</v>
      </c>
      <c r="W174" s="199"/>
      <c r="X174" s="205" t="s">
        <v>248</v>
      </c>
      <c r="Y174" s="119" t="s">
        <v>231</v>
      </c>
      <c r="Z174" s="120" t="s">
        <v>1217</v>
      </c>
      <c r="AA174" s="121" t="s">
        <v>1218</v>
      </c>
      <c r="AB174" s="122" t="s">
        <v>1194</v>
      </c>
      <c r="AC174" s="206">
        <v>2</v>
      </c>
      <c r="AD174" s="124">
        <v>13.86</v>
      </c>
      <c r="AE174" s="200">
        <f t="shared" ref="AE174:AE181" si="1">ROUND(AD174*AC174,2)</f>
        <v>27.72</v>
      </c>
      <c r="AF174" s="956">
        <v>7</v>
      </c>
      <c r="AG174" s="407"/>
      <c r="AH174" s="567"/>
      <c r="AI174" s="567"/>
      <c r="AJ174" s="407"/>
      <c r="AK174" s="567"/>
      <c r="AL174" s="407"/>
      <c r="AM174" s="407"/>
      <c r="AR174" s="129" t="s">
        <v>258</v>
      </c>
      <c r="AT174" s="129" t="s">
        <v>231</v>
      </c>
      <c r="AU174" s="129" t="s">
        <v>76</v>
      </c>
      <c r="AY174" s="13" t="s">
        <v>228</v>
      </c>
      <c r="BE174" s="130">
        <f>IF(N174="základná",J174,0)</f>
        <v>0</v>
      </c>
      <c r="BF174" s="130">
        <f>IF(N174="znížená",J174,0)</f>
        <v>55.44</v>
      </c>
      <c r="BG174" s="130">
        <f>IF(N174="zákl. prenesená",J174,0)</f>
        <v>0</v>
      </c>
      <c r="BH174" s="130">
        <f>IF(N174="zníž. prenesená",J174,0)</f>
        <v>0</v>
      </c>
      <c r="BI174" s="130">
        <f>IF(N174="nulová",J174,0)</f>
        <v>0</v>
      </c>
      <c r="BJ174" s="13" t="s">
        <v>76</v>
      </c>
      <c r="BK174" s="130">
        <f>ROUND(I174*H174,2)</f>
        <v>55.44</v>
      </c>
      <c r="BL174" s="13" t="s">
        <v>258</v>
      </c>
      <c r="BM174" s="129" t="s">
        <v>7</v>
      </c>
    </row>
    <row r="175" spans="2:65" s="1" customFormat="1" ht="18" customHeight="1" x14ac:dyDescent="0.2">
      <c r="B175" s="118"/>
      <c r="C175" s="205" t="s">
        <v>265</v>
      </c>
      <c r="D175" s="119" t="s">
        <v>231</v>
      </c>
      <c r="E175" s="120" t="s">
        <v>1219</v>
      </c>
      <c r="F175" s="121" t="s">
        <v>1220</v>
      </c>
      <c r="G175" s="122" t="s">
        <v>1194</v>
      </c>
      <c r="H175" s="206">
        <v>2</v>
      </c>
      <c r="I175" s="124">
        <v>14.05</v>
      </c>
      <c r="J175" s="124">
        <f>ROUND(I175*H175,2)</f>
        <v>28.1</v>
      </c>
      <c r="K175" s="121" t="s">
        <v>1</v>
      </c>
      <c r="L175" s="24"/>
      <c r="M175" s="125" t="s">
        <v>1</v>
      </c>
      <c r="N175" s="126" t="s">
        <v>32</v>
      </c>
      <c r="O175" s="127">
        <v>0</v>
      </c>
      <c r="P175" s="127">
        <f>O175*H175</f>
        <v>0</v>
      </c>
      <c r="Q175" s="127">
        <v>0</v>
      </c>
      <c r="R175" s="127">
        <f>Q175*H175</f>
        <v>0</v>
      </c>
      <c r="S175" s="127">
        <v>0</v>
      </c>
      <c r="T175" s="128">
        <f>S175*H175</f>
        <v>0</v>
      </c>
      <c r="W175" s="199"/>
      <c r="X175" s="205" t="s">
        <v>265</v>
      </c>
      <c r="Y175" s="119" t="s">
        <v>231</v>
      </c>
      <c r="Z175" s="120" t="s">
        <v>1219</v>
      </c>
      <c r="AA175" s="121" t="s">
        <v>1220</v>
      </c>
      <c r="AB175" s="122" t="s">
        <v>1194</v>
      </c>
      <c r="AC175" s="206">
        <v>0</v>
      </c>
      <c r="AD175" s="124">
        <v>14.05</v>
      </c>
      <c r="AE175" s="200">
        <f t="shared" si="1"/>
        <v>0</v>
      </c>
      <c r="AF175" s="956">
        <v>7</v>
      </c>
      <c r="AG175" s="407"/>
      <c r="AH175" s="567"/>
      <c r="AI175" s="567"/>
      <c r="AJ175" s="407"/>
      <c r="AK175" s="567"/>
      <c r="AL175" s="407"/>
      <c r="AM175" s="407"/>
      <c r="AR175" s="129" t="s">
        <v>258</v>
      </c>
      <c r="AT175" s="129" t="s">
        <v>231</v>
      </c>
      <c r="AU175" s="129" t="s">
        <v>76</v>
      </c>
      <c r="AY175" s="13" t="s">
        <v>228</v>
      </c>
      <c r="BE175" s="130">
        <f>IF(N175="základná",J175,0)</f>
        <v>0</v>
      </c>
      <c r="BF175" s="130">
        <f>IF(N175="znížená",J175,0)</f>
        <v>28.1</v>
      </c>
      <c r="BG175" s="130">
        <f>IF(N175="zákl. prenesená",J175,0)</f>
        <v>0</v>
      </c>
      <c r="BH175" s="130">
        <f>IF(N175="zníž. prenesená",J175,0)</f>
        <v>0</v>
      </c>
      <c r="BI175" s="130">
        <f>IF(N175="nulová",J175,0)</f>
        <v>0</v>
      </c>
      <c r="BJ175" s="13" t="s">
        <v>76</v>
      </c>
      <c r="BK175" s="130">
        <f>ROUND(I175*H175,2)</f>
        <v>28.1</v>
      </c>
      <c r="BL175" s="13" t="s">
        <v>258</v>
      </c>
      <c r="BM175" s="129" t="s">
        <v>268</v>
      </c>
    </row>
    <row r="176" spans="2:65" s="1" customFormat="1" ht="18" customHeight="1" x14ac:dyDescent="0.2">
      <c r="B176" s="118"/>
      <c r="C176" s="205" t="s">
        <v>251</v>
      </c>
      <c r="D176" s="119" t="s">
        <v>231</v>
      </c>
      <c r="E176" s="120" t="s">
        <v>1221</v>
      </c>
      <c r="F176" s="121" t="s">
        <v>1222</v>
      </c>
      <c r="G176" s="122" t="s">
        <v>1194</v>
      </c>
      <c r="H176" s="206">
        <v>6</v>
      </c>
      <c r="I176" s="124">
        <v>15.7</v>
      </c>
      <c r="J176" s="124">
        <f>ROUND(I176*H176,2)</f>
        <v>94.2</v>
      </c>
      <c r="K176" s="121" t="s">
        <v>1</v>
      </c>
      <c r="L176" s="24"/>
      <c r="M176" s="125" t="s">
        <v>1</v>
      </c>
      <c r="N176" s="126" t="s">
        <v>32</v>
      </c>
      <c r="O176" s="127">
        <v>0</v>
      </c>
      <c r="P176" s="127">
        <f>O176*H176</f>
        <v>0</v>
      </c>
      <c r="Q176" s="127">
        <v>0</v>
      </c>
      <c r="R176" s="127">
        <f>Q176*H176</f>
        <v>0</v>
      </c>
      <c r="S176" s="127">
        <v>0</v>
      </c>
      <c r="T176" s="128">
        <f>S176*H176</f>
        <v>0</v>
      </c>
      <c r="W176" s="199"/>
      <c r="X176" s="205" t="s">
        <v>251</v>
      </c>
      <c r="Y176" s="119" t="s">
        <v>231</v>
      </c>
      <c r="Z176" s="120" t="s">
        <v>1221</v>
      </c>
      <c r="AA176" s="121" t="s">
        <v>1222</v>
      </c>
      <c r="AB176" s="122" t="s">
        <v>1194</v>
      </c>
      <c r="AC176" s="206">
        <v>4</v>
      </c>
      <c r="AD176" s="124">
        <v>15.7</v>
      </c>
      <c r="AE176" s="200">
        <f t="shared" si="1"/>
        <v>62.8</v>
      </c>
      <c r="AF176" s="956">
        <v>7</v>
      </c>
      <c r="AG176" s="407"/>
      <c r="AH176" s="567"/>
      <c r="AI176" s="567"/>
      <c r="AJ176" s="407"/>
      <c r="AK176" s="567"/>
      <c r="AL176" s="407"/>
      <c r="AM176" s="407"/>
      <c r="AR176" s="129" t="s">
        <v>258</v>
      </c>
      <c r="AT176" s="129" t="s">
        <v>231</v>
      </c>
      <c r="AU176" s="129" t="s">
        <v>76</v>
      </c>
      <c r="AY176" s="13" t="s">
        <v>228</v>
      </c>
      <c r="BE176" s="130">
        <f>IF(N176="základná",J176,0)</f>
        <v>0</v>
      </c>
      <c r="BF176" s="130">
        <f>IF(N176="znížená",J176,0)</f>
        <v>94.2</v>
      </c>
      <c r="BG176" s="130">
        <f>IF(N176="zákl. prenesená",J176,0)</f>
        <v>0</v>
      </c>
      <c r="BH176" s="130">
        <f>IF(N176="zníž. prenesená",J176,0)</f>
        <v>0</v>
      </c>
      <c r="BI176" s="130">
        <f>IF(N176="nulová",J176,0)</f>
        <v>0</v>
      </c>
      <c r="BJ176" s="13" t="s">
        <v>76</v>
      </c>
      <c r="BK176" s="130">
        <f>ROUND(I176*H176,2)</f>
        <v>94.2</v>
      </c>
      <c r="BL176" s="13" t="s">
        <v>258</v>
      </c>
      <c r="BM176" s="129" t="s">
        <v>272</v>
      </c>
    </row>
    <row r="177" spans="2:65" s="337" customFormat="1" ht="18" customHeight="1" x14ac:dyDescent="0.2">
      <c r="B177" s="118"/>
      <c r="C177" s="1234" t="s">
        <v>5205</v>
      </c>
      <c r="D177" s="1235"/>
      <c r="E177" s="1235"/>
      <c r="F177" s="1235"/>
      <c r="G177" s="1235"/>
      <c r="H177" s="1235"/>
      <c r="I177" s="1235"/>
      <c r="J177" s="1236"/>
      <c r="K177" s="121"/>
      <c r="L177" s="24"/>
      <c r="M177" s="125"/>
      <c r="N177" s="126"/>
      <c r="O177" s="127"/>
      <c r="P177" s="127"/>
      <c r="Q177" s="127"/>
      <c r="R177" s="127"/>
      <c r="S177" s="127"/>
      <c r="T177" s="128"/>
      <c r="W177" s="199"/>
      <c r="X177" s="207" t="s">
        <v>5343</v>
      </c>
      <c r="Y177" s="207" t="s">
        <v>231</v>
      </c>
      <c r="Z177" s="208" t="s">
        <v>1221</v>
      </c>
      <c r="AA177" s="209" t="s">
        <v>1222</v>
      </c>
      <c r="AB177" s="210" t="s">
        <v>1194</v>
      </c>
      <c r="AC177" s="211">
        <v>4</v>
      </c>
      <c r="AD177" s="212">
        <v>13.86</v>
      </c>
      <c r="AE177" s="214">
        <f t="shared" ref="AE177" si="2">ROUND(AD177*AC177,2)</f>
        <v>55.44</v>
      </c>
      <c r="AF177" s="956">
        <v>10</v>
      </c>
      <c r="AG177" s="407"/>
      <c r="AH177" s="567"/>
      <c r="AI177" s="567"/>
      <c r="AJ177" s="407"/>
      <c r="AK177" s="567"/>
      <c r="AL177" s="407"/>
      <c r="AM177" s="407"/>
      <c r="AR177" s="129"/>
      <c r="AT177" s="129"/>
      <c r="AU177" s="129"/>
      <c r="AY177" s="13"/>
      <c r="BE177" s="130"/>
      <c r="BF177" s="130"/>
      <c r="BG177" s="130"/>
      <c r="BH177" s="130"/>
      <c r="BI177" s="130"/>
      <c r="BJ177" s="13"/>
      <c r="BK177" s="130"/>
      <c r="BL177" s="13"/>
      <c r="BM177" s="129"/>
    </row>
    <row r="178" spans="2:65" s="1" customFormat="1" ht="18" customHeight="1" x14ac:dyDescent="0.2">
      <c r="B178" s="118"/>
      <c r="C178" s="205" t="s">
        <v>273</v>
      </c>
      <c r="D178" s="119" t="s">
        <v>231</v>
      </c>
      <c r="E178" s="120" t="s">
        <v>1223</v>
      </c>
      <c r="F178" s="121" t="s">
        <v>1224</v>
      </c>
      <c r="G178" s="122" t="s">
        <v>1194</v>
      </c>
      <c r="H178" s="206">
        <v>2</v>
      </c>
      <c r="I178" s="124">
        <v>17.670000000000002</v>
      </c>
      <c r="J178" s="124">
        <f>ROUND(I178*H178,2)</f>
        <v>35.340000000000003</v>
      </c>
      <c r="K178" s="121" t="s">
        <v>1</v>
      </c>
      <c r="L178" s="24"/>
      <c r="M178" s="125" t="s">
        <v>1</v>
      </c>
      <c r="N178" s="126" t="s">
        <v>32</v>
      </c>
      <c r="O178" s="127">
        <v>0</v>
      </c>
      <c r="P178" s="127">
        <f>O178*H178</f>
        <v>0</v>
      </c>
      <c r="Q178" s="127">
        <v>0</v>
      </c>
      <c r="R178" s="127">
        <f>Q178*H178</f>
        <v>0</v>
      </c>
      <c r="S178" s="127">
        <v>0</v>
      </c>
      <c r="T178" s="128">
        <f>S178*H178</f>
        <v>0</v>
      </c>
      <c r="W178" s="199"/>
      <c r="X178" s="205" t="s">
        <v>273</v>
      </c>
      <c r="Y178" s="119" t="s">
        <v>231</v>
      </c>
      <c r="Z178" s="120" t="s">
        <v>1223</v>
      </c>
      <c r="AA178" s="121" t="s">
        <v>1224</v>
      </c>
      <c r="AB178" s="122" t="s">
        <v>1194</v>
      </c>
      <c r="AC178" s="206">
        <f>0+2</f>
        <v>2</v>
      </c>
      <c r="AD178" s="124">
        <v>17.670000000000002</v>
      </c>
      <c r="AE178" s="200">
        <f t="shared" si="1"/>
        <v>35.340000000000003</v>
      </c>
      <c r="AF178" s="956" t="s">
        <v>5452</v>
      </c>
      <c r="AG178" s="407"/>
      <c r="AH178" s="567"/>
      <c r="AI178" s="567"/>
      <c r="AJ178" s="407"/>
      <c r="AK178" s="567"/>
      <c r="AL178" s="407"/>
      <c r="AM178" s="407"/>
      <c r="AR178" s="129" t="s">
        <v>258</v>
      </c>
      <c r="AT178" s="129" t="s">
        <v>231</v>
      </c>
      <c r="AU178" s="129" t="s">
        <v>76</v>
      </c>
      <c r="AY178" s="13" t="s">
        <v>228</v>
      </c>
      <c r="BE178" s="130">
        <f>IF(N178="základná",J178,0)</f>
        <v>0</v>
      </c>
      <c r="BF178" s="130">
        <f>IF(N178="znížená",J178,0)</f>
        <v>35.340000000000003</v>
      </c>
      <c r="BG178" s="130">
        <f>IF(N178="zákl. prenesená",J178,0)</f>
        <v>0</v>
      </c>
      <c r="BH178" s="130">
        <f>IF(N178="zníž. prenesená",J178,0)</f>
        <v>0</v>
      </c>
      <c r="BI178" s="130">
        <f>IF(N178="nulová",J178,0)</f>
        <v>0</v>
      </c>
      <c r="BJ178" s="13" t="s">
        <v>76</v>
      </c>
      <c r="BK178" s="130">
        <f>ROUND(I178*H178,2)</f>
        <v>35.340000000000003</v>
      </c>
      <c r="BL178" s="13" t="s">
        <v>258</v>
      </c>
      <c r="BM178" s="129" t="s">
        <v>276</v>
      </c>
    </row>
    <row r="179" spans="2:65" s="1" customFormat="1" ht="18" customHeight="1" x14ac:dyDescent="0.2">
      <c r="B179" s="118"/>
      <c r="C179" s="205" t="s">
        <v>255</v>
      </c>
      <c r="D179" s="119" t="s">
        <v>231</v>
      </c>
      <c r="E179" s="120" t="s">
        <v>1225</v>
      </c>
      <c r="F179" s="121" t="s">
        <v>1226</v>
      </c>
      <c r="G179" s="122" t="s">
        <v>1194</v>
      </c>
      <c r="H179" s="206">
        <v>2</v>
      </c>
      <c r="I179" s="124">
        <v>17.77</v>
      </c>
      <c r="J179" s="124">
        <f>ROUND(I179*H179,2)</f>
        <v>35.54</v>
      </c>
      <c r="K179" s="121" t="s">
        <v>1</v>
      </c>
      <c r="L179" s="24"/>
      <c r="M179" s="125" t="s">
        <v>1</v>
      </c>
      <c r="N179" s="126" t="s">
        <v>32</v>
      </c>
      <c r="O179" s="127">
        <v>0</v>
      </c>
      <c r="P179" s="127">
        <f>O179*H179</f>
        <v>0</v>
      </c>
      <c r="Q179" s="127">
        <v>0</v>
      </c>
      <c r="R179" s="127">
        <f>Q179*H179</f>
        <v>0</v>
      </c>
      <c r="S179" s="127">
        <v>0</v>
      </c>
      <c r="T179" s="128">
        <f>S179*H179</f>
        <v>0</v>
      </c>
      <c r="W179" s="199"/>
      <c r="X179" s="205" t="s">
        <v>255</v>
      </c>
      <c r="Y179" s="119" t="s">
        <v>231</v>
      </c>
      <c r="Z179" s="120" t="s">
        <v>1225</v>
      </c>
      <c r="AA179" s="121" t="s">
        <v>1226</v>
      </c>
      <c r="AB179" s="122" t="s">
        <v>1194</v>
      </c>
      <c r="AC179" s="206">
        <v>0</v>
      </c>
      <c r="AD179" s="124">
        <v>17.77</v>
      </c>
      <c r="AE179" s="200">
        <f t="shared" si="1"/>
        <v>0</v>
      </c>
      <c r="AF179" s="956">
        <v>7</v>
      </c>
      <c r="AG179" s="407"/>
      <c r="AH179" s="567"/>
      <c r="AI179" s="567"/>
      <c r="AJ179" s="407"/>
      <c r="AK179" s="567"/>
      <c r="AL179" s="407"/>
      <c r="AM179" s="407"/>
      <c r="AR179" s="129" t="s">
        <v>258</v>
      </c>
      <c r="AT179" s="129" t="s">
        <v>231</v>
      </c>
      <c r="AU179" s="129" t="s">
        <v>76</v>
      </c>
      <c r="AY179" s="13" t="s">
        <v>228</v>
      </c>
      <c r="BE179" s="130">
        <f>IF(N179="základná",J179,0)</f>
        <v>0</v>
      </c>
      <c r="BF179" s="130">
        <f>IF(N179="znížená",J179,0)</f>
        <v>35.54</v>
      </c>
      <c r="BG179" s="130">
        <f>IF(N179="zákl. prenesená",J179,0)</f>
        <v>0</v>
      </c>
      <c r="BH179" s="130">
        <f>IF(N179="zníž. prenesená",J179,0)</f>
        <v>0</v>
      </c>
      <c r="BI179" s="130">
        <f>IF(N179="nulová",J179,0)</f>
        <v>0</v>
      </c>
      <c r="BJ179" s="13" t="s">
        <v>76</v>
      </c>
      <c r="BK179" s="130">
        <f>ROUND(I179*H179,2)</f>
        <v>35.54</v>
      </c>
      <c r="BL179" s="13" t="s">
        <v>258</v>
      </c>
      <c r="BM179" s="129" t="s">
        <v>280</v>
      </c>
    </row>
    <row r="180" spans="2:65" s="260" customFormat="1" ht="18" customHeight="1" x14ac:dyDescent="0.2">
      <c r="B180" s="118"/>
      <c r="C180" s="1234" t="s">
        <v>5205</v>
      </c>
      <c r="D180" s="1235"/>
      <c r="E180" s="1235"/>
      <c r="F180" s="1235"/>
      <c r="G180" s="1235"/>
      <c r="H180" s="1235"/>
      <c r="I180" s="1235"/>
      <c r="J180" s="1236"/>
      <c r="K180" s="222"/>
      <c r="L180" s="24"/>
      <c r="M180" s="125"/>
      <c r="N180" s="126"/>
      <c r="O180" s="127"/>
      <c r="P180" s="127"/>
      <c r="Q180" s="127"/>
      <c r="R180" s="127"/>
      <c r="S180" s="127"/>
      <c r="T180" s="128"/>
      <c r="W180" s="199"/>
      <c r="X180" s="207" t="s">
        <v>5461</v>
      </c>
      <c r="Y180" s="207" t="s">
        <v>231</v>
      </c>
      <c r="Z180" s="208" t="s">
        <v>5457</v>
      </c>
      <c r="AA180" s="209" t="s">
        <v>5458</v>
      </c>
      <c r="AB180" s="210" t="s">
        <v>1194</v>
      </c>
      <c r="AC180" s="211">
        <v>8</v>
      </c>
      <c r="AD180" s="212">
        <v>18</v>
      </c>
      <c r="AE180" s="214">
        <f t="shared" si="1"/>
        <v>144</v>
      </c>
      <c r="AF180" s="956">
        <v>10</v>
      </c>
      <c r="AG180" s="407"/>
      <c r="AH180" s="567"/>
      <c r="AI180" s="567"/>
      <c r="AJ180" s="407"/>
      <c r="AK180" s="567"/>
      <c r="AL180" s="407"/>
      <c r="AM180" s="407"/>
      <c r="AR180" s="129"/>
      <c r="AT180" s="129"/>
      <c r="AU180" s="129"/>
      <c r="AY180" s="13"/>
      <c r="BE180" s="130"/>
      <c r="BF180" s="130"/>
      <c r="BG180" s="130"/>
      <c r="BH180" s="130"/>
      <c r="BI180" s="130"/>
      <c r="BJ180" s="13"/>
      <c r="BK180" s="130"/>
      <c r="BL180" s="13"/>
      <c r="BM180" s="129"/>
    </row>
    <row r="181" spans="2:65" s="260" customFormat="1" ht="18" customHeight="1" x14ac:dyDescent="0.2">
      <c r="B181" s="118"/>
      <c r="C181" s="1234" t="s">
        <v>5205</v>
      </c>
      <c r="D181" s="1235"/>
      <c r="E181" s="1235"/>
      <c r="F181" s="1235"/>
      <c r="G181" s="1235"/>
      <c r="H181" s="1235"/>
      <c r="I181" s="1235"/>
      <c r="J181" s="1236"/>
      <c r="K181" s="222"/>
      <c r="L181" s="24"/>
      <c r="M181" s="125"/>
      <c r="N181" s="126"/>
      <c r="O181" s="127"/>
      <c r="P181" s="127"/>
      <c r="Q181" s="127"/>
      <c r="R181" s="127"/>
      <c r="S181" s="127"/>
      <c r="T181" s="128"/>
      <c r="W181" s="199"/>
      <c r="X181" s="207" t="s">
        <v>5462</v>
      </c>
      <c r="Y181" s="207" t="s">
        <v>231</v>
      </c>
      <c r="Z181" s="208" t="s">
        <v>5459</v>
      </c>
      <c r="AA181" s="209" t="s">
        <v>5460</v>
      </c>
      <c r="AB181" s="210" t="s">
        <v>1194</v>
      </c>
      <c r="AC181" s="211">
        <v>2</v>
      </c>
      <c r="AD181" s="212">
        <v>18.71</v>
      </c>
      <c r="AE181" s="214">
        <f t="shared" si="1"/>
        <v>37.42</v>
      </c>
      <c r="AF181" s="956">
        <v>10</v>
      </c>
      <c r="AG181" s="407"/>
      <c r="AH181" s="567"/>
      <c r="AI181" s="567"/>
      <c r="AJ181" s="407"/>
      <c r="AK181" s="567"/>
      <c r="AL181" s="407"/>
      <c r="AM181" s="407"/>
      <c r="AR181" s="129"/>
      <c r="AT181" s="129"/>
      <c r="AU181" s="129"/>
      <c r="AY181" s="13"/>
      <c r="BE181" s="130"/>
      <c r="BF181" s="130"/>
      <c r="BG181" s="130"/>
      <c r="BH181" s="130"/>
      <c r="BI181" s="130"/>
      <c r="BJ181" s="13"/>
      <c r="BK181" s="130"/>
      <c r="BL181" s="13"/>
      <c r="BM181" s="129"/>
    </row>
    <row r="182" spans="2:65" s="260" customFormat="1" ht="30" customHeight="1" x14ac:dyDescent="0.25">
      <c r="B182" s="118"/>
      <c r="C182" s="284"/>
      <c r="D182" s="284"/>
      <c r="E182" s="284"/>
      <c r="F182" s="284"/>
      <c r="G182" s="284"/>
      <c r="H182" s="284"/>
      <c r="I182" s="284"/>
      <c r="J182" s="284"/>
      <c r="K182" s="222"/>
      <c r="L182" s="24"/>
      <c r="M182" s="125"/>
      <c r="N182" s="126"/>
      <c r="O182" s="127"/>
      <c r="P182" s="127"/>
      <c r="Q182" s="127"/>
      <c r="R182" s="127"/>
      <c r="S182" s="127"/>
      <c r="T182" s="128"/>
      <c r="W182" s="199"/>
      <c r="X182" s="280"/>
      <c r="Y182" s="196" t="s">
        <v>57</v>
      </c>
      <c r="Z182" s="201" t="s">
        <v>1247</v>
      </c>
      <c r="AA182" s="201" t="s">
        <v>5463</v>
      </c>
      <c r="AB182" s="280"/>
      <c r="AC182" s="280"/>
      <c r="AD182" s="280"/>
      <c r="AE182" s="281">
        <f>AE183</f>
        <v>414</v>
      </c>
      <c r="AF182" s="956"/>
      <c r="AG182" s="407"/>
      <c r="AH182" s="567"/>
      <c r="AI182" s="567"/>
      <c r="AJ182" s="407"/>
      <c r="AK182" s="567"/>
      <c r="AL182" s="407"/>
      <c r="AM182" s="407"/>
      <c r="AR182" s="129"/>
      <c r="AT182" s="129"/>
      <c r="AU182" s="129"/>
      <c r="AY182" s="13"/>
      <c r="BE182" s="130"/>
      <c r="BF182" s="130"/>
      <c r="BG182" s="130"/>
      <c r="BH182" s="130"/>
      <c r="BI182" s="130"/>
      <c r="BJ182" s="13"/>
      <c r="BK182" s="130"/>
      <c r="BL182" s="13"/>
      <c r="BM182" s="129"/>
    </row>
    <row r="183" spans="2:65" s="260" customFormat="1" ht="16.5" customHeight="1" x14ac:dyDescent="0.2">
      <c r="B183" s="118"/>
      <c r="C183" s="1234" t="s">
        <v>5205</v>
      </c>
      <c r="D183" s="1235"/>
      <c r="E183" s="1235"/>
      <c r="F183" s="1235"/>
      <c r="G183" s="1235"/>
      <c r="H183" s="1235"/>
      <c r="I183" s="1235"/>
      <c r="J183" s="1236"/>
      <c r="K183" s="222"/>
      <c r="L183" s="24"/>
      <c r="M183" s="125"/>
      <c r="N183" s="126"/>
      <c r="O183" s="127"/>
      <c r="P183" s="127"/>
      <c r="Q183" s="127"/>
      <c r="R183" s="127"/>
      <c r="S183" s="127"/>
      <c r="T183" s="128"/>
      <c r="W183" s="199"/>
      <c r="X183" s="207" t="s">
        <v>5466</v>
      </c>
      <c r="Y183" s="207" t="s">
        <v>231</v>
      </c>
      <c r="Z183" s="208" t="s">
        <v>5464</v>
      </c>
      <c r="AA183" s="209" t="s">
        <v>5465</v>
      </c>
      <c r="AB183" s="210" t="s">
        <v>292</v>
      </c>
      <c r="AC183" s="211">
        <v>276</v>
      </c>
      <c r="AD183" s="212">
        <v>1.5</v>
      </c>
      <c r="AE183" s="214">
        <f>ROUND(AD183*AC183,2)</f>
        <v>414</v>
      </c>
      <c r="AF183" s="956">
        <v>10</v>
      </c>
      <c r="AG183" s="407"/>
      <c r="AH183" s="567"/>
      <c r="AI183" s="567"/>
      <c r="AJ183" s="407"/>
      <c r="AK183" s="567"/>
      <c r="AL183" s="407"/>
      <c r="AM183" s="407"/>
      <c r="AR183" s="129"/>
      <c r="AT183" s="129"/>
      <c r="AU183" s="129"/>
      <c r="AY183" s="13"/>
      <c r="BE183" s="130"/>
      <c r="BF183" s="130"/>
      <c r="BG183" s="130"/>
      <c r="BH183" s="130"/>
      <c r="BI183" s="130"/>
      <c r="BJ183" s="13"/>
      <c r="BK183" s="130"/>
      <c r="BL183" s="13"/>
      <c r="BM183" s="129"/>
    </row>
    <row r="184" spans="2:65" s="260" customFormat="1" ht="27" customHeight="1" x14ac:dyDescent="0.25">
      <c r="B184" s="118"/>
      <c r="C184" s="284"/>
      <c r="D184" s="284"/>
      <c r="E184" s="284"/>
      <c r="F184" s="284"/>
      <c r="G184" s="284"/>
      <c r="H184" s="284"/>
      <c r="I184" s="284"/>
      <c r="J184" s="284"/>
      <c r="K184" s="222"/>
      <c r="L184" s="24"/>
      <c r="M184" s="125"/>
      <c r="N184" s="126"/>
      <c r="O184" s="127"/>
      <c r="P184" s="127"/>
      <c r="Q184" s="127"/>
      <c r="R184" s="127"/>
      <c r="S184" s="127"/>
      <c r="T184" s="128"/>
      <c r="W184" s="199"/>
      <c r="X184" s="280"/>
      <c r="Y184" s="196" t="s">
        <v>57</v>
      </c>
      <c r="Z184" s="201" t="s">
        <v>1252</v>
      </c>
      <c r="AA184" s="201" t="s">
        <v>5467</v>
      </c>
      <c r="AB184" s="280"/>
      <c r="AC184" s="280"/>
      <c r="AD184" s="280"/>
      <c r="AE184" s="281">
        <f>SUM(AE185:AE188)</f>
        <v>521.38</v>
      </c>
      <c r="AF184" s="956"/>
      <c r="AG184" s="407"/>
      <c r="AH184" s="567"/>
      <c r="AI184" s="567"/>
      <c r="AJ184" s="407"/>
      <c r="AK184" s="567"/>
      <c r="AL184" s="407"/>
      <c r="AM184" s="407"/>
      <c r="AR184" s="129"/>
      <c r="AT184" s="129"/>
      <c r="AU184" s="129"/>
      <c r="AY184" s="13"/>
      <c r="BE184" s="130"/>
      <c r="BF184" s="130"/>
      <c r="BG184" s="130"/>
      <c r="BH184" s="130"/>
      <c r="BI184" s="130"/>
      <c r="BJ184" s="13"/>
      <c r="BK184" s="130"/>
      <c r="BL184" s="13"/>
      <c r="BM184" s="129"/>
    </row>
    <row r="185" spans="2:65" s="260" customFormat="1" ht="18" customHeight="1" x14ac:dyDescent="0.2">
      <c r="B185" s="118"/>
      <c r="C185" s="1234" t="s">
        <v>5205</v>
      </c>
      <c r="D185" s="1235"/>
      <c r="E185" s="1235"/>
      <c r="F185" s="1235"/>
      <c r="G185" s="1235"/>
      <c r="H185" s="1235"/>
      <c r="I185" s="1235"/>
      <c r="J185" s="1236"/>
      <c r="K185" s="222"/>
      <c r="L185" s="24"/>
      <c r="M185" s="125"/>
      <c r="N185" s="126"/>
      <c r="O185" s="127"/>
      <c r="P185" s="127"/>
      <c r="Q185" s="127"/>
      <c r="R185" s="127"/>
      <c r="S185" s="127"/>
      <c r="T185" s="128"/>
      <c r="W185" s="199"/>
      <c r="X185" s="207" t="s">
        <v>5473</v>
      </c>
      <c r="Y185" s="207" t="s">
        <v>231</v>
      </c>
      <c r="Z185" s="208" t="s">
        <v>5468</v>
      </c>
      <c r="AA185" s="209" t="s">
        <v>3570</v>
      </c>
      <c r="AB185" s="210" t="s">
        <v>1194</v>
      </c>
      <c r="AC185" s="211">
        <v>10</v>
      </c>
      <c r="AD185" s="212">
        <v>9.5399999999999991</v>
      </c>
      <c r="AE185" s="214">
        <f>ROUND(AD185*AC185,2)</f>
        <v>95.4</v>
      </c>
      <c r="AF185" s="956">
        <v>10</v>
      </c>
      <c r="AG185" s="407"/>
      <c r="AH185" s="567"/>
      <c r="AI185" s="567"/>
      <c r="AJ185" s="407"/>
      <c r="AK185" s="567"/>
      <c r="AL185" s="407"/>
      <c r="AM185" s="407"/>
      <c r="AR185" s="129"/>
      <c r="AT185" s="129"/>
      <c r="AU185" s="129"/>
      <c r="AY185" s="13"/>
      <c r="BE185" s="130"/>
      <c r="BF185" s="130"/>
      <c r="BG185" s="130"/>
      <c r="BH185" s="130"/>
      <c r="BI185" s="130"/>
      <c r="BJ185" s="13"/>
      <c r="BK185" s="130"/>
      <c r="BL185" s="13"/>
      <c r="BM185" s="129"/>
    </row>
    <row r="186" spans="2:65" s="260" customFormat="1" ht="18" customHeight="1" x14ac:dyDescent="0.2">
      <c r="B186" s="118"/>
      <c r="C186" s="1234" t="s">
        <v>5205</v>
      </c>
      <c r="D186" s="1235"/>
      <c r="E186" s="1235"/>
      <c r="F186" s="1235"/>
      <c r="G186" s="1235"/>
      <c r="H186" s="1235"/>
      <c r="I186" s="1235"/>
      <c r="J186" s="1236"/>
      <c r="K186" s="222"/>
      <c r="L186" s="24"/>
      <c r="M186" s="125"/>
      <c r="N186" s="126"/>
      <c r="O186" s="127"/>
      <c r="P186" s="127"/>
      <c r="Q186" s="127"/>
      <c r="R186" s="127"/>
      <c r="S186" s="127"/>
      <c r="T186" s="128"/>
      <c r="W186" s="199"/>
      <c r="X186" s="207" t="s">
        <v>5474</v>
      </c>
      <c r="Y186" s="207" t="s">
        <v>231</v>
      </c>
      <c r="Z186" s="208" t="s">
        <v>5469</v>
      </c>
      <c r="AA186" s="209" t="s">
        <v>5346</v>
      </c>
      <c r="AB186" s="210" t="s">
        <v>1194</v>
      </c>
      <c r="AC186" s="211">
        <v>9</v>
      </c>
      <c r="AD186" s="212">
        <v>13</v>
      </c>
      <c r="AE186" s="214">
        <f>ROUND(AD186*AC186,2)</f>
        <v>117</v>
      </c>
      <c r="AF186" s="956">
        <v>10</v>
      </c>
      <c r="AG186" s="407"/>
      <c r="AH186" s="567"/>
      <c r="AI186" s="567"/>
      <c r="AJ186" s="407"/>
      <c r="AK186" s="567"/>
      <c r="AL186" s="407"/>
      <c r="AM186" s="407"/>
      <c r="AR186" s="129"/>
      <c r="AT186" s="129"/>
      <c r="AU186" s="129"/>
      <c r="AY186" s="13"/>
      <c r="BE186" s="130"/>
      <c r="BF186" s="130"/>
      <c r="BG186" s="130"/>
      <c r="BH186" s="130"/>
      <c r="BI186" s="130"/>
      <c r="BJ186" s="13"/>
      <c r="BK186" s="130"/>
      <c r="BL186" s="13"/>
      <c r="BM186" s="129"/>
    </row>
    <row r="187" spans="2:65" s="260" customFormat="1" ht="18" customHeight="1" x14ac:dyDescent="0.2">
      <c r="B187" s="118"/>
      <c r="C187" s="1234" t="s">
        <v>5205</v>
      </c>
      <c r="D187" s="1235"/>
      <c r="E187" s="1235"/>
      <c r="F187" s="1235"/>
      <c r="G187" s="1235"/>
      <c r="H187" s="1235"/>
      <c r="I187" s="1235"/>
      <c r="J187" s="1236"/>
      <c r="K187" s="222"/>
      <c r="L187" s="24"/>
      <c r="M187" s="125"/>
      <c r="N187" s="126"/>
      <c r="O187" s="127"/>
      <c r="P187" s="127"/>
      <c r="Q187" s="127"/>
      <c r="R187" s="127"/>
      <c r="S187" s="127"/>
      <c r="T187" s="128"/>
      <c r="W187" s="199"/>
      <c r="X187" s="207" t="s">
        <v>5475</v>
      </c>
      <c r="Y187" s="207" t="s">
        <v>231</v>
      </c>
      <c r="Z187" s="208" t="s">
        <v>5470</v>
      </c>
      <c r="AA187" s="209" t="s">
        <v>4486</v>
      </c>
      <c r="AB187" s="210" t="s">
        <v>1194</v>
      </c>
      <c r="AC187" s="211">
        <v>7</v>
      </c>
      <c r="AD187" s="212">
        <v>14.14</v>
      </c>
      <c r="AE187" s="214">
        <f>ROUND(AD187*AC187,2)</f>
        <v>98.98</v>
      </c>
      <c r="AF187" s="956">
        <v>10</v>
      </c>
      <c r="AG187" s="407"/>
      <c r="AH187" s="567"/>
      <c r="AI187" s="567"/>
      <c r="AJ187" s="407"/>
      <c r="AK187" s="567"/>
      <c r="AL187" s="407"/>
      <c r="AM187" s="407"/>
      <c r="AR187" s="129"/>
      <c r="AT187" s="129"/>
      <c r="AU187" s="129"/>
      <c r="AY187" s="13"/>
      <c r="BE187" s="130"/>
      <c r="BF187" s="130"/>
      <c r="BG187" s="130"/>
      <c r="BH187" s="130"/>
      <c r="BI187" s="130"/>
      <c r="BJ187" s="13"/>
      <c r="BK187" s="130"/>
      <c r="BL187" s="13"/>
      <c r="BM187" s="129"/>
    </row>
    <row r="188" spans="2:65" s="260" customFormat="1" ht="18" customHeight="1" x14ac:dyDescent="0.2">
      <c r="B188" s="118"/>
      <c r="C188" s="1234" t="s">
        <v>5205</v>
      </c>
      <c r="D188" s="1235"/>
      <c r="E188" s="1235"/>
      <c r="F188" s="1235"/>
      <c r="G188" s="1235"/>
      <c r="H188" s="1235"/>
      <c r="I188" s="1235"/>
      <c r="J188" s="1236"/>
      <c r="K188" s="222"/>
      <c r="L188" s="24"/>
      <c r="M188" s="125"/>
      <c r="N188" s="126"/>
      <c r="O188" s="127"/>
      <c r="P188" s="127"/>
      <c r="Q188" s="127"/>
      <c r="R188" s="127"/>
      <c r="S188" s="127"/>
      <c r="T188" s="128"/>
      <c r="W188" s="199"/>
      <c r="X188" s="207" t="s">
        <v>5476</v>
      </c>
      <c r="Y188" s="207" t="s">
        <v>231</v>
      </c>
      <c r="Z188" s="208" t="s">
        <v>5471</v>
      </c>
      <c r="AA188" s="209" t="s">
        <v>5472</v>
      </c>
      <c r="AB188" s="210" t="s">
        <v>1194</v>
      </c>
      <c r="AC188" s="211">
        <v>10</v>
      </c>
      <c r="AD188" s="212">
        <v>21</v>
      </c>
      <c r="AE188" s="214">
        <f>ROUND(AD188*AC188,2)</f>
        <v>210</v>
      </c>
      <c r="AF188" s="956">
        <v>10</v>
      </c>
      <c r="AG188" s="407"/>
      <c r="AH188" s="567"/>
      <c r="AI188" s="567"/>
      <c r="AJ188" s="407"/>
      <c r="AK188" s="567"/>
      <c r="AL188" s="407"/>
      <c r="AM188" s="407"/>
      <c r="AR188" s="129"/>
      <c r="AT188" s="129"/>
      <c r="AU188" s="129"/>
      <c r="AY188" s="13"/>
      <c r="BE188" s="130"/>
      <c r="BF188" s="130"/>
      <c r="BG188" s="130"/>
      <c r="BH188" s="130"/>
      <c r="BI188" s="130"/>
      <c r="BJ188" s="13"/>
      <c r="BK188" s="130"/>
      <c r="BL188" s="13"/>
      <c r="BM188" s="129"/>
    </row>
    <row r="189" spans="2:65" s="11" customFormat="1" ht="22.95" customHeight="1" x14ac:dyDescent="0.25">
      <c r="B189" s="106"/>
      <c r="D189" s="107" t="s">
        <v>57</v>
      </c>
      <c r="E189" s="116" t="s">
        <v>1227</v>
      </c>
      <c r="F189" s="116" t="s">
        <v>1228</v>
      </c>
      <c r="J189" s="117">
        <f>BK189</f>
        <v>313.49</v>
      </c>
      <c r="L189" s="106"/>
      <c r="M189" s="110"/>
      <c r="N189" s="111"/>
      <c r="O189" s="111"/>
      <c r="P189" s="112">
        <f>SUM(P191:P195)</f>
        <v>0</v>
      </c>
      <c r="Q189" s="111"/>
      <c r="R189" s="112">
        <f>SUM(R191:R195)</f>
        <v>0</v>
      </c>
      <c r="S189" s="111"/>
      <c r="T189" s="113">
        <f>SUM(T191:T195)</f>
        <v>0</v>
      </c>
      <c r="W189" s="195"/>
      <c r="X189" s="111"/>
      <c r="Y189" s="196" t="s">
        <v>57</v>
      </c>
      <c r="Z189" s="201" t="s">
        <v>1227</v>
      </c>
      <c r="AA189" s="201" t="s">
        <v>1228</v>
      </c>
      <c r="AB189" s="111"/>
      <c r="AC189" s="111"/>
      <c r="AD189" s="111"/>
      <c r="AE189" s="202">
        <f>SUM(AE190:AE195)</f>
        <v>1480.3799999999999</v>
      </c>
      <c r="AF189" s="291"/>
      <c r="AG189" s="292"/>
      <c r="AH189" s="567"/>
      <c r="AI189" s="567"/>
      <c r="AJ189" s="292"/>
      <c r="AK189" s="567"/>
      <c r="AL189" s="292"/>
      <c r="AM189" s="292"/>
      <c r="AR189" s="107" t="s">
        <v>76</v>
      </c>
      <c r="AT189" s="114" t="s">
        <v>57</v>
      </c>
      <c r="AU189" s="114" t="s">
        <v>63</v>
      </c>
      <c r="AY189" s="107" t="s">
        <v>228</v>
      </c>
      <c r="BK189" s="115">
        <f>SUM(BK191:BK195)</f>
        <v>313.49</v>
      </c>
    </row>
    <row r="190" spans="2:65" s="11" customFormat="1" ht="18" customHeight="1" x14ac:dyDescent="0.2">
      <c r="B190" s="106"/>
      <c r="C190" s="1234" t="s">
        <v>5205</v>
      </c>
      <c r="D190" s="1235"/>
      <c r="E190" s="1235"/>
      <c r="F190" s="1235"/>
      <c r="G190" s="1235"/>
      <c r="H190" s="1235"/>
      <c r="I190" s="1235"/>
      <c r="J190" s="1236"/>
      <c r="L190" s="106"/>
      <c r="M190" s="110"/>
      <c r="N190" s="111"/>
      <c r="O190" s="111"/>
      <c r="P190" s="112"/>
      <c r="Q190" s="111"/>
      <c r="R190" s="112"/>
      <c r="S190" s="111"/>
      <c r="T190" s="113"/>
      <c r="W190" s="195"/>
      <c r="X190" s="207" t="s">
        <v>5477</v>
      </c>
      <c r="Y190" s="207" t="s">
        <v>231</v>
      </c>
      <c r="Z190" s="208" t="s">
        <v>4490</v>
      </c>
      <c r="AA190" s="209" t="s">
        <v>1206</v>
      </c>
      <c r="AB190" s="210" t="s">
        <v>1194</v>
      </c>
      <c r="AC190" s="211">
        <v>4</v>
      </c>
      <c r="AD190" s="212">
        <v>42.05</v>
      </c>
      <c r="AE190" s="214">
        <f t="shared" ref="AE190" si="3">ROUND(AD190*AC190,2)</f>
        <v>168.2</v>
      </c>
      <c r="AF190" s="956">
        <v>10</v>
      </c>
      <c r="AG190" s="292"/>
      <c r="AH190" s="567"/>
      <c r="AI190" s="567"/>
      <c r="AJ190" s="292"/>
      <c r="AK190" s="567"/>
      <c r="AL190" s="292"/>
      <c r="AM190" s="292"/>
      <c r="AR190" s="107"/>
      <c r="AT190" s="114"/>
      <c r="AU190" s="114"/>
      <c r="AY190" s="107"/>
      <c r="BK190" s="115"/>
    </row>
    <row r="191" spans="2:65" s="1" customFormat="1" ht="18" customHeight="1" x14ac:dyDescent="0.2">
      <c r="B191" s="118"/>
      <c r="C191" s="205" t="s">
        <v>281</v>
      </c>
      <c r="D191" s="119" t="s">
        <v>231</v>
      </c>
      <c r="E191" s="120" t="s">
        <v>1229</v>
      </c>
      <c r="F191" s="121" t="s">
        <v>1210</v>
      </c>
      <c r="G191" s="122" t="s">
        <v>1194</v>
      </c>
      <c r="H191" s="206">
        <v>2</v>
      </c>
      <c r="I191" s="124">
        <v>44.26</v>
      </c>
      <c r="J191" s="124">
        <f>ROUND(I191*H191,2)</f>
        <v>88.52</v>
      </c>
      <c r="K191" s="121" t="s">
        <v>1</v>
      </c>
      <c r="L191" s="24"/>
      <c r="M191" s="125" t="s">
        <v>1</v>
      </c>
      <c r="N191" s="126" t="s">
        <v>32</v>
      </c>
      <c r="O191" s="127">
        <v>0</v>
      </c>
      <c r="P191" s="127">
        <f>O191*H191</f>
        <v>0</v>
      </c>
      <c r="Q191" s="127">
        <v>0</v>
      </c>
      <c r="R191" s="127">
        <f>Q191*H191</f>
        <v>0</v>
      </c>
      <c r="S191" s="127">
        <v>0</v>
      </c>
      <c r="T191" s="128">
        <f>S191*H191</f>
        <v>0</v>
      </c>
      <c r="W191" s="199"/>
      <c r="X191" s="205" t="s">
        <v>281</v>
      </c>
      <c r="Y191" s="119" t="s">
        <v>231</v>
      </c>
      <c r="Z191" s="120" t="s">
        <v>1229</v>
      </c>
      <c r="AA191" s="121" t="s">
        <v>1210</v>
      </c>
      <c r="AB191" s="122" t="s">
        <v>1194</v>
      </c>
      <c r="AC191" s="206">
        <f>0+8</f>
        <v>8</v>
      </c>
      <c r="AD191" s="124">
        <v>44.26</v>
      </c>
      <c r="AE191" s="200">
        <f>ROUND(AD191*AC191,2)</f>
        <v>354.08</v>
      </c>
      <c r="AF191" s="956" t="s">
        <v>5452</v>
      </c>
      <c r="AG191" s="407"/>
      <c r="AH191" s="567"/>
      <c r="AI191" s="567"/>
      <c r="AJ191" s="407"/>
      <c r="AK191" s="567"/>
      <c r="AL191" s="407"/>
      <c r="AM191" s="407"/>
      <c r="AR191" s="129" t="s">
        <v>258</v>
      </c>
      <c r="AT191" s="129" t="s">
        <v>231</v>
      </c>
      <c r="AU191" s="129" t="s">
        <v>76</v>
      </c>
      <c r="AY191" s="13" t="s">
        <v>228</v>
      </c>
      <c r="BE191" s="130">
        <f>IF(N191="základná",J191,0)</f>
        <v>0</v>
      </c>
      <c r="BF191" s="130">
        <f>IF(N191="znížená",J191,0)</f>
        <v>88.52</v>
      </c>
      <c r="BG191" s="130">
        <f>IF(N191="zákl. prenesená",J191,0)</f>
        <v>0</v>
      </c>
      <c r="BH191" s="130">
        <f>IF(N191="zníž. prenesená",J191,0)</f>
        <v>0</v>
      </c>
      <c r="BI191" s="130">
        <f>IF(N191="nulová",J191,0)</f>
        <v>0</v>
      </c>
      <c r="BJ191" s="13" t="s">
        <v>76</v>
      </c>
      <c r="BK191" s="130">
        <f>ROUND(I191*H191,2)</f>
        <v>88.52</v>
      </c>
      <c r="BL191" s="13" t="s">
        <v>258</v>
      </c>
      <c r="BM191" s="129" t="s">
        <v>285</v>
      </c>
    </row>
    <row r="192" spans="2:65" s="260" customFormat="1" ht="18" customHeight="1" x14ac:dyDescent="0.2">
      <c r="B192" s="118"/>
      <c r="C192" s="1234" t="s">
        <v>5205</v>
      </c>
      <c r="D192" s="1235"/>
      <c r="E192" s="1235"/>
      <c r="F192" s="1235"/>
      <c r="G192" s="1235"/>
      <c r="H192" s="1235"/>
      <c r="I192" s="1235"/>
      <c r="J192" s="1236"/>
      <c r="K192" s="121"/>
      <c r="L192" s="24"/>
      <c r="M192" s="125"/>
      <c r="N192" s="126"/>
      <c r="O192" s="127"/>
      <c r="P192" s="127"/>
      <c r="Q192" s="127"/>
      <c r="R192" s="127"/>
      <c r="S192" s="127"/>
      <c r="T192" s="128"/>
      <c r="W192" s="199"/>
      <c r="X192" s="207" t="s">
        <v>5478</v>
      </c>
      <c r="Y192" s="207" t="s">
        <v>231</v>
      </c>
      <c r="Z192" s="208" t="s">
        <v>5350</v>
      </c>
      <c r="AA192" s="209" t="s">
        <v>3599</v>
      </c>
      <c r="AB192" s="210" t="s">
        <v>1194</v>
      </c>
      <c r="AC192" s="211">
        <v>8</v>
      </c>
      <c r="AD192" s="212">
        <v>48.5</v>
      </c>
      <c r="AE192" s="214">
        <f t="shared" ref="AE192:AE193" si="4">ROUND(AD192*AC192,2)</f>
        <v>388</v>
      </c>
      <c r="AF192" s="956">
        <v>10</v>
      </c>
      <c r="AG192" s="407"/>
      <c r="AH192" s="567"/>
      <c r="AI192" s="567"/>
      <c r="AJ192" s="407"/>
      <c r="AK192" s="567"/>
      <c r="AL192" s="407"/>
      <c r="AM192" s="407"/>
      <c r="AR192" s="129"/>
      <c r="AT192" s="129"/>
      <c r="AU192" s="129"/>
      <c r="AY192" s="13"/>
      <c r="BE192" s="130"/>
      <c r="BF192" s="130"/>
      <c r="BG192" s="130"/>
      <c r="BH192" s="130"/>
      <c r="BI192" s="130"/>
      <c r="BJ192" s="13"/>
      <c r="BK192" s="130"/>
      <c r="BL192" s="13"/>
      <c r="BM192" s="129"/>
    </row>
    <row r="193" spans="2:65" s="260" customFormat="1" ht="18" customHeight="1" x14ac:dyDescent="0.2">
      <c r="B193" s="118"/>
      <c r="C193" s="1234" t="s">
        <v>5205</v>
      </c>
      <c r="D193" s="1235"/>
      <c r="E193" s="1235"/>
      <c r="F193" s="1235"/>
      <c r="G193" s="1235"/>
      <c r="H193" s="1235"/>
      <c r="I193" s="1235"/>
      <c r="J193" s="1236"/>
      <c r="K193" s="121"/>
      <c r="L193" s="24"/>
      <c r="M193" s="125"/>
      <c r="N193" s="126"/>
      <c r="O193" s="127"/>
      <c r="P193" s="127"/>
      <c r="Q193" s="127"/>
      <c r="R193" s="127"/>
      <c r="S193" s="127"/>
      <c r="T193" s="128"/>
      <c r="W193" s="199"/>
      <c r="X193" s="207" t="s">
        <v>5482</v>
      </c>
      <c r="Y193" s="207" t="s">
        <v>231</v>
      </c>
      <c r="Z193" s="208" t="s">
        <v>5479</v>
      </c>
      <c r="AA193" s="209" t="s">
        <v>5480</v>
      </c>
      <c r="AB193" s="210" t="s">
        <v>5481</v>
      </c>
      <c r="AC193" s="211">
        <v>1</v>
      </c>
      <c r="AD193" s="212">
        <v>61</v>
      </c>
      <c r="AE193" s="214">
        <f t="shared" si="4"/>
        <v>61</v>
      </c>
      <c r="AF193" s="956">
        <v>10</v>
      </c>
      <c r="AG193" s="407"/>
      <c r="AH193" s="567"/>
      <c r="AI193" s="567"/>
      <c r="AJ193" s="407"/>
      <c r="AK193" s="567"/>
      <c r="AL193" s="407"/>
      <c r="AM193" s="407"/>
      <c r="AR193" s="129"/>
      <c r="AT193" s="129"/>
      <c r="AU193" s="129"/>
      <c r="AY193" s="13"/>
      <c r="BE193" s="130"/>
      <c r="BF193" s="130"/>
      <c r="BG193" s="130"/>
      <c r="BH193" s="130"/>
      <c r="BI193" s="130"/>
      <c r="BJ193" s="13"/>
      <c r="BK193" s="130"/>
      <c r="BL193" s="13"/>
      <c r="BM193" s="129"/>
    </row>
    <row r="194" spans="2:65" s="1" customFormat="1" ht="18" customHeight="1" x14ac:dyDescent="0.2">
      <c r="B194" s="118"/>
      <c r="C194" s="205" t="s">
        <v>258</v>
      </c>
      <c r="D194" s="119" t="s">
        <v>231</v>
      </c>
      <c r="E194" s="120" t="s">
        <v>1230</v>
      </c>
      <c r="F194" s="121" t="s">
        <v>1231</v>
      </c>
      <c r="G194" s="122" t="s">
        <v>292</v>
      </c>
      <c r="H194" s="206">
        <v>253</v>
      </c>
      <c r="I194" s="124">
        <v>0.62</v>
      </c>
      <c r="J194" s="124">
        <f>ROUND(I194*H194,2)</f>
        <v>156.86000000000001</v>
      </c>
      <c r="K194" s="121" t="s">
        <v>1</v>
      </c>
      <c r="L194" s="24"/>
      <c r="M194" s="125" t="s">
        <v>1</v>
      </c>
      <c r="N194" s="126" t="s">
        <v>32</v>
      </c>
      <c r="O194" s="127">
        <v>0</v>
      </c>
      <c r="P194" s="127">
        <f>O194*H194</f>
        <v>0</v>
      </c>
      <c r="Q194" s="127">
        <v>0</v>
      </c>
      <c r="R194" s="127">
        <f>Q194*H194</f>
        <v>0</v>
      </c>
      <c r="S194" s="127">
        <v>0</v>
      </c>
      <c r="T194" s="128">
        <f>S194*H194</f>
        <v>0</v>
      </c>
      <c r="W194" s="199"/>
      <c r="X194" s="205" t="s">
        <v>258</v>
      </c>
      <c r="Y194" s="119" t="s">
        <v>231</v>
      </c>
      <c r="Z194" s="120" t="s">
        <v>1230</v>
      </c>
      <c r="AA194" s="121" t="s">
        <v>1231</v>
      </c>
      <c r="AB194" s="122" t="s">
        <v>292</v>
      </c>
      <c r="AC194" s="206">
        <f>87+276+54.8</f>
        <v>417.8</v>
      </c>
      <c r="AD194" s="124">
        <v>0.62</v>
      </c>
      <c r="AE194" s="200">
        <f>ROUND(AD194*AC194,2)</f>
        <v>259.04000000000002</v>
      </c>
      <c r="AF194" s="1152" t="s">
        <v>6178</v>
      </c>
      <c r="AG194" s="407"/>
      <c r="AH194" s="567"/>
      <c r="AI194" s="567"/>
      <c r="AJ194" s="407"/>
      <c r="AK194" s="567"/>
      <c r="AL194" s="407"/>
      <c r="AM194" s="407"/>
      <c r="AR194" s="129" t="s">
        <v>258</v>
      </c>
      <c r="AT194" s="129" t="s">
        <v>231</v>
      </c>
      <c r="AU194" s="129" t="s">
        <v>76</v>
      </c>
      <c r="AY194" s="13" t="s">
        <v>228</v>
      </c>
      <c r="BE194" s="130">
        <f>IF(N194="základná",J194,0)</f>
        <v>0</v>
      </c>
      <c r="BF194" s="130">
        <f>IF(N194="znížená",J194,0)</f>
        <v>156.86000000000001</v>
      </c>
      <c r="BG194" s="130">
        <f>IF(N194="zákl. prenesená",J194,0)</f>
        <v>0</v>
      </c>
      <c r="BH194" s="130">
        <f>IF(N194="zníž. prenesená",J194,0)</f>
        <v>0</v>
      </c>
      <c r="BI194" s="130">
        <f>IF(N194="nulová",J194,0)</f>
        <v>0</v>
      </c>
      <c r="BJ194" s="13" t="s">
        <v>76</v>
      </c>
      <c r="BK194" s="130">
        <f>ROUND(I194*H194,2)</f>
        <v>156.86000000000001</v>
      </c>
      <c r="BL194" s="13" t="s">
        <v>258</v>
      </c>
      <c r="BM194" s="129" t="s">
        <v>288</v>
      </c>
    </row>
    <row r="195" spans="2:65" s="1" customFormat="1" ht="18" customHeight="1" x14ac:dyDescent="0.2">
      <c r="B195" s="118"/>
      <c r="C195" s="205" t="s">
        <v>289</v>
      </c>
      <c r="D195" s="119" t="s">
        <v>231</v>
      </c>
      <c r="E195" s="120" t="s">
        <v>1232</v>
      </c>
      <c r="F195" s="121" t="s">
        <v>1233</v>
      </c>
      <c r="G195" s="122" t="s">
        <v>570</v>
      </c>
      <c r="H195" s="123">
        <v>1.8</v>
      </c>
      <c r="I195" s="213">
        <v>37.840000000000003</v>
      </c>
      <c r="J195" s="124">
        <f>ROUND(I195*H195,2)</f>
        <v>68.11</v>
      </c>
      <c r="K195" s="121" t="s">
        <v>1</v>
      </c>
      <c r="L195" s="24"/>
      <c r="M195" s="125" t="s">
        <v>1</v>
      </c>
      <c r="N195" s="126" t="s">
        <v>32</v>
      </c>
      <c r="O195" s="127">
        <v>0</v>
      </c>
      <c r="P195" s="127">
        <f>O195*H195</f>
        <v>0</v>
      </c>
      <c r="Q195" s="127">
        <v>0</v>
      </c>
      <c r="R195" s="127">
        <f>Q195*H195</f>
        <v>0</v>
      </c>
      <c r="S195" s="127">
        <v>0</v>
      </c>
      <c r="T195" s="128">
        <f>S195*H195</f>
        <v>0</v>
      </c>
      <c r="W195" s="199"/>
      <c r="X195" s="205" t="s">
        <v>289</v>
      </c>
      <c r="Y195" s="119" t="s">
        <v>231</v>
      </c>
      <c r="Z195" s="120" t="s">
        <v>1232</v>
      </c>
      <c r="AA195" s="121" t="s">
        <v>1233</v>
      </c>
      <c r="AB195" s="122" t="s">
        <v>570</v>
      </c>
      <c r="AC195" s="123">
        <v>1.8</v>
      </c>
      <c r="AD195" s="213">
        <f>132.62+6.3</f>
        <v>138.92000000000002</v>
      </c>
      <c r="AE195" s="200">
        <f>ROUND(AD195*AC195,2)</f>
        <v>250.06</v>
      </c>
      <c r="AF195" s="956" t="s">
        <v>6178</v>
      </c>
      <c r="AG195" s="407"/>
      <c r="AH195" s="567"/>
      <c r="AI195" s="567"/>
      <c r="AJ195" s="407"/>
      <c r="AK195" s="567"/>
      <c r="AL195" s="407"/>
      <c r="AM195" s="407"/>
      <c r="AR195" s="129" t="s">
        <v>258</v>
      </c>
      <c r="AT195" s="129" t="s">
        <v>231</v>
      </c>
      <c r="AU195" s="129" t="s">
        <v>76</v>
      </c>
      <c r="AY195" s="13" t="s">
        <v>228</v>
      </c>
      <c r="BE195" s="130">
        <f>IF(N195="základná",J195,0)</f>
        <v>0</v>
      </c>
      <c r="BF195" s="130">
        <f>IF(N195="znížená",J195,0)</f>
        <v>68.11</v>
      </c>
      <c r="BG195" s="130">
        <f>IF(N195="zákl. prenesená",J195,0)</f>
        <v>0</v>
      </c>
      <c r="BH195" s="130">
        <f>IF(N195="zníž. prenesená",J195,0)</f>
        <v>0</v>
      </c>
      <c r="BI195" s="130">
        <f>IF(N195="nulová",J195,0)</f>
        <v>0</v>
      </c>
      <c r="BJ195" s="13" t="s">
        <v>76</v>
      </c>
      <c r="BK195" s="130">
        <f>ROUND(I195*H195,2)</f>
        <v>68.11</v>
      </c>
      <c r="BL195" s="13" t="s">
        <v>258</v>
      </c>
      <c r="BM195" s="129" t="s">
        <v>293</v>
      </c>
    </row>
    <row r="196" spans="2:65" s="11" customFormat="1" ht="25.95" customHeight="1" x14ac:dyDescent="0.25">
      <c r="B196" s="106"/>
      <c r="D196" s="107" t="s">
        <v>57</v>
      </c>
      <c r="E196" s="108" t="s">
        <v>1234</v>
      </c>
      <c r="F196" s="108" t="s">
        <v>1235</v>
      </c>
      <c r="J196" s="109">
        <f>BK196</f>
        <v>2211.42</v>
      </c>
      <c r="L196" s="106"/>
      <c r="M196" s="110"/>
      <c r="N196" s="111"/>
      <c r="O196" s="111"/>
      <c r="P196" s="112">
        <f>P197+P198+P199+P213+P220</f>
        <v>0</v>
      </c>
      <c r="Q196" s="111"/>
      <c r="R196" s="112">
        <f>R197+R198+R199+R213+R220</f>
        <v>0</v>
      </c>
      <c r="S196" s="111"/>
      <c r="T196" s="113">
        <f>T197+T198+T199+T213+T220</f>
        <v>0</v>
      </c>
      <c r="W196" s="195"/>
      <c r="X196" s="111"/>
      <c r="Y196" s="196" t="s">
        <v>57</v>
      </c>
      <c r="Z196" s="197" t="s">
        <v>1234</v>
      </c>
      <c r="AA196" s="197" t="s">
        <v>1235</v>
      </c>
      <c r="AB196" s="111"/>
      <c r="AC196" s="111"/>
      <c r="AD196" s="111"/>
      <c r="AE196" s="198">
        <f>AE197+AE198+AE199+AE213+AE220+AE224</f>
        <v>4940.54</v>
      </c>
      <c r="AF196" s="291"/>
      <c r="AG196" s="292"/>
      <c r="AH196" s="567"/>
      <c r="AI196" s="567"/>
      <c r="AJ196" s="292"/>
      <c r="AK196" s="567"/>
      <c r="AL196" s="292"/>
      <c r="AM196" s="292"/>
      <c r="AR196" s="107" t="s">
        <v>76</v>
      </c>
      <c r="AT196" s="114" t="s">
        <v>57</v>
      </c>
      <c r="AU196" s="114" t="s">
        <v>58</v>
      </c>
      <c r="AY196" s="107" t="s">
        <v>228</v>
      </c>
      <c r="BK196" s="115">
        <f>BK197+BK198+BK199+BK213+BK220</f>
        <v>2211.42</v>
      </c>
    </row>
    <row r="197" spans="2:65" s="1" customFormat="1" ht="18" customHeight="1" x14ac:dyDescent="0.2">
      <c r="B197" s="118"/>
      <c r="C197" s="205" t="s">
        <v>262</v>
      </c>
      <c r="D197" s="119" t="s">
        <v>231</v>
      </c>
      <c r="E197" s="120" t="s">
        <v>1236</v>
      </c>
      <c r="F197" s="121" t="s">
        <v>1237</v>
      </c>
      <c r="G197" s="122" t="s">
        <v>1194</v>
      </c>
      <c r="H197" s="206">
        <v>12</v>
      </c>
      <c r="I197" s="124">
        <v>11.12</v>
      </c>
      <c r="J197" s="124">
        <f>ROUND(I197*H197,2)</f>
        <v>133.44</v>
      </c>
      <c r="K197" s="121" t="s">
        <v>1</v>
      </c>
      <c r="L197" s="24"/>
      <c r="M197" s="125" t="s">
        <v>1</v>
      </c>
      <c r="N197" s="126" t="s">
        <v>32</v>
      </c>
      <c r="O197" s="127">
        <v>0</v>
      </c>
      <c r="P197" s="127">
        <f>O197*H197</f>
        <v>0</v>
      </c>
      <c r="Q197" s="127">
        <v>0</v>
      </c>
      <c r="R197" s="127">
        <f>Q197*H197</f>
        <v>0</v>
      </c>
      <c r="S197" s="127">
        <v>0</v>
      </c>
      <c r="T197" s="128">
        <f>S197*H197</f>
        <v>0</v>
      </c>
      <c r="W197" s="199"/>
      <c r="X197" s="205" t="s">
        <v>262</v>
      </c>
      <c r="Y197" s="119" t="s">
        <v>231</v>
      </c>
      <c r="Z197" s="120" t="s">
        <v>1236</v>
      </c>
      <c r="AA197" s="121" t="s">
        <v>1237</v>
      </c>
      <c r="AB197" s="122" t="s">
        <v>1194</v>
      </c>
      <c r="AC197" s="206">
        <f>6+10</f>
        <v>16</v>
      </c>
      <c r="AD197" s="124">
        <v>11.12</v>
      </c>
      <c r="AE197" s="200">
        <f>ROUND(AD197*AC197,2)</f>
        <v>177.92</v>
      </c>
      <c r="AF197" s="956" t="s">
        <v>5452</v>
      </c>
      <c r="AG197" s="407"/>
      <c r="AH197" s="567"/>
      <c r="AI197" s="567"/>
      <c r="AJ197" s="407"/>
      <c r="AK197" s="567"/>
      <c r="AL197" s="407"/>
      <c r="AM197" s="407"/>
      <c r="AR197" s="129" t="s">
        <v>258</v>
      </c>
      <c r="AT197" s="129" t="s">
        <v>231</v>
      </c>
      <c r="AU197" s="129" t="s">
        <v>63</v>
      </c>
      <c r="AY197" s="13" t="s">
        <v>228</v>
      </c>
      <c r="BE197" s="130">
        <f>IF(N197="základná",J197,0)</f>
        <v>0</v>
      </c>
      <c r="BF197" s="130">
        <f>IF(N197="znížená",J197,0)</f>
        <v>133.44</v>
      </c>
      <c r="BG197" s="130">
        <f>IF(N197="zákl. prenesená",J197,0)</f>
        <v>0</v>
      </c>
      <c r="BH197" s="130">
        <f>IF(N197="zníž. prenesená",J197,0)</f>
        <v>0</v>
      </c>
      <c r="BI197" s="130">
        <f>IF(N197="nulová",J197,0)</f>
        <v>0</v>
      </c>
      <c r="BJ197" s="13" t="s">
        <v>76</v>
      </c>
      <c r="BK197" s="130">
        <f>ROUND(I197*H197,2)</f>
        <v>133.44</v>
      </c>
      <c r="BL197" s="13" t="s">
        <v>258</v>
      </c>
      <c r="BM197" s="129" t="s">
        <v>296</v>
      </c>
    </row>
    <row r="198" spans="2:65" s="1" customFormat="1" ht="18" customHeight="1" x14ac:dyDescent="0.2">
      <c r="B198" s="118"/>
      <c r="C198" s="205" t="s">
        <v>297</v>
      </c>
      <c r="D198" s="119" t="s">
        <v>231</v>
      </c>
      <c r="E198" s="120" t="s">
        <v>1238</v>
      </c>
      <c r="F198" s="121" t="s">
        <v>1239</v>
      </c>
      <c r="G198" s="122" t="s">
        <v>1194</v>
      </c>
      <c r="H198" s="206">
        <v>12</v>
      </c>
      <c r="I198" s="124">
        <v>0.99</v>
      </c>
      <c r="J198" s="124">
        <f>ROUND(I198*H198,2)</f>
        <v>11.88</v>
      </c>
      <c r="K198" s="121" t="s">
        <v>1</v>
      </c>
      <c r="L198" s="24"/>
      <c r="M198" s="125" t="s">
        <v>1</v>
      </c>
      <c r="N198" s="126" t="s">
        <v>32</v>
      </c>
      <c r="O198" s="127">
        <v>0</v>
      </c>
      <c r="P198" s="127">
        <f>O198*H198</f>
        <v>0</v>
      </c>
      <c r="Q198" s="127">
        <v>0</v>
      </c>
      <c r="R198" s="127">
        <f>Q198*H198</f>
        <v>0</v>
      </c>
      <c r="S198" s="127">
        <v>0</v>
      </c>
      <c r="T198" s="128">
        <f>S198*H198</f>
        <v>0</v>
      </c>
      <c r="W198" s="199"/>
      <c r="X198" s="205" t="s">
        <v>297</v>
      </c>
      <c r="Y198" s="119" t="s">
        <v>231</v>
      </c>
      <c r="Z198" s="120" t="s">
        <v>1238</v>
      </c>
      <c r="AA198" s="121" t="s">
        <v>1239</v>
      </c>
      <c r="AB198" s="122" t="s">
        <v>1194</v>
      </c>
      <c r="AC198" s="206">
        <f>6+10</f>
        <v>16</v>
      </c>
      <c r="AD198" s="124">
        <v>0.99</v>
      </c>
      <c r="AE198" s="200">
        <f>ROUND(AD198*AC198,2)</f>
        <v>15.84</v>
      </c>
      <c r="AF198" s="956" t="s">
        <v>5452</v>
      </c>
      <c r="AG198" s="407"/>
      <c r="AH198" s="567"/>
      <c r="AI198" s="567"/>
      <c r="AJ198" s="407"/>
      <c r="AK198" s="567"/>
      <c r="AL198" s="407"/>
      <c r="AM198" s="407"/>
      <c r="AR198" s="129" t="s">
        <v>258</v>
      </c>
      <c r="AT198" s="129" t="s">
        <v>231</v>
      </c>
      <c r="AU198" s="129" t="s">
        <v>63</v>
      </c>
      <c r="AY198" s="13" t="s">
        <v>228</v>
      </c>
      <c r="BE198" s="130">
        <f>IF(N198="základná",J198,0)</f>
        <v>0</v>
      </c>
      <c r="BF198" s="130">
        <f>IF(N198="znížená",J198,0)</f>
        <v>11.88</v>
      </c>
      <c r="BG198" s="130">
        <f>IF(N198="zákl. prenesená",J198,0)</f>
        <v>0</v>
      </c>
      <c r="BH198" s="130">
        <f>IF(N198="zníž. prenesená",J198,0)</f>
        <v>0</v>
      </c>
      <c r="BI198" s="130">
        <f>IF(N198="nulová",J198,0)</f>
        <v>0</v>
      </c>
      <c r="BJ198" s="13" t="s">
        <v>76</v>
      </c>
      <c r="BK198" s="130">
        <f>ROUND(I198*H198,2)</f>
        <v>11.88</v>
      </c>
      <c r="BL198" s="13" t="s">
        <v>258</v>
      </c>
      <c r="BM198" s="129" t="s">
        <v>300</v>
      </c>
    </row>
    <row r="199" spans="2:65" s="11" customFormat="1" ht="22.95" customHeight="1" x14ac:dyDescent="0.25">
      <c r="B199" s="106"/>
      <c r="D199" s="107" t="s">
        <v>57</v>
      </c>
      <c r="E199" s="116" t="s">
        <v>1240</v>
      </c>
      <c r="F199" s="116" t="s">
        <v>1241</v>
      </c>
      <c r="J199" s="117">
        <f>BK199</f>
        <v>45.230000000000004</v>
      </c>
      <c r="L199" s="106"/>
      <c r="M199" s="110"/>
      <c r="N199" s="111"/>
      <c r="O199" s="111"/>
      <c r="P199" s="112">
        <f>SUM(P201:P210)</f>
        <v>0</v>
      </c>
      <c r="Q199" s="111"/>
      <c r="R199" s="112">
        <f>SUM(R201:R210)</f>
        <v>0</v>
      </c>
      <c r="S199" s="111"/>
      <c r="T199" s="113">
        <f>SUM(T201:T210)</f>
        <v>0</v>
      </c>
      <c r="W199" s="195"/>
      <c r="X199" s="111"/>
      <c r="Y199" s="196" t="s">
        <v>57</v>
      </c>
      <c r="Z199" s="201" t="s">
        <v>1240</v>
      </c>
      <c r="AA199" s="201" t="s">
        <v>1241</v>
      </c>
      <c r="AB199" s="111"/>
      <c r="AC199" s="111"/>
      <c r="AD199" s="111"/>
      <c r="AE199" s="202">
        <f>SUM(AE200:AE212)</f>
        <v>428.42000000000007</v>
      </c>
      <c r="AF199" s="291"/>
      <c r="AG199" s="292"/>
      <c r="AH199" s="567"/>
      <c r="AI199" s="567"/>
      <c r="AJ199" s="292"/>
      <c r="AK199" s="567"/>
      <c r="AL199" s="292"/>
      <c r="AM199" s="292"/>
      <c r="AR199" s="107" t="s">
        <v>76</v>
      </c>
      <c r="AT199" s="114" t="s">
        <v>57</v>
      </c>
      <c r="AU199" s="114" t="s">
        <v>63</v>
      </c>
      <c r="AY199" s="107" t="s">
        <v>228</v>
      </c>
      <c r="BK199" s="115">
        <f>SUM(BK201:BK210)</f>
        <v>45.230000000000004</v>
      </c>
    </row>
    <row r="200" spans="2:65" s="11" customFormat="1" ht="18" customHeight="1" x14ac:dyDescent="0.2">
      <c r="B200" s="106"/>
      <c r="C200" s="1234" t="s">
        <v>5205</v>
      </c>
      <c r="D200" s="1235"/>
      <c r="E200" s="1235"/>
      <c r="F200" s="1235"/>
      <c r="G200" s="1235"/>
      <c r="H200" s="1235"/>
      <c r="I200" s="1235"/>
      <c r="J200" s="1236"/>
      <c r="L200" s="106"/>
      <c r="M200" s="110"/>
      <c r="N200" s="111"/>
      <c r="O200" s="111"/>
      <c r="P200" s="112"/>
      <c r="Q200" s="111"/>
      <c r="R200" s="112"/>
      <c r="S200" s="111"/>
      <c r="T200" s="113"/>
      <c r="W200" s="195"/>
      <c r="X200" s="207" t="s">
        <v>5208</v>
      </c>
      <c r="Y200" s="207" t="s">
        <v>231</v>
      </c>
      <c r="Z200" s="208" t="s">
        <v>5206</v>
      </c>
      <c r="AA200" s="209" t="s">
        <v>5207</v>
      </c>
      <c r="AB200" s="210" t="s">
        <v>1194</v>
      </c>
      <c r="AC200" s="211">
        <v>1</v>
      </c>
      <c r="AD200" s="212">
        <v>2.87</v>
      </c>
      <c r="AE200" s="214">
        <f t="shared" ref="AE200:AE212" si="5">ROUND(AD200*AC200,2)</f>
        <v>2.87</v>
      </c>
      <c r="AF200" s="956">
        <v>7</v>
      </c>
      <c r="AG200" s="292"/>
      <c r="AH200" s="567"/>
      <c r="AI200" s="567"/>
      <c r="AJ200" s="292"/>
      <c r="AK200" s="567"/>
      <c r="AL200" s="292"/>
      <c r="AM200" s="292"/>
      <c r="AR200" s="107"/>
      <c r="AT200" s="114"/>
      <c r="AU200" s="114"/>
      <c r="AY200" s="107"/>
      <c r="BK200" s="115"/>
    </row>
    <row r="201" spans="2:65" s="1" customFormat="1" ht="18" customHeight="1" x14ac:dyDescent="0.2">
      <c r="B201" s="118"/>
      <c r="C201" s="205" t="s">
        <v>7</v>
      </c>
      <c r="D201" s="119" t="s">
        <v>231</v>
      </c>
      <c r="E201" s="120" t="s">
        <v>1242</v>
      </c>
      <c r="F201" s="121" t="s">
        <v>1204</v>
      </c>
      <c r="G201" s="122" t="s">
        <v>1194</v>
      </c>
      <c r="H201" s="206">
        <v>3</v>
      </c>
      <c r="I201" s="124">
        <v>2.87</v>
      </c>
      <c r="J201" s="124">
        <f>ROUND(I201*H201,2)</f>
        <v>8.61</v>
      </c>
      <c r="K201" s="121" t="s">
        <v>1</v>
      </c>
      <c r="L201" s="24"/>
      <c r="M201" s="125" t="s">
        <v>1</v>
      </c>
      <c r="N201" s="126" t="s">
        <v>32</v>
      </c>
      <c r="O201" s="127">
        <v>0</v>
      </c>
      <c r="P201" s="127">
        <f>O201*H201</f>
        <v>0</v>
      </c>
      <c r="Q201" s="127">
        <v>0</v>
      </c>
      <c r="R201" s="127">
        <f>Q201*H201</f>
        <v>0</v>
      </c>
      <c r="S201" s="127">
        <v>0</v>
      </c>
      <c r="T201" s="128">
        <f>S201*H201</f>
        <v>0</v>
      </c>
      <c r="W201" s="199"/>
      <c r="X201" s="205" t="s">
        <v>7</v>
      </c>
      <c r="Y201" s="119" t="s">
        <v>231</v>
      </c>
      <c r="Z201" s="120" t="s">
        <v>1242</v>
      </c>
      <c r="AA201" s="121" t="s">
        <v>1204</v>
      </c>
      <c r="AB201" s="122" t="s">
        <v>1194</v>
      </c>
      <c r="AC201" s="206">
        <f>2+4+22+16</f>
        <v>44</v>
      </c>
      <c r="AD201" s="124">
        <v>2.87</v>
      </c>
      <c r="AE201" s="200">
        <f t="shared" si="5"/>
        <v>126.28</v>
      </c>
      <c r="AF201" s="956" t="s">
        <v>6685</v>
      </c>
      <c r="AG201" s="407"/>
      <c r="AH201" s="567"/>
      <c r="AI201" s="567"/>
      <c r="AJ201" s="407"/>
      <c r="AK201" s="567"/>
      <c r="AL201" s="407"/>
      <c r="AM201" s="407"/>
      <c r="AR201" s="129" t="s">
        <v>258</v>
      </c>
      <c r="AT201" s="129" t="s">
        <v>231</v>
      </c>
      <c r="AU201" s="129" t="s">
        <v>76</v>
      </c>
      <c r="AY201" s="13" t="s">
        <v>228</v>
      </c>
      <c r="BE201" s="130">
        <f>IF(N201="základná",J201,0)</f>
        <v>0</v>
      </c>
      <c r="BF201" s="130">
        <f>IF(N201="znížená",J201,0)</f>
        <v>8.61</v>
      </c>
      <c r="BG201" s="130">
        <f>IF(N201="zákl. prenesená",J201,0)</f>
        <v>0</v>
      </c>
      <c r="BH201" s="130">
        <f>IF(N201="zníž. prenesená",J201,0)</f>
        <v>0</v>
      </c>
      <c r="BI201" s="130">
        <f>IF(N201="nulová",J201,0)</f>
        <v>0</v>
      </c>
      <c r="BJ201" s="13" t="s">
        <v>76</v>
      </c>
      <c r="BK201" s="130">
        <f>ROUND(I201*H201,2)</f>
        <v>8.61</v>
      </c>
      <c r="BL201" s="13" t="s">
        <v>258</v>
      </c>
      <c r="BM201" s="129" t="s">
        <v>303</v>
      </c>
    </row>
    <row r="202" spans="2:65" s="1" customFormat="1" ht="18" customHeight="1" x14ac:dyDescent="0.2">
      <c r="B202" s="118"/>
      <c r="C202" s="205" t="s">
        <v>305</v>
      </c>
      <c r="D202" s="119" t="s">
        <v>231</v>
      </c>
      <c r="E202" s="120" t="s">
        <v>1243</v>
      </c>
      <c r="F202" s="121" t="s">
        <v>1206</v>
      </c>
      <c r="G202" s="122" t="s">
        <v>1194</v>
      </c>
      <c r="H202" s="206">
        <v>2</v>
      </c>
      <c r="I202" s="124">
        <v>4.08</v>
      </c>
      <c r="J202" s="124">
        <f>ROUND(I202*H202,2)</f>
        <v>8.16</v>
      </c>
      <c r="K202" s="121" t="s">
        <v>1</v>
      </c>
      <c r="L202" s="24"/>
      <c r="M202" s="125" t="s">
        <v>1</v>
      </c>
      <c r="N202" s="126" t="s">
        <v>32</v>
      </c>
      <c r="O202" s="127">
        <v>0</v>
      </c>
      <c r="P202" s="127">
        <f>O202*H202</f>
        <v>0</v>
      </c>
      <c r="Q202" s="127">
        <v>0</v>
      </c>
      <c r="R202" s="127">
        <f>Q202*H202</f>
        <v>0</v>
      </c>
      <c r="S202" s="127">
        <v>0</v>
      </c>
      <c r="T202" s="128">
        <f>S202*H202</f>
        <v>0</v>
      </c>
      <c r="W202" s="199"/>
      <c r="X202" s="205" t="s">
        <v>305</v>
      </c>
      <c r="Y202" s="119" t="s">
        <v>231</v>
      </c>
      <c r="Z202" s="120" t="s">
        <v>1243</v>
      </c>
      <c r="AA202" s="121" t="s">
        <v>1206</v>
      </c>
      <c r="AB202" s="122" t="s">
        <v>1194</v>
      </c>
      <c r="AC202" s="206">
        <f>2+10</f>
        <v>12</v>
      </c>
      <c r="AD202" s="124">
        <v>4.08</v>
      </c>
      <c r="AE202" s="200">
        <f t="shared" si="5"/>
        <v>48.96</v>
      </c>
      <c r="AF202" s="956" t="s">
        <v>5452</v>
      </c>
      <c r="AG202" s="407"/>
      <c r="AH202" s="567"/>
      <c r="AI202" s="567"/>
      <c r="AJ202" s="407"/>
      <c r="AK202" s="567"/>
      <c r="AL202" s="407"/>
      <c r="AM202" s="407"/>
      <c r="AR202" s="129" t="s">
        <v>258</v>
      </c>
      <c r="AT202" s="129" t="s">
        <v>231</v>
      </c>
      <c r="AU202" s="129" t="s">
        <v>76</v>
      </c>
      <c r="AY202" s="13" t="s">
        <v>228</v>
      </c>
      <c r="BE202" s="130">
        <f>IF(N202="základná",J202,0)</f>
        <v>0</v>
      </c>
      <c r="BF202" s="130">
        <f>IF(N202="znížená",J202,0)</f>
        <v>8.16</v>
      </c>
      <c r="BG202" s="130">
        <f>IF(N202="zákl. prenesená",J202,0)</f>
        <v>0</v>
      </c>
      <c r="BH202" s="130">
        <f>IF(N202="zníž. prenesená",J202,0)</f>
        <v>0</v>
      </c>
      <c r="BI202" s="130">
        <f>IF(N202="nulová",J202,0)</f>
        <v>0</v>
      </c>
      <c r="BJ202" s="13" t="s">
        <v>76</v>
      </c>
      <c r="BK202" s="130">
        <f>ROUND(I202*H202,2)</f>
        <v>8.16</v>
      </c>
      <c r="BL202" s="13" t="s">
        <v>258</v>
      </c>
      <c r="BM202" s="129" t="s">
        <v>308</v>
      </c>
    </row>
    <row r="203" spans="2:65" s="260" customFormat="1" ht="18" customHeight="1" x14ac:dyDescent="0.2">
      <c r="B203" s="118"/>
      <c r="C203" s="1234" t="s">
        <v>5205</v>
      </c>
      <c r="D203" s="1235"/>
      <c r="E203" s="1235"/>
      <c r="F203" s="1235"/>
      <c r="G203" s="1235"/>
      <c r="H203" s="1235"/>
      <c r="I203" s="1235"/>
      <c r="J203" s="1236"/>
      <c r="K203" s="121"/>
      <c r="L203" s="24"/>
      <c r="M203" s="125"/>
      <c r="N203" s="126"/>
      <c r="O203" s="127"/>
      <c r="P203" s="127"/>
      <c r="Q203" s="127"/>
      <c r="R203" s="127"/>
      <c r="S203" s="127"/>
      <c r="T203" s="128"/>
      <c r="W203" s="199"/>
      <c r="X203" s="207" t="s">
        <v>5351</v>
      </c>
      <c r="Y203" s="207" t="s">
        <v>231</v>
      </c>
      <c r="Z203" s="208" t="s">
        <v>4514</v>
      </c>
      <c r="AA203" s="209" t="s">
        <v>1208</v>
      </c>
      <c r="AB203" s="210" t="s">
        <v>1194</v>
      </c>
      <c r="AC203" s="211">
        <v>8</v>
      </c>
      <c r="AD203" s="212">
        <v>4.32</v>
      </c>
      <c r="AE203" s="214">
        <f>ROUND(AD203*AC203,2)</f>
        <v>34.56</v>
      </c>
      <c r="AF203" s="956">
        <v>10</v>
      </c>
      <c r="AG203" s="407"/>
      <c r="AH203" s="567"/>
      <c r="AI203" s="567"/>
      <c r="AJ203" s="407"/>
      <c r="AK203" s="567"/>
      <c r="AL203" s="407"/>
      <c r="AM203" s="407"/>
      <c r="AR203" s="129"/>
      <c r="AT203" s="129"/>
      <c r="AU203" s="129"/>
      <c r="AY203" s="13"/>
      <c r="BE203" s="130"/>
      <c r="BF203" s="130"/>
      <c r="BG203" s="130"/>
      <c r="BH203" s="130"/>
      <c r="BI203" s="130"/>
      <c r="BJ203" s="13"/>
      <c r="BK203" s="130"/>
      <c r="BL203" s="13"/>
      <c r="BM203" s="129"/>
    </row>
    <row r="204" spans="2:65" s="1" customFormat="1" ht="18" customHeight="1" x14ac:dyDescent="0.2">
      <c r="B204" s="118"/>
      <c r="C204" s="205" t="s">
        <v>268</v>
      </c>
      <c r="D204" s="119" t="s">
        <v>231</v>
      </c>
      <c r="E204" s="120" t="s">
        <v>1244</v>
      </c>
      <c r="F204" s="121" t="s">
        <v>1210</v>
      </c>
      <c r="G204" s="122" t="s">
        <v>1194</v>
      </c>
      <c r="H204" s="206">
        <v>2</v>
      </c>
      <c r="I204" s="124">
        <v>4.6100000000000003</v>
      </c>
      <c r="J204" s="124">
        <f>ROUND(I204*H204,2)</f>
        <v>9.2200000000000006</v>
      </c>
      <c r="K204" s="121" t="s">
        <v>1</v>
      </c>
      <c r="L204" s="24"/>
      <c r="M204" s="125" t="s">
        <v>1</v>
      </c>
      <c r="N204" s="126" t="s">
        <v>32</v>
      </c>
      <c r="O204" s="127">
        <v>0</v>
      </c>
      <c r="P204" s="127">
        <f>O204*H204</f>
        <v>0</v>
      </c>
      <c r="Q204" s="127">
        <v>0</v>
      </c>
      <c r="R204" s="127">
        <f>Q204*H204</f>
        <v>0</v>
      </c>
      <c r="S204" s="127">
        <v>0</v>
      </c>
      <c r="T204" s="128">
        <f>S204*H204</f>
        <v>0</v>
      </c>
      <c r="W204" s="199"/>
      <c r="X204" s="205" t="s">
        <v>268</v>
      </c>
      <c r="Y204" s="119" t="s">
        <v>231</v>
      </c>
      <c r="Z204" s="120" t="s">
        <v>1244</v>
      </c>
      <c r="AA204" s="121" t="s">
        <v>1210</v>
      </c>
      <c r="AB204" s="122" t="s">
        <v>1194</v>
      </c>
      <c r="AC204" s="206">
        <v>0</v>
      </c>
      <c r="AD204" s="124">
        <v>4.6100000000000003</v>
      </c>
      <c r="AE204" s="200">
        <f t="shared" si="5"/>
        <v>0</v>
      </c>
      <c r="AF204" s="956">
        <v>7</v>
      </c>
      <c r="AG204" s="407"/>
      <c r="AH204" s="567"/>
      <c r="AI204" s="567"/>
      <c r="AJ204" s="407"/>
      <c r="AK204" s="567"/>
      <c r="AL204" s="407"/>
      <c r="AM204" s="407"/>
      <c r="AR204" s="129" t="s">
        <v>258</v>
      </c>
      <c r="AT204" s="129" t="s">
        <v>231</v>
      </c>
      <c r="AU204" s="129" t="s">
        <v>76</v>
      </c>
      <c r="AY204" s="13" t="s">
        <v>228</v>
      </c>
      <c r="BE204" s="130">
        <f>IF(N204="základná",J204,0)</f>
        <v>0</v>
      </c>
      <c r="BF204" s="130">
        <f>IF(N204="znížená",J204,0)</f>
        <v>9.2200000000000006</v>
      </c>
      <c r="BG204" s="130">
        <f>IF(N204="zákl. prenesená",J204,0)</f>
        <v>0</v>
      </c>
      <c r="BH204" s="130">
        <f>IF(N204="zníž. prenesená",J204,0)</f>
        <v>0</v>
      </c>
      <c r="BI204" s="130">
        <f>IF(N204="nulová",J204,0)</f>
        <v>0</v>
      </c>
      <c r="BJ204" s="13" t="s">
        <v>76</v>
      </c>
      <c r="BK204" s="130">
        <f>ROUND(I204*H204,2)</f>
        <v>9.2200000000000006</v>
      </c>
      <c r="BL204" s="13" t="s">
        <v>258</v>
      </c>
      <c r="BM204" s="129" t="s">
        <v>312</v>
      </c>
    </row>
    <row r="205" spans="2:65" s="260" customFormat="1" ht="18" customHeight="1" x14ac:dyDescent="0.2">
      <c r="B205" s="118"/>
      <c r="C205" s="1234" t="s">
        <v>5205</v>
      </c>
      <c r="D205" s="1235"/>
      <c r="E205" s="1235"/>
      <c r="F205" s="1235"/>
      <c r="G205" s="1235"/>
      <c r="H205" s="1235"/>
      <c r="I205" s="1235"/>
      <c r="J205" s="1236"/>
      <c r="K205" s="121"/>
      <c r="L205" s="24"/>
      <c r="M205" s="125"/>
      <c r="N205" s="126"/>
      <c r="O205" s="127"/>
      <c r="P205" s="127"/>
      <c r="Q205" s="127"/>
      <c r="R205" s="127"/>
      <c r="S205" s="127"/>
      <c r="T205" s="128"/>
      <c r="W205" s="199"/>
      <c r="X205" s="207" t="s">
        <v>5483</v>
      </c>
      <c r="Y205" s="207" t="s">
        <v>231</v>
      </c>
      <c r="Z205" s="208" t="s">
        <v>5374</v>
      </c>
      <c r="AA205" s="209" t="s">
        <v>3599</v>
      </c>
      <c r="AB205" s="210" t="s">
        <v>1194</v>
      </c>
      <c r="AC205" s="211">
        <v>1</v>
      </c>
      <c r="AD205" s="212">
        <v>4.6100000000000003</v>
      </c>
      <c r="AE205" s="214">
        <f>ROUND(AD205*AC205,2)</f>
        <v>4.6100000000000003</v>
      </c>
      <c r="AF205" s="956">
        <v>10</v>
      </c>
      <c r="AG205" s="407"/>
      <c r="AH205" s="567"/>
      <c r="AI205" s="567"/>
      <c r="AJ205" s="407"/>
      <c r="AK205" s="567"/>
      <c r="AL205" s="407"/>
      <c r="AM205" s="407"/>
      <c r="AR205" s="129"/>
      <c r="AT205" s="129"/>
      <c r="AU205" s="129"/>
      <c r="AY205" s="13"/>
      <c r="BE205" s="130"/>
      <c r="BF205" s="130"/>
      <c r="BG205" s="130"/>
      <c r="BH205" s="130"/>
      <c r="BI205" s="130"/>
      <c r="BJ205" s="13"/>
      <c r="BK205" s="130"/>
      <c r="BL205" s="13"/>
      <c r="BM205" s="129"/>
    </row>
    <row r="206" spans="2:65" s="260" customFormat="1" ht="18" customHeight="1" x14ac:dyDescent="0.2">
      <c r="B206" s="118"/>
      <c r="C206" s="1234" t="s">
        <v>5205</v>
      </c>
      <c r="D206" s="1235"/>
      <c r="E206" s="1235"/>
      <c r="F206" s="1235"/>
      <c r="G206" s="1235"/>
      <c r="H206" s="1235"/>
      <c r="I206" s="1235"/>
      <c r="J206" s="1236"/>
      <c r="K206" s="121"/>
      <c r="L206" s="24"/>
      <c r="M206" s="125"/>
      <c r="N206" s="126"/>
      <c r="O206" s="127"/>
      <c r="P206" s="127"/>
      <c r="Q206" s="127"/>
      <c r="R206" s="127"/>
      <c r="S206" s="127"/>
      <c r="T206" s="128"/>
      <c r="W206" s="199"/>
      <c r="X206" s="207" t="s">
        <v>5484</v>
      </c>
      <c r="Y206" s="207" t="s">
        <v>231</v>
      </c>
      <c r="Z206" s="208" t="s">
        <v>5238</v>
      </c>
      <c r="AA206" s="209" t="s">
        <v>5239</v>
      </c>
      <c r="AB206" s="210" t="s">
        <v>1194</v>
      </c>
      <c r="AC206" s="211">
        <v>1</v>
      </c>
      <c r="AD206" s="212">
        <v>5.8</v>
      </c>
      <c r="AE206" s="214">
        <f>ROUND(AD206*AC206,2)</f>
        <v>5.8</v>
      </c>
      <c r="AF206" s="956">
        <v>10</v>
      </c>
      <c r="AG206" s="407"/>
      <c r="AH206" s="567"/>
      <c r="AI206" s="567"/>
      <c r="AJ206" s="407"/>
      <c r="AK206" s="567"/>
      <c r="AL206" s="407"/>
      <c r="AM206" s="407"/>
      <c r="AR206" s="129"/>
      <c r="AT206" s="129"/>
      <c r="AU206" s="129"/>
      <c r="AY206" s="13"/>
      <c r="BE206" s="130"/>
      <c r="BF206" s="130"/>
      <c r="BG206" s="130"/>
      <c r="BH206" s="130"/>
      <c r="BI206" s="130"/>
      <c r="BJ206" s="13"/>
      <c r="BK206" s="130"/>
      <c r="BL206" s="13"/>
      <c r="BM206" s="129"/>
    </row>
    <row r="207" spans="2:65" s="260" customFormat="1" ht="18" customHeight="1" x14ac:dyDescent="0.2">
      <c r="B207" s="118"/>
      <c r="C207" s="1234" t="s">
        <v>5205</v>
      </c>
      <c r="D207" s="1235"/>
      <c r="E207" s="1235"/>
      <c r="F207" s="1235"/>
      <c r="G207" s="1235"/>
      <c r="H207" s="1235"/>
      <c r="I207" s="1235"/>
      <c r="J207" s="1236"/>
      <c r="K207" s="121"/>
      <c r="L207" s="24"/>
      <c r="M207" s="125"/>
      <c r="N207" s="126"/>
      <c r="O207" s="127"/>
      <c r="P207" s="127"/>
      <c r="Q207" s="127"/>
      <c r="R207" s="127"/>
      <c r="S207" s="127"/>
      <c r="T207" s="128"/>
      <c r="W207" s="199"/>
      <c r="X207" s="207" t="s">
        <v>5486</v>
      </c>
      <c r="Y207" s="207" t="s">
        <v>231</v>
      </c>
      <c r="Z207" s="208" t="s">
        <v>5485</v>
      </c>
      <c r="AA207" s="209" t="s">
        <v>5487</v>
      </c>
      <c r="AB207" s="210" t="s">
        <v>1194</v>
      </c>
      <c r="AC207" s="211">
        <v>2</v>
      </c>
      <c r="AD207" s="212">
        <v>6.1</v>
      </c>
      <c r="AE207" s="214">
        <f>ROUND(AD207*AC207,2)</f>
        <v>12.2</v>
      </c>
      <c r="AF207" s="956">
        <v>10</v>
      </c>
      <c r="AG207" s="407"/>
      <c r="AH207" s="567"/>
      <c r="AI207" s="567"/>
      <c r="AJ207" s="407"/>
      <c r="AK207" s="567"/>
      <c r="AL207" s="407"/>
      <c r="AM207" s="407"/>
      <c r="AR207" s="129"/>
      <c r="AT207" s="129"/>
      <c r="AU207" s="129"/>
      <c r="AY207" s="13"/>
      <c r="BE207" s="130"/>
      <c r="BF207" s="130"/>
      <c r="BG207" s="130"/>
      <c r="BH207" s="130"/>
      <c r="BI207" s="130"/>
      <c r="BJ207" s="13"/>
      <c r="BK207" s="130"/>
      <c r="BL207" s="13"/>
      <c r="BM207" s="129"/>
    </row>
    <row r="208" spans="2:65" s="1" customFormat="1" ht="18" customHeight="1" x14ac:dyDescent="0.2">
      <c r="B208" s="118"/>
      <c r="C208" s="1234" t="s">
        <v>5205</v>
      </c>
      <c r="D208" s="1235"/>
      <c r="E208" s="1235"/>
      <c r="F208" s="1235"/>
      <c r="G208" s="1235"/>
      <c r="H208" s="1235"/>
      <c r="I208" s="1235"/>
      <c r="J208" s="1236"/>
      <c r="K208" s="121"/>
      <c r="L208" s="24"/>
      <c r="M208" s="125"/>
      <c r="N208" s="126"/>
      <c r="O208" s="127"/>
      <c r="P208" s="127"/>
      <c r="Q208" s="127"/>
      <c r="R208" s="127"/>
      <c r="S208" s="127"/>
      <c r="T208" s="128"/>
      <c r="W208" s="199"/>
      <c r="X208" s="215" t="s">
        <v>5209</v>
      </c>
      <c r="Y208" s="215" t="s">
        <v>231</v>
      </c>
      <c r="Z208" s="216" t="s">
        <v>5212</v>
      </c>
      <c r="AA208" s="217" t="s">
        <v>5210</v>
      </c>
      <c r="AB208" s="218" t="s">
        <v>1194</v>
      </c>
      <c r="AC208" s="219">
        <f>1+1</f>
        <v>2</v>
      </c>
      <c r="AD208" s="220">
        <v>11.47</v>
      </c>
      <c r="AE208" s="221">
        <f t="shared" si="5"/>
        <v>22.94</v>
      </c>
      <c r="AF208" s="956" t="s">
        <v>5452</v>
      </c>
      <c r="AG208" s="407"/>
      <c r="AH208" s="567"/>
      <c r="AI208" s="567"/>
      <c r="AJ208" s="407"/>
      <c r="AK208" s="567"/>
      <c r="AL208" s="407"/>
      <c r="AM208" s="407"/>
      <c r="AR208" s="129"/>
      <c r="AT208" s="129"/>
      <c r="AU208" s="129"/>
      <c r="AY208" s="13"/>
      <c r="BE208" s="130"/>
      <c r="BF208" s="130"/>
      <c r="BG208" s="130"/>
      <c r="BH208" s="130"/>
      <c r="BI208" s="130"/>
      <c r="BJ208" s="13"/>
      <c r="BK208" s="130"/>
      <c r="BL208" s="13"/>
      <c r="BM208" s="129"/>
    </row>
    <row r="209" spans="2:65" s="260" customFormat="1" ht="18" customHeight="1" x14ac:dyDescent="0.2">
      <c r="B209" s="118"/>
      <c r="C209" s="261"/>
      <c r="D209" s="262"/>
      <c r="E209" s="262"/>
      <c r="F209" s="262"/>
      <c r="G209" s="262"/>
      <c r="H209" s="262"/>
      <c r="I209" s="262"/>
      <c r="J209" s="263"/>
      <c r="K209" s="121"/>
      <c r="L209" s="24"/>
      <c r="M209" s="125"/>
      <c r="N209" s="126"/>
      <c r="O209" s="127"/>
      <c r="P209" s="127"/>
      <c r="Q209" s="127"/>
      <c r="R209" s="127"/>
      <c r="S209" s="127"/>
      <c r="T209" s="128"/>
      <c r="W209" s="199"/>
      <c r="X209" s="207" t="s">
        <v>5211</v>
      </c>
      <c r="Y209" s="207" t="s">
        <v>231</v>
      </c>
      <c r="Z209" s="208" t="s">
        <v>5488</v>
      </c>
      <c r="AA209" s="209" t="s">
        <v>5489</v>
      </c>
      <c r="AB209" s="210" t="s">
        <v>1194</v>
      </c>
      <c r="AC209" s="211">
        <v>8</v>
      </c>
      <c r="AD209" s="212">
        <v>13.2</v>
      </c>
      <c r="AE209" s="214">
        <f>ROUND(AD209*AC209,2)</f>
        <v>105.6</v>
      </c>
      <c r="AF209" s="956">
        <v>10</v>
      </c>
      <c r="AG209" s="407"/>
      <c r="AH209" s="567"/>
      <c r="AI209" s="567"/>
      <c r="AJ209" s="407"/>
      <c r="AK209" s="567"/>
      <c r="AL209" s="407"/>
      <c r="AM209" s="407"/>
      <c r="AR209" s="129"/>
      <c r="AT209" s="129"/>
      <c r="AU209" s="129"/>
      <c r="AY209" s="13"/>
      <c r="BE209" s="130"/>
      <c r="BF209" s="130"/>
      <c r="BG209" s="130"/>
      <c r="BH209" s="130"/>
      <c r="BI209" s="130"/>
      <c r="BJ209" s="13"/>
      <c r="BK209" s="130"/>
      <c r="BL209" s="13"/>
      <c r="BM209" s="129"/>
    </row>
    <row r="210" spans="2:65" s="1" customFormat="1" ht="18" customHeight="1" x14ac:dyDescent="0.2">
      <c r="B210" s="118"/>
      <c r="C210" s="119" t="s">
        <v>313</v>
      </c>
      <c r="D210" s="119" t="s">
        <v>231</v>
      </c>
      <c r="E210" s="120" t="s">
        <v>1245</v>
      </c>
      <c r="F210" s="121" t="s">
        <v>1246</v>
      </c>
      <c r="G210" s="122" t="s">
        <v>1194</v>
      </c>
      <c r="H210" s="123">
        <v>1</v>
      </c>
      <c r="I210" s="124">
        <v>19.239999999999998</v>
      </c>
      <c r="J210" s="124">
        <f>ROUND(I210*H210,2)</f>
        <v>19.239999999999998</v>
      </c>
      <c r="K210" s="121" t="s">
        <v>1</v>
      </c>
      <c r="L210" s="24"/>
      <c r="M210" s="125" t="s">
        <v>1</v>
      </c>
      <c r="N210" s="126" t="s">
        <v>32</v>
      </c>
      <c r="O210" s="127">
        <v>0</v>
      </c>
      <c r="P210" s="127">
        <f>O210*H210</f>
        <v>0</v>
      </c>
      <c r="Q210" s="127">
        <v>0</v>
      </c>
      <c r="R210" s="127">
        <f>Q210*H210</f>
        <v>0</v>
      </c>
      <c r="S210" s="127">
        <v>0</v>
      </c>
      <c r="T210" s="128">
        <f>S210*H210</f>
        <v>0</v>
      </c>
      <c r="W210" s="199"/>
      <c r="X210" s="119" t="s">
        <v>313</v>
      </c>
      <c r="Y210" s="119" t="s">
        <v>231</v>
      </c>
      <c r="Z210" s="120" t="s">
        <v>1245</v>
      </c>
      <c r="AA210" s="121" t="s">
        <v>1246</v>
      </c>
      <c r="AB210" s="122" t="s">
        <v>1194</v>
      </c>
      <c r="AC210" s="123">
        <v>0</v>
      </c>
      <c r="AD210" s="124">
        <v>19.239999999999998</v>
      </c>
      <c r="AE210" s="200">
        <f t="shared" si="5"/>
        <v>0</v>
      </c>
      <c r="AF210" s="956">
        <v>7</v>
      </c>
      <c r="AG210" s="407"/>
      <c r="AH210" s="567"/>
      <c r="AI210" s="567"/>
      <c r="AJ210" s="407"/>
      <c r="AK210" s="567"/>
      <c r="AL210" s="407"/>
      <c r="AM210" s="407"/>
      <c r="AR210" s="129" t="s">
        <v>258</v>
      </c>
      <c r="AT210" s="129" t="s">
        <v>231</v>
      </c>
      <c r="AU210" s="129" t="s">
        <v>76</v>
      </c>
      <c r="AY210" s="13" t="s">
        <v>228</v>
      </c>
      <c r="BE210" s="130">
        <f>IF(N210="základná",J210,0)</f>
        <v>0</v>
      </c>
      <c r="BF210" s="130">
        <f>IF(N210="znížená",J210,0)</f>
        <v>19.239999999999998</v>
      </c>
      <c r="BG210" s="130">
        <f>IF(N210="zákl. prenesená",J210,0)</f>
        <v>0</v>
      </c>
      <c r="BH210" s="130">
        <f>IF(N210="zníž. prenesená",J210,0)</f>
        <v>0</v>
      </c>
      <c r="BI210" s="130">
        <f>IF(N210="nulová",J210,0)</f>
        <v>0</v>
      </c>
      <c r="BJ210" s="13" t="s">
        <v>76</v>
      </c>
      <c r="BK210" s="130">
        <f>ROUND(I210*H210,2)</f>
        <v>19.239999999999998</v>
      </c>
      <c r="BL210" s="13" t="s">
        <v>258</v>
      </c>
      <c r="BM210" s="129" t="s">
        <v>316</v>
      </c>
    </row>
    <row r="211" spans="2:65" s="260" customFormat="1" ht="18" customHeight="1" x14ac:dyDescent="0.2">
      <c r="B211" s="118"/>
      <c r="C211" s="1234" t="s">
        <v>5205</v>
      </c>
      <c r="D211" s="1235"/>
      <c r="E211" s="1235"/>
      <c r="F211" s="1235"/>
      <c r="G211" s="1235"/>
      <c r="H211" s="1235"/>
      <c r="I211" s="1235"/>
      <c r="J211" s="1236"/>
      <c r="K211" s="222"/>
      <c r="L211" s="24"/>
      <c r="M211" s="125"/>
      <c r="N211" s="126"/>
      <c r="O211" s="127"/>
      <c r="P211" s="127"/>
      <c r="Q211" s="127"/>
      <c r="R211" s="127"/>
      <c r="S211" s="127"/>
      <c r="T211" s="128"/>
      <c r="W211" s="199"/>
      <c r="X211" s="207" t="s">
        <v>5493</v>
      </c>
      <c r="Y211" s="207" t="s">
        <v>231</v>
      </c>
      <c r="Z211" s="208" t="s">
        <v>5491</v>
      </c>
      <c r="AA211" s="209" t="s">
        <v>5492</v>
      </c>
      <c r="AB211" s="210" t="s">
        <v>1194</v>
      </c>
      <c r="AC211" s="211">
        <v>1</v>
      </c>
      <c r="AD211" s="212">
        <v>20.5</v>
      </c>
      <c r="AE211" s="214">
        <f>ROUND(AD211*AC211,2)</f>
        <v>20.5</v>
      </c>
      <c r="AF211" s="956">
        <v>10</v>
      </c>
      <c r="AG211" s="407"/>
      <c r="AH211" s="567"/>
      <c r="AI211" s="567"/>
      <c r="AJ211" s="407"/>
      <c r="AK211" s="567"/>
      <c r="AL211" s="407"/>
      <c r="AM211" s="407"/>
      <c r="AR211" s="129"/>
      <c r="AT211" s="129"/>
      <c r="AU211" s="129"/>
      <c r="AY211" s="13"/>
      <c r="BE211" s="130"/>
      <c r="BF211" s="130"/>
      <c r="BG211" s="130"/>
      <c r="BH211" s="130"/>
      <c r="BI211" s="130"/>
      <c r="BJ211" s="13"/>
      <c r="BK211" s="130"/>
      <c r="BL211" s="13"/>
      <c r="BM211" s="129"/>
    </row>
    <row r="212" spans="2:65" s="1" customFormat="1" ht="27.75" customHeight="1" x14ac:dyDescent="0.2">
      <c r="B212" s="118"/>
      <c r="C212" s="1234" t="s">
        <v>5205</v>
      </c>
      <c r="D212" s="1235"/>
      <c r="E212" s="1235"/>
      <c r="F212" s="1235"/>
      <c r="G212" s="1235"/>
      <c r="H212" s="1235"/>
      <c r="I212" s="1235"/>
      <c r="J212" s="1236"/>
      <c r="K212" s="222"/>
      <c r="L212" s="24"/>
      <c r="M212" s="125"/>
      <c r="N212" s="126"/>
      <c r="O212" s="127"/>
      <c r="P212" s="127"/>
      <c r="Q212" s="127"/>
      <c r="R212" s="127"/>
      <c r="S212" s="127"/>
      <c r="T212" s="128"/>
      <c r="W212" s="199"/>
      <c r="X212" s="207" t="s">
        <v>5490</v>
      </c>
      <c r="Y212" s="207" t="s">
        <v>231</v>
      </c>
      <c r="Z212" s="216" t="s">
        <v>5213</v>
      </c>
      <c r="AA212" s="217" t="s">
        <v>5214</v>
      </c>
      <c r="AB212" s="210" t="s">
        <v>1194</v>
      </c>
      <c r="AC212" s="211">
        <v>1</v>
      </c>
      <c r="AD212" s="212">
        <v>44.1</v>
      </c>
      <c r="AE212" s="214">
        <f t="shared" si="5"/>
        <v>44.1</v>
      </c>
      <c r="AF212" s="956">
        <v>7</v>
      </c>
      <c r="AG212" s="407"/>
      <c r="AH212" s="567"/>
      <c r="AI212" s="567"/>
      <c r="AJ212" s="407"/>
      <c r="AK212" s="567"/>
      <c r="AL212" s="407"/>
      <c r="AM212" s="407"/>
      <c r="AR212" s="129"/>
      <c r="AT212" s="129"/>
      <c r="AU212" s="129"/>
      <c r="AY212" s="13"/>
      <c r="BE212" s="130"/>
      <c r="BF212" s="130"/>
      <c r="BG212" s="130"/>
      <c r="BH212" s="130"/>
      <c r="BI212" s="130"/>
      <c r="BJ212" s="13"/>
      <c r="BK212" s="130"/>
      <c r="BL212" s="13"/>
      <c r="BM212" s="129"/>
    </row>
    <row r="213" spans="2:65" s="11" customFormat="1" ht="22.95" customHeight="1" x14ac:dyDescent="0.25">
      <c r="B213" s="106"/>
      <c r="D213" s="107" t="s">
        <v>57</v>
      </c>
      <c r="E213" s="116" t="s">
        <v>1247</v>
      </c>
      <c r="F213" s="116" t="s">
        <v>1248</v>
      </c>
      <c r="J213" s="117">
        <f>BK213</f>
        <v>416.55999999999995</v>
      </c>
      <c r="L213" s="106"/>
      <c r="M213" s="110"/>
      <c r="N213" s="111"/>
      <c r="O213" s="111"/>
      <c r="P213" s="112">
        <f>SUM(P215:P217)</f>
        <v>0</v>
      </c>
      <c r="Q213" s="111"/>
      <c r="R213" s="112">
        <f>SUM(R215:R217)</f>
        <v>0</v>
      </c>
      <c r="S213" s="111"/>
      <c r="T213" s="113">
        <f>SUM(T215:T217)</f>
        <v>0</v>
      </c>
      <c r="W213" s="195"/>
      <c r="X213" s="111"/>
      <c r="Y213" s="196" t="s">
        <v>57</v>
      </c>
      <c r="Z213" s="201" t="s">
        <v>1247</v>
      </c>
      <c r="AA213" s="201" t="s">
        <v>1248</v>
      </c>
      <c r="AB213" s="111"/>
      <c r="AC213" s="111"/>
      <c r="AD213" s="111"/>
      <c r="AE213" s="202">
        <f>SUM(AE214:AE219)</f>
        <v>1025.1099999999999</v>
      </c>
      <c r="AF213" s="291"/>
      <c r="AG213" s="292"/>
      <c r="AH213" s="567"/>
      <c r="AI213" s="567"/>
      <c r="AJ213" s="292"/>
      <c r="AK213" s="567"/>
      <c r="AL213" s="292"/>
      <c r="AM213" s="292"/>
      <c r="AR213" s="107" t="s">
        <v>76</v>
      </c>
      <c r="AT213" s="114" t="s">
        <v>57</v>
      </c>
      <c r="AU213" s="114" t="s">
        <v>63</v>
      </c>
      <c r="AY213" s="107" t="s">
        <v>228</v>
      </c>
      <c r="BK213" s="115">
        <f>SUM(BK215:BK217)</f>
        <v>416.55999999999995</v>
      </c>
    </row>
    <row r="214" spans="2:65" s="11" customFormat="1" ht="18" customHeight="1" x14ac:dyDescent="0.2">
      <c r="B214" s="106"/>
      <c r="C214" s="1234" t="s">
        <v>5205</v>
      </c>
      <c r="D214" s="1235"/>
      <c r="E214" s="1235"/>
      <c r="F214" s="1235"/>
      <c r="G214" s="1235"/>
      <c r="H214" s="1235"/>
      <c r="I214" s="1235"/>
      <c r="J214" s="1236"/>
      <c r="L214" s="106"/>
      <c r="M214" s="110"/>
      <c r="N214" s="111"/>
      <c r="O214" s="111"/>
      <c r="P214" s="112"/>
      <c r="Q214" s="111"/>
      <c r="R214" s="112"/>
      <c r="S214" s="111"/>
      <c r="T214" s="113"/>
      <c r="W214" s="195"/>
      <c r="X214" s="215" t="s">
        <v>5215</v>
      </c>
      <c r="Y214" s="207" t="s">
        <v>231</v>
      </c>
      <c r="Z214" s="216" t="s">
        <v>5216</v>
      </c>
      <c r="AA214" s="217" t="s">
        <v>5207</v>
      </c>
      <c r="AB214" s="210" t="s">
        <v>1194</v>
      </c>
      <c r="AC214" s="211">
        <v>1</v>
      </c>
      <c r="AD214" s="212">
        <v>55.8</v>
      </c>
      <c r="AE214" s="214">
        <f t="shared" ref="AE214:AE219" si="6">ROUND(AD214*AC214,2)</f>
        <v>55.8</v>
      </c>
      <c r="AF214" s="956">
        <v>7</v>
      </c>
      <c r="AG214" s="292"/>
      <c r="AH214" s="567"/>
      <c r="AI214" s="567"/>
      <c r="AJ214" s="292"/>
      <c r="AK214" s="567"/>
      <c r="AL214" s="292"/>
      <c r="AM214" s="292"/>
      <c r="AR214" s="107"/>
      <c r="AT214" s="114"/>
      <c r="AU214" s="114"/>
      <c r="AY214" s="107"/>
      <c r="BK214" s="115"/>
    </row>
    <row r="215" spans="2:65" s="1" customFormat="1" ht="18" customHeight="1" x14ac:dyDescent="0.2">
      <c r="B215" s="118"/>
      <c r="C215" s="205" t="s">
        <v>272</v>
      </c>
      <c r="D215" s="119" t="s">
        <v>231</v>
      </c>
      <c r="E215" s="120" t="s">
        <v>1249</v>
      </c>
      <c r="F215" s="121" t="s">
        <v>1204</v>
      </c>
      <c r="G215" s="122" t="s">
        <v>1194</v>
      </c>
      <c r="H215" s="206">
        <v>3</v>
      </c>
      <c r="I215" s="124">
        <v>61.3</v>
      </c>
      <c r="J215" s="124">
        <f>ROUND(I215*H215,2)</f>
        <v>183.9</v>
      </c>
      <c r="K215" s="121" t="s">
        <v>1</v>
      </c>
      <c r="L215" s="24"/>
      <c r="M215" s="125" t="s">
        <v>1</v>
      </c>
      <c r="N215" s="126" t="s">
        <v>32</v>
      </c>
      <c r="O215" s="127">
        <v>0</v>
      </c>
      <c r="P215" s="127">
        <f>O215*H215</f>
        <v>0</v>
      </c>
      <c r="Q215" s="127">
        <v>0</v>
      </c>
      <c r="R215" s="127">
        <f>Q215*H215</f>
        <v>0</v>
      </c>
      <c r="S215" s="127">
        <v>0</v>
      </c>
      <c r="T215" s="128">
        <f>S215*H215</f>
        <v>0</v>
      </c>
      <c r="W215" s="199"/>
      <c r="X215" s="205" t="s">
        <v>272</v>
      </c>
      <c r="Y215" s="119" t="s">
        <v>231</v>
      </c>
      <c r="Z215" s="120" t="s">
        <v>1249</v>
      </c>
      <c r="AA215" s="121" t="s">
        <v>1204</v>
      </c>
      <c r="AB215" s="122" t="s">
        <v>1194</v>
      </c>
      <c r="AC215" s="206">
        <f>0+2</f>
        <v>2</v>
      </c>
      <c r="AD215" s="124">
        <v>61.3</v>
      </c>
      <c r="AE215" s="200">
        <f t="shared" si="6"/>
        <v>122.6</v>
      </c>
      <c r="AF215" s="956" t="s">
        <v>5452</v>
      </c>
      <c r="AG215" s="407"/>
      <c r="AH215" s="567"/>
      <c r="AI215" s="567"/>
      <c r="AJ215" s="407"/>
      <c r="AK215" s="567"/>
      <c r="AL215" s="407"/>
      <c r="AM215" s="407"/>
      <c r="AR215" s="129" t="s">
        <v>258</v>
      </c>
      <c r="AT215" s="129" t="s">
        <v>231</v>
      </c>
      <c r="AU215" s="129" t="s">
        <v>76</v>
      </c>
      <c r="AY215" s="13" t="s">
        <v>228</v>
      </c>
      <c r="BE215" s="130">
        <f>IF(N215="základná",J215,0)</f>
        <v>0</v>
      </c>
      <c r="BF215" s="130">
        <f>IF(N215="znížená",J215,0)</f>
        <v>183.9</v>
      </c>
      <c r="BG215" s="130">
        <f>IF(N215="zákl. prenesená",J215,0)</f>
        <v>0</v>
      </c>
      <c r="BH215" s="130">
        <f>IF(N215="zníž. prenesená",J215,0)</f>
        <v>0</v>
      </c>
      <c r="BI215" s="130">
        <f>IF(N215="nulová",J215,0)</f>
        <v>0</v>
      </c>
      <c r="BJ215" s="13" t="s">
        <v>76</v>
      </c>
      <c r="BK215" s="130">
        <f>ROUND(I215*H215,2)</f>
        <v>183.9</v>
      </c>
      <c r="BL215" s="13" t="s">
        <v>258</v>
      </c>
      <c r="BM215" s="129" t="s">
        <v>319</v>
      </c>
    </row>
    <row r="216" spans="2:65" s="1" customFormat="1" ht="18" customHeight="1" x14ac:dyDescent="0.2">
      <c r="B216" s="118"/>
      <c r="C216" s="205" t="s">
        <v>320</v>
      </c>
      <c r="D216" s="119" t="s">
        <v>231</v>
      </c>
      <c r="E216" s="120" t="s">
        <v>1250</v>
      </c>
      <c r="F216" s="121" t="s">
        <v>1206</v>
      </c>
      <c r="G216" s="122" t="s">
        <v>1194</v>
      </c>
      <c r="H216" s="206">
        <v>2</v>
      </c>
      <c r="I216" s="124">
        <v>67.569999999999993</v>
      </c>
      <c r="J216" s="124">
        <f>ROUND(I216*H216,2)</f>
        <v>135.13999999999999</v>
      </c>
      <c r="K216" s="121" t="s">
        <v>1</v>
      </c>
      <c r="L216" s="24"/>
      <c r="M216" s="125" t="s">
        <v>1</v>
      </c>
      <c r="N216" s="126" t="s">
        <v>32</v>
      </c>
      <c r="O216" s="127">
        <v>0</v>
      </c>
      <c r="P216" s="127">
        <f>O216*H216</f>
        <v>0</v>
      </c>
      <c r="Q216" s="127">
        <v>0</v>
      </c>
      <c r="R216" s="127">
        <f>Q216*H216</f>
        <v>0</v>
      </c>
      <c r="S216" s="127">
        <v>0</v>
      </c>
      <c r="T216" s="128">
        <f>S216*H216</f>
        <v>0</v>
      </c>
      <c r="W216" s="199"/>
      <c r="X216" s="205" t="s">
        <v>320</v>
      </c>
      <c r="Y216" s="119" t="s">
        <v>231</v>
      </c>
      <c r="Z216" s="120" t="s">
        <v>1250</v>
      </c>
      <c r="AA216" s="121" t="s">
        <v>1206</v>
      </c>
      <c r="AB216" s="122" t="s">
        <v>1194</v>
      </c>
      <c r="AC216" s="206">
        <f>0+9</f>
        <v>9</v>
      </c>
      <c r="AD216" s="124">
        <v>67.569999999999993</v>
      </c>
      <c r="AE216" s="200">
        <f t="shared" si="6"/>
        <v>608.13</v>
      </c>
      <c r="AF216" s="956" t="s">
        <v>5452</v>
      </c>
      <c r="AG216" s="407"/>
      <c r="AH216" s="567"/>
      <c r="AI216" s="567"/>
      <c r="AJ216" s="407"/>
      <c r="AK216" s="567"/>
      <c r="AL216" s="407"/>
      <c r="AM216" s="407"/>
      <c r="AR216" s="129" t="s">
        <v>258</v>
      </c>
      <c r="AT216" s="129" t="s">
        <v>231</v>
      </c>
      <c r="AU216" s="129" t="s">
        <v>76</v>
      </c>
      <c r="AY216" s="13" t="s">
        <v>228</v>
      </c>
      <c r="BE216" s="130">
        <f>IF(N216="základná",J216,0)</f>
        <v>0</v>
      </c>
      <c r="BF216" s="130">
        <f>IF(N216="znížená",J216,0)</f>
        <v>135.13999999999999</v>
      </c>
      <c r="BG216" s="130">
        <f>IF(N216="zákl. prenesená",J216,0)</f>
        <v>0</v>
      </c>
      <c r="BH216" s="130">
        <f>IF(N216="zníž. prenesená",J216,0)</f>
        <v>0</v>
      </c>
      <c r="BI216" s="130">
        <f>IF(N216="nulová",J216,0)</f>
        <v>0</v>
      </c>
      <c r="BJ216" s="13" t="s">
        <v>76</v>
      </c>
      <c r="BK216" s="130">
        <f>ROUND(I216*H216,2)</f>
        <v>135.13999999999999</v>
      </c>
      <c r="BL216" s="13" t="s">
        <v>258</v>
      </c>
      <c r="BM216" s="129" t="s">
        <v>323</v>
      </c>
    </row>
    <row r="217" spans="2:65" s="1" customFormat="1" ht="18" customHeight="1" x14ac:dyDescent="0.2">
      <c r="B217" s="118"/>
      <c r="C217" s="205" t="s">
        <v>276</v>
      </c>
      <c r="D217" s="119" t="s">
        <v>231</v>
      </c>
      <c r="E217" s="120" t="s">
        <v>1251</v>
      </c>
      <c r="F217" s="121" t="s">
        <v>1210</v>
      </c>
      <c r="G217" s="122" t="s">
        <v>1194</v>
      </c>
      <c r="H217" s="206">
        <v>1</v>
      </c>
      <c r="I217" s="124">
        <v>97.52</v>
      </c>
      <c r="J217" s="124">
        <f>ROUND(I217*H217,2)</f>
        <v>97.52</v>
      </c>
      <c r="K217" s="121" t="s">
        <v>1</v>
      </c>
      <c r="L217" s="24"/>
      <c r="M217" s="125" t="s">
        <v>1</v>
      </c>
      <c r="N217" s="126" t="s">
        <v>32</v>
      </c>
      <c r="O217" s="127">
        <v>0</v>
      </c>
      <c r="P217" s="127">
        <f>O217*H217</f>
        <v>0</v>
      </c>
      <c r="Q217" s="127">
        <v>0</v>
      </c>
      <c r="R217" s="127">
        <f>Q217*H217</f>
        <v>0</v>
      </c>
      <c r="S217" s="127">
        <v>0</v>
      </c>
      <c r="T217" s="128">
        <f>S217*H217</f>
        <v>0</v>
      </c>
      <c r="W217" s="199"/>
      <c r="X217" s="205" t="s">
        <v>276</v>
      </c>
      <c r="Y217" s="119" t="s">
        <v>231</v>
      </c>
      <c r="Z217" s="120" t="s">
        <v>1251</v>
      </c>
      <c r="AA217" s="121" t="s">
        <v>1210</v>
      </c>
      <c r="AB217" s="122" t="s">
        <v>1194</v>
      </c>
      <c r="AC217" s="206">
        <v>0</v>
      </c>
      <c r="AD217" s="124">
        <v>97.52</v>
      </c>
      <c r="AE217" s="200">
        <f t="shared" si="6"/>
        <v>0</v>
      </c>
      <c r="AF217" s="956">
        <v>7</v>
      </c>
      <c r="AG217" s="407"/>
      <c r="AH217" s="567"/>
      <c r="AI217" s="567"/>
      <c r="AJ217" s="407"/>
      <c r="AK217" s="567"/>
      <c r="AL217" s="407"/>
      <c r="AM217" s="407"/>
      <c r="AR217" s="129" t="s">
        <v>258</v>
      </c>
      <c r="AT217" s="129" t="s">
        <v>231</v>
      </c>
      <c r="AU217" s="129" t="s">
        <v>76</v>
      </c>
      <c r="AY217" s="13" t="s">
        <v>228</v>
      </c>
      <c r="BE217" s="130">
        <f>IF(N217="základná",J217,0)</f>
        <v>0</v>
      </c>
      <c r="BF217" s="130">
        <f>IF(N217="znížená",J217,0)</f>
        <v>97.52</v>
      </c>
      <c r="BG217" s="130">
        <f>IF(N217="zákl. prenesená",J217,0)</f>
        <v>0</v>
      </c>
      <c r="BH217" s="130">
        <f>IF(N217="zníž. prenesená",J217,0)</f>
        <v>0</v>
      </c>
      <c r="BI217" s="130">
        <f>IF(N217="nulová",J217,0)</f>
        <v>0</v>
      </c>
      <c r="BJ217" s="13" t="s">
        <v>76</v>
      </c>
      <c r="BK217" s="130">
        <f>ROUND(I217*H217,2)</f>
        <v>97.52</v>
      </c>
      <c r="BL217" s="13" t="s">
        <v>258</v>
      </c>
      <c r="BM217" s="129" t="s">
        <v>326</v>
      </c>
    </row>
    <row r="218" spans="2:65" s="260" customFormat="1" ht="18" customHeight="1" x14ac:dyDescent="0.2">
      <c r="B218" s="118"/>
      <c r="C218" s="1234" t="s">
        <v>5205</v>
      </c>
      <c r="D218" s="1235"/>
      <c r="E218" s="1235"/>
      <c r="F218" s="1235"/>
      <c r="G218" s="1235"/>
      <c r="H218" s="1235"/>
      <c r="I218" s="1235"/>
      <c r="J218" s="1236"/>
      <c r="K218" s="222"/>
      <c r="L218" s="24"/>
      <c r="M218" s="125"/>
      <c r="N218" s="126"/>
      <c r="O218" s="127"/>
      <c r="P218" s="127"/>
      <c r="Q218" s="127"/>
      <c r="R218" s="127"/>
      <c r="S218" s="127"/>
      <c r="T218" s="128"/>
      <c r="W218" s="199"/>
      <c r="X218" s="207" t="s">
        <v>5218</v>
      </c>
      <c r="Y218" s="207" t="s">
        <v>231</v>
      </c>
      <c r="Z218" s="208" t="s">
        <v>5494</v>
      </c>
      <c r="AA218" s="209" t="s">
        <v>3599</v>
      </c>
      <c r="AB218" s="210" t="s">
        <v>1194</v>
      </c>
      <c r="AC218" s="211">
        <v>1</v>
      </c>
      <c r="AD218" s="212">
        <v>98.98</v>
      </c>
      <c r="AE218" s="214">
        <f t="shared" si="6"/>
        <v>98.98</v>
      </c>
      <c r="AF218" s="956">
        <v>10</v>
      </c>
      <c r="AG218" s="407"/>
      <c r="AH218" s="567"/>
      <c r="AI218" s="567"/>
      <c r="AJ218" s="407"/>
      <c r="AK218" s="567"/>
      <c r="AL218" s="407"/>
      <c r="AM218" s="407"/>
      <c r="AR218" s="129"/>
      <c r="AT218" s="129"/>
      <c r="AU218" s="129"/>
      <c r="AY218" s="13"/>
      <c r="BE218" s="130"/>
      <c r="BF218" s="130"/>
      <c r="BG218" s="130"/>
      <c r="BH218" s="130"/>
      <c r="BI218" s="130"/>
      <c r="BJ218" s="13"/>
      <c r="BK218" s="130"/>
      <c r="BL218" s="13"/>
      <c r="BM218" s="129"/>
    </row>
    <row r="219" spans="2:65" s="1" customFormat="1" ht="34.200000000000003" x14ac:dyDescent="0.2">
      <c r="B219" s="118"/>
      <c r="C219" s="1234" t="s">
        <v>5205</v>
      </c>
      <c r="D219" s="1235"/>
      <c r="E219" s="1235"/>
      <c r="F219" s="1235"/>
      <c r="G219" s="1235"/>
      <c r="H219" s="1235"/>
      <c r="I219" s="1235"/>
      <c r="J219" s="1236"/>
      <c r="K219" s="222"/>
      <c r="L219" s="24"/>
      <c r="M219" s="125"/>
      <c r="N219" s="126"/>
      <c r="O219" s="127"/>
      <c r="P219" s="127"/>
      <c r="Q219" s="127"/>
      <c r="R219" s="127"/>
      <c r="S219" s="127"/>
      <c r="T219" s="128"/>
      <c r="W219" s="199"/>
      <c r="X219" s="215" t="s">
        <v>5218</v>
      </c>
      <c r="Y219" s="207" t="s">
        <v>231</v>
      </c>
      <c r="Z219" s="216" t="s">
        <v>5219</v>
      </c>
      <c r="AA219" s="217" t="s">
        <v>5217</v>
      </c>
      <c r="AB219" s="210" t="s">
        <v>1194</v>
      </c>
      <c r="AC219" s="211">
        <v>2</v>
      </c>
      <c r="AD219" s="212">
        <v>69.8</v>
      </c>
      <c r="AE219" s="214">
        <f t="shared" si="6"/>
        <v>139.6</v>
      </c>
      <c r="AF219" s="956">
        <v>7</v>
      </c>
      <c r="AG219" s="407"/>
      <c r="AH219" s="567"/>
      <c r="AI219" s="567"/>
      <c r="AJ219" s="407"/>
      <c r="AK219" s="567"/>
      <c r="AL219" s="407"/>
      <c r="AM219" s="407"/>
      <c r="AR219" s="129"/>
      <c r="AT219" s="129"/>
      <c r="AU219" s="129"/>
      <c r="AY219" s="13"/>
      <c r="BE219" s="130"/>
      <c r="BF219" s="130"/>
      <c r="BG219" s="130"/>
      <c r="BH219" s="130"/>
      <c r="BI219" s="130"/>
      <c r="BJ219" s="13"/>
      <c r="BK219" s="130"/>
      <c r="BL219" s="13"/>
      <c r="BM219" s="129"/>
    </row>
    <row r="220" spans="2:65" s="11" customFormat="1" ht="22.95" customHeight="1" x14ac:dyDescent="0.25">
      <c r="B220" s="106"/>
      <c r="D220" s="107" t="s">
        <v>57</v>
      </c>
      <c r="E220" s="116" t="s">
        <v>1252</v>
      </c>
      <c r="F220" s="116" t="s">
        <v>1253</v>
      </c>
      <c r="J220" s="117">
        <f>BK220</f>
        <v>1604.31</v>
      </c>
      <c r="L220" s="106"/>
      <c r="M220" s="110"/>
      <c r="N220" s="111"/>
      <c r="O220" s="111"/>
      <c r="P220" s="112">
        <f>SUM(P221:P233)</f>
        <v>0</v>
      </c>
      <c r="Q220" s="111"/>
      <c r="R220" s="112">
        <f>SUM(R221:R233)</f>
        <v>0</v>
      </c>
      <c r="S220" s="111"/>
      <c r="T220" s="113">
        <f>SUM(T221:T233)</f>
        <v>0</v>
      </c>
      <c r="W220" s="195"/>
      <c r="X220" s="111"/>
      <c r="Y220" s="196" t="s">
        <v>57</v>
      </c>
      <c r="Z220" s="201" t="s">
        <v>1252</v>
      </c>
      <c r="AA220" s="201" t="s">
        <v>1253</v>
      </c>
      <c r="AB220" s="111"/>
      <c r="AC220" s="111"/>
      <c r="AD220" s="111"/>
      <c r="AE220" s="202">
        <f>SUM(AE221:AE223)</f>
        <v>753.32</v>
      </c>
      <c r="AF220" s="291"/>
      <c r="AG220" s="292"/>
      <c r="AH220" s="567"/>
      <c r="AI220" s="567"/>
      <c r="AJ220" s="292"/>
      <c r="AK220" s="567"/>
      <c r="AL220" s="292"/>
      <c r="AM220" s="292"/>
      <c r="AR220" s="107" t="s">
        <v>76</v>
      </c>
      <c r="AT220" s="114" t="s">
        <v>57</v>
      </c>
      <c r="AU220" s="114" t="s">
        <v>63</v>
      </c>
      <c r="AY220" s="107" t="s">
        <v>228</v>
      </c>
      <c r="BK220" s="115">
        <f>SUM(BK221:BK233)</f>
        <v>1604.31</v>
      </c>
    </row>
    <row r="221" spans="2:65" s="1" customFormat="1" ht="16.5" customHeight="1" x14ac:dyDescent="0.2">
      <c r="B221" s="118"/>
      <c r="C221" s="119" t="s">
        <v>327</v>
      </c>
      <c r="D221" s="119" t="s">
        <v>231</v>
      </c>
      <c r="E221" s="120" t="s">
        <v>1254</v>
      </c>
      <c r="F221" s="121" t="s">
        <v>1204</v>
      </c>
      <c r="G221" s="122" t="s">
        <v>1194</v>
      </c>
      <c r="H221" s="123">
        <v>2</v>
      </c>
      <c r="I221" s="124">
        <v>5.57</v>
      </c>
      <c r="J221" s="124">
        <f>ROUND(I221*H221,2)</f>
        <v>11.14</v>
      </c>
      <c r="K221" s="121" t="s">
        <v>1</v>
      </c>
      <c r="L221" s="24"/>
      <c r="M221" s="125" t="s">
        <v>1</v>
      </c>
      <c r="N221" s="126" t="s">
        <v>32</v>
      </c>
      <c r="O221" s="127">
        <v>0</v>
      </c>
      <c r="P221" s="127">
        <f>O221*H221</f>
        <v>0</v>
      </c>
      <c r="Q221" s="127">
        <v>0</v>
      </c>
      <c r="R221" s="127">
        <f>Q221*H221</f>
        <v>0</v>
      </c>
      <c r="S221" s="127">
        <v>0</v>
      </c>
      <c r="T221" s="128">
        <f>S221*H221</f>
        <v>0</v>
      </c>
      <c r="W221" s="199"/>
      <c r="X221" s="285" t="s">
        <v>327</v>
      </c>
      <c r="Y221" s="285" t="s">
        <v>231</v>
      </c>
      <c r="Z221" s="286" t="s">
        <v>1254</v>
      </c>
      <c r="AA221" s="240" t="s">
        <v>1204</v>
      </c>
      <c r="AB221" s="287" t="s">
        <v>1194</v>
      </c>
      <c r="AC221" s="288">
        <f>2</f>
        <v>2</v>
      </c>
      <c r="AD221" s="289">
        <v>5.57</v>
      </c>
      <c r="AE221" s="290">
        <f>ROUND(AD221*AC221,2)</f>
        <v>11.14</v>
      </c>
      <c r="AF221" s="956"/>
      <c r="AG221" s="407"/>
      <c r="AH221" s="567"/>
      <c r="AI221" s="567"/>
      <c r="AJ221" s="407"/>
      <c r="AK221" s="567"/>
      <c r="AL221" s="407"/>
      <c r="AM221" s="407"/>
      <c r="AR221" s="129" t="s">
        <v>258</v>
      </c>
      <c r="AT221" s="129" t="s">
        <v>231</v>
      </c>
      <c r="AU221" s="129" t="s">
        <v>76</v>
      </c>
      <c r="AY221" s="13" t="s">
        <v>228</v>
      </c>
      <c r="BE221" s="130">
        <f>IF(N221="základná",J221,0)</f>
        <v>0</v>
      </c>
      <c r="BF221" s="130">
        <f>IF(N221="znížená",J221,0)</f>
        <v>11.14</v>
      </c>
      <c r="BG221" s="130">
        <f>IF(N221="zákl. prenesená",J221,0)</f>
        <v>0</v>
      </c>
      <c r="BH221" s="130">
        <f>IF(N221="zníž. prenesená",J221,0)</f>
        <v>0</v>
      </c>
      <c r="BI221" s="130">
        <f>IF(N221="nulová",J221,0)</f>
        <v>0</v>
      </c>
      <c r="BJ221" s="13" t="s">
        <v>76</v>
      </c>
      <c r="BK221" s="130">
        <f>ROUND(I221*H221,2)</f>
        <v>11.14</v>
      </c>
      <c r="BL221" s="13" t="s">
        <v>258</v>
      </c>
      <c r="BM221" s="129" t="s">
        <v>330</v>
      </c>
    </row>
    <row r="222" spans="2:65" s="1" customFormat="1" ht="16.5" customHeight="1" x14ac:dyDescent="0.2">
      <c r="B222" s="118"/>
      <c r="C222" s="205" t="s">
        <v>280</v>
      </c>
      <c r="D222" s="119" t="s">
        <v>231</v>
      </c>
      <c r="E222" s="120" t="s">
        <v>1255</v>
      </c>
      <c r="F222" s="121" t="s">
        <v>1256</v>
      </c>
      <c r="G222" s="122" t="s">
        <v>1194</v>
      </c>
      <c r="H222" s="206">
        <v>6</v>
      </c>
      <c r="I222" s="124">
        <v>6.04</v>
      </c>
      <c r="J222" s="124">
        <f>ROUND(I222*H222,2)</f>
        <v>36.24</v>
      </c>
      <c r="K222" s="121" t="s">
        <v>1</v>
      </c>
      <c r="L222" s="24"/>
      <c r="M222" s="125" t="s">
        <v>1</v>
      </c>
      <c r="N222" s="126" t="s">
        <v>32</v>
      </c>
      <c r="O222" s="127">
        <v>0</v>
      </c>
      <c r="P222" s="127">
        <f>O222*H222</f>
        <v>0</v>
      </c>
      <c r="Q222" s="127">
        <v>0</v>
      </c>
      <c r="R222" s="127">
        <f>Q222*H222</f>
        <v>0</v>
      </c>
      <c r="S222" s="127">
        <v>0</v>
      </c>
      <c r="T222" s="128">
        <f>S222*H222</f>
        <v>0</v>
      </c>
      <c r="W222" s="199"/>
      <c r="X222" s="205" t="s">
        <v>280</v>
      </c>
      <c r="Y222" s="119" t="s">
        <v>231</v>
      </c>
      <c r="Z222" s="120" t="s">
        <v>1255</v>
      </c>
      <c r="AA222" s="121" t="s">
        <v>1256</v>
      </c>
      <c r="AB222" s="122" t="s">
        <v>1194</v>
      </c>
      <c r="AC222" s="206">
        <f>3+18</f>
        <v>21</v>
      </c>
      <c r="AD222" s="124">
        <v>6.04</v>
      </c>
      <c r="AE222" s="200">
        <f>ROUND(AD222*AC222,2)</f>
        <v>126.84</v>
      </c>
      <c r="AF222" s="956" t="s">
        <v>5452</v>
      </c>
      <c r="AG222" s="407"/>
      <c r="AH222" s="567"/>
      <c r="AI222" s="567"/>
      <c r="AJ222" s="407"/>
      <c r="AK222" s="567"/>
      <c r="AL222" s="407"/>
      <c r="AM222" s="407"/>
      <c r="AR222" s="129" t="s">
        <v>258</v>
      </c>
      <c r="AT222" s="129" t="s">
        <v>231</v>
      </c>
      <c r="AU222" s="129" t="s">
        <v>76</v>
      </c>
      <c r="AY222" s="13" t="s">
        <v>228</v>
      </c>
      <c r="BE222" s="130">
        <f>IF(N222="základná",J222,0)</f>
        <v>0</v>
      </c>
      <c r="BF222" s="130">
        <f>IF(N222="znížená",J222,0)</f>
        <v>36.24</v>
      </c>
      <c r="BG222" s="130">
        <f>IF(N222="zákl. prenesená",J222,0)</f>
        <v>0</v>
      </c>
      <c r="BH222" s="130">
        <f>IF(N222="zníž. prenesená",J222,0)</f>
        <v>0</v>
      </c>
      <c r="BI222" s="130">
        <f>IF(N222="nulová",J222,0)</f>
        <v>0</v>
      </c>
      <c r="BJ222" s="13" t="s">
        <v>76</v>
      </c>
      <c r="BK222" s="130">
        <f>ROUND(I222*H222,2)</f>
        <v>36.24</v>
      </c>
      <c r="BL222" s="13" t="s">
        <v>258</v>
      </c>
      <c r="BM222" s="129" t="s">
        <v>333</v>
      </c>
    </row>
    <row r="223" spans="2:65" s="1" customFormat="1" ht="24" customHeight="1" x14ac:dyDescent="0.2">
      <c r="B223" s="118"/>
      <c r="C223" s="205" t="s">
        <v>334</v>
      </c>
      <c r="D223" s="119" t="s">
        <v>231</v>
      </c>
      <c r="E223" s="120" t="s">
        <v>1257</v>
      </c>
      <c r="F223" s="121" t="s">
        <v>1258</v>
      </c>
      <c r="G223" s="122" t="s">
        <v>1194</v>
      </c>
      <c r="H223" s="206">
        <v>5</v>
      </c>
      <c r="I223" s="124">
        <v>307.67</v>
      </c>
      <c r="J223" s="124">
        <f>ROUND(I223*H223,2)</f>
        <v>1538.35</v>
      </c>
      <c r="K223" s="121" t="s">
        <v>1</v>
      </c>
      <c r="L223" s="24"/>
      <c r="M223" s="125" t="s">
        <v>1</v>
      </c>
      <c r="N223" s="126" t="s">
        <v>32</v>
      </c>
      <c r="O223" s="127">
        <v>0</v>
      </c>
      <c r="P223" s="127">
        <f>O223*H223</f>
        <v>0</v>
      </c>
      <c r="Q223" s="127">
        <v>0</v>
      </c>
      <c r="R223" s="127">
        <f>Q223*H223</f>
        <v>0</v>
      </c>
      <c r="S223" s="127">
        <v>0</v>
      </c>
      <c r="T223" s="128">
        <f>S223*H223</f>
        <v>0</v>
      </c>
      <c r="W223" s="199"/>
      <c r="X223" s="205" t="s">
        <v>334</v>
      </c>
      <c r="Y223" s="119" t="s">
        <v>231</v>
      </c>
      <c r="Z223" s="120" t="s">
        <v>1257</v>
      </c>
      <c r="AA223" s="121" t="s">
        <v>1258</v>
      </c>
      <c r="AB223" s="122" t="s">
        <v>1194</v>
      </c>
      <c r="AC223" s="206">
        <v>2</v>
      </c>
      <c r="AD223" s="124">
        <v>307.67</v>
      </c>
      <c r="AE223" s="200">
        <f>ROUND(AD223*AC223,2)</f>
        <v>615.34</v>
      </c>
      <c r="AF223" s="956">
        <v>7</v>
      </c>
      <c r="AG223" s="407"/>
      <c r="AH223" s="567"/>
      <c r="AI223" s="567"/>
      <c r="AJ223" s="407"/>
      <c r="AK223" s="567"/>
      <c r="AL223" s="407"/>
      <c r="AM223" s="407"/>
      <c r="AR223" s="129" t="s">
        <v>258</v>
      </c>
      <c r="AT223" s="129" t="s">
        <v>231</v>
      </c>
      <c r="AU223" s="129" t="s">
        <v>76</v>
      </c>
      <c r="AY223" s="13" t="s">
        <v>228</v>
      </c>
      <c r="BE223" s="130">
        <f>IF(N223="základná",J223,0)</f>
        <v>0</v>
      </c>
      <c r="BF223" s="130">
        <f>IF(N223="znížená",J223,0)</f>
        <v>1538.35</v>
      </c>
      <c r="BG223" s="130">
        <f>IF(N223="zákl. prenesená",J223,0)</f>
        <v>0</v>
      </c>
      <c r="BH223" s="130">
        <f>IF(N223="zníž. prenesená",J223,0)</f>
        <v>0</v>
      </c>
      <c r="BI223" s="130">
        <f>IF(N223="nulová",J223,0)</f>
        <v>0</v>
      </c>
      <c r="BJ223" s="13" t="s">
        <v>76</v>
      </c>
      <c r="BK223" s="130">
        <f>ROUND(I223*H223,2)</f>
        <v>1538.35</v>
      </c>
      <c r="BL223" s="13" t="s">
        <v>258</v>
      </c>
      <c r="BM223" s="129" t="s">
        <v>337</v>
      </c>
    </row>
    <row r="224" spans="2:65" s="282" customFormat="1" ht="24" customHeight="1" x14ac:dyDescent="0.25">
      <c r="B224" s="118"/>
      <c r="C224" s="254"/>
      <c r="D224" s="254"/>
      <c r="E224" s="255"/>
      <c r="F224" s="222"/>
      <c r="G224" s="256"/>
      <c r="H224" s="257"/>
      <c r="I224" s="258"/>
      <c r="J224" s="258"/>
      <c r="K224" s="222"/>
      <c r="L224" s="24"/>
      <c r="M224" s="125"/>
      <c r="N224" s="126"/>
      <c r="O224" s="127"/>
      <c r="P224" s="127"/>
      <c r="Q224" s="127"/>
      <c r="R224" s="127"/>
      <c r="S224" s="127"/>
      <c r="T224" s="128"/>
      <c r="W224" s="199"/>
      <c r="X224" s="299"/>
      <c r="Y224" s="300" t="s">
        <v>57</v>
      </c>
      <c r="Z224" s="301" t="s">
        <v>2154</v>
      </c>
      <c r="AA224" s="301" t="s">
        <v>3634</v>
      </c>
      <c r="AB224" s="299"/>
      <c r="AC224" s="299"/>
      <c r="AD224" s="299"/>
      <c r="AE224" s="302">
        <f>SUM(AE225:AE233)</f>
        <v>2539.9299999999998</v>
      </c>
      <c r="AF224" s="956"/>
      <c r="AG224" s="407"/>
      <c r="AH224" s="567"/>
      <c r="AI224" s="567"/>
      <c r="AJ224" s="407"/>
      <c r="AK224" s="567"/>
      <c r="AL224" s="407"/>
      <c r="AM224" s="407"/>
      <c r="AR224" s="129"/>
      <c r="AT224" s="129"/>
      <c r="AU224" s="129"/>
      <c r="AY224" s="13"/>
      <c r="BE224" s="130"/>
      <c r="BF224" s="130"/>
      <c r="BG224" s="130"/>
      <c r="BH224" s="130"/>
      <c r="BI224" s="130"/>
      <c r="BJ224" s="13"/>
      <c r="BK224" s="130"/>
      <c r="BL224" s="13"/>
      <c r="BM224" s="129"/>
    </row>
    <row r="225" spans="2:65" s="282" customFormat="1" ht="34.200000000000003" x14ac:dyDescent="0.2">
      <c r="B225" s="118"/>
      <c r="C225" s="1234" t="s">
        <v>5205</v>
      </c>
      <c r="D225" s="1235"/>
      <c r="E225" s="1235"/>
      <c r="F225" s="1235"/>
      <c r="G225" s="1235"/>
      <c r="H225" s="1235"/>
      <c r="I225" s="1235"/>
      <c r="J225" s="1236"/>
      <c r="K225" s="222"/>
      <c r="L225" s="24"/>
      <c r="M225" s="125"/>
      <c r="N225" s="126"/>
      <c r="O225" s="127"/>
      <c r="P225" s="127"/>
      <c r="Q225" s="127"/>
      <c r="R225" s="127"/>
      <c r="S225" s="127"/>
      <c r="T225" s="128"/>
      <c r="W225" s="199"/>
      <c r="X225" s="293" t="s">
        <v>5241</v>
      </c>
      <c r="Y225" s="293" t="s">
        <v>231</v>
      </c>
      <c r="Z225" s="294" t="s">
        <v>5495</v>
      </c>
      <c r="AA225" s="295" t="s">
        <v>5496</v>
      </c>
      <c r="AB225" s="296" t="s">
        <v>1194</v>
      </c>
      <c r="AC225" s="297">
        <v>14</v>
      </c>
      <c r="AD225" s="298">
        <v>21.97</v>
      </c>
      <c r="AE225" s="303">
        <f>ROUND(AD225*AC225,2)</f>
        <v>307.58</v>
      </c>
      <c r="AF225" s="956">
        <v>10</v>
      </c>
      <c r="AG225" s="407"/>
      <c r="AH225" s="567"/>
      <c r="AI225" s="567"/>
      <c r="AJ225" s="407"/>
      <c r="AK225" s="567"/>
      <c r="AL225" s="407"/>
      <c r="AM225" s="407"/>
      <c r="AR225" s="129"/>
      <c r="AT225" s="129"/>
      <c r="AU225" s="129"/>
      <c r="AY225" s="13"/>
      <c r="BE225" s="130"/>
      <c r="BF225" s="130"/>
      <c r="BG225" s="130"/>
      <c r="BH225" s="130"/>
      <c r="BI225" s="130"/>
      <c r="BJ225" s="13"/>
      <c r="BK225" s="130"/>
      <c r="BL225" s="13"/>
      <c r="BM225" s="129"/>
    </row>
    <row r="226" spans="2:65" s="282" customFormat="1" ht="24" customHeight="1" x14ac:dyDescent="0.2">
      <c r="B226" s="118"/>
      <c r="C226" s="1234" t="s">
        <v>5205</v>
      </c>
      <c r="D226" s="1235"/>
      <c r="E226" s="1235"/>
      <c r="F226" s="1235"/>
      <c r="G226" s="1235"/>
      <c r="H226" s="1235"/>
      <c r="I226" s="1235"/>
      <c r="J226" s="1236"/>
      <c r="K226" s="222"/>
      <c r="L226" s="24"/>
      <c r="M226" s="125"/>
      <c r="N226" s="126"/>
      <c r="O226" s="127"/>
      <c r="P226" s="127"/>
      <c r="Q226" s="127"/>
      <c r="R226" s="127"/>
      <c r="S226" s="127"/>
      <c r="T226" s="128"/>
      <c r="W226" s="199"/>
      <c r="X226" s="293" t="s">
        <v>5242</v>
      </c>
      <c r="Y226" s="293" t="s">
        <v>231</v>
      </c>
      <c r="Z226" s="294" t="s">
        <v>5497</v>
      </c>
      <c r="AA226" s="295" t="s">
        <v>5498</v>
      </c>
      <c r="AB226" s="296" t="s">
        <v>1194</v>
      </c>
      <c r="AC226" s="297">
        <v>14</v>
      </c>
      <c r="AD226" s="298">
        <v>5.35</v>
      </c>
      <c r="AE226" s="303">
        <f t="shared" ref="AE226:AE232" si="7">ROUND(AD226*AC226,2)</f>
        <v>74.900000000000006</v>
      </c>
      <c r="AF226" s="956">
        <v>10</v>
      </c>
      <c r="AG226" s="407"/>
      <c r="AH226" s="567"/>
      <c r="AI226" s="567"/>
      <c r="AJ226" s="407"/>
      <c r="AK226" s="567"/>
      <c r="AL226" s="407"/>
      <c r="AM226" s="407"/>
      <c r="AR226" s="129"/>
      <c r="AT226" s="129"/>
      <c r="AU226" s="129"/>
      <c r="AY226" s="13"/>
      <c r="BE226" s="130"/>
      <c r="BF226" s="130"/>
      <c r="BG226" s="130"/>
      <c r="BH226" s="130"/>
      <c r="BI226" s="130"/>
      <c r="BJ226" s="13"/>
      <c r="BK226" s="130"/>
      <c r="BL226" s="13"/>
      <c r="BM226" s="129"/>
    </row>
    <row r="227" spans="2:65" s="282" customFormat="1" ht="34.200000000000003" x14ac:dyDescent="0.2">
      <c r="B227" s="118"/>
      <c r="C227" s="1234" t="s">
        <v>5205</v>
      </c>
      <c r="D227" s="1235"/>
      <c r="E227" s="1235"/>
      <c r="F227" s="1235"/>
      <c r="G227" s="1235"/>
      <c r="H227" s="1235"/>
      <c r="I227" s="1235"/>
      <c r="J227" s="1236"/>
      <c r="K227" s="222"/>
      <c r="L227" s="24"/>
      <c r="M227" s="125"/>
      <c r="N227" s="126"/>
      <c r="O227" s="127"/>
      <c r="P227" s="127"/>
      <c r="Q227" s="127"/>
      <c r="R227" s="127"/>
      <c r="S227" s="127"/>
      <c r="T227" s="128"/>
      <c r="W227" s="199"/>
      <c r="X227" s="293" t="s">
        <v>5503</v>
      </c>
      <c r="Y227" s="293" t="s">
        <v>231</v>
      </c>
      <c r="Z227" s="294" t="s">
        <v>5499</v>
      </c>
      <c r="AA227" s="295" t="s">
        <v>5500</v>
      </c>
      <c r="AB227" s="296" t="s">
        <v>1194</v>
      </c>
      <c r="AC227" s="297">
        <f>14+11+8</f>
        <v>33</v>
      </c>
      <c r="AD227" s="298">
        <v>15.09</v>
      </c>
      <c r="AE227" s="303">
        <f t="shared" si="7"/>
        <v>497.97</v>
      </c>
      <c r="AF227" s="956" t="s">
        <v>6696</v>
      </c>
      <c r="AH227" s="567"/>
      <c r="AI227" s="567"/>
      <c r="AJ227" s="407"/>
      <c r="AK227" s="567"/>
      <c r="AL227" s="407"/>
      <c r="AM227" s="407"/>
      <c r="AR227" s="129"/>
      <c r="AT227" s="129"/>
      <c r="AU227" s="129"/>
      <c r="AY227" s="13"/>
      <c r="BE227" s="130"/>
      <c r="BF227" s="130"/>
      <c r="BG227" s="130"/>
      <c r="BH227" s="130"/>
      <c r="BI227" s="130"/>
      <c r="BJ227" s="13"/>
      <c r="BK227" s="130"/>
      <c r="BL227" s="13"/>
      <c r="BM227" s="129"/>
    </row>
    <row r="228" spans="2:65" s="282" customFormat="1" ht="68.400000000000006" x14ac:dyDescent="0.2">
      <c r="B228" s="118"/>
      <c r="C228" s="1234" t="s">
        <v>5205</v>
      </c>
      <c r="D228" s="1235"/>
      <c r="E228" s="1235"/>
      <c r="F228" s="1235"/>
      <c r="G228" s="1235"/>
      <c r="H228" s="1235"/>
      <c r="I228" s="1235"/>
      <c r="J228" s="1236"/>
      <c r="K228" s="222"/>
      <c r="L228" s="24"/>
      <c r="M228" s="125"/>
      <c r="N228" s="126"/>
      <c r="O228" s="127"/>
      <c r="P228" s="127"/>
      <c r="Q228" s="127"/>
      <c r="R228" s="127"/>
      <c r="S228" s="127"/>
      <c r="T228" s="128"/>
      <c r="W228" s="199"/>
      <c r="X228" s="293" t="s">
        <v>5504</v>
      </c>
      <c r="Y228" s="293" t="s">
        <v>231</v>
      </c>
      <c r="Z228" s="294" t="s">
        <v>5501</v>
      </c>
      <c r="AA228" s="209" t="s">
        <v>5502</v>
      </c>
      <c r="AB228" s="296" t="s">
        <v>1194</v>
      </c>
      <c r="AC228" s="297">
        <v>4</v>
      </c>
      <c r="AD228" s="298">
        <v>68.8</v>
      </c>
      <c r="AE228" s="303">
        <f t="shared" si="7"/>
        <v>275.2</v>
      </c>
      <c r="AF228" s="956">
        <v>10</v>
      </c>
      <c r="AH228" s="567"/>
      <c r="AI228" s="567"/>
      <c r="AJ228" s="407"/>
      <c r="AK228" s="567"/>
      <c r="AL228" s="407"/>
      <c r="AM228" s="407"/>
      <c r="AR228" s="129"/>
      <c r="AT228" s="129"/>
      <c r="AU228" s="129"/>
      <c r="AY228" s="13"/>
      <c r="BE228" s="130"/>
      <c r="BF228" s="130"/>
      <c r="BG228" s="130"/>
      <c r="BH228" s="130"/>
      <c r="BI228" s="130"/>
      <c r="BJ228" s="13"/>
      <c r="BK228" s="130"/>
      <c r="BL228" s="13"/>
      <c r="BM228" s="129"/>
    </row>
    <row r="229" spans="2:65" s="1" customFormat="1" ht="27.45" customHeight="1" x14ac:dyDescent="0.2">
      <c r="B229" s="24"/>
      <c r="C229" s="1234" t="s">
        <v>5205</v>
      </c>
      <c r="D229" s="1235"/>
      <c r="E229" s="1235"/>
      <c r="F229" s="1235"/>
      <c r="G229" s="1235"/>
      <c r="H229" s="1235"/>
      <c r="I229" s="1235"/>
      <c r="J229" s="1236"/>
      <c r="L229" s="24"/>
      <c r="M229" s="146"/>
      <c r="N229" s="42"/>
      <c r="O229" s="42"/>
      <c r="P229" s="42"/>
      <c r="Q229" s="42"/>
      <c r="R229" s="42"/>
      <c r="S229" s="42"/>
      <c r="T229" s="43"/>
      <c r="W229" s="158"/>
      <c r="X229" s="207" t="s">
        <v>6192</v>
      </c>
      <c r="Y229" s="293" t="s">
        <v>231</v>
      </c>
      <c r="Z229" s="294" t="s">
        <v>4519</v>
      </c>
      <c r="AA229" s="295" t="s">
        <v>6189</v>
      </c>
      <c r="AB229" s="296" t="s">
        <v>1194</v>
      </c>
      <c r="AC229" s="297">
        <v>22</v>
      </c>
      <c r="AD229" s="298">
        <v>3.41</v>
      </c>
      <c r="AE229" s="303">
        <f t="shared" si="7"/>
        <v>75.02</v>
      </c>
      <c r="AF229" s="956" t="s">
        <v>5343</v>
      </c>
      <c r="AH229" s="567"/>
      <c r="AI229" s="567"/>
      <c r="AJ229" s="407"/>
      <c r="AK229" s="567"/>
      <c r="AL229" s="407"/>
      <c r="AM229" s="407"/>
      <c r="AT229" s="13" t="s">
        <v>1259</v>
      </c>
      <c r="AU229" s="13" t="s">
        <v>76</v>
      </c>
    </row>
    <row r="230" spans="2:65" s="572" customFormat="1" ht="29.55" customHeight="1" x14ac:dyDescent="0.2">
      <c r="B230" s="24"/>
      <c r="C230" s="1234" t="s">
        <v>5205</v>
      </c>
      <c r="D230" s="1235"/>
      <c r="E230" s="1235"/>
      <c r="F230" s="1235"/>
      <c r="G230" s="1235"/>
      <c r="H230" s="1235"/>
      <c r="I230" s="1235"/>
      <c r="J230" s="1236"/>
      <c r="L230" s="24"/>
      <c r="M230" s="146"/>
      <c r="N230" s="571"/>
      <c r="O230" s="571"/>
      <c r="P230" s="571"/>
      <c r="Q230" s="571"/>
      <c r="R230" s="571"/>
      <c r="S230" s="571"/>
      <c r="T230" s="43"/>
      <c r="W230" s="158"/>
      <c r="X230" s="207" t="s">
        <v>6193</v>
      </c>
      <c r="Y230" s="293" t="s">
        <v>231</v>
      </c>
      <c r="Z230" s="294" t="s">
        <v>5397</v>
      </c>
      <c r="AA230" s="295" t="s">
        <v>6190</v>
      </c>
      <c r="AB230" s="296" t="s">
        <v>1194</v>
      </c>
      <c r="AC230" s="297">
        <f>11+8</f>
        <v>19</v>
      </c>
      <c r="AD230" s="298">
        <v>18.100000000000001</v>
      </c>
      <c r="AE230" s="303">
        <f t="shared" si="7"/>
        <v>343.9</v>
      </c>
      <c r="AF230" s="956" t="s">
        <v>6684</v>
      </c>
      <c r="AH230" s="567"/>
      <c r="AI230" s="567"/>
      <c r="AJ230" s="407"/>
      <c r="AK230" s="567"/>
      <c r="AL230" s="407"/>
      <c r="AM230" s="407"/>
      <c r="AT230" s="13"/>
      <c r="AU230" s="13"/>
    </row>
    <row r="231" spans="2:65" s="572" customFormat="1" ht="31.95" customHeight="1" x14ac:dyDescent="0.2">
      <c r="B231" s="24"/>
      <c r="C231" s="1234" t="s">
        <v>5205</v>
      </c>
      <c r="D231" s="1235"/>
      <c r="E231" s="1235"/>
      <c r="F231" s="1235"/>
      <c r="G231" s="1235"/>
      <c r="H231" s="1235"/>
      <c r="I231" s="1235"/>
      <c r="J231" s="1236"/>
      <c r="L231" s="24"/>
      <c r="M231" s="146"/>
      <c r="N231" s="571"/>
      <c r="O231" s="571"/>
      <c r="P231" s="571"/>
      <c r="Q231" s="571"/>
      <c r="R231" s="571"/>
      <c r="S231" s="571"/>
      <c r="T231" s="43"/>
      <c r="W231" s="158"/>
      <c r="X231" s="207" t="s">
        <v>6194</v>
      </c>
      <c r="Y231" s="293" t="s">
        <v>231</v>
      </c>
      <c r="Z231" s="294" t="s">
        <v>5399</v>
      </c>
      <c r="AA231" s="295" t="s">
        <v>6191</v>
      </c>
      <c r="AB231" s="296" t="s">
        <v>1194</v>
      </c>
      <c r="AC231" s="297">
        <f>11+8</f>
        <v>19</v>
      </c>
      <c r="AD231" s="298">
        <v>13.2</v>
      </c>
      <c r="AE231" s="303">
        <f t="shared" si="7"/>
        <v>250.8</v>
      </c>
      <c r="AF231" s="956" t="s">
        <v>6684</v>
      </c>
      <c r="AH231" s="567"/>
      <c r="AI231" s="567"/>
      <c r="AJ231" s="407"/>
      <c r="AK231" s="567"/>
      <c r="AL231" s="407"/>
      <c r="AM231" s="407"/>
      <c r="AT231" s="13"/>
      <c r="AU231" s="13"/>
    </row>
    <row r="232" spans="2:65" s="572" customFormat="1" ht="22.2" customHeight="1" x14ac:dyDescent="0.2">
      <c r="B232" s="24"/>
      <c r="C232" s="1234" t="s">
        <v>5205</v>
      </c>
      <c r="D232" s="1235"/>
      <c r="E232" s="1235"/>
      <c r="F232" s="1235"/>
      <c r="G232" s="1235"/>
      <c r="H232" s="1235"/>
      <c r="I232" s="1235"/>
      <c r="J232" s="1236"/>
      <c r="L232" s="24"/>
      <c r="M232" s="146"/>
      <c r="N232" s="571"/>
      <c r="O232" s="571"/>
      <c r="P232" s="571"/>
      <c r="Q232" s="571"/>
      <c r="R232" s="571"/>
      <c r="S232" s="571"/>
      <c r="T232" s="43"/>
      <c r="W232" s="158"/>
      <c r="X232" s="207" t="s">
        <v>6197</v>
      </c>
      <c r="Y232" s="293" t="s">
        <v>231</v>
      </c>
      <c r="Z232" s="294" t="s">
        <v>6195</v>
      </c>
      <c r="AA232" s="295" t="s">
        <v>6196</v>
      </c>
      <c r="AB232" s="296" t="s">
        <v>1194</v>
      </c>
      <c r="AC232" s="297">
        <f>11+8</f>
        <v>19</v>
      </c>
      <c r="AD232" s="298">
        <v>33</v>
      </c>
      <c r="AE232" s="303">
        <f t="shared" si="7"/>
        <v>627</v>
      </c>
      <c r="AF232" s="956" t="s">
        <v>6684</v>
      </c>
      <c r="AH232" s="567"/>
      <c r="AI232" s="567"/>
      <c r="AJ232" s="407"/>
      <c r="AK232" s="567"/>
      <c r="AL232" s="407"/>
      <c r="AM232" s="407"/>
      <c r="AT232" s="13"/>
      <c r="AU232" s="13"/>
    </row>
    <row r="233" spans="2:65" s="1" customFormat="1" ht="27" customHeight="1" x14ac:dyDescent="0.2">
      <c r="B233" s="118"/>
      <c r="C233" s="205" t="s">
        <v>285</v>
      </c>
      <c r="D233" s="119" t="s">
        <v>231</v>
      </c>
      <c r="E233" s="120" t="s">
        <v>1261</v>
      </c>
      <c r="F233" s="121" t="s">
        <v>1262</v>
      </c>
      <c r="G233" s="122" t="s">
        <v>570</v>
      </c>
      <c r="H233" s="123">
        <v>1.8</v>
      </c>
      <c r="I233" s="213">
        <v>10.32</v>
      </c>
      <c r="J233" s="124">
        <f>ROUND(I233*H233,2)</f>
        <v>18.579999999999998</v>
      </c>
      <c r="K233" s="121" t="s">
        <v>1</v>
      </c>
      <c r="L233" s="24"/>
      <c r="M233" s="125" t="s">
        <v>1</v>
      </c>
      <c r="N233" s="126" t="s">
        <v>32</v>
      </c>
      <c r="O233" s="127">
        <v>0</v>
      </c>
      <c r="P233" s="127">
        <f>O233*H233</f>
        <v>0</v>
      </c>
      <c r="Q233" s="127">
        <v>0</v>
      </c>
      <c r="R233" s="127">
        <f>Q233*H233</f>
        <v>0</v>
      </c>
      <c r="S233" s="127">
        <v>0</v>
      </c>
      <c r="T233" s="128">
        <f>S233*H233</f>
        <v>0</v>
      </c>
      <c r="W233" s="199"/>
      <c r="X233" s="205" t="s">
        <v>285</v>
      </c>
      <c r="Y233" s="119" t="s">
        <v>231</v>
      </c>
      <c r="Z233" s="120" t="s">
        <v>1261</v>
      </c>
      <c r="AA233" s="121" t="s">
        <v>1262</v>
      </c>
      <c r="AB233" s="122" t="s">
        <v>570</v>
      </c>
      <c r="AC233" s="123">
        <v>1.8</v>
      </c>
      <c r="AD233" s="213">
        <f>10+21.72+10.115+6.81</f>
        <v>48.645000000000003</v>
      </c>
      <c r="AE233" s="200">
        <f>ROUND(AD233*AC233,2)</f>
        <v>87.56</v>
      </c>
      <c r="AF233" s="956" t="s">
        <v>6685</v>
      </c>
      <c r="AH233" s="567"/>
      <c r="AI233" s="567"/>
      <c r="AJ233" s="407"/>
      <c r="AK233" s="567"/>
      <c r="AL233" s="407"/>
      <c r="AM233" s="407"/>
      <c r="AR233" s="129" t="s">
        <v>258</v>
      </c>
      <c r="AT233" s="129" t="s">
        <v>231</v>
      </c>
      <c r="AU233" s="129" t="s">
        <v>76</v>
      </c>
      <c r="AY233" s="13" t="s">
        <v>228</v>
      </c>
      <c r="BE233" s="130">
        <f>IF(N233="základná",J233,0)</f>
        <v>0</v>
      </c>
      <c r="BF233" s="130">
        <f>IF(N233="znížená",J233,0)</f>
        <v>18.579999999999998</v>
      </c>
      <c r="BG233" s="130">
        <f>IF(N233="zákl. prenesená",J233,0)</f>
        <v>0</v>
      </c>
      <c r="BH233" s="130">
        <f>IF(N233="zníž. prenesená",J233,0)</f>
        <v>0</v>
      </c>
      <c r="BI233" s="130">
        <f>IF(N233="nulová",J233,0)</f>
        <v>0</v>
      </c>
      <c r="BJ233" s="13" t="s">
        <v>76</v>
      </c>
      <c r="BK233" s="130">
        <f>ROUND(I233*H233,2)</f>
        <v>18.579999999999998</v>
      </c>
      <c r="BL233" s="13" t="s">
        <v>258</v>
      </c>
      <c r="BM233" s="129" t="s">
        <v>340</v>
      </c>
    </row>
    <row r="234" spans="2:65" s="282" customFormat="1" ht="22.2" customHeight="1" x14ac:dyDescent="0.25">
      <c r="B234" s="118"/>
      <c r="C234" s="254"/>
      <c r="D234" s="254"/>
      <c r="E234" s="255"/>
      <c r="F234" s="222"/>
      <c r="G234" s="256"/>
      <c r="H234" s="257"/>
      <c r="I234" s="258"/>
      <c r="J234" s="258"/>
      <c r="K234" s="222"/>
      <c r="L234" s="24"/>
      <c r="M234" s="125"/>
      <c r="N234" s="126"/>
      <c r="O234" s="127"/>
      <c r="P234" s="127"/>
      <c r="Q234" s="127"/>
      <c r="R234" s="127"/>
      <c r="S234" s="127"/>
      <c r="T234" s="128"/>
      <c r="W234" s="199"/>
      <c r="X234" s="299"/>
      <c r="Y234" s="300" t="s">
        <v>57</v>
      </c>
      <c r="Z234" s="306" t="s">
        <v>2196</v>
      </c>
      <c r="AA234" s="306" t="s">
        <v>3642</v>
      </c>
      <c r="AB234" s="299"/>
      <c r="AC234" s="299"/>
      <c r="AD234" s="299"/>
      <c r="AE234" s="307">
        <f>AE235+AE250+AE254+AE259+AE262+AE239+AE248</f>
        <v>8673.9196000000011</v>
      </c>
      <c r="AF234" s="956"/>
      <c r="AH234" s="567"/>
      <c r="AI234" s="567"/>
      <c r="AJ234" s="407"/>
      <c r="AK234" s="567"/>
      <c r="AL234" s="407"/>
      <c r="AM234" s="407"/>
      <c r="AR234" s="129"/>
      <c r="AT234" s="129"/>
      <c r="AU234" s="129"/>
      <c r="AY234" s="13"/>
      <c r="BE234" s="130"/>
      <c r="BF234" s="130"/>
      <c r="BG234" s="130"/>
      <c r="BH234" s="130"/>
      <c r="BI234" s="130"/>
      <c r="BJ234" s="13"/>
      <c r="BK234" s="130"/>
      <c r="BL234" s="13"/>
      <c r="BM234" s="129"/>
    </row>
    <row r="235" spans="2:65" s="282" customFormat="1" ht="20.55" customHeight="1" x14ac:dyDescent="0.25">
      <c r="B235" s="118"/>
      <c r="C235" s="254"/>
      <c r="D235" s="254"/>
      <c r="E235" s="255"/>
      <c r="F235" s="222"/>
      <c r="G235" s="256"/>
      <c r="H235" s="257"/>
      <c r="I235" s="258"/>
      <c r="J235" s="258"/>
      <c r="K235" s="222"/>
      <c r="L235" s="24"/>
      <c r="M235" s="125"/>
      <c r="N235" s="126"/>
      <c r="O235" s="127"/>
      <c r="P235" s="127"/>
      <c r="Q235" s="127"/>
      <c r="R235" s="127"/>
      <c r="S235" s="127"/>
      <c r="T235" s="128"/>
      <c r="W235" s="199"/>
      <c r="X235" s="299"/>
      <c r="Y235" s="300" t="s">
        <v>57</v>
      </c>
      <c r="Z235" s="301" t="s">
        <v>2218</v>
      </c>
      <c r="AA235" s="301" t="s">
        <v>5505</v>
      </c>
      <c r="AB235" s="299"/>
      <c r="AC235" s="299"/>
      <c r="AD235" s="299"/>
      <c r="AE235" s="302">
        <f>SUM(AE236:AE238)</f>
        <v>2118.91</v>
      </c>
      <c r="AF235" s="956"/>
      <c r="AH235" s="567"/>
      <c r="AI235" s="567"/>
      <c r="AJ235" s="407"/>
      <c r="AK235" s="567"/>
      <c r="AL235" s="407"/>
      <c r="AM235" s="407"/>
      <c r="AR235" s="129"/>
      <c r="AT235" s="129"/>
      <c r="AU235" s="129"/>
      <c r="AY235" s="13"/>
      <c r="BE235" s="130"/>
      <c r="BF235" s="130"/>
      <c r="BG235" s="130"/>
      <c r="BH235" s="130"/>
      <c r="BI235" s="130"/>
      <c r="BJ235" s="13"/>
      <c r="BK235" s="130"/>
      <c r="BL235" s="13"/>
      <c r="BM235" s="129"/>
    </row>
    <row r="236" spans="2:65" s="282" customFormat="1" ht="30.75" customHeight="1" x14ac:dyDescent="0.2">
      <c r="B236" s="118"/>
      <c r="C236" s="1234" t="s">
        <v>5205</v>
      </c>
      <c r="D236" s="1235"/>
      <c r="E236" s="1235"/>
      <c r="F236" s="1235"/>
      <c r="G236" s="1235"/>
      <c r="H236" s="1235"/>
      <c r="I236" s="1235"/>
      <c r="J236" s="1236"/>
      <c r="K236" s="222"/>
      <c r="L236" s="24"/>
      <c r="M236" s="125"/>
      <c r="N236" s="126"/>
      <c r="O236" s="127"/>
      <c r="P236" s="127"/>
      <c r="Q236" s="127"/>
      <c r="R236" s="127"/>
      <c r="S236" s="127"/>
      <c r="T236" s="128"/>
      <c r="W236" s="199"/>
      <c r="X236" s="293" t="s">
        <v>5358</v>
      </c>
      <c r="Y236" s="293" t="s">
        <v>231</v>
      </c>
      <c r="Z236" s="294" t="s">
        <v>5506</v>
      </c>
      <c r="AA236" s="295" t="s">
        <v>5507</v>
      </c>
      <c r="AB236" s="296" t="s">
        <v>1194</v>
      </c>
      <c r="AC236" s="297">
        <v>3</v>
      </c>
      <c r="AD236" s="298">
        <v>123</v>
      </c>
      <c r="AE236" s="303">
        <f>ROUND(AD236*AC236,2)</f>
        <v>369</v>
      </c>
      <c r="AF236" s="956">
        <v>10</v>
      </c>
      <c r="AH236" s="567"/>
      <c r="AI236" s="567"/>
      <c r="AJ236" s="407"/>
      <c r="AK236" s="567"/>
      <c r="AL236" s="407"/>
      <c r="AM236" s="407"/>
      <c r="AR236" s="129"/>
      <c r="AT236" s="129"/>
      <c r="AU236" s="129"/>
      <c r="AY236" s="13"/>
      <c r="BE236" s="130"/>
      <c r="BF236" s="130"/>
      <c r="BG236" s="130"/>
      <c r="BH236" s="130"/>
      <c r="BI236" s="130"/>
      <c r="BJ236" s="13"/>
      <c r="BK236" s="130"/>
      <c r="BL236" s="13"/>
      <c r="BM236" s="129"/>
    </row>
    <row r="237" spans="2:65" s="282" customFormat="1" ht="29.25" customHeight="1" x14ac:dyDescent="0.2">
      <c r="B237" s="118"/>
      <c r="C237" s="1234" t="s">
        <v>5205</v>
      </c>
      <c r="D237" s="1235"/>
      <c r="E237" s="1235"/>
      <c r="F237" s="1235"/>
      <c r="G237" s="1235"/>
      <c r="H237" s="1235"/>
      <c r="I237" s="1235"/>
      <c r="J237" s="1236"/>
      <c r="K237" s="222"/>
      <c r="L237" s="24"/>
      <c r="M237" s="125"/>
      <c r="N237" s="126"/>
      <c r="O237" s="127"/>
      <c r="P237" s="127"/>
      <c r="Q237" s="127"/>
      <c r="R237" s="127"/>
      <c r="S237" s="127"/>
      <c r="T237" s="128"/>
      <c r="W237" s="199"/>
      <c r="X237" s="293" t="s">
        <v>5359</v>
      </c>
      <c r="Y237" s="293" t="s">
        <v>231</v>
      </c>
      <c r="Z237" s="294" t="s">
        <v>5508</v>
      </c>
      <c r="AA237" s="295" t="s">
        <v>5509</v>
      </c>
      <c r="AB237" s="296" t="s">
        <v>1194</v>
      </c>
      <c r="AC237" s="297">
        <v>1</v>
      </c>
      <c r="AD237" s="298">
        <v>149.91</v>
      </c>
      <c r="AE237" s="303">
        <f>ROUND(AD237*AC237,2)</f>
        <v>149.91</v>
      </c>
      <c r="AF237" s="956">
        <v>10</v>
      </c>
      <c r="AH237" s="567"/>
      <c r="AI237" s="567"/>
      <c r="AJ237" s="407"/>
      <c r="AK237" s="567"/>
      <c r="AL237" s="407"/>
      <c r="AM237" s="407"/>
      <c r="AR237" s="129"/>
      <c r="AT237" s="129"/>
      <c r="AU237" s="129"/>
      <c r="AY237" s="13"/>
      <c r="BE237" s="130"/>
      <c r="BF237" s="130"/>
      <c r="BG237" s="130"/>
      <c r="BH237" s="130"/>
      <c r="BI237" s="130"/>
      <c r="BJ237" s="13"/>
      <c r="BK237" s="130"/>
      <c r="BL237" s="13"/>
      <c r="BM237" s="129"/>
    </row>
    <row r="238" spans="2:65" s="282" customFormat="1" ht="40.5" customHeight="1" x14ac:dyDescent="0.2">
      <c r="B238" s="118"/>
      <c r="C238" s="1234" t="s">
        <v>5205</v>
      </c>
      <c r="D238" s="1235"/>
      <c r="E238" s="1235"/>
      <c r="F238" s="1235"/>
      <c r="G238" s="1235"/>
      <c r="H238" s="1235"/>
      <c r="I238" s="1235"/>
      <c r="J238" s="1236"/>
      <c r="K238" s="222"/>
      <c r="L238" s="24"/>
      <c r="M238" s="125"/>
      <c r="N238" s="126"/>
      <c r="O238" s="127"/>
      <c r="P238" s="127"/>
      <c r="Q238" s="127"/>
      <c r="R238" s="127"/>
      <c r="S238" s="127"/>
      <c r="T238" s="128"/>
      <c r="W238" s="199"/>
      <c r="X238" s="293" t="s">
        <v>5360</v>
      </c>
      <c r="Y238" s="293" t="s">
        <v>231</v>
      </c>
      <c r="Z238" s="294" t="s">
        <v>5510</v>
      </c>
      <c r="AA238" s="295" t="s">
        <v>5511</v>
      </c>
      <c r="AB238" s="296" t="s">
        <v>1194</v>
      </c>
      <c r="AC238" s="297">
        <v>10</v>
      </c>
      <c r="AD238" s="298">
        <v>160</v>
      </c>
      <c r="AE238" s="303">
        <f>ROUND(AD238*AC238,2)</f>
        <v>1600</v>
      </c>
      <c r="AF238" s="956">
        <v>10</v>
      </c>
      <c r="AH238" s="567"/>
      <c r="AI238" s="567"/>
      <c r="AJ238" s="407"/>
      <c r="AK238" s="567"/>
      <c r="AL238" s="407"/>
      <c r="AM238" s="407"/>
      <c r="AR238" s="129"/>
      <c r="AT238" s="129"/>
      <c r="AU238" s="129"/>
      <c r="AY238" s="13"/>
      <c r="BE238" s="130"/>
      <c r="BF238" s="130"/>
      <c r="BG238" s="130"/>
      <c r="BH238" s="130"/>
      <c r="BI238" s="130"/>
      <c r="BJ238" s="13"/>
      <c r="BK238" s="130"/>
      <c r="BL238" s="13"/>
      <c r="BM238" s="129"/>
    </row>
    <row r="239" spans="2:65" s="572" customFormat="1" ht="31.2" customHeight="1" x14ac:dyDescent="0.25">
      <c r="B239" s="118"/>
      <c r="C239" s="284"/>
      <c r="D239" s="284"/>
      <c r="E239" s="284"/>
      <c r="F239" s="284"/>
      <c r="G239" s="284"/>
      <c r="H239" s="284"/>
      <c r="I239" s="284"/>
      <c r="J239" s="284"/>
      <c r="K239" s="222"/>
      <c r="L239" s="24"/>
      <c r="M239" s="125"/>
      <c r="N239" s="126"/>
      <c r="O239" s="127"/>
      <c r="P239" s="127"/>
      <c r="Q239" s="127"/>
      <c r="R239" s="127"/>
      <c r="S239" s="127"/>
      <c r="T239" s="128"/>
      <c r="W239" s="199"/>
      <c r="X239" s="625"/>
      <c r="Y239" s="625"/>
      <c r="Z239" s="626"/>
      <c r="AA239" s="201" t="s">
        <v>6209</v>
      </c>
      <c r="AB239" s="627"/>
      <c r="AC239" s="628"/>
      <c r="AD239" s="629"/>
      <c r="AE239" s="302">
        <f>SUM(AE240:AE247)</f>
        <v>2596.66</v>
      </c>
      <c r="AF239" s="956"/>
      <c r="AH239" s="567"/>
      <c r="AI239" s="567"/>
      <c r="AJ239" s="407"/>
      <c r="AK239" s="567"/>
      <c r="AL239" s="407"/>
      <c r="AM239" s="407"/>
      <c r="AR239" s="129"/>
      <c r="AT239" s="129"/>
      <c r="AU239" s="129"/>
      <c r="AY239" s="13"/>
      <c r="BE239" s="130"/>
      <c r="BF239" s="130"/>
      <c r="BG239" s="130"/>
      <c r="BH239" s="130"/>
      <c r="BI239" s="130"/>
      <c r="BJ239" s="13"/>
      <c r="BK239" s="130"/>
      <c r="BL239" s="13"/>
      <c r="BM239" s="129"/>
    </row>
    <row r="240" spans="2:65" s="572" customFormat="1" ht="19.2" customHeight="1" x14ac:dyDescent="0.2">
      <c r="B240" s="118"/>
      <c r="C240" s="624"/>
      <c r="D240" s="624"/>
      <c r="E240" s="624"/>
      <c r="F240" s="624"/>
      <c r="G240" s="624"/>
      <c r="H240" s="624"/>
      <c r="I240" s="624"/>
      <c r="J240" s="624"/>
      <c r="K240" s="222"/>
      <c r="L240" s="24"/>
      <c r="M240" s="125"/>
      <c r="N240" s="126"/>
      <c r="O240" s="127"/>
      <c r="P240" s="127"/>
      <c r="Q240" s="127"/>
      <c r="R240" s="127"/>
      <c r="S240" s="127"/>
      <c r="T240" s="128"/>
      <c r="W240" s="199"/>
      <c r="X240" s="207" t="s">
        <v>6218</v>
      </c>
      <c r="Y240" s="207" t="s">
        <v>231</v>
      </c>
      <c r="Z240" s="294" t="s">
        <v>3668</v>
      </c>
      <c r="AA240" s="295" t="s">
        <v>6198</v>
      </c>
      <c r="AB240" s="296" t="s">
        <v>1194</v>
      </c>
      <c r="AC240" s="297">
        <f>11+8</f>
        <v>19</v>
      </c>
      <c r="AD240" s="298">
        <v>2.29</v>
      </c>
      <c r="AE240" s="303">
        <f>AC240*AD240</f>
        <v>43.51</v>
      </c>
      <c r="AF240" s="956" t="s">
        <v>6684</v>
      </c>
      <c r="AH240" s="567"/>
      <c r="AI240" s="567"/>
      <c r="AJ240" s="407"/>
      <c r="AK240" s="567"/>
      <c r="AL240" s="407"/>
      <c r="AM240" s="407"/>
      <c r="AR240" s="129"/>
      <c r="AT240" s="129"/>
      <c r="AU240" s="129"/>
      <c r="AY240" s="13"/>
      <c r="BE240" s="130"/>
      <c r="BF240" s="130"/>
      <c r="BG240" s="130"/>
      <c r="BH240" s="130"/>
      <c r="BI240" s="130"/>
      <c r="BJ240" s="13"/>
      <c r="BK240" s="130"/>
      <c r="BL240" s="13"/>
      <c r="BM240" s="129"/>
    </row>
    <row r="241" spans="2:65" s="572" customFormat="1" ht="19.2" customHeight="1" x14ac:dyDescent="0.2">
      <c r="B241" s="118"/>
      <c r="C241" s="624"/>
      <c r="D241" s="624"/>
      <c r="E241" s="624"/>
      <c r="F241" s="624"/>
      <c r="G241" s="624"/>
      <c r="H241" s="624"/>
      <c r="I241" s="624"/>
      <c r="J241" s="624"/>
      <c r="K241" s="222"/>
      <c r="L241" s="24"/>
      <c r="M241" s="125"/>
      <c r="N241" s="126"/>
      <c r="O241" s="127"/>
      <c r="P241" s="127"/>
      <c r="Q241" s="127"/>
      <c r="R241" s="127"/>
      <c r="S241" s="127"/>
      <c r="T241" s="128"/>
      <c r="W241" s="199"/>
      <c r="X241" s="207" t="s">
        <v>6219</v>
      </c>
      <c r="Y241" s="207" t="s">
        <v>231</v>
      </c>
      <c r="Z241" s="294" t="s">
        <v>6199</v>
      </c>
      <c r="AA241" s="295" t="s">
        <v>6200</v>
      </c>
      <c r="AB241" s="296" t="s">
        <v>1194</v>
      </c>
      <c r="AC241" s="297">
        <v>1</v>
      </c>
      <c r="AD241" s="298">
        <v>127</v>
      </c>
      <c r="AE241" s="303">
        <f t="shared" ref="AE241:AE247" si="8">AC241*AD241</f>
        <v>127</v>
      </c>
      <c r="AF241" s="956" t="s">
        <v>5343</v>
      </c>
      <c r="AH241" s="567"/>
      <c r="AI241" s="567"/>
      <c r="AJ241" s="407"/>
      <c r="AK241" s="567"/>
      <c r="AL241" s="407"/>
      <c r="AM241" s="407"/>
      <c r="AR241" s="129"/>
      <c r="AT241" s="129"/>
      <c r="AU241" s="129"/>
      <c r="AY241" s="13"/>
      <c r="BE241" s="130"/>
      <c r="BF241" s="130"/>
      <c r="BG241" s="130"/>
      <c r="BH241" s="130"/>
      <c r="BI241" s="130"/>
      <c r="BJ241" s="13"/>
      <c r="BK241" s="130"/>
      <c r="BL241" s="13"/>
      <c r="BM241" s="129"/>
    </row>
    <row r="242" spans="2:65" s="572" customFormat="1" ht="19.2" customHeight="1" x14ac:dyDescent="0.2">
      <c r="B242" s="118"/>
      <c r="C242" s="624"/>
      <c r="D242" s="624"/>
      <c r="E242" s="624"/>
      <c r="F242" s="624"/>
      <c r="G242" s="624"/>
      <c r="H242" s="624"/>
      <c r="I242" s="624"/>
      <c r="J242" s="624"/>
      <c r="K242" s="222"/>
      <c r="L242" s="24"/>
      <c r="M242" s="125"/>
      <c r="N242" s="126"/>
      <c r="O242" s="127"/>
      <c r="P242" s="127"/>
      <c r="Q242" s="127"/>
      <c r="R242" s="127"/>
      <c r="S242" s="127"/>
      <c r="T242" s="128"/>
      <c r="W242" s="199"/>
      <c r="X242" s="207" t="s">
        <v>6220</v>
      </c>
      <c r="Y242" s="207" t="s">
        <v>231</v>
      </c>
      <c r="Z242" s="294" t="s">
        <v>6201</v>
      </c>
      <c r="AA242" s="295" t="s">
        <v>6202</v>
      </c>
      <c r="AB242" s="296" t="s">
        <v>1194</v>
      </c>
      <c r="AC242" s="297">
        <v>1</v>
      </c>
      <c r="AD242" s="298">
        <v>118</v>
      </c>
      <c r="AE242" s="303">
        <f t="shared" si="8"/>
        <v>118</v>
      </c>
      <c r="AF242" s="956" t="s">
        <v>5343</v>
      </c>
      <c r="AH242" s="567"/>
      <c r="AI242" s="567"/>
      <c r="AJ242" s="407"/>
      <c r="AK242" s="567"/>
      <c r="AL242" s="407"/>
      <c r="AM242" s="407"/>
      <c r="AR242" s="129"/>
      <c r="AT242" s="129"/>
      <c r="AU242" s="129"/>
      <c r="AY242" s="13"/>
      <c r="BE242" s="130"/>
      <c r="BF242" s="130"/>
      <c r="BG242" s="130"/>
      <c r="BH242" s="130"/>
      <c r="BI242" s="130"/>
      <c r="BJ242" s="13"/>
      <c r="BK242" s="130"/>
      <c r="BL242" s="13"/>
      <c r="BM242" s="129"/>
    </row>
    <row r="243" spans="2:65" s="572" customFormat="1" ht="19.2" customHeight="1" x14ac:dyDescent="0.2">
      <c r="B243" s="118"/>
      <c r="C243" s="624"/>
      <c r="D243" s="624"/>
      <c r="E243" s="624"/>
      <c r="F243" s="624"/>
      <c r="G243" s="624"/>
      <c r="H243" s="624"/>
      <c r="I243" s="624"/>
      <c r="J243" s="624"/>
      <c r="K243" s="222"/>
      <c r="L243" s="24"/>
      <c r="M243" s="125"/>
      <c r="N243" s="126"/>
      <c r="O243" s="127"/>
      <c r="P243" s="127"/>
      <c r="Q243" s="127"/>
      <c r="R243" s="127"/>
      <c r="S243" s="127"/>
      <c r="T243" s="128"/>
      <c r="W243" s="199"/>
      <c r="X243" s="207" t="s">
        <v>6221</v>
      </c>
      <c r="Y243" s="207" t="s">
        <v>231</v>
      </c>
      <c r="Z243" s="294" t="s">
        <v>6203</v>
      </c>
      <c r="AA243" s="295" t="s">
        <v>6204</v>
      </c>
      <c r="AB243" s="296" t="s">
        <v>1194</v>
      </c>
      <c r="AC243" s="297">
        <f>4+1</f>
        <v>5</v>
      </c>
      <c r="AD243" s="298">
        <v>133</v>
      </c>
      <c r="AE243" s="303">
        <f t="shared" si="8"/>
        <v>665</v>
      </c>
      <c r="AF243" s="956" t="s">
        <v>6684</v>
      </c>
      <c r="AH243" s="567"/>
      <c r="AI243" s="567"/>
      <c r="AJ243" s="407"/>
      <c r="AK243" s="567"/>
      <c r="AL243" s="407"/>
      <c r="AM243" s="407"/>
      <c r="AR243" s="129"/>
      <c r="AT243" s="129"/>
      <c r="AU243" s="129"/>
      <c r="AY243" s="13"/>
      <c r="BE243" s="130"/>
      <c r="BF243" s="130"/>
      <c r="BG243" s="130"/>
      <c r="BH243" s="130"/>
      <c r="BI243" s="130"/>
      <c r="BJ243" s="13"/>
      <c r="BK243" s="130"/>
      <c r="BL243" s="13"/>
      <c r="BM243" s="129"/>
    </row>
    <row r="244" spans="2:65" s="572" customFormat="1" ht="19.2" customHeight="1" x14ac:dyDescent="0.2">
      <c r="B244" s="118"/>
      <c r="C244" s="624"/>
      <c r="D244" s="624"/>
      <c r="E244" s="624"/>
      <c r="F244" s="624"/>
      <c r="G244" s="624"/>
      <c r="H244" s="624"/>
      <c r="I244" s="624"/>
      <c r="J244" s="624"/>
      <c r="K244" s="222"/>
      <c r="L244" s="24"/>
      <c r="M244" s="125"/>
      <c r="N244" s="126"/>
      <c r="O244" s="127"/>
      <c r="P244" s="127"/>
      <c r="Q244" s="127"/>
      <c r="R244" s="127"/>
      <c r="S244" s="127"/>
      <c r="T244" s="128"/>
      <c r="W244" s="199"/>
      <c r="X244" s="207" t="s">
        <v>6222</v>
      </c>
      <c r="Y244" s="207" t="s">
        <v>231</v>
      </c>
      <c r="Z244" s="294" t="s">
        <v>6205</v>
      </c>
      <c r="AA244" s="295" t="s">
        <v>6206</v>
      </c>
      <c r="AB244" s="296" t="s">
        <v>1194</v>
      </c>
      <c r="AC244" s="297">
        <f>3+2</f>
        <v>5</v>
      </c>
      <c r="AD244" s="298">
        <v>138.99</v>
      </c>
      <c r="AE244" s="303">
        <f t="shared" si="8"/>
        <v>694.95</v>
      </c>
      <c r="AF244" s="956" t="s">
        <v>6684</v>
      </c>
      <c r="AH244" s="567"/>
      <c r="AI244" s="567"/>
      <c r="AJ244" s="407"/>
      <c r="AK244" s="567"/>
      <c r="AL244" s="407"/>
      <c r="AM244" s="407"/>
      <c r="AR244" s="129"/>
      <c r="AT244" s="129"/>
      <c r="AU244" s="129"/>
      <c r="AY244" s="13"/>
      <c r="BE244" s="130"/>
      <c r="BF244" s="130"/>
      <c r="BG244" s="130"/>
      <c r="BH244" s="130"/>
      <c r="BI244" s="130"/>
      <c r="BJ244" s="13"/>
      <c r="BK244" s="130"/>
      <c r="BL244" s="13"/>
      <c r="BM244" s="129"/>
    </row>
    <row r="245" spans="2:65" s="1084" customFormat="1" ht="19.2" customHeight="1" x14ac:dyDescent="0.2">
      <c r="B245" s="1028"/>
      <c r="C245" s="624"/>
      <c r="D245" s="624"/>
      <c r="E245" s="624"/>
      <c r="F245" s="624"/>
      <c r="G245" s="624"/>
      <c r="H245" s="624"/>
      <c r="I245" s="624"/>
      <c r="J245" s="624"/>
      <c r="K245" s="1000"/>
      <c r="L245" s="1027"/>
      <c r="M245" s="1035"/>
      <c r="N245" s="1036"/>
      <c r="O245" s="1037"/>
      <c r="P245" s="1037"/>
      <c r="Q245" s="1037"/>
      <c r="R245" s="1037"/>
      <c r="S245" s="1037"/>
      <c r="T245" s="1038"/>
      <c r="W245" s="1041"/>
      <c r="X245" s="1072" t="s">
        <v>6223</v>
      </c>
      <c r="Y245" s="1072" t="s">
        <v>231</v>
      </c>
      <c r="Z245" s="1073" t="s">
        <v>6701</v>
      </c>
      <c r="AA245" s="1074" t="s">
        <v>6702</v>
      </c>
      <c r="AB245" s="1075" t="s">
        <v>1194</v>
      </c>
      <c r="AC245" s="1076">
        <v>4</v>
      </c>
      <c r="AD245" s="1077">
        <v>138.99</v>
      </c>
      <c r="AE245" s="1078">
        <f t="shared" si="8"/>
        <v>555.96</v>
      </c>
      <c r="AF245" s="956">
        <v>22</v>
      </c>
      <c r="AH245" s="567"/>
      <c r="AI245" s="567"/>
      <c r="AJ245" s="407"/>
      <c r="AK245" s="567"/>
      <c r="AL245" s="407"/>
      <c r="AM245" s="407"/>
      <c r="AR245" s="1039"/>
      <c r="AT245" s="1039"/>
      <c r="AU245" s="1039"/>
      <c r="AY245" s="1026"/>
      <c r="BE245" s="1040"/>
      <c r="BF245" s="1040"/>
      <c r="BG245" s="1040"/>
      <c r="BH245" s="1040"/>
      <c r="BI245" s="1040"/>
      <c r="BJ245" s="1026"/>
      <c r="BK245" s="1040"/>
      <c r="BL245" s="1026"/>
      <c r="BM245" s="1039"/>
    </row>
    <row r="246" spans="2:65" s="572" customFormat="1" ht="19.2" customHeight="1" x14ac:dyDescent="0.2">
      <c r="B246" s="118"/>
      <c r="C246" s="624"/>
      <c r="D246" s="624"/>
      <c r="E246" s="624"/>
      <c r="F246" s="624"/>
      <c r="G246" s="624"/>
      <c r="H246" s="624"/>
      <c r="I246" s="624"/>
      <c r="J246" s="624"/>
      <c r="K246" s="222"/>
      <c r="L246" s="24"/>
      <c r="M246" s="125"/>
      <c r="N246" s="126"/>
      <c r="O246" s="127"/>
      <c r="P246" s="127"/>
      <c r="Q246" s="127"/>
      <c r="R246" s="127"/>
      <c r="S246" s="127"/>
      <c r="T246" s="128"/>
      <c r="W246" s="199"/>
      <c r="X246" s="207" t="s">
        <v>6224</v>
      </c>
      <c r="Y246" s="207" t="s">
        <v>231</v>
      </c>
      <c r="Z246" s="294" t="s">
        <v>6207</v>
      </c>
      <c r="AA246" s="295" t="s">
        <v>6208</v>
      </c>
      <c r="AB246" s="296" t="s">
        <v>1194</v>
      </c>
      <c r="AC246" s="297">
        <v>2</v>
      </c>
      <c r="AD246" s="298">
        <v>93</v>
      </c>
      <c r="AE246" s="303">
        <f t="shared" si="8"/>
        <v>186</v>
      </c>
      <c r="AF246" s="956" t="s">
        <v>5343</v>
      </c>
      <c r="AH246" s="567"/>
      <c r="AI246" s="567"/>
      <c r="AJ246" s="407"/>
      <c r="AK246" s="567"/>
      <c r="AL246" s="407"/>
      <c r="AM246" s="407"/>
      <c r="AR246" s="129"/>
      <c r="AT246" s="129"/>
      <c r="AU246" s="129"/>
      <c r="AY246" s="13"/>
      <c r="BE246" s="130"/>
      <c r="BF246" s="130"/>
      <c r="BG246" s="130"/>
      <c r="BH246" s="130"/>
      <c r="BI246" s="130"/>
      <c r="BJ246" s="13"/>
      <c r="BK246" s="130"/>
      <c r="BL246" s="13"/>
      <c r="BM246" s="129"/>
    </row>
    <row r="247" spans="2:65" s="1084" customFormat="1" ht="50.55" customHeight="1" x14ac:dyDescent="0.2">
      <c r="B247" s="1028"/>
      <c r="C247" s="624"/>
      <c r="D247" s="624"/>
      <c r="E247" s="624"/>
      <c r="F247" s="624"/>
      <c r="G247" s="624"/>
      <c r="H247" s="624"/>
      <c r="I247" s="624"/>
      <c r="J247" s="624"/>
      <c r="K247" s="1000"/>
      <c r="L247" s="1027"/>
      <c r="M247" s="1035"/>
      <c r="N247" s="1036"/>
      <c r="O247" s="1037"/>
      <c r="P247" s="1037"/>
      <c r="Q247" s="1037"/>
      <c r="R247" s="1037"/>
      <c r="S247" s="1037"/>
      <c r="T247" s="1038"/>
      <c r="W247" s="1041"/>
      <c r="X247" s="649" t="s">
        <v>6703</v>
      </c>
      <c r="Y247" s="649" t="s">
        <v>277</v>
      </c>
      <c r="Z247" s="650" t="s">
        <v>6704</v>
      </c>
      <c r="AA247" s="651" t="s">
        <v>6705</v>
      </c>
      <c r="AB247" s="652" t="s">
        <v>1194</v>
      </c>
      <c r="AC247" s="653">
        <v>1</v>
      </c>
      <c r="AD247" s="654">
        <v>206.24</v>
      </c>
      <c r="AE247" s="654">
        <f t="shared" si="8"/>
        <v>206.24</v>
      </c>
      <c r="AF247" s="956">
        <v>22</v>
      </c>
      <c r="AH247" s="567"/>
      <c r="AI247" s="567"/>
      <c r="AJ247" s="407"/>
      <c r="AK247" s="567"/>
      <c r="AL247" s="407"/>
      <c r="AM247" s="407"/>
      <c r="AR247" s="1039"/>
      <c r="AT247" s="1039"/>
      <c r="AU247" s="1039"/>
      <c r="AY247" s="1026"/>
      <c r="BE247" s="1040"/>
      <c r="BF247" s="1040"/>
      <c r="BG247" s="1040"/>
      <c r="BH247" s="1040"/>
      <c r="BI247" s="1040"/>
      <c r="BJ247" s="1026"/>
      <c r="BK247" s="1040"/>
      <c r="BL247" s="1026"/>
      <c r="BM247" s="1039"/>
    </row>
    <row r="248" spans="2:65" s="572" customFormat="1" ht="29.55" customHeight="1" x14ac:dyDescent="0.25">
      <c r="B248" s="118"/>
      <c r="C248" s="284"/>
      <c r="D248" s="284"/>
      <c r="E248" s="284"/>
      <c r="F248" s="284"/>
      <c r="G248" s="284"/>
      <c r="H248" s="284"/>
      <c r="I248" s="284"/>
      <c r="J248" s="284"/>
      <c r="K248" s="222"/>
      <c r="L248" s="24"/>
      <c r="M248" s="125"/>
      <c r="N248" s="126"/>
      <c r="O248" s="127"/>
      <c r="P248" s="127"/>
      <c r="Q248" s="127"/>
      <c r="R248" s="127"/>
      <c r="S248" s="127"/>
      <c r="T248" s="128"/>
      <c r="W248" s="199"/>
      <c r="X248" s="625"/>
      <c r="Y248" s="625"/>
      <c r="Z248" s="630" t="s">
        <v>4539</v>
      </c>
      <c r="AA248" s="201" t="s">
        <v>6210</v>
      </c>
      <c r="AB248" s="627"/>
      <c r="AC248" s="628"/>
      <c r="AD248" s="629"/>
      <c r="AE248" s="302">
        <f>AE249</f>
        <v>11.6496</v>
      </c>
      <c r="AF248" s="956"/>
      <c r="AH248" s="567"/>
      <c r="AI248" s="567"/>
      <c r="AJ248" s="407"/>
      <c r="AK248" s="567"/>
      <c r="AL248" s="407"/>
      <c r="AM248" s="407"/>
      <c r="AR248" s="129"/>
      <c r="AT248" s="129"/>
      <c r="AU248" s="129"/>
      <c r="AY248" s="13"/>
      <c r="BE248" s="130"/>
      <c r="BF248" s="130"/>
      <c r="BG248" s="130"/>
      <c r="BH248" s="130"/>
      <c r="BI248" s="130"/>
      <c r="BJ248" s="13"/>
      <c r="BK248" s="130"/>
      <c r="BL248" s="13"/>
      <c r="BM248" s="129"/>
    </row>
    <row r="249" spans="2:65" s="572" customFormat="1" ht="20.55" customHeight="1" x14ac:dyDescent="0.2">
      <c r="B249" s="118"/>
      <c r="C249" s="624"/>
      <c r="D249" s="624"/>
      <c r="E249" s="624"/>
      <c r="F249" s="624"/>
      <c r="G249" s="624"/>
      <c r="H249" s="624"/>
      <c r="I249" s="624"/>
      <c r="J249" s="624"/>
      <c r="K249" s="222"/>
      <c r="L249" s="24"/>
      <c r="M249" s="125"/>
      <c r="N249" s="126"/>
      <c r="O249" s="127"/>
      <c r="P249" s="127"/>
      <c r="Q249" s="127"/>
      <c r="R249" s="127"/>
      <c r="S249" s="127"/>
      <c r="T249" s="128"/>
      <c r="W249" s="199"/>
      <c r="X249" s="207" t="s">
        <v>6706</v>
      </c>
      <c r="Y249" s="207" t="s">
        <v>231</v>
      </c>
      <c r="Z249" s="294"/>
      <c r="AA249" s="295" t="s">
        <v>6211</v>
      </c>
      <c r="AB249" s="296" t="s">
        <v>284</v>
      </c>
      <c r="AC249" s="297">
        <f>5.835+6.3</f>
        <v>12.135</v>
      </c>
      <c r="AD249" s="298">
        <v>0.96</v>
      </c>
      <c r="AE249" s="303">
        <f>AC249*AD249</f>
        <v>11.6496</v>
      </c>
      <c r="AF249" s="956" t="s">
        <v>6684</v>
      </c>
      <c r="AH249" s="567"/>
      <c r="AI249" s="567"/>
      <c r="AJ249" s="407"/>
      <c r="AK249" s="567"/>
      <c r="AL249" s="407"/>
      <c r="AM249" s="407"/>
      <c r="AR249" s="129"/>
      <c r="AT249" s="129"/>
      <c r="AU249" s="129"/>
      <c r="AY249" s="13"/>
      <c r="BE249" s="130"/>
      <c r="BF249" s="130"/>
      <c r="BG249" s="130"/>
      <c r="BH249" s="130"/>
      <c r="BI249" s="130"/>
      <c r="BJ249" s="13"/>
      <c r="BK249" s="130"/>
      <c r="BL249" s="13"/>
      <c r="BM249" s="129"/>
    </row>
    <row r="250" spans="2:65" s="282" customFormat="1" ht="27" customHeight="1" x14ac:dyDescent="0.25">
      <c r="B250" s="118"/>
      <c r="C250" s="254"/>
      <c r="D250" s="254"/>
      <c r="E250" s="255"/>
      <c r="F250" s="222"/>
      <c r="G250" s="256"/>
      <c r="H250" s="257"/>
      <c r="I250" s="258"/>
      <c r="J250" s="258"/>
      <c r="K250" s="222"/>
      <c r="L250" s="24"/>
      <c r="M250" s="125"/>
      <c r="N250" s="126"/>
      <c r="O250" s="127"/>
      <c r="P250" s="127"/>
      <c r="Q250" s="127"/>
      <c r="R250" s="127"/>
      <c r="S250" s="127"/>
      <c r="T250" s="128"/>
      <c r="W250" s="199"/>
      <c r="X250" s="299"/>
      <c r="Y250" s="300" t="s">
        <v>57</v>
      </c>
      <c r="Z250" s="301" t="s">
        <v>2229</v>
      </c>
      <c r="AA250" s="301" t="s">
        <v>5512</v>
      </c>
      <c r="AB250" s="299"/>
      <c r="AC250" s="299"/>
      <c r="AD250" s="299"/>
      <c r="AE250" s="302">
        <f>SUM(AE251:AE253)</f>
        <v>2237.44</v>
      </c>
      <c r="AF250" s="956"/>
      <c r="AH250" s="567"/>
      <c r="AI250" s="567"/>
      <c r="AJ250" s="407"/>
      <c r="AK250" s="567"/>
      <c r="AL250" s="407"/>
      <c r="AM250" s="407"/>
      <c r="AR250" s="129"/>
      <c r="AT250" s="129"/>
      <c r="AU250" s="129"/>
      <c r="AY250" s="13"/>
      <c r="BE250" s="130"/>
      <c r="BF250" s="130"/>
      <c r="BG250" s="130"/>
      <c r="BH250" s="130"/>
      <c r="BI250" s="130"/>
      <c r="BJ250" s="13"/>
      <c r="BK250" s="130"/>
      <c r="BL250" s="13"/>
      <c r="BM250" s="129"/>
    </row>
    <row r="251" spans="2:65" s="282" customFormat="1" ht="30.75" customHeight="1" x14ac:dyDescent="0.2">
      <c r="B251" s="118"/>
      <c r="C251" s="1234" t="s">
        <v>5205</v>
      </c>
      <c r="D251" s="1235"/>
      <c r="E251" s="1235"/>
      <c r="F251" s="1235"/>
      <c r="G251" s="1235"/>
      <c r="H251" s="1235"/>
      <c r="I251" s="1235"/>
      <c r="J251" s="1236"/>
      <c r="K251" s="222"/>
      <c r="L251" s="24"/>
      <c r="M251" s="125"/>
      <c r="N251" s="126"/>
      <c r="O251" s="127"/>
      <c r="P251" s="127"/>
      <c r="Q251" s="127"/>
      <c r="R251" s="127"/>
      <c r="S251" s="127"/>
      <c r="T251" s="128"/>
      <c r="W251" s="199"/>
      <c r="X251" s="293" t="s">
        <v>5361</v>
      </c>
      <c r="Y251" s="293" t="s">
        <v>231</v>
      </c>
      <c r="Z251" s="294" t="s">
        <v>5513</v>
      </c>
      <c r="AA251" s="295" t="s">
        <v>5514</v>
      </c>
      <c r="AB251" s="296" t="s">
        <v>1194</v>
      </c>
      <c r="AC251" s="297">
        <v>1</v>
      </c>
      <c r="AD251" s="298">
        <v>1034.05</v>
      </c>
      <c r="AE251" s="303">
        <f>ROUND(AD251*AC251,2)</f>
        <v>1034.05</v>
      </c>
      <c r="AF251" s="956">
        <v>10</v>
      </c>
      <c r="AH251" s="567"/>
      <c r="AI251" s="567"/>
      <c r="AJ251" s="407"/>
      <c r="AK251" s="567"/>
      <c r="AL251" s="407"/>
      <c r="AM251" s="407"/>
      <c r="AR251" s="129"/>
      <c r="AT251" s="129"/>
      <c r="AU251" s="129"/>
      <c r="AY251" s="13"/>
      <c r="BE251" s="130"/>
      <c r="BF251" s="130"/>
      <c r="BG251" s="130"/>
      <c r="BH251" s="130"/>
      <c r="BI251" s="130"/>
      <c r="BJ251" s="13"/>
      <c r="BK251" s="130"/>
      <c r="BL251" s="13"/>
      <c r="BM251" s="129"/>
    </row>
    <row r="252" spans="2:65" s="282" customFormat="1" ht="30" customHeight="1" x14ac:dyDescent="0.2">
      <c r="B252" s="118"/>
      <c r="C252" s="1234" t="s">
        <v>5205</v>
      </c>
      <c r="D252" s="1235"/>
      <c r="E252" s="1235"/>
      <c r="F252" s="1235"/>
      <c r="G252" s="1235"/>
      <c r="H252" s="1235"/>
      <c r="I252" s="1235"/>
      <c r="J252" s="1236"/>
      <c r="K252" s="222"/>
      <c r="L252" s="24"/>
      <c r="M252" s="125"/>
      <c r="N252" s="126"/>
      <c r="O252" s="127"/>
      <c r="P252" s="127"/>
      <c r="Q252" s="127"/>
      <c r="R252" s="127"/>
      <c r="S252" s="127"/>
      <c r="T252" s="128"/>
      <c r="W252" s="199"/>
      <c r="X252" s="293" t="s">
        <v>5362</v>
      </c>
      <c r="Y252" s="293" t="s">
        <v>231</v>
      </c>
      <c r="Z252" s="294" t="s">
        <v>5515</v>
      </c>
      <c r="AA252" s="295" t="s">
        <v>5516</v>
      </c>
      <c r="AB252" s="296" t="s">
        <v>1194</v>
      </c>
      <c r="AC252" s="297">
        <v>1</v>
      </c>
      <c r="AD252" s="298">
        <v>1105.3900000000001</v>
      </c>
      <c r="AE252" s="303">
        <f>ROUND(AD252*AC252,2)</f>
        <v>1105.3900000000001</v>
      </c>
      <c r="AF252" s="956">
        <v>10</v>
      </c>
      <c r="AH252" s="567"/>
      <c r="AI252" s="567"/>
      <c r="AJ252" s="407"/>
      <c r="AK252" s="567"/>
      <c r="AL252" s="407"/>
      <c r="AM252" s="407"/>
      <c r="AR252" s="129"/>
      <c r="AT252" s="129"/>
      <c r="AU252" s="129"/>
      <c r="AY252" s="13"/>
      <c r="BE252" s="130"/>
      <c r="BF252" s="130"/>
      <c r="BG252" s="130"/>
      <c r="BH252" s="130"/>
      <c r="BI252" s="130"/>
      <c r="BJ252" s="13"/>
      <c r="BK252" s="130"/>
      <c r="BL252" s="13"/>
      <c r="BM252" s="129"/>
    </row>
    <row r="253" spans="2:65" s="282" customFormat="1" ht="32.25" customHeight="1" x14ac:dyDescent="0.2">
      <c r="B253" s="118"/>
      <c r="C253" s="1234" t="s">
        <v>5205</v>
      </c>
      <c r="D253" s="1235"/>
      <c r="E253" s="1235"/>
      <c r="F253" s="1235"/>
      <c r="G253" s="1235"/>
      <c r="H253" s="1235"/>
      <c r="I253" s="1235"/>
      <c r="J253" s="1236"/>
      <c r="K253" s="222"/>
      <c r="L253" s="24"/>
      <c r="M253" s="125"/>
      <c r="N253" s="126"/>
      <c r="O253" s="127"/>
      <c r="P253" s="127"/>
      <c r="Q253" s="127"/>
      <c r="R253" s="127"/>
      <c r="S253" s="127"/>
      <c r="T253" s="128"/>
      <c r="W253" s="199"/>
      <c r="X253" s="293" t="s">
        <v>5363</v>
      </c>
      <c r="Y253" s="293" t="s">
        <v>231</v>
      </c>
      <c r="Z253" s="294" t="s">
        <v>5517</v>
      </c>
      <c r="AA253" s="295" t="s">
        <v>5518</v>
      </c>
      <c r="AB253" s="296" t="s">
        <v>3722</v>
      </c>
      <c r="AC253" s="297">
        <v>2</v>
      </c>
      <c r="AD253" s="298">
        <v>49</v>
      </c>
      <c r="AE253" s="303">
        <f>ROUND(AD253*AC253,2)</f>
        <v>98</v>
      </c>
      <c r="AF253" s="956">
        <v>10</v>
      </c>
      <c r="AH253" s="567"/>
      <c r="AI253" s="567"/>
      <c r="AJ253" s="407"/>
      <c r="AK253" s="567"/>
      <c r="AL253" s="407"/>
      <c r="AM253" s="407"/>
      <c r="AR253" s="129"/>
      <c r="AT253" s="129"/>
      <c r="AU253" s="129"/>
      <c r="AY253" s="13"/>
      <c r="BE253" s="130"/>
      <c r="BF253" s="130"/>
      <c r="BG253" s="130"/>
      <c r="BH253" s="130"/>
      <c r="BI253" s="130"/>
      <c r="BJ253" s="13"/>
      <c r="BK253" s="130"/>
      <c r="BL253" s="13"/>
      <c r="BM253" s="129"/>
    </row>
    <row r="254" spans="2:65" s="282" customFormat="1" ht="27" customHeight="1" x14ac:dyDescent="0.25">
      <c r="B254" s="118"/>
      <c r="C254" s="254"/>
      <c r="D254" s="254"/>
      <c r="E254" s="255"/>
      <c r="F254" s="222"/>
      <c r="G254" s="256"/>
      <c r="H254" s="257"/>
      <c r="I254" s="258"/>
      <c r="J254" s="258"/>
      <c r="K254" s="222"/>
      <c r="L254" s="24"/>
      <c r="M254" s="125"/>
      <c r="N254" s="126"/>
      <c r="O254" s="127"/>
      <c r="P254" s="127"/>
      <c r="Q254" s="127"/>
      <c r="R254" s="127"/>
      <c r="S254" s="127"/>
      <c r="T254" s="128"/>
      <c r="W254" s="199"/>
      <c r="X254" s="299"/>
      <c r="Y254" s="300" t="s">
        <v>57</v>
      </c>
      <c r="Z254" s="301" t="s">
        <v>5519</v>
      </c>
      <c r="AA254" s="301" t="s">
        <v>5520</v>
      </c>
      <c r="AB254" s="299"/>
      <c r="AC254" s="299"/>
      <c r="AD254" s="299"/>
      <c r="AE254" s="302">
        <f>SUM(AE255:AE258)</f>
        <v>398.84000000000003</v>
      </c>
      <c r="AF254" s="956"/>
      <c r="AH254" s="567"/>
      <c r="AI254" s="567"/>
      <c r="AJ254" s="407"/>
      <c r="AK254" s="567"/>
      <c r="AL254" s="407"/>
      <c r="AM254" s="407"/>
      <c r="AR254" s="129"/>
      <c r="AT254" s="129"/>
      <c r="AU254" s="129"/>
      <c r="AY254" s="13"/>
      <c r="BE254" s="130"/>
      <c r="BF254" s="130"/>
      <c r="BG254" s="130"/>
      <c r="BH254" s="130"/>
      <c r="BI254" s="130"/>
      <c r="BJ254" s="13"/>
      <c r="BK254" s="130"/>
      <c r="BL254" s="13"/>
      <c r="BM254" s="129"/>
    </row>
    <row r="255" spans="2:65" s="282" customFormat="1" ht="19.2" customHeight="1" x14ac:dyDescent="0.2">
      <c r="B255" s="118"/>
      <c r="C255" s="1234" t="s">
        <v>5205</v>
      </c>
      <c r="D255" s="1235"/>
      <c r="E255" s="1235"/>
      <c r="F255" s="1235"/>
      <c r="G255" s="1235"/>
      <c r="H255" s="1235"/>
      <c r="I255" s="1235"/>
      <c r="J255" s="1236"/>
      <c r="K255" s="222"/>
      <c r="L255" s="24"/>
      <c r="M255" s="125"/>
      <c r="N255" s="126"/>
      <c r="O255" s="127"/>
      <c r="P255" s="127"/>
      <c r="Q255" s="127"/>
      <c r="R255" s="127"/>
      <c r="S255" s="127"/>
      <c r="T255" s="128"/>
      <c r="W255" s="199"/>
      <c r="X255" s="293" t="s">
        <v>5364</v>
      </c>
      <c r="Y255" s="293" t="s">
        <v>231</v>
      </c>
      <c r="Z255" s="294" t="s">
        <v>5521</v>
      </c>
      <c r="AA255" s="295" t="s">
        <v>5522</v>
      </c>
      <c r="AB255" s="296" t="s">
        <v>1194</v>
      </c>
      <c r="AC255" s="297">
        <v>1</v>
      </c>
      <c r="AD255" s="298">
        <v>129.9</v>
      </c>
      <c r="AE255" s="303">
        <f>ROUND(AD255*AC255,2)</f>
        <v>129.9</v>
      </c>
      <c r="AF255" s="956">
        <v>10</v>
      </c>
      <c r="AH255" s="567"/>
      <c r="AI255" s="567"/>
      <c r="AJ255" s="407"/>
      <c r="AK255" s="567"/>
      <c r="AL255" s="407"/>
      <c r="AM255" s="407"/>
      <c r="AR255" s="129"/>
      <c r="AT255" s="129"/>
      <c r="AU255" s="129"/>
      <c r="AY255" s="13"/>
      <c r="BE255" s="130"/>
      <c r="BF255" s="130"/>
      <c r="BG255" s="130"/>
      <c r="BH255" s="130"/>
      <c r="BI255" s="130"/>
      <c r="BJ255" s="13"/>
      <c r="BK255" s="130"/>
      <c r="BL255" s="13"/>
      <c r="BM255" s="129"/>
    </row>
    <row r="256" spans="2:65" s="282" customFormat="1" ht="19.2" customHeight="1" x14ac:dyDescent="0.2">
      <c r="B256" s="118"/>
      <c r="C256" s="1234" t="s">
        <v>5205</v>
      </c>
      <c r="D256" s="1235"/>
      <c r="E256" s="1235"/>
      <c r="F256" s="1235"/>
      <c r="G256" s="1235"/>
      <c r="H256" s="1235"/>
      <c r="I256" s="1235"/>
      <c r="J256" s="1236"/>
      <c r="K256" s="222"/>
      <c r="L256" s="24"/>
      <c r="M256" s="125"/>
      <c r="N256" s="126"/>
      <c r="O256" s="127"/>
      <c r="P256" s="127"/>
      <c r="Q256" s="127"/>
      <c r="R256" s="127"/>
      <c r="S256" s="127"/>
      <c r="T256" s="128"/>
      <c r="W256" s="199"/>
      <c r="X256" s="293" t="s">
        <v>5365</v>
      </c>
      <c r="Y256" s="293" t="s">
        <v>231</v>
      </c>
      <c r="Z256" s="294" t="s">
        <v>5523</v>
      </c>
      <c r="AA256" s="295" t="s">
        <v>5524</v>
      </c>
      <c r="AB256" s="296" t="s">
        <v>1194</v>
      </c>
      <c r="AC256" s="297">
        <v>1</v>
      </c>
      <c r="AD256" s="298">
        <v>97.8</v>
      </c>
      <c r="AE256" s="303">
        <f>ROUND(AD256*AC256,2)</f>
        <v>97.8</v>
      </c>
      <c r="AF256" s="956">
        <v>10</v>
      </c>
      <c r="AH256" s="567"/>
      <c r="AI256" s="567"/>
      <c r="AJ256" s="407"/>
      <c r="AK256" s="567"/>
      <c r="AL256" s="407"/>
      <c r="AM256" s="407"/>
      <c r="AR256" s="129"/>
      <c r="AT256" s="129"/>
      <c r="AU256" s="129"/>
      <c r="AY256" s="13"/>
      <c r="BE256" s="130"/>
      <c r="BF256" s="130"/>
      <c r="BG256" s="130"/>
      <c r="BH256" s="130"/>
      <c r="BI256" s="130"/>
      <c r="BJ256" s="13"/>
      <c r="BK256" s="130"/>
      <c r="BL256" s="13"/>
      <c r="BM256" s="129"/>
    </row>
    <row r="257" spans="2:65" s="282" customFormat="1" ht="19.2" customHeight="1" x14ac:dyDescent="0.2">
      <c r="B257" s="118"/>
      <c r="C257" s="1234" t="s">
        <v>5205</v>
      </c>
      <c r="D257" s="1235"/>
      <c r="E257" s="1235"/>
      <c r="F257" s="1235"/>
      <c r="G257" s="1235"/>
      <c r="H257" s="1235"/>
      <c r="I257" s="1235"/>
      <c r="J257" s="1236"/>
      <c r="K257" s="222"/>
      <c r="L257" s="24"/>
      <c r="M257" s="125"/>
      <c r="N257" s="126"/>
      <c r="O257" s="127"/>
      <c r="P257" s="127"/>
      <c r="Q257" s="127"/>
      <c r="R257" s="127"/>
      <c r="S257" s="127"/>
      <c r="T257" s="128"/>
      <c r="W257" s="199"/>
      <c r="X257" s="293" t="s">
        <v>5366</v>
      </c>
      <c r="Y257" s="293" t="s">
        <v>231</v>
      </c>
      <c r="Z257" s="294" t="s">
        <v>5525</v>
      </c>
      <c r="AA257" s="295" t="s">
        <v>3667</v>
      </c>
      <c r="AB257" s="296" t="s">
        <v>1172</v>
      </c>
      <c r="AC257" s="297">
        <f>16+16</f>
        <v>32</v>
      </c>
      <c r="AD257" s="298">
        <v>4.0599999999999996</v>
      </c>
      <c r="AE257" s="303">
        <f>ROUND(AD257*AC257,2)</f>
        <v>129.91999999999999</v>
      </c>
      <c r="AF257" s="956" t="s">
        <v>6697</v>
      </c>
      <c r="AH257" s="567"/>
      <c r="AI257" s="567"/>
      <c r="AJ257" s="407"/>
      <c r="AK257" s="567"/>
      <c r="AL257" s="407"/>
      <c r="AM257" s="407"/>
      <c r="AR257" s="129"/>
      <c r="AT257" s="129"/>
      <c r="AU257" s="129"/>
      <c r="AY257" s="13"/>
      <c r="BE257" s="130"/>
      <c r="BF257" s="130"/>
      <c r="BG257" s="130"/>
      <c r="BH257" s="130"/>
      <c r="BI257" s="130"/>
      <c r="BJ257" s="13"/>
      <c r="BK257" s="130"/>
      <c r="BL257" s="13"/>
      <c r="BM257" s="129"/>
    </row>
    <row r="258" spans="2:65" s="282" customFormat="1" ht="19.2" customHeight="1" x14ac:dyDescent="0.2">
      <c r="B258" s="118"/>
      <c r="C258" s="1234" t="s">
        <v>5205</v>
      </c>
      <c r="D258" s="1235"/>
      <c r="E258" s="1235"/>
      <c r="F258" s="1235"/>
      <c r="G258" s="1235"/>
      <c r="H258" s="1235"/>
      <c r="I258" s="1235"/>
      <c r="J258" s="1236"/>
      <c r="K258" s="222"/>
      <c r="L258" s="24"/>
      <c r="M258" s="125"/>
      <c r="N258" s="126"/>
      <c r="O258" s="127"/>
      <c r="P258" s="127"/>
      <c r="Q258" s="127"/>
      <c r="R258" s="127"/>
      <c r="S258" s="127"/>
      <c r="T258" s="128"/>
      <c r="W258" s="199"/>
      <c r="X258" s="293" t="s">
        <v>5367</v>
      </c>
      <c r="Y258" s="293" t="s">
        <v>231</v>
      </c>
      <c r="Z258" s="294" t="s">
        <v>3668</v>
      </c>
      <c r="AA258" s="295" t="s">
        <v>3669</v>
      </c>
      <c r="AB258" s="296" t="s">
        <v>1194</v>
      </c>
      <c r="AC258" s="297">
        <v>18</v>
      </c>
      <c r="AD258" s="298">
        <v>2.29</v>
      </c>
      <c r="AE258" s="303">
        <f>ROUND(AD258*AC258,2)</f>
        <v>41.22</v>
      </c>
      <c r="AF258" s="956">
        <v>10</v>
      </c>
      <c r="AH258" s="567"/>
      <c r="AI258" s="567"/>
      <c r="AJ258" s="407"/>
      <c r="AK258" s="567"/>
      <c r="AL258" s="407"/>
      <c r="AM258" s="407"/>
      <c r="AR258" s="129"/>
      <c r="AT258" s="129"/>
      <c r="AU258" s="129"/>
      <c r="AY258" s="13"/>
      <c r="BE258" s="130"/>
      <c r="BF258" s="130"/>
      <c r="BG258" s="130"/>
      <c r="BH258" s="130"/>
      <c r="BI258" s="130"/>
      <c r="BJ258" s="13"/>
      <c r="BK258" s="130"/>
      <c r="BL258" s="13"/>
      <c r="BM258" s="129"/>
    </row>
    <row r="259" spans="2:65" s="282" customFormat="1" ht="27" customHeight="1" x14ac:dyDescent="0.25">
      <c r="B259" s="118"/>
      <c r="C259" s="254"/>
      <c r="D259" s="254"/>
      <c r="E259" s="255"/>
      <c r="F259" s="222"/>
      <c r="G259" s="256"/>
      <c r="H259" s="257"/>
      <c r="I259" s="258"/>
      <c r="J259" s="258"/>
      <c r="K259" s="222"/>
      <c r="L259" s="24"/>
      <c r="M259" s="125"/>
      <c r="N259" s="126"/>
      <c r="O259" s="127"/>
      <c r="P259" s="127"/>
      <c r="Q259" s="127"/>
      <c r="R259" s="127"/>
      <c r="S259" s="127"/>
      <c r="T259" s="128"/>
      <c r="W259" s="199"/>
      <c r="X259" s="299"/>
      <c r="Y259" s="300" t="s">
        <v>57</v>
      </c>
      <c r="Z259" s="301" t="s">
        <v>2253</v>
      </c>
      <c r="AA259" s="301" t="s">
        <v>3670</v>
      </c>
      <c r="AB259" s="299"/>
      <c r="AC259" s="299"/>
      <c r="AD259" s="299"/>
      <c r="AE259" s="302">
        <f>SUM(AE260:AE261)</f>
        <v>266.99</v>
      </c>
      <c r="AF259" s="956"/>
      <c r="AH259" s="567"/>
      <c r="AI259" s="567"/>
      <c r="AJ259" s="407"/>
      <c r="AK259" s="567"/>
      <c r="AL259" s="407"/>
      <c r="AM259" s="407"/>
      <c r="AR259" s="129"/>
      <c r="AT259" s="129"/>
      <c r="AU259" s="129"/>
      <c r="AY259" s="13"/>
      <c r="BE259" s="130"/>
      <c r="BF259" s="130"/>
      <c r="BG259" s="130"/>
      <c r="BH259" s="130"/>
      <c r="BI259" s="130"/>
      <c r="BJ259" s="13"/>
      <c r="BK259" s="130"/>
      <c r="BL259" s="13"/>
      <c r="BM259" s="129"/>
    </row>
    <row r="260" spans="2:65" s="282" customFormat="1" ht="21.45" customHeight="1" x14ac:dyDescent="0.2">
      <c r="B260" s="118"/>
      <c r="C260" s="1234" t="s">
        <v>5205</v>
      </c>
      <c r="D260" s="1235"/>
      <c r="E260" s="1235"/>
      <c r="F260" s="1235"/>
      <c r="G260" s="1235"/>
      <c r="H260" s="1235"/>
      <c r="I260" s="1235"/>
      <c r="J260" s="1236"/>
      <c r="K260" s="222"/>
      <c r="L260" s="24"/>
      <c r="M260" s="125"/>
      <c r="N260" s="126"/>
      <c r="O260" s="127"/>
      <c r="P260" s="127"/>
      <c r="Q260" s="127"/>
      <c r="R260" s="127"/>
      <c r="S260" s="127"/>
      <c r="T260" s="128"/>
      <c r="W260" s="199"/>
      <c r="X260" s="293" t="s">
        <v>5368</v>
      </c>
      <c r="Y260" s="293" t="s">
        <v>231</v>
      </c>
      <c r="Z260" s="294" t="s">
        <v>3671</v>
      </c>
      <c r="AA260" s="295" t="s">
        <v>3672</v>
      </c>
      <c r="AB260" s="296" t="s">
        <v>1194</v>
      </c>
      <c r="AC260" s="297">
        <v>2</v>
      </c>
      <c r="AD260" s="298">
        <v>3.82</v>
      </c>
      <c r="AE260" s="303">
        <f>ROUND(AD260*AC260,2)</f>
        <v>7.64</v>
      </c>
      <c r="AF260" s="956">
        <v>10</v>
      </c>
      <c r="AH260" s="567"/>
      <c r="AI260" s="567"/>
      <c r="AJ260" s="407"/>
      <c r="AK260" s="567"/>
      <c r="AL260" s="407"/>
      <c r="AM260" s="407"/>
      <c r="AR260" s="129"/>
      <c r="AT260" s="129"/>
      <c r="AU260" s="129"/>
      <c r="AY260" s="13"/>
      <c r="BE260" s="130"/>
      <c r="BF260" s="130"/>
      <c r="BG260" s="130"/>
      <c r="BH260" s="130"/>
      <c r="BI260" s="130"/>
      <c r="BJ260" s="13"/>
      <c r="BK260" s="130"/>
      <c r="BL260" s="13"/>
      <c r="BM260" s="129"/>
    </row>
    <row r="261" spans="2:65" s="282" customFormat="1" ht="21.45" customHeight="1" x14ac:dyDescent="0.2">
      <c r="B261" s="118"/>
      <c r="C261" s="1234" t="s">
        <v>5205</v>
      </c>
      <c r="D261" s="1235"/>
      <c r="E261" s="1235"/>
      <c r="F261" s="1235"/>
      <c r="G261" s="1235"/>
      <c r="H261" s="1235"/>
      <c r="I261" s="1235"/>
      <c r="J261" s="1236"/>
      <c r="K261" s="222"/>
      <c r="L261" s="24"/>
      <c r="M261" s="125"/>
      <c r="N261" s="126"/>
      <c r="O261" s="127"/>
      <c r="P261" s="127"/>
      <c r="Q261" s="127"/>
      <c r="R261" s="127"/>
      <c r="S261" s="127"/>
      <c r="T261" s="128"/>
      <c r="W261" s="199"/>
      <c r="X261" s="293" t="s">
        <v>5369</v>
      </c>
      <c r="Y261" s="293" t="s">
        <v>231</v>
      </c>
      <c r="Z261" s="294" t="s">
        <v>3673</v>
      </c>
      <c r="AA261" s="295" t="s">
        <v>3674</v>
      </c>
      <c r="AB261" s="296" t="s">
        <v>1194</v>
      </c>
      <c r="AC261" s="297">
        <f>16+11+8</f>
        <v>35</v>
      </c>
      <c r="AD261" s="298">
        <v>7.41</v>
      </c>
      <c r="AE261" s="303">
        <f>ROUND(AD261*AC261,2)</f>
        <v>259.35000000000002</v>
      </c>
      <c r="AF261" s="956" t="s">
        <v>6696</v>
      </c>
      <c r="AH261" s="567"/>
      <c r="AI261" s="567"/>
      <c r="AJ261" s="407"/>
      <c r="AK261" s="567"/>
      <c r="AL261" s="407"/>
      <c r="AM261" s="407"/>
      <c r="AR261" s="129"/>
      <c r="AT261" s="129"/>
      <c r="AU261" s="129"/>
      <c r="AY261" s="13"/>
      <c r="BE261" s="130"/>
      <c r="BF261" s="130"/>
      <c r="BG261" s="130"/>
      <c r="BH261" s="130"/>
      <c r="BI261" s="130"/>
      <c r="BJ261" s="13"/>
      <c r="BK261" s="130"/>
      <c r="BL261" s="13"/>
      <c r="BM261" s="129"/>
    </row>
    <row r="262" spans="2:65" s="282" customFormat="1" ht="27" customHeight="1" x14ac:dyDescent="0.25">
      <c r="B262" s="118"/>
      <c r="C262" s="254"/>
      <c r="D262" s="254"/>
      <c r="E262" s="255"/>
      <c r="F262" s="222"/>
      <c r="G262" s="256"/>
      <c r="H262" s="257"/>
      <c r="I262" s="258"/>
      <c r="J262" s="258"/>
      <c r="K262" s="222"/>
      <c r="L262" s="24"/>
      <c r="M262" s="125"/>
      <c r="N262" s="126"/>
      <c r="O262" s="127"/>
      <c r="P262" s="127"/>
      <c r="Q262" s="127"/>
      <c r="R262" s="127"/>
      <c r="S262" s="127"/>
      <c r="T262" s="128"/>
      <c r="W262" s="199"/>
      <c r="X262" s="299"/>
      <c r="Y262" s="300" t="s">
        <v>57</v>
      </c>
      <c r="Z262" s="301" t="s">
        <v>2284</v>
      </c>
      <c r="AA262" s="301" t="s">
        <v>3675</v>
      </c>
      <c r="AB262" s="299"/>
      <c r="AC262" s="299"/>
      <c r="AD262" s="299"/>
      <c r="AE262" s="302">
        <f>SUM(AE263:AE272)</f>
        <v>1043.4299999999998</v>
      </c>
      <c r="AF262" s="956"/>
      <c r="AH262" s="567"/>
      <c r="AI262" s="567"/>
      <c r="AJ262" s="407"/>
      <c r="AK262" s="567"/>
      <c r="AL262" s="407"/>
      <c r="AM262" s="407"/>
      <c r="AR262" s="129"/>
      <c r="AT262" s="129"/>
      <c r="AU262" s="129"/>
      <c r="AY262" s="13"/>
      <c r="BE262" s="130"/>
      <c r="BF262" s="130"/>
      <c r="BG262" s="130"/>
      <c r="BH262" s="130"/>
      <c r="BI262" s="130"/>
      <c r="BJ262" s="13"/>
      <c r="BK262" s="130"/>
      <c r="BL262" s="13"/>
      <c r="BM262" s="129"/>
    </row>
    <row r="263" spans="2:65" s="572" customFormat="1" ht="27" customHeight="1" x14ac:dyDescent="0.2">
      <c r="B263" s="118"/>
      <c r="C263" s="1234" t="s">
        <v>5205</v>
      </c>
      <c r="D263" s="1235"/>
      <c r="E263" s="1235"/>
      <c r="F263" s="1235"/>
      <c r="G263" s="1235"/>
      <c r="H263" s="1235"/>
      <c r="I263" s="1235"/>
      <c r="J263" s="1236"/>
      <c r="K263" s="222"/>
      <c r="L263" s="24"/>
      <c r="M263" s="125"/>
      <c r="N263" s="126"/>
      <c r="O263" s="127"/>
      <c r="P263" s="127"/>
      <c r="Q263" s="127"/>
      <c r="R263" s="127"/>
      <c r="S263" s="127"/>
      <c r="T263" s="128"/>
      <c r="W263" s="199"/>
      <c r="X263" s="207" t="s">
        <v>6225</v>
      </c>
      <c r="Y263" s="293"/>
      <c r="Z263" s="294" t="s">
        <v>3680</v>
      </c>
      <c r="AA263" s="295" t="s">
        <v>6212</v>
      </c>
      <c r="AB263" s="296" t="s">
        <v>1194</v>
      </c>
      <c r="AC263" s="297">
        <v>2</v>
      </c>
      <c r="AD263" s="298">
        <v>20.9</v>
      </c>
      <c r="AE263" s="303">
        <f t="shared" ref="AE263:AE272" si="9">ROUND(AD263*AC263,2)</f>
        <v>41.8</v>
      </c>
      <c r="AF263" s="956" t="s">
        <v>5343</v>
      </c>
      <c r="AH263" s="567"/>
      <c r="AI263" s="567"/>
      <c r="AJ263" s="407"/>
      <c r="AK263" s="567"/>
      <c r="AL263" s="407"/>
      <c r="AM263" s="407"/>
      <c r="AR263" s="129"/>
      <c r="AT263" s="129"/>
      <c r="AU263" s="129"/>
      <c r="AY263" s="13"/>
      <c r="BE263" s="130"/>
      <c r="BF263" s="130"/>
      <c r="BG263" s="130"/>
      <c r="BH263" s="130"/>
      <c r="BI263" s="130"/>
      <c r="BJ263" s="13"/>
      <c r="BK263" s="130"/>
      <c r="BL263" s="13"/>
      <c r="BM263" s="129"/>
    </row>
    <row r="264" spans="2:65" s="282" customFormat="1" ht="20.55" customHeight="1" x14ac:dyDescent="0.2">
      <c r="B264" s="118"/>
      <c r="C264" s="1234" t="s">
        <v>5205</v>
      </c>
      <c r="D264" s="1235"/>
      <c r="E264" s="1235"/>
      <c r="F264" s="1235"/>
      <c r="G264" s="1235"/>
      <c r="H264" s="1235"/>
      <c r="I264" s="1235"/>
      <c r="J264" s="1236"/>
      <c r="K264" s="222"/>
      <c r="L264" s="24"/>
      <c r="M264" s="125"/>
      <c r="N264" s="126"/>
      <c r="O264" s="127"/>
      <c r="P264" s="127"/>
      <c r="Q264" s="127"/>
      <c r="R264" s="127"/>
      <c r="S264" s="127"/>
      <c r="T264" s="128"/>
      <c r="W264" s="199"/>
      <c r="X264" s="293" t="s">
        <v>5370</v>
      </c>
      <c r="Y264" s="293" t="s">
        <v>231</v>
      </c>
      <c r="Z264" s="294" t="s">
        <v>3682</v>
      </c>
      <c r="AA264" s="295" t="s">
        <v>3683</v>
      </c>
      <c r="AB264" s="296" t="s">
        <v>1194</v>
      </c>
      <c r="AC264" s="297">
        <f>7+7+3</f>
        <v>17</v>
      </c>
      <c r="AD264" s="298">
        <v>21.34</v>
      </c>
      <c r="AE264" s="303">
        <f t="shared" si="9"/>
        <v>362.78</v>
      </c>
      <c r="AF264" s="956" t="s">
        <v>6696</v>
      </c>
      <c r="AH264" s="567"/>
      <c r="AI264" s="567"/>
      <c r="AJ264" s="407"/>
      <c r="AK264" s="567"/>
      <c r="AL264" s="407"/>
      <c r="AM264" s="407"/>
      <c r="AR264" s="129"/>
      <c r="AT264" s="129"/>
      <c r="AU264" s="129"/>
      <c r="AY264" s="13"/>
      <c r="BE264" s="130"/>
      <c r="BF264" s="130"/>
      <c r="BG264" s="130"/>
      <c r="BH264" s="130"/>
      <c r="BI264" s="130"/>
      <c r="BJ264" s="13"/>
      <c r="BK264" s="130"/>
      <c r="BL264" s="13"/>
      <c r="BM264" s="129"/>
    </row>
    <row r="265" spans="2:65" s="1084" customFormat="1" ht="20.55" customHeight="1" x14ac:dyDescent="0.2">
      <c r="B265" s="1028"/>
      <c r="C265" s="1081"/>
      <c r="D265" s="1082"/>
      <c r="E265" s="1082"/>
      <c r="F265" s="1082"/>
      <c r="G265" s="1082"/>
      <c r="H265" s="1082"/>
      <c r="I265" s="1082"/>
      <c r="J265" s="1083"/>
      <c r="K265" s="1000"/>
      <c r="L265" s="1027"/>
      <c r="M265" s="1035"/>
      <c r="N265" s="1036"/>
      <c r="O265" s="1037"/>
      <c r="P265" s="1037"/>
      <c r="Q265" s="1037"/>
      <c r="R265" s="1037"/>
      <c r="S265" s="1037"/>
      <c r="T265" s="1038"/>
      <c r="W265" s="1041"/>
      <c r="X265" s="1072" t="s">
        <v>6225</v>
      </c>
      <c r="Y265" s="1072" t="s">
        <v>231</v>
      </c>
      <c r="Z265" s="1073" t="s">
        <v>3684</v>
      </c>
      <c r="AA265" s="1074" t="s">
        <v>3685</v>
      </c>
      <c r="AB265" s="1075" t="s">
        <v>1194</v>
      </c>
      <c r="AC265" s="1076">
        <v>4</v>
      </c>
      <c r="AD265" s="1077">
        <v>23.44</v>
      </c>
      <c r="AE265" s="1078">
        <f t="shared" si="9"/>
        <v>93.76</v>
      </c>
      <c r="AF265" s="956">
        <v>22</v>
      </c>
      <c r="AH265" s="567"/>
      <c r="AI265" s="567"/>
      <c r="AJ265" s="407"/>
      <c r="AK265" s="567"/>
      <c r="AL265" s="407"/>
      <c r="AM265" s="407"/>
      <c r="AR265" s="1039"/>
      <c r="AT265" s="1039"/>
      <c r="AU265" s="1039"/>
      <c r="AY265" s="1026"/>
      <c r="BE265" s="1040"/>
      <c r="BF265" s="1040"/>
      <c r="BG265" s="1040"/>
      <c r="BH265" s="1040"/>
      <c r="BI265" s="1040"/>
      <c r="BJ265" s="1026"/>
      <c r="BK265" s="1040"/>
      <c r="BL265" s="1026"/>
      <c r="BM265" s="1039"/>
    </row>
    <row r="266" spans="2:65" s="282" customFormat="1" ht="26.55" customHeight="1" x14ac:dyDescent="0.2">
      <c r="B266" s="118"/>
      <c r="C266" s="1234" t="s">
        <v>5205</v>
      </c>
      <c r="D266" s="1235"/>
      <c r="E266" s="1235"/>
      <c r="F266" s="1235"/>
      <c r="G266" s="1235"/>
      <c r="H266" s="1235"/>
      <c r="I266" s="1235"/>
      <c r="J266" s="1236"/>
      <c r="K266" s="222"/>
      <c r="L266" s="24"/>
      <c r="M266" s="125"/>
      <c r="N266" s="126"/>
      <c r="O266" s="127"/>
      <c r="P266" s="127"/>
      <c r="Q266" s="127"/>
      <c r="R266" s="127"/>
      <c r="S266" s="127"/>
      <c r="T266" s="128"/>
      <c r="W266" s="199"/>
      <c r="X266" s="293" t="s">
        <v>5371</v>
      </c>
      <c r="Y266" s="293" t="s">
        <v>231</v>
      </c>
      <c r="Z266" s="294" t="s">
        <v>5526</v>
      </c>
      <c r="AA266" s="295" t="s">
        <v>5527</v>
      </c>
      <c r="AB266" s="296" t="s">
        <v>1194</v>
      </c>
      <c r="AC266" s="297">
        <v>4</v>
      </c>
      <c r="AD266" s="298">
        <v>40</v>
      </c>
      <c r="AE266" s="303">
        <f t="shared" si="9"/>
        <v>160</v>
      </c>
      <c r="AF266" s="956">
        <v>10</v>
      </c>
      <c r="AH266" s="567"/>
      <c r="AI266" s="567"/>
      <c r="AJ266" s="407"/>
      <c r="AK266" s="567"/>
      <c r="AL266" s="407"/>
      <c r="AM266" s="407"/>
      <c r="AR266" s="129"/>
      <c r="AT266" s="129"/>
      <c r="AU266" s="129"/>
      <c r="AY266" s="13"/>
      <c r="BE266" s="130"/>
      <c r="BF266" s="130"/>
      <c r="BG266" s="130"/>
      <c r="BH266" s="130"/>
      <c r="BI266" s="130"/>
      <c r="BJ266" s="13"/>
      <c r="BK266" s="130"/>
      <c r="BL266" s="13"/>
      <c r="BM266" s="129"/>
    </row>
    <row r="267" spans="2:65" s="282" customFormat="1" ht="19.2" customHeight="1" x14ac:dyDescent="0.2">
      <c r="B267" s="118"/>
      <c r="C267" s="1234" t="s">
        <v>5205</v>
      </c>
      <c r="D267" s="1235"/>
      <c r="E267" s="1235"/>
      <c r="F267" s="1235"/>
      <c r="G267" s="1235"/>
      <c r="H267" s="1235"/>
      <c r="I267" s="1235"/>
      <c r="J267" s="1236"/>
      <c r="K267" s="222"/>
      <c r="L267" s="24"/>
      <c r="M267" s="125"/>
      <c r="N267" s="126"/>
      <c r="O267" s="127"/>
      <c r="P267" s="127"/>
      <c r="Q267" s="127"/>
      <c r="R267" s="127"/>
      <c r="S267" s="127"/>
      <c r="T267" s="128"/>
      <c r="W267" s="199"/>
      <c r="X267" s="293" t="s">
        <v>5372</v>
      </c>
      <c r="Y267" s="293" t="s">
        <v>231</v>
      </c>
      <c r="Z267" s="294" t="s">
        <v>5528</v>
      </c>
      <c r="AA267" s="295" t="s">
        <v>5529</v>
      </c>
      <c r="AB267" s="296" t="s">
        <v>1194</v>
      </c>
      <c r="AC267" s="297">
        <f>3+2</f>
        <v>5</v>
      </c>
      <c r="AD267" s="298">
        <v>21</v>
      </c>
      <c r="AE267" s="303">
        <f t="shared" si="9"/>
        <v>105</v>
      </c>
      <c r="AF267" s="956" t="s">
        <v>6179</v>
      </c>
      <c r="AH267" s="567"/>
      <c r="AI267" s="567"/>
      <c r="AJ267" s="407"/>
      <c r="AK267" s="567"/>
      <c r="AL267" s="407"/>
      <c r="AM267" s="407"/>
      <c r="AR267" s="129"/>
      <c r="AT267" s="129"/>
      <c r="AU267" s="129"/>
      <c r="AY267" s="13"/>
      <c r="BE267" s="130"/>
      <c r="BF267" s="130"/>
      <c r="BG267" s="130"/>
      <c r="BH267" s="130"/>
      <c r="BI267" s="130"/>
      <c r="BJ267" s="13"/>
      <c r="BK267" s="130"/>
      <c r="BL267" s="13"/>
      <c r="BM267" s="129"/>
    </row>
    <row r="268" spans="2:65" s="1084" customFormat="1" ht="29.55" customHeight="1" x14ac:dyDescent="0.2">
      <c r="B268" s="1028"/>
      <c r="C268" s="1081"/>
      <c r="D268" s="1082"/>
      <c r="E268" s="1082"/>
      <c r="F268" s="1082"/>
      <c r="G268" s="1082"/>
      <c r="H268" s="1082"/>
      <c r="I268" s="1082"/>
      <c r="J268" s="1083"/>
      <c r="K268" s="1000"/>
      <c r="L268" s="1027"/>
      <c r="M268" s="1035"/>
      <c r="N268" s="1036"/>
      <c r="O268" s="1037"/>
      <c r="P268" s="1037"/>
      <c r="Q268" s="1037"/>
      <c r="R268" s="1037"/>
      <c r="S268" s="1037"/>
      <c r="T268" s="1038"/>
      <c r="W268" s="1041"/>
      <c r="X268" s="1072" t="s">
        <v>6700</v>
      </c>
      <c r="Y268" s="1072" t="s">
        <v>231</v>
      </c>
      <c r="Z268" s="1073" t="s">
        <v>6698</v>
      </c>
      <c r="AA268" s="1074" t="s">
        <v>6699</v>
      </c>
      <c r="AB268" s="1075" t="s">
        <v>1194</v>
      </c>
      <c r="AC268" s="1076">
        <v>1</v>
      </c>
      <c r="AD268" s="1077">
        <v>8.76</v>
      </c>
      <c r="AE268" s="303">
        <f t="shared" si="9"/>
        <v>8.76</v>
      </c>
      <c r="AF268" s="956">
        <v>22</v>
      </c>
      <c r="AH268" s="567"/>
      <c r="AI268" s="567"/>
      <c r="AJ268" s="407"/>
      <c r="AK268" s="567"/>
      <c r="AL268" s="407"/>
      <c r="AM268" s="407"/>
      <c r="AR268" s="1039"/>
      <c r="AT268" s="1039"/>
      <c r="AU268" s="1039"/>
      <c r="AY268" s="1026"/>
      <c r="BE268" s="1040"/>
      <c r="BF268" s="1040"/>
      <c r="BG268" s="1040"/>
      <c r="BH268" s="1040"/>
      <c r="BI268" s="1040"/>
      <c r="BJ268" s="1026"/>
      <c r="BK268" s="1040"/>
      <c r="BL268" s="1026"/>
      <c r="BM268" s="1039"/>
    </row>
    <row r="269" spans="2:65" s="282" customFormat="1" ht="19.2" customHeight="1" x14ac:dyDescent="0.2">
      <c r="B269" s="118"/>
      <c r="C269" s="1234" t="s">
        <v>5205</v>
      </c>
      <c r="D269" s="1235"/>
      <c r="E269" s="1235"/>
      <c r="F269" s="1235"/>
      <c r="G269" s="1235"/>
      <c r="H269" s="1235"/>
      <c r="I269" s="1235"/>
      <c r="J269" s="1236"/>
      <c r="K269" s="222"/>
      <c r="L269" s="24"/>
      <c r="M269" s="125"/>
      <c r="N269" s="126"/>
      <c r="O269" s="127"/>
      <c r="P269" s="127"/>
      <c r="Q269" s="127"/>
      <c r="R269" s="127"/>
      <c r="S269" s="127"/>
      <c r="T269" s="128"/>
      <c r="W269" s="199"/>
      <c r="X269" s="293" t="s">
        <v>5373</v>
      </c>
      <c r="Y269" s="293" t="s">
        <v>231</v>
      </c>
      <c r="Z269" s="294" t="s">
        <v>5530</v>
      </c>
      <c r="AA269" s="295" t="s">
        <v>5531</v>
      </c>
      <c r="AB269" s="296" t="s">
        <v>1194</v>
      </c>
      <c r="AC269" s="297">
        <v>2</v>
      </c>
      <c r="AD269" s="298">
        <v>20</v>
      </c>
      <c r="AE269" s="303">
        <f t="shared" si="9"/>
        <v>40</v>
      </c>
      <c r="AF269" s="956">
        <v>10</v>
      </c>
      <c r="AH269" s="567"/>
      <c r="AI269" s="567"/>
      <c r="AJ269" s="407"/>
      <c r="AK269" s="567"/>
      <c r="AL269" s="407"/>
      <c r="AM269" s="407"/>
      <c r="AR269" s="129"/>
      <c r="AT269" s="129"/>
      <c r="AU269" s="129"/>
      <c r="AY269" s="13"/>
      <c r="BE269" s="130"/>
      <c r="BF269" s="130"/>
      <c r="BG269" s="130"/>
      <c r="BH269" s="130"/>
      <c r="BI269" s="130"/>
      <c r="BJ269" s="13"/>
      <c r="BK269" s="130"/>
      <c r="BL269" s="13"/>
      <c r="BM269" s="129"/>
    </row>
    <row r="270" spans="2:65" s="282" customFormat="1" ht="19.2" customHeight="1" x14ac:dyDescent="0.2">
      <c r="B270" s="118"/>
      <c r="C270" s="1234" t="s">
        <v>5205</v>
      </c>
      <c r="D270" s="1235"/>
      <c r="E270" s="1235"/>
      <c r="F270" s="1235"/>
      <c r="G270" s="1235"/>
      <c r="H270" s="1235"/>
      <c r="I270" s="1235"/>
      <c r="J270" s="1236"/>
      <c r="K270" s="222"/>
      <c r="L270" s="24"/>
      <c r="M270" s="125"/>
      <c r="N270" s="126"/>
      <c r="O270" s="127"/>
      <c r="P270" s="127"/>
      <c r="Q270" s="127"/>
      <c r="R270" s="127"/>
      <c r="S270" s="127"/>
      <c r="T270" s="128"/>
      <c r="W270" s="199"/>
      <c r="X270" s="207" t="s">
        <v>5376</v>
      </c>
      <c r="Y270" s="293" t="s">
        <v>231</v>
      </c>
      <c r="Z270" s="294" t="s">
        <v>5532</v>
      </c>
      <c r="AA270" s="295" t="s">
        <v>5533</v>
      </c>
      <c r="AB270" s="296" t="s">
        <v>1194</v>
      </c>
      <c r="AC270" s="297">
        <v>2</v>
      </c>
      <c r="AD270" s="298">
        <v>25</v>
      </c>
      <c r="AE270" s="303">
        <f t="shared" si="9"/>
        <v>50</v>
      </c>
      <c r="AF270" s="956">
        <v>10</v>
      </c>
      <c r="AH270" s="567"/>
      <c r="AI270" s="567"/>
      <c r="AJ270" s="407"/>
      <c r="AK270" s="567"/>
      <c r="AL270" s="407"/>
      <c r="AM270" s="407"/>
      <c r="AR270" s="129"/>
      <c r="AT270" s="129"/>
      <c r="AU270" s="129"/>
      <c r="AY270" s="13"/>
      <c r="BE270" s="130"/>
      <c r="BF270" s="130"/>
      <c r="BG270" s="130"/>
      <c r="BH270" s="130"/>
      <c r="BI270" s="130"/>
      <c r="BJ270" s="13"/>
      <c r="BK270" s="130"/>
      <c r="BL270" s="13"/>
      <c r="BM270" s="129"/>
    </row>
    <row r="271" spans="2:65" s="572" customFormat="1" ht="19.2" customHeight="1" x14ac:dyDescent="0.2">
      <c r="B271" s="118"/>
      <c r="C271" s="568"/>
      <c r="D271" s="569"/>
      <c r="E271" s="569"/>
      <c r="F271" s="569"/>
      <c r="G271" s="569"/>
      <c r="H271" s="569"/>
      <c r="I271" s="569"/>
      <c r="J271" s="570"/>
      <c r="K271" s="222"/>
      <c r="L271" s="24"/>
      <c r="M271" s="125"/>
      <c r="N271" s="126"/>
      <c r="O271" s="127"/>
      <c r="P271" s="127"/>
      <c r="Q271" s="127"/>
      <c r="R271" s="127"/>
      <c r="S271" s="127"/>
      <c r="T271" s="128"/>
      <c r="W271" s="199"/>
      <c r="X271" s="207" t="s">
        <v>6226</v>
      </c>
      <c r="Y271" s="293" t="s">
        <v>231</v>
      </c>
      <c r="Z271" s="294" t="s">
        <v>4535</v>
      </c>
      <c r="AA271" s="295" t="s">
        <v>6213</v>
      </c>
      <c r="AB271" s="296" t="s">
        <v>284</v>
      </c>
      <c r="AC271" s="297">
        <f>5.835+6.3</f>
        <v>12.135</v>
      </c>
      <c r="AD271" s="298">
        <v>2.5299999999999998</v>
      </c>
      <c r="AE271" s="303">
        <f t="shared" si="9"/>
        <v>30.7</v>
      </c>
      <c r="AF271" s="956" t="s">
        <v>6684</v>
      </c>
      <c r="AH271" s="567"/>
      <c r="AI271" s="567"/>
      <c r="AJ271" s="407"/>
      <c r="AK271" s="567"/>
      <c r="AL271" s="407"/>
      <c r="AM271" s="407"/>
      <c r="AR271" s="129"/>
      <c r="AT271" s="129"/>
      <c r="AU271" s="129"/>
      <c r="AY271" s="13"/>
      <c r="BE271" s="130"/>
      <c r="BF271" s="130"/>
      <c r="BG271" s="130"/>
      <c r="BH271" s="130"/>
      <c r="BI271" s="130"/>
      <c r="BJ271" s="13"/>
      <c r="BK271" s="130"/>
      <c r="BL271" s="13"/>
      <c r="BM271" s="129"/>
    </row>
    <row r="272" spans="2:65" s="282" customFormat="1" ht="19.2" customHeight="1" x14ac:dyDescent="0.2">
      <c r="B272" s="118"/>
      <c r="C272" s="1234" t="s">
        <v>5205</v>
      </c>
      <c r="D272" s="1235"/>
      <c r="E272" s="1235"/>
      <c r="F272" s="1235"/>
      <c r="G272" s="1235"/>
      <c r="H272" s="1235"/>
      <c r="I272" s="1235"/>
      <c r="J272" s="1236"/>
      <c r="K272" s="222"/>
      <c r="L272" s="24"/>
      <c r="M272" s="125"/>
      <c r="N272" s="126"/>
      <c r="O272" s="127"/>
      <c r="P272" s="127"/>
      <c r="Q272" s="127"/>
      <c r="R272" s="127"/>
      <c r="S272" s="127"/>
      <c r="T272" s="128"/>
      <c r="W272" s="199"/>
      <c r="X272" s="293" t="s">
        <v>5377</v>
      </c>
      <c r="Y272" s="293" t="s">
        <v>231</v>
      </c>
      <c r="Z272" s="294" t="s">
        <v>5534</v>
      </c>
      <c r="AA272" s="295" t="s">
        <v>3687</v>
      </c>
      <c r="AB272" s="296" t="s">
        <v>570</v>
      </c>
      <c r="AC272" s="297">
        <f>51.89+17.402+14.389</f>
        <v>83.680999999999997</v>
      </c>
      <c r="AD272" s="298">
        <v>1.8</v>
      </c>
      <c r="AE272" s="303">
        <f t="shared" si="9"/>
        <v>150.63</v>
      </c>
      <c r="AF272" s="956" t="s">
        <v>6696</v>
      </c>
      <c r="AH272" s="567"/>
      <c r="AI272" s="567"/>
      <c r="AJ272" s="407"/>
      <c r="AK272" s="567"/>
      <c r="AL272" s="407"/>
      <c r="AM272" s="407"/>
      <c r="AR272" s="129"/>
      <c r="AT272" s="129"/>
      <c r="AU272" s="129"/>
      <c r="AY272" s="13"/>
      <c r="BE272" s="130"/>
      <c r="BF272" s="130"/>
      <c r="BG272" s="130"/>
      <c r="BH272" s="130"/>
      <c r="BI272" s="130"/>
      <c r="BJ272" s="13"/>
      <c r="BK272" s="130"/>
      <c r="BL272" s="13"/>
      <c r="BM272" s="129"/>
    </row>
    <row r="273" spans="2:65" s="282" customFormat="1" ht="27" customHeight="1" x14ac:dyDescent="0.25">
      <c r="B273" s="118"/>
      <c r="C273" s="254"/>
      <c r="D273" s="254"/>
      <c r="E273" s="255"/>
      <c r="F273" s="222"/>
      <c r="G273" s="256"/>
      <c r="H273" s="257"/>
      <c r="I273" s="258"/>
      <c r="J273" s="258"/>
      <c r="K273" s="222"/>
      <c r="L273" s="24"/>
      <c r="M273" s="125"/>
      <c r="N273" s="126"/>
      <c r="O273" s="127"/>
      <c r="P273" s="127"/>
      <c r="Q273" s="127"/>
      <c r="R273" s="127"/>
      <c r="S273" s="127"/>
      <c r="T273" s="128"/>
      <c r="W273" s="199"/>
      <c r="X273" s="299"/>
      <c r="Y273" s="300" t="s">
        <v>57</v>
      </c>
      <c r="Z273" s="306" t="s">
        <v>2414</v>
      </c>
      <c r="AA273" s="306" t="s">
        <v>5535</v>
      </c>
      <c r="AB273" s="299"/>
      <c r="AC273" s="299"/>
      <c r="AD273" s="299"/>
      <c r="AE273" s="307">
        <f>AE274+AE279+AE284</f>
        <v>2114.2099999999996</v>
      </c>
      <c r="AF273" s="956"/>
      <c r="AH273" s="567"/>
      <c r="AI273" s="567"/>
      <c r="AJ273" s="407"/>
      <c r="AK273" s="567"/>
      <c r="AL273" s="407"/>
      <c r="AM273" s="407"/>
      <c r="AR273" s="129"/>
      <c r="AT273" s="129"/>
      <c r="AU273" s="129"/>
      <c r="AY273" s="13"/>
      <c r="BE273" s="130"/>
      <c r="BF273" s="130"/>
      <c r="BG273" s="130"/>
      <c r="BH273" s="130"/>
      <c r="BI273" s="130"/>
      <c r="BJ273" s="13"/>
      <c r="BK273" s="130"/>
      <c r="BL273" s="13"/>
      <c r="BM273" s="129"/>
    </row>
    <row r="274" spans="2:65" s="282" customFormat="1" ht="27" customHeight="1" x14ac:dyDescent="0.25">
      <c r="B274" s="118"/>
      <c r="C274" s="254"/>
      <c r="D274" s="254"/>
      <c r="E274" s="255"/>
      <c r="F274" s="222"/>
      <c r="G274" s="256"/>
      <c r="H274" s="257"/>
      <c r="I274" s="258"/>
      <c r="J274" s="258"/>
      <c r="K274" s="222"/>
      <c r="L274" s="24"/>
      <c r="M274" s="125"/>
      <c r="N274" s="126"/>
      <c r="O274" s="127"/>
      <c r="P274" s="127"/>
      <c r="Q274" s="127"/>
      <c r="R274" s="127"/>
      <c r="S274" s="127"/>
      <c r="T274" s="128"/>
      <c r="W274" s="199"/>
      <c r="X274" s="299"/>
      <c r="Y274" s="300" t="s">
        <v>57</v>
      </c>
      <c r="Z274" s="301" t="s">
        <v>2438</v>
      </c>
      <c r="AA274" s="301" t="s">
        <v>3690</v>
      </c>
      <c r="AB274" s="299"/>
      <c r="AC274" s="299"/>
      <c r="AD274" s="299"/>
      <c r="AE274" s="302">
        <f>SUM(AE275:AE278)</f>
        <v>736.66</v>
      </c>
      <c r="AF274" s="956"/>
      <c r="AH274" s="567"/>
      <c r="AI274" s="567"/>
      <c r="AJ274" s="407"/>
      <c r="AK274" s="567"/>
      <c r="AL274" s="407"/>
      <c r="AM274" s="407"/>
      <c r="AR274" s="129"/>
      <c r="AT274" s="129"/>
      <c r="AU274" s="129"/>
      <c r="AY274" s="13"/>
      <c r="BE274" s="130"/>
      <c r="BF274" s="130"/>
      <c r="BG274" s="130"/>
      <c r="BH274" s="130"/>
      <c r="BI274" s="130"/>
      <c r="BJ274" s="13"/>
      <c r="BK274" s="130"/>
      <c r="BL274" s="13"/>
      <c r="BM274" s="129"/>
    </row>
    <row r="275" spans="2:65" s="282" customFormat="1" ht="17.25" customHeight="1" x14ac:dyDescent="0.2">
      <c r="B275" s="118"/>
      <c r="C275" s="1234" t="s">
        <v>5205</v>
      </c>
      <c r="D275" s="1235"/>
      <c r="E275" s="1235"/>
      <c r="F275" s="1235"/>
      <c r="G275" s="1235"/>
      <c r="H275" s="1235"/>
      <c r="I275" s="1235"/>
      <c r="J275" s="1236"/>
      <c r="K275" s="222"/>
      <c r="L275" s="24"/>
      <c r="M275" s="125"/>
      <c r="N275" s="126"/>
      <c r="O275" s="127"/>
      <c r="P275" s="127"/>
      <c r="Q275" s="127"/>
      <c r="R275" s="127"/>
      <c r="S275" s="127"/>
      <c r="T275" s="128"/>
      <c r="W275" s="199"/>
      <c r="X275" s="293" t="s">
        <v>5378</v>
      </c>
      <c r="Y275" s="293" t="s">
        <v>231</v>
      </c>
      <c r="Z275" s="294" t="s">
        <v>5536</v>
      </c>
      <c r="AA275" s="295" t="s">
        <v>3692</v>
      </c>
      <c r="AB275" s="296" t="s">
        <v>292</v>
      </c>
      <c r="AC275" s="297">
        <v>77</v>
      </c>
      <c r="AD275" s="298">
        <v>5.32</v>
      </c>
      <c r="AE275" s="303">
        <f>ROUND(AD275*AC275,2)</f>
        <v>409.64</v>
      </c>
      <c r="AF275" s="956">
        <v>10</v>
      </c>
      <c r="AH275" s="567"/>
      <c r="AI275" s="567"/>
      <c r="AJ275" s="407"/>
      <c r="AK275" s="567"/>
      <c r="AL275" s="407"/>
      <c r="AM275" s="407"/>
      <c r="AR275" s="129"/>
      <c r="AT275" s="129"/>
      <c r="AU275" s="129"/>
      <c r="AY275" s="13"/>
      <c r="BE275" s="130"/>
      <c r="BF275" s="130"/>
      <c r="BG275" s="130"/>
      <c r="BH275" s="130"/>
      <c r="BI275" s="130"/>
      <c r="BJ275" s="13"/>
      <c r="BK275" s="130"/>
      <c r="BL275" s="13"/>
      <c r="BM275" s="129"/>
    </row>
    <row r="276" spans="2:65" s="282" customFormat="1" ht="17.25" customHeight="1" x14ac:dyDescent="0.2">
      <c r="B276" s="118"/>
      <c r="C276" s="1234" t="s">
        <v>5205</v>
      </c>
      <c r="D276" s="1235"/>
      <c r="E276" s="1235"/>
      <c r="F276" s="1235"/>
      <c r="G276" s="1235"/>
      <c r="H276" s="1235"/>
      <c r="I276" s="1235"/>
      <c r="J276" s="1236"/>
      <c r="K276" s="222"/>
      <c r="L276" s="24"/>
      <c r="M276" s="125"/>
      <c r="N276" s="126"/>
      <c r="O276" s="127"/>
      <c r="P276" s="127"/>
      <c r="Q276" s="127"/>
      <c r="R276" s="127"/>
      <c r="S276" s="127"/>
      <c r="T276" s="128"/>
      <c r="W276" s="199"/>
      <c r="X276" s="293" t="s">
        <v>5379</v>
      </c>
      <c r="Y276" s="293" t="s">
        <v>231</v>
      </c>
      <c r="Z276" s="294" t="s">
        <v>5537</v>
      </c>
      <c r="AA276" s="295" t="s">
        <v>3694</v>
      </c>
      <c r="AB276" s="296" t="s">
        <v>292</v>
      </c>
      <c r="AC276" s="297">
        <v>15</v>
      </c>
      <c r="AD276" s="298">
        <v>6.66</v>
      </c>
      <c r="AE276" s="303">
        <f>ROUND(AD276*AC276,2)</f>
        <v>99.9</v>
      </c>
      <c r="AF276" s="956">
        <v>10</v>
      </c>
      <c r="AH276" s="567"/>
      <c r="AI276" s="567"/>
      <c r="AJ276" s="407"/>
      <c r="AK276" s="567"/>
      <c r="AL276" s="407"/>
      <c r="AM276" s="407"/>
      <c r="AR276" s="129"/>
      <c r="AT276" s="129"/>
      <c r="AU276" s="129"/>
      <c r="AY276" s="13"/>
      <c r="BE276" s="130"/>
      <c r="BF276" s="130"/>
      <c r="BG276" s="130"/>
      <c r="BH276" s="130"/>
      <c r="BI276" s="130"/>
      <c r="BJ276" s="13"/>
      <c r="BK276" s="130"/>
      <c r="BL276" s="13"/>
      <c r="BM276" s="129"/>
    </row>
    <row r="277" spans="2:65" s="282" customFormat="1" ht="17.25" customHeight="1" x14ac:dyDescent="0.2">
      <c r="B277" s="118"/>
      <c r="C277" s="1234" t="s">
        <v>5205</v>
      </c>
      <c r="D277" s="1235"/>
      <c r="E277" s="1235"/>
      <c r="F277" s="1235"/>
      <c r="G277" s="1235"/>
      <c r="H277" s="1235"/>
      <c r="I277" s="1235"/>
      <c r="J277" s="1236"/>
      <c r="K277" s="222"/>
      <c r="L277" s="24"/>
      <c r="M277" s="125"/>
      <c r="N277" s="126"/>
      <c r="O277" s="127"/>
      <c r="P277" s="127"/>
      <c r="Q277" s="127"/>
      <c r="R277" s="127"/>
      <c r="S277" s="127"/>
      <c r="T277" s="128"/>
      <c r="W277" s="199"/>
      <c r="X277" s="293" t="s">
        <v>5624</v>
      </c>
      <c r="Y277" s="293" t="s">
        <v>231</v>
      </c>
      <c r="Z277" s="294" t="s">
        <v>5538</v>
      </c>
      <c r="AA277" s="295" t="s">
        <v>3696</v>
      </c>
      <c r="AB277" s="296" t="s">
        <v>292</v>
      </c>
      <c r="AC277" s="297">
        <f>22+10</f>
        <v>32</v>
      </c>
      <c r="AD277" s="298">
        <v>6.66</v>
      </c>
      <c r="AE277" s="303">
        <f>ROUND(AD277*AC277,2)</f>
        <v>213.12</v>
      </c>
      <c r="AF277" s="956" t="s">
        <v>6697</v>
      </c>
      <c r="AH277" s="567"/>
      <c r="AI277" s="567"/>
      <c r="AJ277" s="407"/>
      <c r="AK277" s="567"/>
      <c r="AL277" s="407"/>
      <c r="AM277" s="407"/>
      <c r="AR277" s="129"/>
      <c r="AT277" s="129"/>
      <c r="AU277" s="129"/>
      <c r="AY277" s="13"/>
      <c r="BE277" s="130"/>
      <c r="BF277" s="130"/>
      <c r="BG277" s="130"/>
      <c r="BH277" s="130"/>
      <c r="BI277" s="130"/>
      <c r="BJ277" s="13"/>
      <c r="BK277" s="130"/>
      <c r="BL277" s="13"/>
      <c r="BM277" s="129"/>
    </row>
    <row r="278" spans="2:65" s="282" customFormat="1" ht="17.25" customHeight="1" x14ac:dyDescent="0.2">
      <c r="B278" s="118"/>
      <c r="C278" s="1234" t="s">
        <v>5205</v>
      </c>
      <c r="D278" s="1235"/>
      <c r="E278" s="1235"/>
      <c r="F278" s="1235"/>
      <c r="G278" s="1235"/>
      <c r="H278" s="1235"/>
      <c r="I278" s="1235"/>
      <c r="J278" s="1236"/>
      <c r="K278" s="222"/>
      <c r="L278" s="24"/>
      <c r="M278" s="125"/>
      <c r="N278" s="126"/>
      <c r="O278" s="127"/>
      <c r="P278" s="127"/>
      <c r="Q278" s="127"/>
      <c r="R278" s="127"/>
      <c r="S278" s="127"/>
      <c r="T278" s="128"/>
      <c r="W278" s="199"/>
      <c r="X278" s="293" t="s">
        <v>5625</v>
      </c>
      <c r="Y278" s="293" t="s">
        <v>231</v>
      </c>
      <c r="Z278" s="294" t="s">
        <v>5539</v>
      </c>
      <c r="AA278" s="295" t="s">
        <v>5540</v>
      </c>
      <c r="AB278" s="296" t="s">
        <v>292</v>
      </c>
      <c r="AC278" s="297">
        <v>2</v>
      </c>
      <c r="AD278" s="298">
        <v>7</v>
      </c>
      <c r="AE278" s="303">
        <f>ROUND(AD278*AC278,2)</f>
        <v>14</v>
      </c>
      <c r="AF278" s="956">
        <v>10</v>
      </c>
      <c r="AH278" s="567"/>
      <c r="AI278" s="567"/>
      <c r="AJ278" s="407"/>
      <c r="AK278" s="567"/>
      <c r="AL278" s="407"/>
      <c r="AM278" s="407"/>
      <c r="AR278" s="129"/>
      <c r="AT278" s="129"/>
      <c r="AU278" s="129"/>
      <c r="AY278" s="13"/>
      <c r="BE278" s="130"/>
      <c r="BF278" s="130"/>
      <c r="BG278" s="130"/>
      <c r="BH278" s="130"/>
      <c r="BI278" s="130"/>
      <c r="BJ278" s="13"/>
      <c r="BK278" s="130"/>
      <c r="BL278" s="13"/>
      <c r="BM278" s="129"/>
    </row>
    <row r="279" spans="2:65" s="282" customFormat="1" ht="27" customHeight="1" x14ac:dyDescent="0.25">
      <c r="B279" s="118"/>
      <c r="C279" s="254"/>
      <c r="D279" s="254"/>
      <c r="E279" s="255"/>
      <c r="F279" s="222"/>
      <c r="G279" s="256"/>
      <c r="H279" s="257"/>
      <c r="I279" s="258"/>
      <c r="J279" s="258"/>
      <c r="K279" s="222"/>
      <c r="L279" s="24"/>
      <c r="M279" s="125"/>
      <c r="N279" s="126"/>
      <c r="O279" s="127"/>
      <c r="P279" s="127"/>
      <c r="Q279" s="127"/>
      <c r="R279" s="127"/>
      <c r="S279" s="127"/>
      <c r="T279" s="128"/>
      <c r="W279" s="199"/>
      <c r="X279" s="299"/>
      <c r="Y279" s="300" t="s">
        <v>57</v>
      </c>
      <c r="Z279" s="301" t="s">
        <v>2454</v>
      </c>
      <c r="AA279" s="301" t="s">
        <v>5541</v>
      </c>
      <c r="AB279" s="299"/>
      <c r="AC279" s="299"/>
      <c r="AD279" s="299"/>
      <c r="AE279" s="302">
        <f>SUM(AE280:AE282)</f>
        <v>63.519999999999996</v>
      </c>
      <c r="AF279" s="956"/>
      <c r="AH279" s="567"/>
      <c r="AI279" s="567"/>
      <c r="AJ279" s="407"/>
      <c r="AK279" s="567"/>
      <c r="AL279" s="407"/>
      <c r="AM279" s="407"/>
      <c r="AR279" s="129"/>
      <c r="AT279" s="129"/>
      <c r="AU279" s="129"/>
      <c r="AY279" s="13"/>
      <c r="BE279" s="130"/>
      <c r="BF279" s="130"/>
      <c r="BG279" s="130"/>
      <c r="BH279" s="130"/>
      <c r="BI279" s="130"/>
      <c r="BJ279" s="13"/>
      <c r="BK279" s="130"/>
      <c r="BL279" s="13"/>
      <c r="BM279" s="129"/>
    </row>
    <row r="280" spans="2:65" s="282" customFormat="1" ht="17.25" customHeight="1" x14ac:dyDescent="0.2">
      <c r="B280" s="118"/>
      <c r="C280" s="1234" t="s">
        <v>5205</v>
      </c>
      <c r="D280" s="1235"/>
      <c r="E280" s="1235"/>
      <c r="F280" s="1235"/>
      <c r="G280" s="1235"/>
      <c r="H280" s="1235"/>
      <c r="I280" s="1235"/>
      <c r="J280" s="1236"/>
      <c r="K280" s="222"/>
      <c r="L280" s="24"/>
      <c r="M280" s="125"/>
      <c r="N280" s="126"/>
      <c r="O280" s="127"/>
      <c r="P280" s="127"/>
      <c r="Q280" s="127"/>
      <c r="R280" s="127"/>
      <c r="S280" s="127"/>
      <c r="T280" s="128"/>
      <c r="W280" s="199"/>
      <c r="X280" s="293" t="s">
        <v>5626</v>
      </c>
      <c r="Y280" s="293" t="s">
        <v>231</v>
      </c>
      <c r="Z280" s="294" t="s">
        <v>5542</v>
      </c>
      <c r="AA280" s="295" t="s">
        <v>3699</v>
      </c>
      <c r="AB280" s="296" t="s">
        <v>1194</v>
      </c>
      <c r="AC280" s="297">
        <v>12</v>
      </c>
      <c r="AD280" s="298">
        <v>3.9</v>
      </c>
      <c r="AE280" s="303">
        <f>ROUND(AD280*AC280,2)</f>
        <v>46.8</v>
      </c>
      <c r="AF280" s="956">
        <v>10</v>
      </c>
      <c r="AH280" s="567"/>
      <c r="AI280" s="567"/>
      <c r="AJ280" s="407"/>
      <c r="AK280" s="567"/>
      <c r="AL280" s="407"/>
      <c r="AM280" s="407"/>
      <c r="AR280" s="129"/>
      <c r="AT280" s="129"/>
      <c r="AU280" s="129"/>
      <c r="AY280" s="13"/>
      <c r="BE280" s="130"/>
      <c r="BF280" s="130"/>
      <c r="BG280" s="130"/>
      <c r="BH280" s="130"/>
      <c r="BI280" s="130"/>
      <c r="BJ280" s="13"/>
      <c r="BK280" s="130"/>
      <c r="BL280" s="13"/>
      <c r="BM280" s="129"/>
    </row>
    <row r="281" spans="2:65" s="282" customFormat="1" ht="17.25" customHeight="1" x14ac:dyDescent="0.2">
      <c r="B281" s="118"/>
      <c r="C281" s="1234" t="s">
        <v>5205</v>
      </c>
      <c r="D281" s="1235"/>
      <c r="E281" s="1235"/>
      <c r="F281" s="1235"/>
      <c r="G281" s="1235"/>
      <c r="H281" s="1235"/>
      <c r="I281" s="1235"/>
      <c r="J281" s="1236"/>
      <c r="K281" s="222"/>
      <c r="L281" s="24"/>
      <c r="M281" s="125"/>
      <c r="N281" s="126"/>
      <c r="O281" s="127"/>
      <c r="P281" s="127"/>
      <c r="Q281" s="127"/>
      <c r="R281" s="127"/>
      <c r="S281" s="127"/>
      <c r="T281" s="128"/>
      <c r="W281" s="199"/>
      <c r="X281" s="293" t="s">
        <v>5627</v>
      </c>
      <c r="Y281" s="293" t="s">
        <v>231</v>
      </c>
      <c r="Z281" s="294" t="s">
        <v>5543</v>
      </c>
      <c r="AA281" s="295" t="s">
        <v>3703</v>
      </c>
      <c r="AB281" s="296" t="s">
        <v>1194</v>
      </c>
      <c r="AC281" s="297">
        <v>2</v>
      </c>
      <c r="AD281" s="298">
        <v>4.0599999999999996</v>
      </c>
      <c r="AE281" s="303">
        <f>ROUND(AD281*AC281,2)</f>
        <v>8.1199999999999992</v>
      </c>
      <c r="AF281" s="956">
        <v>10</v>
      </c>
      <c r="AH281" s="567"/>
      <c r="AI281" s="567"/>
      <c r="AJ281" s="407"/>
      <c r="AK281" s="567"/>
      <c r="AL281" s="407"/>
      <c r="AM281" s="407"/>
      <c r="AR281" s="129"/>
      <c r="AT281" s="129"/>
      <c r="AU281" s="129"/>
      <c r="AY281" s="13"/>
      <c r="BE281" s="130"/>
      <c r="BF281" s="130"/>
      <c r="BG281" s="130"/>
      <c r="BH281" s="130"/>
      <c r="BI281" s="130"/>
      <c r="BJ281" s="13"/>
      <c r="BK281" s="130"/>
      <c r="BL281" s="13"/>
      <c r="BM281" s="129"/>
    </row>
    <row r="282" spans="2:65" s="282" customFormat="1" ht="17.25" customHeight="1" x14ac:dyDescent="0.2">
      <c r="B282" s="118"/>
      <c r="C282" s="1234" t="s">
        <v>5205</v>
      </c>
      <c r="D282" s="1235"/>
      <c r="E282" s="1235"/>
      <c r="F282" s="1235"/>
      <c r="G282" s="1235"/>
      <c r="H282" s="1235"/>
      <c r="I282" s="1235"/>
      <c r="J282" s="1236"/>
      <c r="K282" s="222"/>
      <c r="L282" s="24"/>
      <c r="M282" s="125"/>
      <c r="N282" s="126"/>
      <c r="O282" s="127"/>
      <c r="P282" s="127"/>
      <c r="Q282" s="127"/>
      <c r="R282" s="127"/>
      <c r="S282" s="127"/>
      <c r="T282" s="128"/>
      <c r="W282" s="199"/>
      <c r="X282" s="293" t="s">
        <v>5628</v>
      </c>
      <c r="Y282" s="293" t="s">
        <v>231</v>
      </c>
      <c r="Z282" s="294" t="s">
        <v>5544</v>
      </c>
      <c r="AA282" s="295" t="s">
        <v>5545</v>
      </c>
      <c r="AB282" s="296" t="s">
        <v>1194</v>
      </c>
      <c r="AC282" s="297">
        <v>2</v>
      </c>
      <c r="AD282" s="298">
        <v>4.3</v>
      </c>
      <c r="AE282" s="303">
        <f>ROUND(AD282*AC282,2)</f>
        <v>8.6</v>
      </c>
      <c r="AF282" s="956">
        <v>10</v>
      </c>
      <c r="AH282" s="567"/>
      <c r="AI282" s="567"/>
      <c r="AJ282" s="407"/>
      <c r="AK282" s="567"/>
      <c r="AL282" s="407"/>
      <c r="AM282" s="407"/>
      <c r="AR282" s="129"/>
      <c r="AT282" s="129"/>
      <c r="AU282" s="129"/>
      <c r="AY282" s="13"/>
      <c r="BE282" s="130"/>
      <c r="BF282" s="130"/>
      <c r="BG282" s="130"/>
      <c r="BH282" s="130"/>
      <c r="BI282" s="130"/>
      <c r="BJ282" s="13"/>
      <c r="BK282" s="130"/>
      <c r="BL282" s="13"/>
      <c r="BM282" s="129"/>
    </row>
    <row r="283" spans="2:65" s="282" customFormat="1" ht="27" customHeight="1" x14ac:dyDescent="0.25">
      <c r="B283" s="118"/>
      <c r="C283" s="254"/>
      <c r="D283" s="254"/>
      <c r="E283" s="255"/>
      <c r="F283" s="222"/>
      <c r="G283" s="256"/>
      <c r="H283" s="257"/>
      <c r="I283" s="258"/>
      <c r="J283" s="258"/>
      <c r="K283" s="222"/>
      <c r="L283" s="24"/>
      <c r="M283" s="125"/>
      <c r="N283" s="126"/>
      <c r="O283" s="127"/>
      <c r="P283" s="127"/>
      <c r="Q283" s="127"/>
      <c r="R283" s="127"/>
      <c r="S283" s="127"/>
      <c r="T283" s="128"/>
      <c r="W283" s="199"/>
      <c r="X283" s="299"/>
      <c r="Y283" s="300" t="s">
        <v>57</v>
      </c>
      <c r="Z283" s="301" t="s">
        <v>2467</v>
      </c>
      <c r="AA283" s="301" t="s">
        <v>5546</v>
      </c>
      <c r="AB283" s="299"/>
      <c r="AC283" s="299"/>
      <c r="AD283" s="299"/>
      <c r="AE283" s="302"/>
      <c r="AF283" s="956"/>
      <c r="AH283" s="567"/>
      <c r="AI283" s="567"/>
      <c r="AJ283" s="407"/>
      <c r="AK283" s="567"/>
      <c r="AL283" s="407"/>
      <c r="AM283" s="407"/>
      <c r="AR283" s="129"/>
      <c r="AT283" s="129"/>
      <c r="AU283" s="129"/>
      <c r="AY283" s="13"/>
      <c r="BE283" s="130"/>
      <c r="BF283" s="130"/>
      <c r="BG283" s="130"/>
      <c r="BH283" s="130"/>
      <c r="BI283" s="130"/>
      <c r="BJ283" s="13"/>
      <c r="BK283" s="130"/>
      <c r="BL283" s="13"/>
      <c r="BM283" s="129"/>
    </row>
    <row r="284" spans="2:65" s="282" customFormat="1" ht="27" customHeight="1" x14ac:dyDescent="0.25">
      <c r="B284" s="118"/>
      <c r="C284" s="254"/>
      <c r="D284" s="254"/>
      <c r="E284" s="255"/>
      <c r="F284" s="222"/>
      <c r="G284" s="256"/>
      <c r="H284" s="257"/>
      <c r="I284" s="258"/>
      <c r="J284" s="258"/>
      <c r="K284" s="222"/>
      <c r="L284" s="24"/>
      <c r="M284" s="125"/>
      <c r="N284" s="126"/>
      <c r="O284" s="127"/>
      <c r="P284" s="127"/>
      <c r="Q284" s="127"/>
      <c r="R284" s="127"/>
      <c r="S284" s="127"/>
      <c r="T284" s="128"/>
      <c r="W284" s="199"/>
      <c r="X284" s="299"/>
      <c r="Y284" s="300" t="s">
        <v>57</v>
      </c>
      <c r="Z284" s="301" t="s">
        <v>2473</v>
      </c>
      <c r="AA284" s="301" t="s">
        <v>3705</v>
      </c>
      <c r="AB284" s="299"/>
      <c r="AC284" s="299"/>
      <c r="AD284" s="299"/>
      <c r="AE284" s="302">
        <f>SUM(AE285:AE298)</f>
        <v>1314.0299999999997</v>
      </c>
      <c r="AF284" s="956"/>
      <c r="AH284" s="567"/>
      <c r="AI284" s="567"/>
      <c r="AJ284" s="407"/>
      <c r="AK284" s="567"/>
      <c r="AL284" s="407"/>
      <c r="AM284" s="407"/>
      <c r="AR284" s="129"/>
      <c r="AT284" s="129"/>
      <c r="AU284" s="129"/>
      <c r="AY284" s="13"/>
      <c r="BE284" s="130"/>
      <c r="BF284" s="130"/>
      <c r="BG284" s="130"/>
      <c r="BH284" s="130"/>
      <c r="BI284" s="130"/>
      <c r="BJ284" s="13"/>
      <c r="BK284" s="130"/>
      <c r="BL284" s="13"/>
      <c r="BM284" s="129"/>
    </row>
    <row r="285" spans="2:65" s="282" customFormat="1" ht="17.25" customHeight="1" x14ac:dyDescent="0.2">
      <c r="B285" s="118"/>
      <c r="C285" s="1234" t="s">
        <v>5205</v>
      </c>
      <c r="D285" s="1235"/>
      <c r="E285" s="1235"/>
      <c r="F285" s="1235"/>
      <c r="G285" s="1235"/>
      <c r="H285" s="1235"/>
      <c r="I285" s="1235"/>
      <c r="J285" s="1236"/>
      <c r="K285" s="222"/>
      <c r="L285" s="24"/>
      <c r="M285" s="125"/>
      <c r="N285" s="126"/>
      <c r="O285" s="127"/>
      <c r="P285" s="127"/>
      <c r="Q285" s="127"/>
      <c r="R285" s="127"/>
      <c r="S285" s="127"/>
      <c r="T285" s="128"/>
      <c r="W285" s="199"/>
      <c r="X285" s="293" t="s">
        <v>5629</v>
      </c>
      <c r="Y285" s="293" t="s">
        <v>231</v>
      </c>
      <c r="Z285" s="294" t="s">
        <v>5547</v>
      </c>
      <c r="AA285" s="295" t="s">
        <v>3707</v>
      </c>
      <c r="AB285" s="296" t="s">
        <v>1194</v>
      </c>
      <c r="AC285" s="297">
        <v>8</v>
      </c>
      <c r="AD285" s="298">
        <v>6</v>
      </c>
      <c r="AE285" s="303">
        <f t="shared" ref="AE285:AE293" si="10">ROUND(AD285*AC285,2)</f>
        <v>48</v>
      </c>
      <c r="AF285" s="956">
        <v>10</v>
      </c>
      <c r="AH285" s="567"/>
      <c r="AI285" s="567"/>
      <c r="AJ285" s="407"/>
      <c r="AK285" s="567"/>
      <c r="AL285" s="407"/>
      <c r="AM285" s="407"/>
      <c r="AR285" s="129"/>
      <c r="AT285" s="129"/>
      <c r="AU285" s="129"/>
      <c r="AY285" s="13"/>
      <c r="BE285" s="130"/>
      <c r="BF285" s="130"/>
      <c r="BG285" s="130"/>
      <c r="BH285" s="130"/>
      <c r="BI285" s="130"/>
      <c r="BJ285" s="13"/>
      <c r="BK285" s="130"/>
      <c r="BL285" s="13"/>
      <c r="BM285" s="129"/>
    </row>
    <row r="286" spans="2:65" s="282" customFormat="1" ht="17.25" customHeight="1" x14ac:dyDescent="0.2">
      <c r="B286" s="118"/>
      <c r="C286" s="1234" t="s">
        <v>5205</v>
      </c>
      <c r="D286" s="1235"/>
      <c r="E286" s="1235"/>
      <c r="F286" s="1235"/>
      <c r="G286" s="1235"/>
      <c r="H286" s="1235"/>
      <c r="I286" s="1235"/>
      <c r="J286" s="1236"/>
      <c r="K286" s="222"/>
      <c r="L286" s="24"/>
      <c r="M286" s="125"/>
      <c r="N286" s="126"/>
      <c r="O286" s="127"/>
      <c r="P286" s="127"/>
      <c r="Q286" s="127"/>
      <c r="R286" s="127"/>
      <c r="S286" s="127"/>
      <c r="T286" s="128"/>
      <c r="W286" s="199"/>
      <c r="X286" s="293" t="s">
        <v>5630</v>
      </c>
      <c r="Y286" s="293" t="s">
        <v>231</v>
      </c>
      <c r="Z286" s="294" t="s">
        <v>5548</v>
      </c>
      <c r="AA286" s="295" t="s">
        <v>3709</v>
      </c>
      <c r="AB286" s="296" t="s">
        <v>1194</v>
      </c>
      <c r="AC286" s="297">
        <v>2</v>
      </c>
      <c r="AD286" s="298">
        <v>7.28</v>
      </c>
      <c r="AE286" s="303">
        <f t="shared" si="10"/>
        <v>14.56</v>
      </c>
      <c r="AF286" s="956">
        <v>10</v>
      </c>
      <c r="AH286" s="567"/>
      <c r="AI286" s="567"/>
      <c r="AJ286" s="407"/>
      <c r="AK286" s="567"/>
      <c r="AL286" s="407"/>
      <c r="AM286" s="407"/>
      <c r="AR286" s="129"/>
      <c r="AT286" s="129"/>
      <c r="AU286" s="129"/>
      <c r="AY286" s="13"/>
      <c r="BE286" s="130"/>
      <c r="BF286" s="130"/>
      <c r="BG286" s="130"/>
      <c r="BH286" s="130"/>
      <c r="BI286" s="130"/>
      <c r="BJ286" s="13"/>
      <c r="BK286" s="130"/>
      <c r="BL286" s="13"/>
      <c r="BM286" s="129"/>
    </row>
    <row r="287" spans="2:65" s="282" customFormat="1" ht="17.25" customHeight="1" x14ac:dyDescent="0.2">
      <c r="B287" s="118"/>
      <c r="C287" s="1234" t="s">
        <v>5205</v>
      </c>
      <c r="D287" s="1235"/>
      <c r="E287" s="1235"/>
      <c r="F287" s="1235"/>
      <c r="G287" s="1235"/>
      <c r="H287" s="1235"/>
      <c r="I287" s="1235"/>
      <c r="J287" s="1236"/>
      <c r="K287" s="222"/>
      <c r="L287" s="24"/>
      <c r="M287" s="125"/>
      <c r="N287" s="126"/>
      <c r="O287" s="127"/>
      <c r="P287" s="127"/>
      <c r="Q287" s="127"/>
      <c r="R287" s="127"/>
      <c r="S287" s="127"/>
      <c r="T287" s="128"/>
      <c r="W287" s="199"/>
      <c r="X287" s="293" t="s">
        <v>5631</v>
      </c>
      <c r="Y287" s="293" t="s">
        <v>231</v>
      </c>
      <c r="Z287" s="294" t="s">
        <v>5549</v>
      </c>
      <c r="AA287" s="295" t="s">
        <v>3711</v>
      </c>
      <c r="AB287" s="296" t="s">
        <v>1194</v>
      </c>
      <c r="AC287" s="297">
        <v>4</v>
      </c>
      <c r="AD287" s="298">
        <v>7.66</v>
      </c>
      <c r="AE287" s="303">
        <f t="shared" si="10"/>
        <v>30.64</v>
      </c>
      <c r="AF287" s="956">
        <v>10</v>
      </c>
      <c r="AH287" s="567"/>
      <c r="AI287" s="567"/>
      <c r="AJ287" s="407"/>
      <c r="AK287" s="567"/>
      <c r="AL287" s="407"/>
      <c r="AM287" s="407"/>
      <c r="AR287" s="129"/>
      <c r="AT287" s="129"/>
      <c r="AU287" s="129"/>
      <c r="AY287" s="13"/>
      <c r="BE287" s="130"/>
      <c r="BF287" s="130"/>
      <c r="BG287" s="130"/>
      <c r="BH287" s="130"/>
      <c r="BI287" s="130"/>
      <c r="BJ287" s="13"/>
      <c r="BK287" s="130"/>
      <c r="BL287" s="13"/>
      <c r="BM287" s="129"/>
    </row>
    <row r="288" spans="2:65" s="282" customFormat="1" ht="17.25" customHeight="1" x14ac:dyDescent="0.2">
      <c r="B288" s="118"/>
      <c r="C288" s="1234" t="s">
        <v>5205</v>
      </c>
      <c r="D288" s="1235"/>
      <c r="E288" s="1235"/>
      <c r="F288" s="1235"/>
      <c r="G288" s="1235"/>
      <c r="H288" s="1235"/>
      <c r="I288" s="1235"/>
      <c r="J288" s="1236"/>
      <c r="K288" s="222"/>
      <c r="L288" s="24"/>
      <c r="M288" s="125"/>
      <c r="N288" s="126"/>
      <c r="O288" s="127"/>
      <c r="P288" s="127"/>
      <c r="Q288" s="127"/>
      <c r="R288" s="127"/>
      <c r="S288" s="127"/>
      <c r="T288" s="128"/>
      <c r="W288" s="199"/>
      <c r="X288" s="293" t="s">
        <v>5632</v>
      </c>
      <c r="Y288" s="293" t="s">
        <v>231</v>
      </c>
      <c r="Z288" s="294" t="s">
        <v>5550</v>
      </c>
      <c r="AA288" s="295" t="s">
        <v>3717</v>
      </c>
      <c r="AB288" s="296" t="s">
        <v>1194</v>
      </c>
      <c r="AC288" s="297">
        <v>2</v>
      </c>
      <c r="AD288" s="298">
        <v>7.28</v>
      </c>
      <c r="AE288" s="303">
        <f t="shared" si="10"/>
        <v>14.56</v>
      </c>
      <c r="AF288" s="956">
        <v>10</v>
      </c>
      <c r="AH288" s="567"/>
      <c r="AI288" s="567"/>
      <c r="AJ288" s="407"/>
      <c r="AK288" s="567"/>
      <c r="AL288" s="407"/>
      <c r="AM288" s="407"/>
      <c r="AR288" s="129"/>
      <c r="AT288" s="129"/>
      <c r="AU288" s="129"/>
      <c r="AY288" s="13"/>
      <c r="BE288" s="130"/>
      <c r="BF288" s="130"/>
      <c r="BG288" s="130"/>
      <c r="BH288" s="130"/>
      <c r="BI288" s="130"/>
      <c r="BJ288" s="13"/>
      <c r="BK288" s="130"/>
      <c r="BL288" s="13"/>
      <c r="BM288" s="129"/>
    </row>
    <row r="289" spans="2:65" s="282" customFormat="1" ht="17.25" customHeight="1" x14ac:dyDescent="0.2">
      <c r="B289" s="118"/>
      <c r="C289" s="1234" t="s">
        <v>5205</v>
      </c>
      <c r="D289" s="1235"/>
      <c r="E289" s="1235"/>
      <c r="F289" s="1235"/>
      <c r="G289" s="1235"/>
      <c r="H289" s="1235"/>
      <c r="I289" s="1235"/>
      <c r="J289" s="1236"/>
      <c r="K289" s="222"/>
      <c r="L289" s="24"/>
      <c r="M289" s="125"/>
      <c r="N289" s="126"/>
      <c r="O289" s="127"/>
      <c r="P289" s="127"/>
      <c r="Q289" s="127"/>
      <c r="R289" s="127"/>
      <c r="S289" s="127"/>
      <c r="T289" s="128"/>
      <c r="W289" s="199"/>
      <c r="X289" s="293" t="s">
        <v>5633</v>
      </c>
      <c r="Y289" s="293" t="s">
        <v>231</v>
      </c>
      <c r="Z289" s="294" t="s">
        <v>5551</v>
      </c>
      <c r="AA289" s="295" t="s">
        <v>5260</v>
      </c>
      <c r="AB289" s="296" t="s">
        <v>1194</v>
      </c>
      <c r="AC289" s="297">
        <v>4</v>
      </c>
      <c r="AD289" s="298">
        <v>8.6</v>
      </c>
      <c r="AE289" s="303">
        <f t="shared" si="10"/>
        <v>34.4</v>
      </c>
      <c r="AF289" s="956">
        <v>10</v>
      </c>
      <c r="AH289" s="567"/>
      <c r="AI289" s="567"/>
      <c r="AJ289" s="407"/>
      <c r="AK289" s="567"/>
      <c r="AL289" s="407"/>
      <c r="AM289" s="407"/>
      <c r="AR289" s="129"/>
      <c r="AT289" s="129"/>
      <c r="AU289" s="129"/>
      <c r="AY289" s="13"/>
      <c r="BE289" s="130"/>
      <c r="BF289" s="130"/>
      <c r="BG289" s="130"/>
      <c r="BH289" s="130"/>
      <c r="BI289" s="130"/>
      <c r="BJ289" s="13"/>
      <c r="BK289" s="130"/>
      <c r="BL289" s="13"/>
      <c r="BM289" s="129"/>
    </row>
    <row r="290" spans="2:65" s="282" customFormat="1" ht="17.25" customHeight="1" x14ac:dyDescent="0.2">
      <c r="B290" s="118"/>
      <c r="C290" s="1234" t="s">
        <v>5205</v>
      </c>
      <c r="D290" s="1235"/>
      <c r="E290" s="1235"/>
      <c r="F290" s="1235"/>
      <c r="G290" s="1235"/>
      <c r="H290" s="1235"/>
      <c r="I290" s="1235"/>
      <c r="J290" s="1236"/>
      <c r="K290" s="222"/>
      <c r="L290" s="24"/>
      <c r="M290" s="125"/>
      <c r="N290" s="126"/>
      <c r="O290" s="127"/>
      <c r="P290" s="127"/>
      <c r="Q290" s="127"/>
      <c r="R290" s="127"/>
      <c r="S290" s="127"/>
      <c r="T290" s="128"/>
      <c r="W290" s="199"/>
      <c r="X290" s="293" t="s">
        <v>5634</v>
      </c>
      <c r="Y290" s="293" t="s">
        <v>231</v>
      </c>
      <c r="Z290" s="294" t="s">
        <v>5552</v>
      </c>
      <c r="AA290" s="295" t="s">
        <v>5553</v>
      </c>
      <c r="AB290" s="296" t="s">
        <v>1194</v>
      </c>
      <c r="AC290" s="297">
        <v>2</v>
      </c>
      <c r="AD290" s="298">
        <v>8.6</v>
      </c>
      <c r="AE290" s="303">
        <f t="shared" si="10"/>
        <v>17.2</v>
      </c>
      <c r="AF290" s="956">
        <v>10</v>
      </c>
      <c r="AH290" s="567"/>
      <c r="AI290" s="567"/>
      <c r="AJ290" s="407"/>
      <c r="AK290" s="567"/>
      <c r="AL290" s="407"/>
      <c r="AM290" s="407"/>
      <c r="AR290" s="129"/>
      <c r="AT290" s="129"/>
      <c r="AU290" s="129"/>
      <c r="AY290" s="13"/>
      <c r="BE290" s="130"/>
      <c r="BF290" s="130"/>
      <c r="BG290" s="130"/>
      <c r="BH290" s="130"/>
      <c r="BI290" s="130"/>
      <c r="BJ290" s="13"/>
      <c r="BK290" s="130"/>
      <c r="BL290" s="13"/>
      <c r="BM290" s="129"/>
    </row>
    <row r="291" spans="2:65" s="282" customFormat="1" ht="27" customHeight="1" x14ac:dyDescent="0.2">
      <c r="B291" s="118"/>
      <c r="C291" s="1234" t="s">
        <v>5205</v>
      </c>
      <c r="D291" s="1235"/>
      <c r="E291" s="1235"/>
      <c r="F291" s="1235"/>
      <c r="G291" s="1235"/>
      <c r="H291" s="1235"/>
      <c r="I291" s="1235"/>
      <c r="J291" s="1236"/>
      <c r="K291" s="222"/>
      <c r="L291" s="24"/>
      <c r="M291" s="125"/>
      <c r="N291" s="126"/>
      <c r="O291" s="127"/>
      <c r="P291" s="127"/>
      <c r="Q291" s="127"/>
      <c r="R291" s="127"/>
      <c r="S291" s="127"/>
      <c r="T291" s="128"/>
      <c r="W291" s="199"/>
      <c r="X291" s="293" t="s">
        <v>5635</v>
      </c>
      <c r="Y291" s="293" t="s">
        <v>231</v>
      </c>
      <c r="Z291" s="294" t="s">
        <v>5554</v>
      </c>
      <c r="AA291" s="295" t="s">
        <v>5555</v>
      </c>
      <c r="AB291" s="296" t="s">
        <v>1194</v>
      </c>
      <c r="AC291" s="297">
        <v>34</v>
      </c>
      <c r="AD291" s="298">
        <v>4.1399999999999997</v>
      </c>
      <c r="AE291" s="303">
        <f t="shared" si="10"/>
        <v>140.76</v>
      </c>
      <c r="AF291" s="956">
        <v>10</v>
      </c>
      <c r="AH291" s="567"/>
      <c r="AI291" s="567"/>
      <c r="AJ291" s="407"/>
      <c r="AK291" s="567"/>
      <c r="AL291" s="407"/>
      <c r="AM291" s="407"/>
      <c r="AR291" s="129"/>
      <c r="AT291" s="129"/>
      <c r="AU291" s="129"/>
      <c r="AY291" s="13"/>
      <c r="BE291" s="130"/>
      <c r="BF291" s="130"/>
      <c r="BG291" s="130"/>
      <c r="BH291" s="130"/>
      <c r="BI291" s="130"/>
      <c r="BJ291" s="13"/>
      <c r="BK291" s="130"/>
      <c r="BL291" s="13"/>
      <c r="BM291" s="129"/>
    </row>
    <row r="292" spans="2:65" s="282" customFormat="1" ht="27" customHeight="1" x14ac:dyDescent="0.2">
      <c r="B292" s="118"/>
      <c r="C292" s="1234" t="s">
        <v>5205</v>
      </c>
      <c r="D292" s="1235"/>
      <c r="E292" s="1235"/>
      <c r="F292" s="1235"/>
      <c r="G292" s="1235"/>
      <c r="H292" s="1235"/>
      <c r="I292" s="1235"/>
      <c r="J292" s="1236"/>
      <c r="K292" s="222"/>
      <c r="L292" s="24"/>
      <c r="M292" s="125"/>
      <c r="N292" s="126"/>
      <c r="O292" s="127"/>
      <c r="P292" s="127"/>
      <c r="Q292" s="127"/>
      <c r="R292" s="127"/>
      <c r="S292" s="127"/>
      <c r="T292" s="128"/>
      <c r="W292" s="199"/>
      <c r="X292" s="293" t="s">
        <v>5636</v>
      </c>
      <c r="Y292" s="293" t="s">
        <v>231</v>
      </c>
      <c r="Z292" s="294" t="s">
        <v>5556</v>
      </c>
      <c r="AA292" s="295" t="s">
        <v>5557</v>
      </c>
      <c r="AB292" s="296" t="s">
        <v>1194</v>
      </c>
      <c r="AC292" s="297">
        <v>2</v>
      </c>
      <c r="AD292" s="298">
        <v>4.1399999999999997</v>
      </c>
      <c r="AE292" s="303">
        <f t="shared" si="10"/>
        <v>8.2799999999999994</v>
      </c>
      <c r="AF292" s="956">
        <v>10</v>
      </c>
      <c r="AH292" s="567"/>
      <c r="AI292" s="567"/>
      <c r="AJ292" s="407"/>
      <c r="AK292" s="567"/>
      <c r="AL292" s="407"/>
      <c r="AM292" s="407"/>
      <c r="AR292" s="129"/>
      <c r="AT292" s="129"/>
      <c r="AU292" s="129"/>
      <c r="AY292" s="13"/>
      <c r="BE292" s="130"/>
      <c r="BF292" s="130"/>
      <c r="BG292" s="130"/>
      <c r="BH292" s="130"/>
      <c r="BI292" s="130"/>
      <c r="BJ292" s="13"/>
      <c r="BK292" s="130"/>
      <c r="BL292" s="13"/>
      <c r="BM292" s="129"/>
    </row>
    <row r="293" spans="2:65" s="282" customFormat="1" ht="27" customHeight="1" x14ac:dyDescent="0.2">
      <c r="B293" s="118"/>
      <c r="C293" s="1234" t="s">
        <v>5205</v>
      </c>
      <c r="D293" s="1235"/>
      <c r="E293" s="1235"/>
      <c r="F293" s="1235"/>
      <c r="G293" s="1235"/>
      <c r="H293" s="1235"/>
      <c r="I293" s="1235"/>
      <c r="J293" s="1236"/>
      <c r="K293" s="222"/>
      <c r="L293" s="24"/>
      <c r="M293" s="125"/>
      <c r="N293" s="126"/>
      <c r="O293" s="127"/>
      <c r="P293" s="127"/>
      <c r="Q293" s="127"/>
      <c r="R293" s="127"/>
      <c r="S293" s="127"/>
      <c r="T293" s="128"/>
      <c r="W293" s="199"/>
      <c r="X293" s="293" t="s">
        <v>5637</v>
      </c>
      <c r="Y293" s="293" t="s">
        <v>231</v>
      </c>
      <c r="Z293" s="294" t="s">
        <v>5558</v>
      </c>
      <c r="AA293" s="295" t="s">
        <v>3721</v>
      </c>
      <c r="AB293" s="296" t="s">
        <v>3722</v>
      </c>
      <c r="AC293" s="297">
        <v>18</v>
      </c>
      <c r="AD293" s="298">
        <v>14.58</v>
      </c>
      <c r="AE293" s="303">
        <f t="shared" si="10"/>
        <v>262.44</v>
      </c>
      <c r="AF293" s="956">
        <v>10</v>
      </c>
      <c r="AH293" s="567"/>
      <c r="AI293" s="567"/>
      <c r="AJ293" s="407"/>
      <c r="AK293" s="567"/>
      <c r="AL293" s="407"/>
      <c r="AM293" s="407"/>
      <c r="AR293" s="129"/>
      <c r="AT293" s="129"/>
      <c r="AU293" s="129"/>
      <c r="AY293" s="13"/>
      <c r="BE293" s="130"/>
      <c r="BF293" s="130"/>
      <c r="BG293" s="130"/>
      <c r="BH293" s="130"/>
      <c r="BI293" s="130"/>
      <c r="BJ293" s="13"/>
      <c r="BK293" s="130"/>
      <c r="BL293" s="13"/>
      <c r="BM293" s="129"/>
    </row>
    <row r="294" spans="2:65" s="282" customFormat="1" ht="21.45" customHeight="1" x14ac:dyDescent="0.2">
      <c r="B294" s="118"/>
      <c r="C294" s="1234" t="s">
        <v>5205</v>
      </c>
      <c r="D294" s="1235"/>
      <c r="E294" s="1235"/>
      <c r="F294" s="1235"/>
      <c r="G294" s="1235"/>
      <c r="H294" s="1235"/>
      <c r="I294" s="1235"/>
      <c r="J294" s="1236"/>
      <c r="K294" s="222"/>
      <c r="L294" s="24"/>
      <c r="M294" s="125"/>
      <c r="N294" s="126"/>
      <c r="O294" s="127"/>
      <c r="P294" s="127"/>
      <c r="Q294" s="127"/>
      <c r="R294" s="127"/>
      <c r="S294" s="127"/>
      <c r="T294" s="128"/>
      <c r="W294" s="199"/>
      <c r="X294" s="293" t="s">
        <v>5638</v>
      </c>
      <c r="Y294" s="293" t="s">
        <v>231</v>
      </c>
      <c r="Z294" s="294" t="s">
        <v>5559</v>
      </c>
      <c r="AA294" s="295" t="s">
        <v>3725</v>
      </c>
      <c r="AB294" s="296" t="s">
        <v>1194</v>
      </c>
      <c r="AC294" s="297">
        <v>18</v>
      </c>
      <c r="AD294" s="298">
        <v>15.67</v>
      </c>
      <c r="AE294" s="303">
        <f>ROUND(AD294*AC294,2)</f>
        <v>282.06</v>
      </c>
      <c r="AF294" s="956">
        <v>10</v>
      </c>
      <c r="AH294" s="567"/>
      <c r="AI294" s="567"/>
      <c r="AJ294" s="407"/>
      <c r="AK294" s="567"/>
      <c r="AL294" s="407"/>
      <c r="AM294" s="407"/>
      <c r="AR294" s="129"/>
      <c r="AT294" s="129"/>
      <c r="AU294" s="129"/>
      <c r="AY294" s="13"/>
      <c r="BE294" s="130"/>
      <c r="BF294" s="130"/>
      <c r="BG294" s="130"/>
      <c r="BH294" s="130"/>
      <c r="BI294" s="130"/>
      <c r="BJ294" s="13"/>
      <c r="BK294" s="130"/>
      <c r="BL294" s="13"/>
      <c r="BM294" s="129"/>
    </row>
    <row r="295" spans="2:65" s="282" customFormat="1" ht="21.45" customHeight="1" x14ac:dyDescent="0.2">
      <c r="B295" s="118"/>
      <c r="C295" s="1234" t="s">
        <v>5205</v>
      </c>
      <c r="D295" s="1235"/>
      <c r="E295" s="1235"/>
      <c r="F295" s="1235"/>
      <c r="G295" s="1235"/>
      <c r="H295" s="1235"/>
      <c r="I295" s="1235"/>
      <c r="J295" s="1236"/>
      <c r="K295" s="222"/>
      <c r="L295" s="24"/>
      <c r="M295" s="125"/>
      <c r="N295" s="126"/>
      <c r="O295" s="127"/>
      <c r="P295" s="127"/>
      <c r="Q295" s="127"/>
      <c r="R295" s="127"/>
      <c r="S295" s="127"/>
      <c r="T295" s="128"/>
      <c r="W295" s="199"/>
      <c r="X295" s="293" t="s">
        <v>5639</v>
      </c>
      <c r="Y295" s="293" t="s">
        <v>231</v>
      </c>
      <c r="Z295" s="294" t="s">
        <v>5560</v>
      </c>
      <c r="AA295" s="295" t="s">
        <v>3727</v>
      </c>
      <c r="AB295" s="296" t="s">
        <v>1194</v>
      </c>
      <c r="AC295" s="297">
        <v>60</v>
      </c>
      <c r="AD295" s="298">
        <v>0.44</v>
      </c>
      <c r="AE295" s="303">
        <f>ROUND(AD295*AC295,2)</f>
        <v>26.4</v>
      </c>
      <c r="AF295" s="956">
        <v>10</v>
      </c>
      <c r="AH295" s="567"/>
      <c r="AI295" s="567"/>
      <c r="AJ295" s="407"/>
      <c r="AK295" s="567"/>
      <c r="AL295" s="407"/>
      <c r="AM295" s="407"/>
      <c r="AR295" s="129"/>
      <c r="AT295" s="129"/>
      <c r="AU295" s="129"/>
      <c r="AY295" s="13"/>
      <c r="BE295" s="130"/>
      <c r="BF295" s="130"/>
      <c r="BG295" s="130"/>
      <c r="BH295" s="130"/>
      <c r="BI295" s="130"/>
      <c r="BJ295" s="13"/>
      <c r="BK295" s="130"/>
      <c r="BL295" s="13"/>
      <c r="BM295" s="129"/>
    </row>
    <row r="296" spans="2:65" s="282" customFormat="1" ht="21.45" customHeight="1" x14ac:dyDescent="0.2">
      <c r="B296" s="118"/>
      <c r="C296" s="1234" t="s">
        <v>5205</v>
      </c>
      <c r="D296" s="1235"/>
      <c r="E296" s="1235"/>
      <c r="F296" s="1235"/>
      <c r="G296" s="1235"/>
      <c r="H296" s="1235"/>
      <c r="I296" s="1235"/>
      <c r="J296" s="1236"/>
      <c r="K296" s="222"/>
      <c r="L296" s="24"/>
      <c r="M296" s="125"/>
      <c r="N296" s="126"/>
      <c r="O296" s="127"/>
      <c r="P296" s="127"/>
      <c r="Q296" s="127"/>
      <c r="R296" s="127"/>
      <c r="S296" s="127"/>
      <c r="T296" s="128"/>
      <c r="W296" s="199"/>
      <c r="X296" s="293" t="s">
        <v>5640</v>
      </c>
      <c r="Y296" s="293" t="s">
        <v>231</v>
      </c>
      <c r="Z296" s="294" t="s">
        <v>5561</v>
      </c>
      <c r="AA296" s="295" t="s">
        <v>5562</v>
      </c>
      <c r="AB296" s="296" t="s">
        <v>1172</v>
      </c>
      <c r="AC296" s="297">
        <v>1</v>
      </c>
      <c r="AD296" s="298">
        <v>347.48</v>
      </c>
      <c r="AE296" s="303">
        <f>ROUND(AD296*AC296,2)</f>
        <v>347.48</v>
      </c>
      <c r="AF296" s="956">
        <v>10</v>
      </c>
      <c r="AH296" s="567"/>
      <c r="AI296" s="567"/>
      <c r="AJ296" s="407"/>
      <c r="AK296" s="567"/>
      <c r="AL296" s="407"/>
      <c r="AM296" s="407"/>
      <c r="AR296" s="129"/>
      <c r="AT296" s="129"/>
      <c r="AU296" s="129"/>
      <c r="AY296" s="13"/>
      <c r="BE296" s="130"/>
      <c r="BF296" s="130"/>
      <c r="BG296" s="130"/>
      <c r="BH296" s="130"/>
      <c r="BI296" s="130"/>
      <c r="BJ296" s="13"/>
      <c r="BK296" s="130"/>
      <c r="BL296" s="13"/>
      <c r="BM296" s="129"/>
    </row>
    <row r="297" spans="2:65" s="282" customFormat="1" ht="21.45" customHeight="1" x14ac:dyDescent="0.2">
      <c r="B297" s="118"/>
      <c r="C297" s="1234" t="s">
        <v>5205</v>
      </c>
      <c r="D297" s="1235"/>
      <c r="E297" s="1235"/>
      <c r="F297" s="1235"/>
      <c r="G297" s="1235"/>
      <c r="H297" s="1235"/>
      <c r="I297" s="1235"/>
      <c r="J297" s="1236"/>
      <c r="K297" s="222"/>
      <c r="L297" s="24"/>
      <c r="M297" s="125"/>
      <c r="N297" s="126"/>
      <c r="O297" s="127"/>
      <c r="P297" s="127"/>
      <c r="Q297" s="127"/>
      <c r="R297" s="127"/>
      <c r="S297" s="127"/>
      <c r="T297" s="128"/>
      <c r="W297" s="199"/>
      <c r="X297" s="293" t="s">
        <v>5641</v>
      </c>
      <c r="Y297" s="293" t="s">
        <v>231</v>
      </c>
      <c r="Z297" s="294" t="s">
        <v>3728</v>
      </c>
      <c r="AA297" s="295" t="s">
        <v>5563</v>
      </c>
      <c r="AB297" s="296" t="s">
        <v>292</v>
      </c>
      <c r="AC297" s="297">
        <v>116</v>
      </c>
      <c r="AD297" s="298">
        <v>0.44</v>
      </c>
      <c r="AE297" s="303">
        <f>ROUND(AD297*AC297,2)</f>
        <v>51.04</v>
      </c>
      <c r="AF297" s="956">
        <v>10</v>
      </c>
      <c r="AH297" s="567"/>
      <c r="AI297" s="567"/>
      <c r="AJ297" s="407"/>
      <c r="AK297" s="567"/>
      <c r="AL297" s="407"/>
      <c r="AM297" s="407"/>
      <c r="AR297" s="129"/>
      <c r="AT297" s="129"/>
      <c r="AU297" s="129"/>
      <c r="AY297" s="13"/>
      <c r="BE297" s="130"/>
      <c r="BF297" s="130"/>
      <c r="BG297" s="130"/>
      <c r="BH297" s="130"/>
      <c r="BI297" s="130"/>
      <c r="BJ297" s="13"/>
      <c r="BK297" s="130"/>
      <c r="BL297" s="13"/>
      <c r="BM297" s="129"/>
    </row>
    <row r="298" spans="2:65" s="282" customFormat="1" ht="21.45" customHeight="1" x14ac:dyDescent="0.2">
      <c r="B298" s="118"/>
      <c r="C298" s="1234" t="s">
        <v>5205</v>
      </c>
      <c r="D298" s="1235"/>
      <c r="E298" s="1235"/>
      <c r="F298" s="1235"/>
      <c r="G298" s="1235"/>
      <c r="H298" s="1235"/>
      <c r="I298" s="1235"/>
      <c r="J298" s="1236"/>
      <c r="K298" s="222"/>
      <c r="L298" s="24"/>
      <c r="M298" s="125"/>
      <c r="N298" s="126"/>
      <c r="O298" s="127"/>
      <c r="P298" s="127"/>
      <c r="Q298" s="127"/>
      <c r="R298" s="127"/>
      <c r="S298" s="127"/>
      <c r="T298" s="128"/>
      <c r="W298" s="199"/>
      <c r="X298" s="293" t="s">
        <v>5642</v>
      </c>
      <c r="Y298" s="293" t="s">
        <v>231</v>
      </c>
      <c r="Z298" s="294" t="s">
        <v>5564</v>
      </c>
      <c r="AA298" s="295" t="s">
        <v>3731</v>
      </c>
      <c r="AB298" s="296" t="s">
        <v>570</v>
      </c>
      <c r="AC298" s="297">
        <v>20.114999999999998</v>
      </c>
      <c r="AD298" s="298">
        <v>1.8</v>
      </c>
      <c r="AE298" s="303">
        <f>ROUND(AD298*AC298,2)</f>
        <v>36.21</v>
      </c>
      <c r="AF298" s="956">
        <v>10</v>
      </c>
      <c r="AH298" s="567"/>
      <c r="AI298" s="567"/>
      <c r="AJ298" s="407"/>
      <c r="AK298" s="567"/>
      <c r="AL298" s="407"/>
      <c r="AM298" s="407"/>
      <c r="AR298" s="129"/>
      <c r="AT298" s="129"/>
      <c r="AU298" s="129"/>
      <c r="AY298" s="13"/>
      <c r="BE298" s="130"/>
      <c r="BF298" s="130"/>
      <c r="BG298" s="130"/>
      <c r="BH298" s="130"/>
      <c r="BI298" s="130"/>
      <c r="BJ298" s="13"/>
      <c r="BK298" s="130"/>
      <c r="BL298" s="13"/>
      <c r="BM298" s="129"/>
    </row>
    <row r="299" spans="2:65" s="11" customFormat="1" ht="25.95" customHeight="1" x14ac:dyDescent="0.25">
      <c r="B299" s="106"/>
      <c r="D299" s="107" t="s">
        <v>57</v>
      </c>
      <c r="E299" s="108" t="s">
        <v>882</v>
      </c>
      <c r="F299" s="108" t="s">
        <v>1263</v>
      </c>
      <c r="J299" s="109">
        <f>BK299</f>
        <v>118.67999999999999</v>
      </c>
      <c r="L299" s="106"/>
      <c r="M299" s="110"/>
      <c r="N299" s="111"/>
      <c r="O299" s="111"/>
      <c r="P299" s="112">
        <f>SUM(P300:P301)</f>
        <v>0</v>
      </c>
      <c r="Q299" s="111"/>
      <c r="R299" s="112">
        <f>SUM(R300:R301)</f>
        <v>0</v>
      </c>
      <c r="S299" s="111"/>
      <c r="T299" s="113">
        <f>SUM(T300:T301)</f>
        <v>0</v>
      </c>
      <c r="W299" s="195"/>
      <c r="X299" s="111"/>
      <c r="Y299" s="196" t="s">
        <v>57</v>
      </c>
      <c r="Z299" s="197" t="s">
        <v>882</v>
      </c>
      <c r="AA299" s="197" t="s">
        <v>1263</v>
      </c>
      <c r="AB299" s="111"/>
      <c r="AC299" s="111"/>
      <c r="AD299" s="111"/>
      <c r="AE299" s="198">
        <f>SUM(AE300:AE303)</f>
        <v>423.42</v>
      </c>
      <c r="AF299" s="291"/>
      <c r="AH299" s="567"/>
      <c r="AI299" s="567"/>
      <c r="AJ299" s="292"/>
      <c r="AK299" s="567"/>
      <c r="AL299" s="292"/>
      <c r="AM299" s="292"/>
      <c r="AR299" s="107" t="s">
        <v>76</v>
      </c>
      <c r="AT299" s="114" t="s">
        <v>57</v>
      </c>
      <c r="AU299" s="114" t="s">
        <v>58</v>
      </c>
      <c r="AY299" s="107" t="s">
        <v>228</v>
      </c>
      <c r="BK299" s="115">
        <f>SUM(BK300:BK301)</f>
        <v>118.67999999999999</v>
      </c>
    </row>
    <row r="300" spans="2:65" s="1" customFormat="1" ht="22.8" x14ac:dyDescent="0.2">
      <c r="B300" s="118"/>
      <c r="C300" s="205" t="s">
        <v>341</v>
      </c>
      <c r="D300" s="119" t="s">
        <v>231</v>
      </c>
      <c r="E300" s="120" t="s">
        <v>1264</v>
      </c>
      <c r="F300" s="121" t="s">
        <v>1265</v>
      </c>
      <c r="G300" s="122" t="s">
        <v>292</v>
      </c>
      <c r="H300" s="206">
        <v>253</v>
      </c>
      <c r="I300" s="124">
        <v>0.46</v>
      </c>
      <c r="J300" s="124">
        <f>ROUND(I300*H300,2)</f>
        <v>116.38</v>
      </c>
      <c r="K300" s="121" t="s">
        <v>1</v>
      </c>
      <c r="L300" s="24"/>
      <c r="M300" s="125" t="s">
        <v>1</v>
      </c>
      <c r="N300" s="126" t="s">
        <v>32</v>
      </c>
      <c r="O300" s="127">
        <v>0</v>
      </c>
      <c r="P300" s="127">
        <f>O300*H300</f>
        <v>0</v>
      </c>
      <c r="Q300" s="127">
        <v>0</v>
      </c>
      <c r="R300" s="127">
        <f>Q300*H300</f>
        <v>0</v>
      </c>
      <c r="S300" s="127">
        <v>0</v>
      </c>
      <c r="T300" s="128">
        <f>S300*H300</f>
        <v>0</v>
      </c>
      <c r="W300" s="199"/>
      <c r="X300" s="205" t="s">
        <v>341</v>
      </c>
      <c r="Y300" s="119" t="s">
        <v>231</v>
      </c>
      <c r="Z300" s="120" t="s">
        <v>1264</v>
      </c>
      <c r="AA300" s="121" t="s">
        <v>1265</v>
      </c>
      <c r="AB300" s="122" t="s">
        <v>292</v>
      </c>
      <c r="AC300" s="206">
        <f>87+276+114.6+53</f>
        <v>530.6</v>
      </c>
      <c r="AD300" s="124">
        <v>0.46</v>
      </c>
      <c r="AE300" s="200">
        <f>ROUND(AD300*AC300,2)</f>
        <v>244.08</v>
      </c>
      <c r="AF300" s="956" t="s">
        <v>6685</v>
      </c>
      <c r="AH300" s="567"/>
      <c r="AI300" s="567"/>
      <c r="AJ300" s="407"/>
      <c r="AK300" s="567"/>
      <c r="AL300" s="407"/>
      <c r="AM300" s="407"/>
      <c r="AR300" s="129" t="s">
        <v>258</v>
      </c>
      <c r="AT300" s="129" t="s">
        <v>231</v>
      </c>
      <c r="AU300" s="129" t="s">
        <v>63</v>
      </c>
      <c r="AY300" s="13" t="s">
        <v>228</v>
      </c>
      <c r="BE300" s="130">
        <f>IF(N300="základná",J300,0)</f>
        <v>0</v>
      </c>
      <c r="BF300" s="130">
        <f>IF(N300="znížená",J300,0)</f>
        <v>116.38</v>
      </c>
      <c r="BG300" s="130">
        <f>IF(N300="zákl. prenesená",J300,0)</f>
        <v>0</v>
      </c>
      <c r="BH300" s="130">
        <f>IF(N300="zníž. prenesená",J300,0)</f>
        <v>0</v>
      </c>
      <c r="BI300" s="130">
        <f>IF(N300="nulová",J300,0)</f>
        <v>0</v>
      </c>
      <c r="BJ300" s="13" t="s">
        <v>76</v>
      </c>
      <c r="BK300" s="130">
        <f>ROUND(I300*H300,2)</f>
        <v>116.38</v>
      </c>
      <c r="BL300" s="13" t="s">
        <v>258</v>
      </c>
      <c r="BM300" s="129" t="s">
        <v>344</v>
      </c>
    </row>
    <row r="301" spans="2:65" s="1" customFormat="1" ht="24" customHeight="1" x14ac:dyDescent="0.2">
      <c r="B301" s="118"/>
      <c r="C301" s="205" t="s">
        <v>288</v>
      </c>
      <c r="D301" s="119" t="s">
        <v>231</v>
      </c>
      <c r="E301" s="120" t="s">
        <v>1266</v>
      </c>
      <c r="F301" s="121" t="s">
        <v>1267</v>
      </c>
      <c r="G301" s="122" t="s">
        <v>284</v>
      </c>
      <c r="H301" s="206">
        <v>5</v>
      </c>
      <c r="I301" s="124">
        <v>0.46</v>
      </c>
      <c r="J301" s="124">
        <f>ROUND(I301*H301,2)</f>
        <v>2.2999999999999998</v>
      </c>
      <c r="K301" s="121" t="s">
        <v>1</v>
      </c>
      <c r="L301" s="24"/>
      <c r="M301" s="125" t="s">
        <v>1</v>
      </c>
      <c r="N301" s="126" t="s">
        <v>32</v>
      </c>
      <c r="O301" s="127">
        <v>0</v>
      </c>
      <c r="P301" s="127">
        <f>O301*H301</f>
        <v>0</v>
      </c>
      <c r="Q301" s="127">
        <v>0</v>
      </c>
      <c r="R301" s="127">
        <f>Q301*H301</f>
        <v>0</v>
      </c>
      <c r="S301" s="127">
        <v>0</v>
      </c>
      <c r="T301" s="128">
        <f>S301*H301</f>
        <v>0</v>
      </c>
      <c r="W301" s="199"/>
      <c r="X301" s="205" t="s">
        <v>288</v>
      </c>
      <c r="Y301" s="119" t="s">
        <v>231</v>
      </c>
      <c r="Z301" s="120" t="s">
        <v>1266</v>
      </c>
      <c r="AA301" s="121" t="s">
        <v>1267</v>
      </c>
      <c r="AB301" s="122" t="s">
        <v>284</v>
      </c>
      <c r="AC301" s="206">
        <f>3</f>
        <v>3</v>
      </c>
      <c r="AD301" s="124">
        <v>0.46</v>
      </c>
      <c r="AE301" s="200">
        <f>ROUND(AD301*AC301,2)</f>
        <v>1.38</v>
      </c>
      <c r="AF301" s="956">
        <v>7</v>
      </c>
      <c r="AH301" s="567"/>
      <c r="AI301" s="567"/>
      <c r="AJ301" s="407"/>
      <c r="AK301" s="567"/>
      <c r="AL301" s="407"/>
      <c r="AM301" s="407"/>
      <c r="AR301" s="129" t="s">
        <v>258</v>
      </c>
      <c r="AT301" s="129" t="s">
        <v>231</v>
      </c>
      <c r="AU301" s="129" t="s">
        <v>63</v>
      </c>
      <c r="AY301" s="13" t="s">
        <v>228</v>
      </c>
      <c r="BE301" s="130">
        <f>IF(N301="základná",J301,0)</f>
        <v>0</v>
      </c>
      <c r="BF301" s="130">
        <f>IF(N301="znížená",J301,0)</f>
        <v>2.2999999999999998</v>
      </c>
      <c r="BG301" s="130">
        <f>IF(N301="zákl. prenesená",J301,0)</f>
        <v>0</v>
      </c>
      <c r="BH301" s="130">
        <f>IF(N301="zníž. prenesená",J301,0)</f>
        <v>0</v>
      </c>
      <c r="BI301" s="130">
        <f>IF(N301="nulová",J301,0)</f>
        <v>0</v>
      </c>
      <c r="BJ301" s="13" t="s">
        <v>76</v>
      </c>
      <c r="BK301" s="130">
        <f>ROUND(I301*H301,2)</f>
        <v>2.2999999999999998</v>
      </c>
      <c r="BL301" s="13" t="s">
        <v>258</v>
      </c>
      <c r="BM301" s="129" t="s">
        <v>347</v>
      </c>
    </row>
    <row r="302" spans="2:65" s="337" customFormat="1" ht="26.25" customHeight="1" x14ac:dyDescent="0.2">
      <c r="B302" s="118"/>
      <c r="C302" s="1234" t="s">
        <v>5205</v>
      </c>
      <c r="D302" s="1235"/>
      <c r="E302" s="1235"/>
      <c r="F302" s="1235"/>
      <c r="G302" s="1235"/>
      <c r="H302" s="1235"/>
      <c r="I302" s="1235"/>
      <c r="J302" s="1236"/>
      <c r="K302" s="222"/>
      <c r="L302" s="24"/>
      <c r="M302" s="125"/>
      <c r="N302" s="126"/>
      <c r="O302" s="127"/>
      <c r="P302" s="127"/>
      <c r="Q302" s="127"/>
      <c r="R302" s="127"/>
      <c r="S302" s="127"/>
      <c r="T302" s="128"/>
      <c r="W302" s="199"/>
      <c r="X302" s="207" t="s">
        <v>5690</v>
      </c>
      <c r="Y302" s="207" t="s">
        <v>231</v>
      </c>
      <c r="Z302" s="208" t="s">
        <v>1266</v>
      </c>
      <c r="AA302" s="209" t="s">
        <v>1267</v>
      </c>
      <c r="AB302" s="210" t="s">
        <v>284</v>
      </c>
      <c r="AC302" s="211">
        <v>15</v>
      </c>
      <c r="AD302" s="212">
        <v>11.44</v>
      </c>
      <c r="AE302" s="214">
        <f>ROUND(AD302*AC302,2)</f>
        <v>171.6</v>
      </c>
      <c r="AF302" s="956">
        <v>10</v>
      </c>
      <c r="AH302" s="567"/>
      <c r="AI302" s="567"/>
      <c r="AJ302" s="407"/>
      <c r="AK302" s="567"/>
      <c r="AL302" s="407"/>
      <c r="AM302" s="407"/>
      <c r="AR302" s="129"/>
      <c r="AT302" s="129"/>
      <c r="AU302" s="129"/>
      <c r="AY302" s="13"/>
      <c r="BE302" s="130"/>
      <c r="BF302" s="130"/>
      <c r="BG302" s="130"/>
      <c r="BH302" s="130"/>
      <c r="BI302" s="130"/>
      <c r="BJ302" s="13"/>
      <c r="BK302" s="130"/>
      <c r="BL302" s="13"/>
      <c r="BM302" s="129"/>
    </row>
    <row r="303" spans="2:65" s="1084" customFormat="1" ht="26.25" customHeight="1" x14ac:dyDescent="0.2">
      <c r="B303" s="1028"/>
      <c r="C303" s="1234" t="s">
        <v>5205</v>
      </c>
      <c r="D303" s="1235"/>
      <c r="E303" s="1235"/>
      <c r="F303" s="1235"/>
      <c r="G303" s="1235"/>
      <c r="H303" s="1235"/>
      <c r="I303" s="1235"/>
      <c r="J303" s="1236"/>
      <c r="K303" s="1000"/>
      <c r="L303" s="1027"/>
      <c r="M303" s="1035"/>
      <c r="N303" s="1036"/>
      <c r="O303" s="1037"/>
      <c r="P303" s="1037"/>
      <c r="Q303" s="1037"/>
      <c r="R303" s="1037"/>
      <c r="S303" s="1037"/>
      <c r="T303" s="1038"/>
      <c r="W303" s="1041"/>
      <c r="X303" s="1072" t="s">
        <v>6710</v>
      </c>
      <c r="Y303" s="1072" t="s">
        <v>231</v>
      </c>
      <c r="Z303" s="1073" t="s">
        <v>6711</v>
      </c>
      <c r="AA303" s="1074" t="s">
        <v>6712</v>
      </c>
      <c r="AB303" s="1075" t="s">
        <v>292</v>
      </c>
      <c r="AC303" s="1076">
        <v>53</v>
      </c>
      <c r="AD303" s="1077">
        <v>0.12</v>
      </c>
      <c r="AE303" s="1078">
        <f>ROUND(AD303*AC303,2)</f>
        <v>6.36</v>
      </c>
      <c r="AF303" s="956">
        <v>22</v>
      </c>
      <c r="AH303" s="567"/>
      <c r="AI303" s="567"/>
      <c r="AJ303" s="407"/>
      <c r="AK303" s="567"/>
      <c r="AL303" s="407"/>
      <c r="AM303" s="407"/>
      <c r="AR303" s="1039"/>
      <c r="AT303" s="1039"/>
      <c r="AU303" s="1039"/>
      <c r="AY303" s="1026"/>
      <c r="BE303" s="1040"/>
      <c r="BF303" s="1040"/>
      <c r="BG303" s="1040"/>
      <c r="BH303" s="1040"/>
      <c r="BI303" s="1040"/>
      <c r="BJ303" s="1026"/>
      <c r="BK303" s="1040"/>
      <c r="BL303" s="1026"/>
      <c r="BM303" s="1039"/>
    </row>
    <row r="304" spans="2:65" s="11" customFormat="1" ht="25.95" customHeight="1" x14ac:dyDescent="0.25">
      <c r="B304" s="106"/>
      <c r="D304" s="107" t="s">
        <v>57</v>
      </c>
      <c r="E304" s="108" t="s">
        <v>939</v>
      </c>
      <c r="F304" s="108" t="s">
        <v>1268</v>
      </c>
      <c r="J304" s="109">
        <f>BK304</f>
        <v>921.71</v>
      </c>
      <c r="L304" s="106"/>
      <c r="M304" s="110"/>
      <c r="N304" s="111"/>
      <c r="O304" s="111"/>
      <c r="P304" s="112">
        <f>P305</f>
        <v>0</v>
      </c>
      <c r="Q304" s="111"/>
      <c r="R304" s="112">
        <f>R305</f>
        <v>0</v>
      </c>
      <c r="S304" s="111"/>
      <c r="T304" s="113">
        <f>T305</f>
        <v>0</v>
      </c>
      <c r="W304" s="195"/>
      <c r="X304" s="111"/>
      <c r="Y304" s="196" t="s">
        <v>57</v>
      </c>
      <c r="Z304" s="197" t="s">
        <v>939</v>
      </c>
      <c r="AA304" s="197" t="s">
        <v>1268</v>
      </c>
      <c r="AB304" s="111"/>
      <c r="AC304" s="111"/>
      <c r="AD304" s="111"/>
      <c r="AE304" s="198">
        <f>AE305+AE315+AE317+AE321</f>
        <v>4931.51</v>
      </c>
      <c r="AF304" s="291"/>
      <c r="AH304" s="567"/>
      <c r="AI304" s="567"/>
      <c r="AJ304" s="292"/>
      <c r="AK304" s="567"/>
      <c r="AL304" s="292"/>
      <c r="AM304" s="292"/>
      <c r="AR304" s="107" t="s">
        <v>76</v>
      </c>
      <c r="AT304" s="114" t="s">
        <v>57</v>
      </c>
      <c r="AU304" s="114" t="s">
        <v>58</v>
      </c>
      <c r="AY304" s="107" t="s">
        <v>228</v>
      </c>
      <c r="BK304" s="115">
        <f>BK305</f>
        <v>921.71</v>
      </c>
    </row>
    <row r="305" spans="2:65" s="11" customFormat="1" ht="22.95" customHeight="1" x14ac:dyDescent="0.25">
      <c r="B305" s="106"/>
      <c r="D305" s="107" t="s">
        <v>57</v>
      </c>
      <c r="E305" s="116" t="s">
        <v>1269</v>
      </c>
      <c r="F305" s="116" t="s">
        <v>1270</v>
      </c>
      <c r="J305" s="117">
        <f>BK305</f>
        <v>921.71</v>
      </c>
      <c r="L305" s="106"/>
      <c r="M305" s="110"/>
      <c r="N305" s="111"/>
      <c r="O305" s="111"/>
      <c r="P305" s="112">
        <f>SUM(P306:P329)</f>
        <v>0</v>
      </c>
      <c r="Q305" s="111"/>
      <c r="R305" s="112">
        <f>SUM(R306:R329)</f>
        <v>0</v>
      </c>
      <c r="S305" s="111"/>
      <c r="T305" s="113">
        <f>SUM(T306:T329)</f>
        <v>0</v>
      </c>
      <c r="W305" s="195"/>
      <c r="X305" s="111"/>
      <c r="Y305" s="196" t="s">
        <v>57</v>
      </c>
      <c r="Z305" s="201" t="s">
        <v>1269</v>
      </c>
      <c r="AA305" s="201" t="s">
        <v>1270</v>
      </c>
      <c r="AB305" s="111"/>
      <c r="AC305" s="111"/>
      <c r="AD305" s="111"/>
      <c r="AE305" s="202">
        <f>SUM(AE306:AE314)</f>
        <v>1830.1499999999999</v>
      </c>
      <c r="AF305" s="291"/>
      <c r="AH305" s="567"/>
      <c r="AI305" s="567"/>
      <c r="AJ305" s="292"/>
      <c r="AK305" s="567"/>
      <c r="AL305" s="292"/>
      <c r="AM305" s="292"/>
      <c r="AR305" s="107" t="s">
        <v>76</v>
      </c>
      <c r="AT305" s="114" t="s">
        <v>57</v>
      </c>
      <c r="AU305" s="114" t="s">
        <v>63</v>
      </c>
      <c r="AY305" s="107" t="s">
        <v>228</v>
      </c>
      <c r="BK305" s="115">
        <f>SUM(BK306:BK329)</f>
        <v>921.71</v>
      </c>
    </row>
    <row r="306" spans="2:65" s="1" customFormat="1" ht="17.25" customHeight="1" x14ac:dyDescent="0.2">
      <c r="B306" s="118"/>
      <c r="C306" s="205" t="s">
        <v>348</v>
      </c>
      <c r="D306" s="119" t="s">
        <v>231</v>
      </c>
      <c r="E306" s="120" t="s">
        <v>1271</v>
      </c>
      <c r="F306" s="121" t="s">
        <v>1272</v>
      </c>
      <c r="G306" s="122" t="s">
        <v>292</v>
      </c>
      <c r="H306" s="206">
        <v>171</v>
      </c>
      <c r="I306" s="124">
        <v>3.26</v>
      </c>
      <c r="J306" s="124">
        <f>ROUND(I306*H306,2)</f>
        <v>557.46</v>
      </c>
      <c r="K306" s="121" t="s">
        <v>1</v>
      </c>
      <c r="L306" s="24"/>
      <c r="M306" s="125" t="s">
        <v>1</v>
      </c>
      <c r="N306" s="126" t="s">
        <v>32</v>
      </c>
      <c r="O306" s="127">
        <v>0</v>
      </c>
      <c r="P306" s="127">
        <f>O306*H306</f>
        <v>0</v>
      </c>
      <c r="Q306" s="127">
        <v>0</v>
      </c>
      <c r="R306" s="127">
        <f>Q306*H306</f>
        <v>0</v>
      </c>
      <c r="S306" s="127">
        <v>0</v>
      </c>
      <c r="T306" s="128">
        <f>S306*H306</f>
        <v>0</v>
      </c>
      <c r="W306" s="199"/>
      <c r="X306" s="205" t="s">
        <v>348</v>
      </c>
      <c r="Y306" s="119" t="s">
        <v>231</v>
      </c>
      <c r="Z306" s="120" t="s">
        <v>1271</v>
      </c>
      <c r="AA306" s="121" t="s">
        <v>1272</v>
      </c>
      <c r="AB306" s="122" t="s">
        <v>292</v>
      </c>
      <c r="AC306" s="206">
        <f>30+48</f>
        <v>78</v>
      </c>
      <c r="AD306" s="124">
        <v>3.26</v>
      </c>
      <c r="AE306" s="200">
        <f>ROUND(AD306*AC306,2)</f>
        <v>254.28</v>
      </c>
      <c r="AF306" s="956" t="s">
        <v>5452</v>
      </c>
      <c r="AH306" s="567"/>
      <c r="AI306" s="567"/>
      <c r="AJ306" s="407"/>
      <c r="AK306" s="567"/>
      <c r="AL306" s="407"/>
      <c r="AM306" s="407"/>
      <c r="AR306" s="129" t="s">
        <v>258</v>
      </c>
      <c r="AT306" s="129" t="s">
        <v>231</v>
      </c>
      <c r="AU306" s="129" t="s">
        <v>76</v>
      </c>
      <c r="AY306" s="13" t="s">
        <v>228</v>
      </c>
      <c r="BE306" s="130">
        <f>IF(N306="základná",J306,0)</f>
        <v>0</v>
      </c>
      <c r="BF306" s="130">
        <f>IF(N306="znížená",J306,0)</f>
        <v>557.46</v>
      </c>
      <c r="BG306" s="130">
        <f>IF(N306="zákl. prenesená",J306,0)</f>
        <v>0</v>
      </c>
      <c r="BH306" s="130">
        <f>IF(N306="zníž. prenesená",J306,0)</f>
        <v>0</v>
      </c>
      <c r="BI306" s="130">
        <f>IF(N306="nulová",J306,0)</f>
        <v>0</v>
      </c>
      <c r="BJ306" s="13" t="s">
        <v>76</v>
      </c>
      <c r="BK306" s="130">
        <f>ROUND(I306*H306,2)</f>
        <v>557.46</v>
      </c>
      <c r="BL306" s="13" t="s">
        <v>258</v>
      </c>
      <c r="BM306" s="129" t="s">
        <v>351</v>
      </c>
    </row>
    <row r="307" spans="2:65" s="1" customFormat="1" ht="17.25" customHeight="1" x14ac:dyDescent="0.2">
      <c r="B307" s="118"/>
      <c r="C307" s="205" t="s">
        <v>293</v>
      </c>
      <c r="D307" s="119" t="s">
        <v>231</v>
      </c>
      <c r="E307" s="120" t="s">
        <v>1273</v>
      </c>
      <c r="F307" s="121" t="s">
        <v>1274</v>
      </c>
      <c r="G307" s="122" t="s">
        <v>292</v>
      </c>
      <c r="H307" s="206">
        <v>53</v>
      </c>
      <c r="I307" s="124">
        <v>3.6</v>
      </c>
      <c r="J307" s="124">
        <f>ROUND(I307*H307,2)</f>
        <v>190.8</v>
      </c>
      <c r="K307" s="121" t="s">
        <v>1</v>
      </c>
      <c r="L307" s="24"/>
      <c r="M307" s="125" t="s">
        <v>1</v>
      </c>
      <c r="N307" s="126" t="s">
        <v>32</v>
      </c>
      <c r="O307" s="127">
        <v>0</v>
      </c>
      <c r="P307" s="127">
        <f>O307*H307</f>
        <v>0</v>
      </c>
      <c r="Q307" s="127">
        <v>0</v>
      </c>
      <c r="R307" s="127">
        <f>Q307*H307</f>
        <v>0</v>
      </c>
      <c r="S307" s="127">
        <v>0</v>
      </c>
      <c r="T307" s="128">
        <f>S307*H307</f>
        <v>0</v>
      </c>
      <c r="W307" s="199"/>
      <c r="X307" s="205" t="s">
        <v>293</v>
      </c>
      <c r="Y307" s="119" t="s">
        <v>231</v>
      </c>
      <c r="Z307" s="120" t="s">
        <v>1273</v>
      </c>
      <c r="AA307" s="121" t="s">
        <v>1274</v>
      </c>
      <c r="AB307" s="122" t="s">
        <v>292</v>
      </c>
      <c r="AC307" s="206">
        <f>57+14+82+14</f>
        <v>167</v>
      </c>
      <c r="AD307" s="124">
        <v>3.6</v>
      </c>
      <c r="AE307" s="200">
        <f>ROUND(AD307*AC307,2)</f>
        <v>601.20000000000005</v>
      </c>
      <c r="AF307" s="956" t="s">
        <v>6685</v>
      </c>
      <c r="AH307" s="567"/>
      <c r="AI307" s="567"/>
      <c r="AJ307" s="407"/>
      <c r="AK307" s="567"/>
      <c r="AL307" s="407"/>
      <c r="AM307" s="407"/>
      <c r="AR307" s="129" t="s">
        <v>258</v>
      </c>
      <c r="AT307" s="129" t="s">
        <v>231</v>
      </c>
      <c r="AU307" s="129" t="s">
        <v>76</v>
      </c>
      <c r="AY307" s="13" t="s">
        <v>228</v>
      </c>
      <c r="BE307" s="130">
        <f>IF(N307="základná",J307,0)</f>
        <v>0</v>
      </c>
      <c r="BF307" s="130">
        <f>IF(N307="znížená",J307,0)</f>
        <v>190.8</v>
      </c>
      <c r="BG307" s="130">
        <f>IF(N307="zákl. prenesená",J307,0)</f>
        <v>0</v>
      </c>
      <c r="BH307" s="130">
        <f>IF(N307="zníž. prenesená",J307,0)</f>
        <v>0</v>
      </c>
      <c r="BI307" s="130">
        <f>IF(N307="nulová",J307,0)</f>
        <v>0</v>
      </c>
      <c r="BJ307" s="13" t="s">
        <v>76</v>
      </c>
      <c r="BK307" s="130">
        <f>ROUND(I307*H307,2)</f>
        <v>190.8</v>
      </c>
      <c r="BL307" s="13" t="s">
        <v>258</v>
      </c>
      <c r="BM307" s="129" t="s">
        <v>354</v>
      </c>
    </row>
    <row r="308" spans="2:65" s="1" customFormat="1" ht="17.25" customHeight="1" x14ac:dyDescent="0.2">
      <c r="B308" s="118"/>
      <c r="C308" s="205" t="s">
        <v>355</v>
      </c>
      <c r="D308" s="119" t="s">
        <v>231</v>
      </c>
      <c r="E308" s="120" t="s">
        <v>1275</v>
      </c>
      <c r="F308" s="121" t="s">
        <v>1276</v>
      </c>
      <c r="G308" s="122" t="s">
        <v>292</v>
      </c>
      <c r="H308" s="206">
        <v>4</v>
      </c>
      <c r="I308" s="124">
        <v>3.77</v>
      </c>
      <c r="J308" s="124">
        <f>ROUND(I308*H308,2)</f>
        <v>15.08</v>
      </c>
      <c r="K308" s="121" t="s">
        <v>1</v>
      </c>
      <c r="L308" s="24"/>
      <c r="M308" s="125" t="s">
        <v>1</v>
      </c>
      <c r="N308" s="126" t="s">
        <v>32</v>
      </c>
      <c r="O308" s="127">
        <v>0</v>
      </c>
      <c r="P308" s="127">
        <f>O308*H308</f>
        <v>0</v>
      </c>
      <c r="Q308" s="127">
        <v>0</v>
      </c>
      <c r="R308" s="127">
        <f>Q308*H308</f>
        <v>0</v>
      </c>
      <c r="S308" s="127">
        <v>0</v>
      </c>
      <c r="T308" s="128">
        <f>S308*H308</f>
        <v>0</v>
      </c>
      <c r="W308" s="199"/>
      <c r="X308" s="205" t="s">
        <v>355</v>
      </c>
      <c r="Y308" s="119" t="s">
        <v>231</v>
      </c>
      <c r="Z308" s="120" t="s">
        <v>1275</v>
      </c>
      <c r="AA308" s="121" t="s">
        <v>1276</v>
      </c>
      <c r="AB308" s="122" t="s">
        <v>292</v>
      </c>
      <c r="AC308" s="206">
        <f>0+11+12</f>
        <v>23</v>
      </c>
      <c r="AD308" s="124">
        <v>3.77</v>
      </c>
      <c r="AE308" s="200">
        <f>ROUND(AD308*AC308,2)</f>
        <v>86.71</v>
      </c>
      <c r="AF308" s="956" t="s">
        <v>6686</v>
      </c>
      <c r="AH308" s="567"/>
      <c r="AI308" s="567"/>
      <c r="AJ308" s="407"/>
      <c r="AK308" s="567"/>
      <c r="AL308" s="407"/>
      <c r="AM308" s="407"/>
      <c r="AR308" s="129" t="s">
        <v>258</v>
      </c>
      <c r="AT308" s="129" t="s">
        <v>231</v>
      </c>
      <c r="AU308" s="129" t="s">
        <v>76</v>
      </c>
      <c r="AY308" s="13" t="s">
        <v>228</v>
      </c>
      <c r="BE308" s="130">
        <f>IF(N308="základná",J308,0)</f>
        <v>0</v>
      </c>
      <c r="BF308" s="130">
        <f>IF(N308="znížená",J308,0)</f>
        <v>15.08</v>
      </c>
      <c r="BG308" s="130">
        <f>IF(N308="zákl. prenesená",J308,0)</f>
        <v>0</v>
      </c>
      <c r="BH308" s="130">
        <f>IF(N308="zníž. prenesená",J308,0)</f>
        <v>0</v>
      </c>
      <c r="BI308" s="130">
        <f>IF(N308="nulová",J308,0)</f>
        <v>0</v>
      </c>
      <c r="BJ308" s="13" t="s">
        <v>76</v>
      </c>
      <c r="BK308" s="130">
        <f>ROUND(I308*H308,2)</f>
        <v>15.08</v>
      </c>
      <c r="BL308" s="13" t="s">
        <v>258</v>
      </c>
      <c r="BM308" s="129" t="s">
        <v>358</v>
      </c>
    </row>
    <row r="309" spans="2:65" s="1" customFormat="1" ht="17.25" customHeight="1" x14ac:dyDescent="0.2">
      <c r="B309" s="118"/>
      <c r="C309" s="205" t="s">
        <v>296</v>
      </c>
      <c r="D309" s="119" t="s">
        <v>231</v>
      </c>
      <c r="E309" s="120" t="s">
        <v>1277</v>
      </c>
      <c r="F309" s="121" t="s">
        <v>1278</v>
      </c>
      <c r="G309" s="122" t="s">
        <v>292</v>
      </c>
      <c r="H309" s="206">
        <v>25</v>
      </c>
      <c r="I309" s="124">
        <v>4.18</v>
      </c>
      <c r="J309" s="124">
        <f>ROUND(I309*H309,2)</f>
        <v>104.5</v>
      </c>
      <c r="K309" s="121" t="s">
        <v>1</v>
      </c>
      <c r="L309" s="24"/>
      <c r="M309" s="125" t="s">
        <v>1</v>
      </c>
      <c r="N309" s="126" t="s">
        <v>32</v>
      </c>
      <c r="O309" s="127">
        <v>0</v>
      </c>
      <c r="P309" s="127">
        <f>O309*H309</f>
        <v>0</v>
      </c>
      <c r="Q309" s="127">
        <v>0</v>
      </c>
      <c r="R309" s="127">
        <f>Q309*H309</f>
        <v>0</v>
      </c>
      <c r="S309" s="127">
        <v>0</v>
      </c>
      <c r="T309" s="128">
        <f>S309*H309</f>
        <v>0</v>
      </c>
      <c r="W309" s="199"/>
      <c r="X309" s="205" t="s">
        <v>296</v>
      </c>
      <c r="Y309" s="119" t="s">
        <v>231</v>
      </c>
      <c r="Z309" s="120" t="s">
        <v>1277</v>
      </c>
      <c r="AA309" s="121" t="s">
        <v>1278</v>
      </c>
      <c r="AB309" s="122" t="s">
        <v>292</v>
      </c>
      <c r="AC309" s="206">
        <v>20</v>
      </c>
      <c r="AD309" s="124">
        <v>4.18</v>
      </c>
      <c r="AE309" s="200">
        <f>ROUND(AD309*AC309,2)</f>
        <v>83.6</v>
      </c>
      <c r="AF309" s="956" t="s">
        <v>6687</v>
      </c>
      <c r="AH309" s="567"/>
      <c r="AI309" s="567"/>
      <c r="AJ309" s="407"/>
      <c r="AK309" s="567"/>
      <c r="AL309" s="407"/>
      <c r="AM309" s="407"/>
      <c r="AR309" s="129" t="s">
        <v>258</v>
      </c>
      <c r="AT309" s="129" t="s">
        <v>231</v>
      </c>
      <c r="AU309" s="129" t="s">
        <v>76</v>
      </c>
      <c r="AY309" s="13" t="s">
        <v>228</v>
      </c>
      <c r="BE309" s="130">
        <f>IF(N309="základná",J309,0)</f>
        <v>0</v>
      </c>
      <c r="BF309" s="130">
        <f>IF(N309="znížená",J309,0)</f>
        <v>104.5</v>
      </c>
      <c r="BG309" s="130">
        <f>IF(N309="zákl. prenesená",J309,0)</f>
        <v>0</v>
      </c>
      <c r="BH309" s="130">
        <f>IF(N309="zníž. prenesená",J309,0)</f>
        <v>0</v>
      </c>
      <c r="BI309" s="130">
        <f>IF(N309="nulová",J309,0)</f>
        <v>0</v>
      </c>
      <c r="BJ309" s="13" t="s">
        <v>76</v>
      </c>
      <c r="BK309" s="130">
        <f>ROUND(I309*H309,2)</f>
        <v>104.5</v>
      </c>
      <c r="BL309" s="13" t="s">
        <v>258</v>
      </c>
      <c r="BM309" s="129" t="s">
        <v>361</v>
      </c>
    </row>
    <row r="310" spans="2:65" s="1084" customFormat="1" ht="17.25" customHeight="1" x14ac:dyDescent="0.2">
      <c r="B310" s="1028"/>
      <c r="C310" s="1234" t="s">
        <v>5205</v>
      </c>
      <c r="D310" s="1235"/>
      <c r="E310" s="1235"/>
      <c r="F310" s="1235"/>
      <c r="G310" s="1235"/>
      <c r="H310" s="1235"/>
      <c r="I310" s="1235"/>
      <c r="J310" s="1236"/>
      <c r="K310" s="1031"/>
      <c r="L310" s="1027"/>
      <c r="M310" s="1035"/>
      <c r="N310" s="1036"/>
      <c r="O310" s="1037"/>
      <c r="P310" s="1037"/>
      <c r="Q310" s="1037"/>
      <c r="R310" s="1037"/>
      <c r="S310" s="1037"/>
      <c r="T310" s="1038"/>
      <c r="W310" s="1041"/>
      <c r="X310" s="1072" t="s">
        <v>6032</v>
      </c>
      <c r="Y310" s="1072" t="s">
        <v>231</v>
      </c>
      <c r="Z310" s="1073" t="s">
        <v>6688</v>
      </c>
      <c r="AA310" s="1074" t="s">
        <v>6689</v>
      </c>
      <c r="AB310" s="1075" t="s">
        <v>292</v>
      </c>
      <c r="AC310" s="1076">
        <v>16</v>
      </c>
      <c r="AD310" s="1077">
        <v>4.8499999999999996</v>
      </c>
      <c r="AE310" s="1078">
        <f>AC310*AD310</f>
        <v>77.599999999999994</v>
      </c>
      <c r="AF310" s="956">
        <v>22</v>
      </c>
      <c r="AH310" s="567"/>
      <c r="AI310" s="567"/>
      <c r="AJ310" s="407"/>
      <c r="AK310" s="567"/>
      <c r="AL310" s="407"/>
      <c r="AM310" s="407"/>
      <c r="AR310" s="1039"/>
      <c r="AT310" s="1039"/>
      <c r="AU310" s="1039"/>
      <c r="AY310" s="1026"/>
      <c r="BE310" s="1040"/>
      <c r="BF310" s="1040"/>
      <c r="BG310" s="1040"/>
      <c r="BH310" s="1040"/>
      <c r="BI310" s="1040"/>
      <c r="BJ310" s="1026"/>
      <c r="BK310" s="1040"/>
      <c r="BL310" s="1026"/>
      <c r="BM310" s="1039"/>
    </row>
    <row r="311" spans="2:65" s="1084" customFormat="1" ht="17.25" customHeight="1" x14ac:dyDescent="0.2">
      <c r="B311" s="1028"/>
      <c r="C311" s="1234" t="s">
        <v>5205</v>
      </c>
      <c r="D311" s="1235"/>
      <c r="E311" s="1235"/>
      <c r="F311" s="1235"/>
      <c r="G311" s="1235"/>
      <c r="H311" s="1235"/>
      <c r="I311" s="1235"/>
      <c r="J311" s="1236"/>
      <c r="K311" s="1031"/>
      <c r="L311" s="1027"/>
      <c r="M311" s="1035"/>
      <c r="N311" s="1036"/>
      <c r="O311" s="1037"/>
      <c r="P311" s="1037"/>
      <c r="Q311" s="1037"/>
      <c r="R311" s="1037"/>
      <c r="S311" s="1037"/>
      <c r="T311" s="1038"/>
      <c r="W311" s="1041"/>
      <c r="X311" s="1072" t="s">
        <v>6690</v>
      </c>
      <c r="Y311" s="1072" t="s">
        <v>231</v>
      </c>
      <c r="Z311" s="1073" t="s">
        <v>6691</v>
      </c>
      <c r="AA311" s="1074" t="s">
        <v>6692</v>
      </c>
      <c r="AB311" s="1075" t="s">
        <v>292</v>
      </c>
      <c r="AC311" s="1076">
        <v>42</v>
      </c>
      <c r="AD311" s="1077">
        <v>5.6</v>
      </c>
      <c r="AE311" s="1078">
        <f t="shared" ref="AE311:AE313" si="11">AC311*AD311</f>
        <v>235.2</v>
      </c>
      <c r="AF311" s="956">
        <v>22</v>
      </c>
      <c r="AH311" s="567"/>
      <c r="AI311" s="567"/>
      <c r="AJ311" s="407"/>
      <c r="AK311" s="567"/>
      <c r="AL311" s="407"/>
      <c r="AM311" s="407"/>
      <c r="AR311" s="1039"/>
      <c r="AT311" s="1039"/>
      <c r="AU311" s="1039"/>
      <c r="AY311" s="1026"/>
      <c r="BE311" s="1040"/>
      <c r="BF311" s="1040"/>
      <c r="BG311" s="1040"/>
      <c r="BH311" s="1040"/>
      <c r="BI311" s="1040"/>
      <c r="BJ311" s="1026"/>
      <c r="BK311" s="1040"/>
      <c r="BL311" s="1026"/>
      <c r="BM311" s="1039"/>
    </row>
    <row r="312" spans="2:65" s="1084" customFormat="1" ht="17.25" customHeight="1" x14ac:dyDescent="0.2">
      <c r="B312" s="1028"/>
      <c r="C312" s="1234" t="s">
        <v>5205</v>
      </c>
      <c r="D312" s="1235"/>
      <c r="E312" s="1235"/>
      <c r="F312" s="1235"/>
      <c r="G312" s="1235"/>
      <c r="H312" s="1235"/>
      <c r="I312" s="1235"/>
      <c r="J312" s="1236"/>
      <c r="K312" s="1031"/>
      <c r="L312" s="1027"/>
      <c r="M312" s="1035"/>
      <c r="N312" s="1036"/>
      <c r="O312" s="1037"/>
      <c r="P312" s="1037"/>
      <c r="Q312" s="1037"/>
      <c r="R312" s="1037"/>
      <c r="S312" s="1037"/>
      <c r="T312" s="1038"/>
      <c r="W312" s="1041"/>
      <c r="X312" s="1072" t="s">
        <v>6693</v>
      </c>
      <c r="Y312" s="1072" t="s">
        <v>231</v>
      </c>
      <c r="Z312" s="1073" t="s">
        <v>3735</v>
      </c>
      <c r="AA312" s="1074" t="s">
        <v>6694</v>
      </c>
      <c r="AB312" s="1075" t="s">
        <v>292</v>
      </c>
      <c r="AC312" s="1076">
        <v>6</v>
      </c>
      <c r="AD312" s="1077">
        <v>5.96</v>
      </c>
      <c r="AE312" s="1078">
        <f t="shared" si="11"/>
        <v>35.76</v>
      </c>
      <c r="AF312" s="956">
        <v>22</v>
      </c>
      <c r="AH312" s="567"/>
      <c r="AI312" s="567"/>
      <c r="AJ312" s="407"/>
      <c r="AK312" s="567"/>
      <c r="AL312" s="407"/>
      <c r="AM312" s="407"/>
      <c r="AR312" s="1039"/>
      <c r="AT312" s="1039"/>
      <c r="AU312" s="1039"/>
      <c r="AY312" s="1026"/>
      <c r="BE312" s="1040"/>
      <c r="BF312" s="1040"/>
      <c r="BG312" s="1040"/>
      <c r="BH312" s="1040"/>
      <c r="BI312" s="1040"/>
      <c r="BJ312" s="1026"/>
      <c r="BK312" s="1040"/>
      <c r="BL312" s="1026"/>
      <c r="BM312" s="1039"/>
    </row>
    <row r="313" spans="2:65" s="1084" customFormat="1" ht="17.25" customHeight="1" x14ac:dyDescent="0.2">
      <c r="B313" s="1028"/>
      <c r="C313" s="1234" t="s">
        <v>5205</v>
      </c>
      <c r="D313" s="1235"/>
      <c r="E313" s="1235"/>
      <c r="F313" s="1235"/>
      <c r="G313" s="1235"/>
      <c r="H313" s="1235"/>
      <c r="I313" s="1235"/>
      <c r="J313" s="1236"/>
      <c r="K313" s="1031"/>
      <c r="L313" s="1027"/>
      <c r="M313" s="1035"/>
      <c r="N313" s="1036"/>
      <c r="O313" s="1037"/>
      <c r="P313" s="1037"/>
      <c r="Q313" s="1037"/>
      <c r="R313" s="1037"/>
      <c r="S313" s="1037"/>
      <c r="T313" s="1038"/>
      <c r="W313" s="1041"/>
      <c r="X313" s="1072" t="s">
        <v>6695</v>
      </c>
      <c r="Y313" s="1072" t="s">
        <v>231</v>
      </c>
      <c r="Z313" s="1073" t="s">
        <v>3735</v>
      </c>
      <c r="AA313" s="1074" t="s">
        <v>6297</v>
      </c>
      <c r="AB313" s="1075" t="s">
        <v>292</v>
      </c>
      <c r="AC313" s="1076">
        <v>50</v>
      </c>
      <c r="AD313" s="1077">
        <v>8.82</v>
      </c>
      <c r="AE313" s="1078">
        <f t="shared" si="11"/>
        <v>441</v>
      </c>
      <c r="AF313" s="956">
        <v>22</v>
      </c>
      <c r="AH313" s="567"/>
      <c r="AI313" s="567"/>
      <c r="AJ313" s="407"/>
      <c r="AK313" s="567"/>
      <c r="AL313" s="407"/>
      <c r="AM313" s="407"/>
      <c r="AR313" s="1039"/>
      <c r="AT313" s="1039"/>
      <c r="AU313" s="1039"/>
      <c r="AY313" s="1026"/>
      <c r="BE313" s="1040"/>
      <c r="BF313" s="1040"/>
      <c r="BG313" s="1040"/>
      <c r="BH313" s="1040"/>
      <c r="BI313" s="1040"/>
      <c r="BJ313" s="1026"/>
      <c r="BK313" s="1040"/>
      <c r="BL313" s="1026"/>
      <c r="BM313" s="1039"/>
    </row>
    <row r="314" spans="2:65" s="1" customFormat="1" ht="24" customHeight="1" x14ac:dyDescent="0.2">
      <c r="B314" s="118"/>
      <c r="C314" s="205" t="s">
        <v>362</v>
      </c>
      <c r="D314" s="119" t="s">
        <v>231</v>
      </c>
      <c r="E314" s="120" t="s">
        <v>1279</v>
      </c>
      <c r="F314" s="121" t="s">
        <v>1280</v>
      </c>
      <c r="G314" s="122" t="s">
        <v>284</v>
      </c>
      <c r="H314" s="1071">
        <v>2</v>
      </c>
      <c r="I314" s="124">
        <v>14.8</v>
      </c>
      <c r="J314" s="124">
        <f>ROUND(I314*H314,2)</f>
        <v>29.6</v>
      </c>
      <c r="K314" s="121" t="s">
        <v>1</v>
      </c>
      <c r="L314" s="24"/>
      <c r="M314" s="125" t="s">
        <v>1</v>
      </c>
      <c r="N314" s="126" t="s">
        <v>32</v>
      </c>
      <c r="O314" s="127">
        <v>0</v>
      </c>
      <c r="P314" s="127">
        <f>O314*H314</f>
        <v>0</v>
      </c>
      <c r="Q314" s="127">
        <v>0</v>
      </c>
      <c r="R314" s="127">
        <f>Q314*H314</f>
        <v>0</v>
      </c>
      <c r="S314" s="127">
        <v>0</v>
      </c>
      <c r="T314" s="128">
        <f>S314*H314</f>
        <v>0</v>
      </c>
      <c r="W314" s="199"/>
      <c r="X314" s="205" t="s">
        <v>362</v>
      </c>
      <c r="Y314" s="119" t="s">
        <v>231</v>
      </c>
      <c r="Z314" s="120" t="s">
        <v>1279</v>
      </c>
      <c r="AA314" s="121" t="s">
        <v>1280</v>
      </c>
      <c r="AB314" s="122" t="s">
        <v>284</v>
      </c>
      <c r="AC314" s="206">
        <v>1</v>
      </c>
      <c r="AD314" s="124">
        <v>14.8</v>
      </c>
      <c r="AE314" s="200">
        <f>ROUND(AD314*AC314,2)</f>
        <v>14.8</v>
      </c>
      <c r="AF314" s="956" t="s">
        <v>6687</v>
      </c>
      <c r="AH314" s="567"/>
      <c r="AI314" s="567"/>
      <c r="AJ314" s="407"/>
      <c r="AK314" s="567"/>
      <c r="AL314" s="407"/>
      <c r="AM314" s="407"/>
      <c r="AR314" s="129" t="s">
        <v>258</v>
      </c>
      <c r="AT314" s="129" t="s">
        <v>231</v>
      </c>
      <c r="AU314" s="129" t="s">
        <v>76</v>
      </c>
      <c r="AY314" s="13" t="s">
        <v>228</v>
      </c>
      <c r="BE314" s="130">
        <f>IF(N314="základná",J314,0)</f>
        <v>0</v>
      </c>
      <c r="BF314" s="130">
        <f>IF(N314="znížená",J314,0)</f>
        <v>29.6</v>
      </c>
      <c r="BG314" s="130">
        <f>IF(N314="zákl. prenesená",J314,0)</f>
        <v>0</v>
      </c>
      <c r="BH314" s="130">
        <f>IF(N314="zníž. prenesená",J314,0)</f>
        <v>0</v>
      </c>
      <c r="BI314" s="130">
        <f>IF(N314="nulová",J314,0)</f>
        <v>0</v>
      </c>
      <c r="BJ314" s="13" t="s">
        <v>76</v>
      </c>
      <c r="BK314" s="130">
        <f>ROUND(I314*H314,2)</f>
        <v>29.6</v>
      </c>
      <c r="BL314" s="13" t="s">
        <v>258</v>
      </c>
      <c r="BM314" s="129" t="s">
        <v>365</v>
      </c>
    </row>
    <row r="315" spans="2:65" s="282" customFormat="1" ht="29.55" customHeight="1" x14ac:dyDescent="0.25">
      <c r="B315" s="24"/>
      <c r="D315" s="144"/>
      <c r="F315" s="145"/>
      <c r="L315" s="24"/>
      <c r="M315" s="146"/>
      <c r="N315" s="283"/>
      <c r="O315" s="283"/>
      <c r="P315" s="283"/>
      <c r="Q315" s="283"/>
      <c r="R315" s="283"/>
      <c r="S315" s="283"/>
      <c r="T315" s="43"/>
      <c r="W315" s="158"/>
      <c r="X315" s="299"/>
      <c r="Y315" s="300" t="s">
        <v>57</v>
      </c>
      <c r="Z315" s="301" t="s">
        <v>3747</v>
      </c>
      <c r="AA315" s="301" t="s">
        <v>5565</v>
      </c>
      <c r="AB315" s="299"/>
      <c r="AC315" s="299"/>
      <c r="AD315" s="299"/>
      <c r="AE315" s="302">
        <f>AE316</f>
        <v>674.83</v>
      </c>
      <c r="AF315" s="1130"/>
      <c r="AH315" s="567"/>
      <c r="AI315" s="567"/>
      <c r="AJ315" s="407"/>
      <c r="AK315" s="567"/>
      <c r="AL315" s="407"/>
      <c r="AM315" s="407"/>
      <c r="AT315" s="13"/>
      <c r="AU315" s="13"/>
    </row>
    <row r="316" spans="2:65" s="282" customFormat="1" ht="18" customHeight="1" x14ac:dyDescent="0.2">
      <c r="B316" s="24"/>
      <c r="C316" s="1234" t="s">
        <v>5205</v>
      </c>
      <c r="D316" s="1235"/>
      <c r="E316" s="1235"/>
      <c r="F316" s="1235"/>
      <c r="G316" s="1235"/>
      <c r="H316" s="1235"/>
      <c r="I316" s="1235"/>
      <c r="J316" s="1236"/>
      <c r="L316" s="24"/>
      <c r="M316" s="146"/>
      <c r="N316" s="283"/>
      <c r="O316" s="283"/>
      <c r="P316" s="283"/>
      <c r="Q316" s="283"/>
      <c r="R316" s="283"/>
      <c r="S316" s="283"/>
      <c r="T316" s="43"/>
      <c r="W316" s="158"/>
      <c r="X316" s="293" t="s">
        <v>5643</v>
      </c>
      <c r="Y316" s="293" t="s">
        <v>231</v>
      </c>
      <c r="Z316" s="294" t="s">
        <v>1275</v>
      </c>
      <c r="AA316" s="295" t="s">
        <v>1276</v>
      </c>
      <c r="AB316" s="296" t="s">
        <v>292</v>
      </c>
      <c r="AC316" s="297">
        <f>125+54</f>
        <v>179</v>
      </c>
      <c r="AD316" s="298">
        <v>3.77</v>
      </c>
      <c r="AE316" s="303">
        <f>ROUND(AD316*AC316,2)</f>
        <v>674.83</v>
      </c>
      <c r="AF316" s="956" t="s">
        <v>6179</v>
      </c>
      <c r="AH316" s="567"/>
      <c r="AI316" s="567"/>
      <c r="AJ316" s="407"/>
      <c r="AK316" s="567"/>
      <c r="AL316" s="407"/>
      <c r="AM316" s="407"/>
      <c r="AT316" s="13"/>
      <c r="AU316" s="13"/>
    </row>
    <row r="317" spans="2:65" s="282" customFormat="1" ht="18" customHeight="1" x14ac:dyDescent="0.25">
      <c r="B317" s="24"/>
      <c r="D317" s="144"/>
      <c r="F317" s="145"/>
      <c r="L317" s="24"/>
      <c r="M317" s="146"/>
      <c r="N317" s="283"/>
      <c r="O317" s="283"/>
      <c r="P317" s="283"/>
      <c r="Q317" s="283"/>
      <c r="R317" s="283"/>
      <c r="S317" s="283"/>
      <c r="T317" s="43"/>
      <c r="W317" s="158"/>
      <c r="X317" s="299"/>
      <c r="Y317" s="300" t="s">
        <v>57</v>
      </c>
      <c r="Z317" s="301" t="s">
        <v>3748</v>
      </c>
      <c r="AA317" s="301" t="s">
        <v>5566</v>
      </c>
      <c r="AB317" s="299"/>
      <c r="AC317" s="299"/>
      <c r="AD317" s="299"/>
      <c r="AE317" s="302">
        <f>SUM(AE318:AE320)</f>
        <v>1297.1400000000001</v>
      </c>
      <c r="AF317" s="956"/>
      <c r="AH317" s="567"/>
      <c r="AI317" s="567"/>
      <c r="AJ317" s="407"/>
      <c r="AK317" s="567"/>
      <c r="AL317" s="407"/>
      <c r="AM317" s="407"/>
      <c r="AT317" s="13"/>
      <c r="AU317" s="13"/>
    </row>
    <row r="318" spans="2:65" s="282" customFormat="1" ht="18" customHeight="1" x14ac:dyDescent="0.2">
      <c r="B318" s="24"/>
      <c r="C318" s="1234" t="s">
        <v>5205</v>
      </c>
      <c r="D318" s="1235"/>
      <c r="E318" s="1235"/>
      <c r="F318" s="1235"/>
      <c r="G318" s="1235"/>
      <c r="H318" s="1235"/>
      <c r="I318" s="1235"/>
      <c r="J318" s="1236"/>
      <c r="L318" s="24"/>
      <c r="M318" s="146"/>
      <c r="N318" s="283"/>
      <c r="O318" s="283"/>
      <c r="P318" s="283"/>
      <c r="Q318" s="283"/>
      <c r="R318" s="283"/>
      <c r="S318" s="283"/>
      <c r="T318" s="43"/>
      <c r="W318" s="158"/>
      <c r="X318" s="293" t="s">
        <v>5644</v>
      </c>
      <c r="Y318" s="293" t="s">
        <v>231</v>
      </c>
      <c r="Z318" s="294" t="s">
        <v>5567</v>
      </c>
      <c r="AA318" s="295" t="s">
        <v>5568</v>
      </c>
      <c r="AB318" s="296" t="s">
        <v>292</v>
      </c>
      <c r="AC318" s="297">
        <f>27+26</f>
        <v>53</v>
      </c>
      <c r="AD318" s="298">
        <v>7.4</v>
      </c>
      <c r="AE318" s="303">
        <f>ROUND(AD318*AC318,2)</f>
        <v>392.2</v>
      </c>
      <c r="AF318" s="956" t="s">
        <v>6179</v>
      </c>
      <c r="AH318" s="567"/>
      <c r="AI318" s="567"/>
      <c r="AJ318" s="407"/>
      <c r="AK318" s="567"/>
      <c r="AL318" s="407"/>
      <c r="AM318" s="407"/>
      <c r="AT318" s="13"/>
      <c r="AU318" s="13"/>
    </row>
    <row r="319" spans="2:65" s="282" customFormat="1" ht="18" customHeight="1" x14ac:dyDescent="0.2">
      <c r="B319" s="24"/>
      <c r="C319" s="1234" t="s">
        <v>5205</v>
      </c>
      <c r="D319" s="1235"/>
      <c r="E319" s="1235"/>
      <c r="F319" s="1235"/>
      <c r="G319" s="1235"/>
      <c r="H319" s="1235"/>
      <c r="I319" s="1235"/>
      <c r="J319" s="1236"/>
      <c r="L319" s="24"/>
      <c r="M319" s="146"/>
      <c r="N319" s="283"/>
      <c r="O319" s="283"/>
      <c r="P319" s="283"/>
      <c r="Q319" s="283"/>
      <c r="R319" s="283"/>
      <c r="S319" s="283"/>
      <c r="T319" s="43"/>
      <c r="W319" s="158"/>
      <c r="X319" s="207" t="s">
        <v>6180</v>
      </c>
      <c r="Y319" s="293" t="s">
        <v>231</v>
      </c>
      <c r="Z319" s="208" t="s">
        <v>6181</v>
      </c>
      <c r="AA319" s="209" t="s">
        <v>6182</v>
      </c>
      <c r="AB319" s="296" t="s">
        <v>292</v>
      </c>
      <c r="AC319" s="297">
        <f>40</f>
        <v>40</v>
      </c>
      <c r="AD319" s="298">
        <v>8.1</v>
      </c>
      <c r="AE319" s="303">
        <f>ROUND(AD319*AC319,2)</f>
        <v>324</v>
      </c>
      <c r="AF319" s="956" t="s">
        <v>5343</v>
      </c>
      <c r="AH319" s="567"/>
      <c r="AI319" s="567"/>
      <c r="AJ319" s="407"/>
      <c r="AK319" s="567"/>
      <c r="AL319" s="407"/>
      <c r="AM319" s="407"/>
      <c r="AT319" s="13"/>
      <c r="AU319" s="13"/>
    </row>
    <row r="320" spans="2:65" s="282" customFormat="1" ht="18" customHeight="1" x14ac:dyDescent="0.2">
      <c r="B320" s="24"/>
      <c r="C320" s="1234" t="s">
        <v>5205</v>
      </c>
      <c r="D320" s="1235"/>
      <c r="E320" s="1235"/>
      <c r="F320" s="1235"/>
      <c r="G320" s="1235"/>
      <c r="H320" s="1235"/>
      <c r="I320" s="1235"/>
      <c r="J320" s="1236"/>
      <c r="L320" s="24"/>
      <c r="M320" s="146"/>
      <c r="N320" s="283"/>
      <c r="O320" s="283"/>
      <c r="P320" s="283"/>
      <c r="Q320" s="283"/>
      <c r="R320" s="283"/>
      <c r="S320" s="283"/>
      <c r="T320" s="43"/>
      <c r="W320" s="158"/>
      <c r="X320" s="293" t="s">
        <v>5645</v>
      </c>
      <c r="Y320" s="293" t="s">
        <v>231</v>
      </c>
      <c r="Z320" s="294" t="s">
        <v>5569</v>
      </c>
      <c r="AA320" s="295" t="s">
        <v>5570</v>
      </c>
      <c r="AB320" s="296" t="s">
        <v>292</v>
      </c>
      <c r="AC320" s="297">
        <v>62</v>
      </c>
      <c r="AD320" s="298">
        <v>9.3699999999999992</v>
      </c>
      <c r="AE320" s="303">
        <f>ROUND(AD320*AC320,2)</f>
        <v>580.94000000000005</v>
      </c>
      <c r="AF320" s="956">
        <v>10</v>
      </c>
      <c r="AH320" s="567"/>
      <c r="AI320" s="567"/>
      <c r="AJ320" s="407"/>
      <c r="AK320" s="567"/>
      <c r="AL320" s="407"/>
      <c r="AM320" s="407"/>
      <c r="AT320" s="13"/>
      <c r="AU320" s="13"/>
    </row>
    <row r="321" spans="2:65" s="282" customFormat="1" ht="22.95" customHeight="1" x14ac:dyDescent="0.25">
      <c r="B321" s="24"/>
      <c r="D321" s="144"/>
      <c r="F321" s="145"/>
      <c r="L321" s="24"/>
      <c r="M321" s="146"/>
      <c r="N321" s="283"/>
      <c r="O321" s="283"/>
      <c r="P321" s="283"/>
      <c r="Q321" s="283"/>
      <c r="R321" s="283"/>
      <c r="S321" s="283"/>
      <c r="T321" s="43"/>
      <c r="W321" s="158"/>
      <c r="X321" s="299"/>
      <c r="Y321" s="300" t="s">
        <v>57</v>
      </c>
      <c r="Z321" s="301" t="s">
        <v>3760</v>
      </c>
      <c r="AA321" s="301" t="s">
        <v>5571</v>
      </c>
      <c r="AB321" s="299"/>
      <c r="AC321" s="299"/>
      <c r="AD321" s="299"/>
      <c r="AE321" s="302">
        <f>SUM(AE322:AE329)</f>
        <v>1129.3899999999999</v>
      </c>
      <c r="AF321" s="956"/>
      <c r="AH321" s="567"/>
      <c r="AI321" s="567"/>
      <c r="AJ321" s="407"/>
      <c r="AK321" s="567"/>
      <c r="AL321" s="407"/>
      <c r="AM321" s="407"/>
      <c r="AT321" s="13"/>
      <c r="AU321" s="13"/>
    </row>
    <row r="322" spans="2:65" s="282" customFormat="1" ht="18" customHeight="1" x14ac:dyDescent="0.2">
      <c r="B322" s="24"/>
      <c r="C322" s="1234" t="s">
        <v>5205</v>
      </c>
      <c r="D322" s="1235"/>
      <c r="E322" s="1235"/>
      <c r="F322" s="1235"/>
      <c r="G322" s="1235"/>
      <c r="H322" s="1235"/>
      <c r="I322" s="1235"/>
      <c r="J322" s="1236"/>
      <c r="L322" s="24"/>
      <c r="M322" s="146"/>
      <c r="N322" s="283"/>
      <c r="O322" s="283"/>
      <c r="P322" s="283"/>
      <c r="Q322" s="283"/>
      <c r="R322" s="283"/>
      <c r="S322" s="283"/>
      <c r="T322" s="43"/>
      <c r="W322" s="158"/>
      <c r="X322" s="293" t="s">
        <v>5646</v>
      </c>
      <c r="Y322" s="293" t="s">
        <v>231</v>
      </c>
      <c r="Z322" s="294" t="s">
        <v>3741</v>
      </c>
      <c r="AA322" s="295" t="s">
        <v>3742</v>
      </c>
      <c r="AB322" s="296" t="s">
        <v>292</v>
      </c>
      <c r="AC322" s="297">
        <v>77</v>
      </c>
      <c r="AD322" s="298">
        <v>1.95</v>
      </c>
      <c r="AE322" s="303">
        <f>ROUND(AD322*AC322,2)</f>
        <v>150.15</v>
      </c>
      <c r="AF322" s="956">
        <v>10</v>
      </c>
      <c r="AH322" s="567"/>
      <c r="AI322" s="567"/>
      <c r="AJ322" s="407"/>
      <c r="AK322" s="567"/>
      <c r="AL322" s="407"/>
      <c r="AM322" s="407"/>
      <c r="AT322" s="13"/>
      <c r="AU322" s="13"/>
    </row>
    <row r="323" spans="2:65" s="282" customFormat="1" ht="18" customHeight="1" x14ac:dyDescent="0.2">
      <c r="B323" s="24"/>
      <c r="C323" s="1234" t="s">
        <v>5205</v>
      </c>
      <c r="D323" s="1235"/>
      <c r="E323" s="1235"/>
      <c r="F323" s="1235"/>
      <c r="G323" s="1235"/>
      <c r="H323" s="1235"/>
      <c r="I323" s="1235"/>
      <c r="J323" s="1236"/>
      <c r="L323" s="24"/>
      <c r="M323" s="146"/>
      <c r="N323" s="283"/>
      <c r="O323" s="283"/>
      <c r="P323" s="283"/>
      <c r="Q323" s="283"/>
      <c r="R323" s="283"/>
      <c r="S323" s="283"/>
      <c r="T323" s="43"/>
      <c r="W323" s="158"/>
      <c r="X323" s="293" t="s">
        <v>5647</v>
      </c>
      <c r="Y323" s="293" t="s">
        <v>231</v>
      </c>
      <c r="Z323" s="294" t="s">
        <v>3743</v>
      </c>
      <c r="AA323" s="295" t="s">
        <v>3744</v>
      </c>
      <c r="AB323" s="296" t="s">
        <v>292</v>
      </c>
      <c r="AC323" s="297">
        <v>15</v>
      </c>
      <c r="AD323" s="298">
        <v>1.99</v>
      </c>
      <c r="AE323" s="303">
        <f>ROUND(AD323*AC323,2)</f>
        <v>29.85</v>
      </c>
      <c r="AF323" s="956">
        <v>10</v>
      </c>
      <c r="AH323" s="567"/>
      <c r="AI323" s="567"/>
      <c r="AJ323" s="407"/>
      <c r="AK323" s="567"/>
      <c r="AL323" s="407"/>
      <c r="AM323" s="407"/>
      <c r="AT323" s="13"/>
      <c r="AU323" s="13"/>
    </row>
    <row r="324" spans="2:65" s="282" customFormat="1" ht="18" customHeight="1" x14ac:dyDescent="0.2">
      <c r="B324" s="24"/>
      <c r="C324" s="1234" t="s">
        <v>5205</v>
      </c>
      <c r="D324" s="1235"/>
      <c r="E324" s="1235"/>
      <c r="F324" s="1235"/>
      <c r="G324" s="1235"/>
      <c r="H324" s="1235"/>
      <c r="I324" s="1235"/>
      <c r="J324" s="1236"/>
      <c r="L324" s="24"/>
      <c r="M324" s="146"/>
      <c r="N324" s="283"/>
      <c r="O324" s="283"/>
      <c r="P324" s="283"/>
      <c r="Q324" s="283"/>
      <c r="R324" s="283"/>
      <c r="S324" s="283"/>
      <c r="T324" s="43"/>
      <c r="W324" s="158"/>
      <c r="X324" s="293" t="s">
        <v>5648</v>
      </c>
      <c r="Y324" s="293" t="s">
        <v>231</v>
      </c>
      <c r="Z324" s="294" t="s">
        <v>3745</v>
      </c>
      <c r="AA324" s="295" t="s">
        <v>3746</v>
      </c>
      <c r="AB324" s="296" t="s">
        <v>292</v>
      </c>
      <c r="AC324" s="297">
        <v>22</v>
      </c>
      <c r="AD324" s="298">
        <v>2.0099999999999998</v>
      </c>
      <c r="AE324" s="303">
        <f>ROUND(AD324*AC324,2)</f>
        <v>44.22</v>
      </c>
      <c r="AF324" s="956">
        <v>10</v>
      </c>
      <c r="AH324" s="567"/>
      <c r="AI324" s="567"/>
      <c r="AJ324" s="407"/>
      <c r="AK324" s="567"/>
      <c r="AL324" s="407"/>
      <c r="AM324" s="407"/>
      <c r="AT324" s="13"/>
      <c r="AU324" s="13"/>
    </row>
    <row r="325" spans="2:65" s="282" customFormat="1" ht="18" customHeight="1" x14ac:dyDescent="0.2">
      <c r="B325" s="24"/>
      <c r="C325" s="1234" t="s">
        <v>5205</v>
      </c>
      <c r="D325" s="1235"/>
      <c r="E325" s="1235"/>
      <c r="F325" s="1235"/>
      <c r="G325" s="1235"/>
      <c r="H325" s="1235"/>
      <c r="I325" s="1235"/>
      <c r="J325" s="1236"/>
      <c r="L325" s="24"/>
      <c r="M325" s="146"/>
      <c r="N325" s="283"/>
      <c r="O325" s="283"/>
      <c r="P325" s="283"/>
      <c r="Q325" s="283"/>
      <c r="R325" s="283"/>
      <c r="S325" s="283"/>
      <c r="T325" s="43"/>
      <c r="W325" s="158"/>
      <c r="X325" s="293" t="s">
        <v>5649</v>
      </c>
      <c r="Y325" s="293" t="s">
        <v>231</v>
      </c>
      <c r="Z325" s="294" t="s">
        <v>5572</v>
      </c>
      <c r="AA325" s="295" t="s">
        <v>5573</v>
      </c>
      <c r="AB325" s="296" t="s">
        <v>292</v>
      </c>
      <c r="AC325" s="297">
        <v>2</v>
      </c>
      <c r="AD325" s="298">
        <v>4.0999999999999996</v>
      </c>
      <c r="AE325" s="303">
        <f>ROUND(AD325*AC325,2)</f>
        <v>8.1999999999999993</v>
      </c>
      <c r="AF325" s="956">
        <v>10</v>
      </c>
      <c r="AH325" s="567"/>
      <c r="AI325" s="567"/>
      <c r="AJ325" s="407"/>
      <c r="AK325" s="567"/>
      <c r="AL325" s="407"/>
      <c r="AM325" s="407"/>
      <c r="AT325" s="13"/>
      <c r="AU325" s="13"/>
    </row>
    <row r="326" spans="2:65" s="282" customFormat="1" ht="41.25" customHeight="1" x14ac:dyDescent="0.2">
      <c r="B326" s="24"/>
      <c r="C326" s="1234" t="s">
        <v>5205</v>
      </c>
      <c r="D326" s="1235"/>
      <c r="E326" s="1235"/>
      <c r="F326" s="1235"/>
      <c r="G326" s="1235"/>
      <c r="H326" s="1235"/>
      <c r="I326" s="1235"/>
      <c r="J326" s="1236"/>
      <c r="L326" s="24"/>
      <c r="M326" s="146"/>
      <c r="N326" s="283"/>
      <c r="O326" s="283"/>
      <c r="P326" s="283"/>
      <c r="Q326" s="283"/>
      <c r="R326" s="283"/>
      <c r="S326" s="283"/>
      <c r="T326" s="43"/>
      <c r="W326" s="158"/>
      <c r="X326" s="293" t="s">
        <v>5650</v>
      </c>
      <c r="Y326" s="293" t="s">
        <v>231</v>
      </c>
      <c r="Z326" s="294" t="s">
        <v>5574</v>
      </c>
      <c r="AA326" s="295" t="s">
        <v>5575</v>
      </c>
      <c r="AB326" s="296" t="s">
        <v>284</v>
      </c>
      <c r="AC326" s="297">
        <v>5</v>
      </c>
      <c r="AD326" s="298">
        <v>14.8</v>
      </c>
      <c r="AE326" s="303">
        <f t="shared" ref="AE326:AE328" si="12">ROUND(AD326*AC326,2)</f>
        <v>74</v>
      </c>
      <c r="AF326" s="956">
        <v>10</v>
      </c>
      <c r="AH326" s="567"/>
      <c r="AI326" s="567"/>
      <c r="AJ326" s="407"/>
      <c r="AK326" s="567"/>
      <c r="AL326" s="407"/>
      <c r="AM326" s="407"/>
      <c r="AT326" s="13"/>
      <c r="AU326" s="13"/>
    </row>
    <row r="327" spans="2:65" s="572" customFormat="1" ht="19.95" customHeight="1" x14ac:dyDescent="0.2">
      <c r="B327" s="24"/>
      <c r="C327" s="1234" t="s">
        <v>5205</v>
      </c>
      <c r="D327" s="1235"/>
      <c r="E327" s="1235"/>
      <c r="F327" s="1235"/>
      <c r="G327" s="1235"/>
      <c r="H327" s="1235"/>
      <c r="I327" s="1235"/>
      <c r="J327" s="1236"/>
      <c r="L327" s="24"/>
      <c r="M327" s="146"/>
      <c r="N327" s="571"/>
      <c r="O327" s="571"/>
      <c r="P327" s="571"/>
      <c r="Q327" s="571"/>
      <c r="R327" s="571"/>
      <c r="S327" s="571"/>
      <c r="T327" s="43"/>
      <c r="W327" s="158"/>
      <c r="X327" s="207" t="s">
        <v>6185</v>
      </c>
      <c r="Y327" s="207" t="s">
        <v>231</v>
      </c>
      <c r="Z327" s="294" t="s">
        <v>6183</v>
      </c>
      <c r="AA327" s="295" t="s">
        <v>6184</v>
      </c>
      <c r="AB327" s="296" t="s">
        <v>292</v>
      </c>
      <c r="AC327" s="297">
        <f>169+316</f>
        <v>485</v>
      </c>
      <c r="AD327" s="298">
        <v>1</v>
      </c>
      <c r="AE327" s="303">
        <f t="shared" si="12"/>
        <v>485</v>
      </c>
      <c r="AF327" s="956" t="s">
        <v>6684</v>
      </c>
      <c r="AH327" s="567"/>
      <c r="AI327" s="567"/>
      <c r="AJ327" s="407"/>
      <c r="AK327" s="567"/>
      <c r="AL327" s="407"/>
      <c r="AM327" s="407"/>
      <c r="AT327" s="13"/>
      <c r="AU327" s="13"/>
    </row>
    <row r="328" spans="2:65" s="572" customFormat="1" ht="19.95" customHeight="1" x14ac:dyDescent="0.2">
      <c r="B328" s="24"/>
      <c r="C328" s="1234" t="s">
        <v>5205</v>
      </c>
      <c r="D328" s="1235"/>
      <c r="E328" s="1235"/>
      <c r="F328" s="1235"/>
      <c r="G328" s="1235"/>
      <c r="H328" s="1235"/>
      <c r="I328" s="1235"/>
      <c r="J328" s="1236"/>
      <c r="L328" s="24"/>
      <c r="M328" s="146"/>
      <c r="N328" s="571"/>
      <c r="O328" s="571"/>
      <c r="P328" s="571"/>
      <c r="Q328" s="571"/>
      <c r="R328" s="571"/>
      <c r="S328" s="571"/>
      <c r="T328" s="43"/>
      <c r="W328" s="158"/>
      <c r="X328" s="207" t="s">
        <v>6186</v>
      </c>
      <c r="Y328" s="207"/>
      <c r="Z328" s="294" t="s">
        <v>6187</v>
      </c>
      <c r="AA328" s="295" t="s">
        <v>6188</v>
      </c>
      <c r="AB328" s="296" t="s">
        <v>1172</v>
      </c>
      <c r="AC328" s="297">
        <f>2+1</f>
        <v>3</v>
      </c>
      <c r="AD328" s="298">
        <v>70</v>
      </c>
      <c r="AE328" s="303">
        <f t="shared" si="12"/>
        <v>210</v>
      </c>
      <c r="AF328" s="956" t="s">
        <v>6684</v>
      </c>
      <c r="AH328" s="567"/>
      <c r="AI328" s="567"/>
      <c r="AJ328" s="407"/>
      <c r="AK328" s="567"/>
      <c r="AL328" s="407"/>
      <c r="AM328" s="407"/>
      <c r="AT328" s="13"/>
      <c r="AU328" s="13"/>
    </row>
    <row r="329" spans="2:65" s="1" customFormat="1" ht="16.5" customHeight="1" x14ac:dyDescent="0.2">
      <c r="B329" s="118"/>
      <c r="C329" s="205" t="s">
        <v>300</v>
      </c>
      <c r="D329" s="119" t="s">
        <v>231</v>
      </c>
      <c r="E329" s="120" t="s">
        <v>1282</v>
      </c>
      <c r="F329" s="121" t="s">
        <v>1283</v>
      </c>
      <c r="G329" s="122" t="s">
        <v>570</v>
      </c>
      <c r="H329" s="123">
        <v>2.7</v>
      </c>
      <c r="I329" s="213">
        <v>8.99</v>
      </c>
      <c r="J329" s="124">
        <f>ROUND(I329*H329,2)</f>
        <v>24.27</v>
      </c>
      <c r="K329" s="121" t="s">
        <v>1</v>
      </c>
      <c r="L329" s="24"/>
      <c r="M329" s="125" t="s">
        <v>1</v>
      </c>
      <c r="N329" s="126" t="s">
        <v>32</v>
      </c>
      <c r="O329" s="127">
        <v>0</v>
      </c>
      <c r="P329" s="127">
        <f>O329*H329</f>
        <v>0</v>
      </c>
      <c r="Q329" s="127">
        <v>0</v>
      </c>
      <c r="R329" s="127">
        <f>Q329*H329</f>
        <v>0</v>
      </c>
      <c r="S329" s="127">
        <v>0</v>
      </c>
      <c r="T329" s="128">
        <f>S329*H329</f>
        <v>0</v>
      </c>
      <c r="W329" s="199"/>
      <c r="X329" s="205" t="s">
        <v>300</v>
      </c>
      <c r="Y329" s="119" t="s">
        <v>231</v>
      </c>
      <c r="Z329" s="120" t="s">
        <v>1282</v>
      </c>
      <c r="AA329" s="121" t="s">
        <v>1283</v>
      </c>
      <c r="AB329" s="122" t="s">
        <v>570</v>
      </c>
      <c r="AC329" s="123">
        <v>2.7010000000000001</v>
      </c>
      <c r="AD329" s="213">
        <f>3+17.025+13.657+3.86+9.836</f>
        <v>47.378</v>
      </c>
      <c r="AE329" s="200">
        <f>ROUND(AD329*AC329,2)</f>
        <v>127.97</v>
      </c>
      <c r="AF329" s="956" t="s">
        <v>6685</v>
      </c>
      <c r="AH329" s="567"/>
      <c r="AI329" s="567"/>
      <c r="AJ329" s="407"/>
      <c r="AK329" s="567"/>
      <c r="AL329" s="407"/>
      <c r="AM329" s="407"/>
      <c r="AR329" s="129" t="s">
        <v>258</v>
      </c>
      <c r="AT329" s="129" t="s">
        <v>231</v>
      </c>
      <c r="AU329" s="129" t="s">
        <v>76</v>
      </c>
      <c r="AY329" s="13" t="s">
        <v>228</v>
      </c>
      <c r="BE329" s="130">
        <f>IF(N329="základná",J329,0)</f>
        <v>0</v>
      </c>
      <c r="BF329" s="130">
        <f>IF(N329="znížená",J329,0)</f>
        <v>24.27</v>
      </c>
      <c r="BG329" s="130">
        <f>IF(N329="zákl. prenesená",J329,0)</f>
        <v>0</v>
      </c>
      <c r="BH329" s="130">
        <f>IF(N329="zníž. prenesená",J329,0)</f>
        <v>0</v>
      </c>
      <c r="BI329" s="130">
        <f>IF(N329="nulová",J329,0)</f>
        <v>0</v>
      </c>
      <c r="BJ329" s="13" t="s">
        <v>76</v>
      </c>
      <c r="BK329" s="130">
        <f>ROUND(I329*H329,2)</f>
        <v>24.27</v>
      </c>
      <c r="BL329" s="13" t="s">
        <v>258</v>
      </c>
      <c r="BM329" s="129" t="s">
        <v>368</v>
      </c>
    </row>
    <row r="330" spans="2:65" s="11" customFormat="1" ht="25.95" customHeight="1" x14ac:dyDescent="0.25">
      <c r="B330" s="106"/>
      <c r="D330" s="107" t="s">
        <v>57</v>
      </c>
      <c r="E330" s="108" t="s">
        <v>717</v>
      </c>
      <c r="F330" s="108" t="s">
        <v>1284</v>
      </c>
      <c r="J330" s="109">
        <f>BK330</f>
        <v>559.71</v>
      </c>
      <c r="L330" s="106"/>
      <c r="M330" s="110"/>
      <c r="N330" s="111"/>
      <c r="O330" s="111"/>
      <c r="P330" s="112">
        <f>SUM(P331:P334)</f>
        <v>0</v>
      </c>
      <c r="Q330" s="111"/>
      <c r="R330" s="112">
        <f>SUM(R331:R334)</f>
        <v>0</v>
      </c>
      <c r="S330" s="111"/>
      <c r="T330" s="113">
        <f>SUM(T331:T334)</f>
        <v>0</v>
      </c>
      <c r="W330" s="195"/>
      <c r="X330" s="111"/>
      <c r="Y330" s="196" t="s">
        <v>57</v>
      </c>
      <c r="Z330" s="197" t="s">
        <v>717</v>
      </c>
      <c r="AA330" s="197" t="s">
        <v>1284</v>
      </c>
      <c r="AB330" s="111"/>
      <c r="AC330" s="111"/>
      <c r="AD330" s="111"/>
      <c r="AE330" s="198">
        <f>SUM(AE331:AE333)</f>
        <v>1678.75</v>
      </c>
      <c r="AF330" s="291"/>
      <c r="AH330" s="567"/>
      <c r="AI330" s="567"/>
      <c r="AJ330" s="292"/>
      <c r="AK330" s="567"/>
      <c r="AL330" s="292"/>
      <c r="AM330" s="292"/>
      <c r="AR330" s="107" t="s">
        <v>76</v>
      </c>
      <c r="AT330" s="114" t="s">
        <v>57</v>
      </c>
      <c r="AU330" s="114" t="s">
        <v>58</v>
      </c>
      <c r="AY330" s="107" t="s">
        <v>228</v>
      </c>
      <c r="BK330" s="115">
        <f>SUM(BK331:BK334)</f>
        <v>559.71</v>
      </c>
    </row>
    <row r="331" spans="2:65" s="1" customFormat="1" ht="16.5" customHeight="1" x14ac:dyDescent="0.2">
      <c r="B331" s="118"/>
      <c r="C331" s="205" t="s">
        <v>369</v>
      </c>
      <c r="D331" s="119" t="s">
        <v>231</v>
      </c>
      <c r="E331" s="120" t="s">
        <v>1285</v>
      </c>
      <c r="F331" s="121" t="s">
        <v>1286</v>
      </c>
      <c r="G331" s="122" t="s">
        <v>1035</v>
      </c>
      <c r="H331" s="206">
        <v>50</v>
      </c>
      <c r="I331" s="124">
        <v>6.16</v>
      </c>
      <c r="J331" s="124">
        <f>ROUND(I331*H331,2)</f>
        <v>308</v>
      </c>
      <c r="K331" s="121" t="s">
        <v>1</v>
      </c>
      <c r="L331" s="24"/>
      <c r="M331" s="125" t="s">
        <v>1</v>
      </c>
      <c r="N331" s="126" t="s">
        <v>32</v>
      </c>
      <c r="O331" s="127">
        <v>0</v>
      </c>
      <c r="P331" s="127">
        <f>O331*H331</f>
        <v>0</v>
      </c>
      <c r="Q331" s="127">
        <v>0</v>
      </c>
      <c r="R331" s="127">
        <f>Q331*H331</f>
        <v>0</v>
      </c>
      <c r="S331" s="127">
        <v>0</v>
      </c>
      <c r="T331" s="128">
        <f>S331*H331</f>
        <v>0</v>
      </c>
      <c r="W331" s="199"/>
      <c r="X331" s="205" t="s">
        <v>369</v>
      </c>
      <c r="Y331" s="119" t="s">
        <v>231</v>
      </c>
      <c r="Z331" s="120" t="s">
        <v>1285</v>
      </c>
      <c r="AA331" s="121" t="s">
        <v>1286</v>
      </c>
      <c r="AB331" s="122" t="s">
        <v>1035</v>
      </c>
      <c r="AC331" s="206">
        <f>30+100+20</f>
        <v>150</v>
      </c>
      <c r="AD331" s="124">
        <v>6.16</v>
      </c>
      <c r="AE331" s="200">
        <f>ROUND(AD331*AC331,2)</f>
        <v>924</v>
      </c>
      <c r="AF331" s="956" t="s">
        <v>6178</v>
      </c>
      <c r="AH331" s="567"/>
      <c r="AI331" s="567"/>
      <c r="AJ331" s="407"/>
      <c r="AK331" s="567"/>
      <c r="AL331" s="407"/>
      <c r="AM331" s="407"/>
      <c r="AR331" s="129" t="s">
        <v>258</v>
      </c>
      <c r="AT331" s="129" t="s">
        <v>231</v>
      </c>
      <c r="AU331" s="129" t="s">
        <v>63</v>
      </c>
      <c r="AY331" s="13" t="s">
        <v>228</v>
      </c>
      <c r="BE331" s="130">
        <f>IF(N331="základná",J331,0)</f>
        <v>0</v>
      </c>
      <c r="BF331" s="130">
        <f>IF(N331="znížená",J331,0)</f>
        <v>308</v>
      </c>
      <c r="BG331" s="130">
        <f>IF(N331="zákl. prenesená",J331,0)</f>
        <v>0</v>
      </c>
      <c r="BH331" s="130">
        <f>IF(N331="zníž. prenesená",J331,0)</f>
        <v>0</v>
      </c>
      <c r="BI331" s="130">
        <f>IF(N331="nulová",J331,0)</f>
        <v>0</v>
      </c>
      <c r="BJ331" s="13" t="s">
        <v>76</v>
      </c>
      <c r="BK331" s="130">
        <f>ROUND(I331*H331,2)</f>
        <v>308</v>
      </c>
      <c r="BL331" s="13" t="s">
        <v>258</v>
      </c>
      <c r="BM331" s="129" t="s">
        <v>372</v>
      </c>
    </row>
    <row r="332" spans="2:65" s="1" customFormat="1" ht="16.5" customHeight="1" x14ac:dyDescent="0.2">
      <c r="B332" s="118"/>
      <c r="C332" s="205" t="s">
        <v>303</v>
      </c>
      <c r="D332" s="119" t="s">
        <v>231</v>
      </c>
      <c r="E332" s="120" t="s">
        <v>1287</v>
      </c>
      <c r="F332" s="121" t="s">
        <v>1288</v>
      </c>
      <c r="G332" s="122" t="s">
        <v>1035</v>
      </c>
      <c r="H332" s="206">
        <v>50</v>
      </c>
      <c r="I332" s="124">
        <v>4.88</v>
      </c>
      <c r="J332" s="124">
        <f>ROUND(I332*H332,2)</f>
        <v>244</v>
      </c>
      <c r="K332" s="121" t="s">
        <v>1</v>
      </c>
      <c r="L332" s="24"/>
      <c r="M332" s="125" t="s">
        <v>1</v>
      </c>
      <c r="N332" s="126" t="s">
        <v>32</v>
      </c>
      <c r="O332" s="127">
        <v>0</v>
      </c>
      <c r="P332" s="127">
        <f>O332*H332</f>
        <v>0</v>
      </c>
      <c r="Q332" s="127">
        <v>0</v>
      </c>
      <c r="R332" s="127">
        <f>Q332*H332</f>
        <v>0</v>
      </c>
      <c r="S332" s="127">
        <v>0</v>
      </c>
      <c r="T332" s="128">
        <f>S332*H332</f>
        <v>0</v>
      </c>
      <c r="W332" s="199"/>
      <c r="X332" s="205" t="s">
        <v>303</v>
      </c>
      <c r="Y332" s="119" t="s">
        <v>231</v>
      </c>
      <c r="Z332" s="120" t="s">
        <v>1287</v>
      </c>
      <c r="AA332" s="121" t="s">
        <v>1288</v>
      </c>
      <c r="AB332" s="122" t="s">
        <v>1035</v>
      </c>
      <c r="AC332" s="206">
        <f>30+100+20</f>
        <v>150</v>
      </c>
      <c r="AD332" s="124">
        <v>4.88</v>
      </c>
      <c r="AE332" s="200">
        <f>ROUND(AD332*AC332,2)</f>
        <v>732</v>
      </c>
      <c r="AF332" s="956" t="s">
        <v>6178</v>
      </c>
      <c r="AH332" s="567"/>
      <c r="AI332" s="567"/>
      <c r="AJ332" s="407"/>
      <c r="AK332" s="567"/>
      <c r="AL332" s="407"/>
      <c r="AM332" s="407"/>
      <c r="AR332" s="129" t="s">
        <v>258</v>
      </c>
      <c r="AT332" s="129" t="s">
        <v>231</v>
      </c>
      <c r="AU332" s="129" t="s">
        <v>63</v>
      </c>
      <c r="AY332" s="13" t="s">
        <v>228</v>
      </c>
      <c r="BE332" s="130">
        <f>IF(N332="základná",J332,0)</f>
        <v>0</v>
      </c>
      <c r="BF332" s="130">
        <f>IF(N332="znížená",J332,0)</f>
        <v>244</v>
      </c>
      <c r="BG332" s="130">
        <f>IF(N332="zákl. prenesená",J332,0)</f>
        <v>0</v>
      </c>
      <c r="BH332" s="130">
        <f>IF(N332="zníž. prenesená",J332,0)</f>
        <v>0</v>
      </c>
      <c r="BI332" s="130">
        <f>IF(N332="nulová",J332,0)</f>
        <v>0</v>
      </c>
      <c r="BJ332" s="13" t="s">
        <v>76</v>
      </c>
      <c r="BK332" s="130">
        <f>ROUND(I332*H332,2)</f>
        <v>244</v>
      </c>
      <c r="BL332" s="13" t="s">
        <v>258</v>
      </c>
      <c r="BM332" s="129" t="s">
        <v>375</v>
      </c>
    </row>
    <row r="333" spans="2:65" s="1" customFormat="1" ht="16.5" customHeight="1" x14ac:dyDescent="0.2">
      <c r="B333" s="118"/>
      <c r="C333" s="205" t="s">
        <v>376</v>
      </c>
      <c r="D333" s="119" t="s">
        <v>231</v>
      </c>
      <c r="E333" s="120" t="s">
        <v>1289</v>
      </c>
      <c r="F333" s="121" t="s">
        <v>1290</v>
      </c>
      <c r="G333" s="122" t="s">
        <v>570</v>
      </c>
      <c r="H333" s="123">
        <v>1.4</v>
      </c>
      <c r="I333" s="213">
        <v>5.51</v>
      </c>
      <c r="J333" s="124">
        <f>ROUND(I333*H333,2)</f>
        <v>7.71</v>
      </c>
      <c r="K333" s="121" t="s">
        <v>1</v>
      </c>
      <c r="L333" s="24"/>
      <c r="M333" s="125" t="s">
        <v>1</v>
      </c>
      <c r="N333" s="126" t="s">
        <v>32</v>
      </c>
      <c r="O333" s="127">
        <v>0</v>
      </c>
      <c r="P333" s="127">
        <f>O333*H333</f>
        <v>0</v>
      </c>
      <c r="Q333" s="127">
        <v>0</v>
      </c>
      <c r="R333" s="127">
        <f>Q333*H333</f>
        <v>0</v>
      </c>
      <c r="S333" s="127">
        <v>0</v>
      </c>
      <c r="T333" s="128">
        <f>S333*H333</f>
        <v>0</v>
      </c>
      <c r="W333" s="199"/>
      <c r="X333" s="205" t="s">
        <v>376</v>
      </c>
      <c r="Y333" s="119" t="s">
        <v>231</v>
      </c>
      <c r="Z333" s="120" t="s">
        <v>1289</v>
      </c>
      <c r="AA333" s="121" t="s">
        <v>1290</v>
      </c>
      <c r="AB333" s="122" t="s">
        <v>570</v>
      </c>
      <c r="AC333" s="123">
        <v>1.4</v>
      </c>
      <c r="AD333" s="213">
        <f>3+11.04+2.208</f>
        <v>16.247999999999998</v>
      </c>
      <c r="AE333" s="200">
        <f>ROUND(AD333*AC333,2)</f>
        <v>22.75</v>
      </c>
      <c r="AF333" s="956" t="s">
        <v>6178</v>
      </c>
      <c r="AH333" s="567"/>
      <c r="AI333" s="567"/>
      <c r="AJ333" s="407"/>
      <c r="AK333" s="567"/>
      <c r="AL333" s="407"/>
      <c r="AM333" s="407"/>
      <c r="AR333" s="129" t="s">
        <v>258</v>
      </c>
      <c r="AT333" s="129" t="s">
        <v>231</v>
      </c>
      <c r="AU333" s="129" t="s">
        <v>63</v>
      </c>
      <c r="AY333" s="13" t="s">
        <v>228</v>
      </c>
      <c r="BE333" s="130">
        <f>IF(N333="základná",J333,0)</f>
        <v>0</v>
      </c>
      <c r="BF333" s="130">
        <f>IF(N333="znížená",J333,0)</f>
        <v>7.71</v>
      </c>
      <c r="BG333" s="130">
        <f>IF(N333="zákl. prenesená",J333,0)</f>
        <v>0</v>
      </c>
      <c r="BH333" s="130">
        <f>IF(N333="zníž. prenesená",J333,0)</f>
        <v>0</v>
      </c>
      <c r="BI333" s="130">
        <f>IF(N333="nulová",J333,0)</f>
        <v>0</v>
      </c>
      <c r="BJ333" s="13" t="s">
        <v>76</v>
      </c>
      <c r="BK333" s="130">
        <f>ROUND(I333*H333,2)</f>
        <v>7.71</v>
      </c>
      <c r="BL333" s="13" t="s">
        <v>258</v>
      </c>
      <c r="BM333" s="129" t="s">
        <v>379</v>
      </c>
    </row>
    <row r="334" spans="2:65" s="1" customFormat="1" ht="19.2" x14ac:dyDescent="0.2">
      <c r="B334" s="24"/>
      <c r="D334" s="144" t="s">
        <v>1259</v>
      </c>
      <c r="F334" s="145" t="s">
        <v>5203</v>
      </c>
      <c r="L334" s="24"/>
      <c r="M334" s="146"/>
      <c r="N334" s="42"/>
      <c r="O334" s="42"/>
      <c r="P334" s="42"/>
      <c r="Q334" s="42"/>
      <c r="R334" s="42"/>
      <c r="S334" s="42"/>
      <c r="T334" s="43"/>
      <c r="W334" s="158"/>
      <c r="X334" s="557"/>
      <c r="Y334" s="203" t="s">
        <v>1259</v>
      </c>
      <c r="Z334" s="557"/>
      <c r="AA334" s="204" t="s">
        <v>5203</v>
      </c>
      <c r="AB334" s="557"/>
      <c r="AC334" s="557"/>
      <c r="AD334" s="557"/>
      <c r="AE334" s="159"/>
      <c r="AF334" s="1130"/>
      <c r="AH334" s="567"/>
      <c r="AI334" s="567"/>
      <c r="AJ334" s="407"/>
      <c r="AK334" s="567"/>
      <c r="AL334" s="407"/>
      <c r="AM334" s="407"/>
      <c r="AT334" s="13" t="s">
        <v>1259</v>
      </c>
      <c r="AU334" s="13" t="s">
        <v>63</v>
      </c>
    </row>
    <row r="335" spans="2:65" s="282" customFormat="1" ht="15" x14ac:dyDescent="0.25">
      <c r="B335" s="24"/>
      <c r="D335" s="144"/>
      <c r="F335" s="145"/>
      <c r="L335" s="24"/>
      <c r="M335" s="146"/>
      <c r="N335" s="283"/>
      <c r="O335" s="283"/>
      <c r="P335" s="283"/>
      <c r="Q335" s="283"/>
      <c r="R335" s="283"/>
      <c r="S335" s="283"/>
      <c r="T335" s="43"/>
      <c r="W335" s="158"/>
      <c r="X335" s="299"/>
      <c r="Y335" s="300" t="s">
        <v>57</v>
      </c>
      <c r="Z335" s="306" t="s">
        <v>5576</v>
      </c>
      <c r="AA335" s="306" t="s">
        <v>5577</v>
      </c>
      <c r="AB335" s="299"/>
      <c r="AC335" s="299"/>
      <c r="AD335" s="299"/>
      <c r="AE335" s="307">
        <f>AE336+AE340+AE337+AE338</f>
        <v>1319.6500000000003</v>
      </c>
      <c r="AF335" s="1130"/>
      <c r="AH335" s="567"/>
      <c r="AI335" s="567"/>
      <c r="AJ335" s="407"/>
      <c r="AK335" s="567"/>
      <c r="AL335" s="407"/>
      <c r="AM335" s="407"/>
      <c r="AT335" s="13"/>
      <c r="AU335" s="13"/>
    </row>
    <row r="336" spans="2:65" s="282" customFormat="1" ht="30.75" customHeight="1" x14ac:dyDescent="0.2">
      <c r="B336" s="24"/>
      <c r="C336" s="1234" t="s">
        <v>5205</v>
      </c>
      <c r="D336" s="1235"/>
      <c r="E336" s="1235"/>
      <c r="F336" s="1235"/>
      <c r="G336" s="1235"/>
      <c r="H336" s="1235"/>
      <c r="I336" s="1235"/>
      <c r="J336" s="1236"/>
      <c r="L336" s="24"/>
      <c r="M336" s="146"/>
      <c r="N336" s="283"/>
      <c r="O336" s="283"/>
      <c r="P336" s="283"/>
      <c r="Q336" s="283"/>
      <c r="R336" s="283"/>
      <c r="S336" s="283"/>
      <c r="T336" s="43"/>
      <c r="W336" s="158"/>
      <c r="X336" s="293" t="s">
        <v>5392</v>
      </c>
      <c r="Y336" s="293" t="s">
        <v>231</v>
      </c>
      <c r="Z336" s="294" t="s">
        <v>5578</v>
      </c>
      <c r="AA336" s="295" t="s">
        <v>5579</v>
      </c>
      <c r="AB336" s="296" t="s">
        <v>292</v>
      </c>
      <c r="AC336" s="297">
        <v>80</v>
      </c>
      <c r="AD336" s="298">
        <v>1.34</v>
      </c>
      <c r="AE336" s="303">
        <f>ROUND(AD336*AC336,2)</f>
        <v>107.2</v>
      </c>
      <c r="AF336" s="956">
        <v>10</v>
      </c>
      <c r="AH336" s="567"/>
      <c r="AI336" s="567"/>
      <c r="AJ336" s="407"/>
      <c r="AK336" s="567"/>
      <c r="AL336" s="407"/>
      <c r="AM336" s="407"/>
      <c r="AT336" s="13"/>
      <c r="AU336" s="13"/>
    </row>
    <row r="337" spans="2:47" s="572" customFormat="1" ht="30.75" customHeight="1" x14ac:dyDescent="0.2">
      <c r="B337" s="24"/>
      <c r="C337" s="624"/>
      <c r="D337" s="624"/>
      <c r="E337" s="624"/>
      <c r="F337" s="624"/>
      <c r="G337" s="624"/>
      <c r="H337" s="624"/>
      <c r="I337" s="624"/>
      <c r="J337" s="624"/>
      <c r="L337" s="24"/>
      <c r="M337" s="146"/>
      <c r="N337" s="571"/>
      <c r="O337" s="571"/>
      <c r="P337" s="571"/>
      <c r="Q337" s="571"/>
      <c r="R337" s="571"/>
      <c r="S337" s="571"/>
      <c r="T337" s="43"/>
      <c r="W337" s="158"/>
      <c r="X337" s="207" t="s">
        <v>6227</v>
      </c>
      <c r="Y337" s="293"/>
      <c r="Z337" s="294" t="s">
        <v>6214</v>
      </c>
      <c r="AA337" s="295" t="s">
        <v>6215</v>
      </c>
      <c r="AB337" s="296" t="s">
        <v>292</v>
      </c>
      <c r="AC337" s="297">
        <v>43</v>
      </c>
      <c r="AD337" s="298">
        <v>1.55</v>
      </c>
      <c r="AE337" s="303">
        <f t="shared" ref="AE337:AE338" si="13">ROUND(AD337*AC337,2)</f>
        <v>66.650000000000006</v>
      </c>
      <c r="AF337" s="956" t="s">
        <v>5343</v>
      </c>
      <c r="AH337" s="567"/>
      <c r="AI337" s="567"/>
      <c r="AJ337" s="407"/>
      <c r="AK337" s="567"/>
      <c r="AL337" s="407"/>
      <c r="AM337" s="407"/>
      <c r="AT337" s="13"/>
      <c r="AU337" s="13"/>
    </row>
    <row r="338" spans="2:47" s="572" customFormat="1" ht="30.75" customHeight="1" x14ac:dyDescent="0.2">
      <c r="B338" s="24"/>
      <c r="C338" s="624"/>
      <c r="D338" s="624"/>
      <c r="E338" s="624"/>
      <c r="F338" s="624"/>
      <c r="G338" s="624"/>
      <c r="H338" s="624"/>
      <c r="I338" s="624"/>
      <c r="J338" s="624"/>
      <c r="L338" s="24"/>
      <c r="M338" s="146"/>
      <c r="N338" s="571"/>
      <c r="O338" s="571"/>
      <c r="P338" s="571"/>
      <c r="Q338" s="571"/>
      <c r="R338" s="571"/>
      <c r="S338" s="571"/>
      <c r="T338" s="43"/>
      <c r="W338" s="158"/>
      <c r="X338" s="207" t="s">
        <v>6228</v>
      </c>
      <c r="Y338" s="293"/>
      <c r="Z338" s="294" t="s">
        <v>6216</v>
      </c>
      <c r="AA338" s="295" t="s">
        <v>6217</v>
      </c>
      <c r="AB338" s="296" t="s">
        <v>292</v>
      </c>
      <c r="AC338" s="297">
        <v>8.73</v>
      </c>
      <c r="AD338" s="298">
        <v>2.57</v>
      </c>
      <c r="AE338" s="303">
        <f t="shared" si="13"/>
        <v>22.44</v>
      </c>
      <c r="AF338" s="1152" t="s">
        <v>5343</v>
      </c>
      <c r="AH338" s="567"/>
      <c r="AI338" s="567"/>
      <c r="AJ338" s="407"/>
      <c r="AK338" s="567"/>
      <c r="AL338" s="407"/>
      <c r="AM338" s="407"/>
      <c r="AT338" s="13"/>
      <c r="AU338" s="13"/>
    </row>
    <row r="339" spans="2:47" s="282" customFormat="1" ht="18" customHeight="1" x14ac:dyDescent="0.25">
      <c r="B339" s="24"/>
      <c r="D339" s="144"/>
      <c r="F339" s="145"/>
      <c r="L339" s="24"/>
      <c r="M339" s="146"/>
      <c r="N339" s="283"/>
      <c r="O339" s="283"/>
      <c r="P339" s="283"/>
      <c r="Q339" s="283"/>
      <c r="R339" s="283"/>
      <c r="S339" s="283"/>
      <c r="T339" s="43"/>
      <c r="W339" s="158"/>
      <c r="X339" s="299"/>
      <c r="Y339" s="300" t="s">
        <v>57</v>
      </c>
      <c r="Z339" s="301" t="s">
        <v>5580</v>
      </c>
      <c r="AA339" s="301" t="s">
        <v>5581</v>
      </c>
      <c r="AB339" s="299"/>
      <c r="AC339" s="299"/>
      <c r="AD339" s="299"/>
      <c r="AE339" s="302"/>
      <c r="AF339" s="956"/>
      <c r="AH339" s="567"/>
      <c r="AI339" s="567"/>
      <c r="AJ339" s="407"/>
      <c r="AK339" s="567"/>
      <c r="AL339" s="407"/>
      <c r="AM339" s="407"/>
      <c r="AT339" s="13"/>
      <c r="AU339" s="13"/>
    </row>
    <row r="340" spans="2:47" s="282" customFormat="1" ht="18" customHeight="1" x14ac:dyDescent="0.25">
      <c r="B340" s="24"/>
      <c r="D340" s="144"/>
      <c r="F340" s="145"/>
      <c r="L340" s="24"/>
      <c r="M340" s="146"/>
      <c r="N340" s="283"/>
      <c r="O340" s="283"/>
      <c r="P340" s="283"/>
      <c r="Q340" s="283"/>
      <c r="R340" s="283"/>
      <c r="S340" s="283"/>
      <c r="T340" s="43"/>
      <c r="W340" s="158"/>
      <c r="X340" s="299"/>
      <c r="Y340" s="300" t="s">
        <v>57</v>
      </c>
      <c r="Z340" s="301" t="s">
        <v>5582</v>
      </c>
      <c r="AA340" s="301" t="s">
        <v>5583</v>
      </c>
      <c r="AB340" s="299"/>
      <c r="AC340" s="299"/>
      <c r="AD340" s="299"/>
      <c r="AE340" s="302">
        <f>SUM(AE341:AE351)</f>
        <v>1123.3600000000001</v>
      </c>
      <c r="AF340" s="956"/>
      <c r="AH340" s="567"/>
      <c r="AI340" s="567"/>
      <c r="AJ340" s="407"/>
      <c r="AK340" s="567"/>
      <c r="AL340" s="407"/>
      <c r="AM340" s="407"/>
      <c r="AT340" s="13"/>
      <c r="AU340" s="13"/>
    </row>
    <row r="341" spans="2:47" s="282" customFormat="1" ht="18" customHeight="1" x14ac:dyDescent="0.2">
      <c r="B341" s="24"/>
      <c r="C341" s="1234" t="s">
        <v>5205</v>
      </c>
      <c r="D341" s="1235"/>
      <c r="E341" s="1235"/>
      <c r="F341" s="1235"/>
      <c r="G341" s="1235"/>
      <c r="H341" s="1235"/>
      <c r="I341" s="1235"/>
      <c r="J341" s="1236"/>
      <c r="L341" s="24"/>
      <c r="M341" s="146"/>
      <c r="N341" s="283"/>
      <c r="O341" s="283"/>
      <c r="P341" s="283"/>
      <c r="Q341" s="283"/>
      <c r="R341" s="283"/>
      <c r="S341" s="283"/>
      <c r="T341" s="43"/>
      <c r="W341" s="158"/>
      <c r="X341" s="293" t="s">
        <v>5651</v>
      </c>
      <c r="Y341" s="293" t="s">
        <v>231</v>
      </c>
      <c r="Z341" s="294" t="s">
        <v>5584</v>
      </c>
      <c r="AA341" s="295" t="s">
        <v>1204</v>
      </c>
      <c r="AB341" s="296" t="s">
        <v>1194</v>
      </c>
      <c r="AC341" s="297">
        <v>4</v>
      </c>
      <c r="AD341" s="298">
        <v>2.98</v>
      </c>
      <c r="AE341" s="303">
        <f>ROUND(AD341*AC341,2)</f>
        <v>11.92</v>
      </c>
      <c r="AF341" s="956">
        <v>10</v>
      </c>
      <c r="AH341" s="567"/>
      <c r="AI341" s="567"/>
      <c r="AJ341" s="407"/>
      <c r="AK341" s="567"/>
      <c r="AL341" s="407"/>
      <c r="AM341" s="407"/>
      <c r="AT341" s="13"/>
      <c r="AU341" s="13"/>
    </row>
    <row r="342" spans="2:47" s="282" customFormat="1" ht="18" customHeight="1" x14ac:dyDescent="0.2">
      <c r="B342" s="24"/>
      <c r="C342" s="1234" t="s">
        <v>5205</v>
      </c>
      <c r="D342" s="1235"/>
      <c r="E342" s="1235"/>
      <c r="F342" s="1235"/>
      <c r="G342" s="1235"/>
      <c r="H342" s="1235"/>
      <c r="I342" s="1235"/>
      <c r="J342" s="1236"/>
      <c r="L342" s="24"/>
      <c r="M342" s="146"/>
      <c r="N342" s="283"/>
      <c r="O342" s="283"/>
      <c r="P342" s="283"/>
      <c r="Q342" s="283"/>
      <c r="R342" s="283"/>
      <c r="S342" s="283"/>
      <c r="T342" s="43"/>
      <c r="W342" s="158"/>
      <c r="X342" s="293" t="s">
        <v>5652</v>
      </c>
      <c r="Y342" s="293" t="s">
        <v>231</v>
      </c>
      <c r="Z342" s="294" t="s">
        <v>5585</v>
      </c>
      <c r="AA342" s="295" t="s">
        <v>1206</v>
      </c>
      <c r="AB342" s="296" t="s">
        <v>1194</v>
      </c>
      <c r="AC342" s="297">
        <v>4</v>
      </c>
      <c r="AD342" s="298">
        <v>3.2</v>
      </c>
      <c r="AE342" s="303">
        <f>ROUND(AD342*AC342,2)</f>
        <v>12.8</v>
      </c>
      <c r="AF342" s="956">
        <v>10</v>
      </c>
      <c r="AH342" s="567"/>
      <c r="AI342" s="567"/>
      <c r="AJ342" s="407"/>
      <c r="AK342" s="567"/>
      <c r="AL342" s="407"/>
      <c r="AM342" s="407"/>
      <c r="AT342" s="13"/>
      <c r="AU342" s="13"/>
    </row>
    <row r="343" spans="2:47" s="282" customFormat="1" ht="18" customHeight="1" x14ac:dyDescent="0.2">
      <c r="B343" s="24"/>
      <c r="C343" s="1234" t="s">
        <v>5205</v>
      </c>
      <c r="D343" s="1235"/>
      <c r="E343" s="1235"/>
      <c r="F343" s="1235"/>
      <c r="G343" s="1235"/>
      <c r="H343" s="1235"/>
      <c r="I343" s="1235"/>
      <c r="J343" s="1236"/>
      <c r="L343" s="24"/>
      <c r="M343" s="146"/>
      <c r="N343" s="283"/>
      <c r="O343" s="283"/>
      <c r="P343" s="283"/>
      <c r="Q343" s="283"/>
      <c r="R343" s="283"/>
      <c r="S343" s="283"/>
      <c r="T343" s="43"/>
      <c r="W343" s="158"/>
      <c r="X343" s="293" t="s">
        <v>5653</v>
      </c>
      <c r="Y343" s="293" t="s">
        <v>231</v>
      </c>
      <c r="Z343" s="294" t="s">
        <v>5586</v>
      </c>
      <c r="AA343" s="295" t="s">
        <v>1210</v>
      </c>
      <c r="AB343" s="296" t="s">
        <v>1194</v>
      </c>
      <c r="AC343" s="297">
        <v>8</v>
      </c>
      <c r="AD343" s="298">
        <v>4.3499999999999996</v>
      </c>
      <c r="AE343" s="303">
        <f>ROUND(AD343*AC343,2)</f>
        <v>34.799999999999997</v>
      </c>
      <c r="AF343" s="956">
        <v>10</v>
      </c>
      <c r="AH343" s="567"/>
      <c r="AI343" s="567"/>
      <c r="AJ343" s="407"/>
      <c r="AK343" s="567"/>
      <c r="AL343" s="407"/>
      <c r="AM343" s="407"/>
      <c r="AT343" s="13"/>
      <c r="AU343" s="13"/>
    </row>
    <row r="344" spans="2:47" s="282" customFormat="1" ht="18" customHeight="1" x14ac:dyDescent="0.2">
      <c r="B344" s="24"/>
      <c r="C344" s="1234" t="s">
        <v>5205</v>
      </c>
      <c r="D344" s="1235"/>
      <c r="E344" s="1235"/>
      <c r="F344" s="1235"/>
      <c r="G344" s="1235"/>
      <c r="H344" s="1235"/>
      <c r="I344" s="1235"/>
      <c r="J344" s="1236"/>
      <c r="L344" s="24"/>
      <c r="M344" s="146"/>
      <c r="N344" s="283"/>
      <c r="O344" s="283"/>
      <c r="P344" s="283"/>
      <c r="Q344" s="283"/>
      <c r="R344" s="283"/>
      <c r="S344" s="283"/>
      <c r="T344" s="43"/>
      <c r="W344" s="158"/>
      <c r="X344" s="293" t="s">
        <v>5654</v>
      </c>
      <c r="Y344" s="293" t="s">
        <v>231</v>
      </c>
      <c r="Z344" s="294" t="s">
        <v>5587</v>
      </c>
      <c r="AA344" s="295" t="s">
        <v>3599</v>
      </c>
      <c r="AB344" s="296" t="s">
        <v>1194</v>
      </c>
      <c r="AC344" s="297">
        <v>8</v>
      </c>
      <c r="AD344" s="298">
        <v>4.4800000000000004</v>
      </c>
      <c r="AE344" s="303">
        <f>ROUND(AD344*AC344,2)</f>
        <v>35.840000000000003</v>
      </c>
      <c r="AF344" s="956">
        <v>10</v>
      </c>
      <c r="AH344" s="567"/>
      <c r="AI344" s="567"/>
      <c r="AJ344" s="407"/>
      <c r="AK344" s="567"/>
      <c r="AL344" s="407"/>
      <c r="AM344" s="407"/>
      <c r="AT344" s="13"/>
      <c r="AU344" s="13"/>
    </row>
    <row r="345" spans="2:47" s="282" customFormat="1" ht="18" customHeight="1" x14ac:dyDescent="0.2">
      <c r="B345" s="24"/>
      <c r="C345" s="1234" t="s">
        <v>5205</v>
      </c>
      <c r="D345" s="1235"/>
      <c r="E345" s="1235"/>
      <c r="F345" s="1235"/>
      <c r="G345" s="1235"/>
      <c r="H345" s="1235"/>
      <c r="I345" s="1235"/>
      <c r="J345" s="1236"/>
      <c r="L345" s="24"/>
      <c r="M345" s="146"/>
      <c r="N345" s="283"/>
      <c r="O345" s="283"/>
      <c r="P345" s="283"/>
      <c r="Q345" s="283"/>
      <c r="R345" s="283"/>
      <c r="S345" s="283"/>
      <c r="T345" s="43"/>
      <c r="W345" s="158"/>
      <c r="X345" s="293" t="s">
        <v>5655</v>
      </c>
      <c r="Y345" s="293" t="s">
        <v>231</v>
      </c>
      <c r="Z345" s="294" t="s">
        <v>5588</v>
      </c>
      <c r="AA345" s="295" t="s">
        <v>5239</v>
      </c>
      <c r="AB345" s="296" t="s">
        <v>1194</v>
      </c>
      <c r="AC345" s="297">
        <v>2</v>
      </c>
      <c r="AD345" s="298">
        <v>5.25</v>
      </c>
      <c r="AE345" s="303">
        <f>ROUND(AD345*AC345,2)</f>
        <v>10.5</v>
      </c>
      <c r="AF345" s="956">
        <v>10</v>
      </c>
      <c r="AH345" s="567"/>
      <c r="AI345" s="567"/>
      <c r="AJ345" s="407"/>
      <c r="AK345" s="567"/>
      <c r="AL345" s="407"/>
      <c r="AM345" s="407"/>
      <c r="AT345" s="13"/>
      <c r="AU345" s="13"/>
    </row>
    <row r="346" spans="2:47" s="282" customFormat="1" ht="34.5" customHeight="1" x14ac:dyDescent="0.2">
      <c r="B346" s="24"/>
      <c r="D346" s="144"/>
      <c r="F346" s="145"/>
      <c r="L346" s="24"/>
      <c r="M346" s="146"/>
      <c r="N346" s="283"/>
      <c r="O346" s="283"/>
      <c r="P346" s="283"/>
      <c r="Q346" s="283"/>
      <c r="R346" s="283"/>
      <c r="S346" s="283"/>
      <c r="T346" s="43"/>
      <c r="W346" s="158"/>
      <c r="X346" s="267"/>
      <c r="Y346" s="304" t="s">
        <v>1259</v>
      </c>
      <c r="Z346" s="267"/>
      <c r="AA346" s="305" t="s">
        <v>5589</v>
      </c>
      <c r="AB346" s="267"/>
      <c r="AC346" s="267"/>
      <c r="AD346" s="267"/>
      <c r="AE346" s="270"/>
      <c r="AF346" s="956"/>
      <c r="AH346" s="567"/>
      <c r="AI346" s="567"/>
      <c r="AJ346" s="407"/>
      <c r="AK346" s="567"/>
      <c r="AL346" s="407"/>
      <c r="AM346" s="407"/>
      <c r="AT346" s="13"/>
      <c r="AU346" s="13"/>
    </row>
    <row r="347" spans="2:47" s="282" customFormat="1" ht="54" customHeight="1" x14ac:dyDescent="0.2">
      <c r="B347" s="24"/>
      <c r="C347" s="1234" t="s">
        <v>5205</v>
      </c>
      <c r="D347" s="1235"/>
      <c r="E347" s="1235"/>
      <c r="F347" s="1235"/>
      <c r="G347" s="1235"/>
      <c r="H347" s="1235"/>
      <c r="I347" s="1235"/>
      <c r="J347" s="1236"/>
      <c r="L347" s="24"/>
      <c r="M347" s="146"/>
      <c r="N347" s="283"/>
      <c r="O347" s="283"/>
      <c r="P347" s="283"/>
      <c r="Q347" s="283"/>
      <c r="R347" s="283"/>
      <c r="S347" s="283"/>
      <c r="T347" s="43"/>
      <c r="W347" s="158"/>
      <c r="X347" s="293" t="s">
        <v>5656</v>
      </c>
      <c r="Y347" s="293" t="s">
        <v>231</v>
      </c>
      <c r="Z347" s="294" t="s">
        <v>5590</v>
      </c>
      <c r="AA347" s="295" t="s">
        <v>5591</v>
      </c>
      <c r="AB347" s="296" t="s">
        <v>1172</v>
      </c>
      <c r="AC347" s="297">
        <v>1</v>
      </c>
      <c r="AD347" s="298">
        <v>400</v>
      </c>
      <c r="AE347" s="303">
        <f>ROUND(AD347*AC347,2)</f>
        <v>400</v>
      </c>
      <c r="AF347" s="956">
        <v>10</v>
      </c>
      <c r="AH347" s="567"/>
      <c r="AI347" s="567"/>
      <c r="AJ347" s="407"/>
      <c r="AK347" s="567"/>
      <c r="AL347" s="407"/>
      <c r="AM347" s="407"/>
      <c r="AT347" s="13"/>
      <c r="AU347" s="13"/>
    </row>
    <row r="348" spans="2:47" s="282" customFormat="1" ht="28.5" customHeight="1" x14ac:dyDescent="0.2">
      <c r="B348" s="24"/>
      <c r="D348" s="144"/>
      <c r="F348" s="145"/>
      <c r="L348" s="24"/>
      <c r="M348" s="146"/>
      <c r="N348" s="283"/>
      <c r="O348" s="283"/>
      <c r="P348" s="283"/>
      <c r="Q348" s="283"/>
      <c r="R348" s="283"/>
      <c r="S348" s="283"/>
      <c r="T348" s="43"/>
      <c r="W348" s="158"/>
      <c r="X348" s="267"/>
      <c r="Y348" s="304" t="s">
        <v>1259</v>
      </c>
      <c r="Z348" s="267"/>
      <c r="AA348" s="305" t="s">
        <v>5592</v>
      </c>
      <c r="AB348" s="267"/>
      <c r="AC348" s="267"/>
      <c r="AD348" s="267"/>
      <c r="AE348" s="270"/>
      <c r="AF348" s="956"/>
      <c r="AH348" s="567"/>
      <c r="AI348" s="567"/>
      <c r="AJ348" s="407"/>
      <c r="AK348" s="567"/>
      <c r="AL348" s="407"/>
      <c r="AM348" s="407"/>
      <c r="AT348" s="13"/>
      <c r="AU348" s="13"/>
    </row>
    <row r="349" spans="2:47" s="282" customFormat="1" ht="46.95" customHeight="1" x14ac:dyDescent="0.2">
      <c r="B349" s="24"/>
      <c r="C349" s="1234" t="s">
        <v>5205</v>
      </c>
      <c r="D349" s="1235"/>
      <c r="E349" s="1235"/>
      <c r="F349" s="1235"/>
      <c r="G349" s="1235"/>
      <c r="H349" s="1235"/>
      <c r="I349" s="1235"/>
      <c r="J349" s="1236"/>
      <c r="L349" s="24"/>
      <c r="M349" s="146"/>
      <c r="N349" s="283"/>
      <c r="O349" s="283"/>
      <c r="P349" s="283"/>
      <c r="Q349" s="283"/>
      <c r="R349" s="283"/>
      <c r="S349" s="283"/>
      <c r="T349" s="43"/>
      <c r="W349" s="158"/>
      <c r="X349" s="293" t="s">
        <v>5657</v>
      </c>
      <c r="Y349" s="293" t="s">
        <v>231</v>
      </c>
      <c r="Z349" s="294" t="s">
        <v>5593</v>
      </c>
      <c r="AA349" s="295" t="s">
        <v>5594</v>
      </c>
      <c r="AB349" s="296" t="s">
        <v>1172</v>
      </c>
      <c r="AC349" s="297">
        <v>1</v>
      </c>
      <c r="AD349" s="298">
        <v>100</v>
      </c>
      <c r="AE349" s="303">
        <f>ROUND(AD349*AC349,2)</f>
        <v>100</v>
      </c>
      <c r="AF349" s="956">
        <v>10</v>
      </c>
      <c r="AH349" s="567"/>
      <c r="AI349" s="567"/>
      <c r="AJ349" s="407"/>
      <c r="AK349" s="567"/>
      <c r="AL349" s="407"/>
      <c r="AM349" s="407"/>
      <c r="AT349" s="13"/>
      <c r="AU349" s="13"/>
    </row>
    <row r="350" spans="2:47" s="282" customFormat="1" ht="22.8" x14ac:dyDescent="0.2">
      <c r="B350" s="24"/>
      <c r="C350" s="1234" t="s">
        <v>5205</v>
      </c>
      <c r="D350" s="1235"/>
      <c r="E350" s="1235"/>
      <c r="F350" s="1235"/>
      <c r="G350" s="1235"/>
      <c r="H350" s="1235"/>
      <c r="I350" s="1235"/>
      <c r="J350" s="1236"/>
      <c r="L350" s="24"/>
      <c r="M350" s="146"/>
      <c r="N350" s="283"/>
      <c r="O350" s="283"/>
      <c r="P350" s="283"/>
      <c r="Q350" s="283"/>
      <c r="R350" s="283"/>
      <c r="S350" s="283"/>
      <c r="T350" s="43"/>
      <c r="W350" s="158"/>
      <c r="X350" s="293" t="s">
        <v>5658</v>
      </c>
      <c r="Y350" s="293" t="s">
        <v>231</v>
      </c>
      <c r="Z350" s="294" t="s">
        <v>5595</v>
      </c>
      <c r="AA350" s="295" t="s">
        <v>5596</v>
      </c>
      <c r="AB350" s="296" t="s">
        <v>1172</v>
      </c>
      <c r="AC350" s="297">
        <v>1</v>
      </c>
      <c r="AD350" s="298">
        <v>500</v>
      </c>
      <c r="AE350" s="303">
        <f>ROUND(AD350*AC350,2)</f>
        <v>500</v>
      </c>
      <c r="AF350" s="956">
        <v>10</v>
      </c>
      <c r="AH350" s="567"/>
      <c r="AI350" s="567"/>
      <c r="AJ350" s="407"/>
      <c r="AK350" s="567"/>
      <c r="AL350" s="407"/>
      <c r="AM350" s="407"/>
      <c r="AT350" s="13"/>
      <c r="AU350" s="13"/>
    </row>
    <row r="351" spans="2:47" s="282" customFormat="1" ht="22.8" x14ac:dyDescent="0.2">
      <c r="B351" s="24"/>
      <c r="C351" s="1234" t="s">
        <v>5205</v>
      </c>
      <c r="D351" s="1235"/>
      <c r="E351" s="1235"/>
      <c r="F351" s="1235"/>
      <c r="G351" s="1235"/>
      <c r="H351" s="1235"/>
      <c r="I351" s="1235"/>
      <c r="J351" s="1236"/>
      <c r="L351" s="24"/>
      <c r="M351" s="146"/>
      <c r="N351" s="283"/>
      <c r="O351" s="283"/>
      <c r="P351" s="283"/>
      <c r="Q351" s="283"/>
      <c r="R351" s="283"/>
      <c r="S351" s="283"/>
      <c r="T351" s="43"/>
      <c r="W351" s="158"/>
      <c r="X351" s="293" t="s">
        <v>5659</v>
      </c>
      <c r="Y351" s="293" t="s">
        <v>231</v>
      </c>
      <c r="Z351" s="294" t="s">
        <v>5597</v>
      </c>
      <c r="AA351" s="295" t="s">
        <v>5598</v>
      </c>
      <c r="AB351" s="296" t="s">
        <v>271</v>
      </c>
      <c r="AC351" s="297">
        <v>0.5</v>
      </c>
      <c r="AD351" s="298">
        <v>35</v>
      </c>
      <c r="AE351" s="303">
        <f>ROUND(AD351*AC351,2)</f>
        <v>17.5</v>
      </c>
      <c r="AF351" s="956">
        <v>10</v>
      </c>
      <c r="AH351" s="567"/>
      <c r="AI351" s="567"/>
      <c r="AJ351" s="407"/>
      <c r="AK351" s="567"/>
      <c r="AL351" s="407"/>
      <c r="AM351" s="407"/>
      <c r="AT351" s="13"/>
      <c r="AU351" s="13"/>
    </row>
    <row r="352" spans="2:47" s="282" customFormat="1" ht="18" customHeight="1" x14ac:dyDescent="0.25">
      <c r="B352" s="24"/>
      <c r="D352" s="144"/>
      <c r="F352" s="145"/>
      <c r="L352" s="24"/>
      <c r="M352" s="146"/>
      <c r="N352" s="283"/>
      <c r="O352" s="283"/>
      <c r="P352" s="283"/>
      <c r="Q352" s="283"/>
      <c r="R352" s="283"/>
      <c r="S352" s="283"/>
      <c r="T352" s="43"/>
      <c r="W352" s="158"/>
      <c r="X352" s="299"/>
      <c r="Y352" s="300" t="s">
        <v>57</v>
      </c>
      <c r="Z352" s="306" t="s">
        <v>5599</v>
      </c>
      <c r="AA352" s="306" t="s">
        <v>5600</v>
      </c>
      <c r="AB352" s="299"/>
      <c r="AC352" s="299"/>
      <c r="AD352" s="299"/>
      <c r="AE352" s="307">
        <f>SUM(AE353:AE357)</f>
        <v>2760</v>
      </c>
      <c r="AF352" s="956"/>
      <c r="AH352" s="567"/>
      <c r="AI352" s="567"/>
      <c r="AJ352" s="407"/>
      <c r="AK352" s="567"/>
      <c r="AL352" s="407"/>
      <c r="AM352" s="407"/>
      <c r="AT352" s="13"/>
      <c r="AU352" s="13"/>
    </row>
    <row r="353" spans="2:65" s="282" customFormat="1" ht="18" customHeight="1" x14ac:dyDescent="0.2">
      <c r="B353" s="24"/>
      <c r="C353" s="1234" t="s">
        <v>5205</v>
      </c>
      <c r="D353" s="1235"/>
      <c r="E353" s="1235"/>
      <c r="F353" s="1235"/>
      <c r="G353" s="1235"/>
      <c r="H353" s="1235"/>
      <c r="I353" s="1235"/>
      <c r="J353" s="1236"/>
      <c r="L353" s="24"/>
      <c r="M353" s="146"/>
      <c r="N353" s="283"/>
      <c r="O353" s="283"/>
      <c r="P353" s="283"/>
      <c r="Q353" s="283"/>
      <c r="R353" s="283"/>
      <c r="S353" s="283"/>
      <c r="T353" s="43"/>
      <c r="W353" s="158"/>
      <c r="X353" s="293" t="s">
        <v>5660</v>
      </c>
      <c r="Y353" s="293" t="s">
        <v>231</v>
      </c>
      <c r="Z353" s="294" t="s">
        <v>5601</v>
      </c>
      <c r="AA353" s="295" t="s">
        <v>5602</v>
      </c>
      <c r="AB353" s="296" t="s">
        <v>1112</v>
      </c>
      <c r="AC353" s="297">
        <v>8</v>
      </c>
      <c r="AD353" s="298">
        <v>20</v>
      </c>
      <c r="AE353" s="303">
        <f>ROUND(AD353*AC353,2)</f>
        <v>160</v>
      </c>
      <c r="AF353" s="956">
        <v>10</v>
      </c>
      <c r="AH353" s="567"/>
      <c r="AI353" s="567"/>
      <c r="AJ353" s="407"/>
      <c r="AK353" s="567"/>
      <c r="AL353" s="407"/>
      <c r="AM353" s="407"/>
      <c r="AT353" s="13"/>
      <c r="AU353" s="13"/>
    </row>
    <row r="354" spans="2:65" s="282" customFormat="1" ht="18" customHeight="1" x14ac:dyDescent="0.2">
      <c r="B354" s="24"/>
      <c r="C354" s="1234" t="s">
        <v>5205</v>
      </c>
      <c r="D354" s="1235"/>
      <c r="E354" s="1235"/>
      <c r="F354" s="1235"/>
      <c r="G354" s="1235"/>
      <c r="H354" s="1235"/>
      <c r="I354" s="1235"/>
      <c r="J354" s="1236"/>
      <c r="L354" s="24"/>
      <c r="M354" s="146"/>
      <c r="N354" s="283"/>
      <c r="O354" s="283"/>
      <c r="P354" s="283"/>
      <c r="Q354" s="283"/>
      <c r="R354" s="283"/>
      <c r="S354" s="283"/>
      <c r="T354" s="43"/>
      <c r="W354" s="158"/>
      <c r="X354" s="293" t="s">
        <v>5661</v>
      </c>
      <c r="Y354" s="293" t="s">
        <v>231</v>
      </c>
      <c r="Z354" s="294" t="s">
        <v>5603</v>
      </c>
      <c r="AA354" s="295" t="s">
        <v>5604</v>
      </c>
      <c r="AB354" s="296" t="s">
        <v>1112</v>
      </c>
      <c r="AC354" s="297">
        <v>14</v>
      </c>
      <c r="AD354" s="298">
        <v>20</v>
      </c>
      <c r="AE354" s="303">
        <f>ROUND(AD354*AC354,2)</f>
        <v>280</v>
      </c>
      <c r="AF354" s="956">
        <v>10</v>
      </c>
      <c r="AH354" s="567"/>
      <c r="AI354" s="567"/>
      <c r="AJ354" s="407"/>
      <c r="AK354" s="567"/>
      <c r="AL354" s="407"/>
      <c r="AM354" s="407"/>
      <c r="AT354" s="13"/>
      <c r="AU354" s="13"/>
    </row>
    <row r="355" spans="2:65" s="282" customFormat="1" ht="18" customHeight="1" x14ac:dyDescent="0.2">
      <c r="B355" s="24"/>
      <c r="C355" s="1234" t="s">
        <v>5205</v>
      </c>
      <c r="D355" s="1235"/>
      <c r="E355" s="1235"/>
      <c r="F355" s="1235"/>
      <c r="G355" s="1235"/>
      <c r="H355" s="1235"/>
      <c r="I355" s="1235"/>
      <c r="J355" s="1236"/>
      <c r="L355" s="24"/>
      <c r="M355" s="146"/>
      <c r="N355" s="283"/>
      <c r="O355" s="283"/>
      <c r="P355" s="283"/>
      <c r="Q355" s="283"/>
      <c r="R355" s="283"/>
      <c r="S355" s="283"/>
      <c r="T355" s="43"/>
      <c r="W355" s="158"/>
      <c r="X355" s="293" t="s">
        <v>5662</v>
      </c>
      <c r="Y355" s="293" t="s">
        <v>231</v>
      </c>
      <c r="Z355" s="294" t="s">
        <v>5605</v>
      </c>
      <c r="AA355" s="295" t="s">
        <v>5606</v>
      </c>
      <c r="AB355" s="296" t="s">
        <v>1112</v>
      </c>
      <c r="AC355" s="297">
        <v>72</v>
      </c>
      <c r="AD355" s="298">
        <v>20</v>
      </c>
      <c r="AE355" s="303">
        <f>ROUND(AD355*AC355,2)</f>
        <v>1440</v>
      </c>
      <c r="AF355" s="956">
        <v>10</v>
      </c>
      <c r="AH355" s="567"/>
      <c r="AI355" s="567"/>
      <c r="AJ355" s="407"/>
      <c r="AK355" s="567"/>
      <c r="AL355" s="407"/>
      <c r="AM355" s="407"/>
      <c r="AT355" s="13"/>
      <c r="AU355" s="13"/>
    </row>
    <row r="356" spans="2:65" s="282" customFormat="1" ht="18" customHeight="1" x14ac:dyDescent="0.2">
      <c r="B356" s="24"/>
      <c r="C356" s="1234" t="s">
        <v>5205</v>
      </c>
      <c r="D356" s="1235"/>
      <c r="E356" s="1235"/>
      <c r="F356" s="1235"/>
      <c r="G356" s="1235"/>
      <c r="H356" s="1235"/>
      <c r="I356" s="1235"/>
      <c r="J356" s="1236"/>
      <c r="L356" s="24"/>
      <c r="M356" s="146"/>
      <c r="N356" s="283"/>
      <c r="O356" s="283"/>
      <c r="P356" s="283"/>
      <c r="Q356" s="283"/>
      <c r="R356" s="283"/>
      <c r="S356" s="283"/>
      <c r="T356" s="43"/>
      <c r="W356" s="158"/>
      <c r="X356" s="293" t="s">
        <v>5663</v>
      </c>
      <c r="Y356" s="293" t="s">
        <v>231</v>
      </c>
      <c r="Z356" s="294" t="s">
        <v>5607</v>
      </c>
      <c r="AA356" s="295" t="s">
        <v>5608</v>
      </c>
      <c r="AB356" s="296" t="s">
        <v>1112</v>
      </c>
      <c r="AC356" s="297">
        <v>14</v>
      </c>
      <c r="AD356" s="298">
        <v>20</v>
      </c>
      <c r="AE356" s="303">
        <f>ROUND(AD356*AC356,2)</f>
        <v>280</v>
      </c>
      <c r="AF356" s="956">
        <v>10</v>
      </c>
      <c r="AH356" s="567"/>
      <c r="AI356" s="567"/>
      <c r="AJ356" s="407"/>
      <c r="AK356" s="567"/>
      <c r="AL356" s="407"/>
      <c r="AM356" s="407"/>
      <c r="AT356" s="13"/>
      <c r="AU356" s="13"/>
    </row>
    <row r="357" spans="2:65" s="282" customFormat="1" ht="18" customHeight="1" x14ac:dyDescent="0.2">
      <c r="B357" s="24"/>
      <c r="C357" s="1234" t="s">
        <v>5205</v>
      </c>
      <c r="D357" s="1235"/>
      <c r="E357" s="1235"/>
      <c r="F357" s="1235"/>
      <c r="G357" s="1235"/>
      <c r="H357" s="1235"/>
      <c r="I357" s="1235"/>
      <c r="J357" s="1236"/>
      <c r="L357" s="24"/>
      <c r="M357" s="146"/>
      <c r="N357" s="283"/>
      <c r="O357" s="283"/>
      <c r="P357" s="283"/>
      <c r="Q357" s="283"/>
      <c r="R357" s="283"/>
      <c r="S357" s="283"/>
      <c r="T357" s="43"/>
      <c r="W357" s="158"/>
      <c r="X357" s="293" t="s">
        <v>5664</v>
      </c>
      <c r="Y357" s="293" t="s">
        <v>231</v>
      </c>
      <c r="Z357" s="294" t="s">
        <v>5609</v>
      </c>
      <c r="AA357" s="295" t="s">
        <v>5610</v>
      </c>
      <c r="AB357" s="296" t="s">
        <v>1112</v>
      </c>
      <c r="AC357" s="297">
        <v>24</v>
      </c>
      <c r="AD357" s="298">
        <v>25</v>
      </c>
      <c r="AE357" s="303">
        <f>ROUND(AD357*AC357,2)</f>
        <v>600</v>
      </c>
      <c r="AF357" s="956">
        <v>10</v>
      </c>
      <c r="AH357" s="567"/>
      <c r="AI357" s="567"/>
      <c r="AJ357" s="407"/>
      <c r="AK357" s="567"/>
      <c r="AL357" s="407"/>
      <c r="AM357" s="407"/>
      <c r="AT357" s="13"/>
      <c r="AU357" s="13"/>
    </row>
    <row r="358" spans="2:65" s="282" customFormat="1" ht="18" customHeight="1" x14ac:dyDescent="0.25">
      <c r="B358" s="24"/>
      <c r="D358" s="144"/>
      <c r="F358" s="145"/>
      <c r="L358" s="24"/>
      <c r="M358" s="146"/>
      <c r="N358" s="283"/>
      <c r="O358" s="283"/>
      <c r="P358" s="283"/>
      <c r="Q358" s="283"/>
      <c r="R358" s="283"/>
      <c r="S358" s="283"/>
      <c r="T358" s="43"/>
      <c r="W358" s="158"/>
      <c r="X358" s="299"/>
      <c r="Y358" s="300" t="s">
        <v>57</v>
      </c>
      <c r="Z358" s="306" t="s">
        <v>5611</v>
      </c>
      <c r="AA358" s="306" t="s">
        <v>5612</v>
      </c>
      <c r="AB358" s="299"/>
      <c r="AC358" s="299"/>
      <c r="AD358" s="299"/>
      <c r="AE358" s="307">
        <f>AE359</f>
        <v>1407.33</v>
      </c>
      <c r="AF358" s="956"/>
      <c r="AH358" s="567"/>
      <c r="AI358" s="567"/>
      <c r="AJ358" s="407"/>
      <c r="AK358" s="567"/>
      <c r="AL358" s="407"/>
      <c r="AM358" s="407"/>
      <c r="AT358" s="13"/>
      <c r="AU358" s="13"/>
    </row>
    <row r="359" spans="2:65" s="282" customFormat="1" ht="18" customHeight="1" x14ac:dyDescent="0.25">
      <c r="B359" s="24"/>
      <c r="D359" s="144"/>
      <c r="F359" s="145"/>
      <c r="L359" s="24"/>
      <c r="M359" s="146"/>
      <c r="N359" s="283"/>
      <c r="O359" s="283"/>
      <c r="P359" s="283"/>
      <c r="Q359" s="283"/>
      <c r="R359" s="283"/>
      <c r="S359" s="283"/>
      <c r="T359" s="43"/>
      <c r="W359" s="158"/>
      <c r="X359" s="299"/>
      <c r="Y359" s="300" t="s">
        <v>57</v>
      </c>
      <c r="Z359" s="301" t="s">
        <v>5613</v>
      </c>
      <c r="AA359" s="301" t="s">
        <v>5614</v>
      </c>
      <c r="AB359" s="299"/>
      <c r="AC359" s="299"/>
      <c r="AD359" s="299"/>
      <c r="AE359" s="302">
        <f>SUM(AE360:AE364)</f>
        <v>1407.33</v>
      </c>
      <c r="AF359" s="956"/>
      <c r="AH359" s="567"/>
      <c r="AI359" s="567"/>
      <c r="AJ359" s="407"/>
      <c r="AK359" s="567"/>
      <c r="AL359" s="407"/>
      <c r="AM359" s="407"/>
      <c r="AT359" s="13"/>
      <c r="AU359" s="13"/>
    </row>
    <row r="360" spans="2:65" s="282" customFormat="1" ht="22.8" x14ac:dyDescent="0.2">
      <c r="B360" s="24"/>
      <c r="C360" s="1234" t="s">
        <v>5205</v>
      </c>
      <c r="D360" s="1235"/>
      <c r="E360" s="1235"/>
      <c r="F360" s="1235"/>
      <c r="G360" s="1235"/>
      <c r="H360" s="1235"/>
      <c r="I360" s="1235"/>
      <c r="J360" s="1236"/>
      <c r="L360" s="24"/>
      <c r="M360" s="146"/>
      <c r="N360" s="283"/>
      <c r="O360" s="283"/>
      <c r="P360" s="283"/>
      <c r="Q360" s="283"/>
      <c r="R360" s="283"/>
      <c r="S360" s="283"/>
      <c r="T360" s="43"/>
      <c r="W360" s="158"/>
      <c r="X360" s="293" t="s">
        <v>5665</v>
      </c>
      <c r="Y360" s="293" t="s">
        <v>231</v>
      </c>
      <c r="Z360" s="294" t="s">
        <v>1100</v>
      </c>
      <c r="AA360" s="295" t="s">
        <v>5615</v>
      </c>
      <c r="AB360" s="296" t="s">
        <v>292</v>
      </c>
      <c r="AC360" s="297">
        <v>77</v>
      </c>
      <c r="AD360" s="298">
        <v>2.3199999999999998</v>
      </c>
      <c r="AE360" s="303">
        <f>ROUND(AD360*AC360,2)</f>
        <v>178.64</v>
      </c>
      <c r="AF360" s="956">
        <v>10</v>
      </c>
      <c r="AH360" s="567"/>
      <c r="AI360" s="567"/>
      <c r="AJ360" s="407"/>
      <c r="AK360" s="567"/>
      <c r="AL360" s="407"/>
      <c r="AM360" s="407"/>
      <c r="AT360" s="13"/>
      <c r="AU360" s="13"/>
    </row>
    <row r="361" spans="2:65" s="282" customFormat="1" ht="22.8" x14ac:dyDescent="0.2">
      <c r="B361" s="24"/>
      <c r="C361" s="1234" t="s">
        <v>5205</v>
      </c>
      <c r="D361" s="1235"/>
      <c r="E361" s="1235"/>
      <c r="F361" s="1235"/>
      <c r="G361" s="1235"/>
      <c r="H361" s="1235"/>
      <c r="I361" s="1235"/>
      <c r="J361" s="1236"/>
      <c r="L361" s="24"/>
      <c r="M361" s="146"/>
      <c r="N361" s="283"/>
      <c r="O361" s="283"/>
      <c r="P361" s="283"/>
      <c r="Q361" s="283"/>
      <c r="R361" s="283"/>
      <c r="S361" s="283"/>
      <c r="T361" s="43"/>
      <c r="W361" s="158"/>
      <c r="X361" s="293" t="s">
        <v>5666</v>
      </c>
      <c r="Y361" s="293" t="s">
        <v>231</v>
      </c>
      <c r="Z361" s="294" t="s">
        <v>5616</v>
      </c>
      <c r="AA361" s="295" t="s">
        <v>5617</v>
      </c>
      <c r="AB361" s="296" t="s">
        <v>292</v>
      </c>
      <c r="AC361" s="297">
        <v>15</v>
      </c>
      <c r="AD361" s="298">
        <v>2.3199999999999998</v>
      </c>
      <c r="AE361" s="303">
        <f>ROUND(AD361*AC361,2)</f>
        <v>34.799999999999997</v>
      </c>
      <c r="AF361" s="956">
        <v>10</v>
      </c>
      <c r="AH361" s="567"/>
      <c r="AI361" s="567"/>
      <c r="AJ361" s="407"/>
      <c r="AK361" s="567"/>
      <c r="AL361" s="407"/>
      <c r="AM361" s="407"/>
      <c r="AT361" s="13"/>
      <c r="AU361" s="13"/>
    </row>
    <row r="362" spans="2:65" s="282" customFormat="1" ht="22.8" x14ac:dyDescent="0.2">
      <c r="B362" s="24"/>
      <c r="C362" s="1234" t="s">
        <v>5205</v>
      </c>
      <c r="D362" s="1235"/>
      <c r="E362" s="1235"/>
      <c r="F362" s="1235"/>
      <c r="G362" s="1235"/>
      <c r="H362" s="1235"/>
      <c r="I362" s="1235"/>
      <c r="J362" s="1236"/>
      <c r="L362" s="24"/>
      <c r="M362" s="146"/>
      <c r="N362" s="283"/>
      <c r="O362" s="283"/>
      <c r="P362" s="283"/>
      <c r="Q362" s="283"/>
      <c r="R362" s="283"/>
      <c r="S362" s="283"/>
      <c r="T362" s="43"/>
      <c r="W362" s="158"/>
      <c r="X362" s="293" t="s">
        <v>5667</v>
      </c>
      <c r="Y362" s="293" t="s">
        <v>231</v>
      </c>
      <c r="Z362" s="294" t="s">
        <v>5618</v>
      </c>
      <c r="AA362" s="295" t="s">
        <v>5619</v>
      </c>
      <c r="AB362" s="296" t="s">
        <v>292</v>
      </c>
      <c r="AC362" s="297">
        <v>22</v>
      </c>
      <c r="AD362" s="298">
        <v>2.3199999999999998</v>
      </c>
      <c r="AE362" s="303">
        <f>ROUND(AD362*AC362,2)</f>
        <v>51.04</v>
      </c>
      <c r="AF362" s="956">
        <v>10</v>
      </c>
      <c r="AH362" s="567"/>
      <c r="AI362" s="567"/>
      <c r="AJ362" s="407"/>
      <c r="AK362" s="567"/>
      <c r="AL362" s="407"/>
      <c r="AM362" s="407"/>
      <c r="AT362" s="13"/>
      <c r="AU362" s="13"/>
    </row>
    <row r="363" spans="2:65" s="282" customFormat="1" ht="34.200000000000003" x14ac:dyDescent="0.2">
      <c r="B363" s="24"/>
      <c r="C363" s="1234" t="s">
        <v>5205</v>
      </c>
      <c r="D363" s="1235"/>
      <c r="E363" s="1235"/>
      <c r="F363" s="1235"/>
      <c r="G363" s="1235"/>
      <c r="H363" s="1235"/>
      <c r="I363" s="1235"/>
      <c r="J363" s="1236"/>
      <c r="L363" s="24"/>
      <c r="M363" s="146"/>
      <c r="N363" s="283"/>
      <c r="O363" s="283"/>
      <c r="P363" s="283"/>
      <c r="Q363" s="283"/>
      <c r="R363" s="283"/>
      <c r="S363" s="283"/>
      <c r="T363" s="43"/>
      <c r="W363" s="158"/>
      <c r="X363" s="293" t="s">
        <v>5668</v>
      </c>
      <c r="Y363" s="293" t="s">
        <v>231</v>
      </c>
      <c r="Z363" s="294" t="s">
        <v>5620</v>
      </c>
      <c r="AA363" s="295" t="s">
        <v>5621</v>
      </c>
      <c r="AB363" s="296" t="s">
        <v>1194</v>
      </c>
      <c r="AC363" s="297">
        <v>12</v>
      </c>
      <c r="AD363" s="298">
        <v>80</v>
      </c>
      <c r="AE363" s="303">
        <f>ROUND(AD363*AC363,2)</f>
        <v>960</v>
      </c>
      <c r="AF363" s="956">
        <v>10</v>
      </c>
      <c r="AH363" s="567"/>
      <c r="AI363" s="567"/>
      <c r="AJ363" s="407"/>
      <c r="AK363" s="567"/>
      <c r="AL363" s="407"/>
      <c r="AM363" s="407"/>
      <c r="AT363" s="13"/>
      <c r="AU363" s="13"/>
    </row>
    <row r="364" spans="2:65" s="282" customFormat="1" ht="34.200000000000003" x14ac:dyDescent="0.2">
      <c r="B364" s="24"/>
      <c r="C364" s="1234" t="s">
        <v>5205</v>
      </c>
      <c r="D364" s="1235"/>
      <c r="E364" s="1235"/>
      <c r="F364" s="1235"/>
      <c r="G364" s="1235"/>
      <c r="H364" s="1235"/>
      <c r="I364" s="1235"/>
      <c r="J364" s="1236"/>
      <c r="L364" s="24"/>
      <c r="M364" s="146"/>
      <c r="N364" s="283"/>
      <c r="O364" s="283"/>
      <c r="P364" s="283"/>
      <c r="Q364" s="283"/>
      <c r="R364" s="283"/>
      <c r="S364" s="283"/>
      <c r="T364" s="43"/>
      <c r="W364" s="158"/>
      <c r="X364" s="293" t="s">
        <v>5669</v>
      </c>
      <c r="Y364" s="293" t="s">
        <v>231</v>
      </c>
      <c r="Z364" s="294" t="s">
        <v>5622</v>
      </c>
      <c r="AA364" s="295" t="s">
        <v>5623</v>
      </c>
      <c r="AB364" s="296" t="s">
        <v>284</v>
      </c>
      <c r="AC364" s="297">
        <v>5</v>
      </c>
      <c r="AD364" s="298">
        <v>36.57</v>
      </c>
      <c r="AE364" s="303">
        <f>ROUND(AD364*AC364,2)</f>
        <v>182.85</v>
      </c>
      <c r="AF364" s="956">
        <v>10</v>
      </c>
      <c r="AH364" s="567"/>
      <c r="AI364" s="567"/>
      <c r="AJ364" s="407"/>
      <c r="AK364" s="567"/>
      <c r="AL364" s="407"/>
      <c r="AM364" s="407"/>
      <c r="AT364" s="13"/>
      <c r="AU364" s="13"/>
    </row>
    <row r="365" spans="2:65" s="11" customFormat="1" ht="25.95" customHeight="1" x14ac:dyDescent="0.25">
      <c r="B365" s="106"/>
      <c r="D365" s="107" t="s">
        <v>57</v>
      </c>
      <c r="E365" s="108" t="s">
        <v>1292</v>
      </c>
      <c r="F365" s="108" t="s">
        <v>1293</v>
      </c>
      <c r="J365" s="109">
        <f>BK365</f>
        <v>133.52000000000001</v>
      </c>
      <c r="L365" s="106"/>
      <c r="M365" s="110"/>
      <c r="N365" s="111"/>
      <c r="O365" s="111"/>
      <c r="P365" s="112">
        <f>SUM(P366:P367)</f>
        <v>0</v>
      </c>
      <c r="Q365" s="111"/>
      <c r="R365" s="112">
        <f>SUM(R366:R367)</f>
        <v>0</v>
      </c>
      <c r="S365" s="111"/>
      <c r="T365" s="113">
        <f>SUM(T366:T367)</f>
        <v>0</v>
      </c>
      <c r="W365" s="195"/>
      <c r="X365" s="111"/>
      <c r="Y365" s="196" t="s">
        <v>57</v>
      </c>
      <c r="Z365" s="197" t="s">
        <v>1292</v>
      </c>
      <c r="AA365" s="197" t="s">
        <v>1293</v>
      </c>
      <c r="AB365" s="111"/>
      <c r="AC365" s="111"/>
      <c r="AD365" s="111"/>
      <c r="AE365" s="198">
        <f>SUM(AE366:AE367)</f>
        <v>548.33999999999992</v>
      </c>
      <c r="AF365" s="291"/>
      <c r="AH365" s="567"/>
      <c r="AI365" s="567"/>
      <c r="AJ365" s="292"/>
      <c r="AK365" s="567"/>
      <c r="AL365" s="292"/>
      <c r="AM365" s="292"/>
      <c r="AR365" s="107" t="s">
        <v>235</v>
      </c>
      <c r="AT365" s="114" t="s">
        <v>57</v>
      </c>
      <c r="AU365" s="114" t="s">
        <v>58</v>
      </c>
      <c r="AY365" s="107" t="s">
        <v>228</v>
      </c>
      <c r="BK365" s="115">
        <f>SUM(BK366:BK367)</f>
        <v>133.52000000000001</v>
      </c>
    </row>
    <row r="366" spans="2:65" s="1" customFormat="1" ht="16.5" customHeight="1" x14ac:dyDescent="0.2">
      <c r="B366" s="118"/>
      <c r="C366" s="205" t="s">
        <v>308</v>
      </c>
      <c r="D366" s="119" t="s">
        <v>231</v>
      </c>
      <c r="E366" s="120" t="s">
        <v>1294</v>
      </c>
      <c r="F366" s="121" t="s">
        <v>1295</v>
      </c>
      <c r="G366" s="122" t="s">
        <v>570</v>
      </c>
      <c r="H366" s="123">
        <v>3.6</v>
      </c>
      <c r="I366" s="213">
        <v>9.31</v>
      </c>
      <c r="J366" s="124">
        <f>ROUND(I366*H366,2)</f>
        <v>33.520000000000003</v>
      </c>
      <c r="K366" s="121" t="s">
        <v>1</v>
      </c>
      <c r="L366" s="24"/>
      <c r="M366" s="125" t="s">
        <v>1</v>
      </c>
      <c r="N366" s="126" t="s">
        <v>32</v>
      </c>
      <c r="O366" s="127">
        <v>0</v>
      </c>
      <c r="P366" s="127">
        <f>O366*H366</f>
        <v>0</v>
      </c>
      <c r="Q366" s="127">
        <v>0</v>
      </c>
      <c r="R366" s="127">
        <f>Q366*H366</f>
        <v>0</v>
      </c>
      <c r="S366" s="127">
        <v>0</v>
      </c>
      <c r="T366" s="128">
        <f>S366*H366</f>
        <v>0</v>
      </c>
      <c r="W366" s="199"/>
      <c r="X366" s="205" t="s">
        <v>308</v>
      </c>
      <c r="Y366" s="119" t="s">
        <v>231</v>
      </c>
      <c r="Z366" s="120" t="s">
        <v>1294</v>
      </c>
      <c r="AA366" s="121" t="s">
        <v>1295</v>
      </c>
      <c r="AB366" s="122" t="s">
        <v>570</v>
      </c>
      <c r="AC366" s="123">
        <v>3.6</v>
      </c>
      <c r="AD366" s="213">
        <f>124.54</f>
        <v>124.54</v>
      </c>
      <c r="AE366" s="200">
        <f>ROUND(AD366*AC366,2)</f>
        <v>448.34</v>
      </c>
      <c r="AF366" s="1152" t="s">
        <v>5452</v>
      </c>
      <c r="AH366" s="567"/>
      <c r="AI366" s="567"/>
      <c r="AJ366" s="407"/>
      <c r="AK366" s="567"/>
      <c r="AL366" s="407"/>
      <c r="AM366" s="407"/>
      <c r="AR366" s="129" t="s">
        <v>1173</v>
      </c>
      <c r="AT366" s="129" t="s">
        <v>231</v>
      </c>
      <c r="AU366" s="129" t="s">
        <v>63</v>
      </c>
      <c r="AY366" s="13" t="s">
        <v>228</v>
      </c>
      <c r="BE366" s="130">
        <f>IF(N366="základná",J366,0)</f>
        <v>0</v>
      </c>
      <c r="BF366" s="130">
        <f>IF(N366="znížená",J366,0)</f>
        <v>33.520000000000003</v>
      </c>
      <c r="BG366" s="130">
        <f>IF(N366="zákl. prenesená",J366,0)</f>
        <v>0</v>
      </c>
      <c r="BH366" s="130">
        <f>IF(N366="zníž. prenesená",J366,0)</f>
        <v>0</v>
      </c>
      <c r="BI366" s="130">
        <f>IF(N366="nulová",J366,0)</f>
        <v>0</v>
      </c>
      <c r="BJ366" s="13" t="s">
        <v>76</v>
      </c>
      <c r="BK366" s="130">
        <f>ROUND(I366*H366,2)</f>
        <v>33.520000000000003</v>
      </c>
      <c r="BL366" s="13" t="s">
        <v>1173</v>
      </c>
      <c r="BM366" s="129" t="s">
        <v>1296</v>
      </c>
    </row>
    <row r="367" spans="2:65" s="1" customFormat="1" ht="16.5" customHeight="1" x14ac:dyDescent="0.2">
      <c r="B367" s="118"/>
      <c r="C367" s="119" t="s">
        <v>383</v>
      </c>
      <c r="D367" s="119" t="s">
        <v>231</v>
      </c>
      <c r="E367" s="120" t="s">
        <v>1297</v>
      </c>
      <c r="F367" s="121" t="s">
        <v>1298</v>
      </c>
      <c r="G367" s="122" t="s">
        <v>1172</v>
      </c>
      <c r="H367" s="123">
        <v>1</v>
      </c>
      <c r="I367" s="124">
        <v>100</v>
      </c>
      <c r="J367" s="124">
        <f>ROUND(I367*H367,2)</f>
        <v>100</v>
      </c>
      <c r="K367" s="121" t="s">
        <v>1</v>
      </c>
      <c r="L367" s="24"/>
      <c r="M367" s="125" t="s">
        <v>1</v>
      </c>
      <c r="N367" s="126" t="s">
        <v>32</v>
      </c>
      <c r="O367" s="127">
        <v>0</v>
      </c>
      <c r="P367" s="127">
        <f>O367*H367</f>
        <v>0</v>
      </c>
      <c r="Q367" s="127">
        <v>0</v>
      </c>
      <c r="R367" s="127">
        <f>Q367*H367</f>
        <v>0</v>
      </c>
      <c r="S367" s="127">
        <v>0</v>
      </c>
      <c r="T367" s="128">
        <f>S367*H367</f>
        <v>0</v>
      </c>
      <c r="W367" s="199"/>
      <c r="X367" s="119" t="s">
        <v>383</v>
      </c>
      <c r="Y367" s="119" t="s">
        <v>231</v>
      </c>
      <c r="Z367" s="120" t="s">
        <v>1297</v>
      </c>
      <c r="AA367" s="121" t="s">
        <v>1298</v>
      </c>
      <c r="AB367" s="122" t="s">
        <v>1172</v>
      </c>
      <c r="AC367" s="123">
        <v>1</v>
      </c>
      <c r="AD367" s="124">
        <v>100</v>
      </c>
      <c r="AE367" s="200">
        <f>ROUND(AD367*AC367,2)</f>
        <v>100</v>
      </c>
      <c r="AF367" s="224"/>
      <c r="AH367" s="567"/>
      <c r="AI367" s="567"/>
      <c r="AJ367" s="407"/>
      <c r="AK367" s="567"/>
      <c r="AL367" s="407"/>
      <c r="AM367" s="407"/>
      <c r="AR367" s="129" t="s">
        <v>1173</v>
      </c>
      <c r="AT367" s="129" t="s">
        <v>231</v>
      </c>
      <c r="AU367" s="129" t="s">
        <v>63</v>
      </c>
      <c r="AY367" s="13" t="s">
        <v>228</v>
      </c>
      <c r="BE367" s="130">
        <f>IF(N367="základná",J367,0)</f>
        <v>0</v>
      </c>
      <c r="BF367" s="130">
        <f>IF(N367="znížená",J367,0)</f>
        <v>100</v>
      </c>
      <c r="BG367" s="130">
        <f>IF(N367="zákl. prenesená",J367,0)</f>
        <v>0</v>
      </c>
      <c r="BH367" s="130">
        <f>IF(N367="zníž. prenesená",J367,0)</f>
        <v>0</v>
      </c>
      <c r="BI367" s="130">
        <f>IF(N367="nulová",J367,0)</f>
        <v>0</v>
      </c>
      <c r="BJ367" s="13" t="s">
        <v>76</v>
      </c>
      <c r="BK367" s="130">
        <f>ROUND(I367*H367,2)</f>
        <v>100</v>
      </c>
      <c r="BL367" s="13" t="s">
        <v>1173</v>
      </c>
      <c r="BM367" s="129" t="s">
        <v>1299</v>
      </c>
    </row>
    <row r="368" spans="2:65" s="1" customFormat="1" ht="7.05" customHeight="1" x14ac:dyDescent="0.2">
      <c r="B368" s="33"/>
      <c r="C368" s="34"/>
      <c r="D368" s="34"/>
      <c r="E368" s="34"/>
      <c r="F368" s="34"/>
      <c r="G368" s="34"/>
      <c r="H368" s="34"/>
      <c r="I368" s="34"/>
      <c r="J368" s="34"/>
      <c r="K368" s="34"/>
      <c r="L368" s="24"/>
      <c r="W368" s="175"/>
      <c r="X368" s="176"/>
      <c r="Y368" s="176"/>
      <c r="Z368" s="176"/>
      <c r="AA368" s="176"/>
      <c r="AB368" s="176"/>
      <c r="AC368" s="176"/>
      <c r="AD368" s="176"/>
      <c r="AE368" s="177"/>
      <c r="AF368" s="224"/>
      <c r="AH368" s="567"/>
      <c r="AI368" s="567"/>
      <c r="AJ368" s="407"/>
      <c r="AK368" s="567"/>
      <c r="AL368" s="407"/>
      <c r="AM368" s="407"/>
    </row>
    <row r="369" spans="34:39" x14ac:dyDescent="0.2">
      <c r="AH369" s="581"/>
      <c r="AI369" s="581"/>
      <c r="AJ369" s="410"/>
      <c r="AK369" s="410"/>
      <c r="AL369" s="410"/>
      <c r="AM369" s="410"/>
    </row>
  </sheetData>
  <autoFilter ref="C152:K367" xr:uid="{00000000-0009-0000-0000-000004000000}"/>
  <mergeCells count="161">
    <mergeCell ref="D113:K113"/>
    <mergeCell ref="D114:K114"/>
    <mergeCell ref="D101:K101"/>
    <mergeCell ref="D103:K103"/>
    <mergeCell ref="D104:K104"/>
    <mergeCell ref="C364:J364"/>
    <mergeCell ref="D110:K110"/>
    <mergeCell ref="D111:K111"/>
    <mergeCell ref="D112:K112"/>
    <mergeCell ref="D115:K115"/>
    <mergeCell ref="D116:K116"/>
    <mergeCell ref="D117:K117"/>
    <mergeCell ref="D118:K118"/>
    <mergeCell ref="D119:K119"/>
    <mergeCell ref="D120:K120"/>
    <mergeCell ref="D121:K121"/>
    <mergeCell ref="D122:K122"/>
    <mergeCell ref="D126:K126"/>
    <mergeCell ref="D127:K127"/>
    <mergeCell ref="D128:K128"/>
    <mergeCell ref="D130:K130"/>
    <mergeCell ref="C357:J357"/>
    <mergeCell ref="C360:J360"/>
    <mergeCell ref="C361:J361"/>
    <mergeCell ref="C362:J362"/>
    <mergeCell ref="C363:J363"/>
    <mergeCell ref="C351:J351"/>
    <mergeCell ref="C353:J353"/>
    <mergeCell ref="C354:J354"/>
    <mergeCell ref="C355:J355"/>
    <mergeCell ref="C356:J356"/>
    <mergeCell ref="C344:J344"/>
    <mergeCell ref="C345:J345"/>
    <mergeCell ref="C347:J347"/>
    <mergeCell ref="C349:J349"/>
    <mergeCell ref="C350:J350"/>
    <mergeCell ref="C326:J326"/>
    <mergeCell ref="C336:J336"/>
    <mergeCell ref="C341:J341"/>
    <mergeCell ref="C343:J343"/>
    <mergeCell ref="C342:J342"/>
    <mergeCell ref="C327:J327"/>
    <mergeCell ref="C328:J328"/>
    <mergeCell ref="C320:J320"/>
    <mergeCell ref="C322:J322"/>
    <mergeCell ref="C323:J323"/>
    <mergeCell ref="C324:J324"/>
    <mergeCell ref="C325:J325"/>
    <mergeCell ref="C296:J296"/>
    <mergeCell ref="C297:J297"/>
    <mergeCell ref="C298:J298"/>
    <mergeCell ref="C316:J316"/>
    <mergeCell ref="C318:J318"/>
    <mergeCell ref="C319:J319"/>
    <mergeCell ref="C303:J303"/>
    <mergeCell ref="C310:J310"/>
    <mergeCell ref="C311:J311"/>
    <mergeCell ref="C312:J312"/>
    <mergeCell ref="C313:J313"/>
    <mergeCell ref="C291:J291"/>
    <mergeCell ref="C292:J292"/>
    <mergeCell ref="C293:J293"/>
    <mergeCell ref="C294:J294"/>
    <mergeCell ref="C295:J295"/>
    <mergeCell ref="C302:J302"/>
    <mergeCell ref="C286:J286"/>
    <mergeCell ref="C287:J287"/>
    <mergeCell ref="C288:J288"/>
    <mergeCell ref="C289:J289"/>
    <mergeCell ref="C290:J290"/>
    <mergeCell ref="C278:J278"/>
    <mergeCell ref="C280:J280"/>
    <mergeCell ref="C281:J281"/>
    <mergeCell ref="C282:J282"/>
    <mergeCell ref="C285:J285"/>
    <mergeCell ref="C270:J270"/>
    <mergeCell ref="C272:J272"/>
    <mergeCell ref="C275:J275"/>
    <mergeCell ref="C276:J276"/>
    <mergeCell ref="C277:J277"/>
    <mergeCell ref="C261:J261"/>
    <mergeCell ref="C264:J264"/>
    <mergeCell ref="C266:J266"/>
    <mergeCell ref="C267:J267"/>
    <mergeCell ref="C269:J269"/>
    <mergeCell ref="C255:J255"/>
    <mergeCell ref="C256:J256"/>
    <mergeCell ref="C257:J257"/>
    <mergeCell ref="C258:J258"/>
    <mergeCell ref="C260:J260"/>
    <mergeCell ref="C263:J263"/>
    <mergeCell ref="AA6:AE7"/>
    <mergeCell ref="C82:J82"/>
    <mergeCell ref="C237:J237"/>
    <mergeCell ref="C238:J238"/>
    <mergeCell ref="C251:J251"/>
    <mergeCell ref="C252:J252"/>
    <mergeCell ref="C253:J253"/>
    <mergeCell ref="C225:J225"/>
    <mergeCell ref="C226:J226"/>
    <mergeCell ref="C227:J227"/>
    <mergeCell ref="C228:J228"/>
    <mergeCell ref="C236:J236"/>
    <mergeCell ref="C229:J229"/>
    <mergeCell ref="C230:J230"/>
    <mergeCell ref="C231:J231"/>
    <mergeCell ref="C232:J232"/>
    <mergeCell ref="Z87:AC87"/>
    <mergeCell ref="Z143:AC143"/>
    <mergeCell ref="Z145:AC145"/>
    <mergeCell ref="E9:H9"/>
    <mergeCell ref="E18:H18"/>
    <mergeCell ref="E27:H27"/>
    <mergeCell ref="C219:J219"/>
    <mergeCell ref="C212:J212"/>
    <mergeCell ref="L2:V2"/>
    <mergeCell ref="C4:J4"/>
    <mergeCell ref="E84:J84"/>
    <mergeCell ref="D132:K132"/>
    <mergeCell ref="C166:J166"/>
    <mergeCell ref="C200:J200"/>
    <mergeCell ref="C177:J177"/>
    <mergeCell ref="D131:K131"/>
    <mergeCell ref="Z9:AC9"/>
    <mergeCell ref="Z18:AC18"/>
    <mergeCell ref="Z27:AC27"/>
    <mergeCell ref="Z85:AC85"/>
    <mergeCell ref="E85:H85"/>
    <mergeCell ref="E87:H87"/>
    <mergeCell ref="E143:H143"/>
    <mergeCell ref="E145:H145"/>
    <mergeCell ref="X140:AE140"/>
    <mergeCell ref="E142:J142"/>
    <mergeCell ref="C140:J140"/>
    <mergeCell ref="Z142:AE142"/>
    <mergeCell ref="Z84:AE84"/>
    <mergeCell ref="X82:AE82"/>
    <mergeCell ref="X4:AE4"/>
    <mergeCell ref="F6:J7"/>
    <mergeCell ref="C165:J165"/>
    <mergeCell ref="C170:J170"/>
    <mergeCell ref="C172:J172"/>
    <mergeCell ref="C180:J180"/>
    <mergeCell ref="C181:J181"/>
    <mergeCell ref="C183:J183"/>
    <mergeCell ref="C211:J211"/>
    <mergeCell ref="C218:J218"/>
    <mergeCell ref="C208:J208"/>
    <mergeCell ref="C214:J214"/>
    <mergeCell ref="C185:J185"/>
    <mergeCell ref="C186:J186"/>
    <mergeCell ref="C187:J187"/>
    <mergeCell ref="C188:J188"/>
    <mergeCell ref="C190:J190"/>
    <mergeCell ref="C192:J192"/>
    <mergeCell ref="C193:J193"/>
    <mergeCell ref="C203:J203"/>
    <mergeCell ref="C205:J205"/>
    <mergeCell ref="C206:J206"/>
    <mergeCell ref="C207:J207"/>
    <mergeCell ref="C167:J167"/>
  </mergeCells>
  <phoneticPr fontId="0" type="noConversion"/>
  <pageMargins left="0.39370078740157483" right="0.39370078740157483" top="0.39370078740157483" bottom="0.39370078740157483" header="0" footer="0"/>
  <pageSetup paperSize="9" scale="57" fitToHeight="100" orientation="landscape" r:id="rId1"/>
  <headerFooter>
    <oddFooter>&amp;CStrana &amp;P z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0C0"/>
    <pageSetUpPr fitToPage="1"/>
  </sheetPr>
  <dimension ref="A1:BM319"/>
  <sheetViews>
    <sheetView showGridLines="0" topLeftCell="F96" zoomScale="80" zoomScaleNormal="80" workbookViewId="0">
      <selection activeCell="AE119" sqref="AE119:AE313"/>
    </sheetView>
  </sheetViews>
  <sheetFormatPr defaultColWidth="8.7109375" defaultRowHeight="10.199999999999999" x14ac:dyDescent="0.2"/>
  <cols>
    <col min="1" max="1" width="8.28515625" customWidth="1"/>
    <col min="2" max="2" width="1.7109375" customWidth="1"/>
    <col min="3" max="4" width="4.28515625" customWidth="1"/>
    <col min="5" max="5" width="17.28515625" customWidth="1"/>
    <col min="6" max="6" width="50.7109375" customWidth="1"/>
    <col min="7" max="7" width="7" customWidth="1"/>
    <col min="8" max="8" width="11.42578125" customWidth="1"/>
    <col min="9" max="10" width="20.28515625" customWidth="1"/>
    <col min="11" max="11" width="20.28515625" hidden="1" customWidth="1"/>
    <col min="12" max="12" width="9.28515625" customWidth="1"/>
    <col min="13" max="13" width="10.7109375" hidden="1" customWidth="1"/>
    <col min="14" max="14" width="9.28515625" hidden="1"/>
    <col min="15" max="20" width="14.28515625" hidden="1" customWidth="1"/>
    <col min="21" max="21" width="16.28515625" hidden="1" customWidth="1"/>
    <col min="22" max="22" width="12.28515625" customWidth="1"/>
    <col min="23" max="23" width="1.7109375" style="367" customWidth="1"/>
    <col min="24" max="24" width="5.7109375" style="367" customWidth="1"/>
    <col min="25" max="25" width="4.28515625" style="367" customWidth="1"/>
    <col min="26" max="26" width="17.28515625" style="367" customWidth="1"/>
    <col min="27" max="27" width="50.7109375" style="367" customWidth="1"/>
    <col min="28" max="28" width="7" style="367" customWidth="1"/>
    <col min="29" max="29" width="11.42578125" style="367" customWidth="1"/>
    <col min="30" max="31" width="20.28515625" style="367" customWidth="1"/>
    <col min="33" max="33" width="12.28515625" customWidth="1"/>
    <col min="44" max="65" width="9.28515625" hidden="1"/>
  </cols>
  <sheetData>
    <row r="1" spans="1:46" x14ac:dyDescent="0.2">
      <c r="A1" s="73"/>
    </row>
    <row r="2" spans="1:46" ht="37.049999999999997" customHeight="1" x14ac:dyDescent="0.2">
      <c r="L2" s="1227" t="s">
        <v>5</v>
      </c>
      <c r="M2" s="1225"/>
      <c r="N2" s="1225"/>
      <c r="O2" s="1225"/>
      <c r="P2" s="1225"/>
      <c r="Q2" s="1225"/>
      <c r="R2" s="1225"/>
      <c r="S2" s="1225"/>
      <c r="T2" s="1225"/>
      <c r="U2" s="1225"/>
      <c r="V2" s="1225"/>
      <c r="AT2" s="13" t="s">
        <v>75</v>
      </c>
    </row>
    <row r="3" spans="1:46" ht="7.05" customHeight="1" x14ac:dyDescent="0.2">
      <c r="B3" s="14"/>
      <c r="C3" s="15"/>
      <c r="D3" s="15"/>
      <c r="E3" s="15"/>
      <c r="F3" s="15"/>
      <c r="G3" s="15"/>
      <c r="H3" s="15"/>
      <c r="I3" s="15"/>
      <c r="J3" s="15"/>
      <c r="K3" s="15"/>
      <c r="L3" s="16"/>
      <c r="W3" s="152"/>
      <c r="X3" s="153"/>
      <c r="Y3" s="153"/>
      <c r="Z3" s="153"/>
      <c r="AA3" s="153"/>
      <c r="AB3" s="153"/>
      <c r="AC3" s="153"/>
      <c r="AD3" s="153"/>
      <c r="AE3" s="154"/>
      <c r="AT3" s="13" t="s">
        <v>76</v>
      </c>
    </row>
    <row r="4" spans="1:46" ht="25.05" customHeight="1" x14ac:dyDescent="0.2">
      <c r="B4" s="16"/>
      <c r="C4" s="1165" t="s">
        <v>185</v>
      </c>
      <c r="D4" s="1165"/>
      <c r="E4" s="1165"/>
      <c r="F4" s="1165"/>
      <c r="G4" s="1165"/>
      <c r="H4" s="1165"/>
      <c r="I4" s="1165"/>
      <c r="J4" s="1165"/>
      <c r="L4" s="16"/>
      <c r="M4" s="74" t="s">
        <v>9</v>
      </c>
      <c r="W4" s="155"/>
      <c r="X4" s="156"/>
      <c r="Y4" s="1237" t="s">
        <v>185</v>
      </c>
      <c r="Z4" s="1237"/>
      <c r="AA4" s="1237"/>
      <c r="AB4" s="1237"/>
      <c r="AC4" s="1237"/>
      <c r="AD4" s="1237"/>
      <c r="AE4" s="1238"/>
      <c r="AT4" s="13" t="s">
        <v>3</v>
      </c>
    </row>
    <row r="5" spans="1:46" ht="7.05" customHeight="1" x14ac:dyDescent="0.2">
      <c r="B5" s="16"/>
      <c r="L5" s="16"/>
      <c r="W5" s="155"/>
      <c r="X5" s="156"/>
      <c r="Y5" s="156"/>
      <c r="Z5" s="156"/>
      <c r="AA5" s="156"/>
      <c r="AB5" s="156"/>
      <c r="AC5" s="156"/>
      <c r="AD5" s="156"/>
      <c r="AE5" s="157"/>
    </row>
    <row r="6" spans="1:46" ht="12" customHeight="1" x14ac:dyDescent="0.2">
      <c r="B6" s="16"/>
      <c r="D6" s="548" t="s">
        <v>12</v>
      </c>
      <c r="F6" s="1254" t="s">
        <v>6176</v>
      </c>
      <c r="G6" s="1254"/>
      <c r="H6" s="1254"/>
      <c r="I6" s="1254"/>
      <c r="J6" s="1254"/>
      <c r="L6" s="16"/>
      <c r="W6" s="155"/>
      <c r="X6" s="156"/>
      <c r="Y6" s="541" t="s">
        <v>12</v>
      </c>
      <c r="Z6" s="156"/>
      <c r="AA6" s="1239" t="s">
        <v>6176</v>
      </c>
      <c r="AB6" s="1239"/>
      <c r="AC6" s="1239"/>
      <c r="AD6" s="1239"/>
      <c r="AE6" s="1240"/>
    </row>
    <row r="7" spans="1:46" ht="24" customHeight="1" x14ac:dyDescent="0.2">
      <c r="B7" s="16"/>
      <c r="D7" s="527"/>
      <c r="E7" s="531"/>
      <c r="F7" s="1254"/>
      <c r="G7" s="1254"/>
      <c r="H7" s="1254"/>
      <c r="I7" s="1254"/>
      <c r="J7" s="1254"/>
      <c r="L7" s="16"/>
      <c r="W7" s="155"/>
      <c r="X7" s="156"/>
      <c r="Y7" s="539"/>
      <c r="Z7" s="245"/>
      <c r="AA7" s="1239"/>
      <c r="AB7" s="1239"/>
      <c r="AC7" s="1239"/>
      <c r="AD7" s="1239"/>
      <c r="AE7" s="1240"/>
    </row>
    <row r="8" spans="1:46" s="1" customFormat="1" ht="12" customHeight="1" x14ac:dyDescent="0.2">
      <c r="B8" s="24"/>
      <c r="D8" s="549" t="s">
        <v>186</v>
      </c>
      <c r="F8" s="532" t="s">
        <v>1300</v>
      </c>
      <c r="L8" s="24"/>
      <c r="W8" s="158"/>
      <c r="X8" s="368"/>
      <c r="Y8" s="550" t="s">
        <v>186</v>
      </c>
      <c r="Z8" s="557"/>
      <c r="AA8" s="555" t="s">
        <v>1300</v>
      </c>
      <c r="AB8" s="557"/>
      <c r="AC8" s="557"/>
      <c r="AD8" s="557"/>
      <c r="AE8" s="159"/>
    </row>
    <row r="9" spans="1:46" s="1" customFormat="1" ht="37.049999999999997" customHeight="1" x14ac:dyDescent="0.2">
      <c r="B9" s="24"/>
      <c r="D9" s="521"/>
      <c r="E9" s="1251"/>
      <c r="F9" s="1252"/>
      <c r="G9" s="1252"/>
      <c r="H9" s="1252"/>
      <c r="L9" s="24"/>
      <c r="W9" s="158"/>
      <c r="X9" s="368"/>
      <c r="Y9" s="557"/>
      <c r="Z9" s="1245"/>
      <c r="AA9" s="1246"/>
      <c r="AB9" s="1246"/>
      <c r="AC9" s="1246"/>
      <c r="AD9" s="557"/>
      <c r="AE9" s="159"/>
    </row>
    <row r="10" spans="1:46" s="1" customFormat="1" x14ac:dyDescent="0.2">
      <c r="B10" s="24"/>
      <c r="D10" s="521"/>
      <c r="L10" s="24"/>
      <c r="W10" s="158"/>
      <c r="X10" s="368"/>
      <c r="Y10" s="557"/>
      <c r="Z10" s="557"/>
      <c r="AA10" s="557"/>
      <c r="AB10" s="557"/>
      <c r="AC10" s="557"/>
      <c r="AD10" s="557"/>
      <c r="AE10" s="159"/>
    </row>
    <row r="11" spans="1:46" s="1" customFormat="1" ht="12" customHeight="1" x14ac:dyDescent="0.2">
      <c r="B11" s="24"/>
      <c r="D11" s="528" t="s">
        <v>13</v>
      </c>
      <c r="F11" s="19" t="s">
        <v>1</v>
      </c>
      <c r="I11" s="528" t="s">
        <v>14</v>
      </c>
      <c r="J11" s="19" t="s">
        <v>1</v>
      </c>
      <c r="L11" s="24"/>
      <c r="W11" s="158"/>
      <c r="X11" s="368"/>
      <c r="Y11" s="538" t="s">
        <v>13</v>
      </c>
      <c r="Z11" s="557"/>
      <c r="AA11" s="558" t="s">
        <v>1</v>
      </c>
      <c r="AB11" s="557"/>
      <c r="AC11" s="557"/>
      <c r="AD11" s="538" t="s">
        <v>14</v>
      </c>
      <c r="AE11" s="161" t="s">
        <v>1</v>
      </c>
    </row>
    <row r="12" spans="1:46" s="1" customFormat="1" ht="12" customHeight="1" x14ac:dyDescent="0.2">
      <c r="B12" s="24"/>
      <c r="D12" s="528" t="s">
        <v>15</v>
      </c>
      <c r="F12" s="520" t="s">
        <v>6173</v>
      </c>
      <c r="I12" s="528" t="s">
        <v>17</v>
      </c>
      <c r="J12" s="39"/>
      <c r="L12" s="24"/>
      <c r="W12" s="158"/>
      <c r="X12" s="368"/>
      <c r="Y12" s="538" t="s">
        <v>15</v>
      </c>
      <c r="Z12" s="557"/>
      <c r="AA12" s="558" t="s">
        <v>6173</v>
      </c>
      <c r="AB12" s="557"/>
      <c r="AC12" s="557"/>
      <c r="AD12" s="538" t="s">
        <v>17</v>
      </c>
      <c r="AE12" s="162"/>
    </row>
    <row r="13" spans="1:46" s="1" customFormat="1" ht="10.95" customHeight="1" x14ac:dyDescent="0.2">
      <c r="B13" s="24"/>
      <c r="D13" s="521"/>
      <c r="F13" s="521"/>
      <c r="I13" s="521"/>
      <c r="L13" s="24"/>
      <c r="W13" s="158"/>
      <c r="X13" s="368"/>
      <c r="Y13" s="557"/>
      <c r="Z13" s="557"/>
      <c r="AA13" s="557"/>
      <c r="AB13" s="557"/>
      <c r="AC13" s="557"/>
      <c r="AD13" s="557"/>
      <c r="AE13" s="159"/>
    </row>
    <row r="14" spans="1:46" s="1" customFormat="1" ht="12" customHeight="1" x14ac:dyDescent="0.2">
      <c r="B14" s="24"/>
      <c r="D14" s="528" t="s">
        <v>18</v>
      </c>
      <c r="F14" s="529" t="s">
        <v>6175</v>
      </c>
      <c r="I14" s="528" t="s">
        <v>19</v>
      </c>
      <c r="J14" s="19"/>
      <c r="L14" s="24"/>
      <c r="W14" s="158"/>
      <c r="X14" s="368"/>
      <c r="Y14" s="538" t="s">
        <v>18</v>
      </c>
      <c r="Z14" s="557"/>
      <c r="AA14" s="576" t="s">
        <v>6175</v>
      </c>
      <c r="AB14" s="557"/>
      <c r="AC14" s="557"/>
      <c r="AD14" s="538" t="s">
        <v>19</v>
      </c>
      <c r="AE14" s="161"/>
    </row>
    <row r="15" spans="1:46" s="1" customFormat="1" ht="18" customHeight="1" x14ac:dyDescent="0.2">
      <c r="B15" s="24"/>
      <c r="D15" s="521"/>
      <c r="E15" s="19"/>
      <c r="F15" s="521"/>
      <c r="I15" s="528" t="s">
        <v>20</v>
      </c>
      <c r="J15" s="19" t="s">
        <v>1</v>
      </c>
      <c r="L15" s="24"/>
      <c r="W15" s="158"/>
      <c r="X15" s="368"/>
      <c r="Y15" s="557"/>
      <c r="Z15" s="558"/>
      <c r="AA15" s="557"/>
      <c r="AB15" s="557"/>
      <c r="AC15" s="557"/>
      <c r="AD15" s="538" t="s">
        <v>20</v>
      </c>
      <c r="AE15" s="161" t="s">
        <v>1</v>
      </c>
    </row>
    <row r="16" spans="1:46" s="1" customFormat="1" ht="7.05" customHeight="1" x14ac:dyDescent="0.2">
      <c r="B16" s="24"/>
      <c r="D16" s="521"/>
      <c r="F16" s="521"/>
      <c r="I16" s="521"/>
      <c r="L16" s="24"/>
      <c r="W16" s="158"/>
      <c r="X16" s="368"/>
      <c r="Y16" s="557"/>
      <c r="Z16" s="557"/>
      <c r="AA16" s="557"/>
      <c r="AB16" s="557"/>
      <c r="AC16" s="557"/>
      <c r="AD16" s="557"/>
      <c r="AE16" s="159"/>
    </row>
    <row r="17" spans="2:31" s="1" customFormat="1" ht="12" customHeight="1" x14ac:dyDescent="0.2">
      <c r="B17" s="24"/>
      <c r="D17" s="528" t="s">
        <v>21</v>
      </c>
      <c r="F17" s="529" t="s">
        <v>5202</v>
      </c>
      <c r="I17" s="528" t="s">
        <v>19</v>
      </c>
      <c r="J17" s="19"/>
      <c r="L17" s="24"/>
      <c r="W17" s="158"/>
      <c r="X17" s="368"/>
      <c r="Y17" s="538" t="s">
        <v>21</v>
      </c>
      <c r="Z17" s="557"/>
      <c r="AA17" s="576" t="s">
        <v>5202</v>
      </c>
      <c r="AB17" s="557"/>
      <c r="AC17" s="557"/>
      <c r="AD17" s="538" t="s">
        <v>19</v>
      </c>
      <c r="AE17" s="161"/>
    </row>
    <row r="18" spans="2:31" s="1" customFormat="1" ht="18" customHeight="1" x14ac:dyDescent="0.2">
      <c r="B18" s="24"/>
      <c r="D18" s="521"/>
      <c r="E18" s="1161"/>
      <c r="F18" s="1161"/>
      <c r="G18" s="1161"/>
      <c r="H18" s="1161"/>
      <c r="I18" s="528" t="s">
        <v>20</v>
      </c>
      <c r="J18" s="19" t="str">
        <f>'Rekapitulácia stavby'!AN14</f>
        <v/>
      </c>
      <c r="L18" s="24"/>
      <c r="W18" s="158"/>
      <c r="X18" s="368"/>
      <c r="Y18" s="557"/>
      <c r="Z18" s="1247"/>
      <c r="AA18" s="1247"/>
      <c r="AB18" s="1247"/>
      <c r="AC18" s="1247"/>
      <c r="AD18" s="538" t="s">
        <v>20</v>
      </c>
      <c r="AE18" s="161"/>
    </row>
    <row r="19" spans="2:31" s="1" customFormat="1" ht="7.05" customHeight="1" x14ac:dyDescent="0.2">
      <c r="B19" s="24"/>
      <c r="D19" s="521"/>
      <c r="I19" s="521"/>
      <c r="L19" s="24"/>
      <c r="W19" s="158"/>
      <c r="X19" s="368"/>
      <c r="Y19" s="557"/>
      <c r="Z19" s="557"/>
      <c r="AA19" s="557"/>
      <c r="AB19" s="557"/>
      <c r="AC19" s="557"/>
      <c r="AD19" s="557"/>
      <c r="AE19" s="159"/>
    </row>
    <row r="20" spans="2:31" s="1" customFormat="1" ht="12" customHeight="1" x14ac:dyDescent="0.2">
      <c r="B20" s="24"/>
      <c r="D20" s="528" t="s">
        <v>22</v>
      </c>
      <c r="I20" s="528" t="s">
        <v>19</v>
      </c>
      <c r="J20" s="19" t="s">
        <v>1</v>
      </c>
      <c r="L20" s="24"/>
      <c r="W20" s="158"/>
      <c r="X20" s="368"/>
      <c r="Y20" s="538" t="s">
        <v>22</v>
      </c>
      <c r="Z20" s="557"/>
      <c r="AA20" s="557"/>
      <c r="AB20" s="557"/>
      <c r="AC20" s="557"/>
      <c r="AD20" s="538" t="s">
        <v>19</v>
      </c>
      <c r="AE20" s="161" t="s">
        <v>1</v>
      </c>
    </row>
    <row r="21" spans="2:31" s="1" customFormat="1" ht="18" customHeight="1" x14ac:dyDescent="0.2">
      <c r="B21" s="24"/>
      <c r="D21" s="521"/>
      <c r="E21" s="19"/>
      <c r="I21" s="528" t="s">
        <v>20</v>
      </c>
      <c r="J21" s="19" t="s">
        <v>1</v>
      </c>
      <c r="L21" s="24"/>
      <c r="W21" s="158"/>
      <c r="X21" s="368"/>
      <c r="Y21" s="557"/>
      <c r="Z21" s="558"/>
      <c r="AA21" s="557"/>
      <c r="AB21" s="557"/>
      <c r="AC21" s="557"/>
      <c r="AD21" s="538" t="s">
        <v>20</v>
      </c>
      <c r="AE21" s="161" t="s">
        <v>1</v>
      </c>
    </row>
    <row r="22" spans="2:31" s="1" customFormat="1" ht="7.05" customHeight="1" x14ac:dyDescent="0.2">
      <c r="B22" s="24"/>
      <c r="D22" s="521"/>
      <c r="I22" s="521"/>
      <c r="L22" s="24"/>
      <c r="W22" s="158"/>
      <c r="X22" s="368"/>
      <c r="Y22" s="557"/>
      <c r="Z22" s="557"/>
      <c r="AA22" s="557"/>
      <c r="AB22" s="557"/>
      <c r="AC22" s="557"/>
      <c r="AD22" s="557"/>
      <c r="AE22" s="159"/>
    </row>
    <row r="23" spans="2:31" s="1" customFormat="1" ht="12" customHeight="1" x14ac:dyDescent="0.2">
      <c r="B23" s="24"/>
      <c r="D23" s="528" t="s">
        <v>24</v>
      </c>
      <c r="I23" s="528" t="s">
        <v>19</v>
      </c>
      <c r="J23" s="19" t="str">
        <f>IF('Rekapitulácia stavby'!AN19="","",'Rekapitulácia stavby'!AN19)</f>
        <v/>
      </c>
      <c r="L23" s="24"/>
      <c r="W23" s="158"/>
      <c r="X23" s="368"/>
      <c r="Y23" s="538" t="s">
        <v>24</v>
      </c>
      <c r="Z23" s="557"/>
      <c r="AA23" s="557"/>
      <c r="AB23" s="557"/>
      <c r="AC23" s="557"/>
      <c r="AD23" s="538" t="s">
        <v>19</v>
      </c>
      <c r="AE23" s="161" t="str">
        <f>IF('Rekapitulácia stavby'!BI19="","",'Rekapitulácia stavby'!BI19)</f>
        <v/>
      </c>
    </row>
    <row r="24" spans="2:31" s="1" customFormat="1" ht="18" customHeight="1" x14ac:dyDescent="0.2">
      <c r="B24" s="24"/>
      <c r="D24" s="521"/>
      <c r="E24" s="19" t="str">
        <f>IF('Rekapitulácia stavby'!E20="","",'Rekapitulácia stavby'!E20)</f>
        <v xml:space="preserve"> </v>
      </c>
      <c r="I24" s="528" t="s">
        <v>20</v>
      </c>
      <c r="J24" s="19" t="str">
        <f>IF('Rekapitulácia stavby'!AN20="","",'Rekapitulácia stavby'!AN20)</f>
        <v/>
      </c>
      <c r="L24" s="24"/>
      <c r="W24" s="158"/>
      <c r="X24" s="368"/>
      <c r="Y24" s="557"/>
      <c r="Z24" s="558" t="str">
        <f>IF('Rekapitulácia stavby'!Z20="","",'Rekapitulácia stavby'!Z20)</f>
        <v/>
      </c>
      <c r="AA24" s="557"/>
      <c r="AB24" s="557"/>
      <c r="AC24" s="557"/>
      <c r="AD24" s="538" t="s">
        <v>20</v>
      </c>
      <c r="AE24" s="161" t="str">
        <f>IF('Rekapitulácia stavby'!BI20="","",'Rekapitulácia stavby'!BI20)</f>
        <v/>
      </c>
    </row>
    <row r="25" spans="2:31" s="1" customFormat="1" ht="7.05" customHeight="1" x14ac:dyDescent="0.2">
      <c r="B25" s="24"/>
      <c r="D25" s="521"/>
      <c r="L25" s="24"/>
      <c r="W25" s="158"/>
      <c r="X25" s="368"/>
      <c r="Y25" s="557"/>
      <c r="Z25" s="557"/>
      <c r="AA25" s="557"/>
      <c r="AB25" s="557"/>
      <c r="AC25" s="557"/>
      <c r="AD25" s="557"/>
      <c r="AE25" s="159"/>
    </row>
    <row r="26" spans="2:31" s="1" customFormat="1" ht="12" customHeight="1" x14ac:dyDescent="0.2">
      <c r="B26" s="24"/>
      <c r="D26" s="528" t="s">
        <v>25</v>
      </c>
      <c r="L26" s="24"/>
      <c r="W26" s="158"/>
      <c r="X26" s="368"/>
      <c r="Y26" s="538" t="s">
        <v>25</v>
      </c>
      <c r="Z26" s="557"/>
      <c r="AA26" s="557"/>
      <c r="AB26" s="557"/>
      <c r="AC26" s="557"/>
      <c r="AD26" s="557"/>
      <c r="AE26" s="159"/>
    </row>
    <row r="27" spans="2:31" s="7" customFormat="1" ht="16.5" customHeight="1" x14ac:dyDescent="0.2">
      <c r="B27" s="75"/>
      <c r="E27" s="1228" t="s">
        <v>1</v>
      </c>
      <c r="F27" s="1228"/>
      <c r="G27" s="1228"/>
      <c r="H27" s="1228"/>
      <c r="L27" s="75"/>
      <c r="W27" s="163"/>
      <c r="X27" s="164"/>
      <c r="Y27" s="164"/>
      <c r="Z27" s="1248" t="s">
        <v>1</v>
      </c>
      <c r="AA27" s="1248"/>
      <c r="AB27" s="1248"/>
      <c r="AC27" s="1248"/>
      <c r="AD27" s="164"/>
      <c r="AE27" s="165"/>
    </row>
    <row r="28" spans="2:31" s="1" customFormat="1" ht="7.05" customHeight="1" x14ac:dyDescent="0.2">
      <c r="B28" s="24"/>
      <c r="L28" s="24"/>
      <c r="W28" s="158"/>
      <c r="X28" s="368"/>
      <c r="Y28" s="557"/>
      <c r="Z28" s="557"/>
      <c r="AA28" s="557"/>
      <c r="AB28" s="557"/>
      <c r="AC28" s="557"/>
      <c r="AD28" s="557"/>
      <c r="AE28" s="159"/>
    </row>
    <row r="29" spans="2:31" s="1" customFormat="1" ht="7.05" customHeight="1" x14ac:dyDescent="0.2">
      <c r="B29" s="24"/>
      <c r="D29" s="40"/>
      <c r="E29" s="40"/>
      <c r="F29" s="40"/>
      <c r="G29" s="40"/>
      <c r="H29" s="40"/>
      <c r="I29" s="40"/>
      <c r="J29" s="40"/>
      <c r="K29" s="40"/>
      <c r="L29" s="24"/>
      <c r="W29" s="158"/>
      <c r="X29" s="368"/>
      <c r="Y29" s="40"/>
      <c r="Z29" s="40"/>
      <c r="AA29" s="40"/>
      <c r="AB29" s="40"/>
      <c r="AC29" s="40"/>
      <c r="AD29" s="40"/>
      <c r="AE29" s="166"/>
    </row>
    <row r="30" spans="2:31" s="1" customFormat="1" ht="25.2" customHeight="1" x14ac:dyDescent="0.2">
      <c r="B30" s="24"/>
      <c r="D30" s="76" t="s">
        <v>26</v>
      </c>
      <c r="J30" s="53">
        <f>ROUND(J117, 2)</f>
        <v>183936.62</v>
      </c>
      <c r="L30" s="24"/>
      <c r="W30" s="158"/>
      <c r="X30" s="368"/>
      <c r="Y30" s="167" t="s">
        <v>26</v>
      </c>
      <c r="Z30" s="557"/>
      <c r="AA30" s="557"/>
      <c r="AB30" s="557"/>
      <c r="AC30" s="557"/>
      <c r="AD30" s="557"/>
      <c r="AE30" s="168">
        <f>ROUND(AE117, 2)</f>
        <v>213990.81</v>
      </c>
    </row>
    <row r="31" spans="2:31" s="1" customFormat="1" ht="7.05" customHeight="1" x14ac:dyDescent="0.2">
      <c r="B31" s="24"/>
      <c r="D31" s="40"/>
      <c r="E31" s="40"/>
      <c r="F31" s="40"/>
      <c r="G31" s="40"/>
      <c r="H31" s="40"/>
      <c r="I31" s="40"/>
      <c r="J31" s="40"/>
      <c r="K31" s="40"/>
      <c r="L31" s="24"/>
      <c r="W31" s="158"/>
      <c r="X31" s="368"/>
      <c r="Y31" s="40"/>
      <c r="Z31" s="40"/>
      <c r="AA31" s="40"/>
      <c r="AB31" s="40"/>
      <c r="AC31" s="40"/>
      <c r="AD31" s="40"/>
      <c r="AE31" s="166"/>
    </row>
    <row r="32" spans="2:31" s="1" customFormat="1" ht="14.55" customHeight="1" x14ac:dyDescent="0.2">
      <c r="B32" s="24"/>
      <c r="D32" s="521"/>
      <c r="E32" s="521"/>
      <c r="F32" s="534" t="s">
        <v>28</v>
      </c>
      <c r="G32" s="521"/>
      <c r="H32" s="521"/>
      <c r="I32" s="534" t="s">
        <v>27</v>
      </c>
      <c r="J32" s="534" t="s">
        <v>29</v>
      </c>
      <c r="L32" s="24"/>
      <c r="W32" s="158"/>
      <c r="X32" s="368"/>
      <c r="Y32" s="557"/>
      <c r="Z32" s="557"/>
      <c r="AA32" s="542" t="s">
        <v>28</v>
      </c>
      <c r="AB32" s="557"/>
      <c r="AC32" s="557"/>
      <c r="AD32" s="542" t="s">
        <v>27</v>
      </c>
      <c r="AE32" s="543" t="s">
        <v>29</v>
      </c>
    </row>
    <row r="33" spans="2:31" s="1" customFormat="1" ht="14.55" customHeight="1" x14ac:dyDescent="0.2">
      <c r="B33" s="24"/>
      <c r="D33" s="13" t="s">
        <v>30</v>
      </c>
      <c r="E33" s="528" t="s">
        <v>31</v>
      </c>
      <c r="F33" s="398">
        <f>ROUND((SUM(BE117:BE313)),  2)</f>
        <v>183936.62</v>
      </c>
      <c r="G33" s="521"/>
      <c r="H33" s="521"/>
      <c r="I33" s="535">
        <v>0.2</v>
      </c>
      <c r="J33" s="398">
        <f>ROUND(((SUM(BE117:BE313))*I33),  2)</f>
        <v>36787.32</v>
      </c>
      <c r="L33" s="24"/>
      <c r="W33" s="158"/>
      <c r="X33" s="368"/>
      <c r="Y33" s="544" t="s">
        <v>30</v>
      </c>
      <c r="Z33" s="538" t="s">
        <v>31</v>
      </c>
      <c r="AA33" s="545">
        <f>ROUND((SUM(BZ117:BZ313)),  2)</f>
        <v>0</v>
      </c>
      <c r="AB33" s="557"/>
      <c r="AC33" s="557"/>
      <c r="AD33" s="546">
        <v>0.2</v>
      </c>
      <c r="AE33" s="547">
        <f>AE30*0</f>
        <v>0</v>
      </c>
    </row>
    <row r="34" spans="2:31" s="1" customFormat="1" ht="14.55" customHeight="1" x14ac:dyDescent="0.2">
      <c r="B34" s="24"/>
      <c r="D34" s="521"/>
      <c r="E34" s="528" t="s">
        <v>32</v>
      </c>
      <c r="F34" s="398">
        <f>ROUND((SUM(BF117:BF313)),  2)</f>
        <v>0</v>
      </c>
      <c r="G34" s="521"/>
      <c r="H34" s="521"/>
      <c r="I34" s="535">
        <v>0.2</v>
      </c>
      <c r="J34" s="398">
        <f>ROUND(((SUM(BF117:BF313))*I34),  2)</f>
        <v>0</v>
      </c>
      <c r="L34" s="24"/>
      <c r="W34" s="158"/>
      <c r="X34" s="368"/>
      <c r="Y34" s="557"/>
      <c r="Z34" s="538" t="s">
        <v>32</v>
      </c>
      <c r="AA34" s="545">
        <f>AE30</f>
        <v>213990.81</v>
      </c>
      <c r="AB34" s="557"/>
      <c r="AC34" s="557"/>
      <c r="AD34" s="546">
        <v>0.2</v>
      </c>
      <c r="AE34" s="547">
        <f>AE30*0.2</f>
        <v>42798.162000000004</v>
      </c>
    </row>
    <row r="35" spans="2:31" s="1" customFormat="1" ht="14.55" hidden="1" customHeight="1" x14ac:dyDescent="0.2">
      <c r="B35" s="24"/>
      <c r="E35" s="21" t="s">
        <v>33</v>
      </c>
      <c r="F35" s="78">
        <f>ROUND((SUM(BG117:BG313)),  2)</f>
        <v>0</v>
      </c>
      <c r="I35" s="79">
        <v>0.2</v>
      </c>
      <c r="J35" s="78">
        <f>0</f>
        <v>0</v>
      </c>
      <c r="L35" s="24"/>
      <c r="W35" s="158"/>
      <c r="X35" s="368"/>
      <c r="Y35" s="557"/>
      <c r="Z35" s="538" t="s">
        <v>33</v>
      </c>
      <c r="AA35" s="545">
        <f>ROUND((SUM(CB117:CB313)),  2)</f>
        <v>0</v>
      </c>
      <c r="AB35" s="557"/>
      <c r="AC35" s="557"/>
      <c r="AD35" s="546">
        <v>0.2</v>
      </c>
      <c r="AE35" s="547">
        <f>0</f>
        <v>0</v>
      </c>
    </row>
    <row r="36" spans="2:31" s="1" customFormat="1" ht="14.55" hidden="1" customHeight="1" x14ac:dyDescent="0.2">
      <c r="B36" s="24"/>
      <c r="E36" s="21" t="s">
        <v>34</v>
      </c>
      <c r="F36" s="78">
        <f>ROUND((SUM(BH117:BH313)),  2)</f>
        <v>0</v>
      </c>
      <c r="I36" s="79">
        <v>0.2</v>
      </c>
      <c r="J36" s="78">
        <f>0</f>
        <v>0</v>
      </c>
      <c r="L36" s="24"/>
      <c r="W36" s="158"/>
      <c r="X36" s="368"/>
      <c r="Y36" s="557"/>
      <c r="Z36" s="538" t="s">
        <v>34</v>
      </c>
      <c r="AA36" s="545">
        <f>ROUND((SUM(CC117:CC313)),  2)</f>
        <v>0</v>
      </c>
      <c r="AB36" s="557"/>
      <c r="AC36" s="557"/>
      <c r="AD36" s="546">
        <v>0.2</v>
      </c>
      <c r="AE36" s="547">
        <f>0</f>
        <v>0</v>
      </c>
    </row>
    <row r="37" spans="2:31" s="1" customFormat="1" ht="14.55" hidden="1" customHeight="1" x14ac:dyDescent="0.2">
      <c r="B37" s="24"/>
      <c r="E37" s="21" t="s">
        <v>35</v>
      </c>
      <c r="F37" s="78">
        <f>ROUND((SUM(BI117:BI313)),  2)</f>
        <v>0</v>
      </c>
      <c r="I37" s="79">
        <v>0</v>
      </c>
      <c r="J37" s="78">
        <f>0</f>
        <v>0</v>
      </c>
      <c r="L37" s="24"/>
      <c r="W37" s="158"/>
      <c r="X37" s="368"/>
      <c r="Y37" s="557"/>
      <c r="Z37" s="538" t="s">
        <v>35</v>
      </c>
      <c r="AA37" s="545">
        <f>ROUND((SUM(CD117:CD313)),  2)</f>
        <v>0</v>
      </c>
      <c r="AB37" s="557"/>
      <c r="AC37" s="557"/>
      <c r="AD37" s="546">
        <v>0</v>
      </c>
      <c r="AE37" s="547">
        <f>0</f>
        <v>0</v>
      </c>
    </row>
    <row r="38" spans="2:31" s="1" customFormat="1" ht="7.05" customHeight="1" x14ac:dyDescent="0.2">
      <c r="B38" s="24"/>
      <c r="L38" s="24"/>
      <c r="W38" s="158"/>
      <c r="X38" s="368"/>
      <c r="Y38" s="557"/>
      <c r="Z38" s="557"/>
      <c r="AA38" s="557"/>
      <c r="AB38" s="557"/>
      <c r="AC38" s="557"/>
      <c r="AD38" s="557"/>
      <c r="AE38" s="159"/>
    </row>
    <row r="39" spans="2:31" s="1" customFormat="1" ht="25.2" customHeight="1" x14ac:dyDescent="0.2">
      <c r="B39" s="24"/>
      <c r="C39" s="80"/>
      <c r="D39" s="81" t="s">
        <v>36</v>
      </c>
      <c r="E39" s="44"/>
      <c r="F39" s="44"/>
      <c r="G39" s="82" t="s">
        <v>37</v>
      </c>
      <c r="H39" s="83" t="s">
        <v>38</v>
      </c>
      <c r="I39" s="44"/>
      <c r="J39" s="84">
        <f>SUM(J30:J37)</f>
        <v>220723.94</v>
      </c>
      <c r="K39" s="85"/>
      <c r="L39" s="24"/>
      <c r="W39" s="158"/>
      <c r="X39" s="173"/>
      <c r="Y39" s="81" t="s">
        <v>36</v>
      </c>
      <c r="Z39" s="44"/>
      <c r="AA39" s="44"/>
      <c r="AB39" s="82" t="s">
        <v>37</v>
      </c>
      <c r="AC39" s="83" t="s">
        <v>38</v>
      </c>
      <c r="AD39" s="44"/>
      <c r="AE39" s="174">
        <f>SUM(AE30:AE37)</f>
        <v>256788.97200000001</v>
      </c>
    </row>
    <row r="40" spans="2:31" s="1" customFormat="1" ht="14.55" customHeight="1" x14ac:dyDescent="0.2">
      <c r="B40" s="24"/>
      <c r="L40" s="24"/>
      <c r="W40" s="158"/>
      <c r="X40" s="368"/>
      <c r="Y40" s="557"/>
      <c r="Z40" s="557"/>
      <c r="AA40" s="557"/>
      <c r="AB40" s="557"/>
      <c r="AC40" s="557"/>
      <c r="AD40" s="557"/>
      <c r="AE40" s="159"/>
    </row>
    <row r="41" spans="2:31" ht="14.55" customHeight="1" x14ac:dyDescent="0.2">
      <c r="B41" s="16"/>
      <c r="L41" s="16"/>
      <c r="W41" s="155"/>
      <c r="X41" s="156"/>
      <c r="Y41" s="156"/>
      <c r="Z41" s="156"/>
      <c r="AA41" s="156"/>
      <c r="AB41" s="156"/>
      <c r="AC41" s="156"/>
      <c r="AD41" s="156"/>
      <c r="AE41" s="157"/>
    </row>
    <row r="42" spans="2:31" ht="14.55" customHeight="1" x14ac:dyDescent="0.2">
      <c r="B42" s="16"/>
      <c r="L42" s="16"/>
      <c r="W42" s="155"/>
      <c r="X42" s="156"/>
      <c r="Y42" s="156"/>
      <c r="Z42" s="156"/>
      <c r="AA42" s="156"/>
      <c r="AB42" s="156"/>
      <c r="AC42" s="156"/>
      <c r="AD42" s="156"/>
      <c r="AE42" s="157"/>
    </row>
    <row r="43" spans="2:31" ht="14.55" customHeight="1" x14ac:dyDescent="0.2">
      <c r="B43" s="16"/>
      <c r="L43" s="16"/>
      <c r="W43" s="155"/>
      <c r="X43" s="156"/>
      <c r="Y43" s="156"/>
      <c r="Z43" s="156"/>
      <c r="AA43" s="156"/>
      <c r="AB43" s="156"/>
      <c r="AC43" s="156"/>
      <c r="AD43" s="156"/>
      <c r="AE43" s="157"/>
    </row>
    <row r="44" spans="2:31" ht="14.55" customHeight="1" x14ac:dyDescent="0.2">
      <c r="B44" s="16"/>
      <c r="L44" s="16"/>
      <c r="W44" s="155"/>
      <c r="X44" s="156"/>
      <c r="Y44" s="156"/>
      <c r="Z44" s="156"/>
      <c r="AA44" s="156"/>
      <c r="AB44" s="156"/>
      <c r="AC44" s="156"/>
      <c r="AD44" s="156"/>
      <c r="AE44" s="157"/>
    </row>
    <row r="45" spans="2:31" ht="14.55" customHeight="1" x14ac:dyDescent="0.2">
      <c r="B45" s="16"/>
      <c r="L45" s="16"/>
      <c r="W45" s="155"/>
      <c r="X45" s="156"/>
      <c r="Y45" s="156"/>
      <c r="Z45" s="156"/>
      <c r="AA45" s="156"/>
      <c r="AB45" s="156"/>
      <c r="AC45" s="156"/>
      <c r="AD45" s="156"/>
      <c r="AE45" s="157"/>
    </row>
    <row r="46" spans="2:31" ht="14.55" customHeight="1" x14ac:dyDescent="0.2">
      <c r="B46" s="16"/>
      <c r="L46" s="16"/>
      <c r="W46" s="155"/>
      <c r="X46" s="156"/>
      <c r="Y46" s="156"/>
      <c r="Z46" s="156"/>
      <c r="AA46" s="156"/>
      <c r="AB46" s="156"/>
      <c r="AC46" s="156"/>
      <c r="AD46" s="156"/>
      <c r="AE46" s="157"/>
    </row>
    <row r="47" spans="2:31" ht="14.55" customHeight="1" x14ac:dyDescent="0.2">
      <c r="B47" s="16"/>
      <c r="L47" s="16"/>
      <c r="W47" s="155"/>
      <c r="X47" s="156"/>
      <c r="Y47" s="156"/>
      <c r="Z47" s="156"/>
      <c r="AA47" s="156"/>
      <c r="AB47" s="156"/>
      <c r="AC47" s="156"/>
      <c r="AD47" s="156"/>
      <c r="AE47" s="157"/>
    </row>
    <row r="48" spans="2:31" ht="14.55" customHeight="1" x14ac:dyDescent="0.2">
      <c r="B48" s="16"/>
      <c r="L48" s="16"/>
      <c r="W48" s="155"/>
      <c r="X48" s="156"/>
      <c r="Y48" s="156"/>
      <c r="Z48" s="156"/>
      <c r="AA48" s="156"/>
      <c r="AB48" s="156"/>
      <c r="AC48" s="156"/>
      <c r="AD48" s="156"/>
      <c r="AE48" s="157"/>
    </row>
    <row r="49" spans="2:31" ht="14.55" customHeight="1" x14ac:dyDescent="0.2">
      <c r="B49" s="16"/>
      <c r="D49" s="156"/>
      <c r="E49" s="156"/>
      <c r="F49" s="156"/>
      <c r="G49" s="156"/>
      <c r="H49" s="156"/>
      <c r="I49" s="156"/>
      <c r="J49" s="156"/>
      <c r="L49" s="16"/>
      <c r="W49" s="155"/>
      <c r="X49" s="156"/>
      <c r="Y49" s="156"/>
      <c r="Z49" s="156"/>
      <c r="AA49" s="156"/>
      <c r="AB49" s="156"/>
      <c r="AC49" s="156"/>
      <c r="AD49" s="156"/>
      <c r="AE49" s="157"/>
    </row>
    <row r="50" spans="2:31" s="1" customFormat="1" ht="14.55" customHeight="1" x14ac:dyDescent="0.2">
      <c r="B50" s="24"/>
      <c r="D50" s="530"/>
      <c r="E50" s="523"/>
      <c r="F50" s="523"/>
      <c r="G50" s="530"/>
      <c r="H50" s="523"/>
      <c r="I50" s="523"/>
      <c r="J50" s="523"/>
      <c r="K50" s="32"/>
      <c r="L50" s="24"/>
      <c r="W50" s="158"/>
      <c r="X50" s="368"/>
      <c r="Y50" s="530"/>
      <c r="Z50" s="557"/>
      <c r="AA50" s="557"/>
      <c r="AB50" s="530"/>
      <c r="AC50" s="557"/>
      <c r="AD50" s="557"/>
      <c r="AE50" s="159"/>
    </row>
    <row r="51" spans="2:31" x14ac:dyDescent="0.2">
      <c r="B51" s="16"/>
      <c r="D51" s="156"/>
      <c r="E51" s="156"/>
      <c r="F51" s="156"/>
      <c r="G51" s="156"/>
      <c r="H51" s="156"/>
      <c r="I51" s="156"/>
      <c r="J51" s="156"/>
      <c r="L51" s="16"/>
      <c r="W51" s="155"/>
      <c r="X51" s="156"/>
      <c r="Y51" s="156"/>
      <c r="Z51" s="156"/>
      <c r="AA51" s="156"/>
      <c r="AB51" s="156"/>
      <c r="AC51" s="156"/>
      <c r="AD51" s="156"/>
      <c r="AE51" s="157"/>
    </row>
    <row r="52" spans="2:31" x14ac:dyDescent="0.2">
      <c r="B52" s="16"/>
      <c r="D52" s="156"/>
      <c r="E52" s="156"/>
      <c r="F52" s="156"/>
      <c r="G52" s="156"/>
      <c r="H52" s="156"/>
      <c r="I52" s="156"/>
      <c r="J52" s="156"/>
      <c r="L52" s="16"/>
      <c r="W52" s="155"/>
      <c r="X52" s="156"/>
      <c r="Y52" s="156"/>
      <c r="Z52" s="156"/>
      <c r="AA52" s="156"/>
      <c r="AB52" s="156"/>
      <c r="AC52" s="156"/>
      <c r="AD52" s="156"/>
      <c r="AE52" s="157"/>
    </row>
    <row r="53" spans="2:31" x14ac:dyDescent="0.2">
      <c r="B53" s="16"/>
      <c r="D53" s="156"/>
      <c r="E53" s="156"/>
      <c r="F53" s="156"/>
      <c r="G53" s="156"/>
      <c r="H53" s="156"/>
      <c r="I53" s="156"/>
      <c r="J53" s="156"/>
      <c r="L53" s="16"/>
      <c r="W53" s="155"/>
      <c r="X53" s="156"/>
      <c r="Y53" s="156"/>
      <c r="Z53" s="156"/>
      <c r="AA53" s="156"/>
      <c r="AB53" s="156"/>
      <c r="AC53" s="156"/>
      <c r="AD53" s="156"/>
      <c r="AE53" s="157"/>
    </row>
    <row r="54" spans="2:31" x14ac:dyDescent="0.2">
      <c r="B54" s="16"/>
      <c r="D54" s="156"/>
      <c r="E54" s="156"/>
      <c r="F54" s="156"/>
      <c r="G54" s="156"/>
      <c r="H54" s="156"/>
      <c r="I54" s="156"/>
      <c r="J54" s="156"/>
      <c r="L54" s="16"/>
      <c r="W54" s="155"/>
      <c r="X54" s="156"/>
      <c r="Y54" s="156"/>
      <c r="Z54" s="156"/>
      <c r="AA54" s="156"/>
      <c r="AB54" s="156"/>
      <c r="AC54" s="156"/>
      <c r="AD54" s="156"/>
      <c r="AE54" s="157"/>
    </row>
    <row r="55" spans="2:31" x14ac:dyDescent="0.2">
      <c r="B55" s="16"/>
      <c r="D55" s="156"/>
      <c r="E55" s="156"/>
      <c r="F55" s="156"/>
      <c r="G55" s="156"/>
      <c r="H55" s="156"/>
      <c r="I55" s="156"/>
      <c r="J55" s="156"/>
      <c r="L55" s="16"/>
      <c r="W55" s="155"/>
      <c r="X55" s="156"/>
      <c r="Y55" s="156"/>
      <c r="Z55" s="156"/>
      <c r="AA55" s="156"/>
      <c r="AB55" s="156"/>
      <c r="AC55" s="156"/>
      <c r="AD55" s="156"/>
      <c r="AE55" s="157"/>
    </row>
    <row r="56" spans="2:31" x14ac:dyDescent="0.2">
      <c r="B56" s="16"/>
      <c r="D56" s="156"/>
      <c r="E56" s="156"/>
      <c r="F56" s="156"/>
      <c r="G56" s="156"/>
      <c r="H56" s="156"/>
      <c r="I56" s="156"/>
      <c r="J56" s="156"/>
      <c r="L56" s="16"/>
      <c r="W56" s="155"/>
      <c r="X56" s="156"/>
      <c r="Y56" s="156"/>
      <c r="Z56" s="156"/>
      <c r="AA56" s="156"/>
      <c r="AB56" s="156"/>
      <c r="AC56" s="156"/>
      <c r="AD56" s="156"/>
      <c r="AE56" s="157"/>
    </row>
    <row r="57" spans="2:31" x14ac:dyDescent="0.2">
      <c r="B57" s="16"/>
      <c r="D57" s="156"/>
      <c r="E57" s="156"/>
      <c r="F57" s="156"/>
      <c r="G57" s="156"/>
      <c r="H57" s="156"/>
      <c r="I57" s="156"/>
      <c r="J57" s="156"/>
      <c r="L57" s="16"/>
      <c r="W57" s="155"/>
      <c r="X57" s="156"/>
      <c r="Y57" s="156"/>
      <c r="Z57" s="156"/>
      <c r="AA57" s="156"/>
      <c r="AB57" s="156"/>
      <c r="AC57" s="156"/>
      <c r="AD57" s="156"/>
      <c r="AE57" s="157"/>
    </row>
    <row r="58" spans="2:31" x14ac:dyDescent="0.2">
      <c r="B58" s="16"/>
      <c r="D58" s="156"/>
      <c r="E58" s="156"/>
      <c r="F58" s="156"/>
      <c r="G58" s="156"/>
      <c r="H58" s="156"/>
      <c r="I58" s="156"/>
      <c r="J58" s="156"/>
      <c r="L58" s="16"/>
      <c r="W58" s="155"/>
      <c r="X58" s="156"/>
      <c r="Y58" s="156"/>
      <c r="Z58" s="156"/>
      <c r="AA58" s="156"/>
      <c r="AB58" s="156"/>
      <c r="AC58" s="156"/>
      <c r="AD58" s="156"/>
      <c r="AE58" s="157"/>
    </row>
    <row r="59" spans="2:31" x14ac:dyDescent="0.2">
      <c r="B59" s="16"/>
      <c r="D59" s="156"/>
      <c r="E59" s="156"/>
      <c r="F59" s="156"/>
      <c r="G59" s="156"/>
      <c r="H59" s="156"/>
      <c r="I59" s="156"/>
      <c r="J59" s="156"/>
      <c r="L59" s="16"/>
      <c r="W59" s="155"/>
      <c r="X59" s="156"/>
      <c r="Y59" s="156"/>
      <c r="Z59" s="156"/>
      <c r="AA59" s="156"/>
      <c r="AB59" s="156"/>
      <c r="AC59" s="156"/>
      <c r="AD59" s="156"/>
      <c r="AE59" s="157"/>
    </row>
    <row r="60" spans="2:31" x14ac:dyDescent="0.2">
      <c r="B60" s="16"/>
      <c r="D60" s="156"/>
      <c r="E60" s="156"/>
      <c r="F60" s="156"/>
      <c r="G60" s="156"/>
      <c r="H60" s="156"/>
      <c r="I60" s="156"/>
      <c r="J60" s="156"/>
      <c r="L60" s="16"/>
      <c r="W60" s="155"/>
      <c r="X60" s="156"/>
      <c r="Y60" s="156"/>
      <c r="Z60" s="156"/>
      <c r="AA60" s="156"/>
      <c r="AB60" s="156"/>
      <c r="AC60" s="156"/>
      <c r="AD60" s="156"/>
      <c r="AE60" s="157"/>
    </row>
    <row r="61" spans="2:31" s="1" customFormat="1" ht="13.2" x14ac:dyDescent="0.2">
      <c r="B61" s="24"/>
      <c r="D61" s="522"/>
      <c r="E61" s="523"/>
      <c r="F61" s="536"/>
      <c r="G61" s="522"/>
      <c r="H61" s="523"/>
      <c r="I61" s="523"/>
      <c r="J61" s="169"/>
      <c r="K61" s="26"/>
      <c r="L61" s="24"/>
      <c r="W61" s="158"/>
      <c r="X61" s="368"/>
      <c r="Y61" s="559"/>
      <c r="Z61" s="557"/>
      <c r="AA61" s="536"/>
      <c r="AB61" s="559"/>
      <c r="AC61" s="557"/>
      <c r="AD61" s="557"/>
      <c r="AE61" s="577"/>
    </row>
    <row r="62" spans="2:31" x14ac:dyDescent="0.2">
      <c r="B62" s="16"/>
      <c r="D62" s="156"/>
      <c r="E62" s="156"/>
      <c r="F62" s="156"/>
      <c r="G62" s="156"/>
      <c r="H62" s="156"/>
      <c r="I62" s="156"/>
      <c r="J62" s="156"/>
      <c r="L62" s="16"/>
      <c r="W62" s="155"/>
      <c r="X62" s="156"/>
      <c r="Y62" s="156"/>
      <c r="Z62" s="156"/>
      <c r="AA62" s="156"/>
      <c r="AB62" s="156"/>
      <c r="AC62" s="156"/>
      <c r="AD62" s="156"/>
      <c r="AE62" s="157"/>
    </row>
    <row r="63" spans="2:31" x14ac:dyDescent="0.2">
      <c r="B63" s="16"/>
      <c r="D63" s="156"/>
      <c r="E63" s="156"/>
      <c r="F63" s="156"/>
      <c r="G63" s="156"/>
      <c r="H63" s="156"/>
      <c r="I63" s="156"/>
      <c r="J63" s="156"/>
      <c r="L63" s="16"/>
      <c r="W63" s="155"/>
      <c r="X63" s="156"/>
      <c r="Y63" s="156"/>
      <c r="Z63" s="156"/>
      <c r="AA63" s="156"/>
      <c r="AB63" s="156"/>
      <c r="AC63" s="156"/>
      <c r="AD63" s="156"/>
      <c r="AE63" s="157"/>
    </row>
    <row r="64" spans="2:31" x14ac:dyDescent="0.2">
      <c r="B64" s="16"/>
      <c r="D64" s="156"/>
      <c r="E64" s="156"/>
      <c r="F64" s="156"/>
      <c r="G64" s="156"/>
      <c r="H64" s="156"/>
      <c r="I64" s="156"/>
      <c r="J64" s="156"/>
      <c r="L64" s="16"/>
      <c r="W64" s="155"/>
      <c r="X64" s="156"/>
      <c r="Y64" s="156"/>
      <c r="Z64" s="156"/>
      <c r="AA64" s="156"/>
      <c r="AB64" s="156"/>
      <c r="AC64" s="156"/>
      <c r="AD64" s="156"/>
      <c r="AE64" s="157"/>
    </row>
    <row r="65" spans="2:31" s="1" customFormat="1" ht="13.2" x14ac:dyDescent="0.2">
      <c r="B65" s="24"/>
      <c r="D65" s="530"/>
      <c r="E65" s="523"/>
      <c r="F65" s="523"/>
      <c r="G65" s="530"/>
      <c r="H65" s="523"/>
      <c r="I65" s="523"/>
      <c r="J65" s="523"/>
      <c r="K65" s="32"/>
      <c r="L65" s="24"/>
      <c r="W65" s="158"/>
      <c r="X65" s="368"/>
      <c r="Y65" s="530"/>
      <c r="Z65" s="557"/>
      <c r="AA65" s="557"/>
      <c r="AB65" s="530"/>
      <c r="AC65" s="557"/>
      <c r="AD65" s="557"/>
      <c r="AE65" s="159"/>
    </row>
    <row r="66" spans="2:31" x14ac:dyDescent="0.2">
      <c r="B66" s="16"/>
      <c r="D66" s="156"/>
      <c r="E66" s="156"/>
      <c r="F66" s="156"/>
      <c r="G66" s="156"/>
      <c r="H66" s="156"/>
      <c r="I66" s="156"/>
      <c r="J66" s="156"/>
      <c r="L66" s="16"/>
      <c r="W66" s="155"/>
      <c r="X66" s="156"/>
      <c r="Y66" s="156"/>
      <c r="Z66" s="156"/>
      <c r="AA66" s="156"/>
      <c r="AB66" s="156"/>
      <c r="AC66" s="156"/>
      <c r="AD66" s="156"/>
      <c r="AE66" s="157"/>
    </row>
    <row r="67" spans="2:31" x14ac:dyDescent="0.2">
      <c r="B67" s="16"/>
      <c r="D67" s="156"/>
      <c r="E67" s="156"/>
      <c r="F67" s="156"/>
      <c r="G67" s="156"/>
      <c r="H67" s="156"/>
      <c r="I67" s="156"/>
      <c r="J67" s="156"/>
      <c r="L67" s="16"/>
      <c r="W67" s="155"/>
      <c r="X67" s="156"/>
      <c r="Y67" s="156"/>
      <c r="Z67" s="156"/>
      <c r="AA67" s="156"/>
      <c r="AB67" s="156"/>
      <c r="AC67" s="156"/>
      <c r="AD67" s="156"/>
      <c r="AE67" s="157"/>
    </row>
    <row r="68" spans="2:31" x14ac:dyDescent="0.2">
      <c r="B68" s="16"/>
      <c r="D68" s="156"/>
      <c r="E68" s="156"/>
      <c r="F68" s="156"/>
      <c r="G68" s="156"/>
      <c r="H68" s="156"/>
      <c r="I68" s="156"/>
      <c r="J68" s="156"/>
      <c r="L68" s="16"/>
      <c r="W68" s="155"/>
      <c r="X68" s="156"/>
      <c r="Y68" s="156"/>
      <c r="Z68" s="156"/>
      <c r="AA68" s="156"/>
      <c r="AB68" s="156"/>
      <c r="AC68" s="156"/>
      <c r="AD68" s="156"/>
      <c r="AE68" s="157"/>
    </row>
    <row r="69" spans="2:31" x14ac:dyDescent="0.2">
      <c r="B69" s="16"/>
      <c r="D69" s="156"/>
      <c r="E69" s="156"/>
      <c r="F69" s="156"/>
      <c r="G69" s="156"/>
      <c r="H69" s="156"/>
      <c r="I69" s="156"/>
      <c r="J69" s="156"/>
      <c r="L69" s="16"/>
      <c r="W69" s="155"/>
      <c r="X69" s="156"/>
      <c r="Y69" s="156"/>
      <c r="Z69" s="156"/>
      <c r="AA69" s="156"/>
      <c r="AB69" s="156"/>
      <c r="AC69" s="156"/>
      <c r="AD69" s="156"/>
      <c r="AE69" s="157"/>
    </row>
    <row r="70" spans="2:31" x14ac:dyDescent="0.2">
      <c r="B70" s="16"/>
      <c r="D70" s="156"/>
      <c r="E70" s="156"/>
      <c r="F70" s="156"/>
      <c r="G70" s="156"/>
      <c r="H70" s="156"/>
      <c r="I70" s="156"/>
      <c r="J70" s="156"/>
      <c r="L70" s="16"/>
      <c r="W70" s="155"/>
      <c r="X70" s="156"/>
      <c r="Y70" s="156"/>
      <c r="Z70" s="156"/>
      <c r="AA70" s="156"/>
      <c r="AB70" s="156"/>
      <c r="AC70" s="156"/>
      <c r="AD70" s="156"/>
      <c r="AE70" s="157"/>
    </row>
    <row r="71" spans="2:31" x14ac:dyDescent="0.2">
      <c r="B71" s="16"/>
      <c r="D71" s="156"/>
      <c r="E71" s="156"/>
      <c r="F71" s="156"/>
      <c r="G71" s="156"/>
      <c r="H71" s="156"/>
      <c r="I71" s="156"/>
      <c r="J71" s="156"/>
      <c r="L71" s="16"/>
      <c r="W71" s="155"/>
      <c r="X71" s="156"/>
      <c r="Y71" s="156"/>
      <c r="Z71" s="156"/>
      <c r="AA71" s="156"/>
      <c r="AB71" s="156"/>
      <c r="AC71" s="156"/>
      <c r="AD71" s="156"/>
      <c r="AE71" s="157"/>
    </row>
    <row r="72" spans="2:31" x14ac:dyDescent="0.2">
      <c r="B72" s="16"/>
      <c r="D72" s="156"/>
      <c r="E72" s="156"/>
      <c r="F72" s="156"/>
      <c r="G72" s="156"/>
      <c r="H72" s="156"/>
      <c r="I72" s="156"/>
      <c r="J72" s="156"/>
      <c r="L72" s="16"/>
      <c r="W72" s="155"/>
      <c r="X72" s="156"/>
      <c r="Y72" s="156"/>
      <c r="Z72" s="156"/>
      <c r="AA72" s="156"/>
      <c r="AB72" s="156"/>
      <c r="AC72" s="156"/>
      <c r="AD72" s="156"/>
      <c r="AE72" s="157"/>
    </row>
    <row r="73" spans="2:31" x14ac:dyDescent="0.2">
      <c r="B73" s="16"/>
      <c r="D73" s="156"/>
      <c r="E73" s="156"/>
      <c r="F73" s="156"/>
      <c r="G73" s="156"/>
      <c r="H73" s="156"/>
      <c r="I73" s="156"/>
      <c r="J73" s="156"/>
      <c r="L73" s="16"/>
      <c r="W73" s="155"/>
      <c r="X73" s="156"/>
      <c r="Y73" s="156"/>
      <c r="Z73" s="156"/>
      <c r="AA73" s="156"/>
      <c r="AB73" s="156"/>
      <c r="AC73" s="156"/>
      <c r="AD73" s="156"/>
      <c r="AE73" s="157"/>
    </row>
    <row r="74" spans="2:31" x14ac:dyDescent="0.2">
      <c r="B74" s="16"/>
      <c r="D74" s="156"/>
      <c r="E74" s="156"/>
      <c r="F74" s="156"/>
      <c r="G74" s="156"/>
      <c r="H74" s="156"/>
      <c r="I74" s="156"/>
      <c r="J74" s="156"/>
      <c r="L74" s="16"/>
      <c r="W74" s="155"/>
      <c r="X74" s="156"/>
      <c r="Y74" s="156"/>
      <c r="Z74" s="156"/>
      <c r="AA74" s="156"/>
      <c r="AB74" s="156"/>
      <c r="AC74" s="156"/>
      <c r="AD74" s="156"/>
      <c r="AE74" s="157"/>
    </row>
    <row r="75" spans="2:31" x14ac:dyDescent="0.2">
      <c r="B75" s="16"/>
      <c r="D75" s="156"/>
      <c r="E75" s="156"/>
      <c r="F75" s="156"/>
      <c r="G75" s="156"/>
      <c r="H75" s="156"/>
      <c r="I75" s="156"/>
      <c r="J75" s="156"/>
      <c r="L75" s="16"/>
      <c r="W75" s="155"/>
      <c r="X75" s="156"/>
      <c r="Y75" s="156"/>
      <c r="Z75" s="156"/>
      <c r="AA75" s="156"/>
      <c r="AB75" s="156"/>
      <c r="AC75" s="156"/>
      <c r="AD75" s="156"/>
      <c r="AE75" s="157"/>
    </row>
    <row r="76" spans="2:31" s="1" customFormat="1" ht="13.2" x14ac:dyDescent="0.2">
      <c r="B76" s="24"/>
      <c r="D76" s="522"/>
      <c r="E76" s="523"/>
      <c r="F76" s="536"/>
      <c r="G76" s="522"/>
      <c r="H76" s="523"/>
      <c r="I76" s="523"/>
      <c r="J76" s="169"/>
      <c r="K76" s="26"/>
      <c r="L76" s="24"/>
      <c r="W76" s="158"/>
      <c r="X76" s="368"/>
      <c r="Y76" s="559"/>
      <c r="Z76" s="557"/>
      <c r="AA76" s="536"/>
      <c r="AB76" s="559"/>
      <c r="AC76" s="557"/>
      <c r="AD76" s="557"/>
      <c r="AE76" s="577"/>
    </row>
    <row r="77" spans="2:31" s="1" customFormat="1" ht="14.55" customHeight="1" x14ac:dyDescent="0.2">
      <c r="B77" s="33"/>
      <c r="C77" s="34"/>
      <c r="D77" s="34"/>
      <c r="E77" s="34"/>
      <c r="F77" s="34"/>
      <c r="G77" s="34"/>
      <c r="H77" s="34"/>
      <c r="I77" s="34"/>
      <c r="J77" s="34"/>
      <c r="K77" s="34"/>
      <c r="L77" s="24"/>
      <c r="W77" s="175"/>
      <c r="X77" s="176"/>
      <c r="Y77" s="176"/>
      <c r="Z77" s="176"/>
      <c r="AA77" s="176"/>
      <c r="AB77" s="176"/>
      <c r="AC77" s="176"/>
      <c r="AD77" s="176"/>
      <c r="AE77" s="177"/>
    </row>
    <row r="81" spans="2:47" s="1" customFormat="1" ht="7.05" customHeight="1" x14ac:dyDescent="0.2">
      <c r="B81" s="35"/>
      <c r="C81" s="36"/>
      <c r="D81" s="36"/>
      <c r="E81" s="36"/>
      <c r="F81" s="36"/>
      <c r="G81" s="36"/>
      <c r="H81" s="36"/>
      <c r="I81" s="36"/>
      <c r="J81" s="36"/>
      <c r="K81" s="36"/>
      <c r="L81" s="24"/>
      <c r="W81" s="178"/>
      <c r="X81" s="179"/>
      <c r="Y81" s="179"/>
      <c r="Z81" s="179"/>
      <c r="AA81" s="179"/>
      <c r="AB81" s="179"/>
      <c r="AC81" s="179"/>
      <c r="AD81" s="179"/>
      <c r="AE81" s="180"/>
    </row>
    <row r="82" spans="2:47" s="1" customFormat="1" ht="25.05" customHeight="1" x14ac:dyDescent="0.2">
      <c r="B82" s="24"/>
      <c r="C82" s="1165" t="s">
        <v>188</v>
      </c>
      <c r="D82" s="1165"/>
      <c r="E82" s="1165"/>
      <c r="F82" s="1165"/>
      <c r="G82" s="1165"/>
      <c r="H82" s="1165"/>
      <c r="I82" s="1165"/>
      <c r="J82" s="1165"/>
      <c r="L82" s="24"/>
      <c r="W82" s="158"/>
      <c r="X82" s="1237" t="s">
        <v>188</v>
      </c>
      <c r="Y82" s="1237"/>
      <c r="Z82" s="1237"/>
      <c r="AA82" s="1237"/>
      <c r="AB82" s="1237"/>
      <c r="AC82" s="1237"/>
      <c r="AD82" s="1237"/>
      <c r="AE82" s="1238"/>
    </row>
    <row r="83" spans="2:47" s="1" customFormat="1" ht="7.05" customHeight="1" x14ac:dyDescent="0.2">
      <c r="B83" s="24"/>
      <c r="E83" s="521"/>
      <c r="F83" s="521"/>
      <c r="G83" s="521"/>
      <c r="H83" s="521"/>
      <c r="I83" s="521"/>
      <c r="J83" s="521"/>
      <c r="L83" s="24"/>
      <c r="W83" s="158"/>
      <c r="X83" s="557"/>
      <c r="Y83" s="557"/>
      <c r="Z83" s="557"/>
      <c r="AA83" s="557"/>
      <c r="AB83" s="557"/>
      <c r="AC83" s="557"/>
      <c r="AD83" s="557"/>
      <c r="AE83" s="159"/>
    </row>
    <row r="84" spans="2:47" s="1" customFormat="1" ht="12" customHeight="1" x14ac:dyDescent="0.2">
      <c r="B84" s="24"/>
      <c r="C84" s="528" t="s">
        <v>12</v>
      </c>
      <c r="E84" s="1242" t="s">
        <v>6177</v>
      </c>
      <c r="F84" s="1242"/>
      <c r="G84" s="1242"/>
      <c r="H84" s="1242"/>
      <c r="I84" s="1242"/>
      <c r="J84" s="1242"/>
      <c r="L84" s="24"/>
      <c r="W84" s="158"/>
      <c r="X84" s="538" t="s">
        <v>12</v>
      </c>
      <c r="Y84" s="557"/>
      <c r="Z84" s="1163" t="s">
        <v>6177</v>
      </c>
      <c r="AA84" s="1163"/>
      <c r="AB84" s="1163"/>
      <c r="AC84" s="1163"/>
      <c r="AD84" s="1163"/>
      <c r="AE84" s="1241"/>
    </row>
    <row r="85" spans="2:47" s="1" customFormat="1" ht="21" customHeight="1" x14ac:dyDescent="0.2">
      <c r="B85" s="24"/>
      <c r="C85" s="521"/>
      <c r="E85" s="1243"/>
      <c r="F85" s="1244"/>
      <c r="G85" s="1244"/>
      <c r="H85" s="1244"/>
      <c r="L85" s="24"/>
      <c r="W85" s="158"/>
      <c r="X85" s="557"/>
      <c r="Y85" s="557"/>
      <c r="Z85" s="1249"/>
      <c r="AA85" s="1250"/>
      <c r="AB85" s="1250"/>
      <c r="AC85" s="1250"/>
      <c r="AD85" s="557"/>
      <c r="AE85" s="159"/>
    </row>
    <row r="86" spans="2:47" s="1" customFormat="1" ht="12" customHeight="1" x14ac:dyDescent="0.2">
      <c r="B86" s="24"/>
      <c r="C86" s="528" t="s">
        <v>186</v>
      </c>
      <c r="F86" s="532" t="s">
        <v>1300</v>
      </c>
      <c r="L86" s="24"/>
      <c r="W86" s="158"/>
      <c r="X86" s="538" t="s">
        <v>186</v>
      </c>
      <c r="Y86" s="557"/>
      <c r="Z86" s="557"/>
      <c r="AA86" s="555" t="s">
        <v>1300</v>
      </c>
      <c r="AB86" s="557"/>
      <c r="AC86" s="557"/>
      <c r="AD86" s="557"/>
      <c r="AE86" s="159"/>
    </row>
    <row r="87" spans="2:47" s="1" customFormat="1" ht="16.5" customHeight="1" x14ac:dyDescent="0.2">
      <c r="B87" s="24"/>
      <c r="C87" s="521"/>
      <c r="E87" s="1251"/>
      <c r="F87" s="1252"/>
      <c r="G87" s="1252"/>
      <c r="H87" s="1252"/>
      <c r="L87" s="24"/>
      <c r="W87" s="158"/>
      <c r="X87" s="557"/>
      <c r="Y87" s="557"/>
      <c r="Z87" s="1245"/>
      <c r="AA87" s="1246"/>
      <c r="AB87" s="1246"/>
      <c r="AC87" s="1246"/>
      <c r="AD87" s="557"/>
      <c r="AE87" s="159"/>
    </row>
    <row r="88" spans="2:47" s="1" customFormat="1" ht="7.05" customHeight="1" x14ac:dyDescent="0.2">
      <c r="B88" s="24"/>
      <c r="C88" s="521"/>
      <c r="L88" s="24"/>
      <c r="W88" s="158"/>
      <c r="X88" s="557"/>
      <c r="Y88" s="557"/>
      <c r="Z88" s="557"/>
      <c r="AA88" s="557"/>
      <c r="AB88" s="557"/>
      <c r="AC88" s="557"/>
      <c r="AD88" s="557"/>
      <c r="AE88" s="159"/>
    </row>
    <row r="89" spans="2:47" s="1" customFormat="1" ht="12" customHeight="1" x14ac:dyDescent="0.2">
      <c r="B89" s="24"/>
      <c r="C89" s="528" t="s">
        <v>15</v>
      </c>
      <c r="F89" s="19" t="str">
        <f>F12</f>
        <v>Kuzmányho nábrežie 28, 960 01 Zvolen</v>
      </c>
      <c r="I89" s="528" t="s">
        <v>17</v>
      </c>
      <c r="J89" s="39" t="str">
        <f>IF(J12="","",J12)</f>
        <v/>
      </c>
      <c r="L89" s="24"/>
      <c r="W89" s="158"/>
      <c r="X89" s="538" t="s">
        <v>15</v>
      </c>
      <c r="Y89" s="557"/>
      <c r="Z89" s="557"/>
      <c r="AA89" s="558" t="str">
        <f>AA12</f>
        <v>Kuzmányho nábrežie 28, 960 01 Zvolen</v>
      </c>
      <c r="AB89" s="557"/>
      <c r="AC89" s="557"/>
      <c r="AD89" s="538" t="s">
        <v>17</v>
      </c>
      <c r="AE89" s="162" t="str">
        <f>IF(AE12="","",AE12)</f>
        <v/>
      </c>
    </row>
    <row r="90" spans="2:47" s="1" customFormat="1" ht="7.05" customHeight="1" x14ac:dyDescent="0.2">
      <c r="B90" s="24"/>
      <c r="C90" s="521"/>
      <c r="I90" s="521"/>
      <c r="L90" s="24"/>
      <c r="W90" s="158"/>
      <c r="X90" s="557"/>
      <c r="Y90" s="557"/>
      <c r="Z90" s="557"/>
      <c r="AA90" s="557"/>
      <c r="AB90" s="557"/>
      <c r="AC90" s="557"/>
      <c r="AD90" s="557"/>
      <c r="AE90" s="159"/>
    </row>
    <row r="91" spans="2:47" s="1" customFormat="1" ht="43.2" customHeight="1" x14ac:dyDescent="0.2">
      <c r="B91" s="24"/>
      <c r="C91" s="528" t="s">
        <v>18</v>
      </c>
      <c r="F91" s="529" t="s">
        <v>6175</v>
      </c>
      <c r="I91" s="528" t="s">
        <v>22</v>
      </c>
      <c r="J91" s="22"/>
      <c r="L91" s="24"/>
      <c r="W91" s="158"/>
      <c r="X91" s="538" t="s">
        <v>18</v>
      </c>
      <c r="Y91" s="557"/>
      <c r="Z91" s="557"/>
      <c r="AA91" s="576" t="s">
        <v>6175</v>
      </c>
      <c r="AB91" s="557"/>
      <c r="AC91" s="557"/>
      <c r="AD91" s="538" t="s">
        <v>22</v>
      </c>
      <c r="AE91" s="181"/>
    </row>
    <row r="92" spans="2:47" s="1" customFormat="1" ht="15.3" customHeight="1" x14ac:dyDescent="0.2">
      <c r="B92" s="24"/>
      <c r="C92" s="520" t="s">
        <v>21</v>
      </c>
      <c r="F92" s="529" t="s">
        <v>5202</v>
      </c>
      <c r="I92" s="520" t="s">
        <v>24</v>
      </c>
      <c r="J92" s="22" t="str">
        <f>E24</f>
        <v xml:space="preserve"> </v>
      </c>
      <c r="L92" s="24"/>
      <c r="W92" s="158"/>
      <c r="X92" s="538" t="s">
        <v>21</v>
      </c>
      <c r="Y92" s="557"/>
      <c r="Z92" s="557"/>
      <c r="AA92" s="576" t="s">
        <v>5202</v>
      </c>
      <c r="AB92" s="557"/>
      <c r="AC92" s="557"/>
      <c r="AD92" s="538" t="s">
        <v>24</v>
      </c>
      <c r="AE92" s="181" t="str">
        <f>Z24</f>
        <v/>
      </c>
    </row>
    <row r="93" spans="2:47" s="1" customFormat="1" ht="10.199999999999999" customHeight="1" x14ac:dyDescent="0.2">
      <c r="B93" s="24"/>
      <c r="L93" s="24"/>
      <c r="W93" s="158"/>
      <c r="X93" s="557"/>
      <c r="Y93" s="557"/>
      <c r="Z93" s="557"/>
      <c r="AA93" s="557"/>
      <c r="AB93" s="557"/>
      <c r="AC93" s="557"/>
      <c r="AD93" s="557"/>
      <c r="AE93" s="159"/>
    </row>
    <row r="94" spans="2:47" s="1" customFormat="1" ht="29.25" customHeight="1" x14ac:dyDescent="0.2">
      <c r="B94" s="24"/>
      <c r="C94" s="86" t="s">
        <v>189</v>
      </c>
      <c r="D94" s="80"/>
      <c r="E94" s="80"/>
      <c r="F94" s="80"/>
      <c r="G94" s="80"/>
      <c r="H94" s="80"/>
      <c r="I94" s="80"/>
      <c r="J94" s="87" t="s">
        <v>190</v>
      </c>
      <c r="K94" s="80"/>
      <c r="L94" s="24"/>
      <c r="W94" s="158"/>
      <c r="X94" s="182" t="s">
        <v>189</v>
      </c>
      <c r="Y94" s="173"/>
      <c r="Z94" s="173"/>
      <c r="AA94" s="173"/>
      <c r="AB94" s="173"/>
      <c r="AC94" s="173"/>
      <c r="AD94" s="173"/>
      <c r="AE94" s="183" t="s">
        <v>190</v>
      </c>
    </row>
    <row r="95" spans="2:47" s="1" customFormat="1" ht="10.199999999999999" customHeight="1" x14ac:dyDescent="0.2">
      <c r="B95" s="24"/>
      <c r="L95" s="24"/>
      <c r="W95" s="158"/>
      <c r="X95" s="557"/>
      <c r="Y95" s="557"/>
      <c r="Z95" s="557"/>
      <c r="AA95" s="557"/>
      <c r="AB95" s="557"/>
      <c r="AC95" s="557"/>
      <c r="AD95" s="557"/>
      <c r="AE95" s="159"/>
    </row>
    <row r="96" spans="2:47" s="1" customFormat="1" ht="22.95" customHeight="1" x14ac:dyDescent="0.2">
      <c r="B96" s="24"/>
      <c r="C96" s="88" t="s">
        <v>191</v>
      </c>
      <c r="J96" s="53">
        <f>J117</f>
        <v>183936.62000000002</v>
      </c>
      <c r="L96" s="24"/>
      <c r="W96" s="158"/>
      <c r="X96" s="184" t="s">
        <v>191</v>
      </c>
      <c r="Y96" s="557"/>
      <c r="Z96" s="557"/>
      <c r="AA96" s="557"/>
      <c r="AB96" s="557"/>
      <c r="AC96" s="557"/>
      <c r="AD96" s="557"/>
      <c r="AE96" s="168">
        <f>AE117</f>
        <v>213990.80999999997</v>
      </c>
      <c r="AU96" s="13" t="s">
        <v>192</v>
      </c>
    </row>
    <row r="97" spans="2:31" s="8" customFormat="1" ht="25.05" customHeight="1" x14ac:dyDescent="0.2">
      <c r="B97" s="89"/>
      <c r="D97" s="90" t="s">
        <v>1301</v>
      </c>
      <c r="E97" s="91"/>
      <c r="F97" s="91"/>
      <c r="G97" s="91"/>
      <c r="H97" s="91"/>
      <c r="I97" s="91"/>
      <c r="J97" s="92">
        <f>J118</f>
        <v>183936.62000000002</v>
      </c>
      <c r="L97" s="89"/>
      <c r="W97" s="185"/>
      <c r="X97" s="186"/>
      <c r="Y97" s="90" t="s">
        <v>1301</v>
      </c>
      <c r="Z97" s="91"/>
      <c r="AA97" s="91"/>
      <c r="AB97" s="91"/>
      <c r="AC97" s="91"/>
      <c r="AD97" s="91"/>
      <c r="AE97" s="187">
        <f>AE118</f>
        <v>213990.80999999997</v>
      </c>
    </row>
    <row r="98" spans="2:31" s="1" customFormat="1" ht="21.75" customHeight="1" x14ac:dyDescent="0.2">
      <c r="B98" s="24"/>
      <c r="L98" s="24"/>
      <c r="W98" s="158"/>
      <c r="X98" s="557"/>
      <c r="Y98" s="557"/>
      <c r="Z98" s="557"/>
      <c r="AA98" s="557"/>
      <c r="AB98" s="557"/>
      <c r="AC98" s="557"/>
      <c r="AD98" s="557"/>
      <c r="AE98" s="159"/>
    </row>
    <row r="99" spans="2:31" s="1" customFormat="1" ht="7.05" customHeight="1" x14ac:dyDescent="0.2">
      <c r="B99" s="33"/>
      <c r="C99" s="34"/>
      <c r="D99" s="34"/>
      <c r="E99" s="34"/>
      <c r="F99" s="34"/>
      <c r="G99" s="34"/>
      <c r="H99" s="34"/>
      <c r="I99" s="34"/>
      <c r="J99" s="34"/>
      <c r="K99" s="34"/>
      <c r="L99" s="24"/>
      <c r="W99" s="175"/>
      <c r="X99" s="176"/>
      <c r="Y99" s="176"/>
      <c r="Z99" s="176"/>
      <c r="AA99" s="176"/>
      <c r="AB99" s="176"/>
      <c r="AC99" s="176"/>
      <c r="AD99" s="176"/>
      <c r="AE99" s="177"/>
    </row>
    <row r="103" spans="2:31" s="1" customFormat="1" ht="7.05" customHeight="1" x14ac:dyDescent="0.2">
      <c r="B103" s="35"/>
      <c r="C103" s="36"/>
      <c r="D103" s="36"/>
      <c r="E103" s="36"/>
      <c r="F103" s="36"/>
      <c r="G103" s="36"/>
      <c r="H103" s="36"/>
      <c r="I103" s="36"/>
      <c r="J103" s="36"/>
      <c r="K103" s="36"/>
      <c r="L103" s="24"/>
      <c r="W103" s="178"/>
      <c r="X103" s="179"/>
      <c r="Y103" s="179"/>
      <c r="Z103" s="179"/>
      <c r="AA103" s="179"/>
      <c r="AB103" s="179"/>
      <c r="AC103" s="179"/>
      <c r="AD103" s="179"/>
      <c r="AE103" s="180"/>
    </row>
    <row r="104" spans="2:31" s="1" customFormat="1" ht="25.05" customHeight="1" x14ac:dyDescent="0.2">
      <c r="B104" s="24"/>
      <c r="C104" s="1165" t="s">
        <v>214</v>
      </c>
      <c r="D104" s="1165"/>
      <c r="E104" s="1165"/>
      <c r="F104" s="1165"/>
      <c r="G104" s="1165"/>
      <c r="H104" s="1165"/>
      <c r="I104" s="1165"/>
      <c r="J104" s="1165"/>
      <c r="L104" s="24"/>
      <c r="W104" s="158"/>
      <c r="X104" s="1237" t="s">
        <v>214</v>
      </c>
      <c r="Y104" s="1237"/>
      <c r="Z104" s="1237"/>
      <c r="AA104" s="1237"/>
      <c r="AB104" s="1237"/>
      <c r="AC104" s="1237"/>
      <c r="AD104" s="1237"/>
      <c r="AE104" s="1238"/>
    </row>
    <row r="105" spans="2:31" s="1" customFormat="1" ht="7.05" customHeight="1" x14ac:dyDescent="0.2">
      <c r="B105" s="24"/>
      <c r="L105" s="24"/>
      <c r="W105" s="158"/>
      <c r="X105" s="557"/>
      <c r="Y105" s="557"/>
      <c r="Z105" s="557"/>
      <c r="AA105" s="557"/>
      <c r="AB105" s="557"/>
      <c r="AC105" s="557"/>
      <c r="AD105" s="557"/>
      <c r="AE105" s="159"/>
    </row>
    <row r="106" spans="2:31" s="1" customFormat="1" ht="12" customHeight="1" x14ac:dyDescent="0.2">
      <c r="B106" s="24"/>
      <c r="C106" s="528" t="s">
        <v>12</v>
      </c>
      <c r="E106" s="1242" t="s">
        <v>6177</v>
      </c>
      <c r="F106" s="1242"/>
      <c r="G106" s="1242"/>
      <c r="H106" s="1242"/>
      <c r="I106" s="1242"/>
      <c r="J106" s="1242"/>
      <c r="L106" s="24"/>
      <c r="W106" s="158"/>
      <c r="X106" s="538" t="s">
        <v>12</v>
      </c>
      <c r="Y106" s="557"/>
      <c r="Z106" s="1163" t="s">
        <v>6177</v>
      </c>
      <c r="AA106" s="1163"/>
      <c r="AB106" s="1163"/>
      <c r="AC106" s="1163"/>
      <c r="AD106" s="1163"/>
      <c r="AE106" s="1241"/>
    </row>
    <row r="107" spans="2:31" s="1" customFormat="1" ht="22.95" customHeight="1" x14ac:dyDescent="0.2">
      <c r="B107" s="24"/>
      <c r="C107" s="521"/>
      <c r="E107" s="1243"/>
      <c r="F107" s="1244"/>
      <c r="G107" s="1244"/>
      <c r="H107" s="1244"/>
      <c r="L107" s="24"/>
      <c r="W107" s="158"/>
      <c r="X107" s="557"/>
      <c r="Y107" s="557"/>
      <c r="Z107" s="1249"/>
      <c r="AA107" s="1250"/>
      <c r="AB107" s="1250"/>
      <c r="AC107" s="1250"/>
      <c r="AD107" s="557"/>
      <c r="AE107" s="159"/>
    </row>
    <row r="108" spans="2:31" s="1" customFormat="1" ht="12" customHeight="1" x14ac:dyDescent="0.2">
      <c r="B108" s="24"/>
      <c r="C108" s="528" t="s">
        <v>186</v>
      </c>
      <c r="F108" s="532" t="s">
        <v>1300</v>
      </c>
      <c r="L108" s="24"/>
      <c r="W108" s="158"/>
      <c r="X108" s="538" t="s">
        <v>186</v>
      </c>
      <c r="Y108" s="557"/>
      <c r="Z108" s="557"/>
      <c r="AA108" s="555" t="s">
        <v>1300</v>
      </c>
      <c r="AB108" s="557"/>
      <c r="AC108" s="557"/>
      <c r="AD108" s="557"/>
      <c r="AE108" s="159"/>
    </row>
    <row r="109" spans="2:31" s="1" customFormat="1" ht="16.5" customHeight="1" x14ac:dyDescent="0.2">
      <c r="B109" s="24"/>
      <c r="C109" s="521"/>
      <c r="E109" s="1251"/>
      <c r="F109" s="1252"/>
      <c r="G109" s="1252"/>
      <c r="H109" s="1252"/>
      <c r="L109" s="24"/>
      <c r="W109" s="158"/>
      <c r="X109" s="557"/>
      <c r="Y109" s="557"/>
      <c r="Z109" s="1245"/>
      <c r="AA109" s="1246"/>
      <c r="AB109" s="1246"/>
      <c r="AC109" s="1246"/>
      <c r="AD109" s="557"/>
      <c r="AE109" s="159"/>
    </row>
    <row r="110" spans="2:31" s="1" customFormat="1" ht="7.05" customHeight="1" x14ac:dyDescent="0.2">
      <c r="B110" s="24"/>
      <c r="C110" s="521"/>
      <c r="L110" s="24"/>
      <c r="W110" s="158"/>
      <c r="X110" s="557"/>
      <c r="Y110" s="557"/>
      <c r="Z110" s="557"/>
      <c r="AA110" s="557"/>
      <c r="AB110" s="557"/>
      <c r="AC110" s="557"/>
      <c r="AD110" s="557"/>
      <c r="AE110" s="159"/>
    </row>
    <row r="111" spans="2:31" s="1" customFormat="1" ht="12" customHeight="1" x14ac:dyDescent="0.2">
      <c r="B111" s="24"/>
      <c r="C111" s="528" t="s">
        <v>15</v>
      </c>
      <c r="F111" s="19" t="str">
        <f>F12</f>
        <v>Kuzmányho nábrežie 28, 960 01 Zvolen</v>
      </c>
      <c r="I111" s="528" t="s">
        <v>17</v>
      </c>
      <c r="J111" s="39" t="str">
        <f>IF(J12="","",J12)</f>
        <v/>
      </c>
      <c r="L111" s="24"/>
      <c r="W111" s="158"/>
      <c r="X111" s="538" t="s">
        <v>15</v>
      </c>
      <c r="Y111" s="368"/>
      <c r="Z111" s="368"/>
      <c r="AA111" s="370" t="str">
        <f>AA12</f>
        <v>Kuzmányho nábrežie 28, 960 01 Zvolen</v>
      </c>
      <c r="AB111" s="368"/>
      <c r="AC111" s="368"/>
      <c r="AD111" s="538" t="s">
        <v>17</v>
      </c>
      <c r="AE111" s="162" t="str">
        <f>IF(AE12="","",AE12)</f>
        <v/>
      </c>
    </row>
    <row r="112" spans="2:31" s="1" customFormat="1" ht="7.05" customHeight="1" x14ac:dyDescent="0.2">
      <c r="B112" s="24"/>
      <c r="C112" s="521"/>
      <c r="I112" s="521"/>
      <c r="L112" s="24"/>
      <c r="W112" s="158"/>
      <c r="X112" s="523"/>
      <c r="Y112" s="368"/>
      <c r="Z112" s="368"/>
      <c r="AA112" s="368"/>
      <c r="AB112" s="368"/>
      <c r="AC112" s="368"/>
      <c r="AD112" s="523"/>
      <c r="AE112" s="159"/>
    </row>
    <row r="113" spans="2:65" s="1" customFormat="1" ht="43.2" customHeight="1" x14ac:dyDescent="0.2">
      <c r="B113" s="24"/>
      <c r="C113" s="528" t="s">
        <v>18</v>
      </c>
      <c r="F113" s="529" t="s">
        <v>6175</v>
      </c>
      <c r="I113" s="528" t="s">
        <v>22</v>
      </c>
      <c r="J113" s="22"/>
      <c r="L113" s="24"/>
      <c r="W113" s="158"/>
      <c r="X113" s="538" t="s">
        <v>18</v>
      </c>
      <c r="Y113" s="368"/>
      <c r="Z113" s="368"/>
      <c r="AA113" s="529" t="s">
        <v>6175</v>
      </c>
      <c r="AB113" s="368"/>
      <c r="AC113" s="368"/>
      <c r="AD113" s="538" t="s">
        <v>22</v>
      </c>
      <c r="AE113" s="181"/>
    </row>
    <row r="114" spans="2:65" s="1" customFormat="1" ht="15.3" customHeight="1" x14ac:dyDescent="0.2">
      <c r="B114" s="24"/>
      <c r="C114" s="528" t="s">
        <v>21</v>
      </c>
      <c r="F114" s="529" t="s">
        <v>5202</v>
      </c>
      <c r="I114" s="528" t="s">
        <v>24</v>
      </c>
      <c r="J114" s="22" t="str">
        <f>E24</f>
        <v xml:space="preserve"> </v>
      </c>
      <c r="L114" s="24"/>
      <c r="W114" s="158"/>
      <c r="X114" s="538" t="s">
        <v>21</v>
      </c>
      <c r="Y114" s="368"/>
      <c r="Z114" s="368"/>
      <c r="AA114" s="529" t="s">
        <v>5202</v>
      </c>
      <c r="AB114" s="368"/>
      <c r="AC114" s="368"/>
      <c r="AD114" s="538" t="s">
        <v>24</v>
      </c>
      <c r="AE114" s="181" t="str">
        <f>Z24</f>
        <v/>
      </c>
    </row>
    <row r="115" spans="2:65" s="1" customFormat="1" ht="10.199999999999999" customHeight="1" x14ac:dyDescent="0.2">
      <c r="B115" s="24"/>
      <c r="L115" s="24"/>
      <c r="W115" s="158"/>
      <c r="X115" s="368"/>
      <c r="Y115" s="368"/>
      <c r="Z115" s="368"/>
      <c r="AA115" s="368"/>
      <c r="AB115" s="368"/>
      <c r="AC115" s="368"/>
      <c r="AD115" s="368"/>
      <c r="AE115" s="159"/>
    </row>
    <row r="116" spans="2:65" s="10" customFormat="1" ht="29.25" customHeight="1" x14ac:dyDescent="0.2">
      <c r="B116" s="97"/>
      <c r="C116" s="98" t="s">
        <v>215</v>
      </c>
      <c r="D116" s="99" t="s">
        <v>43</v>
      </c>
      <c r="E116" s="99" t="s">
        <v>41</v>
      </c>
      <c r="F116" s="99" t="s">
        <v>42</v>
      </c>
      <c r="G116" s="99" t="s">
        <v>216</v>
      </c>
      <c r="H116" s="99" t="s">
        <v>217</v>
      </c>
      <c r="I116" s="99" t="s">
        <v>218</v>
      </c>
      <c r="J116" s="100" t="s">
        <v>190</v>
      </c>
      <c r="K116" s="101" t="s">
        <v>219</v>
      </c>
      <c r="L116" s="97"/>
      <c r="M116" s="46" t="s">
        <v>1</v>
      </c>
      <c r="N116" s="47" t="s">
        <v>30</v>
      </c>
      <c r="O116" s="47" t="s">
        <v>220</v>
      </c>
      <c r="P116" s="47" t="s">
        <v>221</v>
      </c>
      <c r="Q116" s="47" t="s">
        <v>222</v>
      </c>
      <c r="R116" s="47" t="s">
        <v>223</v>
      </c>
      <c r="S116" s="47" t="s">
        <v>224</v>
      </c>
      <c r="T116" s="48" t="s">
        <v>225</v>
      </c>
      <c r="W116" s="191"/>
      <c r="X116" s="98" t="s">
        <v>215</v>
      </c>
      <c r="Y116" s="99" t="s">
        <v>43</v>
      </c>
      <c r="Z116" s="99" t="s">
        <v>41</v>
      </c>
      <c r="AA116" s="99" t="s">
        <v>42</v>
      </c>
      <c r="AB116" s="99" t="s">
        <v>216</v>
      </c>
      <c r="AC116" s="99" t="s">
        <v>217</v>
      </c>
      <c r="AD116" s="99" t="s">
        <v>218</v>
      </c>
      <c r="AE116" s="192" t="s">
        <v>190</v>
      </c>
      <c r="AF116" s="228" t="s">
        <v>5220</v>
      </c>
    </row>
    <row r="117" spans="2:65" s="1" customFormat="1" ht="22.95" customHeight="1" x14ac:dyDescent="0.3">
      <c r="B117" s="24"/>
      <c r="C117" s="51" t="s">
        <v>191</v>
      </c>
      <c r="J117" s="102">
        <f>BK117</f>
        <v>183936.62000000002</v>
      </c>
      <c r="L117" s="24"/>
      <c r="M117" s="49"/>
      <c r="N117" s="40"/>
      <c r="O117" s="40"/>
      <c r="P117" s="103">
        <f>P118</f>
        <v>0</v>
      </c>
      <c r="Q117" s="40"/>
      <c r="R117" s="103">
        <f>R118</f>
        <v>4.6397199999999996</v>
      </c>
      <c r="S117" s="40"/>
      <c r="T117" s="104">
        <f>T118</f>
        <v>0</v>
      </c>
      <c r="W117" s="158"/>
      <c r="X117" s="193" t="s">
        <v>191</v>
      </c>
      <c r="Y117" s="368"/>
      <c r="Z117" s="368"/>
      <c r="AA117" s="368"/>
      <c r="AB117" s="368"/>
      <c r="AC117" s="368"/>
      <c r="AD117" s="368"/>
      <c r="AE117" s="194">
        <f>AE118</f>
        <v>213990.80999999997</v>
      </c>
      <c r="AF117" s="224"/>
      <c r="AT117" s="13" t="s">
        <v>57</v>
      </c>
      <c r="AU117" s="13" t="s">
        <v>192</v>
      </c>
      <c r="BK117" s="105">
        <f>BK118</f>
        <v>183936.62000000002</v>
      </c>
    </row>
    <row r="118" spans="2:65" s="11" customFormat="1" ht="25.95" customHeight="1" x14ac:dyDescent="0.25">
      <c r="B118" s="106"/>
      <c r="D118" s="107" t="s">
        <v>57</v>
      </c>
      <c r="E118" s="108" t="s">
        <v>1302</v>
      </c>
      <c r="F118" s="108" t="s">
        <v>1303</v>
      </c>
      <c r="J118" s="109">
        <f>BK118</f>
        <v>183936.62000000002</v>
      </c>
      <c r="L118" s="106"/>
      <c r="M118" s="110"/>
      <c r="N118" s="111"/>
      <c r="O118" s="111"/>
      <c r="P118" s="112">
        <f>SUM(P119:P313)</f>
        <v>0</v>
      </c>
      <c r="Q118" s="111"/>
      <c r="R118" s="112">
        <f>SUM(R119:R313)</f>
        <v>4.6397199999999996</v>
      </c>
      <c r="S118" s="111"/>
      <c r="T118" s="113">
        <f>SUM(T119:T313)</f>
        <v>0</v>
      </c>
      <c r="W118" s="195"/>
      <c r="X118" s="111"/>
      <c r="Y118" s="196" t="s">
        <v>57</v>
      </c>
      <c r="Z118" s="197" t="s">
        <v>1302</v>
      </c>
      <c r="AA118" s="197" t="s">
        <v>1303</v>
      </c>
      <c r="AB118" s="111"/>
      <c r="AC118" s="111"/>
      <c r="AD118" s="111"/>
      <c r="AE118" s="198">
        <f>SUM(AE119:AE313)</f>
        <v>213990.80999999997</v>
      </c>
      <c r="AF118" s="114"/>
      <c r="AR118" s="107" t="s">
        <v>58</v>
      </c>
      <c r="AT118" s="114" t="s">
        <v>57</v>
      </c>
      <c r="AU118" s="114" t="s">
        <v>58</v>
      </c>
      <c r="AY118" s="107" t="s">
        <v>228</v>
      </c>
      <c r="BK118" s="115">
        <f>SUM(BK119:BK313)</f>
        <v>183936.62000000002</v>
      </c>
    </row>
    <row r="119" spans="2:65" s="1" customFormat="1" ht="24" customHeight="1" x14ac:dyDescent="0.2">
      <c r="B119" s="118"/>
      <c r="C119" s="119" t="s">
        <v>63</v>
      </c>
      <c r="D119" s="119" t="s">
        <v>231</v>
      </c>
      <c r="E119" s="120" t="s">
        <v>1304</v>
      </c>
      <c r="F119" s="121" t="s">
        <v>1305</v>
      </c>
      <c r="G119" s="122" t="s">
        <v>292</v>
      </c>
      <c r="H119" s="123">
        <v>1800</v>
      </c>
      <c r="I119" s="124">
        <v>1.21</v>
      </c>
      <c r="J119" s="124">
        <f t="shared" ref="J119:J152" si="0">ROUND(I119*H119,2)</f>
        <v>2178</v>
      </c>
      <c r="K119" s="121" t="s">
        <v>1</v>
      </c>
      <c r="L119" s="24"/>
      <c r="M119" s="125" t="s">
        <v>1</v>
      </c>
      <c r="N119" s="126" t="s">
        <v>31</v>
      </c>
      <c r="O119" s="127">
        <v>0</v>
      </c>
      <c r="P119" s="127">
        <f t="shared" ref="P119:P152" si="1">O119*H119</f>
        <v>0</v>
      </c>
      <c r="Q119" s="127">
        <v>0</v>
      </c>
      <c r="R119" s="127">
        <f t="shared" ref="R119:R152" si="2">Q119*H119</f>
        <v>0</v>
      </c>
      <c r="S119" s="127">
        <v>0</v>
      </c>
      <c r="T119" s="128">
        <f t="shared" ref="T119:T152" si="3">S119*H119</f>
        <v>0</v>
      </c>
      <c r="W119" s="199"/>
      <c r="X119" s="119" t="s">
        <v>63</v>
      </c>
      <c r="Y119" s="119" t="s">
        <v>231</v>
      </c>
      <c r="Z119" s="120" t="s">
        <v>1304</v>
      </c>
      <c r="AA119" s="121" t="s">
        <v>1305</v>
      </c>
      <c r="AB119" s="122" t="s">
        <v>292</v>
      </c>
      <c r="AC119" s="123">
        <v>1800</v>
      </c>
      <c r="AD119" s="124">
        <v>1.21</v>
      </c>
      <c r="AE119" s="200">
        <f t="shared" ref="AE119:AE188" si="4">ROUND(AD119*AC119,2)</f>
        <v>2178</v>
      </c>
      <c r="AF119" s="227"/>
      <c r="AG119" s="374"/>
      <c r="AR119" s="129" t="s">
        <v>63</v>
      </c>
      <c r="AT119" s="129" t="s">
        <v>231</v>
      </c>
      <c r="AU119" s="129" t="s">
        <v>63</v>
      </c>
      <c r="AY119" s="13" t="s">
        <v>228</v>
      </c>
      <c r="BE119" s="130">
        <f t="shared" ref="BE119:BE152" si="5">IF(N119="základná",J119,0)</f>
        <v>2178</v>
      </c>
      <c r="BF119" s="130">
        <f t="shared" ref="BF119:BF152" si="6">IF(N119="znížená",J119,0)</f>
        <v>0</v>
      </c>
      <c r="BG119" s="130">
        <f t="shared" ref="BG119:BG152" si="7">IF(N119="zákl. prenesená",J119,0)</f>
        <v>0</v>
      </c>
      <c r="BH119" s="130">
        <f t="shared" ref="BH119:BH152" si="8">IF(N119="zníž. prenesená",J119,0)</f>
        <v>0</v>
      </c>
      <c r="BI119" s="130">
        <f t="shared" ref="BI119:BI152" si="9">IF(N119="nulová",J119,0)</f>
        <v>0</v>
      </c>
      <c r="BJ119" s="13" t="s">
        <v>63</v>
      </c>
      <c r="BK119" s="130">
        <f t="shared" ref="BK119:BK152" si="10">ROUND(I119*H119,2)</f>
        <v>2178</v>
      </c>
      <c r="BL119" s="13" t="s">
        <v>63</v>
      </c>
      <c r="BM119" s="129" t="s">
        <v>1306</v>
      </c>
    </row>
    <row r="120" spans="2:65" s="1" customFormat="1" ht="16.5" customHeight="1" x14ac:dyDescent="0.2">
      <c r="B120" s="118"/>
      <c r="C120" s="131" t="s">
        <v>76</v>
      </c>
      <c r="D120" s="131" t="s">
        <v>277</v>
      </c>
      <c r="E120" s="132" t="s">
        <v>1307</v>
      </c>
      <c r="F120" s="133" t="s">
        <v>1308</v>
      </c>
      <c r="G120" s="134" t="s">
        <v>277</v>
      </c>
      <c r="H120" s="135">
        <v>1800</v>
      </c>
      <c r="I120" s="136">
        <v>2.14</v>
      </c>
      <c r="J120" s="136">
        <f t="shared" si="0"/>
        <v>3852</v>
      </c>
      <c r="K120" s="133" t="s">
        <v>1</v>
      </c>
      <c r="L120" s="137"/>
      <c r="M120" s="138" t="s">
        <v>1</v>
      </c>
      <c r="N120" s="139" t="s">
        <v>31</v>
      </c>
      <c r="O120" s="127">
        <v>0</v>
      </c>
      <c r="P120" s="127">
        <f t="shared" si="1"/>
        <v>0</v>
      </c>
      <c r="Q120" s="127">
        <v>0</v>
      </c>
      <c r="R120" s="127">
        <f t="shared" si="2"/>
        <v>0</v>
      </c>
      <c r="S120" s="127">
        <v>0</v>
      </c>
      <c r="T120" s="128">
        <f t="shared" si="3"/>
        <v>0</v>
      </c>
      <c r="W120" s="199"/>
      <c r="X120" s="131" t="s">
        <v>76</v>
      </c>
      <c r="Y120" s="131" t="s">
        <v>277</v>
      </c>
      <c r="Z120" s="132" t="s">
        <v>1307</v>
      </c>
      <c r="AA120" s="133" t="s">
        <v>1308</v>
      </c>
      <c r="AB120" s="134" t="s">
        <v>277</v>
      </c>
      <c r="AC120" s="135">
        <v>1800</v>
      </c>
      <c r="AD120" s="136">
        <v>2.14</v>
      </c>
      <c r="AE120" s="229">
        <f t="shared" si="4"/>
        <v>3852</v>
      </c>
      <c r="AF120" s="227"/>
      <c r="AG120" s="374"/>
      <c r="AR120" s="129" t="s">
        <v>76</v>
      </c>
      <c r="AT120" s="129" t="s">
        <v>277</v>
      </c>
      <c r="AU120" s="129" t="s">
        <v>63</v>
      </c>
      <c r="AY120" s="13" t="s">
        <v>228</v>
      </c>
      <c r="BE120" s="130">
        <f t="shared" si="5"/>
        <v>3852</v>
      </c>
      <c r="BF120" s="130">
        <f t="shared" si="6"/>
        <v>0</v>
      </c>
      <c r="BG120" s="130">
        <f t="shared" si="7"/>
        <v>0</v>
      </c>
      <c r="BH120" s="130">
        <f t="shared" si="8"/>
        <v>0</v>
      </c>
      <c r="BI120" s="130">
        <f t="shared" si="9"/>
        <v>0</v>
      </c>
      <c r="BJ120" s="13" t="s">
        <v>63</v>
      </c>
      <c r="BK120" s="130">
        <f t="shared" si="10"/>
        <v>3852</v>
      </c>
      <c r="BL120" s="13" t="s">
        <v>63</v>
      </c>
      <c r="BM120" s="129" t="s">
        <v>1309</v>
      </c>
    </row>
    <row r="121" spans="2:65" s="1" customFormat="1" ht="16.5" customHeight="1" x14ac:dyDescent="0.2">
      <c r="B121" s="118"/>
      <c r="C121" s="205" t="s">
        <v>229</v>
      </c>
      <c r="D121" s="119" t="s">
        <v>231</v>
      </c>
      <c r="E121" s="120" t="s">
        <v>1310</v>
      </c>
      <c r="F121" s="121" t="s">
        <v>1311</v>
      </c>
      <c r="G121" s="122" t="s">
        <v>1194</v>
      </c>
      <c r="H121" s="206">
        <v>323</v>
      </c>
      <c r="I121" s="124">
        <v>2.54</v>
      </c>
      <c r="J121" s="124">
        <f t="shared" si="0"/>
        <v>820.42</v>
      </c>
      <c r="K121" s="121" t="s">
        <v>1</v>
      </c>
      <c r="L121" s="24"/>
      <c r="M121" s="125" t="s">
        <v>1</v>
      </c>
      <c r="N121" s="126" t="s">
        <v>31</v>
      </c>
      <c r="O121" s="127">
        <v>0</v>
      </c>
      <c r="P121" s="127">
        <f t="shared" si="1"/>
        <v>0</v>
      </c>
      <c r="Q121" s="127">
        <v>0</v>
      </c>
      <c r="R121" s="127">
        <f t="shared" si="2"/>
        <v>0</v>
      </c>
      <c r="S121" s="127">
        <v>0</v>
      </c>
      <c r="T121" s="128">
        <f t="shared" si="3"/>
        <v>0</v>
      </c>
      <c r="W121" s="199"/>
      <c r="X121" s="205" t="s">
        <v>229</v>
      </c>
      <c r="Y121" s="119" t="s">
        <v>231</v>
      </c>
      <c r="Z121" s="120" t="s">
        <v>1310</v>
      </c>
      <c r="AA121" s="121" t="s">
        <v>1311</v>
      </c>
      <c r="AB121" s="122" t="s">
        <v>1194</v>
      </c>
      <c r="AC121" s="206">
        <f>323+12</f>
        <v>335</v>
      </c>
      <c r="AD121" s="124">
        <v>2.54</v>
      </c>
      <c r="AE121" s="200">
        <f t="shared" si="4"/>
        <v>850.9</v>
      </c>
      <c r="AF121" s="227">
        <v>2</v>
      </c>
      <c r="AG121" s="374"/>
      <c r="AR121" s="129" t="s">
        <v>63</v>
      </c>
      <c r="AT121" s="129" t="s">
        <v>231</v>
      </c>
      <c r="AU121" s="129" t="s">
        <v>63</v>
      </c>
      <c r="AY121" s="13" t="s">
        <v>228</v>
      </c>
      <c r="BE121" s="130">
        <f t="shared" si="5"/>
        <v>820.42</v>
      </c>
      <c r="BF121" s="130">
        <f t="shared" si="6"/>
        <v>0</v>
      </c>
      <c r="BG121" s="130">
        <f t="shared" si="7"/>
        <v>0</v>
      </c>
      <c r="BH121" s="130">
        <f t="shared" si="8"/>
        <v>0</v>
      </c>
      <c r="BI121" s="130">
        <f t="shared" si="9"/>
        <v>0</v>
      </c>
      <c r="BJ121" s="13" t="s">
        <v>63</v>
      </c>
      <c r="BK121" s="130">
        <f t="shared" si="10"/>
        <v>820.42</v>
      </c>
      <c r="BL121" s="13" t="s">
        <v>63</v>
      </c>
      <c r="BM121" s="129" t="s">
        <v>1312</v>
      </c>
    </row>
    <row r="122" spans="2:65" s="1" customFormat="1" ht="16.5" customHeight="1" x14ac:dyDescent="0.2">
      <c r="B122" s="118"/>
      <c r="C122" s="242" t="s">
        <v>235</v>
      </c>
      <c r="D122" s="131" t="s">
        <v>277</v>
      </c>
      <c r="E122" s="132" t="s">
        <v>1313</v>
      </c>
      <c r="F122" s="133" t="s">
        <v>1314</v>
      </c>
      <c r="G122" s="134" t="s">
        <v>1194</v>
      </c>
      <c r="H122" s="241">
        <v>323</v>
      </c>
      <c r="I122" s="136">
        <v>0.53</v>
      </c>
      <c r="J122" s="136">
        <f t="shared" si="0"/>
        <v>171.19</v>
      </c>
      <c r="K122" s="133" t="s">
        <v>1</v>
      </c>
      <c r="L122" s="137"/>
      <c r="M122" s="138" t="s">
        <v>1</v>
      </c>
      <c r="N122" s="139" t="s">
        <v>31</v>
      </c>
      <c r="O122" s="127">
        <v>0</v>
      </c>
      <c r="P122" s="127">
        <f t="shared" si="1"/>
        <v>0</v>
      </c>
      <c r="Q122" s="127">
        <v>4.0000000000000003E-5</v>
      </c>
      <c r="R122" s="127">
        <f t="shared" si="2"/>
        <v>1.2920000000000001E-2</v>
      </c>
      <c r="S122" s="127">
        <v>0</v>
      </c>
      <c r="T122" s="128">
        <f t="shared" si="3"/>
        <v>0</v>
      </c>
      <c r="W122" s="199"/>
      <c r="X122" s="242" t="s">
        <v>235</v>
      </c>
      <c r="Y122" s="131" t="s">
        <v>277</v>
      </c>
      <c r="Z122" s="132" t="s">
        <v>1313</v>
      </c>
      <c r="AA122" s="133" t="s">
        <v>1314</v>
      </c>
      <c r="AB122" s="134" t="s">
        <v>1194</v>
      </c>
      <c r="AC122" s="241">
        <f>323+12</f>
        <v>335</v>
      </c>
      <c r="AD122" s="136">
        <v>0.53</v>
      </c>
      <c r="AE122" s="229">
        <f t="shared" si="4"/>
        <v>177.55</v>
      </c>
      <c r="AF122" s="227">
        <v>2</v>
      </c>
      <c r="AG122" s="374"/>
      <c r="AR122" s="129" t="s">
        <v>76</v>
      </c>
      <c r="AT122" s="129" t="s">
        <v>277</v>
      </c>
      <c r="AU122" s="129" t="s">
        <v>63</v>
      </c>
      <c r="AY122" s="13" t="s">
        <v>228</v>
      </c>
      <c r="BE122" s="130">
        <f t="shared" si="5"/>
        <v>171.19</v>
      </c>
      <c r="BF122" s="130">
        <f t="shared" si="6"/>
        <v>0</v>
      </c>
      <c r="BG122" s="130">
        <f t="shared" si="7"/>
        <v>0</v>
      </c>
      <c r="BH122" s="130">
        <f t="shared" si="8"/>
        <v>0</v>
      </c>
      <c r="BI122" s="130">
        <f t="shared" si="9"/>
        <v>0</v>
      </c>
      <c r="BJ122" s="13" t="s">
        <v>63</v>
      </c>
      <c r="BK122" s="130">
        <f t="shared" si="10"/>
        <v>171.19</v>
      </c>
      <c r="BL122" s="13" t="s">
        <v>63</v>
      </c>
      <c r="BM122" s="129" t="s">
        <v>1315</v>
      </c>
    </row>
    <row r="123" spans="2:65" s="369" customFormat="1" ht="16.5" customHeight="1" x14ac:dyDescent="0.2">
      <c r="B123" s="118"/>
      <c r="C123" s="1234" t="s">
        <v>5205</v>
      </c>
      <c r="D123" s="1235"/>
      <c r="E123" s="1235"/>
      <c r="F123" s="1235"/>
      <c r="G123" s="1235"/>
      <c r="H123" s="1235"/>
      <c r="I123" s="1235"/>
      <c r="J123" s="1236"/>
      <c r="K123" s="133"/>
      <c r="L123" s="137"/>
      <c r="M123" s="138"/>
      <c r="N123" s="139"/>
      <c r="O123" s="127"/>
      <c r="P123" s="127"/>
      <c r="Q123" s="127"/>
      <c r="R123" s="127"/>
      <c r="S123" s="127"/>
      <c r="T123" s="128"/>
      <c r="W123" s="199"/>
      <c r="X123" s="341" t="s">
        <v>5862</v>
      </c>
      <c r="Y123" s="341" t="s">
        <v>231</v>
      </c>
      <c r="Z123" s="342" t="s">
        <v>5858</v>
      </c>
      <c r="AA123" s="343" t="s">
        <v>5859</v>
      </c>
      <c r="AB123" s="344" t="s">
        <v>1194</v>
      </c>
      <c r="AC123" s="345">
        <v>3</v>
      </c>
      <c r="AD123" s="346">
        <v>5.87</v>
      </c>
      <c r="AE123" s="355">
        <f>ROUND(AD123*AC123,2)</f>
        <v>17.61</v>
      </c>
      <c r="AF123" s="227">
        <v>2</v>
      </c>
      <c r="AG123" s="374"/>
      <c r="AR123" s="129"/>
      <c r="AT123" s="129"/>
      <c r="AU123" s="129"/>
      <c r="AY123" s="13"/>
      <c r="BE123" s="130"/>
      <c r="BF123" s="130"/>
      <c r="BG123" s="130"/>
      <c r="BH123" s="130"/>
      <c r="BI123" s="130"/>
      <c r="BJ123" s="13"/>
      <c r="BK123" s="130"/>
      <c r="BL123" s="13"/>
      <c r="BM123" s="129"/>
    </row>
    <row r="124" spans="2:65" s="369" customFormat="1" ht="16.5" customHeight="1" x14ac:dyDescent="0.2">
      <c r="B124" s="118"/>
      <c r="C124" s="1234" t="s">
        <v>5205</v>
      </c>
      <c r="D124" s="1235"/>
      <c r="E124" s="1235"/>
      <c r="F124" s="1235"/>
      <c r="G124" s="1235"/>
      <c r="H124" s="1235"/>
      <c r="I124" s="1235"/>
      <c r="J124" s="1236"/>
      <c r="K124" s="133"/>
      <c r="L124" s="137"/>
      <c r="M124" s="138"/>
      <c r="N124" s="139"/>
      <c r="O124" s="127"/>
      <c r="P124" s="127"/>
      <c r="Q124" s="127"/>
      <c r="R124" s="127"/>
      <c r="S124" s="127"/>
      <c r="T124" s="128"/>
      <c r="W124" s="199"/>
      <c r="X124" s="348" t="s">
        <v>5863</v>
      </c>
      <c r="Y124" s="348" t="s">
        <v>277</v>
      </c>
      <c r="Z124" s="349" t="s">
        <v>5860</v>
      </c>
      <c r="AA124" s="350" t="s">
        <v>5861</v>
      </c>
      <c r="AB124" s="351" t="s">
        <v>1194</v>
      </c>
      <c r="AC124" s="352">
        <v>3</v>
      </c>
      <c r="AD124" s="353">
        <v>7.26</v>
      </c>
      <c r="AE124" s="356">
        <f>ROUND(AD124*AC124,2)</f>
        <v>21.78</v>
      </c>
      <c r="AF124" s="227">
        <v>2</v>
      </c>
      <c r="AG124" s="374"/>
      <c r="AR124" s="129"/>
      <c r="AT124" s="129"/>
      <c r="AU124" s="129"/>
      <c r="AY124" s="13"/>
      <c r="BE124" s="130"/>
      <c r="BF124" s="130"/>
      <c r="BG124" s="130"/>
      <c r="BH124" s="130"/>
      <c r="BI124" s="130"/>
      <c r="BJ124" s="13"/>
      <c r="BK124" s="130"/>
      <c r="BL124" s="13"/>
      <c r="BM124" s="129"/>
    </row>
    <row r="125" spans="2:65" s="1" customFormat="1" ht="24" customHeight="1" x14ac:dyDescent="0.2">
      <c r="B125" s="118"/>
      <c r="C125" s="205" t="s">
        <v>245</v>
      </c>
      <c r="D125" s="119" t="s">
        <v>231</v>
      </c>
      <c r="E125" s="120" t="s">
        <v>1316</v>
      </c>
      <c r="F125" s="121" t="s">
        <v>1317</v>
      </c>
      <c r="G125" s="122" t="s">
        <v>1194</v>
      </c>
      <c r="H125" s="206">
        <v>172</v>
      </c>
      <c r="I125" s="124">
        <v>3.12</v>
      </c>
      <c r="J125" s="124">
        <f t="shared" si="0"/>
        <v>536.64</v>
      </c>
      <c r="K125" s="121" t="s">
        <v>1</v>
      </c>
      <c r="L125" s="24"/>
      <c r="M125" s="125" t="s">
        <v>1</v>
      </c>
      <c r="N125" s="126" t="s">
        <v>31</v>
      </c>
      <c r="O125" s="127">
        <v>0</v>
      </c>
      <c r="P125" s="127">
        <f t="shared" si="1"/>
        <v>0</v>
      </c>
      <c r="Q125" s="127">
        <v>0</v>
      </c>
      <c r="R125" s="127">
        <f t="shared" si="2"/>
        <v>0</v>
      </c>
      <c r="S125" s="127">
        <v>0</v>
      </c>
      <c r="T125" s="128">
        <f t="shared" si="3"/>
        <v>0</v>
      </c>
      <c r="W125" s="199"/>
      <c r="X125" s="205" t="s">
        <v>245</v>
      </c>
      <c r="Y125" s="119" t="s">
        <v>231</v>
      </c>
      <c r="Z125" s="120" t="s">
        <v>1316</v>
      </c>
      <c r="AA125" s="121" t="s">
        <v>1317</v>
      </c>
      <c r="AB125" s="122" t="s">
        <v>1194</v>
      </c>
      <c r="AC125" s="206">
        <f>172+3</f>
        <v>175</v>
      </c>
      <c r="AD125" s="124">
        <v>3.12</v>
      </c>
      <c r="AE125" s="200">
        <f t="shared" si="4"/>
        <v>546</v>
      </c>
      <c r="AF125" s="227">
        <v>2</v>
      </c>
      <c r="AG125" s="374"/>
      <c r="AR125" s="129" t="s">
        <v>63</v>
      </c>
      <c r="AT125" s="129" t="s">
        <v>231</v>
      </c>
      <c r="AU125" s="129" t="s">
        <v>63</v>
      </c>
      <c r="AY125" s="13" t="s">
        <v>228</v>
      </c>
      <c r="BE125" s="130">
        <f t="shared" si="5"/>
        <v>536.64</v>
      </c>
      <c r="BF125" s="130">
        <f t="shared" si="6"/>
        <v>0</v>
      </c>
      <c r="BG125" s="130">
        <f t="shared" si="7"/>
        <v>0</v>
      </c>
      <c r="BH125" s="130">
        <f t="shared" si="8"/>
        <v>0</v>
      </c>
      <c r="BI125" s="130">
        <f t="shared" si="9"/>
        <v>0</v>
      </c>
      <c r="BJ125" s="13" t="s">
        <v>63</v>
      </c>
      <c r="BK125" s="130">
        <f t="shared" si="10"/>
        <v>536.64</v>
      </c>
      <c r="BL125" s="13" t="s">
        <v>63</v>
      </c>
      <c r="BM125" s="129" t="s">
        <v>1318</v>
      </c>
    </row>
    <row r="126" spans="2:65" s="1" customFormat="1" ht="16.5" customHeight="1" x14ac:dyDescent="0.2">
      <c r="B126" s="118"/>
      <c r="C126" s="242" t="s">
        <v>240</v>
      </c>
      <c r="D126" s="131" t="s">
        <v>277</v>
      </c>
      <c r="E126" s="132" t="s">
        <v>1319</v>
      </c>
      <c r="F126" s="133" t="s">
        <v>1320</v>
      </c>
      <c r="G126" s="134" t="s">
        <v>1194</v>
      </c>
      <c r="H126" s="241">
        <v>172</v>
      </c>
      <c r="I126" s="136">
        <v>1.74</v>
      </c>
      <c r="J126" s="136">
        <f t="shared" si="0"/>
        <v>299.27999999999997</v>
      </c>
      <c r="K126" s="133" t="s">
        <v>1</v>
      </c>
      <c r="L126" s="137"/>
      <c r="M126" s="138" t="s">
        <v>1</v>
      </c>
      <c r="N126" s="139" t="s">
        <v>31</v>
      </c>
      <c r="O126" s="127">
        <v>0</v>
      </c>
      <c r="P126" s="127">
        <f t="shared" si="1"/>
        <v>0</v>
      </c>
      <c r="Q126" s="127">
        <v>0</v>
      </c>
      <c r="R126" s="127">
        <f t="shared" si="2"/>
        <v>0</v>
      </c>
      <c r="S126" s="127">
        <v>0</v>
      </c>
      <c r="T126" s="128">
        <f t="shared" si="3"/>
        <v>0</v>
      </c>
      <c r="W126" s="199"/>
      <c r="X126" s="242" t="s">
        <v>240</v>
      </c>
      <c r="Y126" s="131" t="s">
        <v>277</v>
      </c>
      <c r="Z126" s="132" t="s">
        <v>1319</v>
      </c>
      <c r="AA126" s="133" t="s">
        <v>1320</v>
      </c>
      <c r="AB126" s="134" t="s">
        <v>1194</v>
      </c>
      <c r="AC126" s="241">
        <f>172+3</f>
        <v>175</v>
      </c>
      <c r="AD126" s="136">
        <v>1.74</v>
      </c>
      <c r="AE126" s="229">
        <f t="shared" si="4"/>
        <v>304.5</v>
      </c>
      <c r="AF126" s="227">
        <v>2</v>
      </c>
      <c r="AG126" s="374"/>
      <c r="AR126" s="129" t="s">
        <v>76</v>
      </c>
      <c r="AT126" s="129" t="s">
        <v>277</v>
      </c>
      <c r="AU126" s="129" t="s">
        <v>63</v>
      </c>
      <c r="AY126" s="13" t="s">
        <v>228</v>
      </c>
      <c r="BE126" s="130">
        <f t="shared" si="5"/>
        <v>299.27999999999997</v>
      </c>
      <c r="BF126" s="130">
        <f t="shared" si="6"/>
        <v>0</v>
      </c>
      <c r="BG126" s="130">
        <f t="shared" si="7"/>
        <v>0</v>
      </c>
      <c r="BH126" s="130">
        <f t="shared" si="8"/>
        <v>0</v>
      </c>
      <c r="BI126" s="130">
        <f t="shared" si="9"/>
        <v>0</v>
      </c>
      <c r="BJ126" s="13" t="s">
        <v>63</v>
      </c>
      <c r="BK126" s="130">
        <f t="shared" si="10"/>
        <v>299.27999999999997</v>
      </c>
      <c r="BL126" s="13" t="s">
        <v>63</v>
      </c>
      <c r="BM126" s="129" t="s">
        <v>1321</v>
      </c>
    </row>
    <row r="127" spans="2:65" s="1" customFormat="1" ht="24" customHeight="1" x14ac:dyDescent="0.2">
      <c r="B127" s="118"/>
      <c r="C127" s="285" t="s">
        <v>252</v>
      </c>
      <c r="D127" s="119" t="s">
        <v>231</v>
      </c>
      <c r="E127" s="120" t="s">
        <v>1322</v>
      </c>
      <c r="F127" s="121" t="s">
        <v>1323</v>
      </c>
      <c r="G127" s="122" t="s">
        <v>1194</v>
      </c>
      <c r="H127" s="288">
        <v>36</v>
      </c>
      <c r="I127" s="124">
        <v>3.12</v>
      </c>
      <c r="J127" s="124">
        <f t="shared" si="0"/>
        <v>112.32</v>
      </c>
      <c r="K127" s="121" t="s">
        <v>1</v>
      </c>
      <c r="L127" s="24"/>
      <c r="M127" s="125" t="s">
        <v>1</v>
      </c>
      <c r="N127" s="126" t="s">
        <v>31</v>
      </c>
      <c r="O127" s="127">
        <v>0</v>
      </c>
      <c r="P127" s="127">
        <f t="shared" si="1"/>
        <v>0</v>
      </c>
      <c r="Q127" s="127">
        <v>0</v>
      </c>
      <c r="R127" s="127">
        <f t="shared" si="2"/>
        <v>0</v>
      </c>
      <c r="S127" s="127">
        <v>0</v>
      </c>
      <c r="T127" s="128">
        <f t="shared" si="3"/>
        <v>0</v>
      </c>
      <c r="W127" s="199"/>
      <c r="X127" s="285" t="s">
        <v>252</v>
      </c>
      <c r="Y127" s="119" t="s">
        <v>231</v>
      </c>
      <c r="Z127" s="120" t="s">
        <v>1322</v>
      </c>
      <c r="AA127" s="121" t="s">
        <v>1323</v>
      </c>
      <c r="AB127" s="122" t="s">
        <v>1194</v>
      </c>
      <c r="AC127" s="288">
        <v>36</v>
      </c>
      <c r="AD127" s="124">
        <v>3.12</v>
      </c>
      <c r="AE127" s="200">
        <f t="shared" si="4"/>
        <v>112.32</v>
      </c>
      <c r="AF127" s="227"/>
      <c r="AG127" s="374"/>
      <c r="AR127" s="129" t="s">
        <v>63</v>
      </c>
      <c r="AT127" s="129" t="s">
        <v>231</v>
      </c>
      <c r="AU127" s="129" t="s">
        <v>63</v>
      </c>
      <c r="AY127" s="13" t="s">
        <v>228</v>
      </c>
      <c r="BE127" s="130">
        <f t="shared" si="5"/>
        <v>112.32</v>
      </c>
      <c r="BF127" s="130">
        <f t="shared" si="6"/>
        <v>0</v>
      </c>
      <c r="BG127" s="130">
        <f t="shared" si="7"/>
        <v>0</v>
      </c>
      <c r="BH127" s="130">
        <f t="shared" si="8"/>
        <v>0</v>
      </c>
      <c r="BI127" s="130">
        <f t="shared" si="9"/>
        <v>0</v>
      </c>
      <c r="BJ127" s="13" t="s">
        <v>63</v>
      </c>
      <c r="BK127" s="130">
        <f t="shared" si="10"/>
        <v>112.32</v>
      </c>
      <c r="BL127" s="13" t="s">
        <v>63</v>
      </c>
      <c r="BM127" s="129" t="s">
        <v>1324</v>
      </c>
    </row>
    <row r="128" spans="2:65" s="1" customFormat="1" ht="16.5" customHeight="1" x14ac:dyDescent="0.2">
      <c r="B128" s="118"/>
      <c r="C128" s="444" t="s">
        <v>244</v>
      </c>
      <c r="D128" s="131" t="s">
        <v>277</v>
      </c>
      <c r="E128" s="132" t="s">
        <v>1325</v>
      </c>
      <c r="F128" s="133" t="s">
        <v>1326</v>
      </c>
      <c r="G128" s="134" t="s">
        <v>1194</v>
      </c>
      <c r="H128" s="443">
        <v>36</v>
      </c>
      <c r="I128" s="136">
        <v>2.6</v>
      </c>
      <c r="J128" s="136">
        <f t="shared" si="0"/>
        <v>93.6</v>
      </c>
      <c r="K128" s="133" t="s">
        <v>1</v>
      </c>
      <c r="L128" s="137"/>
      <c r="M128" s="138" t="s">
        <v>1</v>
      </c>
      <c r="N128" s="139" t="s">
        <v>31</v>
      </c>
      <c r="O128" s="127">
        <v>0</v>
      </c>
      <c r="P128" s="127">
        <f t="shared" si="1"/>
        <v>0</v>
      </c>
      <c r="Q128" s="127">
        <v>2.7E-4</v>
      </c>
      <c r="R128" s="127">
        <f t="shared" si="2"/>
        <v>9.7199999999999995E-3</v>
      </c>
      <c r="S128" s="127">
        <v>0</v>
      </c>
      <c r="T128" s="128">
        <f t="shared" si="3"/>
        <v>0</v>
      </c>
      <c r="W128" s="199"/>
      <c r="X128" s="444" t="s">
        <v>244</v>
      </c>
      <c r="Y128" s="131" t="s">
        <v>277</v>
      </c>
      <c r="Z128" s="132" t="s">
        <v>1325</v>
      </c>
      <c r="AA128" s="133" t="s">
        <v>1326</v>
      </c>
      <c r="AB128" s="134" t="s">
        <v>1194</v>
      </c>
      <c r="AC128" s="443">
        <v>36</v>
      </c>
      <c r="AD128" s="136">
        <v>2.6</v>
      </c>
      <c r="AE128" s="229">
        <f t="shared" si="4"/>
        <v>93.6</v>
      </c>
      <c r="AF128" s="227"/>
      <c r="AG128" s="374"/>
      <c r="AR128" s="129" t="s">
        <v>76</v>
      </c>
      <c r="AT128" s="129" t="s">
        <v>277</v>
      </c>
      <c r="AU128" s="129" t="s">
        <v>63</v>
      </c>
      <c r="AY128" s="13" t="s">
        <v>228</v>
      </c>
      <c r="BE128" s="130">
        <f t="shared" si="5"/>
        <v>93.6</v>
      </c>
      <c r="BF128" s="130">
        <f t="shared" si="6"/>
        <v>0</v>
      </c>
      <c r="BG128" s="130">
        <f t="shared" si="7"/>
        <v>0</v>
      </c>
      <c r="BH128" s="130">
        <f t="shared" si="8"/>
        <v>0</v>
      </c>
      <c r="BI128" s="130">
        <f t="shared" si="9"/>
        <v>0</v>
      </c>
      <c r="BJ128" s="13" t="s">
        <v>63</v>
      </c>
      <c r="BK128" s="130">
        <f t="shared" si="10"/>
        <v>93.6</v>
      </c>
      <c r="BL128" s="13" t="s">
        <v>63</v>
      </c>
      <c r="BM128" s="129" t="s">
        <v>1327</v>
      </c>
    </row>
    <row r="129" spans="2:65" s="1" customFormat="1" ht="24" customHeight="1" x14ac:dyDescent="0.2">
      <c r="B129" s="118"/>
      <c r="C129" s="205" t="s">
        <v>259</v>
      </c>
      <c r="D129" s="119" t="s">
        <v>231</v>
      </c>
      <c r="E129" s="120" t="s">
        <v>1328</v>
      </c>
      <c r="F129" s="121" t="s">
        <v>1329</v>
      </c>
      <c r="G129" s="122" t="s">
        <v>1194</v>
      </c>
      <c r="H129" s="206">
        <v>635</v>
      </c>
      <c r="I129" s="124">
        <v>0.87</v>
      </c>
      <c r="J129" s="124">
        <f t="shared" si="0"/>
        <v>552.45000000000005</v>
      </c>
      <c r="K129" s="121" t="s">
        <v>1</v>
      </c>
      <c r="L129" s="24"/>
      <c r="M129" s="125" t="s">
        <v>1</v>
      </c>
      <c r="N129" s="126" t="s">
        <v>31</v>
      </c>
      <c r="O129" s="127">
        <v>0</v>
      </c>
      <c r="P129" s="127">
        <f t="shared" si="1"/>
        <v>0</v>
      </c>
      <c r="Q129" s="127">
        <v>0</v>
      </c>
      <c r="R129" s="127">
        <f t="shared" si="2"/>
        <v>0</v>
      </c>
      <c r="S129" s="127">
        <v>0</v>
      </c>
      <c r="T129" s="128">
        <f t="shared" si="3"/>
        <v>0</v>
      </c>
      <c r="W129" s="199"/>
      <c r="X129" s="205" t="s">
        <v>259</v>
      </c>
      <c r="Y129" s="119" t="s">
        <v>231</v>
      </c>
      <c r="Z129" s="120" t="s">
        <v>1328</v>
      </c>
      <c r="AA129" s="121" t="s">
        <v>1329</v>
      </c>
      <c r="AB129" s="122" t="s">
        <v>1194</v>
      </c>
      <c r="AC129" s="206">
        <f>635+115</f>
        <v>750</v>
      </c>
      <c r="AD129" s="124">
        <v>0.87</v>
      </c>
      <c r="AE129" s="200">
        <f t="shared" si="4"/>
        <v>652.5</v>
      </c>
      <c r="AF129" s="227">
        <v>2</v>
      </c>
      <c r="AG129" s="374"/>
      <c r="AR129" s="129" t="s">
        <v>63</v>
      </c>
      <c r="AT129" s="129" t="s">
        <v>231</v>
      </c>
      <c r="AU129" s="129" t="s">
        <v>63</v>
      </c>
      <c r="AY129" s="13" t="s">
        <v>228</v>
      </c>
      <c r="BE129" s="130">
        <f t="shared" si="5"/>
        <v>552.45000000000005</v>
      </c>
      <c r="BF129" s="130">
        <f t="shared" si="6"/>
        <v>0</v>
      </c>
      <c r="BG129" s="130">
        <f t="shared" si="7"/>
        <v>0</v>
      </c>
      <c r="BH129" s="130">
        <f t="shared" si="8"/>
        <v>0</v>
      </c>
      <c r="BI129" s="130">
        <f t="shared" si="9"/>
        <v>0</v>
      </c>
      <c r="BJ129" s="13" t="s">
        <v>63</v>
      </c>
      <c r="BK129" s="130">
        <f t="shared" si="10"/>
        <v>552.45000000000005</v>
      </c>
      <c r="BL129" s="13" t="s">
        <v>63</v>
      </c>
      <c r="BM129" s="129" t="s">
        <v>1330</v>
      </c>
    </row>
    <row r="130" spans="2:65" s="1" customFormat="1" ht="24" customHeight="1" x14ac:dyDescent="0.2">
      <c r="B130" s="118"/>
      <c r="C130" s="119" t="s">
        <v>248</v>
      </c>
      <c r="D130" s="119" t="s">
        <v>231</v>
      </c>
      <c r="E130" s="120" t="s">
        <v>1331</v>
      </c>
      <c r="F130" s="121" t="s">
        <v>1332</v>
      </c>
      <c r="G130" s="122" t="s">
        <v>1194</v>
      </c>
      <c r="H130" s="123">
        <v>20</v>
      </c>
      <c r="I130" s="124">
        <v>1.24</v>
      </c>
      <c r="J130" s="124">
        <f t="shared" si="0"/>
        <v>24.8</v>
      </c>
      <c r="K130" s="121" t="s">
        <v>1</v>
      </c>
      <c r="L130" s="24"/>
      <c r="M130" s="125" t="s">
        <v>1</v>
      </c>
      <c r="N130" s="126" t="s">
        <v>31</v>
      </c>
      <c r="O130" s="127">
        <v>0</v>
      </c>
      <c r="P130" s="127">
        <f t="shared" si="1"/>
        <v>0</v>
      </c>
      <c r="Q130" s="127">
        <v>0</v>
      </c>
      <c r="R130" s="127">
        <f t="shared" si="2"/>
        <v>0</v>
      </c>
      <c r="S130" s="127">
        <v>0</v>
      </c>
      <c r="T130" s="128">
        <f t="shared" si="3"/>
        <v>0</v>
      </c>
      <c r="W130" s="199"/>
      <c r="X130" s="119" t="s">
        <v>248</v>
      </c>
      <c r="Y130" s="119" t="s">
        <v>231</v>
      </c>
      <c r="Z130" s="120" t="s">
        <v>1331</v>
      </c>
      <c r="AA130" s="121" t="s">
        <v>1332</v>
      </c>
      <c r="AB130" s="122" t="s">
        <v>1194</v>
      </c>
      <c r="AC130" s="123">
        <v>20</v>
      </c>
      <c r="AD130" s="124">
        <v>1.24</v>
      </c>
      <c r="AE130" s="200">
        <f t="shared" si="4"/>
        <v>24.8</v>
      </c>
      <c r="AF130" s="227"/>
      <c r="AG130" s="374"/>
      <c r="AR130" s="129" t="s">
        <v>63</v>
      </c>
      <c r="AT130" s="129" t="s">
        <v>231</v>
      </c>
      <c r="AU130" s="129" t="s">
        <v>63</v>
      </c>
      <c r="AY130" s="13" t="s">
        <v>228</v>
      </c>
      <c r="BE130" s="130">
        <f t="shared" si="5"/>
        <v>24.8</v>
      </c>
      <c r="BF130" s="130">
        <f t="shared" si="6"/>
        <v>0</v>
      </c>
      <c r="BG130" s="130">
        <f t="shared" si="7"/>
        <v>0</v>
      </c>
      <c r="BH130" s="130">
        <f t="shared" si="8"/>
        <v>0</v>
      </c>
      <c r="BI130" s="130">
        <f t="shared" si="9"/>
        <v>0</v>
      </c>
      <c r="BJ130" s="13" t="s">
        <v>63</v>
      </c>
      <c r="BK130" s="130">
        <f t="shared" si="10"/>
        <v>24.8</v>
      </c>
      <c r="BL130" s="13" t="s">
        <v>63</v>
      </c>
      <c r="BM130" s="129" t="s">
        <v>1333</v>
      </c>
    </row>
    <row r="131" spans="2:65" s="1" customFormat="1" ht="24" customHeight="1" x14ac:dyDescent="0.2">
      <c r="B131" s="118"/>
      <c r="C131" s="205" t="s">
        <v>265</v>
      </c>
      <c r="D131" s="119" t="s">
        <v>231</v>
      </c>
      <c r="E131" s="120" t="s">
        <v>1334</v>
      </c>
      <c r="F131" s="121" t="s">
        <v>1335</v>
      </c>
      <c r="G131" s="122" t="s">
        <v>1194</v>
      </c>
      <c r="H131" s="206">
        <v>10</v>
      </c>
      <c r="I131" s="124">
        <v>2.71</v>
      </c>
      <c r="J131" s="124">
        <f t="shared" si="0"/>
        <v>27.1</v>
      </c>
      <c r="K131" s="121" t="s">
        <v>1</v>
      </c>
      <c r="L131" s="24"/>
      <c r="M131" s="125" t="s">
        <v>1</v>
      </c>
      <c r="N131" s="126" t="s">
        <v>31</v>
      </c>
      <c r="O131" s="127">
        <v>0</v>
      </c>
      <c r="P131" s="127">
        <f t="shared" si="1"/>
        <v>0</v>
      </c>
      <c r="Q131" s="127">
        <v>0</v>
      </c>
      <c r="R131" s="127">
        <f t="shared" si="2"/>
        <v>0</v>
      </c>
      <c r="S131" s="127">
        <v>0</v>
      </c>
      <c r="T131" s="128">
        <f t="shared" si="3"/>
        <v>0</v>
      </c>
      <c r="W131" s="199"/>
      <c r="X131" s="205" t="s">
        <v>265</v>
      </c>
      <c r="Y131" s="119" t="s">
        <v>231</v>
      </c>
      <c r="Z131" s="120" t="s">
        <v>1334</v>
      </c>
      <c r="AA131" s="121" t="s">
        <v>1335</v>
      </c>
      <c r="AB131" s="122" t="s">
        <v>1194</v>
      </c>
      <c r="AC131" s="206">
        <f>10+10</f>
        <v>20</v>
      </c>
      <c r="AD131" s="124">
        <v>2.71</v>
      </c>
      <c r="AE131" s="200">
        <f t="shared" si="4"/>
        <v>54.2</v>
      </c>
      <c r="AF131" s="227">
        <v>2</v>
      </c>
      <c r="AG131" s="374"/>
      <c r="AR131" s="129" t="s">
        <v>63</v>
      </c>
      <c r="AT131" s="129" t="s">
        <v>231</v>
      </c>
      <c r="AU131" s="129" t="s">
        <v>63</v>
      </c>
      <c r="AY131" s="13" t="s">
        <v>228</v>
      </c>
      <c r="BE131" s="130">
        <f t="shared" si="5"/>
        <v>27.1</v>
      </c>
      <c r="BF131" s="130">
        <f t="shared" si="6"/>
        <v>0</v>
      </c>
      <c r="BG131" s="130">
        <f t="shared" si="7"/>
        <v>0</v>
      </c>
      <c r="BH131" s="130">
        <f t="shared" si="8"/>
        <v>0</v>
      </c>
      <c r="BI131" s="130">
        <f t="shared" si="9"/>
        <v>0</v>
      </c>
      <c r="BJ131" s="13" t="s">
        <v>63</v>
      </c>
      <c r="BK131" s="130">
        <f t="shared" si="10"/>
        <v>27.1</v>
      </c>
      <c r="BL131" s="13" t="s">
        <v>63</v>
      </c>
      <c r="BM131" s="129" t="s">
        <v>1336</v>
      </c>
    </row>
    <row r="132" spans="2:65" s="1" customFormat="1" ht="24" customHeight="1" x14ac:dyDescent="0.2">
      <c r="B132" s="118"/>
      <c r="C132" s="205" t="s">
        <v>251</v>
      </c>
      <c r="D132" s="119" t="s">
        <v>231</v>
      </c>
      <c r="E132" s="120" t="s">
        <v>1337</v>
      </c>
      <c r="F132" s="121" t="s">
        <v>1338</v>
      </c>
      <c r="G132" s="122" t="s">
        <v>1194</v>
      </c>
      <c r="H132" s="206">
        <v>20</v>
      </c>
      <c r="I132" s="124">
        <v>3.52</v>
      </c>
      <c r="J132" s="124">
        <f t="shared" si="0"/>
        <v>70.400000000000006</v>
      </c>
      <c r="K132" s="121" t="s">
        <v>1</v>
      </c>
      <c r="L132" s="24"/>
      <c r="M132" s="125" t="s">
        <v>1</v>
      </c>
      <c r="N132" s="126" t="s">
        <v>31</v>
      </c>
      <c r="O132" s="127">
        <v>0</v>
      </c>
      <c r="P132" s="127">
        <f t="shared" si="1"/>
        <v>0</v>
      </c>
      <c r="Q132" s="127">
        <v>0</v>
      </c>
      <c r="R132" s="127">
        <f t="shared" si="2"/>
        <v>0</v>
      </c>
      <c r="S132" s="127">
        <v>0</v>
      </c>
      <c r="T132" s="128">
        <f t="shared" si="3"/>
        <v>0</v>
      </c>
      <c r="W132" s="199"/>
      <c r="X132" s="205" t="s">
        <v>251</v>
      </c>
      <c r="Y132" s="119" t="s">
        <v>231</v>
      </c>
      <c r="Z132" s="120" t="s">
        <v>1337</v>
      </c>
      <c r="AA132" s="121" t="s">
        <v>1338</v>
      </c>
      <c r="AB132" s="122" t="s">
        <v>1194</v>
      </c>
      <c r="AC132" s="206">
        <f>20+22</f>
        <v>42</v>
      </c>
      <c r="AD132" s="124">
        <v>3.52</v>
      </c>
      <c r="AE132" s="200">
        <f t="shared" si="4"/>
        <v>147.84</v>
      </c>
      <c r="AF132" s="227">
        <v>2</v>
      </c>
      <c r="AG132" s="374"/>
      <c r="AR132" s="129" t="s">
        <v>63</v>
      </c>
      <c r="AT132" s="129" t="s">
        <v>231</v>
      </c>
      <c r="AU132" s="129" t="s">
        <v>63</v>
      </c>
      <c r="AY132" s="13" t="s">
        <v>228</v>
      </c>
      <c r="BE132" s="130">
        <f t="shared" si="5"/>
        <v>70.400000000000006</v>
      </c>
      <c r="BF132" s="130">
        <f t="shared" si="6"/>
        <v>0</v>
      </c>
      <c r="BG132" s="130">
        <f t="shared" si="7"/>
        <v>0</v>
      </c>
      <c r="BH132" s="130">
        <f t="shared" si="8"/>
        <v>0</v>
      </c>
      <c r="BI132" s="130">
        <f t="shared" si="9"/>
        <v>0</v>
      </c>
      <c r="BJ132" s="13" t="s">
        <v>63</v>
      </c>
      <c r="BK132" s="130">
        <f t="shared" si="10"/>
        <v>70.400000000000006</v>
      </c>
      <c r="BL132" s="13" t="s">
        <v>63</v>
      </c>
      <c r="BM132" s="129" t="s">
        <v>1339</v>
      </c>
    </row>
    <row r="133" spans="2:65" s="1" customFormat="1" ht="24" customHeight="1" x14ac:dyDescent="0.2">
      <c r="B133" s="118"/>
      <c r="C133" s="205" t="s">
        <v>273</v>
      </c>
      <c r="D133" s="119" t="s">
        <v>231</v>
      </c>
      <c r="E133" s="120" t="s">
        <v>1340</v>
      </c>
      <c r="F133" s="121" t="s">
        <v>1341</v>
      </c>
      <c r="G133" s="122" t="s">
        <v>1194</v>
      </c>
      <c r="H133" s="206">
        <v>2</v>
      </c>
      <c r="I133" s="124">
        <v>3.99</v>
      </c>
      <c r="J133" s="124">
        <f t="shared" si="0"/>
        <v>7.98</v>
      </c>
      <c r="K133" s="121" t="s">
        <v>1</v>
      </c>
      <c r="L133" s="24"/>
      <c r="M133" s="125" t="s">
        <v>1</v>
      </c>
      <c r="N133" s="126" t="s">
        <v>31</v>
      </c>
      <c r="O133" s="127">
        <v>0</v>
      </c>
      <c r="P133" s="127">
        <f t="shared" si="1"/>
        <v>0</v>
      </c>
      <c r="Q133" s="127">
        <v>0</v>
      </c>
      <c r="R133" s="127">
        <f t="shared" si="2"/>
        <v>0</v>
      </c>
      <c r="S133" s="127">
        <v>0</v>
      </c>
      <c r="T133" s="128">
        <f t="shared" si="3"/>
        <v>0</v>
      </c>
      <c r="W133" s="199"/>
      <c r="X133" s="205" t="s">
        <v>273</v>
      </c>
      <c r="Y133" s="119" t="s">
        <v>231</v>
      </c>
      <c r="Z133" s="120" t="s">
        <v>1340</v>
      </c>
      <c r="AA133" s="121" t="s">
        <v>1341</v>
      </c>
      <c r="AB133" s="122" t="s">
        <v>1194</v>
      </c>
      <c r="AC133" s="206">
        <f>2+18</f>
        <v>20</v>
      </c>
      <c r="AD133" s="124">
        <v>3.99</v>
      </c>
      <c r="AE133" s="200">
        <f t="shared" si="4"/>
        <v>79.8</v>
      </c>
      <c r="AF133" s="227">
        <v>2</v>
      </c>
      <c r="AG133" s="374"/>
      <c r="AR133" s="129" t="s">
        <v>63</v>
      </c>
      <c r="AT133" s="129" t="s">
        <v>231</v>
      </c>
      <c r="AU133" s="129" t="s">
        <v>63</v>
      </c>
      <c r="AY133" s="13" t="s">
        <v>228</v>
      </c>
      <c r="BE133" s="130">
        <f t="shared" si="5"/>
        <v>7.98</v>
      </c>
      <c r="BF133" s="130">
        <f t="shared" si="6"/>
        <v>0</v>
      </c>
      <c r="BG133" s="130">
        <f t="shared" si="7"/>
        <v>0</v>
      </c>
      <c r="BH133" s="130">
        <f t="shared" si="8"/>
        <v>0</v>
      </c>
      <c r="BI133" s="130">
        <f t="shared" si="9"/>
        <v>0</v>
      </c>
      <c r="BJ133" s="13" t="s">
        <v>63</v>
      </c>
      <c r="BK133" s="130">
        <f t="shared" si="10"/>
        <v>7.98</v>
      </c>
      <c r="BL133" s="13" t="s">
        <v>63</v>
      </c>
      <c r="BM133" s="129" t="s">
        <v>1342</v>
      </c>
    </row>
    <row r="134" spans="2:65" s="1" customFormat="1" ht="16.5" customHeight="1" x14ac:dyDescent="0.2">
      <c r="B134" s="118"/>
      <c r="C134" s="242" t="s">
        <v>255</v>
      </c>
      <c r="D134" s="131" t="s">
        <v>277</v>
      </c>
      <c r="E134" s="132" t="s">
        <v>1343</v>
      </c>
      <c r="F134" s="133" t="s">
        <v>1344</v>
      </c>
      <c r="G134" s="134" t="s">
        <v>1194</v>
      </c>
      <c r="H134" s="241">
        <v>2</v>
      </c>
      <c r="I134" s="136">
        <v>1.34</v>
      </c>
      <c r="J134" s="136">
        <f t="shared" si="0"/>
        <v>2.68</v>
      </c>
      <c r="K134" s="133" t="s">
        <v>1</v>
      </c>
      <c r="L134" s="137"/>
      <c r="M134" s="138" t="s">
        <v>1</v>
      </c>
      <c r="N134" s="139" t="s">
        <v>31</v>
      </c>
      <c r="O134" s="127">
        <v>0</v>
      </c>
      <c r="P134" s="127">
        <f t="shared" si="1"/>
        <v>0</v>
      </c>
      <c r="Q134" s="127">
        <v>6.0000000000000002E-5</v>
      </c>
      <c r="R134" s="127">
        <f t="shared" si="2"/>
        <v>1.2E-4</v>
      </c>
      <c r="S134" s="127">
        <v>0</v>
      </c>
      <c r="T134" s="128">
        <f t="shared" si="3"/>
        <v>0</v>
      </c>
      <c r="W134" s="199"/>
      <c r="X134" s="242" t="s">
        <v>255</v>
      </c>
      <c r="Y134" s="131" t="s">
        <v>277</v>
      </c>
      <c r="Z134" s="132" t="s">
        <v>1343</v>
      </c>
      <c r="AA134" s="133" t="s">
        <v>1344</v>
      </c>
      <c r="AB134" s="134" t="s">
        <v>1194</v>
      </c>
      <c r="AC134" s="241">
        <f>2+18</f>
        <v>20</v>
      </c>
      <c r="AD134" s="136">
        <v>1.34</v>
      </c>
      <c r="AE134" s="229">
        <f t="shared" si="4"/>
        <v>26.8</v>
      </c>
      <c r="AF134" s="227">
        <v>2</v>
      </c>
      <c r="AG134" s="374"/>
      <c r="AR134" s="129" t="s">
        <v>76</v>
      </c>
      <c r="AT134" s="129" t="s">
        <v>277</v>
      </c>
      <c r="AU134" s="129" t="s">
        <v>63</v>
      </c>
      <c r="AY134" s="13" t="s">
        <v>228</v>
      </c>
      <c r="BE134" s="130">
        <f t="shared" si="5"/>
        <v>2.68</v>
      </c>
      <c r="BF134" s="130">
        <f t="shared" si="6"/>
        <v>0</v>
      </c>
      <c r="BG134" s="130">
        <f t="shared" si="7"/>
        <v>0</v>
      </c>
      <c r="BH134" s="130">
        <f t="shared" si="8"/>
        <v>0</v>
      </c>
      <c r="BI134" s="130">
        <f t="shared" si="9"/>
        <v>0</v>
      </c>
      <c r="BJ134" s="13" t="s">
        <v>63</v>
      </c>
      <c r="BK134" s="130">
        <f t="shared" si="10"/>
        <v>2.68</v>
      </c>
      <c r="BL134" s="13" t="s">
        <v>63</v>
      </c>
      <c r="BM134" s="129" t="s">
        <v>1345</v>
      </c>
    </row>
    <row r="135" spans="2:65" s="1" customFormat="1" ht="24" customHeight="1" x14ac:dyDescent="0.2">
      <c r="B135" s="118"/>
      <c r="C135" s="119" t="s">
        <v>281</v>
      </c>
      <c r="D135" s="119" t="s">
        <v>231</v>
      </c>
      <c r="E135" s="120" t="s">
        <v>1346</v>
      </c>
      <c r="F135" s="121" t="s">
        <v>1347</v>
      </c>
      <c r="G135" s="122" t="s">
        <v>1194</v>
      </c>
      <c r="H135" s="123">
        <v>36</v>
      </c>
      <c r="I135" s="124">
        <v>4.32</v>
      </c>
      <c r="J135" s="124">
        <f t="shared" si="0"/>
        <v>155.52000000000001</v>
      </c>
      <c r="K135" s="121" t="s">
        <v>1</v>
      </c>
      <c r="L135" s="24"/>
      <c r="M135" s="125" t="s">
        <v>1</v>
      </c>
      <c r="N135" s="126" t="s">
        <v>31</v>
      </c>
      <c r="O135" s="127">
        <v>0</v>
      </c>
      <c r="P135" s="127">
        <f t="shared" si="1"/>
        <v>0</v>
      </c>
      <c r="Q135" s="127">
        <v>0</v>
      </c>
      <c r="R135" s="127">
        <f t="shared" si="2"/>
        <v>0</v>
      </c>
      <c r="S135" s="127">
        <v>0</v>
      </c>
      <c r="T135" s="128">
        <f t="shared" si="3"/>
        <v>0</v>
      </c>
      <c r="W135" s="199"/>
      <c r="X135" s="119" t="s">
        <v>281</v>
      </c>
      <c r="Y135" s="119" t="s">
        <v>231</v>
      </c>
      <c r="Z135" s="120" t="s">
        <v>1346</v>
      </c>
      <c r="AA135" s="121" t="s">
        <v>1347</v>
      </c>
      <c r="AB135" s="122" t="s">
        <v>1194</v>
      </c>
      <c r="AC135" s="123">
        <v>36</v>
      </c>
      <c r="AD135" s="124">
        <v>4.32</v>
      </c>
      <c r="AE135" s="200">
        <f t="shared" si="4"/>
        <v>155.52000000000001</v>
      </c>
      <c r="AF135" s="227"/>
      <c r="AG135" s="374"/>
      <c r="AR135" s="129" t="s">
        <v>63</v>
      </c>
      <c r="AT135" s="129" t="s">
        <v>231</v>
      </c>
      <c r="AU135" s="129" t="s">
        <v>63</v>
      </c>
      <c r="AY135" s="13" t="s">
        <v>228</v>
      </c>
      <c r="BE135" s="130">
        <f t="shared" si="5"/>
        <v>155.52000000000001</v>
      </c>
      <c r="BF135" s="130">
        <f t="shared" si="6"/>
        <v>0</v>
      </c>
      <c r="BG135" s="130">
        <f t="shared" si="7"/>
        <v>0</v>
      </c>
      <c r="BH135" s="130">
        <f t="shared" si="8"/>
        <v>0</v>
      </c>
      <c r="BI135" s="130">
        <f t="shared" si="9"/>
        <v>0</v>
      </c>
      <c r="BJ135" s="13" t="s">
        <v>63</v>
      </c>
      <c r="BK135" s="130">
        <f t="shared" si="10"/>
        <v>155.52000000000001</v>
      </c>
      <c r="BL135" s="13" t="s">
        <v>63</v>
      </c>
      <c r="BM135" s="129" t="s">
        <v>1348</v>
      </c>
    </row>
    <row r="136" spans="2:65" s="1" customFormat="1" ht="24" customHeight="1" x14ac:dyDescent="0.2">
      <c r="B136" s="118"/>
      <c r="C136" s="205" t="s">
        <v>258</v>
      </c>
      <c r="D136" s="119" t="s">
        <v>231</v>
      </c>
      <c r="E136" s="120" t="s">
        <v>1349</v>
      </c>
      <c r="F136" s="121" t="s">
        <v>1350</v>
      </c>
      <c r="G136" s="122" t="s">
        <v>1194</v>
      </c>
      <c r="H136" s="206">
        <v>6</v>
      </c>
      <c r="I136" s="124">
        <v>5.1100000000000003</v>
      </c>
      <c r="J136" s="124">
        <f t="shared" si="0"/>
        <v>30.66</v>
      </c>
      <c r="K136" s="121" t="s">
        <v>1</v>
      </c>
      <c r="L136" s="24"/>
      <c r="M136" s="125" t="s">
        <v>1</v>
      </c>
      <c r="N136" s="126" t="s">
        <v>31</v>
      </c>
      <c r="O136" s="127">
        <v>0</v>
      </c>
      <c r="P136" s="127">
        <f t="shared" si="1"/>
        <v>0</v>
      </c>
      <c r="Q136" s="127">
        <v>0</v>
      </c>
      <c r="R136" s="127">
        <f t="shared" si="2"/>
        <v>0</v>
      </c>
      <c r="S136" s="127">
        <v>0</v>
      </c>
      <c r="T136" s="128">
        <f t="shared" si="3"/>
        <v>0</v>
      </c>
      <c r="W136" s="199"/>
      <c r="X136" s="205" t="s">
        <v>258</v>
      </c>
      <c r="Y136" s="119" t="s">
        <v>231</v>
      </c>
      <c r="Z136" s="120" t="s">
        <v>1349</v>
      </c>
      <c r="AA136" s="121" t="s">
        <v>1350</v>
      </c>
      <c r="AB136" s="122" t="s">
        <v>1194</v>
      </c>
      <c r="AC136" s="206">
        <f>6+4</f>
        <v>10</v>
      </c>
      <c r="AD136" s="124">
        <v>5.1100000000000003</v>
      </c>
      <c r="AE136" s="200">
        <f t="shared" si="4"/>
        <v>51.1</v>
      </c>
      <c r="AF136" s="227">
        <v>2</v>
      </c>
      <c r="AG136" s="374"/>
      <c r="AR136" s="129" t="s">
        <v>63</v>
      </c>
      <c r="AT136" s="129" t="s">
        <v>231</v>
      </c>
      <c r="AU136" s="129" t="s">
        <v>63</v>
      </c>
      <c r="AY136" s="13" t="s">
        <v>228</v>
      </c>
      <c r="BE136" s="130">
        <f t="shared" si="5"/>
        <v>30.66</v>
      </c>
      <c r="BF136" s="130">
        <f t="shared" si="6"/>
        <v>0</v>
      </c>
      <c r="BG136" s="130">
        <f t="shared" si="7"/>
        <v>0</v>
      </c>
      <c r="BH136" s="130">
        <f t="shared" si="8"/>
        <v>0</v>
      </c>
      <c r="BI136" s="130">
        <f t="shared" si="9"/>
        <v>0</v>
      </c>
      <c r="BJ136" s="13" t="s">
        <v>63</v>
      </c>
      <c r="BK136" s="130">
        <f t="shared" si="10"/>
        <v>30.66</v>
      </c>
      <c r="BL136" s="13" t="s">
        <v>63</v>
      </c>
      <c r="BM136" s="129" t="s">
        <v>1351</v>
      </c>
    </row>
    <row r="137" spans="2:65" s="1" customFormat="1" ht="16.5" customHeight="1" x14ac:dyDescent="0.2">
      <c r="B137" s="118"/>
      <c r="C137" s="242" t="s">
        <v>289</v>
      </c>
      <c r="D137" s="131" t="s">
        <v>277</v>
      </c>
      <c r="E137" s="132" t="s">
        <v>1352</v>
      </c>
      <c r="F137" s="133" t="s">
        <v>1353</v>
      </c>
      <c r="G137" s="134" t="s">
        <v>1194</v>
      </c>
      <c r="H137" s="241">
        <v>6</v>
      </c>
      <c r="I137" s="136">
        <v>2.74</v>
      </c>
      <c r="J137" s="136">
        <f t="shared" si="0"/>
        <v>16.440000000000001</v>
      </c>
      <c r="K137" s="133" t="s">
        <v>1</v>
      </c>
      <c r="L137" s="137"/>
      <c r="M137" s="138" t="s">
        <v>1</v>
      </c>
      <c r="N137" s="139" t="s">
        <v>31</v>
      </c>
      <c r="O137" s="127">
        <v>0</v>
      </c>
      <c r="P137" s="127">
        <f t="shared" si="1"/>
        <v>0</v>
      </c>
      <c r="Q137" s="127">
        <v>1.1E-4</v>
      </c>
      <c r="R137" s="127">
        <f t="shared" si="2"/>
        <v>6.6E-4</v>
      </c>
      <c r="S137" s="127">
        <v>0</v>
      </c>
      <c r="T137" s="128">
        <f t="shared" si="3"/>
        <v>0</v>
      </c>
      <c r="W137" s="199"/>
      <c r="X137" s="242" t="s">
        <v>289</v>
      </c>
      <c r="Y137" s="131" t="s">
        <v>277</v>
      </c>
      <c r="Z137" s="132" t="s">
        <v>1352</v>
      </c>
      <c r="AA137" s="133" t="s">
        <v>1353</v>
      </c>
      <c r="AB137" s="134" t="s">
        <v>1194</v>
      </c>
      <c r="AC137" s="241">
        <f>6+4</f>
        <v>10</v>
      </c>
      <c r="AD137" s="136">
        <v>2.74</v>
      </c>
      <c r="AE137" s="229">
        <f t="shared" si="4"/>
        <v>27.4</v>
      </c>
      <c r="AF137" s="227">
        <v>2</v>
      </c>
      <c r="AG137" s="374"/>
      <c r="AR137" s="129" t="s">
        <v>76</v>
      </c>
      <c r="AT137" s="129" t="s">
        <v>277</v>
      </c>
      <c r="AU137" s="129" t="s">
        <v>63</v>
      </c>
      <c r="AY137" s="13" t="s">
        <v>228</v>
      </c>
      <c r="BE137" s="130">
        <f t="shared" si="5"/>
        <v>16.440000000000001</v>
      </c>
      <c r="BF137" s="130">
        <f t="shared" si="6"/>
        <v>0</v>
      </c>
      <c r="BG137" s="130">
        <f t="shared" si="7"/>
        <v>0</v>
      </c>
      <c r="BH137" s="130">
        <f t="shared" si="8"/>
        <v>0</v>
      </c>
      <c r="BI137" s="130">
        <f t="shared" si="9"/>
        <v>0</v>
      </c>
      <c r="BJ137" s="13" t="s">
        <v>63</v>
      </c>
      <c r="BK137" s="130">
        <f t="shared" si="10"/>
        <v>16.440000000000001</v>
      </c>
      <c r="BL137" s="13" t="s">
        <v>63</v>
      </c>
      <c r="BM137" s="129" t="s">
        <v>1354</v>
      </c>
    </row>
    <row r="138" spans="2:65" s="1" customFormat="1" ht="24" customHeight="1" x14ac:dyDescent="0.2">
      <c r="B138" s="118"/>
      <c r="C138" s="285" t="s">
        <v>262</v>
      </c>
      <c r="D138" s="119" t="s">
        <v>231</v>
      </c>
      <c r="E138" s="120" t="s">
        <v>1349</v>
      </c>
      <c r="F138" s="121" t="s">
        <v>1350</v>
      </c>
      <c r="G138" s="122" t="s">
        <v>1194</v>
      </c>
      <c r="H138" s="288">
        <v>8</v>
      </c>
      <c r="I138" s="124">
        <v>5.1100000000000003</v>
      </c>
      <c r="J138" s="124">
        <f t="shared" si="0"/>
        <v>40.880000000000003</v>
      </c>
      <c r="K138" s="121" t="s">
        <v>1</v>
      </c>
      <c r="L138" s="24"/>
      <c r="M138" s="125" t="s">
        <v>1</v>
      </c>
      <c r="N138" s="126" t="s">
        <v>31</v>
      </c>
      <c r="O138" s="127">
        <v>0</v>
      </c>
      <c r="P138" s="127">
        <f t="shared" si="1"/>
        <v>0</v>
      </c>
      <c r="Q138" s="127">
        <v>0</v>
      </c>
      <c r="R138" s="127">
        <f t="shared" si="2"/>
        <v>0</v>
      </c>
      <c r="S138" s="127">
        <v>0</v>
      </c>
      <c r="T138" s="128">
        <f t="shared" si="3"/>
        <v>0</v>
      </c>
      <c r="W138" s="199"/>
      <c r="X138" s="285" t="s">
        <v>262</v>
      </c>
      <c r="Y138" s="119" t="s">
        <v>231</v>
      </c>
      <c r="Z138" s="120" t="s">
        <v>1349</v>
      </c>
      <c r="AA138" s="121" t="s">
        <v>1350</v>
      </c>
      <c r="AB138" s="122" t="s">
        <v>1194</v>
      </c>
      <c r="AC138" s="288">
        <v>8</v>
      </c>
      <c r="AD138" s="124">
        <v>5.1100000000000003</v>
      </c>
      <c r="AE138" s="200">
        <f t="shared" si="4"/>
        <v>40.880000000000003</v>
      </c>
      <c r="AF138" s="227"/>
      <c r="AG138" s="374"/>
      <c r="AR138" s="129" t="s">
        <v>63</v>
      </c>
      <c r="AT138" s="129" t="s">
        <v>231</v>
      </c>
      <c r="AU138" s="129" t="s">
        <v>63</v>
      </c>
      <c r="AY138" s="13" t="s">
        <v>228</v>
      </c>
      <c r="BE138" s="130">
        <f t="shared" si="5"/>
        <v>40.880000000000003</v>
      </c>
      <c r="BF138" s="130">
        <f t="shared" si="6"/>
        <v>0</v>
      </c>
      <c r="BG138" s="130">
        <f t="shared" si="7"/>
        <v>0</v>
      </c>
      <c r="BH138" s="130">
        <f t="shared" si="8"/>
        <v>0</v>
      </c>
      <c r="BI138" s="130">
        <f t="shared" si="9"/>
        <v>0</v>
      </c>
      <c r="BJ138" s="13" t="s">
        <v>63</v>
      </c>
      <c r="BK138" s="130">
        <f t="shared" si="10"/>
        <v>40.880000000000003</v>
      </c>
      <c r="BL138" s="13" t="s">
        <v>63</v>
      </c>
      <c r="BM138" s="129" t="s">
        <v>1355</v>
      </c>
    </row>
    <row r="139" spans="2:65" s="1" customFormat="1" ht="16.5" customHeight="1" x14ac:dyDescent="0.2">
      <c r="B139" s="118"/>
      <c r="C139" s="444" t="s">
        <v>297</v>
      </c>
      <c r="D139" s="131" t="s">
        <v>277</v>
      </c>
      <c r="E139" s="132" t="s">
        <v>1356</v>
      </c>
      <c r="F139" s="133" t="s">
        <v>1357</v>
      </c>
      <c r="G139" s="134" t="s">
        <v>1194</v>
      </c>
      <c r="H139" s="443">
        <v>8</v>
      </c>
      <c r="I139" s="136">
        <v>2.14</v>
      </c>
      <c r="J139" s="136">
        <f t="shared" si="0"/>
        <v>17.12</v>
      </c>
      <c r="K139" s="133" t="s">
        <v>1</v>
      </c>
      <c r="L139" s="137"/>
      <c r="M139" s="138" t="s">
        <v>1</v>
      </c>
      <c r="N139" s="139" t="s">
        <v>31</v>
      </c>
      <c r="O139" s="127">
        <v>0</v>
      </c>
      <c r="P139" s="127">
        <f t="shared" si="1"/>
        <v>0</v>
      </c>
      <c r="Q139" s="127">
        <v>1.1E-4</v>
      </c>
      <c r="R139" s="127">
        <f t="shared" si="2"/>
        <v>8.8000000000000003E-4</v>
      </c>
      <c r="S139" s="127">
        <v>0</v>
      </c>
      <c r="T139" s="128">
        <f t="shared" si="3"/>
        <v>0</v>
      </c>
      <c r="W139" s="199"/>
      <c r="X139" s="444" t="s">
        <v>297</v>
      </c>
      <c r="Y139" s="131" t="s">
        <v>277</v>
      </c>
      <c r="Z139" s="132" t="s">
        <v>1356</v>
      </c>
      <c r="AA139" s="133" t="s">
        <v>1357</v>
      </c>
      <c r="AB139" s="134" t="s">
        <v>1194</v>
      </c>
      <c r="AC139" s="443">
        <v>8</v>
      </c>
      <c r="AD139" s="136">
        <v>2.14</v>
      </c>
      <c r="AE139" s="229">
        <f t="shared" si="4"/>
        <v>17.12</v>
      </c>
      <c r="AF139" s="227"/>
      <c r="AG139" s="374"/>
      <c r="AR139" s="129" t="s">
        <v>76</v>
      </c>
      <c r="AT139" s="129" t="s">
        <v>277</v>
      </c>
      <c r="AU139" s="129" t="s">
        <v>63</v>
      </c>
      <c r="AY139" s="13" t="s">
        <v>228</v>
      </c>
      <c r="BE139" s="130">
        <f t="shared" si="5"/>
        <v>17.12</v>
      </c>
      <c r="BF139" s="130">
        <f t="shared" si="6"/>
        <v>0</v>
      </c>
      <c r="BG139" s="130">
        <f t="shared" si="7"/>
        <v>0</v>
      </c>
      <c r="BH139" s="130">
        <f t="shared" si="8"/>
        <v>0</v>
      </c>
      <c r="BI139" s="130">
        <f t="shared" si="9"/>
        <v>0</v>
      </c>
      <c r="BJ139" s="13" t="s">
        <v>63</v>
      </c>
      <c r="BK139" s="130">
        <f t="shared" si="10"/>
        <v>17.12</v>
      </c>
      <c r="BL139" s="13" t="s">
        <v>63</v>
      </c>
      <c r="BM139" s="129" t="s">
        <v>1358</v>
      </c>
    </row>
    <row r="140" spans="2:65" s="1" customFormat="1" ht="24" customHeight="1" x14ac:dyDescent="0.2">
      <c r="B140" s="118"/>
      <c r="C140" s="205" t="s">
        <v>7</v>
      </c>
      <c r="D140" s="119" t="s">
        <v>231</v>
      </c>
      <c r="E140" s="120" t="s">
        <v>1359</v>
      </c>
      <c r="F140" s="121" t="s">
        <v>1360</v>
      </c>
      <c r="G140" s="122" t="s">
        <v>1194</v>
      </c>
      <c r="H140" s="206">
        <v>9</v>
      </c>
      <c r="I140" s="124">
        <v>7.67</v>
      </c>
      <c r="J140" s="124">
        <f t="shared" si="0"/>
        <v>69.03</v>
      </c>
      <c r="K140" s="121" t="s">
        <v>1</v>
      </c>
      <c r="L140" s="24"/>
      <c r="M140" s="125" t="s">
        <v>1</v>
      </c>
      <c r="N140" s="126" t="s">
        <v>31</v>
      </c>
      <c r="O140" s="127">
        <v>0</v>
      </c>
      <c r="P140" s="127">
        <f t="shared" si="1"/>
        <v>0</v>
      </c>
      <c r="Q140" s="127">
        <v>0</v>
      </c>
      <c r="R140" s="127">
        <f t="shared" si="2"/>
        <v>0</v>
      </c>
      <c r="S140" s="127">
        <v>0</v>
      </c>
      <c r="T140" s="128">
        <f t="shared" si="3"/>
        <v>0</v>
      </c>
      <c r="W140" s="199"/>
      <c r="X140" s="205" t="s">
        <v>7</v>
      </c>
      <c r="Y140" s="119" t="s">
        <v>231</v>
      </c>
      <c r="Z140" s="120" t="s">
        <v>1359</v>
      </c>
      <c r="AA140" s="121" t="s">
        <v>1360</v>
      </c>
      <c r="AB140" s="122" t="s">
        <v>1194</v>
      </c>
      <c r="AC140" s="206">
        <f>9+31</f>
        <v>40</v>
      </c>
      <c r="AD140" s="124">
        <v>7.67</v>
      </c>
      <c r="AE140" s="200">
        <f t="shared" si="4"/>
        <v>306.8</v>
      </c>
      <c r="AF140" s="227">
        <v>2</v>
      </c>
      <c r="AG140" s="374"/>
      <c r="AR140" s="129" t="s">
        <v>63</v>
      </c>
      <c r="AT140" s="129" t="s">
        <v>231</v>
      </c>
      <c r="AU140" s="129" t="s">
        <v>63</v>
      </c>
      <c r="AY140" s="13" t="s">
        <v>228</v>
      </c>
      <c r="BE140" s="130">
        <f t="shared" si="5"/>
        <v>69.03</v>
      </c>
      <c r="BF140" s="130">
        <f t="shared" si="6"/>
        <v>0</v>
      </c>
      <c r="BG140" s="130">
        <f t="shared" si="7"/>
        <v>0</v>
      </c>
      <c r="BH140" s="130">
        <f t="shared" si="8"/>
        <v>0</v>
      </c>
      <c r="BI140" s="130">
        <f t="shared" si="9"/>
        <v>0</v>
      </c>
      <c r="BJ140" s="13" t="s">
        <v>63</v>
      </c>
      <c r="BK140" s="130">
        <f t="shared" si="10"/>
        <v>69.03</v>
      </c>
      <c r="BL140" s="13" t="s">
        <v>63</v>
      </c>
      <c r="BM140" s="129" t="s">
        <v>1361</v>
      </c>
    </row>
    <row r="141" spans="2:65" s="1" customFormat="1" ht="16.5" customHeight="1" x14ac:dyDescent="0.2">
      <c r="B141" s="118"/>
      <c r="C141" s="242" t="s">
        <v>305</v>
      </c>
      <c r="D141" s="131" t="s">
        <v>277</v>
      </c>
      <c r="E141" s="132" t="s">
        <v>1362</v>
      </c>
      <c r="F141" s="133" t="s">
        <v>1363</v>
      </c>
      <c r="G141" s="134" t="s">
        <v>1194</v>
      </c>
      <c r="H141" s="241">
        <v>9</v>
      </c>
      <c r="I141" s="136">
        <v>5.21</v>
      </c>
      <c r="J141" s="136">
        <f t="shared" si="0"/>
        <v>46.89</v>
      </c>
      <c r="K141" s="133" t="s">
        <v>1</v>
      </c>
      <c r="L141" s="137"/>
      <c r="M141" s="138" t="s">
        <v>1</v>
      </c>
      <c r="N141" s="139" t="s">
        <v>31</v>
      </c>
      <c r="O141" s="127">
        <v>0</v>
      </c>
      <c r="P141" s="127">
        <f t="shared" si="1"/>
        <v>0</v>
      </c>
      <c r="Q141" s="127">
        <v>2.7E-4</v>
      </c>
      <c r="R141" s="127">
        <f t="shared" si="2"/>
        <v>2.4299999999999999E-3</v>
      </c>
      <c r="S141" s="127">
        <v>0</v>
      </c>
      <c r="T141" s="128">
        <f t="shared" si="3"/>
        <v>0</v>
      </c>
      <c r="W141" s="199"/>
      <c r="X141" s="242" t="s">
        <v>305</v>
      </c>
      <c r="Y141" s="131" t="s">
        <v>277</v>
      </c>
      <c r="Z141" s="132" t="s">
        <v>1362</v>
      </c>
      <c r="AA141" s="133" t="s">
        <v>1363</v>
      </c>
      <c r="AB141" s="134" t="s">
        <v>1194</v>
      </c>
      <c r="AC141" s="241">
        <f>9+23</f>
        <v>32</v>
      </c>
      <c r="AD141" s="136">
        <v>5.21</v>
      </c>
      <c r="AE141" s="229">
        <f t="shared" si="4"/>
        <v>166.72</v>
      </c>
      <c r="AF141" s="227">
        <v>2</v>
      </c>
      <c r="AG141" s="374"/>
      <c r="AR141" s="129" t="s">
        <v>76</v>
      </c>
      <c r="AT141" s="129" t="s">
        <v>277</v>
      </c>
      <c r="AU141" s="129" t="s">
        <v>63</v>
      </c>
      <c r="AY141" s="13" t="s">
        <v>228</v>
      </c>
      <c r="BE141" s="130">
        <f t="shared" si="5"/>
        <v>46.89</v>
      </c>
      <c r="BF141" s="130">
        <f t="shared" si="6"/>
        <v>0</v>
      </c>
      <c r="BG141" s="130">
        <f t="shared" si="7"/>
        <v>0</v>
      </c>
      <c r="BH141" s="130">
        <f t="shared" si="8"/>
        <v>0</v>
      </c>
      <c r="BI141" s="130">
        <f t="shared" si="9"/>
        <v>0</v>
      </c>
      <c r="BJ141" s="13" t="s">
        <v>63</v>
      </c>
      <c r="BK141" s="130">
        <f t="shared" si="10"/>
        <v>46.89</v>
      </c>
      <c r="BL141" s="13" t="s">
        <v>63</v>
      </c>
      <c r="BM141" s="129" t="s">
        <v>1364</v>
      </c>
    </row>
    <row r="142" spans="2:65" s="1" customFormat="1" ht="24" customHeight="1" x14ac:dyDescent="0.2">
      <c r="B142" s="118"/>
      <c r="C142" s="119" t="s">
        <v>268</v>
      </c>
      <c r="D142" s="119" t="s">
        <v>231</v>
      </c>
      <c r="E142" s="120" t="s">
        <v>1365</v>
      </c>
      <c r="F142" s="121" t="s">
        <v>1366</v>
      </c>
      <c r="G142" s="122" t="s">
        <v>1194</v>
      </c>
      <c r="H142" s="123">
        <v>153</v>
      </c>
      <c r="I142" s="124">
        <v>4.74</v>
      </c>
      <c r="J142" s="124">
        <f t="shared" si="0"/>
        <v>725.22</v>
      </c>
      <c r="K142" s="121" t="s">
        <v>1</v>
      </c>
      <c r="L142" s="24"/>
      <c r="M142" s="125" t="s">
        <v>1</v>
      </c>
      <c r="N142" s="126" t="s">
        <v>31</v>
      </c>
      <c r="O142" s="127">
        <v>0</v>
      </c>
      <c r="P142" s="127">
        <f t="shared" si="1"/>
        <v>0</v>
      </c>
      <c r="Q142" s="127">
        <v>0</v>
      </c>
      <c r="R142" s="127">
        <f t="shared" si="2"/>
        <v>0</v>
      </c>
      <c r="S142" s="127">
        <v>0</v>
      </c>
      <c r="T142" s="128">
        <f t="shared" si="3"/>
        <v>0</v>
      </c>
      <c r="W142" s="199"/>
      <c r="X142" s="119" t="s">
        <v>268</v>
      </c>
      <c r="Y142" s="119" t="s">
        <v>231</v>
      </c>
      <c r="Z142" s="120" t="s">
        <v>1365</v>
      </c>
      <c r="AA142" s="121" t="s">
        <v>1366</v>
      </c>
      <c r="AB142" s="122" t="s">
        <v>1194</v>
      </c>
      <c r="AC142" s="123">
        <v>153</v>
      </c>
      <c r="AD142" s="124">
        <v>4.74</v>
      </c>
      <c r="AE142" s="200">
        <f t="shared" si="4"/>
        <v>725.22</v>
      </c>
      <c r="AF142" s="227"/>
      <c r="AG142" s="374"/>
      <c r="AR142" s="129" t="s">
        <v>63</v>
      </c>
      <c r="AT142" s="129" t="s">
        <v>231</v>
      </c>
      <c r="AU142" s="129" t="s">
        <v>63</v>
      </c>
      <c r="AY142" s="13" t="s">
        <v>228</v>
      </c>
      <c r="BE142" s="130">
        <f t="shared" si="5"/>
        <v>725.22</v>
      </c>
      <c r="BF142" s="130">
        <f t="shared" si="6"/>
        <v>0</v>
      </c>
      <c r="BG142" s="130">
        <f t="shared" si="7"/>
        <v>0</v>
      </c>
      <c r="BH142" s="130">
        <f t="shared" si="8"/>
        <v>0</v>
      </c>
      <c r="BI142" s="130">
        <f t="shared" si="9"/>
        <v>0</v>
      </c>
      <c r="BJ142" s="13" t="s">
        <v>63</v>
      </c>
      <c r="BK142" s="130">
        <f t="shared" si="10"/>
        <v>725.22</v>
      </c>
      <c r="BL142" s="13" t="s">
        <v>63</v>
      </c>
      <c r="BM142" s="129" t="s">
        <v>1367</v>
      </c>
    </row>
    <row r="143" spans="2:65" s="1" customFormat="1" ht="24" customHeight="1" x14ac:dyDescent="0.2">
      <c r="B143" s="118"/>
      <c r="C143" s="119" t="s">
        <v>313</v>
      </c>
      <c r="D143" s="119" t="s">
        <v>231</v>
      </c>
      <c r="E143" s="120" t="s">
        <v>1368</v>
      </c>
      <c r="F143" s="121" t="s">
        <v>1369</v>
      </c>
      <c r="G143" s="122" t="s">
        <v>1194</v>
      </c>
      <c r="H143" s="123">
        <v>4</v>
      </c>
      <c r="I143" s="124">
        <v>15.67</v>
      </c>
      <c r="J143" s="124">
        <f t="shared" si="0"/>
        <v>62.68</v>
      </c>
      <c r="K143" s="121" t="s">
        <v>1</v>
      </c>
      <c r="L143" s="24"/>
      <c r="M143" s="125" t="s">
        <v>1</v>
      </c>
      <c r="N143" s="126" t="s">
        <v>31</v>
      </c>
      <c r="O143" s="127">
        <v>0</v>
      </c>
      <c r="P143" s="127">
        <f t="shared" si="1"/>
        <v>0</v>
      </c>
      <c r="Q143" s="127">
        <v>0</v>
      </c>
      <c r="R143" s="127">
        <f t="shared" si="2"/>
        <v>0</v>
      </c>
      <c r="S143" s="127">
        <v>0</v>
      </c>
      <c r="T143" s="128">
        <f t="shared" si="3"/>
        <v>0</v>
      </c>
      <c r="W143" s="199"/>
      <c r="X143" s="119" t="s">
        <v>313</v>
      </c>
      <c r="Y143" s="119" t="s">
        <v>231</v>
      </c>
      <c r="Z143" s="120" t="s">
        <v>1368</v>
      </c>
      <c r="AA143" s="121" t="s">
        <v>1369</v>
      </c>
      <c r="AB143" s="122" t="s">
        <v>1194</v>
      </c>
      <c r="AC143" s="123">
        <v>4</v>
      </c>
      <c r="AD143" s="124">
        <v>15.67</v>
      </c>
      <c r="AE143" s="200">
        <f t="shared" si="4"/>
        <v>62.68</v>
      </c>
      <c r="AF143" s="227"/>
      <c r="AG143" s="374"/>
      <c r="AR143" s="129" t="s">
        <v>63</v>
      </c>
      <c r="AT143" s="129" t="s">
        <v>231</v>
      </c>
      <c r="AU143" s="129" t="s">
        <v>63</v>
      </c>
      <c r="AY143" s="13" t="s">
        <v>228</v>
      </c>
      <c r="BE143" s="130">
        <f t="shared" si="5"/>
        <v>62.68</v>
      </c>
      <c r="BF143" s="130">
        <f t="shared" si="6"/>
        <v>0</v>
      </c>
      <c r="BG143" s="130">
        <f t="shared" si="7"/>
        <v>0</v>
      </c>
      <c r="BH143" s="130">
        <f t="shared" si="8"/>
        <v>0</v>
      </c>
      <c r="BI143" s="130">
        <f t="shared" si="9"/>
        <v>0</v>
      </c>
      <c r="BJ143" s="13" t="s">
        <v>63</v>
      </c>
      <c r="BK143" s="130">
        <f t="shared" si="10"/>
        <v>62.68</v>
      </c>
      <c r="BL143" s="13" t="s">
        <v>63</v>
      </c>
      <c r="BM143" s="129" t="s">
        <v>1370</v>
      </c>
    </row>
    <row r="144" spans="2:65" s="1" customFormat="1" ht="24" customHeight="1" x14ac:dyDescent="0.2">
      <c r="B144" s="118"/>
      <c r="C144" s="119" t="s">
        <v>272</v>
      </c>
      <c r="D144" s="119" t="s">
        <v>231</v>
      </c>
      <c r="E144" s="120" t="s">
        <v>1371</v>
      </c>
      <c r="F144" s="121" t="s">
        <v>1372</v>
      </c>
      <c r="G144" s="122" t="s">
        <v>1194</v>
      </c>
      <c r="H144" s="123">
        <v>6</v>
      </c>
      <c r="I144" s="124">
        <v>20.47</v>
      </c>
      <c r="J144" s="124">
        <f t="shared" si="0"/>
        <v>122.82</v>
      </c>
      <c r="K144" s="121" t="s">
        <v>1</v>
      </c>
      <c r="L144" s="24"/>
      <c r="M144" s="125" t="s">
        <v>1</v>
      </c>
      <c r="N144" s="126" t="s">
        <v>31</v>
      </c>
      <c r="O144" s="127">
        <v>0</v>
      </c>
      <c r="P144" s="127">
        <f t="shared" si="1"/>
        <v>0</v>
      </c>
      <c r="Q144" s="127">
        <v>0</v>
      </c>
      <c r="R144" s="127">
        <f t="shared" si="2"/>
        <v>0</v>
      </c>
      <c r="S144" s="127">
        <v>0</v>
      </c>
      <c r="T144" s="128">
        <f t="shared" si="3"/>
        <v>0</v>
      </c>
      <c r="W144" s="199"/>
      <c r="X144" s="119" t="s">
        <v>272</v>
      </c>
      <c r="Y144" s="119" t="s">
        <v>231</v>
      </c>
      <c r="Z144" s="120" t="s">
        <v>1371</v>
      </c>
      <c r="AA144" s="121" t="s">
        <v>1372</v>
      </c>
      <c r="AB144" s="122" t="s">
        <v>1194</v>
      </c>
      <c r="AC144" s="123">
        <v>6</v>
      </c>
      <c r="AD144" s="124">
        <v>20.47</v>
      </c>
      <c r="AE144" s="200">
        <f t="shared" si="4"/>
        <v>122.82</v>
      </c>
      <c r="AF144" s="227"/>
      <c r="AG144" s="374"/>
      <c r="AR144" s="129" t="s">
        <v>63</v>
      </c>
      <c r="AT144" s="129" t="s">
        <v>231</v>
      </c>
      <c r="AU144" s="129" t="s">
        <v>63</v>
      </c>
      <c r="AY144" s="13" t="s">
        <v>228</v>
      </c>
      <c r="BE144" s="130">
        <f t="shared" si="5"/>
        <v>122.82</v>
      </c>
      <c r="BF144" s="130">
        <f t="shared" si="6"/>
        <v>0</v>
      </c>
      <c r="BG144" s="130">
        <f t="shared" si="7"/>
        <v>0</v>
      </c>
      <c r="BH144" s="130">
        <f t="shared" si="8"/>
        <v>0</v>
      </c>
      <c r="BI144" s="130">
        <f t="shared" si="9"/>
        <v>0</v>
      </c>
      <c r="BJ144" s="13" t="s">
        <v>63</v>
      </c>
      <c r="BK144" s="130">
        <f t="shared" si="10"/>
        <v>122.82</v>
      </c>
      <c r="BL144" s="13" t="s">
        <v>63</v>
      </c>
      <c r="BM144" s="129" t="s">
        <v>1373</v>
      </c>
    </row>
    <row r="145" spans="2:65" s="1" customFormat="1" ht="24" customHeight="1" x14ac:dyDescent="0.2">
      <c r="B145" s="118"/>
      <c r="C145" s="205" t="s">
        <v>320</v>
      </c>
      <c r="D145" s="119" t="s">
        <v>231</v>
      </c>
      <c r="E145" s="120" t="s">
        <v>1374</v>
      </c>
      <c r="F145" s="121" t="s">
        <v>1375</v>
      </c>
      <c r="G145" s="122" t="s">
        <v>1194</v>
      </c>
      <c r="H145" s="206">
        <v>3</v>
      </c>
      <c r="I145" s="124">
        <v>29.11</v>
      </c>
      <c r="J145" s="124">
        <f t="shared" si="0"/>
        <v>87.33</v>
      </c>
      <c r="K145" s="121" t="s">
        <v>1</v>
      </c>
      <c r="L145" s="24"/>
      <c r="M145" s="125" t="s">
        <v>1</v>
      </c>
      <c r="N145" s="126" t="s">
        <v>31</v>
      </c>
      <c r="O145" s="127">
        <v>0</v>
      </c>
      <c r="P145" s="127">
        <f t="shared" si="1"/>
        <v>0</v>
      </c>
      <c r="Q145" s="127">
        <v>0</v>
      </c>
      <c r="R145" s="127">
        <f t="shared" si="2"/>
        <v>0</v>
      </c>
      <c r="S145" s="127">
        <v>0</v>
      </c>
      <c r="T145" s="128">
        <f t="shared" si="3"/>
        <v>0</v>
      </c>
      <c r="W145" s="199"/>
      <c r="X145" s="205" t="s">
        <v>320</v>
      </c>
      <c r="Y145" s="119" t="s">
        <v>231</v>
      </c>
      <c r="Z145" s="120" t="s">
        <v>1374</v>
      </c>
      <c r="AA145" s="121" t="s">
        <v>1375</v>
      </c>
      <c r="AB145" s="122" t="s">
        <v>1194</v>
      </c>
      <c r="AC145" s="206">
        <f>3+9</f>
        <v>12</v>
      </c>
      <c r="AD145" s="124">
        <v>29.11</v>
      </c>
      <c r="AE145" s="200">
        <f t="shared" si="4"/>
        <v>349.32</v>
      </c>
      <c r="AF145" s="227">
        <v>2</v>
      </c>
      <c r="AG145" s="374"/>
      <c r="AR145" s="129" t="s">
        <v>63</v>
      </c>
      <c r="AT145" s="129" t="s">
        <v>231</v>
      </c>
      <c r="AU145" s="129" t="s">
        <v>63</v>
      </c>
      <c r="AY145" s="13" t="s">
        <v>228</v>
      </c>
      <c r="BE145" s="130">
        <f t="shared" si="5"/>
        <v>87.33</v>
      </c>
      <c r="BF145" s="130">
        <f t="shared" si="6"/>
        <v>0</v>
      </c>
      <c r="BG145" s="130">
        <f t="shared" si="7"/>
        <v>0</v>
      </c>
      <c r="BH145" s="130">
        <f t="shared" si="8"/>
        <v>0</v>
      </c>
      <c r="BI145" s="130">
        <f t="shared" si="9"/>
        <v>0</v>
      </c>
      <c r="BJ145" s="13" t="s">
        <v>63</v>
      </c>
      <c r="BK145" s="130">
        <f t="shared" si="10"/>
        <v>87.33</v>
      </c>
      <c r="BL145" s="13" t="s">
        <v>63</v>
      </c>
      <c r="BM145" s="129" t="s">
        <v>1376</v>
      </c>
    </row>
    <row r="146" spans="2:65" s="1" customFormat="1" ht="24" customHeight="1" x14ac:dyDescent="0.2">
      <c r="B146" s="118"/>
      <c r="C146" s="119" t="s">
        <v>276</v>
      </c>
      <c r="D146" s="119" t="s">
        <v>231</v>
      </c>
      <c r="E146" s="120" t="s">
        <v>1377</v>
      </c>
      <c r="F146" s="121" t="s">
        <v>1378</v>
      </c>
      <c r="G146" s="122" t="s">
        <v>1194</v>
      </c>
      <c r="H146" s="123">
        <v>60</v>
      </c>
      <c r="I146" s="124">
        <v>4.63</v>
      </c>
      <c r="J146" s="124">
        <f t="shared" si="0"/>
        <v>277.8</v>
      </c>
      <c r="K146" s="121" t="s">
        <v>1</v>
      </c>
      <c r="L146" s="24"/>
      <c r="M146" s="125" t="s">
        <v>1</v>
      </c>
      <c r="N146" s="126" t="s">
        <v>31</v>
      </c>
      <c r="O146" s="127">
        <v>0</v>
      </c>
      <c r="P146" s="127">
        <f t="shared" si="1"/>
        <v>0</v>
      </c>
      <c r="Q146" s="127">
        <v>0</v>
      </c>
      <c r="R146" s="127">
        <f t="shared" si="2"/>
        <v>0</v>
      </c>
      <c r="S146" s="127">
        <v>0</v>
      </c>
      <c r="T146" s="128">
        <f t="shared" si="3"/>
        <v>0</v>
      </c>
      <c r="W146" s="199"/>
      <c r="X146" s="119" t="s">
        <v>276</v>
      </c>
      <c r="Y146" s="119" t="s">
        <v>231</v>
      </c>
      <c r="Z146" s="120" t="s">
        <v>1377</v>
      </c>
      <c r="AA146" s="121" t="s">
        <v>1378</v>
      </c>
      <c r="AB146" s="122" t="s">
        <v>1194</v>
      </c>
      <c r="AC146" s="123">
        <v>60</v>
      </c>
      <c r="AD146" s="124">
        <v>4.63</v>
      </c>
      <c r="AE146" s="200">
        <f t="shared" si="4"/>
        <v>277.8</v>
      </c>
      <c r="AF146" s="227"/>
      <c r="AG146" s="374"/>
      <c r="AR146" s="129" t="s">
        <v>63</v>
      </c>
      <c r="AT146" s="129" t="s">
        <v>231</v>
      </c>
      <c r="AU146" s="129" t="s">
        <v>63</v>
      </c>
      <c r="AY146" s="13" t="s">
        <v>228</v>
      </c>
      <c r="BE146" s="130">
        <f t="shared" si="5"/>
        <v>277.8</v>
      </c>
      <c r="BF146" s="130">
        <f t="shared" si="6"/>
        <v>0</v>
      </c>
      <c r="BG146" s="130">
        <f t="shared" si="7"/>
        <v>0</v>
      </c>
      <c r="BH146" s="130">
        <f t="shared" si="8"/>
        <v>0</v>
      </c>
      <c r="BI146" s="130">
        <f t="shared" si="9"/>
        <v>0</v>
      </c>
      <c r="BJ146" s="13" t="s">
        <v>63</v>
      </c>
      <c r="BK146" s="130">
        <f t="shared" si="10"/>
        <v>277.8</v>
      </c>
      <c r="BL146" s="13" t="s">
        <v>63</v>
      </c>
      <c r="BM146" s="129" t="s">
        <v>1379</v>
      </c>
    </row>
    <row r="147" spans="2:65" s="1" customFormat="1" ht="16.5" customHeight="1" x14ac:dyDescent="0.2">
      <c r="B147" s="118"/>
      <c r="C147" s="131" t="s">
        <v>327</v>
      </c>
      <c r="D147" s="131" t="s">
        <v>277</v>
      </c>
      <c r="E147" s="132" t="s">
        <v>1380</v>
      </c>
      <c r="F147" s="133" t="s">
        <v>1381</v>
      </c>
      <c r="G147" s="134" t="s">
        <v>1194</v>
      </c>
      <c r="H147" s="135">
        <v>60</v>
      </c>
      <c r="I147" s="136">
        <v>11.03</v>
      </c>
      <c r="J147" s="136">
        <f t="shared" si="0"/>
        <v>661.8</v>
      </c>
      <c r="K147" s="133" t="s">
        <v>1</v>
      </c>
      <c r="L147" s="137"/>
      <c r="M147" s="138" t="s">
        <v>1</v>
      </c>
      <c r="N147" s="139" t="s">
        <v>31</v>
      </c>
      <c r="O147" s="127">
        <v>0</v>
      </c>
      <c r="P147" s="127">
        <f t="shared" si="1"/>
        <v>0</v>
      </c>
      <c r="Q147" s="127">
        <v>5.0000000000000002E-5</v>
      </c>
      <c r="R147" s="127">
        <f t="shared" si="2"/>
        <v>3.0000000000000001E-3</v>
      </c>
      <c r="S147" s="127">
        <v>0</v>
      </c>
      <c r="T147" s="128">
        <f t="shared" si="3"/>
        <v>0</v>
      </c>
      <c r="W147" s="199"/>
      <c r="X147" s="131" t="s">
        <v>327</v>
      </c>
      <c r="Y147" s="131" t="s">
        <v>277</v>
      </c>
      <c r="Z147" s="132" t="s">
        <v>1380</v>
      </c>
      <c r="AA147" s="133" t="s">
        <v>1381</v>
      </c>
      <c r="AB147" s="134" t="s">
        <v>1194</v>
      </c>
      <c r="AC147" s="135">
        <v>60</v>
      </c>
      <c r="AD147" s="136">
        <v>11.03</v>
      </c>
      <c r="AE147" s="229">
        <f t="shared" si="4"/>
        <v>661.8</v>
      </c>
      <c r="AF147" s="227"/>
      <c r="AG147" s="374"/>
      <c r="AR147" s="129" t="s">
        <v>76</v>
      </c>
      <c r="AT147" s="129" t="s">
        <v>277</v>
      </c>
      <c r="AU147" s="129" t="s">
        <v>63</v>
      </c>
      <c r="AY147" s="13" t="s">
        <v>228</v>
      </c>
      <c r="BE147" s="130">
        <f t="shared" si="5"/>
        <v>661.8</v>
      </c>
      <c r="BF147" s="130">
        <f t="shared" si="6"/>
        <v>0</v>
      </c>
      <c r="BG147" s="130">
        <f t="shared" si="7"/>
        <v>0</v>
      </c>
      <c r="BH147" s="130">
        <f t="shared" si="8"/>
        <v>0</v>
      </c>
      <c r="BI147" s="130">
        <f t="shared" si="9"/>
        <v>0</v>
      </c>
      <c r="BJ147" s="13" t="s">
        <v>63</v>
      </c>
      <c r="BK147" s="130">
        <f t="shared" si="10"/>
        <v>661.8</v>
      </c>
      <c r="BL147" s="13" t="s">
        <v>63</v>
      </c>
      <c r="BM147" s="129" t="s">
        <v>1382</v>
      </c>
    </row>
    <row r="148" spans="2:65" s="1" customFormat="1" ht="24" customHeight="1" x14ac:dyDescent="0.2">
      <c r="B148" s="118"/>
      <c r="C148" s="119" t="s">
        <v>280</v>
      </c>
      <c r="D148" s="119" t="s">
        <v>231</v>
      </c>
      <c r="E148" s="120" t="s">
        <v>1383</v>
      </c>
      <c r="F148" s="121" t="s">
        <v>1384</v>
      </c>
      <c r="G148" s="122" t="s">
        <v>1194</v>
      </c>
      <c r="H148" s="123">
        <v>37</v>
      </c>
      <c r="I148" s="124">
        <v>4.97</v>
      </c>
      <c r="J148" s="124">
        <f t="shared" si="0"/>
        <v>183.89</v>
      </c>
      <c r="K148" s="121" t="s">
        <v>1</v>
      </c>
      <c r="L148" s="24"/>
      <c r="M148" s="125" t="s">
        <v>1</v>
      </c>
      <c r="N148" s="126" t="s">
        <v>31</v>
      </c>
      <c r="O148" s="127">
        <v>0</v>
      </c>
      <c r="P148" s="127">
        <f t="shared" si="1"/>
        <v>0</v>
      </c>
      <c r="Q148" s="127">
        <v>0</v>
      </c>
      <c r="R148" s="127">
        <f t="shared" si="2"/>
        <v>0</v>
      </c>
      <c r="S148" s="127">
        <v>0</v>
      </c>
      <c r="T148" s="128">
        <f t="shared" si="3"/>
        <v>0</v>
      </c>
      <c r="W148" s="199"/>
      <c r="X148" s="119" t="s">
        <v>280</v>
      </c>
      <c r="Y148" s="119" t="s">
        <v>231</v>
      </c>
      <c r="Z148" s="120" t="s">
        <v>1383</v>
      </c>
      <c r="AA148" s="121" t="s">
        <v>1384</v>
      </c>
      <c r="AB148" s="122" t="s">
        <v>1194</v>
      </c>
      <c r="AC148" s="123">
        <v>37</v>
      </c>
      <c r="AD148" s="124">
        <v>4.97</v>
      </c>
      <c r="AE148" s="200">
        <f t="shared" si="4"/>
        <v>183.89</v>
      </c>
      <c r="AF148" s="227"/>
      <c r="AG148" s="374"/>
      <c r="AR148" s="129" t="s">
        <v>63</v>
      </c>
      <c r="AT148" s="129" t="s">
        <v>231</v>
      </c>
      <c r="AU148" s="129" t="s">
        <v>63</v>
      </c>
      <c r="AY148" s="13" t="s">
        <v>228</v>
      </c>
      <c r="BE148" s="130">
        <f t="shared" si="5"/>
        <v>183.89</v>
      </c>
      <c r="BF148" s="130">
        <f t="shared" si="6"/>
        <v>0</v>
      </c>
      <c r="BG148" s="130">
        <f t="shared" si="7"/>
        <v>0</v>
      </c>
      <c r="BH148" s="130">
        <f t="shared" si="8"/>
        <v>0</v>
      </c>
      <c r="BI148" s="130">
        <f t="shared" si="9"/>
        <v>0</v>
      </c>
      <c r="BJ148" s="13" t="s">
        <v>63</v>
      </c>
      <c r="BK148" s="130">
        <f t="shared" si="10"/>
        <v>183.89</v>
      </c>
      <c r="BL148" s="13" t="s">
        <v>63</v>
      </c>
      <c r="BM148" s="129" t="s">
        <v>1385</v>
      </c>
    </row>
    <row r="149" spans="2:65" s="1" customFormat="1" ht="16.5" customHeight="1" x14ac:dyDescent="0.2">
      <c r="B149" s="118"/>
      <c r="C149" s="131" t="s">
        <v>334</v>
      </c>
      <c r="D149" s="131" t="s">
        <v>277</v>
      </c>
      <c r="E149" s="132" t="s">
        <v>1386</v>
      </c>
      <c r="F149" s="133" t="s">
        <v>1387</v>
      </c>
      <c r="G149" s="134" t="s">
        <v>1194</v>
      </c>
      <c r="H149" s="135">
        <v>37</v>
      </c>
      <c r="I149" s="136">
        <v>14.05</v>
      </c>
      <c r="J149" s="136">
        <f t="shared" si="0"/>
        <v>519.85</v>
      </c>
      <c r="K149" s="133" t="s">
        <v>1</v>
      </c>
      <c r="L149" s="137"/>
      <c r="M149" s="138" t="s">
        <v>1</v>
      </c>
      <c r="N149" s="139" t="s">
        <v>31</v>
      </c>
      <c r="O149" s="127">
        <v>0</v>
      </c>
      <c r="P149" s="127">
        <f t="shared" si="1"/>
        <v>0</v>
      </c>
      <c r="Q149" s="127">
        <v>3.3E-4</v>
      </c>
      <c r="R149" s="127">
        <f t="shared" si="2"/>
        <v>1.221E-2</v>
      </c>
      <c r="S149" s="127">
        <v>0</v>
      </c>
      <c r="T149" s="128">
        <f t="shared" si="3"/>
        <v>0</v>
      </c>
      <c r="W149" s="199"/>
      <c r="X149" s="131" t="s">
        <v>334</v>
      </c>
      <c r="Y149" s="131" t="s">
        <v>277</v>
      </c>
      <c r="Z149" s="132" t="s">
        <v>1386</v>
      </c>
      <c r="AA149" s="133" t="s">
        <v>1387</v>
      </c>
      <c r="AB149" s="134" t="s">
        <v>1194</v>
      </c>
      <c r="AC149" s="135">
        <v>37</v>
      </c>
      <c r="AD149" s="136">
        <v>14.05</v>
      </c>
      <c r="AE149" s="229">
        <f t="shared" si="4"/>
        <v>519.85</v>
      </c>
      <c r="AF149" s="227"/>
      <c r="AG149" s="374"/>
      <c r="AR149" s="129" t="s">
        <v>76</v>
      </c>
      <c r="AT149" s="129" t="s">
        <v>277</v>
      </c>
      <c r="AU149" s="129" t="s">
        <v>63</v>
      </c>
      <c r="AY149" s="13" t="s">
        <v>228</v>
      </c>
      <c r="BE149" s="130">
        <f t="shared" si="5"/>
        <v>519.85</v>
      </c>
      <c r="BF149" s="130">
        <f t="shared" si="6"/>
        <v>0</v>
      </c>
      <c r="BG149" s="130">
        <f t="shared" si="7"/>
        <v>0</v>
      </c>
      <c r="BH149" s="130">
        <f t="shared" si="8"/>
        <v>0</v>
      </c>
      <c r="BI149" s="130">
        <f t="shared" si="9"/>
        <v>0</v>
      </c>
      <c r="BJ149" s="13" t="s">
        <v>63</v>
      </c>
      <c r="BK149" s="130">
        <f t="shared" si="10"/>
        <v>519.85</v>
      </c>
      <c r="BL149" s="13" t="s">
        <v>63</v>
      </c>
      <c r="BM149" s="129" t="s">
        <v>1388</v>
      </c>
    </row>
    <row r="150" spans="2:65" s="1" customFormat="1" ht="24" customHeight="1" x14ac:dyDescent="0.2">
      <c r="B150" s="118"/>
      <c r="C150" s="119" t="s">
        <v>285</v>
      </c>
      <c r="D150" s="119" t="s">
        <v>231</v>
      </c>
      <c r="E150" s="120" t="s">
        <v>1389</v>
      </c>
      <c r="F150" s="121" t="s">
        <v>1390</v>
      </c>
      <c r="G150" s="122" t="s">
        <v>1194</v>
      </c>
      <c r="H150" s="123">
        <v>12</v>
      </c>
      <c r="I150" s="124">
        <v>2.57</v>
      </c>
      <c r="J150" s="124">
        <f t="shared" si="0"/>
        <v>30.84</v>
      </c>
      <c r="K150" s="121" t="s">
        <v>1</v>
      </c>
      <c r="L150" s="24"/>
      <c r="M150" s="125" t="s">
        <v>1</v>
      </c>
      <c r="N150" s="126" t="s">
        <v>31</v>
      </c>
      <c r="O150" s="127">
        <v>0</v>
      </c>
      <c r="P150" s="127">
        <f t="shared" si="1"/>
        <v>0</v>
      </c>
      <c r="Q150" s="127">
        <v>0</v>
      </c>
      <c r="R150" s="127">
        <f t="shared" si="2"/>
        <v>0</v>
      </c>
      <c r="S150" s="127">
        <v>0</v>
      </c>
      <c r="T150" s="128">
        <f t="shared" si="3"/>
        <v>0</v>
      </c>
      <c r="W150" s="199"/>
      <c r="X150" s="119" t="s">
        <v>285</v>
      </c>
      <c r="Y150" s="119" t="s">
        <v>231</v>
      </c>
      <c r="Z150" s="120" t="s">
        <v>1389</v>
      </c>
      <c r="AA150" s="121" t="s">
        <v>1390</v>
      </c>
      <c r="AB150" s="122" t="s">
        <v>1194</v>
      </c>
      <c r="AC150" s="123">
        <v>12</v>
      </c>
      <c r="AD150" s="124">
        <v>2.57</v>
      </c>
      <c r="AE150" s="200">
        <f t="shared" si="4"/>
        <v>30.84</v>
      </c>
      <c r="AF150" s="227"/>
      <c r="AG150" s="374"/>
      <c r="AR150" s="129" t="s">
        <v>63</v>
      </c>
      <c r="AT150" s="129" t="s">
        <v>231</v>
      </c>
      <c r="AU150" s="129" t="s">
        <v>63</v>
      </c>
      <c r="AY150" s="13" t="s">
        <v>228</v>
      </c>
      <c r="BE150" s="130">
        <f t="shared" si="5"/>
        <v>30.84</v>
      </c>
      <c r="BF150" s="130">
        <f t="shared" si="6"/>
        <v>0</v>
      </c>
      <c r="BG150" s="130">
        <f t="shared" si="7"/>
        <v>0</v>
      </c>
      <c r="BH150" s="130">
        <f t="shared" si="8"/>
        <v>0</v>
      </c>
      <c r="BI150" s="130">
        <f t="shared" si="9"/>
        <v>0</v>
      </c>
      <c r="BJ150" s="13" t="s">
        <v>63</v>
      </c>
      <c r="BK150" s="130">
        <f t="shared" si="10"/>
        <v>30.84</v>
      </c>
      <c r="BL150" s="13" t="s">
        <v>63</v>
      </c>
      <c r="BM150" s="129" t="s">
        <v>1391</v>
      </c>
    </row>
    <row r="151" spans="2:65" s="1" customFormat="1" ht="16.5" customHeight="1" x14ac:dyDescent="0.2">
      <c r="B151" s="118"/>
      <c r="C151" s="131" t="s">
        <v>341</v>
      </c>
      <c r="D151" s="131" t="s">
        <v>277</v>
      </c>
      <c r="E151" s="132" t="s">
        <v>1392</v>
      </c>
      <c r="F151" s="133" t="s">
        <v>1393</v>
      </c>
      <c r="G151" s="134" t="s">
        <v>1194</v>
      </c>
      <c r="H151" s="135">
        <v>12</v>
      </c>
      <c r="I151" s="136">
        <v>15.7</v>
      </c>
      <c r="J151" s="136">
        <f t="shared" si="0"/>
        <v>188.4</v>
      </c>
      <c r="K151" s="133" t="s">
        <v>1</v>
      </c>
      <c r="L151" s="137"/>
      <c r="M151" s="138" t="s">
        <v>1</v>
      </c>
      <c r="N151" s="139" t="s">
        <v>31</v>
      </c>
      <c r="O151" s="127">
        <v>0</v>
      </c>
      <c r="P151" s="127">
        <f t="shared" si="1"/>
        <v>0</v>
      </c>
      <c r="Q151" s="127">
        <v>0</v>
      </c>
      <c r="R151" s="127">
        <f t="shared" si="2"/>
        <v>0</v>
      </c>
      <c r="S151" s="127">
        <v>0</v>
      </c>
      <c r="T151" s="128">
        <f t="shared" si="3"/>
        <v>0</v>
      </c>
      <c r="W151" s="199"/>
      <c r="X151" s="131" t="s">
        <v>341</v>
      </c>
      <c r="Y151" s="131" t="s">
        <v>277</v>
      </c>
      <c r="Z151" s="132" t="s">
        <v>1392</v>
      </c>
      <c r="AA151" s="133" t="s">
        <v>1393</v>
      </c>
      <c r="AB151" s="134" t="s">
        <v>1194</v>
      </c>
      <c r="AC151" s="135">
        <v>12</v>
      </c>
      <c r="AD151" s="136">
        <v>15.7</v>
      </c>
      <c r="AE151" s="229">
        <f t="shared" si="4"/>
        <v>188.4</v>
      </c>
      <c r="AF151" s="227"/>
      <c r="AG151" s="374"/>
      <c r="AR151" s="129" t="s">
        <v>76</v>
      </c>
      <c r="AT151" s="129" t="s">
        <v>277</v>
      </c>
      <c r="AU151" s="129" t="s">
        <v>63</v>
      </c>
      <c r="AY151" s="13" t="s">
        <v>228</v>
      </c>
      <c r="BE151" s="130">
        <f t="shared" si="5"/>
        <v>188.4</v>
      </c>
      <c r="BF151" s="130">
        <f t="shared" si="6"/>
        <v>0</v>
      </c>
      <c r="BG151" s="130">
        <f t="shared" si="7"/>
        <v>0</v>
      </c>
      <c r="BH151" s="130">
        <f t="shared" si="8"/>
        <v>0</v>
      </c>
      <c r="BI151" s="130">
        <f t="shared" si="9"/>
        <v>0</v>
      </c>
      <c r="BJ151" s="13" t="s">
        <v>63</v>
      </c>
      <c r="BK151" s="130">
        <f t="shared" si="10"/>
        <v>188.4</v>
      </c>
      <c r="BL151" s="13" t="s">
        <v>63</v>
      </c>
      <c r="BM151" s="129" t="s">
        <v>1394</v>
      </c>
    </row>
    <row r="152" spans="2:65" s="1" customFormat="1" ht="24" customHeight="1" x14ac:dyDescent="0.2">
      <c r="B152" s="118"/>
      <c r="C152" s="119" t="s">
        <v>288</v>
      </c>
      <c r="D152" s="119" t="s">
        <v>231</v>
      </c>
      <c r="E152" s="120" t="s">
        <v>1395</v>
      </c>
      <c r="F152" s="121" t="s">
        <v>1396</v>
      </c>
      <c r="G152" s="122" t="s">
        <v>1194</v>
      </c>
      <c r="H152" s="123">
        <v>3</v>
      </c>
      <c r="I152" s="124">
        <v>2.57</v>
      </c>
      <c r="J152" s="124">
        <f t="shared" si="0"/>
        <v>7.71</v>
      </c>
      <c r="K152" s="121" t="s">
        <v>1</v>
      </c>
      <c r="L152" s="24"/>
      <c r="M152" s="125" t="s">
        <v>1</v>
      </c>
      <c r="N152" s="126" t="s">
        <v>31</v>
      </c>
      <c r="O152" s="127">
        <v>0</v>
      </c>
      <c r="P152" s="127">
        <f t="shared" si="1"/>
        <v>0</v>
      </c>
      <c r="Q152" s="127">
        <v>0</v>
      </c>
      <c r="R152" s="127">
        <f t="shared" si="2"/>
        <v>0</v>
      </c>
      <c r="S152" s="127">
        <v>0</v>
      </c>
      <c r="T152" s="128">
        <f t="shared" si="3"/>
        <v>0</v>
      </c>
      <c r="W152" s="199"/>
      <c r="X152" s="119" t="s">
        <v>288</v>
      </c>
      <c r="Y152" s="119" t="s">
        <v>231</v>
      </c>
      <c r="Z152" s="120" t="s">
        <v>1395</v>
      </c>
      <c r="AA152" s="121" t="s">
        <v>1396</v>
      </c>
      <c r="AB152" s="122" t="s">
        <v>1194</v>
      </c>
      <c r="AC152" s="123">
        <v>3</v>
      </c>
      <c r="AD152" s="124">
        <v>2.57</v>
      </c>
      <c r="AE152" s="200">
        <f t="shared" si="4"/>
        <v>7.71</v>
      </c>
      <c r="AF152" s="227"/>
      <c r="AG152" s="374"/>
      <c r="AR152" s="129" t="s">
        <v>63</v>
      </c>
      <c r="AT152" s="129" t="s">
        <v>231</v>
      </c>
      <c r="AU152" s="129" t="s">
        <v>63</v>
      </c>
      <c r="AY152" s="13" t="s">
        <v>228</v>
      </c>
      <c r="BE152" s="130">
        <f t="shared" si="5"/>
        <v>7.71</v>
      </c>
      <c r="BF152" s="130">
        <f t="shared" si="6"/>
        <v>0</v>
      </c>
      <c r="BG152" s="130">
        <f t="shared" si="7"/>
        <v>0</v>
      </c>
      <c r="BH152" s="130">
        <f t="shared" si="8"/>
        <v>0</v>
      </c>
      <c r="BI152" s="130">
        <f t="shared" si="9"/>
        <v>0</v>
      </c>
      <c r="BJ152" s="13" t="s">
        <v>63</v>
      </c>
      <c r="BK152" s="130">
        <f t="shared" si="10"/>
        <v>7.71</v>
      </c>
      <c r="BL152" s="13" t="s">
        <v>63</v>
      </c>
      <c r="BM152" s="129" t="s">
        <v>1397</v>
      </c>
    </row>
    <row r="153" spans="2:65" s="1" customFormat="1" ht="16.5" customHeight="1" x14ac:dyDescent="0.2">
      <c r="B153" s="118"/>
      <c r="C153" s="131" t="s">
        <v>348</v>
      </c>
      <c r="D153" s="131" t="s">
        <v>277</v>
      </c>
      <c r="E153" s="132" t="s">
        <v>1398</v>
      </c>
      <c r="F153" s="133" t="s">
        <v>1399</v>
      </c>
      <c r="G153" s="134" t="s">
        <v>1194</v>
      </c>
      <c r="H153" s="135">
        <v>3</v>
      </c>
      <c r="I153" s="136">
        <v>13.03</v>
      </c>
      <c r="J153" s="136">
        <f t="shared" ref="J153:J188" si="11">ROUND(I153*H153,2)</f>
        <v>39.090000000000003</v>
      </c>
      <c r="K153" s="133" t="s">
        <v>1</v>
      </c>
      <c r="L153" s="137"/>
      <c r="M153" s="138" t="s">
        <v>1</v>
      </c>
      <c r="N153" s="139" t="s">
        <v>31</v>
      </c>
      <c r="O153" s="127">
        <v>0</v>
      </c>
      <c r="P153" s="127">
        <f t="shared" ref="P153:P188" si="12">O153*H153</f>
        <v>0</v>
      </c>
      <c r="Q153" s="127">
        <v>5.0000000000000002E-5</v>
      </c>
      <c r="R153" s="127">
        <f t="shared" ref="R153:R188" si="13">Q153*H153</f>
        <v>1.5000000000000001E-4</v>
      </c>
      <c r="S153" s="127">
        <v>0</v>
      </c>
      <c r="T153" s="128">
        <f t="shared" ref="T153:T188" si="14">S153*H153</f>
        <v>0</v>
      </c>
      <c r="W153" s="199"/>
      <c r="X153" s="131" t="s">
        <v>348</v>
      </c>
      <c r="Y153" s="131" t="s">
        <v>277</v>
      </c>
      <c r="Z153" s="132" t="s">
        <v>1398</v>
      </c>
      <c r="AA153" s="133" t="s">
        <v>1399</v>
      </c>
      <c r="AB153" s="134" t="s">
        <v>1194</v>
      </c>
      <c r="AC153" s="135">
        <v>3</v>
      </c>
      <c r="AD153" s="136">
        <v>13.03</v>
      </c>
      <c r="AE153" s="229">
        <f t="shared" si="4"/>
        <v>39.090000000000003</v>
      </c>
      <c r="AF153" s="227"/>
      <c r="AG153" s="374"/>
      <c r="AR153" s="129" t="s">
        <v>76</v>
      </c>
      <c r="AT153" s="129" t="s">
        <v>277</v>
      </c>
      <c r="AU153" s="129" t="s">
        <v>63</v>
      </c>
      <c r="AY153" s="13" t="s">
        <v>228</v>
      </c>
      <c r="BE153" s="130">
        <f t="shared" ref="BE153:BE188" si="15">IF(N153="základná",J153,0)</f>
        <v>39.090000000000003</v>
      </c>
      <c r="BF153" s="130">
        <f t="shared" ref="BF153:BF188" si="16">IF(N153="znížená",J153,0)</f>
        <v>0</v>
      </c>
      <c r="BG153" s="130">
        <f t="shared" ref="BG153:BG188" si="17">IF(N153="zákl. prenesená",J153,0)</f>
        <v>0</v>
      </c>
      <c r="BH153" s="130">
        <f t="shared" ref="BH153:BH188" si="18">IF(N153="zníž. prenesená",J153,0)</f>
        <v>0</v>
      </c>
      <c r="BI153" s="130">
        <f t="shared" ref="BI153:BI188" si="19">IF(N153="nulová",J153,0)</f>
        <v>0</v>
      </c>
      <c r="BJ153" s="13" t="s">
        <v>63</v>
      </c>
      <c r="BK153" s="130">
        <f t="shared" ref="BK153:BK188" si="20">ROUND(I153*H153,2)</f>
        <v>39.090000000000003</v>
      </c>
      <c r="BL153" s="13" t="s">
        <v>63</v>
      </c>
      <c r="BM153" s="129" t="s">
        <v>1400</v>
      </c>
    </row>
    <row r="154" spans="2:65" s="1" customFormat="1" ht="24" customHeight="1" x14ac:dyDescent="0.2">
      <c r="B154" s="118"/>
      <c r="C154" s="119" t="s">
        <v>293</v>
      </c>
      <c r="D154" s="119" t="s">
        <v>231</v>
      </c>
      <c r="E154" s="120" t="s">
        <v>1401</v>
      </c>
      <c r="F154" s="121" t="s">
        <v>1402</v>
      </c>
      <c r="G154" s="122" t="s">
        <v>1194</v>
      </c>
      <c r="H154" s="123">
        <v>1</v>
      </c>
      <c r="I154" s="124">
        <v>5.0999999999999996</v>
      </c>
      <c r="J154" s="124">
        <f t="shared" si="11"/>
        <v>5.0999999999999996</v>
      </c>
      <c r="K154" s="121" t="s">
        <v>1</v>
      </c>
      <c r="L154" s="24"/>
      <c r="M154" s="125" t="s">
        <v>1</v>
      </c>
      <c r="N154" s="126" t="s">
        <v>31</v>
      </c>
      <c r="O154" s="127">
        <v>0</v>
      </c>
      <c r="P154" s="127">
        <f t="shared" si="12"/>
        <v>0</v>
      </c>
      <c r="Q154" s="127">
        <v>0</v>
      </c>
      <c r="R154" s="127">
        <f t="shared" si="13"/>
        <v>0</v>
      </c>
      <c r="S154" s="127">
        <v>0</v>
      </c>
      <c r="T154" s="128">
        <f t="shared" si="14"/>
        <v>0</v>
      </c>
      <c r="W154" s="199"/>
      <c r="X154" s="119" t="s">
        <v>293</v>
      </c>
      <c r="Y154" s="119" t="s">
        <v>231</v>
      </c>
      <c r="Z154" s="120" t="s">
        <v>1401</v>
      </c>
      <c r="AA154" s="121" t="s">
        <v>1402</v>
      </c>
      <c r="AB154" s="122" t="s">
        <v>1194</v>
      </c>
      <c r="AC154" s="123">
        <v>1</v>
      </c>
      <c r="AD154" s="124">
        <v>5.0999999999999996</v>
      </c>
      <c r="AE154" s="200">
        <f t="shared" si="4"/>
        <v>5.0999999999999996</v>
      </c>
      <c r="AF154" s="227"/>
      <c r="AG154" s="374"/>
      <c r="AR154" s="129" t="s">
        <v>63</v>
      </c>
      <c r="AT154" s="129" t="s">
        <v>231</v>
      </c>
      <c r="AU154" s="129" t="s">
        <v>63</v>
      </c>
      <c r="AY154" s="13" t="s">
        <v>228</v>
      </c>
      <c r="BE154" s="130">
        <f t="shared" si="15"/>
        <v>5.0999999999999996</v>
      </c>
      <c r="BF154" s="130">
        <f t="shared" si="16"/>
        <v>0</v>
      </c>
      <c r="BG154" s="130">
        <f t="shared" si="17"/>
        <v>0</v>
      </c>
      <c r="BH154" s="130">
        <f t="shared" si="18"/>
        <v>0</v>
      </c>
      <c r="BI154" s="130">
        <f t="shared" si="19"/>
        <v>0</v>
      </c>
      <c r="BJ154" s="13" t="s">
        <v>63</v>
      </c>
      <c r="BK154" s="130">
        <f t="shared" si="20"/>
        <v>5.0999999999999996</v>
      </c>
      <c r="BL154" s="13" t="s">
        <v>63</v>
      </c>
      <c r="BM154" s="129" t="s">
        <v>1403</v>
      </c>
    </row>
    <row r="155" spans="2:65" s="1" customFormat="1" ht="16.5" customHeight="1" x14ac:dyDescent="0.2">
      <c r="B155" s="118"/>
      <c r="C155" s="131" t="s">
        <v>355</v>
      </c>
      <c r="D155" s="131" t="s">
        <v>277</v>
      </c>
      <c r="E155" s="132" t="s">
        <v>1404</v>
      </c>
      <c r="F155" s="133" t="s">
        <v>1405</v>
      </c>
      <c r="G155" s="134" t="s">
        <v>1194</v>
      </c>
      <c r="H155" s="135">
        <v>1</v>
      </c>
      <c r="I155" s="136">
        <v>14.05</v>
      </c>
      <c r="J155" s="136">
        <f t="shared" si="11"/>
        <v>14.05</v>
      </c>
      <c r="K155" s="133" t="s">
        <v>1</v>
      </c>
      <c r="L155" s="137"/>
      <c r="M155" s="138" t="s">
        <v>1</v>
      </c>
      <c r="N155" s="139" t="s">
        <v>31</v>
      </c>
      <c r="O155" s="127">
        <v>0</v>
      </c>
      <c r="P155" s="127">
        <f t="shared" si="12"/>
        <v>0</v>
      </c>
      <c r="Q155" s="127">
        <v>5.0000000000000002E-5</v>
      </c>
      <c r="R155" s="127">
        <f t="shared" si="13"/>
        <v>5.0000000000000002E-5</v>
      </c>
      <c r="S155" s="127">
        <v>0</v>
      </c>
      <c r="T155" s="128">
        <f t="shared" si="14"/>
        <v>0</v>
      </c>
      <c r="W155" s="199"/>
      <c r="X155" s="131" t="s">
        <v>355</v>
      </c>
      <c r="Y155" s="131" t="s">
        <v>277</v>
      </c>
      <c r="Z155" s="132" t="s">
        <v>1404</v>
      </c>
      <c r="AA155" s="133" t="s">
        <v>1405</v>
      </c>
      <c r="AB155" s="134" t="s">
        <v>1194</v>
      </c>
      <c r="AC155" s="135">
        <v>1</v>
      </c>
      <c r="AD155" s="136">
        <v>14.05</v>
      </c>
      <c r="AE155" s="229">
        <f t="shared" si="4"/>
        <v>14.05</v>
      </c>
      <c r="AF155" s="227"/>
      <c r="AG155" s="374"/>
      <c r="AR155" s="129" t="s">
        <v>76</v>
      </c>
      <c r="AT155" s="129" t="s">
        <v>277</v>
      </c>
      <c r="AU155" s="129" t="s">
        <v>63</v>
      </c>
      <c r="AY155" s="13" t="s">
        <v>228</v>
      </c>
      <c r="BE155" s="130">
        <f t="shared" si="15"/>
        <v>14.05</v>
      </c>
      <c r="BF155" s="130">
        <f t="shared" si="16"/>
        <v>0</v>
      </c>
      <c r="BG155" s="130">
        <f t="shared" si="17"/>
        <v>0</v>
      </c>
      <c r="BH155" s="130">
        <f t="shared" si="18"/>
        <v>0</v>
      </c>
      <c r="BI155" s="130">
        <f t="shared" si="19"/>
        <v>0</v>
      </c>
      <c r="BJ155" s="13" t="s">
        <v>63</v>
      </c>
      <c r="BK155" s="130">
        <f t="shared" si="20"/>
        <v>14.05</v>
      </c>
      <c r="BL155" s="13" t="s">
        <v>63</v>
      </c>
      <c r="BM155" s="129" t="s">
        <v>1406</v>
      </c>
    </row>
    <row r="156" spans="2:65" s="1" customFormat="1" ht="24" customHeight="1" x14ac:dyDescent="0.2">
      <c r="B156" s="118"/>
      <c r="C156" s="119" t="s">
        <v>296</v>
      </c>
      <c r="D156" s="119" t="s">
        <v>231</v>
      </c>
      <c r="E156" s="120" t="s">
        <v>1407</v>
      </c>
      <c r="F156" s="121" t="s">
        <v>1408</v>
      </c>
      <c r="G156" s="122" t="s">
        <v>1194</v>
      </c>
      <c r="H156" s="123">
        <v>205</v>
      </c>
      <c r="I156" s="124">
        <v>4.2699999999999996</v>
      </c>
      <c r="J156" s="124">
        <f t="shared" si="11"/>
        <v>875.35</v>
      </c>
      <c r="K156" s="121" t="s">
        <v>1</v>
      </c>
      <c r="L156" s="24"/>
      <c r="M156" s="125" t="s">
        <v>1</v>
      </c>
      <c r="N156" s="126" t="s">
        <v>31</v>
      </c>
      <c r="O156" s="127">
        <v>0</v>
      </c>
      <c r="P156" s="127">
        <f t="shared" si="12"/>
        <v>0</v>
      </c>
      <c r="Q156" s="127">
        <v>0</v>
      </c>
      <c r="R156" s="127">
        <f t="shared" si="13"/>
        <v>0</v>
      </c>
      <c r="S156" s="127">
        <v>0</v>
      </c>
      <c r="T156" s="128">
        <f t="shared" si="14"/>
        <v>0</v>
      </c>
      <c r="W156" s="199"/>
      <c r="X156" s="119" t="s">
        <v>296</v>
      </c>
      <c r="Y156" s="119" t="s">
        <v>231</v>
      </c>
      <c r="Z156" s="120" t="s">
        <v>1407</v>
      </c>
      <c r="AA156" s="121" t="s">
        <v>1408</v>
      </c>
      <c r="AB156" s="122" t="s">
        <v>1194</v>
      </c>
      <c r="AC156" s="123">
        <v>205</v>
      </c>
      <c r="AD156" s="124">
        <v>4.2699999999999996</v>
      </c>
      <c r="AE156" s="200">
        <f t="shared" si="4"/>
        <v>875.35</v>
      </c>
      <c r="AF156" s="227"/>
      <c r="AG156" s="374"/>
      <c r="AR156" s="129" t="s">
        <v>63</v>
      </c>
      <c r="AT156" s="129" t="s">
        <v>231</v>
      </c>
      <c r="AU156" s="129" t="s">
        <v>63</v>
      </c>
      <c r="AY156" s="13" t="s">
        <v>228</v>
      </c>
      <c r="BE156" s="130">
        <f t="shared" si="15"/>
        <v>875.35</v>
      </c>
      <c r="BF156" s="130">
        <f t="shared" si="16"/>
        <v>0</v>
      </c>
      <c r="BG156" s="130">
        <f t="shared" si="17"/>
        <v>0</v>
      </c>
      <c r="BH156" s="130">
        <f t="shared" si="18"/>
        <v>0</v>
      </c>
      <c r="BI156" s="130">
        <f t="shared" si="19"/>
        <v>0</v>
      </c>
      <c r="BJ156" s="13" t="s">
        <v>63</v>
      </c>
      <c r="BK156" s="130">
        <f t="shared" si="20"/>
        <v>875.35</v>
      </c>
      <c r="BL156" s="13" t="s">
        <v>63</v>
      </c>
      <c r="BM156" s="129" t="s">
        <v>1409</v>
      </c>
    </row>
    <row r="157" spans="2:65" s="1" customFormat="1" ht="16.5" customHeight="1" x14ac:dyDescent="0.2">
      <c r="B157" s="118"/>
      <c r="C157" s="131" t="s">
        <v>362</v>
      </c>
      <c r="D157" s="131" t="s">
        <v>277</v>
      </c>
      <c r="E157" s="132" t="s">
        <v>1410</v>
      </c>
      <c r="F157" s="133" t="s">
        <v>1411</v>
      </c>
      <c r="G157" s="134" t="s">
        <v>1194</v>
      </c>
      <c r="H157" s="135">
        <v>205</v>
      </c>
      <c r="I157" s="136">
        <v>14.64</v>
      </c>
      <c r="J157" s="136">
        <f t="shared" si="11"/>
        <v>3001.2</v>
      </c>
      <c r="K157" s="133" t="s">
        <v>1</v>
      </c>
      <c r="L157" s="137"/>
      <c r="M157" s="138" t="s">
        <v>1</v>
      </c>
      <c r="N157" s="139" t="s">
        <v>31</v>
      </c>
      <c r="O157" s="127">
        <v>0</v>
      </c>
      <c r="P157" s="127">
        <f t="shared" si="12"/>
        <v>0</v>
      </c>
      <c r="Q157" s="127">
        <v>8.0000000000000007E-5</v>
      </c>
      <c r="R157" s="127">
        <f t="shared" si="13"/>
        <v>1.6400000000000001E-2</v>
      </c>
      <c r="S157" s="127">
        <v>0</v>
      </c>
      <c r="T157" s="128">
        <f t="shared" si="14"/>
        <v>0</v>
      </c>
      <c r="W157" s="199"/>
      <c r="X157" s="131" t="s">
        <v>362</v>
      </c>
      <c r="Y157" s="131" t="s">
        <v>277</v>
      </c>
      <c r="Z157" s="132" t="s">
        <v>1410</v>
      </c>
      <c r="AA157" s="133" t="s">
        <v>1411</v>
      </c>
      <c r="AB157" s="134" t="s">
        <v>1194</v>
      </c>
      <c r="AC157" s="135">
        <v>205</v>
      </c>
      <c r="AD157" s="136">
        <v>14.64</v>
      </c>
      <c r="AE157" s="229">
        <f t="shared" si="4"/>
        <v>3001.2</v>
      </c>
      <c r="AF157" s="227"/>
      <c r="AG157" s="374"/>
      <c r="AR157" s="129" t="s">
        <v>76</v>
      </c>
      <c r="AT157" s="129" t="s">
        <v>277</v>
      </c>
      <c r="AU157" s="129" t="s">
        <v>63</v>
      </c>
      <c r="AY157" s="13" t="s">
        <v>228</v>
      </c>
      <c r="BE157" s="130">
        <f t="shared" si="15"/>
        <v>3001.2</v>
      </c>
      <c r="BF157" s="130">
        <f t="shared" si="16"/>
        <v>0</v>
      </c>
      <c r="BG157" s="130">
        <f t="shared" si="17"/>
        <v>0</v>
      </c>
      <c r="BH157" s="130">
        <f t="shared" si="18"/>
        <v>0</v>
      </c>
      <c r="BI157" s="130">
        <f t="shared" si="19"/>
        <v>0</v>
      </c>
      <c r="BJ157" s="13" t="s">
        <v>63</v>
      </c>
      <c r="BK157" s="130">
        <f t="shared" si="20"/>
        <v>3001.2</v>
      </c>
      <c r="BL157" s="13" t="s">
        <v>63</v>
      </c>
      <c r="BM157" s="129" t="s">
        <v>1412</v>
      </c>
    </row>
    <row r="158" spans="2:65" s="1" customFormat="1" ht="24" customHeight="1" x14ac:dyDescent="0.2">
      <c r="B158" s="118"/>
      <c r="C158" s="1070" t="s">
        <v>300</v>
      </c>
      <c r="D158" s="119" t="s">
        <v>231</v>
      </c>
      <c r="E158" s="120" t="s">
        <v>1413</v>
      </c>
      <c r="F158" s="121" t="s">
        <v>1414</v>
      </c>
      <c r="G158" s="122" t="s">
        <v>1194</v>
      </c>
      <c r="H158" s="1071">
        <v>35</v>
      </c>
      <c r="I158" s="124">
        <v>4.2699999999999996</v>
      </c>
      <c r="J158" s="124">
        <f t="shared" si="11"/>
        <v>149.44999999999999</v>
      </c>
      <c r="K158" s="121" t="s">
        <v>1</v>
      </c>
      <c r="L158" s="24"/>
      <c r="M158" s="125" t="s">
        <v>1</v>
      </c>
      <c r="N158" s="126" t="s">
        <v>31</v>
      </c>
      <c r="O158" s="127">
        <v>0</v>
      </c>
      <c r="P158" s="127">
        <f t="shared" si="12"/>
        <v>0</v>
      </c>
      <c r="Q158" s="127">
        <v>0</v>
      </c>
      <c r="R158" s="127">
        <f t="shared" si="13"/>
        <v>0</v>
      </c>
      <c r="S158" s="127">
        <v>0</v>
      </c>
      <c r="T158" s="128">
        <f t="shared" si="14"/>
        <v>0</v>
      </c>
      <c r="W158" s="199"/>
      <c r="X158" s="1070" t="s">
        <v>300</v>
      </c>
      <c r="Y158" s="119" t="s">
        <v>231</v>
      </c>
      <c r="Z158" s="120" t="s">
        <v>1413</v>
      </c>
      <c r="AA158" s="121" t="s">
        <v>1414</v>
      </c>
      <c r="AB158" s="122" t="s">
        <v>1194</v>
      </c>
      <c r="AC158" s="1071">
        <f>35+1</f>
        <v>36</v>
      </c>
      <c r="AD158" s="124">
        <v>4.2699999999999996</v>
      </c>
      <c r="AE158" s="200">
        <f t="shared" si="4"/>
        <v>153.72</v>
      </c>
      <c r="AF158" s="227">
        <v>22</v>
      </c>
      <c r="AG158" s="374"/>
      <c r="AR158" s="129" t="s">
        <v>63</v>
      </c>
      <c r="AT158" s="129" t="s">
        <v>231</v>
      </c>
      <c r="AU158" s="129" t="s">
        <v>63</v>
      </c>
      <c r="AY158" s="13" t="s">
        <v>228</v>
      </c>
      <c r="BE158" s="130">
        <f t="shared" si="15"/>
        <v>149.44999999999999</v>
      </c>
      <c r="BF158" s="130">
        <f t="shared" si="16"/>
        <v>0</v>
      </c>
      <c r="BG158" s="130">
        <f t="shared" si="17"/>
        <v>0</v>
      </c>
      <c r="BH158" s="130">
        <f t="shared" si="18"/>
        <v>0</v>
      </c>
      <c r="BI158" s="130">
        <f t="shared" si="19"/>
        <v>0</v>
      </c>
      <c r="BJ158" s="13" t="s">
        <v>63</v>
      </c>
      <c r="BK158" s="130">
        <f t="shared" si="20"/>
        <v>149.44999999999999</v>
      </c>
      <c r="BL158" s="13" t="s">
        <v>63</v>
      </c>
      <c r="BM158" s="129" t="s">
        <v>1415</v>
      </c>
    </row>
    <row r="159" spans="2:65" s="1" customFormat="1" ht="16.5" customHeight="1" x14ac:dyDescent="0.2">
      <c r="B159" s="118"/>
      <c r="C159" s="979" t="s">
        <v>369</v>
      </c>
      <c r="D159" s="131" t="s">
        <v>277</v>
      </c>
      <c r="E159" s="132" t="s">
        <v>1416</v>
      </c>
      <c r="F159" s="133" t="s">
        <v>1417</v>
      </c>
      <c r="G159" s="134" t="s">
        <v>1194</v>
      </c>
      <c r="H159" s="978">
        <v>35</v>
      </c>
      <c r="I159" s="136">
        <v>43.4</v>
      </c>
      <c r="J159" s="136">
        <f t="shared" si="11"/>
        <v>1519</v>
      </c>
      <c r="K159" s="133" t="s">
        <v>1</v>
      </c>
      <c r="L159" s="137"/>
      <c r="M159" s="138" t="s">
        <v>1</v>
      </c>
      <c r="N159" s="139" t="s">
        <v>31</v>
      </c>
      <c r="O159" s="127">
        <v>0</v>
      </c>
      <c r="P159" s="127">
        <f t="shared" si="12"/>
        <v>0</v>
      </c>
      <c r="Q159" s="127">
        <v>1.1E-4</v>
      </c>
      <c r="R159" s="127">
        <f t="shared" si="13"/>
        <v>3.8500000000000001E-3</v>
      </c>
      <c r="S159" s="127">
        <v>0</v>
      </c>
      <c r="T159" s="128">
        <f t="shared" si="14"/>
        <v>0</v>
      </c>
      <c r="W159" s="199"/>
      <c r="X159" s="979" t="s">
        <v>369</v>
      </c>
      <c r="Y159" s="131" t="s">
        <v>277</v>
      </c>
      <c r="Z159" s="132" t="s">
        <v>1416</v>
      </c>
      <c r="AA159" s="133" t="s">
        <v>1417</v>
      </c>
      <c r="AB159" s="134" t="s">
        <v>1194</v>
      </c>
      <c r="AC159" s="978">
        <f>35+1</f>
        <v>36</v>
      </c>
      <c r="AD159" s="136">
        <v>43.4</v>
      </c>
      <c r="AE159" s="229">
        <f t="shared" si="4"/>
        <v>1562.4</v>
      </c>
      <c r="AF159" s="227">
        <v>22</v>
      </c>
      <c r="AG159" s="374"/>
      <c r="AR159" s="129" t="s">
        <v>76</v>
      </c>
      <c r="AT159" s="129" t="s">
        <v>277</v>
      </c>
      <c r="AU159" s="129" t="s">
        <v>63</v>
      </c>
      <c r="AY159" s="13" t="s">
        <v>228</v>
      </c>
      <c r="BE159" s="130">
        <f t="shared" si="15"/>
        <v>1519</v>
      </c>
      <c r="BF159" s="130">
        <f t="shared" si="16"/>
        <v>0</v>
      </c>
      <c r="BG159" s="130">
        <f t="shared" si="17"/>
        <v>0</v>
      </c>
      <c r="BH159" s="130">
        <f t="shared" si="18"/>
        <v>0</v>
      </c>
      <c r="BI159" s="130">
        <f t="shared" si="19"/>
        <v>0</v>
      </c>
      <c r="BJ159" s="13" t="s">
        <v>63</v>
      </c>
      <c r="BK159" s="130">
        <f t="shared" si="20"/>
        <v>1519</v>
      </c>
      <c r="BL159" s="13" t="s">
        <v>63</v>
      </c>
      <c r="BM159" s="129" t="s">
        <v>1418</v>
      </c>
    </row>
    <row r="160" spans="2:65" s="1" customFormat="1" ht="16.5" customHeight="1" x14ac:dyDescent="0.2">
      <c r="B160" s="118"/>
      <c r="C160" s="119" t="s">
        <v>303</v>
      </c>
      <c r="D160" s="119" t="s">
        <v>231</v>
      </c>
      <c r="E160" s="120" t="s">
        <v>1419</v>
      </c>
      <c r="F160" s="121" t="s">
        <v>1420</v>
      </c>
      <c r="G160" s="122" t="s">
        <v>1194</v>
      </c>
      <c r="H160" s="123">
        <v>6</v>
      </c>
      <c r="I160" s="124">
        <v>0.27</v>
      </c>
      <c r="J160" s="124">
        <f t="shared" si="11"/>
        <v>1.62</v>
      </c>
      <c r="K160" s="121" t="s">
        <v>1</v>
      </c>
      <c r="L160" s="24"/>
      <c r="M160" s="125" t="s">
        <v>1</v>
      </c>
      <c r="N160" s="126" t="s">
        <v>31</v>
      </c>
      <c r="O160" s="127">
        <v>0</v>
      </c>
      <c r="P160" s="127">
        <f t="shared" si="12"/>
        <v>0</v>
      </c>
      <c r="Q160" s="127">
        <v>0</v>
      </c>
      <c r="R160" s="127">
        <f t="shared" si="13"/>
        <v>0</v>
      </c>
      <c r="S160" s="127">
        <v>0</v>
      </c>
      <c r="T160" s="128">
        <f t="shared" si="14"/>
        <v>0</v>
      </c>
      <c r="W160" s="199"/>
      <c r="X160" s="119" t="s">
        <v>303</v>
      </c>
      <c r="Y160" s="119" t="s">
        <v>231</v>
      </c>
      <c r="Z160" s="120" t="s">
        <v>1419</v>
      </c>
      <c r="AA160" s="121" t="s">
        <v>1420</v>
      </c>
      <c r="AB160" s="122" t="s">
        <v>1194</v>
      </c>
      <c r="AC160" s="123">
        <v>6</v>
      </c>
      <c r="AD160" s="124">
        <v>0.27</v>
      </c>
      <c r="AE160" s="200">
        <f t="shared" si="4"/>
        <v>1.62</v>
      </c>
      <c r="AF160" s="227"/>
      <c r="AG160" s="374"/>
      <c r="AR160" s="129" t="s">
        <v>63</v>
      </c>
      <c r="AT160" s="129" t="s">
        <v>231</v>
      </c>
      <c r="AU160" s="129" t="s">
        <v>63</v>
      </c>
      <c r="AY160" s="13" t="s">
        <v>228</v>
      </c>
      <c r="BE160" s="130">
        <f t="shared" si="15"/>
        <v>1.62</v>
      </c>
      <c r="BF160" s="130">
        <f t="shared" si="16"/>
        <v>0</v>
      </c>
      <c r="BG160" s="130">
        <f t="shared" si="17"/>
        <v>0</v>
      </c>
      <c r="BH160" s="130">
        <f t="shared" si="18"/>
        <v>0</v>
      </c>
      <c r="BI160" s="130">
        <f t="shared" si="19"/>
        <v>0</v>
      </c>
      <c r="BJ160" s="13" t="s">
        <v>63</v>
      </c>
      <c r="BK160" s="130">
        <f t="shared" si="20"/>
        <v>1.62</v>
      </c>
      <c r="BL160" s="13" t="s">
        <v>63</v>
      </c>
      <c r="BM160" s="129" t="s">
        <v>1421</v>
      </c>
    </row>
    <row r="161" spans="2:65" s="1" customFormat="1" ht="16.5" customHeight="1" x14ac:dyDescent="0.2">
      <c r="B161" s="118"/>
      <c r="C161" s="131" t="s">
        <v>376</v>
      </c>
      <c r="D161" s="131" t="s">
        <v>277</v>
      </c>
      <c r="E161" s="132" t="s">
        <v>1422</v>
      </c>
      <c r="F161" s="133" t="s">
        <v>1423</v>
      </c>
      <c r="G161" s="134" t="s">
        <v>1194</v>
      </c>
      <c r="H161" s="135">
        <v>6</v>
      </c>
      <c r="I161" s="136">
        <v>2.2799999999999998</v>
      </c>
      <c r="J161" s="136">
        <f t="shared" si="11"/>
        <v>13.68</v>
      </c>
      <c r="K161" s="133" t="s">
        <v>1</v>
      </c>
      <c r="L161" s="137"/>
      <c r="M161" s="138" t="s">
        <v>1</v>
      </c>
      <c r="N161" s="139" t="s">
        <v>31</v>
      </c>
      <c r="O161" s="127">
        <v>0</v>
      </c>
      <c r="P161" s="127">
        <f t="shared" si="12"/>
        <v>0</v>
      </c>
      <c r="Q161" s="127">
        <v>1.4999999999999999E-4</v>
      </c>
      <c r="R161" s="127">
        <f t="shared" si="13"/>
        <v>8.9999999999999998E-4</v>
      </c>
      <c r="S161" s="127">
        <v>0</v>
      </c>
      <c r="T161" s="128">
        <f t="shared" si="14"/>
        <v>0</v>
      </c>
      <c r="W161" s="199"/>
      <c r="X161" s="131" t="s">
        <v>376</v>
      </c>
      <c r="Y161" s="131" t="s">
        <v>277</v>
      </c>
      <c r="Z161" s="132" t="s">
        <v>1422</v>
      </c>
      <c r="AA161" s="133" t="s">
        <v>1423</v>
      </c>
      <c r="AB161" s="134" t="s">
        <v>1194</v>
      </c>
      <c r="AC161" s="135">
        <v>6</v>
      </c>
      <c r="AD161" s="136">
        <v>2.2799999999999998</v>
      </c>
      <c r="AE161" s="229">
        <f t="shared" si="4"/>
        <v>13.68</v>
      </c>
      <c r="AF161" s="227"/>
      <c r="AG161" s="374"/>
      <c r="AR161" s="129" t="s">
        <v>76</v>
      </c>
      <c r="AT161" s="129" t="s">
        <v>277</v>
      </c>
      <c r="AU161" s="129" t="s">
        <v>63</v>
      </c>
      <c r="AY161" s="13" t="s">
        <v>228</v>
      </c>
      <c r="BE161" s="130">
        <f t="shared" si="15"/>
        <v>13.68</v>
      </c>
      <c r="BF161" s="130">
        <f t="shared" si="16"/>
        <v>0</v>
      </c>
      <c r="BG161" s="130">
        <f t="shared" si="17"/>
        <v>0</v>
      </c>
      <c r="BH161" s="130">
        <f t="shared" si="18"/>
        <v>0</v>
      </c>
      <c r="BI161" s="130">
        <f t="shared" si="19"/>
        <v>0</v>
      </c>
      <c r="BJ161" s="13" t="s">
        <v>63</v>
      </c>
      <c r="BK161" s="130">
        <f t="shared" si="20"/>
        <v>13.68</v>
      </c>
      <c r="BL161" s="13" t="s">
        <v>63</v>
      </c>
      <c r="BM161" s="129" t="s">
        <v>1424</v>
      </c>
    </row>
    <row r="162" spans="2:65" s="1" customFormat="1" ht="16.5" customHeight="1" x14ac:dyDescent="0.2">
      <c r="B162" s="118"/>
      <c r="C162" s="119" t="s">
        <v>308</v>
      </c>
      <c r="D162" s="119" t="s">
        <v>231</v>
      </c>
      <c r="E162" s="120" t="s">
        <v>1419</v>
      </c>
      <c r="F162" s="121" t="s">
        <v>1420</v>
      </c>
      <c r="G162" s="122" t="s">
        <v>1194</v>
      </c>
      <c r="H162" s="123">
        <v>6</v>
      </c>
      <c r="I162" s="124">
        <v>0.27</v>
      </c>
      <c r="J162" s="124">
        <f t="shared" si="11"/>
        <v>1.62</v>
      </c>
      <c r="K162" s="121" t="s">
        <v>1</v>
      </c>
      <c r="L162" s="24"/>
      <c r="M162" s="125" t="s">
        <v>1</v>
      </c>
      <c r="N162" s="126" t="s">
        <v>31</v>
      </c>
      <c r="O162" s="127">
        <v>0</v>
      </c>
      <c r="P162" s="127">
        <f t="shared" si="12"/>
        <v>0</v>
      </c>
      <c r="Q162" s="127">
        <v>0</v>
      </c>
      <c r="R162" s="127">
        <f t="shared" si="13"/>
        <v>0</v>
      </c>
      <c r="S162" s="127">
        <v>0</v>
      </c>
      <c r="T162" s="128">
        <f t="shared" si="14"/>
        <v>0</v>
      </c>
      <c r="W162" s="199"/>
      <c r="X162" s="119" t="s">
        <v>308</v>
      </c>
      <c r="Y162" s="119" t="s">
        <v>231</v>
      </c>
      <c r="Z162" s="120" t="s">
        <v>1419</v>
      </c>
      <c r="AA162" s="121" t="s">
        <v>1420</v>
      </c>
      <c r="AB162" s="122" t="s">
        <v>1194</v>
      </c>
      <c r="AC162" s="123">
        <v>6</v>
      </c>
      <c r="AD162" s="124">
        <v>0.27</v>
      </c>
      <c r="AE162" s="200">
        <f t="shared" si="4"/>
        <v>1.62</v>
      </c>
      <c r="AF162" s="227"/>
      <c r="AG162" s="374"/>
      <c r="AR162" s="129" t="s">
        <v>63</v>
      </c>
      <c r="AT162" s="129" t="s">
        <v>231</v>
      </c>
      <c r="AU162" s="129" t="s">
        <v>63</v>
      </c>
      <c r="AY162" s="13" t="s">
        <v>228</v>
      </c>
      <c r="BE162" s="130">
        <f t="shared" si="15"/>
        <v>1.62</v>
      </c>
      <c r="BF162" s="130">
        <f t="shared" si="16"/>
        <v>0</v>
      </c>
      <c r="BG162" s="130">
        <f t="shared" si="17"/>
        <v>0</v>
      </c>
      <c r="BH162" s="130">
        <f t="shared" si="18"/>
        <v>0</v>
      </c>
      <c r="BI162" s="130">
        <f t="shared" si="19"/>
        <v>0</v>
      </c>
      <c r="BJ162" s="13" t="s">
        <v>63</v>
      </c>
      <c r="BK162" s="130">
        <f t="shared" si="20"/>
        <v>1.62</v>
      </c>
      <c r="BL162" s="13" t="s">
        <v>63</v>
      </c>
      <c r="BM162" s="129" t="s">
        <v>1425</v>
      </c>
    </row>
    <row r="163" spans="2:65" s="1" customFormat="1" ht="16.5" customHeight="1" x14ac:dyDescent="0.2">
      <c r="B163" s="118"/>
      <c r="C163" s="131" t="s">
        <v>383</v>
      </c>
      <c r="D163" s="131" t="s">
        <v>277</v>
      </c>
      <c r="E163" s="132" t="s">
        <v>1426</v>
      </c>
      <c r="F163" s="133" t="s">
        <v>1427</v>
      </c>
      <c r="G163" s="134" t="s">
        <v>1194</v>
      </c>
      <c r="H163" s="135">
        <v>6</v>
      </c>
      <c r="I163" s="136">
        <v>5.07</v>
      </c>
      <c r="J163" s="136">
        <f t="shared" si="11"/>
        <v>30.42</v>
      </c>
      <c r="K163" s="133" t="s">
        <v>1</v>
      </c>
      <c r="L163" s="137"/>
      <c r="M163" s="138" t="s">
        <v>1</v>
      </c>
      <c r="N163" s="139" t="s">
        <v>31</v>
      </c>
      <c r="O163" s="127">
        <v>0</v>
      </c>
      <c r="P163" s="127">
        <f t="shared" si="12"/>
        <v>0</v>
      </c>
      <c r="Q163" s="127">
        <v>2.0000000000000001E-4</v>
      </c>
      <c r="R163" s="127">
        <f t="shared" si="13"/>
        <v>1.2000000000000001E-3</v>
      </c>
      <c r="S163" s="127">
        <v>0</v>
      </c>
      <c r="T163" s="128">
        <f t="shared" si="14"/>
        <v>0</v>
      </c>
      <c r="W163" s="199"/>
      <c r="X163" s="131" t="s">
        <v>383</v>
      </c>
      <c r="Y163" s="131" t="s">
        <v>277</v>
      </c>
      <c r="Z163" s="132" t="s">
        <v>1426</v>
      </c>
      <c r="AA163" s="133" t="s">
        <v>1427</v>
      </c>
      <c r="AB163" s="134" t="s">
        <v>1194</v>
      </c>
      <c r="AC163" s="135">
        <v>6</v>
      </c>
      <c r="AD163" s="136">
        <v>5.07</v>
      </c>
      <c r="AE163" s="229">
        <f t="shared" si="4"/>
        <v>30.42</v>
      </c>
      <c r="AF163" s="227"/>
      <c r="AG163" s="374"/>
      <c r="AR163" s="129" t="s">
        <v>76</v>
      </c>
      <c r="AT163" s="129" t="s">
        <v>277</v>
      </c>
      <c r="AU163" s="129" t="s">
        <v>63</v>
      </c>
      <c r="AY163" s="13" t="s">
        <v>228</v>
      </c>
      <c r="BE163" s="130">
        <f t="shared" si="15"/>
        <v>30.42</v>
      </c>
      <c r="BF163" s="130">
        <f t="shared" si="16"/>
        <v>0</v>
      </c>
      <c r="BG163" s="130">
        <f t="shared" si="17"/>
        <v>0</v>
      </c>
      <c r="BH163" s="130">
        <f t="shared" si="18"/>
        <v>0</v>
      </c>
      <c r="BI163" s="130">
        <f t="shared" si="19"/>
        <v>0</v>
      </c>
      <c r="BJ163" s="13" t="s">
        <v>63</v>
      </c>
      <c r="BK163" s="130">
        <f t="shared" si="20"/>
        <v>30.42</v>
      </c>
      <c r="BL163" s="13" t="s">
        <v>63</v>
      </c>
      <c r="BM163" s="129" t="s">
        <v>1428</v>
      </c>
    </row>
    <row r="164" spans="2:65" s="1" customFormat="1" ht="16.5" customHeight="1" x14ac:dyDescent="0.2">
      <c r="B164" s="118"/>
      <c r="C164" s="119" t="s">
        <v>312</v>
      </c>
      <c r="D164" s="119" t="s">
        <v>231</v>
      </c>
      <c r="E164" s="120" t="s">
        <v>1429</v>
      </c>
      <c r="F164" s="121" t="s">
        <v>1430</v>
      </c>
      <c r="G164" s="122" t="s">
        <v>1194</v>
      </c>
      <c r="H164" s="123">
        <v>6</v>
      </c>
      <c r="I164" s="124">
        <v>0.27</v>
      </c>
      <c r="J164" s="124">
        <f t="shared" si="11"/>
        <v>1.62</v>
      </c>
      <c r="K164" s="121" t="s">
        <v>1</v>
      </c>
      <c r="L164" s="24"/>
      <c r="M164" s="125" t="s">
        <v>1</v>
      </c>
      <c r="N164" s="126" t="s">
        <v>31</v>
      </c>
      <c r="O164" s="127">
        <v>0</v>
      </c>
      <c r="P164" s="127">
        <f t="shared" si="12"/>
        <v>0</v>
      </c>
      <c r="Q164" s="127">
        <v>0</v>
      </c>
      <c r="R164" s="127">
        <f t="shared" si="13"/>
        <v>0</v>
      </c>
      <c r="S164" s="127">
        <v>0</v>
      </c>
      <c r="T164" s="128">
        <f t="shared" si="14"/>
        <v>0</v>
      </c>
      <c r="W164" s="199"/>
      <c r="X164" s="119" t="s">
        <v>312</v>
      </c>
      <c r="Y164" s="119" t="s">
        <v>231</v>
      </c>
      <c r="Z164" s="120" t="s">
        <v>1429</v>
      </c>
      <c r="AA164" s="121" t="s">
        <v>1430</v>
      </c>
      <c r="AB164" s="122" t="s">
        <v>1194</v>
      </c>
      <c r="AC164" s="123">
        <v>6</v>
      </c>
      <c r="AD164" s="124">
        <v>0.27</v>
      </c>
      <c r="AE164" s="200">
        <f t="shared" si="4"/>
        <v>1.62</v>
      </c>
      <c r="AF164" s="227"/>
      <c r="AG164" s="374"/>
      <c r="AR164" s="129" t="s">
        <v>63</v>
      </c>
      <c r="AT164" s="129" t="s">
        <v>231</v>
      </c>
      <c r="AU164" s="129" t="s">
        <v>63</v>
      </c>
      <c r="AY164" s="13" t="s">
        <v>228</v>
      </c>
      <c r="BE164" s="130">
        <f t="shared" si="15"/>
        <v>1.62</v>
      </c>
      <c r="BF164" s="130">
        <f t="shared" si="16"/>
        <v>0</v>
      </c>
      <c r="BG164" s="130">
        <f t="shared" si="17"/>
        <v>0</v>
      </c>
      <c r="BH164" s="130">
        <f t="shared" si="18"/>
        <v>0</v>
      </c>
      <c r="BI164" s="130">
        <f t="shared" si="19"/>
        <v>0</v>
      </c>
      <c r="BJ164" s="13" t="s">
        <v>63</v>
      </c>
      <c r="BK164" s="130">
        <f t="shared" si="20"/>
        <v>1.62</v>
      </c>
      <c r="BL164" s="13" t="s">
        <v>63</v>
      </c>
      <c r="BM164" s="129" t="s">
        <v>1431</v>
      </c>
    </row>
    <row r="165" spans="2:65" s="1" customFormat="1" ht="16.5" customHeight="1" x14ac:dyDescent="0.2">
      <c r="B165" s="118"/>
      <c r="C165" s="131" t="s">
        <v>390</v>
      </c>
      <c r="D165" s="131" t="s">
        <v>277</v>
      </c>
      <c r="E165" s="132" t="s">
        <v>1432</v>
      </c>
      <c r="F165" s="133" t="s">
        <v>1433</v>
      </c>
      <c r="G165" s="134" t="s">
        <v>1194</v>
      </c>
      <c r="H165" s="135">
        <v>6</v>
      </c>
      <c r="I165" s="136">
        <v>5.61</v>
      </c>
      <c r="J165" s="136">
        <f t="shared" si="11"/>
        <v>33.659999999999997</v>
      </c>
      <c r="K165" s="133" t="s">
        <v>1</v>
      </c>
      <c r="L165" s="137"/>
      <c r="M165" s="138" t="s">
        <v>1</v>
      </c>
      <c r="N165" s="139" t="s">
        <v>31</v>
      </c>
      <c r="O165" s="127">
        <v>0</v>
      </c>
      <c r="P165" s="127">
        <f t="shared" si="12"/>
        <v>0</v>
      </c>
      <c r="Q165" s="127">
        <v>1.4999999999999999E-4</v>
      </c>
      <c r="R165" s="127">
        <f t="shared" si="13"/>
        <v>8.9999999999999998E-4</v>
      </c>
      <c r="S165" s="127">
        <v>0</v>
      </c>
      <c r="T165" s="128">
        <f t="shared" si="14"/>
        <v>0</v>
      </c>
      <c r="W165" s="199"/>
      <c r="X165" s="131" t="s">
        <v>390</v>
      </c>
      <c r="Y165" s="131" t="s">
        <v>277</v>
      </c>
      <c r="Z165" s="132" t="s">
        <v>1432</v>
      </c>
      <c r="AA165" s="133" t="s">
        <v>1433</v>
      </c>
      <c r="AB165" s="134" t="s">
        <v>1194</v>
      </c>
      <c r="AC165" s="135">
        <v>6</v>
      </c>
      <c r="AD165" s="136">
        <v>5.61</v>
      </c>
      <c r="AE165" s="229">
        <f t="shared" si="4"/>
        <v>33.659999999999997</v>
      </c>
      <c r="AF165" s="227"/>
      <c r="AG165" s="374"/>
      <c r="AR165" s="129" t="s">
        <v>76</v>
      </c>
      <c r="AT165" s="129" t="s">
        <v>277</v>
      </c>
      <c r="AU165" s="129" t="s">
        <v>63</v>
      </c>
      <c r="AY165" s="13" t="s">
        <v>228</v>
      </c>
      <c r="BE165" s="130">
        <f t="shared" si="15"/>
        <v>33.659999999999997</v>
      </c>
      <c r="BF165" s="130">
        <f t="shared" si="16"/>
        <v>0</v>
      </c>
      <c r="BG165" s="130">
        <f t="shared" si="17"/>
        <v>0</v>
      </c>
      <c r="BH165" s="130">
        <f t="shared" si="18"/>
        <v>0</v>
      </c>
      <c r="BI165" s="130">
        <f t="shared" si="19"/>
        <v>0</v>
      </c>
      <c r="BJ165" s="13" t="s">
        <v>63</v>
      </c>
      <c r="BK165" s="130">
        <f t="shared" si="20"/>
        <v>33.659999999999997</v>
      </c>
      <c r="BL165" s="13" t="s">
        <v>63</v>
      </c>
      <c r="BM165" s="129" t="s">
        <v>1434</v>
      </c>
    </row>
    <row r="166" spans="2:65" s="1" customFormat="1" ht="16.5" customHeight="1" x14ac:dyDescent="0.2">
      <c r="B166" s="118"/>
      <c r="C166" s="119" t="s">
        <v>316</v>
      </c>
      <c r="D166" s="119" t="s">
        <v>231</v>
      </c>
      <c r="E166" s="120" t="s">
        <v>1435</v>
      </c>
      <c r="F166" s="121" t="s">
        <v>1436</v>
      </c>
      <c r="G166" s="122" t="s">
        <v>1194</v>
      </c>
      <c r="H166" s="123">
        <v>6</v>
      </c>
      <c r="I166" s="124">
        <v>0.27</v>
      </c>
      <c r="J166" s="124">
        <f t="shared" si="11"/>
        <v>1.62</v>
      </c>
      <c r="K166" s="121" t="s">
        <v>1</v>
      </c>
      <c r="L166" s="24"/>
      <c r="M166" s="125" t="s">
        <v>1</v>
      </c>
      <c r="N166" s="126" t="s">
        <v>31</v>
      </c>
      <c r="O166" s="127">
        <v>0</v>
      </c>
      <c r="P166" s="127">
        <f t="shared" si="12"/>
        <v>0</v>
      </c>
      <c r="Q166" s="127">
        <v>0</v>
      </c>
      <c r="R166" s="127">
        <f t="shared" si="13"/>
        <v>0</v>
      </c>
      <c r="S166" s="127">
        <v>0</v>
      </c>
      <c r="T166" s="128">
        <f t="shared" si="14"/>
        <v>0</v>
      </c>
      <c r="W166" s="199"/>
      <c r="X166" s="119" t="s">
        <v>316</v>
      </c>
      <c r="Y166" s="119" t="s">
        <v>231</v>
      </c>
      <c r="Z166" s="120" t="s">
        <v>1435</v>
      </c>
      <c r="AA166" s="121" t="s">
        <v>1436</v>
      </c>
      <c r="AB166" s="122" t="s">
        <v>1194</v>
      </c>
      <c r="AC166" s="123">
        <v>6</v>
      </c>
      <c r="AD166" s="124">
        <v>0.27</v>
      </c>
      <c r="AE166" s="200">
        <f t="shared" si="4"/>
        <v>1.62</v>
      </c>
      <c r="AF166" s="227"/>
      <c r="AG166" s="374"/>
      <c r="AR166" s="129" t="s">
        <v>63</v>
      </c>
      <c r="AT166" s="129" t="s">
        <v>231</v>
      </c>
      <c r="AU166" s="129" t="s">
        <v>63</v>
      </c>
      <c r="AY166" s="13" t="s">
        <v>228</v>
      </c>
      <c r="BE166" s="130">
        <f t="shared" si="15"/>
        <v>1.62</v>
      </c>
      <c r="BF166" s="130">
        <f t="shared" si="16"/>
        <v>0</v>
      </c>
      <c r="BG166" s="130">
        <f t="shared" si="17"/>
        <v>0</v>
      </c>
      <c r="BH166" s="130">
        <f t="shared" si="18"/>
        <v>0</v>
      </c>
      <c r="BI166" s="130">
        <f t="shared" si="19"/>
        <v>0</v>
      </c>
      <c r="BJ166" s="13" t="s">
        <v>63</v>
      </c>
      <c r="BK166" s="130">
        <f t="shared" si="20"/>
        <v>1.62</v>
      </c>
      <c r="BL166" s="13" t="s">
        <v>63</v>
      </c>
      <c r="BM166" s="129" t="s">
        <v>1437</v>
      </c>
    </row>
    <row r="167" spans="2:65" s="1" customFormat="1" ht="16.5" customHeight="1" x14ac:dyDescent="0.2">
      <c r="B167" s="118"/>
      <c r="C167" s="131" t="s">
        <v>397</v>
      </c>
      <c r="D167" s="131" t="s">
        <v>277</v>
      </c>
      <c r="E167" s="132" t="s">
        <v>1438</v>
      </c>
      <c r="F167" s="133" t="s">
        <v>1439</v>
      </c>
      <c r="G167" s="134" t="s">
        <v>1194</v>
      </c>
      <c r="H167" s="135">
        <v>6</v>
      </c>
      <c r="I167" s="136">
        <v>18.03</v>
      </c>
      <c r="J167" s="136">
        <f t="shared" si="11"/>
        <v>108.18</v>
      </c>
      <c r="K167" s="133" t="s">
        <v>1</v>
      </c>
      <c r="L167" s="137"/>
      <c r="M167" s="138" t="s">
        <v>1</v>
      </c>
      <c r="N167" s="139" t="s">
        <v>31</v>
      </c>
      <c r="O167" s="127">
        <v>0</v>
      </c>
      <c r="P167" s="127">
        <f t="shared" si="12"/>
        <v>0</v>
      </c>
      <c r="Q167" s="127">
        <v>1.4999999999999999E-4</v>
      </c>
      <c r="R167" s="127">
        <f t="shared" si="13"/>
        <v>8.9999999999999998E-4</v>
      </c>
      <c r="S167" s="127">
        <v>0</v>
      </c>
      <c r="T167" s="128">
        <f t="shared" si="14"/>
        <v>0</v>
      </c>
      <c r="W167" s="199"/>
      <c r="X167" s="131" t="s">
        <v>397</v>
      </c>
      <c r="Y167" s="131" t="s">
        <v>277</v>
      </c>
      <c r="Z167" s="132" t="s">
        <v>1438</v>
      </c>
      <c r="AA167" s="133" t="s">
        <v>1439</v>
      </c>
      <c r="AB167" s="134" t="s">
        <v>1194</v>
      </c>
      <c r="AC167" s="135">
        <v>6</v>
      </c>
      <c r="AD167" s="136">
        <v>18.03</v>
      </c>
      <c r="AE167" s="229">
        <f t="shared" si="4"/>
        <v>108.18</v>
      </c>
      <c r="AF167" s="227"/>
      <c r="AG167" s="374"/>
      <c r="AR167" s="129" t="s">
        <v>76</v>
      </c>
      <c r="AT167" s="129" t="s">
        <v>277</v>
      </c>
      <c r="AU167" s="129" t="s">
        <v>63</v>
      </c>
      <c r="AY167" s="13" t="s">
        <v>228</v>
      </c>
      <c r="BE167" s="130">
        <f t="shared" si="15"/>
        <v>108.18</v>
      </c>
      <c r="BF167" s="130">
        <f t="shared" si="16"/>
        <v>0</v>
      </c>
      <c r="BG167" s="130">
        <f t="shared" si="17"/>
        <v>0</v>
      </c>
      <c r="BH167" s="130">
        <f t="shared" si="18"/>
        <v>0</v>
      </c>
      <c r="BI167" s="130">
        <f t="shared" si="19"/>
        <v>0</v>
      </c>
      <c r="BJ167" s="13" t="s">
        <v>63</v>
      </c>
      <c r="BK167" s="130">
        <f t="shared" si="20"/>
        <v>108.18</v>
      </c>
      <c r="BL167" s="13" t="s">
        <v>63</v>
      </c>
      <c r="BM167" s="129" t="s">
        <v>1440</v>
      </c>
    </row>
    <row r="168" spans="2:65" s="1" customFormat="1" ht="16.5" customHeight="1" x14ac:dyDescent="0.2">
      <c r="B168" s="118"/>
      <c r="C168" s="119" t="s">
        <v>319</v>
      </c>
      <c r="D168" s="119" t="s">
        <v>231</v>
      </c>
      <c r="E168" s="120" t="s">
        <v>1441</v>
      </c>
      <c r="F168" s="121" t="s">
        <v>1442</v>
      </c>
      <c r="G168" s="122" t="s">
        <v>1194</v>
      </c>
      <c r="H168" s="123">
        <v>2</v>
      </c>
      <c r="I168" s="124">
        <v>5.07</v>
      </c>
      <c r="J168" s="124">
        <f t="shared" si="11"/>
        <v>10.14</v>
      </c>
      <c r="K168" s="121" t="s">
        <v>1</v>
      </c>
      <c r="L168" s="24"/>
      <c r="M168" s="125" t="s">
        <v>1</v>
      </c>
      <c r="N168" s="126" t="s">
        <v>31</v>
      </c>
      <c r="O168" s="127">
        <v>0</v>
      </c>
      <c r="P168" s="127">
        <f t="shared" si="12"/>
        <v>0</v>
      </c>
      <c r="Q168" s="127">
        <v>0</v>
      </c>
      <c r="R168" s="127">
        <f t="shared" si="13"/>
        <v>0</v>
      </c>
      <c r="S168" s="127">
        <v>0</v>
      </c>
      <c r="T168" s="128">
        <f t="shared" si="14"/>
        <v>0</v>
      </c>
      <c r="W168" s="199"/>
      <c r="X168" s="119" t="s">
        <v>319</v>
      </c>
      <c r="Y168" s="119" t="s">
        <v>231</v>
      </c>
      <c r="Z168" s="120" t="s">
        <v>1441</v>
      </c>
      <c r="AA168" s="121" t="s">
        <v>1442</v>
      </c>
      <c r="AB168" s="122" t="s">
        <v>1194</v>
      </c>
      <c r="AC168" s="123">
        <v>2</v>
      </c>
      <c r="AD168" s="124">
        <v>5.07</v>
      </c>
      <c r="AE168" s="200">
        <f t="shared" si="4"/>
        <v>10.14</v>
      </c>
      <c r="AF168" s="227"/>
      <c r="AG168" s="374"/>
      <c r="AR168" s="129" t="s">
        <v>63</v>
      </c>
      <c r="AT168" s="129" t="s">
        <v>231</v>
      </c>
      <c r="AU168" s="129" t="s">
        <v>63</v>
      </c>
      <c r="AY168" s="13" t="s">
        <v>228</v>
      </c>
      <c r="BE168" s="130">
        <f t="shared" si="15"/>
        <v>10.14</v>
      </c>
      <c r="BF168" s="130">
        <f t="shared" si="16"/>
        <v>0</v>
      </c>
      <c r="BG168" s="130">
        <f t="shared" si="17"/>
        <v>0</v>
      </c>
      <c r="BH168" s="130">
        <f t="shared" si="18"/>
        <v>0</v>
      </c>
      <c r="BI168" s="130">
        <f t="shared" si="19"/>
        <v>0</v>
      </c>
      <c r="BJ168" s="13" t="s">
        <v>63</v>
      </c>
      <c r="BK168" s="130">
        <f t="shared" si="20"/>
        <v>10.14</v>
      </c>
      <c r="BL168" s="13" t="s">
        <v>63</v>
      </c>
      <c r="BM168" s="129" t="s">
        <v>1443</v>
      </c>
    </row>
    <row r="169" spans="2:65" s="1" customFormat="1" ht="16.5" customHeight="1" x14ac:dyDescent="0.2">
      <c r="B169" s="118"/>
      <c r="C169" s="131" t="s">
        <v>407</v>
      </c>
      <c r="D169" s="131" t="s">
        <v>277</v>
      </c>
      <c r="E169" s="132" t="s">
        <v>1444</v>
      </c>
      <c r="F169" s="133" t="s">
        <v>1445</v>
      </c>
      <c r="G169" s="134" t="s">
        <v>1194</v>
      </c>
      <c r="H169" s="135">
        <v>2</v>
      </c>
      <c r="I169" s="136">
        <v>146.87</v>
      </c>
      <c r="J169" s="136">
        <f t="shared" si="11"/>
        <v>293.74</v>
      </c>
      <c r="K169" s="133" t="s">
        <v>1</v>
      </c>
      <c r="L169" s="137"/>
      <c r="M169" s="138" t="s">
        <v>1</v>
      </c>
      <c r="N169" s="139" t="s">
        <v>31</v>
      </c>
      <c r="O169" s="127">
        <v>0</v>
      </c>
      <c r="P169" s="127">
        <f t="shared" si="12"/>
        <v>0</v>
      </c>
      <c r="Q169" s="127">
        <v>1.6999999999999999E-3</v>
      </c>
      <c r="R169" s="127">
        <f t="shared" si="13"/>
        <v>3.3999999999999998E-3</v>
      </c>
      <c r="S169" s="127">
        <v>0</v>
      </c>
      <c r="T169" s="128">
        <f t="shared" si="14"/>
        <v>0</v>
      </c>
      <c r="W169" s="199"/>
      <c r="X169" s="131" t="s">
        <v>407</v>
      </c>
      <c r="Y169" s="131" t="s">
        <v>277</v>
      </c>
      <c r="Z169" s="132" t="s">
        <v>1444</v>
      </c>
      <c r="AA169" s="133" t="s">
        <v>1445</v>
      </c>
      <c r="AB169" s="134" t="s">
        <v>1194</v>
      </c>
      <c r="AC169" s="135">
        <v>2</v>
      </c>
      <c r="AD169" s="136">
        <v>146.87</v>
      </c>
      <c r="AE169" s="229">
        <f t="shared" si="4"/>
        <v>293.74</v>
      </c>
      <c r="AF169" s="227"/>
      <c r="AG169" s="374"/>
      <c r="AR169" s="129" t="s">
        <v>76</v>
      </c>
      <c r="AT169" s="129" t="s">
        <v>277</v>
      </c>
      <c r="AU169" s="129" t="s">
        <v>63</v>
      </c>
      <c r="AY169" s="13" t="s">
        <v>228</v>
      </c>
      <c r="BE169" s="130">
        <f t="shared" si="15"/>
        <v>293.74</v>
      </c>
      <c r="BF169" s="130">
        <f t="shared" si="16"/>
        <v>0</v>
      </c>
      <c r="BG169" s="130">
        <f t="shared" si="17"/>
        <v>0</v>
      </c>
      <c r="BH169" s="130">
        <f t="shared" si="18"/>
        <v>0</v>
      </c>
      <c r="BI169" s="130">
        <f t="shared" si="19"/>
        <v>0</v>
      </c>
      <c r="BJ169" s="13" t="s">
        <v>63</v>
      </c>
      <c r="BK169" s="130">
        <f t="shared" si="20"/>
        <v>293.74</v>
      </c>
      <c r="BL169" s="13" t="s">
        <v>63</v>
      </c>
      <c r="BM169" s="129" t="s">
        <v>1446</v>
      </c>
    </row>
    <row r="170" spans="2:65" s="1" customFormat="1" ht="16.5" customHeight="1" x14ac:dyDescent="0.2">
      <c r="B170" s="118"/>
      <c r="C170" s="119" t="s">
        <v>323</v>
      </c>
      <c r="D170" s="119" t="s">
        <v>231</v>
      </c>
      <c r="E170" s="120" t="s">
        <v>1441</v>
      </c>
      <c r="F170" s="121" t="s">
        <v>1442</v>
      </c>
      <c r="G170" s="122" t="s">
        <v>1194</v>
      </c>
      <c r="H170" s="123">
        <v>2</v>
      </c>
      <c r="I170" s="124">
        <v>5.07</v>
      </c>
      <c r="J170" s="124">
        <f t="shared" si="11"/>
        <v>10.14</v>
      </c>
      <c r="K170" s="121" t="s">
        <v>1</v>
      </c>
      <c r="L170" s="24"/>
      <c r="M170" s="125" t="s">
        <v>1</v>
      </c>
      <c r="N170" s="126" t="s">
        <v>31</v>
      </c>
      <c r="O170" s="127">
        <v>0</v>
      </c>
      <c r="P170" s="127">
        <f t="shared" si="12"/>
        <v>0</v>
      </c>
      <c r="Q170" s="127">
        <v>0</v>
      </c>
      <c r="R170" s="127">
        <f t="shared" si="13"/>
        <v>0</v>
      </c>
      <c r="S170" s="127">
        <v>0</v>
      </c>
      <c r="T170" s="128">
        <f t="shared" si="14"/>
        <v>0</v>
      </c>
      <c r="W170" s="199"/>
      <c r="X170" s="119" t="s">
        <v>323</v>
      </c>
      <c r="Y170" s="119" t="s">
        <v>231</v>
      </c>
      <c r="Z170" s="120" t="s">
        <v>1441</v>
      </c>
      <c r="AA170" s="121" t="s">
        <v>1442</v>
      </c>
      <c r="AB170" s="122" t="s">
        <v>1194</v>
      </c>
      <c r="AC170" s="123">
        <v>2</v>
      </c>
      <c r="AD170" s="124">
        <v>5.07</v>
      </c>
      <c r="AE170" s="200">
        <f t="shared" si="4"/>
        <v>10.14</v>
      </c>
      <c r="AF170" s="227"/>
      <c r="AG170" s="374"/>
      <c r="AR170" s="129" t="s">
        <v>63</v>
      </c>
      <c r="AT170" s="129" t="s">
        <v>231</v>
      </c>
      <c r="AU170" s="129" t="s">
        <v>63</v>
      </c>
      <c r="AY170" s="13" t="s">
        <v>228</v>
      </c>
      <c r="BE170" s="130">
        <f t="shared" si="15"/>
        <v>10.14</v>
      </c>
      <c r="BF170" s="130">
        <f t="shared" si="16"/>
        <v>0</v>
      </c>
      <c r="BG170" s="130">
        <f t="shared" si="17"/>
        <v>0</v>
      </c>
      <c r="BH170" s="130">
        <f t="shared" si="18"/>
        <v>0</v>
      </c>
      <c r="BI170" s="130">
        <f t="shared" si="19"/>
        <v>0</v>
      </c>
      <c r="BJ170" s="13" t="s">
        <v>63</v>
      </c>
      <c r="BK170" s="130">
        <f t="shared" si="20"/>
        <v>10.14</v>
      </c>
      <c r="BL170" s="13" t="s">
        <v>63</v>
      </c>
      <c r="BM170" s="129" t="s">
        <v>1447</v>
      </c>
    </row>
    <row r="171" spans="2:65" s="1" customFormat="1" ht="16.5" customHeight="1" x14ac:dyDescent="0.2">
      <c r="B171" s="118"/>
      <c r="C171" s="131" t="s">
        <v>415</v>
      </c>
      <c r="D171" s="131" t="s">
        <v>277</v>
      </c>
      <c r="E171" s="132" t="s">
        <v>1448</v>
      </c>
      <c r="F171" s="133" t="s">
        <v>1449</v>
      </c>
      <c r="G171" s="134" t="s">
        <v>1194</v>
      </c>
      <c r="H171" s="135">
        <v>1</v>
      </c>
      <c r="I171" s="136">
        <v>240.33</v>
      </c>
      <c r="J171" s="136">
        <f t="shared" si="11"/>
        <v>240.33</v>
      </c>
      <c r="K171" s="133" t="s">
        <v>1</v>
      </c>
      <c r="L171" s="137"/>
      <c r="M171" s="138" t="s">
        <v>1</v>
      </c>
      <c r="N171" s="139" t="s">
        <v>31</v>
      </c>
      <c r="O171" s="127">
        <v>0</v>
      </c>
      <c r="P171" s="127">
        <f t="shared" si="12"/>
        <v>0</v>
      </c>
      <c r="Q171" s="127">
        <v>2E-3</v>
      </c>
      <c r="R171" s="127">
        <f t="shared" si="13"/>
        <v>2E-3</v>
      </c>
      <c r="S171" s="127">
        <v>0</v>
      </c>
      <c r="T171" s="128">
        <f t="shared" si="14"/>
        <v>0</v>
      </c>
      <c r="W171" s="199"/>
      <c r="X171" s="131" t="s">
        <v>415</v>
      </c>
      <c r="Y171" s="131" t="s">
        <v>277</v>
      </c>
      <c r="Z171" s="132" t="s">
        <v>1448</v>
      </c>
      <c r="AA171" s="133" t="s">
        <v>1449</v>
      </c>
      <c r="AB171" s="134" t="s">
        <v>1194</v>
      </c>
      <c r="AC171" s="135">
        <v>1</v>
      </c>
      <c r="AD171" s="136">
        <v>240.33</v>
      </c>
      <c r="AE171" s="229">
        <f t="shared" si="4"/>
        <v>240.33</v>
      </c>
      <c r="AF171" s="227"/>
      <c r="AG171" s="374"/>
      <c r="AR171" s="129" t="s">
        <v>76</v>
      </c>
      <c r="AT171" s="129" t="s">
        <v>277</v>
      </c>
      <c r="AU171" s="129" t="s">
        <v>63</v>
      </c>
      <c r="AY171" s="13" t="s">
        <v>228</v>
      </c>
      <c r="BE171" s="130">
        <f t="shared" si="15"/>
        <v>240.33</v>
      </c>
      <c r="BF171" s="130">
        <f t="shared" si="16"/>
        <v>0</v>
      </c>
      <c r="BG171" s="130">
        <f t="shared" si="17"/>
        <v>0</v>
      </c>
      <c r="BH171" s="130">
        <f t="shared" si="18"/>
        <v>0</v>
      </c>
      <c r="BI171" s="130">
        <f t="shared" si="19"/>
        <v>0</v>
      </c>
      <c r="BJ171" s="13" t="s">
        <v>63</v>
      </c>
      <c r="BK171" s="130">
        <f t="shared" si="20"/>
        <v>240.33</v>
      </c>
      <c r="BL171" s="13" t="s">
        <v>63</v>
      </c>
      <c r="BM171" s="129" t="s">
        <v>1450</v>
      </c>
    </row>
    <row r="172" spans="2:65" s="1" customFormat="1" ht="16.5" customHeight="1" x14ac:dyDescent="0.2">
      <c r="B172" s="118"/>
      <c r="C172" s="131" t="s">
        <v>326</v>
      </c>
      <c r="D172" s="131" t="s">
        <v>277</v>
      </c>
      <c r="E172" s="132" t="s">
        <v>1451</v>
      </c>
      <c r="F172" s="133" t="s">
        <v>1452</v>
      </c>
      <c r="G172" s="134" t="s">
        <v>1194</v>
      </c>
      <c r="H172" s="135">
        <v>1</v>
      </c>
      <c r="I172" s="136">
        <v>309.58</v>
      </c>
      <c r="J172" s="136">
        <f t="shared" si="11"/>
        <v>309.58</v>
      </c>
      <c r="K172" s="133" t="s">
        <v>1</v>
      </c>
      <c r="L172" s="137"/>
      <c r="M172" s="138" t="s">
        <v>1</v>
      </c>
      <c r="N172" s="139" t="s">
        <v>31</v>
      </c>
      <c r="O172" s="127">
        <v>0</v>
      </c>
      <c r="P172" s="127">
        <f t="shared" si="12"/>
        <v>0</v>
      </c>
      <c r="Q172" s="127">
        <v>2E-3</v>
      </c>
      <c r="R172" s="127">
        <f t="shared" si="13"/>
        <v>2E-3</v>
      </c>
      <c r="S172" s="127">
        <v>0</v>
      </c>
      <c r="T172" s="128">
        <f t="shared" si="14"/>
        <v>0</v>
      </c>
      <c r="W172" s="199"/>
      <c r="X172" s="131" t="s">
        <v>326</v>
      </c>
      <c r="Y172" s="131" t="s">
        <v>277</v>
      </c>
      <c r="Z172" s="132" t="s">
        <v>1451</v>
      </c>
      <c r="AA172" s="133" t="s">
        <v>1452</v>
      </c>
      <c r="AB172" s="134" t="s">
        <v>1194</v>
      </c>
      <c r="AC172" s="135">
        <v>1</v>
      </c>
      <c r="AD172" s="136">
        <v>309.58</v>
      </c>
      <c r="AE172" s="229">
        <f t="shared" si="4"/>
        <v>309.58</v>
      </c>
      <c r="AF172" s="227"/>
      <c r="AG172" s="374"/>
      <c r="AR172" s="129" t="s">
        <v>76</v>
      </c>
      <c r="AT172" s="129" t="s">
        <v>277</v>
      </c>
      <c r="AU172" s="129" t="s">
        <v>63</v>
      </c>
      <c r="AY172" s="13" t="s">
        <v>228</v>
      </c>
      <c r="BE172" s="130">
        <f t="shared" si="15"/>
        <v>309.58</v>
      </c>
      <c r="BF172" s="130">
        <f t="shared" si="16"/>
        <v>0</v>
      </c>
      <c r="BG172" s="130">
        <f t="shared" si="17"/>
        <v>0</v>
      </c>
      <c r="BH172" s="130">
        <f t="shared" si="18"/>
        <v>0</v>
      </c>
      <c r="BI172" s="130">
        <f t="shared" si="19"/>
        <v>0</v>
      </c>
      <c r="BJ172" s="13" t="s">
        <v>63</v>
      </c>
      <c r="BK172" s="130">
        <f t="shared" si="20"/>
        <v>309.58</v>
      </c>
      <c r="BL172" s="13" t="s">
        <v>63</v>
      </c>
      <c r="BM172" s="129" t="s">
        <v>1453</v>
      </c>
    </row>
    <row r="173" spans="2:65" s="1" customFormat="1" ht="16.5" customHeight="1" x14ac:dyDescent="0.2">
      <c r="B173" s="118"/>
      <c r="C173" s="119" t="s">
        <v>422</v>
      </c>
      <c r="D173" s="119" t="s">
        <v>231</v>
      </c>
      <c r="E173" s="120" t="s">
        <v>1454</v>
      </c>
      <c r="F173" s="121" t="s">
        <v>1455</v>
      </c>
      <c r="G173" s="122" t="s">
        <v>1194</v>
      </c>
      <c r="H173" s="123">
        <v>4</v>
      </c>
      <c r="I173" s="124">
        <v>6.41</v>
      </c>
      <c r="J173" s="124">
        <f t="shared" si="11"/>
        <v>25.64</v>
      </c>
      <c r="K173" s="121" t="s">
        <v>1</v>
      </c>
      <c r="L173" s="24"/>
      <c r="M173" s="125" t="s">
        <v>1</v>
      </c>
      <c r="N173" s="126" t="s">
        <v>31</v>
      </c>
      <c r="O173" s="127">
        <v>0</v>
      </c>
      <c r="P173" s="127">
        <f t="shared" si="12"/>
        <v>0</v>
      </c>
      <c r="Q173" s="127">
        <v>0</v>
      </c>
      <c r="R173" s="127">
        <f t="shared" si="13"/>
        <v>0</v>
      </c>
      <c r="S173" s="127">
        <v>0</v>
      </c>
      <c r="T173" s="128">
        <f t="shared" si="14"/>
        <v>0</v>
      </c>
      <c r="W173" s="199"/>
      <c r="X173" s="119" t="s">
        <v>422</v>
      </c>
      <c r="Y173" s="119" t="s">
        <v>231</v>
      </c>
      <c r="Z173" s="120" t="s">
        <v>1454</v>
      </c>
      <c r="AA173" s="121" t="s">
        <v>1455</v>
      </c>
      <c r="AB173" s="122" t="s">
        <v>1194</v>
      </c>
      <c r="AC173" s="123">
        <v>4</v>
      </c>
      <c r="AD173" s="124">
        <v>6.41</v>
      </c>
      <c r="AE173" s="200">
        <f t="shared" si="4"/>
        <v>25.64</v>
      </c>
      <c r="AF173" s="227"/>
      <c r="AG173" s="374"/>
      <c r="AR173" s="129" t="s">
        <v>63</v>
      </c>
      <c r="AT173" s="129" t="s">
        <v>231</v>
      </c>
      <c r="AU173" s="129" t="s">
        <v>63</v>
      </c>
      <c r="AY173" s="13" t="s">
        <v>228</v>
      </c>
      <c r="BE173" s="130">
        <f t="shared" si="15"/>
        <v>25.64</v>
      </c>
      <c r="BF173" s="130">
        <f t="shared" si="16"/>
        <v>0</v>
      </c>
      <c r="BG173" s="130">
        <f t="shared" si="17"/>
        <v>0</v>
      </c>
      <c r="BH173" s="130">
        <f t="shared" si="18"/>
        <v>0</v>
      </c>
      <c r="BI173" s="130">
        <f t="shared" si="19"/>
        <v>0</v>
      </c>
      <c r="BJ173" s="13" t="s">
        <v>63</v>
      </c>
      <c r="BK173" s="130">
        <f t="shared" si="20"/>
        <v>25.64</v>
      </c>
      <c r="BL173" s="13" t="s">
        <v>63</v>
      </c>
      <c r="BM173" s="129" t="s">
        <v>1456</v>
      </c>
    </row>
    <row r="174" spans="2:65" s="1" customFormat="1" ht="16.5" customHeight="1" x14ac:dyDescent="0.2">
      <c r="B174" s="118"/>
      <c r="C174" s="131" t="s">
        <v>330</v>
      </c>
      <c r="D174" s="131" t="s">
        <v>277</v>
      </c>
      <c r="E174" s="132" t="s">
        <v>1457</v>
      </c>
      <c r="F174" s="133" t="s">
        <v>1458</v>
      </c>
      <c r="G174" s="134" t="s">
        <v>1194</v>
      </c>
      <c r="H174" s="135">
        <v>4</v>
      </c>
      <c r="I174" s="136">
        <v>160.22</v>
      </c>
      <c r="J174" s="136">
        <f t="shared" si="11"/>
        <v>640.88</v>
      </c>
      <c r="K174" s="133" t="s">
        <v>1</v>
      </c>
      <c r="L174" s="137"/>
      <c r="M174" s="138" t="s">
        <v>1</v>
      </c>
      <c r="N174" s="139" t="s">
        <v>31</v>
      </c>
      <c r="O174" s="127">
        <v>0</v>
      </c>
      <c r="P174" s="127">
        <f t="shared" si="12"/>
        <v>0</v>
      </c>
      <c r="Q174" s="127">
        <v>5.6999999999999998E-4</v>
      </c>
      <c r="R174" s="127">
        <f t="shared" si="13"/>
        <v>2.2799999999999999E-3</v>
      </c>
      <c r="S174" s="127">
        <v>0</v>
      </c>
      <c r="T174" s="128">
        <f t="shared" si="14"/>
        <v>0</v>
      </c>
      <c r="W174" s="199"/>
      <c r="X174" s="131" t="s">
        <v>330</v>
      </c>
      <c r="Y174" s="131" t="s">
        <v>277</v>
      </c>
      <c r="Z174" s="132" t="s">
        <v>1457</v>
      </c>
      <c r="AA174" s="133" t="s">
        <v>1458</v>
      </c>
      <c r="AB174" s="134" t="s">
        <v>1194</v>
      </c>
      <c r="AC174" s="135">
        <v>4</v>
      </c>
      <c r="AD174" s="136">
        <v>160.22</v>
      </c>
      <c r="AE174" s="229">
        <f t="shared" si="4"/>
        <v>640.88</v>
      </c>
      <c r="AF174" s="227"/>
      <c r="AG174" s="374"/>
      <c r="AR174" s="129" t="s">
        <v>76</v>
      </c>
      <c r="AT174" s="129" t="s">
        <v>277</v>
      </c>
      <c r="AU174" s="129" t="s">
        <v>63</v>
      </c>
      <c r="AY174" s="13" t="s">
        <v>228</v>
      </c>
      <c r="BE174" s="130">
        <f t="shared" si="15"/>
        <v>640.88</v>
      </c>
      <c r="BF174" s="130">
        <f t="shared" si="16"/>
        <v>0</v>
      </c>
      <c r="BG174" s="130">
        <f t="shared" si="17"/>
        <v>0</v>
      </c>
      <c r="BH174" s="130">
        <f t="shared" si="18"/>
        <v>0</v>
      </c>
      <c r="BI174" s="130">
        <f t="shared" si="19"/>
        <v>0</v>
      </c>
      <c r="BJ174" s="13" t="s">
        <v>63</v>
      </c>
      <c r="BK174" s="130">
        <f t="shared" si="20"/>
        <v>640.88</v>
      </c>
      <c r="BL174" s="13" t="s">
        <v>63</v>
      </c>
      <c r="BM174" s="129" t="s">
        <v>1459</v>
      </c>
    </row>
    <row r="175" spans="2:65" s="1" customFormat="1" ht="24" customHeight="1" x14ac:dyDescent="0.2">
      <c r="B175" s="118"/>
      <c r="C175" s="285" t="s">
        <v>429</v>
      </c>
      <c r="D175" s="119" t="s">
        <v>231</v>
      </c>
      <c r="E175" s="120" t="s">
        <v>1460</v>
      </c>
      <c r="F175" s="121" t="s">
        <v>1461</v>
      </c>
      <c r="G175" s="122" t="s">
        <v>1194</v>
      </c>
      <c r="H175" s="288">
        <v>1</v>
      </c>
      <c r="I175" s="124">
        <v>133.52000000000001</v>
      </c>
      <c r="J175" s="124">
        <f t="shared" si="11"/>
        <v>133.52000000000001</v>
      </c>
      <c r="K175" s="121" t="s">
        <v>1</v>
      </c>
      <c r="L175" s="24"/>
      <c r="M175" s="125" t="s">
        <v>1</v>
      </c>
      <c r="N175" s="126" t="s">
        <v>31</v>
      </c>
      <c r="O175" s="127">
        <v>0</v>
      </c>
      <c r="P175" s="127">
        <f t="shared" si="12"/>
        <v>0</v>
      </c>
      <c r="Q175" s="127">
        <v>0</v>
      </c>
      <c r="R175" s="127">
        <f t="shared" si="13"/>
        <v>0</v>
      </c>
      <c r="S175" s="127">
        <v>0</v>
      </c>
      <c r="T175" s="128">
        <f t="shared" si="14"/>
        <v>0</v>
      </c>
      <c r="W175" s="199"/>
      <c r="X175" s="285" t="s">
        <v>429</v>
      </c>
      <c r="Y175" s="119" t="s">
        <v>231</v>
      </c>
      <c r="Z175" s="120" t="s">
        <v>1460</v>
      </c>
      <c r="AA175" s="121" t="s">
        <v>1461</v>
      </c>
      <c r="AB175" s="122" t="s">
        <v>1194</v>
      </c>
      <c r="AC175" s="288">
        <v>1</v>
      </c>
      <c r="AD175" s="124">
        <v>133.52000000000001</v>
      </c>
      <c r="AE175" s="200">
        <f t="shared" si="4"/>
        <v>133.52000000000001</v>
      </c>
      <c r="AF175" s="227"/>
      <c r="AG175" s="374"/>
      <c r="AR175" s="129" t="s">
        <v>63</v>
      </c>
      <c r="AT175" s="129" t="s">
        <v>231</v>
      </c>
      <c r="AU175" s="129" t="s">
        <v>63</v>
      </c>
      <c r="AY175" s="13" t="s">
        <v>228</v>
      </c>
      <c r="BE175" s="130">
        <f t="shared" si="15"/>
        <v>133.52000000000001</v>
      </c>
      <c r="BF175" s="130">
        <f t="shared" si="16"/>
        <v>0</v>
      </c>
      <c r="BG175" s="130">
        <f t="shared" si="17"/>
        <v>0</v>
      </c>
      <c r="BH175" s="130">
        <f t="shared" si="18"/>
        <v>0</v>
      </c>
      <c r="BI175" s="130">
        <f t="shared" si="19"/>
        <v>0</v>
      </c>
      <c r="BJ175" s="13" t="s">
        <v>63</v>
      </c>
      <c r="BK175" s="130">
        <f t="shared" si="20"/>
        <v>133.52000000000001</v>
      </c>
      <c r="BL175" s="13" t="s">
        <v>63</v>
      </c>
      <c r="BM175" s="129" t="s">
        <v>1462</v>
      </c>
    </row>
    <row r="176" spans="2:65" s="1" customFormat="1" ht="24" customHeight="1" x14ac:dyDescent="0.2">
      <c r="B176" s="118"/>
      <c r="C176" s="242" t="s">
        <v>333</v>
      </c>
      <c r="D176" s="131" t="s">
        <v>277</v>
      </c>
      <c r="E176" s="132" t="s">
        <v>1463</v>
      </c>
      <c r="F176" s="133" t="s">
        <v>1464</v>
      </c>
      <c r="G176" s="134" t="s">
        <v>1194</v>
      </c>
      <c r="H176" s="241">
        <v>1</v>
      </c>
      <c r="I176" s="136">
        <v>1375.2</v>
      </c>
      <c r="J176" s="136">
        <f t="shared" si="11"/>
        <v>1375.2</v>
      </c>
      <c r="K176" s="133" t="s">
        <v>1</v>
      </c>
      <c r="L176" s="137"/>
      <c r="M176" s="138" t="s">
        <v>1</v>
      </c>
      <c r="N176" s="139" t="s">
        <v>31</v>
      </c>
      <c r="O176" s="127">
        <v>0</v>
      </c>
      <c r="P176" s="127">
        <f t="shared" si="12"/>
        <v>0</v>
      </c>
      <c r="Q176" s="127">
        <v>4.2999999999999997E-2</v>
      </c>
      <c r="R176" s="127">
        <f t="shared" si="13"/>
        <v>4.2999999999999997E-2</v>
      </c>
      <c r="S176" s="127">
        <v>0</v>
      </c>
      <c r="T176" s="128">
        <f t="shared" si="14"/>
        <v>0</v>
      </c>
      <c r="W176" s="199"/>
      <c r="X176" s="242" t="s">
        <v>333</v>
      </c>
      <c r="Y176" s="131" t="s">
        <v>277</v>
      </c>
      <c r="Z176" s="132" t="s">
        <v>1463</v>
      </c>
      <c r="AA176" s="133" t="s">
        <v>1464</v>
      </c>
      <c r="AB176" s="134" t="s">
        <v>1194</v>
      </c>
      <c r="AC176" s="241">
        <f>1-1</f>
        <v>0</v>
      </c>
      <c r="AD176" s="136">
        <v>1375.2</v>
      </c>
      <c r="AE176" s="229">
        <f t="shared" si="4"/>
        <v>0</v>
      </c>
      <c r="AF176" s="227" t="s">
        <v>6051</v>
      </c>
      <c r="AG176" s="374"/>
      <c r="AR176" s="129" t="s">
        <v>76</v>
      </c>
      <c r="AT176" s="129" t="s">
        <v>277</v>
      </c>
      <c r="AU176" s="129" t="s">
        <v>63</v>
      </c>
      <c r="AY176" s="13" t="s">
        <v>228</v>
      </c>
      <c r="BE176" s="130">
        <f t="shared" si="15"/>
        <v>1375.2</v>
      </c>
      <c r="BF176" s="130">
        <f t="shared" si="16"/>
        <v>0</v>
      </c>
      <c r="BG176" s="130">
        <f t="shared" si="17"/>
        <v>0</v>
      </c>
      <c r="BH176" s="130">
        <f t="shared" si="18"/>
        <v>0</v>
      </c>
      <c r="BI176" s="130">
        <f t="shared" si="19"/>
        <v>0</v>
      </c>
      <c r="BJ176" s="13" t="s">
        <v>63</v>
      </c>
      <c r="BK176" s="130">
        <f t="shared" si="20"/>
        <v>1375.2</v>
      </c>
      <c r="BL176" s="13" t="s">
        <v>63</v>
      </c>
      <c r="BM176" s="129" t="s">
        <v>1465</v>
      </c>
    </row>
    <row r="177" spans="2:65" s="1" customFormat="1" ht="24" customHeight="1" x14ac:dyDescent="0.2">
      <c r="B177" s="118"/>
      <c r="C177" s="285" t="s">
        <v>438</v>
      </c>
      <c r="D177" s="119" t="s">
        <v>231</v>
      </c>
      <c r="E177" s="120" t="s">
        <v>1466</v>
      </c>
      <c r="F177" s="121" t="s">
        <v>1467</v>
      </c>
      <c r="G177" s="122" t="s">
        <v>292</v>
      </c>
      <c r="H177" s="288">
        <v>40</v>
      </c>
      <c r="I177" s="124">
        <v>1.24</v>
      </c>
      <c r="J177" s="124">
        <f t="shared" si="11"/>
        <v>49.6</v>
      </c>
      <c r="K177" s="121" t="s">
        <v>1</v>
      </c>
      <c r="L177" s="24"/>
      <c r="M177" s="125" t="s">
        <v>1</v>
      </c>
      <c r="N177" s="126" t="s">
        <v>31</v>
      </c>
      <c r="O177" s="127">
        <v>0</v>
      </c>
      <c r="P177" s="127">
        <f t="shared" si="12"/>
        <v>0</v>
      </c>
      <c r="Q177" s="127">
        <v>0</v>
      </c>
      <c r="R177" s="127">
        <f t="shared" si="13"/>
        <v>0</v>
      </c>
      <c r="S177" s="127">
        <v>0</v>
      </c>
      <c r="T177" s="128">
        <f t="shared" si="14"/>
        <v>0</v>
      </c>
      <c r="W177" s="199"/>
      <c r="X177" s="285" t="s">
        <v>438</v>
      </c>
      <c r="Y177" s="119" t="s">
        <v>231</v>
      </c>
      <c r="Z177" s="120" t="s">
        <v>1466</v>
      </c>
      <c r="AA177" s="121" t="s">
        <v>1467</v>
      </c>
      <c r="AB177" s="122" t="s">
        <v>292</v>
      </c>
      <c r="AC177" s="288">
        <v>40</v>
      </c>
      <c r="AD177" s="124">
        <v>1.24</v>
      </c>
      <c r="AE177" s="200">
        <f t="shared" si="4"/>
        <v>49.6</v>
      </c>
      <c r="AF177" s="227"/>
      <c r="AG177" s="374"/>
      <c r="AR177" s="129" t="s">
        <v>63</v>
      </c>
      <c r="AT177" s="129" t="s">
        <v>231</v>
      </c>
      <c r="AU177" s="129" t="s">
        <v>63</v>
      </c>
      <c r="AY177" s="13" t="s">
        <v>228</v>
      </c>
      <c r="BE177" s="130">
        <f t="shared" si="15"/>
        <v>49.6</v>
      </c>
      <c r="BF177" s="130">
        <f t="shared" si="16"/>
        <v>0</v>
      </c>
      <c r="BG177" s="130">
        <f t="shared" si="17"/>
        <v>0</v>
      </c>
      <c r="BH177" s="130">
        <f t="shared" si="18"/>
        <v>0</v>
      </c>
      <c r="BI177" s="130">
        <f t="shared" si="19"/>
        <v>0</v>
      </c>
      <c r="BJ177" s="13" t="s">
        <v>63</v>
      </c>
      <c r="BK177" s="130">
        <f t="shared" si="20"/>
        <v>49.6</v>
      </c>
      <c r="BL177" s="13" t="s">
        <v>63</v>
      </c>
      <c r="BM177" s="129" t="s">
        <v>1468</v>
      </c>
    </row>
    <row r="178" spans="2:65" s="1" customFormat="1" ht="24" customHeight="1" x14ac:dyDescent="0.2">
      <c r="B178" s="118"/>
      <c r="C178" s="444" t="s">
        <v>337</v>
      </c>
      <c r="D178" s="131" t="s">
        <v>277</v>
      </c>
      <c r="E178" s="132" t="s">
        <v>1469</v>
      </c>
      <c r="F178" s="133" t="s">
        <v>1470</v>
      </c>
      <c r="G178" s="134" t="s">
        <v>292</v>
      </c>
      <c r="H178" s="443">
        <v>40</v>
      </c>
      <c r="I178" s="136">
        <v>2.81</v>
      </c>
      <c r="J178" s="136">
        <f t="shared" si="11"/>
        <v>112.4</v>
      </c>
      <c r="K178" s="133" t="s">
        <v>1</v>
      </c>
      <c r="L178" s="137"/>
      <c r="M178" s="138" t="s">
        <v>1</v>
      </c>
      <c r="N178" s="139" t="s">
        <v>31</v>
      </c>
      <c r="O178" s="127">
        <v>0</v>
      </c>
      <c r="P178" s="127">
        <f t="shared" si="12"/>
        <v>0</v>
      </c>
      <c r="Q178" s="127">
        <v>2.1000000000000001E-4</v>
      </c>
      <c r="R178" s="127">
        <f t="shared" si="13"/>
        <v>8.4000000000000012E-3</v>
      </c>
      <c r="S178" s="127">
        <v>0</v>
      </c>
      <c r="T178" s="128">
        <f t="shared" si="14"/>
        <v>0</v>
      </c>
      <c r="W178" s="199"/>
      <c r="X178" s="444" t="s">
        <v>337</v>
      </c>
      <c r="Y178" s="131" t="s">
        <v>277</v>
      </c>
      <c r="Z178" s="132" t="s">
        <v>1469</v>
      </c>
      <c r="AA178" s="133" t="s">
        <v>1470</v>
      </c>
      <c r="AB178" s="134" t="s">
        <v>292</v>
      </c>
      <c r="AC178" s="443">
        <v>40</v>
      </c>
      <c r="AD178" s="136">
        <v>2.81</v>
      </c>
      <c r="AE178" s="229">
        <f t="shared" si="4"/>
        <v>112.4</v>
      </c>
      <c r="AF178" s="227"/>
      <c r="AG178" s="374"/>
      <c r="AR178" s="129" t="s">
        <v>76</v>
      </c>
      <c r="AT178" s="129" t="s">
        <v>277</v>
      </c>
      <c r="AU178" s="129" t="s">
        <v>63</v>
      </c>
      <c r="AY178" s="13" t="s">
        <v>228</v>
      </c>
      <c r="BE178" s="130">
        <f t="shared" si="15"/>
        <v>112.4</v>
      </c>
      <c r="BF178" s="130">
        <f t="shared" si="16"/>
        <v>0</v>
      </c>
      <c r="BG178" s="130">
        <f t="shared" si="17"/>
        <v>0</v>
      </c>
      <c r="BH178" s="130">
        <f t="shared" si="18"/>
        <v>0</v>
      </c>
      <c r="BI178" s="130">
        <f t="shared" si="19"/>
        <v>0</v>
      </c>
      <c r="BJ178" s="13" t="s">
        <v>63</v>
      </c>
      <c r="BK178" s="130">
        <f t="shared" si="20"/>
        <v>112.4</v>
      </c>
      <c r="BL178" s="13" t="s">
        <v>63</v>
      </c>
      <c r="BM178" s="129" t="s">
        <v>1471</v>
      </c>
    </row>
    <row r="179" spans="2:65" s="1" customFormat="1" ht="24" customHeight="1" x14ac:dyDescent="0.2">
      <c r="B179" s="118"/>
      <c r="C179" s="119" t="s">
        <v>445</v>
      </c>
      <c r="D179" s="119" t="s">
        <v>231</v>
      </c>
      <c r="E179" s="120" t="s">
        <v>1472</v>
      </c>
      <c r="F179" s="121" t="s">
        <v>1473</v>
      </c>
      <c r="G179" s="122" t="s">
        <v>292</v>
      </c>
      <c r="H179" s="123">
        <v>12</v>
      </c>
      <c r="I179" s="124">
        <v>1.24</v>
      </c>
      <c r="J179" s="124">
        <f t="shared" si="11"/>
        <v>14.88</v>
      </c>
      <c r="K179" s="121" t="s">
        <v>1</v>
      </c>
      <c r="L179" s="24"/>
      <c r="M179" s="125" t="s">
        <v>1</v>
      </c>
      <c r="N179" s="126" t="s">
        <v>31</v>
      </c>
      <c r="O179" s="127">
        <v>0</v>
      </c>
      <c r="P179" s="127">
        <f t="shared" si="12"/>
        <v>0</v>
      </c>
      <c r="Q179" s="127">
        <v>0</v>
      </c>
      <c r="R179" s="127">
        <f t="shared" si="13"/>
        <v>0</v>
      </c>
      <c r="S179" s="127">
        <v>0</v>
      </c>
      <c r="T179" s="128">
        <f t="shared" si="14"/>
        <v>0</v>
      </c>
      <c r="W179" s="199"/>
      <c r="X179" s="119" t="s">
        <v>445</v>
      </c>
      <c r="Y179" s="119" t="s">
        <v>231</v>
      </c>
      <c r="Z179" s="120" t="s">
        <v>1472</v>
      </c>
      <c r="AA179" s="121" t="s">
        <v>1473</v>
      </c>
      <c r="AB179" s="122" t="s">
        <v>292</v>
      </c>
      <c r="AC179" s="123">
        <v>12</v>
      </c>
      <c r="AD179" s="124">
        <v>1.24</v>
      </c>
      <c r="AE179" s="200">
        <f t="shared" si="4"/>
        <v>14.88</v>
      </c>
      <c r="AF179" s="227"/>
      <c r="AG179" s="374"/>
      <c r="AR179" s="129" t="s">
        <v>63</v>
      </c>
      <c r="AT179" s="129" t="s">
        <v>231</v>
      </c>
      <c r="AU179" s="129" t="s">
        <v>63</v>
      </c>
      <c r="AY179" s="13" t="s">
        <v>228</v>
      </c>
      <c r="BE179" s="130">
        <f t="shared" si="15"/>
        <v>14.88</v>
      </c>
      <c r="BF179" s="130">
        <f t="shared" si="16"/>
        <v>0</v>
      </c>
      <c r="BG179" s="130">
        <f t="shared" si="17"/>
        <v>0</v>
      </c>
      <c r="BH179" s="130">
        <f t="shared" si="18"/>
        <v>0</v>
      </c>
      <c r="BI179" s="130">
        <f t="shared" si="19"/>
        <v>0</v>
      </c>
      <c r="BJ179" s="13" t="s">
        <v>63</v>
      </c>
      <c r="BK179" s="130">
        <f t="shared" si="20"/>
        <v>14.88</v>
      </c>
      <c r="BL179" s="13" t="s">
        <v>63</v>
      </c>
      <c r="BM179" s="129" t="s">
        <v>1474</v>
      </c>
    </row>
    <row r="180" spans="2:65" s="1" customFormat="1" ht="24" customHeight="1" x14ac:dyDescent="0.2">
      <c r="B180" s="118"/>
      <c r="C180" s="131" t="s">
        <v>340</v>
      </c>
      <c r="D180" s="131" t="s">
        <v>277</v>
      </c>
      <c r="E180" s="132" t="s">
        <v>1475</v>
      </c>
      <c r="F180" s="133" t="s">
        <v>1476</v>
      </c>
      <c r="G180" s="134" t="s">
        <v>292</v>
      </c>
      <c r="H180" s="135">
        <v>12</v>
      </c>
      <c r="I180" s="136">
        <v>7.21</v>
      </c>
      <c r="J180" s="136">
        <f t="shared" si="11"/>
        <v>86.52</v>
      </c>
      <c r="K180" s="133" t="s">
        <v>1</v>
      </c>
      <c r="L180" s="137"/>
      <c r="M180" s="138" t="s">
        <v>1</v>
      </c>
      <c r="N180" s="139" t="s">
        <v>31</v>
      </c>
      <c r="O180" s="127">
        <v>0</v>
      </c>
      <c r="P180" s="127">
        <f t="shared" si="12"/>
        <v>0</v>
      </c>
      <c r="Q180" s="127">
        <v>4.8999999999999998E-4</v>
      </c>
      <c r="R180" s="127">
        <f t="shared" si="13"/>
        <v>5.8799999999999998E-3</v>
      </c>
      <c r="S180" s="127">
        <v>0</v>
      </c>
      <c r="T180" s="128">
        <f t="shared" si="14"/>
        <v>0</v>
      </c>
      <c r="W180" s="199"/>
      <c r="X180" s="131" t="s">
        <v>340</v>
      </c>
      <c r="Y180" s="131" t="s">
        <v>277</v>
      </c>
      <c r="Z180" s="132" t="s">
        <v>1475</v>
      </c>
      <c r="AA180" s="133" t="s">
        <v>1476</v>
      </c>
      <c r="AB180" s="134" t="s">
        <v>292</v>
      </c>
      <c r="AC180" s="135">
        <v>12</v>
      </c>
      <c r="AD180" s="136">
        <v>7.21</v>
      </c>
      <c r="AE180" s="229">
        <f t="shared" si="4"/>
        <v>86.52</v>
      </c>
      <c r="AF180" s="227"/>
      <c r="AG180" s="374"/>
      <c r="AR180" s="129" t="s">
        <v>76</v>
      </c>
      <c r="AT180" s="129" t="s">
        <v>277</v>
      </c>
      <c r="AU180" s="129" t="s">
        <v>63</v>
      </c>
      <c r="AY180" s="13" t="s">
        <v>228</v>
      </c>
      <c r="BE180" s="130">
        <f t="shared" si="15"/>
        <v>86.52</v>
      </c>
      <c r="BF180" s="130">
        <f t="shared" si="16"/>
        <v>0</v>
      </c>
      <c r="BG180" s="130">
        <f t="shared" si="17"/>
        <v>0</v>
      </c>
      <c r="BH180" s="130">
        <f t="shared" si="18"/>
        <v>0</v>
      </c>
      <c r="BI180" s="130">
        <f t="shared" si="19"/>
        <v>0</v>
      </c>
      <c r="BJ180" s="13" t="s">
        <v>63</v>
      </c>
      <c r="BK180" s="130">
        <f t="shared" si="20"/>
        <v>86.52</v>
      </c>
      <c r="BL180" s="13" t="s">
        <v>63</v>
      </c>
      <c r="BM180" s="129" t="s">
        <v>1477</v>
      </c>
    </row>
    <row r="181" spans="2:65" s="1" customFormat="1" ht="24" customHeight="1" x14ac:dyDescent="0.2">
      <c r="B181" s="118"/>
      <c r="C181" s="205" t="s">
        <v>452</v>
      </c>
      <c r="D181" s="119" t="s">
        <v>231</v>
      </c>
      <c r="E181" s="120" t="s">
        <v>1478</v>
      </c>
      <c r="F181" s="121" t="s">
        <v>1479</v>
      </c>
      <c r="G181" s="122" t="s">
        <v>292</v>
      </c>
      <c r="H181" s="206">
        <v>16</v>
      </c>
      <c r="I181" s="124">
        <v>1.74</v>
      </c>
      <c r="J181" s="124">
        <f t="shared" si="11"/>
        <v>27.84</v>
      </c>
      <c r="K181" s="121" t="s">
        <v>1</v>
      </c>
      <c r="L181" s="24"/>
      <c r="M181" s="125" t="s">
        <v>1</v>
      </c>
      <c r="N181" s="126" t="s">
        <v>31</v>
      </c>
      <c r="O181" s="127">
        <v>0</v>
      </c>
      <c r="P181" s="127">
        <f t="shared" si="12"/>
        <v>0</v>
      </c>
      <c r="Q181" s="127">
        <v>0</v>
      </c>
      <c r="R181" s="127">
        <f t="shared" si="13"/>
        <v>0</v>
      </c>
      <c r="S181" s="127">
        <v>0</v>
      </c>
      <c r="T181" s="128">
        <f t="shared" si="14"/>
        <v>0</v>
      </c>
      <c r="W181" s="199"/>
      <c r="X181" s="205" t="s">
        <v>452</v>
      </c>
      <c r="Y181" s="119" t="s">
        <v>231</v>
      </c>
      <c r="Z181" s="120" t="s">
        <v>1478</v>
      </c>
      <c r="AA181" s="121" t="s">
        <v>1479</v>
      </c>
      <c r="AB181" s="122" t="s">
        <v>292</v>
      </c>
      <c r="AC181" s="206">
        <f>16+8</f>
        <v>24</v>
      </c>
      <c r="AD181" s="124">
        <v>1.74</v>
      </c>
      <c r="AE181" s="200">
        <f t="shared" si="4"/>
        <v>41.76</v>
      </c>
      <c r="AF181" s="227">
        <v>2</v>
      </c>
      <c r="AG181" s="374"/>
      <c r="AR181" s="129" t="s">
        <v>63</v>
      </c>
      <c r="AT181" s="129" t="s">
        <v>231</v>
      </c>
      <c r="AU181" s="129" t="s">
        <v>63</v>
      </c>
      <c r="AY181" s="13" t="s">
        <v>228</v>
      </c>
      <c r="BE181" s="130">
        <f t="shared" si="15"/>
        <v>27.84</v>
      </c>
      <c r="BF181" s="130">
        <f t="shared" si="16"/>
        <v>0</v>
      </c>
      <c r="BG181" s="130">
        <f t="shared" si="17"/>
        <v>0</v>
      </c>
      <c r="BH181" s="130">
        <f t="shared" si="18"/>
        <v>0</v>
      </c>
      <c r="BI181" s="130">
        <f t="shared" si="19"/>
        <v>0</v>
      </c>
      <c r="BJ181" s="13" t="s">
        <v>63</v>
      </c>
      <c r="BK181" s="130">
        <f t="shared" si="20"/>
        <v>27.84</v>
      </c>
      <c r="BL181" s="13" t="s">
        <v>63</v>
      </c>
      <c r="BM181" s="129" t="s">
        <v>1480</v>
      </c>
    </row>
    <row r="182" spans="2:65" s="1" customFormat="1" ht="16.5" customHeight="1" x14ac:dyDescent="0.2">
      <c r="B182" s="118"/>
      <c r="C182" s="242" t="s">
        <v>344</v>
      </c>
      <c r="D182" s="131" t="s">
        <v>277</v>
      </c>
      <c r="E182" s="132" t="s">
        <v>1481</v>
      </c>
      <c r="F182" s="133" t="s">
        <v>1482</v>
      </c>
      <c r="G182" s="134" t="s">
        <v>292</v>
      </c>
      <c r="H182" s="241">
        <v>16</v>
      </c>
      <c r="I182" s="136">
        <v>11.95</v>
      </c>
      <c r="J182" s="136">
        <f t="shared" si="11"/>
        <v>191.2</v>
      </c>
      <c r="K182" s="133" t="s">
        <v>1</v>
      </c>
      <c r="L182" s="137"/>
      <c r="M182" s="138" t="s">
        <v>1</v>
      </c>
      <c r="N182" s="139" t="s">
        <v>31</v>
      </c>
      <c r="O182" s="127">
        <v>0</v>
      </c>
      <c r="P182" s="127">
        <f t="shared" si="12"/>
        <v>0</v>
      </c>
      <c r="Q182" s="127">
        <v>9.1E-4</v>
      </c>
      <c r="R182" s="127">
        <f t="shared" si="13"/>
        <v>1.456E-2</v>
      </c>
      <c r="S182" s="127">
        <v>0</v>
      </c>
      <c r="T182" s="128">
        <f t="shared" si="14"/>
        <v>0</v>
      </c>
      <c r="W182" s="199"/>
      <c r="X182" s="242" t="s">
        <v>344</v>
      </c>
      <c r="Y182" s="131" t="s">
        <v>277</v>
      </c>
      <c r="Z182" s="132" t="s">
        <v>1481</v>
      </c>
      <c r="AA182" s="133" t="s">
        <v>1482</v>
      </c>
      <c r="AB182" s="134" t="s">
        <v>292</v>
      </c>
      <c r="AC182" s="241">
        <f>16+8</f>
        <v>24</v>
      </c>
      <c r="AD182" s="136">
        <v>11.95</v>
      </c>
      <c r="AE182" s="229">
        <f t="shared" si="4"/>
        <v>286.8</v>
      </c>
      <c r="AF182" s="227">
        <v>2</v>
      </c>
      <c r="AG182" s="374"/>
      <c r="AR182" s="129" t="s">
        <v>76</v>
      </c>
      <c r="AT182" s="129" t="s">
        <v>277</v>
      </c>
      <c r="AU182" s="129" t="s">
        <v>63</v>
      </c>
      <c r="AY182" s="13" t="s">
        <v>228</v>
      </c>
      <c r="BE182" s="130">
        <f t="shared" si="15"/>
        <v>191.2</v>
      </c>
      <c r="BF182" s="130">
        <f t="shared" si="16"/>
        <v>0</v>
      </c>
      <c r="BG182" s="130">
        <f t="shared" si="17"/>
        <v>0</v>
      </c>
      <c r="BH182" s="130">
        <f t="shared" si="18"/>
        <v>0</v>
      </c>
      <c r="BI182" s="130">
        <f t="shared" si="19"/>
        <v>0</v>
      </c>
      <c r="BJ182" s="13" t="s">
        <v>63</v>
      </c>
      <c r="BK182" s="130">
        <f t="shared" si="20"/>
        <v>191.2</v>
      </c>
      <c r="BL182" s="13" t="s">
        <v>63</v>
      </c>
      <c r="BM182" s="129" t="s">
        <v>1483</v>
      </c>
    </row>
    <row r="183" spans="2:65" s="369" customFormat="1" ht="22.8" x14ac:dyDescent="0.2">
      <c r="B183" s="118"/>
      <c r="C183" s="1234" t="s">
        <v>5205</v>
      </c>
      <c r="D183" s="1235"/>
      <c r="E183" s="1235"/>
      <c r="F183" s="1235"/>
      <c r="G183" s="1235"/>
      <c r="H183" s="1235"/>
      <c r="I183" s="1235"/>
      <c r="J183" s="1236"/>
      <c r="K183" s="133"/>
      <c r="L183" s="137"/>
      <c r="M183" s="138"/>
      <c r="N183" s="139"/>
      <c r="O183" s="127"/>
      <c r="P183" s="127"/>
      <c r="Q183" s="127"/>
      <c r="R183" s="127"/>
      <c r="S183" s="127"/>
      <c r="T183" s="128"/>
      <c r="W183" s="199"/>
      <c r="X183" s="341" t="s">
        <v>5411</v>
      </c>
      <c r="Y183" s="341" t="s">
        <v>231</v>
      </c>
      <c r="Z183" s="342" t="s">
        <v>5864</v>
      </c>
      <c r="AA183" s="343" t="s">
        <v>5865</v>
      </c>
      <c r="AB183" s="344" t="s">
        <v>292</v>
      </c>
      <c r="AC183" s="345">
        <v>9</v>
      </c>
      <c r="AD183" s="346">
        <v>1.47</v>
      </c>
      <c r="AE183" s="355">
        <f t="shared" ref="AE183:AE186" si="21">ROUND(AD183*AC183,2)</f>
        <v>13.23</v>
      </c>
      <c r="AF183" s="227">
        <v>2</v>
      </c>
      <c r="AG183" s="374"/>
      <c r="AR183" s="129"/>
      <c r="AT183" s="129"/>
      <c r="AU183" s="129"/>
      <c r="AY183" s="13"/>
      <c r="BE183" s="130"/>
      <c r="BF183" s="130"/>
      <c r="BG183" s="130"/>
      <c r="BH183" s="130"/>
      <c r="BI183" s="130"/>
      <c r="BJ183" s="13"/>
      <c r="BK183" s="130"/>
      <c r="BL183" s="13"/>
      <c r="BM183" s="129"/>
    </row>
    <row r="184" spans="2:65" s="369" customFormat="1" ht="22.8" x14ac:dyDescent="0.2">
      <c r="B184" s="118"/>
      <c r="C184" s="1234" t="s">
        <v>5205</v>
      </c>
      <c r="D184" s="1235"/>
      <c r="E184" s="1235"/>
      <c r="F184" s="1235"/>
      <c r="G184" s="1235"/>
      <c r="H184" s="1235"/>
      <c r="I184" s="1235"/>
      <c r="J184" s="1236"/>
      <c r="K184" s="133"/>
      <c r="L184" s="137"/>
      <c r="M184" s="138"/>
      <c r="N184" s="139"/>
      <c r="O184" s="127"/>
      <c r="P184" s="127"/>
      <c r="Q184" s="127"/>
      <c r="R184" s="127"/>
      <c r="S184" s="127"/>
      <c r="T184" s="128"/>
      <c r="W184" s="199"/>
      <c r="X184" s="348" t="s">
        <v>5416</v>
      </c>
      <c r="Y184" s="348" t="s">
        <v>277</v>
      </c>
      <c r="Z184" s="349" t="s">
        <v>5866</v>
      </c>
      <c r="AA184" s="350" t="s">
        <v>5867</v>
      </c>
      <c r="AB184" s="351" t="s">
        <v>292</v>
      </c>
      <c r="AC184" s="352">
        <v>9</v>
      </c>
      <c r="AD184" s="353">
        <v>8.36</v>
      </c>
      <c r="AE184" s="356">
        <f t="shared" si="21"/>
        <v>75.239999999999995</v>
      </c>
      <c r="AF184" s="227">
        <v>2</v>
      </c>
      <c r="AG184" s="374"/>
      <c r="AR184" s="129"/>
      <c r="AT184" s="129"/>
      <c r="AU184" s="129"/>
      <c r="AY184" s="13"/>
      <c r="BE184" s="130"/>
      <c r="BF184" s="130"/>
      <c r="BG184" s="130"/>
      <c r="BH184" s="130"/>
      <c r="BI184" s="130"/>
      <c r="BJ184" s="13"/>
      <c r="BK184" s="130"/>
      <c r="BL184" s="13"/>
      <c r="BM184" s="129"/>
    </row>
    <row r="185" spans="2:65" s="369" customFormat="1" ht="22.8" x14ac:dyDescent="0.2">
      <c r="B185" s="118"/>
      <c r="C185" s="1234" t="s">
        <v>5205</v>
      </c>
      <c r="D185" s="1235"/>
      <c r="E185" s="1235"/>
      <c r="F185" s="1235"/>
      <c r="G185" s="1235"/>
      <c r="H185" s="1235"/>
      <c r="I185" s="1235"/>
      <c r="J185" s="1236"/>
      <c r="K185" s="133"/>
      <c r="L185" s="137"/>
      <c r="M185" s="138"/>
      <c r="N185" s="139"/>
      <c r="O185" s="127"/>
      <c r="P185" s="127"/>
      <c r="Q185" s="127"/>
      <c r="R185" s="127"/>
      <c r="S185" s="127"/>
      <c r="T185" s="128"/>
      <c r="W185" s="199"/>
      <c r="X185" s="341" t="s">
        <v>5417</v>
      </c>
      <c r="Y185" s="341" t="s">
        <v>231</v>
      </c>
      <c r="Z185" s="342" t="s">
        <v>5868</v>
      </c>
      <c r="AA185" s="343" t="s">
        <v>5869</v>
      </c>
      <c r="AB185" s="344" t="s">
        <v>292</v>
      </c>
      <c r="AC185" s="345">
        <v>9</v>
      </c>
      <c r="AD185" s="346">
        <v>1.94</v>
      </c>
      <c r="AE185" s="355">
        <f t="shared" si="21"/>
        <v>17.46</v>
      </c>
      <c r="AF185" s="227">
        <v>2</v>
      </c>
      <c r="AG185" s="374"/>
      <c r="AR185" s="129"/>
      <c r="AT185" s="129"/>
      <c r="AU185" s="129"/>
      <c r="AY185" s="13"/>
      <c r="BE185" s="130"/>
      <c r="BF185" s="130"/>
      <c r="BG185" s="130"/>
      <c r="BH185" s="130"/>
      <c r="BI185" s="130"/>
      <c r="BJ185" s="13"/>
      <c r="BK185" s="130"/>
      <c r="BL185" s="13"/>
      <c r="BM185" s="129"/>
    </row>
    <row r="186" spans="2:65" s="369" customFormat="1" ht="22.8" x14ac:dyDescent="0.2">
      <c r="B186" s="118"/>
      <c r="C186" s="1234" t="s">
        <v>5205</v>
      </c>
      <c r="D186" s="1235"/>
      <c r="E186" s="1235"/>
      <c r="F186" s="1235"/>
      <c r="G186" s="1235"/>
      <c r="H186" s="1235"/>
      <c r="I186" s="1235"/>
      <c r="J186" s="1236"/>
      <c r="K186" s="133"/>
      <c r="L186" s="137"/>
      <c r="M186" s="138"/>
      <c r="N186" s="139"/>
      <c r="O186" s="127"/>
      <c r="P186" s="127"/>
      <c r="Q186" s="127"/>
      <c r="R186" s="127"/>
      <c r="S186" s="127"/>
      <c r="T186" s="128"/>
      <c r="W186" s="199"/>
      <c r="X186" s="348" t="s">
        <v>5896</v>
      </c>
      <c r="Y186" s="348" t="s">
        <v>277</v>
      </c>
      <c r="Z186" s="349" t="s">
        <v>5870</v>
      </c>
      <c r="AA186" s="350" t="s">
        <v>5871</v>
      </c>
      <c r="AB186" s="351" t="s">
        <v>292</v>
      </c>
      <c r="AC186" s="352">
        <v>9</v>
      </c>
      <c r="AD186" s="353">
        <v>12.32</v>
      </c>
      <c r="AE186" s="356">
        <f t="shared" si="21"/>
        <v>110.88</v>
      </c>
      <c r="AF186" s="227">
        <v>2</v>
      </c>
      <c r="AG186" s="374"/>
      <c r="AR186" s="129"/>
      <c r="AT186" s="129"/>
      <c r="AU186" s="129"/>
      <c r="AY186" s="13"/>
      <c r="BE186" s="130"/>
      <c r="BF186" s="130"/>
      <c r="BG186" s="130"/>
      <c r="BH186" s="130"/>
      <c r="BI186" s="130"/>
      <c r="BJ186" s="13"/>
      <c r="BK186" s="130"/>
      <c r="BL186" s="13"/>
      <c r="BM186" s="129"/>
    </row>
    <row r="187" spans="2:65" s="1" customFormat="1" ht="24" customHeight="1" x14ac:dyDescent="0.2">
      <c r="B187" s="118"/>
      <c r="C187" s="119" t="s">
        <v>459</v>
      </c>
      <c r="D187" s="119" t="s">
        <v>231</v>
      </c>
      <c r="E187" s="120" t="s">
        <v>1484</v>
      </c>
      <c r="F187" s="121" t="s">
        <v>1485</v>
      </c>
      <c r="G187" s="122" t="s">
        <v>292</v>
      </c>
      <c r="H187" s="123">
        <v>58</v>
      </c>
      <c r="I187" s="124">
        <v>1.47</v>
      </c>
      <c r="J187" s="124">
        <f t="shared" si="11"/>
        <v>85.26</v>
      </c>
      <c r="K187" s="121" t="s">
        <v>1</v>
      </c>
      <c r="L187" s="24"/>
      <c r="M187" s="125" t="s">
        <v>1</v>
      </c>
      <c r="N187" s="126" t="s">
        <v>31</v>
      </c>
      <c r="O187" s="127">
        <v>0</v>
      </c>
      <c r="P187" s="127">
        <f t="shared" si="12"/>
        <v>0</v>
      </c>
      <c r="Q187" s="127">
        <v>0</v>
      </c>
      <c r="R187" s="127">
        <f t="shared" si="13"/>
        <v>0</v>
      </c>
      <c r="S187" s="127">
        <v>0</v>
      </c>
      <c r="T187" s="128">
        <f t="shared" si="14"/>
        <v>0</v>
      </c>
      <c r="W187" s="199"/>
      <c r="X187" s="119" t="s">
        <v>459</v>
      </c>
      <c r="Y187" s="119" t="s">
        <v>231</v>
      </c>
      <c r="Z187" s="120" t="s">
        <v>1484</v>
      </c>
      <c r="AA187" s="121" t="s">
        <v>1485</v>
      </c>
      <c r="AB187" s="122" t="s">
        <v>292</v>
      </c>
      <c r="AC187" s="123">
        <v>58</v>
      </c>
      <c r="AD187" s="124">
        <v>1.47</v>
      </c>
      <c r="AE187" s="200">
        <f t="shared" si="4"/>
        <v>85.26</v>
      </c>
      <c r="AF187" s="227"/>
      <c r="AG187" s="374"/>
      <c r="AR187" s="129" t="s">
        <v>63</v>
      </c>
      <c r="AT187" s="129" t="s">
        <v>231</v>
      </c>
      <c r="AU187" s="129" t="s">
        <v>63</v>
      </c>
      <c r="AY187" s="13" t="s">
        <v>228</v>
      </c>
      <c r="BE187" s="130">
        <f t="shared" si="15"/>
        <v>85.26</v>
      </c>
      <c r="BF187" s="130">
        <f t="shared" si="16"/>
        <v>0</v>
      </c>
      <c r="BG187" s="130">
        <f t="shared" si="17"/>
        <v>0</v>
      </c>
      <c r="BH187" s="130">
        <f t="shared" si="18"/>
        <v>0</v>
      </c>
      <c r="BI187" s="130">
        <f t="shared" si="19"/>
        <v>0</v>
      </c>
      <c r="BJ187" s="13" t="s">
        <v>63</v>
      </c>
      <c r="BK187" s="130">
        <f t="shared" si="20"/>
        <v>85.26</v>
      </c>
      <c r="BL187" s="13" t="s">
        <v>63</v>
      </c>
      <c r="BM187" s="129" t="s">
        <v>1486</v>
      </c>
    </row>
    <row r="188" spans="2:65" s="1" customFormat="1" ht="24" customHeight="1" x14ac:dyDescent="0.2">
      <c r="B188" s="118"/>
      <c r="C188" s="131" t="s">
        <v>347</v>
      </c>
      <c r="D188" s="131" t="s">
        <v>277</v>
      </c>
      <c r="E188" s="132" t="s">
        <v>1487</v>
      </c>
      <c r="F188" s="133" t="s">
        <v>1488</v>
      </c>
      <c r="G188" s="134" t="s">
        <v>292</v>
      </c>
      <c r="H188" s="135">
        <v>58</v>
      </c>
      <c r="I188" s="136">
        <v>10.02</v>
      </c>
      <c r="J188" s="136">
        <f t="shared" si="11"/>
        <v>581.16</v>
      </c>
      <c r="K188" s="133" t="s">
        <v>1</v>
      </c>
      <c r="L188" s="137"/>
      <c r="M188" s="138" t="s">
        <v>1</v>
      </c>
      <c r="N188" s="139" t="s">
        <v>31</v>
      </c>
      <c r="O188" s="127">
        <v>0</v>
      </c>
      <c r="P188" s="127">
        <f t="shared" si="12"/>
        <v>0</v>
      </c>
      <c r="Q188" s="127">
        <v>9.1E-4</v>
      </c>
      <c r="R188" s="127">
        <f t="shared" si="13"/>
        <v>5.2780000000000001E-2</v>
      </c>
      <c r="S188" s="127">
        <v>0</v>
      </c>
      <c r="T188" s="128">
        <f t="shared" si="14"/>
        <v>0</v>
      </c>
      <c r="W188" s="199"/>
      <c r="X188" s="131" t="s">
        <v>347</v>
      </c>
      <c r="Y188" s="131" t="s">
        <v>277</v>
      </c>
      <c r="Z188" s="132" t="s">
        <v>1487</v>
      </c>
      <c r="AA188" s="133" t="s">
        <v>1488</v>
      </c>
      <c r="AB188" s="134" t="s">
        <v>292</v>
      </c>
      <c r="AC188" s="135">
        <v>58</v>
      </c>
      <c r="AD188" s="136">
        <v>10.02</v>
      </c>
      <c r="AE188" s="229">
        <f t="shared" si="4"/>
        <v>581.16</v>
      </c>
      <c r="AF188" s="227"/>
      <c r="AG188" s="374"/>
      <c r="AR188" s="129" t="s">
        <v>76</v>
      </c>
      <c r="AT188" s="129" t="s">
        <v>277</v>
      </c>
      <c r="AU188" s="129" t="s">
        <v>63</v>
      </c>
      <c r="AY188" s="13" t="s">
        <v>228</v>
      </c>
      <c r="BE188" s="130">
        <f t="shared" si="15"/>
        <v>581.16</v>
      </c>
      <c r="BF188" s="130">
        <f t="shared" si="16"/>
        <v>0</v>
      </c>
      <c r="BG188" s="130">
        <f t="shared" si="17"/>
        <v>0</v>
      </c>
      <c r="BH188" s="130">
        <f t="shared" si="18"/>
        <v>0</v>
      </c>
      <c r="BI188" s="130">
        <f t="shared" si="19"/>
        <v>0</v>
      </c>
      <c r="BJ188" s="13" t="s">
        <v>63</v>
      </c>
      <c r="BK188" s="130">
        <f t="shared" si="20"/>
        <v>581.16</v>
      </c>
      <c r="BL188" s="13" t="s">
        <v>63</v>
      </c>
      <c r="BM188" s="129" t="s">
        <v>1489</v>
      </c>
    </row>
    <row r="189" spans="2:65" s="1" customFormat="1" ht="24" customHeight="1" x14ac:dyDescent="0.2">
      <c r="B189" s="118"/>
      <c r="C189" s="119" t="s">
        <v>466</v>
      </c>
      <c r="D189" s="119" t="s">
        <v>231</v>
      </c>
      <c r="E189" s="120" t="s">
        <v>1490</v>
      </c>
      <c r="F189" s="121" t="s">
        <v>1491</v>
      </c>
      <c r="G189" s="122" t="s">
        <v>292</v>
      </c>
      <c r="H189" s="123">
        <v>83</v>
      </c>
      <c r="I189" s="124">
        <v>1.74</v>
      </c>
      <c r="J189" s="124">
        <f t="shared" ref="J189:J233" si="22">ROUND(I189*H189,2)</f>
        <v>144.41999999999999</v>
      </c>
      <c r="K189" s="121" t="s">
        <v>1</v>
      </c>
      <c r="L189" s="24"/>
      <c r="M189" s="125" t="s">
        <v>1</v>
      </c>
      <c r="N189" s="126" t="s">
        <v>31</v>
      </c>
      <c r="O189" s="127">
        <v>0</v>
      </c>
      <c r="P189" s="127">
        <f t="shared" ref="P189:P233" si="23">O189*H189</f>
        <v>0</v>
      </c>
      <c r="Q189" s="127">
        <v>0</v>
      </c>
      <c r="R189" s="127">
        <f t="shared" ref="R189:R233" si="24">Q189*H189</f>
        <v>0</v>
      </c>
      <c r="S189" s="127">
        <v>0</v>
      </c>
      <c r="T189" s="128">
        <f t="shared" ref="T189:T233" si="25">S189*H189</f>
        <v>0</v>
      </c>
      <c r="W189" s="199"/>
      <c r="X189" s="119" t="s">
        <v>466</v>
      </c>
      <c r="Y189" s="119" t="s">
        <v>231</v>
      </c>
      <c r="Z189" s="120" t="s">
        <v>1490</v>
      </c>
      <c r="AA189" s="121" t="s">
        <v>1491</v>
      </c>
      <c r="AB189" s="122" t="s">
        <v>292</v>
      </c>
      <c r="AC189" s="123">
        <v>83</v>
      </c>
      <c r="AD189" s="124">
        <v>1.74</v>
      </c>
      <c r="AE189" s="200">
        <f t="shared" ref="AE189:AE269" si="26">ROUND(AD189*AC189,2)</f>
        <v>144.41999999999999</v>
      </c>
      <c r="AF189" s="227"/>
      <c r="AG189" s="374"/>
      <c r="AR189" s="129" t="s">
        <v>63</v>
      </c>
      <c r="AT189" s="129" t="s">
        <v>231</v>
      </c>
      <c r="AU189" s="129" t="s">
        <v>63</v>
      </c>
      <c r="AY189" s="13" t="s">
        <v>228</v>
      </c>
      <c r="BE189" s="130">
        <f t="shared" ref="BE189:BE233" si="27">IF(N189="základná",J189,0)</f>
        <v>144.41999999999999</v>
      </c>
      <c r="BF189" s="130">
        <f t="shared" ref="BF189:BF233" si="28">IF(N189="znížená",J189,0)</f>
        <v>0</v>
      </c>
      <c r="BG189" s="130">
        <f t="shared" ref="BG189:BG233" si="29">IF(N189="zákl. prenesená",J189,0)</f>
        <v>0</v>
      </c>
      <c r="BH189" s="130">
        <f t="shared" ref="BH189:BH233" si="30">IF(N189="zníž. prenesená",J189,0)</f>
        <v>0</v>
      </c>
      <c r="BI189" s="130">
        <f t="shared" ref="BI189:BI233" si="31">IF(N189="nulová",J189,0)</f>
        <v>0</v>
      </c>
      <c r="BJ189" s="13" t="s">
        <v>63</v>
      </c>
      <c r="BK189" s="130">
        <f t="shared" ref="BK189:BK233" si="32">ROUND(I189*H189,2)</f>
        <v>144.41999999999999</v>
      </c>
      <c r="BL189" s="13" t="s">
        <v>63</v>
      </c>
      <c r="BM189" s="129" t="s">
        <v>1492</v>
      </c>
    </row>
    <row r="190" spans="2:65" s="1" customFormat="1" ht="24" customHeight="1" x14ac:dyDescent="0.2">
      <c r="B190" s="118"/>
      <c r="C190" s="131" t="s">
        <v>351</v>
      </c>
      <c r="D190" s="131" t="s">
        <v>277</v>
      </c>
      <c r="E190" s="132" t="s">
        <v>1493</v>
      </c>
      <c r="F190" s="133" t="s">
        <v>1494</v>
      </c>
      <c r="G190" s="134" t="s">
        <v>292</v>
      </c>
      <c r="H190" s="135">
        <v>83</v>
      </c>
      <c r="I190" s="136">
        <v>17.3</v>
      </c>
      <c r="J190" s="136">
        <f t="shared" si="22"/>
        <v>1435.9</v>
      </c>
      <c r="K190" s="133" t="s">
        <v>1</v>
      </c>
      <c r="L190" s="137"/>
      <c r="M190" s="138" t="s">
        <v>1</v>
      </c>
      <c r="N190" s="139" t="s">
        <v>31</v>
      </c>
      <c r="O190" s="127">
        <v>0</v>
      </c>
      <c r="P190" s="127">
        <f t="shared" si="23"/>
        <v>0</v>
      </c>
      <c r="Q190" s="127">
        <v>1.2899999999999999E-3</v>
      </c>
      <c r="R190" s="127">
        <f t="shared" si="24"/>
        <v>0.10707</v>
      </c>
      <c r="S190" s="127">
        <v>0</v>
      </c>
      <c r="T190" s="128">
        <f t="shared" si="25"/>
        <v>0</v>
      </c>
      <c r="W190" s="199"/>
      <c r="X190" s="131" t="s">
        <v>351</v>
      </c>
      <c r="Y190" s="131" t="s">
        <v>277</v>
      </c>
      <c r="Z190" s="132" t="s">
        <v>1493</v>
      </c>
      <c r="AA190" s="133" t="s">
        <v>1494</v>
      </c>
      <c r="AB190" s="134" t="s">
        <v>292</v>
      </c>
      <c r="AC190" s="135">
        <v>83</v>
      </c>
      <c r="AD190" s="136">
        <v>17.3</v>
      </c>
      <c r="AE190" s="229">
        <f t="shared" si="26"/>
        <v>1435.9</v>
      </c>
      <c r="AF190" s="227"/>
      <c r="AG190" s="374"/>
      <c r="AR190" s="129" t="s">
        <v>76</v>
      </c>
      <c r="AT190" s="129" t="s">
        <v>277</v>
      </c>
      <c r="AU190" s="129" t="s">
        <v>63</v>
      </c>
      <c r="AY190" s="13" t="s">
        <v>228</v>
      </c>
      <c r="BE190" s="130">
        <f t="shared" si="27"/>
        <v>1435.9</v>
      </c>
      <c r="BF190" s="130">
        <f t="shared" si="28"/>
        <v>0</v>
      </c>
      <c r="BG190" s="130">
        <f t="shared" si="29"/>
        <v>0</v>
      </c>
      <c r="BH190" s="130">
        <f t="shared" si="30"/>
        <v>0</v>
      </c>
      <c r="BI190" s="130">
        <f t="shared" si="31"/>
        <v>0</v>
      </c>
      <c r="BJ190" s="13" t="s">
        <v>63</v>
      </c>
      <c r="BK190" s="130">
        <f t="shared" si="32"/>
        <v>1435.9</v>
      </c>
      <c r="BL190" s="13" t="s">
        <v>63</v>
      </c>
      <c r="BM190" s="129" t="s">
        <v>1495</v>
      </c>
    </row>
    <row r="191" spans="2:65" s="1" customFormat="1" ht="24" customHeight="1" x14ac:dyDescent="0.2">
      <c r="B191" s="118"/>
      <c r="C191" s="119" t="s">
        <v>473</v>
      </c>
      <c r="D191" s="119" t="s">
        <v>231</v>
      </c>
      <c r="E191" s="120" t="s">
        <v>1496</v>
      </c>
      <c r="F191" s="121" t="s">
        <v>1497</v>
      </c>
      <c r="G191" s="122" t="s">
        <v>292</v>
      </c>
      <c r="H191" s="123">
        <v>47</v>
      </c>
      <c r="I191" s="124">
        <v>1.24</v>
      </c>
      <c r="J191" s="124">
        <f t="shared" si="22"/>
        <v>58.28</v>
      </c>
      <c r="K191" s="121" t="s">
        <v>1</v>
      </c>
      <c r="L191" s="24"/>
      <c r="M191" s="125" t="s">
        <v>1</v>
      </c>
      <c r="N191" s="126" t="s">
        <v>31</v>
      </c>
      <c r="O191" s="127">
        <v>0</v>
      </c>
      <c r="P191" s="127">
        <f t="shared" si="23"/>
        <v>0</v>
      </c>
      <c r="Q191" s="127">
        <v>0</v>
      </c>
      <c r="R191" s="127">
        <f t="shared" si="24"/>
        <v>0</v>
      </c>
      <c r="S191" s="127">
        <v>0</v>
      </c>
      <c r="T191" s="128">
        <f t="shared" si="25"/>
        <v>0</v>
      </c>
      <c r="W191" s="199"/>
      <c r="X191" s="119" t="s">
        <v>473</v>
      </c>
      <c r="Y191" s="119" t="s">
        <v>231</v>
      </c>
      <c r="Z191" s="120" t="s">
        <v>1496</v>
      </c>
      <c r="AA191" s="121" t="s">
        <v>1497</v>
      </c>
      <c r="AB191" s="122" t="s">
        <v>292</v>
      </c>
      <c r="AC191" s="123">
        <v>47</v>
      </c>
      <c r="AD191" s="124">
        <v>1.24</v>
      </c>
      <c r="AE191" s="200">
        <f t="shared" si="26"/>
        <v>58.28</v>
      </c>
      <c r="AF191" s="227"/>
      <c r="AG191" s="374"/>
      <c r="AR191" s="129" t="s">
        <v>63</v>
      </c>
      <c r="AT191" s="129" t="s">
        <v>231</v>
      </c>
      <c r="AU191" s="129" t="s">
        <v>63</v>
      </c>
      <c r="AY191" s="13" t="s">
        <v>228</v>
      </c>
      <c r="BE191" s="130">
        <f t="shared" si="27"/>
        <v>58.28</v>
      </c>
      <c r="BF191" s="130">
        <f t="shared" si="28"/>
        <v>0</v>
      </c>
      <c r="BG191" s="130">
        <f t="shared" si="29"/>
        <v>0</v>
      </c>
      <c r="BH191" s="130">
        <f t="shared" si="30"/>
        <v>0</v>
      </c>
      <c r="BI191" s="130">
        <f t="shared" si="31"/>
        <v>0</v>
      </c>
      <c r="BJ191" s="13" t="s">
        <v>63</v>
      </c>
      <c r="BK191" s="130">
        <f t="shared" si="32"/>
        <v>58.28</v>
      </c>
      <c r="BL191" s="13" t="s">
        <v>63</v>
      </c>
      <c r="BM191" s="129" t="s">
        <v>1498</v>
      </c>
    </row>
    <row r="192" spans="2:65" s="1" customFormat="1" ht="24" customHeight="1" x14ac:dyDescent="0.2">
      <c r="B192" s="118"/>
      <c r="C192" s="131" t="s">
        <v>354</v>
      </c>
      <c r="D192" s="131" t="s">
        <v>277</v>
      </c>
      <c r="E192" s="132" t="s">
        <v>1499</v>
      </c>
      <c r="F192" s="133" t="s">
        <v>1500</v>
      </c>
      <c r="G192" s="134" t="s">
        <v>292</v>
      </c>
      <c r="H192" s="135">
        <v>47</v>
      </c>
      <c r="I192" s="136">
        <v>6.14</v>
      </c>
      <c r="J192" s="136">
        <f t="shared" si="22"/>
        <v>288.58</v>
      </c>
      <c r="K192" s="133" t="s">
        <v>1</v>
      </c>
      <c r="L192" s="137"/>
      <c r="M192" s="138" t="s">
        <v>1</v>
      </c>
      <c r="N192" s="139" t="s">
        <v>31</v>
      </c>
      <c r="O192" s="127">
        <v>0</v>
      </c>
      <c r="P192" s="127">
        <f t="shared" si="23"/>
        <v>0</v>
      </c>
      <c r="Q192" s="127">
        <v>6.2E-4</v>
      </c>
      <c r="R192" s="127">
        <f t="shared" si="24"/>
        <v>2.9139999999999999E-2</v>
      </c>
      <c r="S192" s="127">
        <v>0</v>
      </c>
      <c r="T192" s="128">
        <f t="shared" si="25"/>
        <v>0</v>
      </c>
      <c r="W192" s="199"/>
      <c r="X192" s="131" t="s">
        <v>354</v>
      </c>
      <c r="Y192" s="131" t="s">
        <v>277</v>
      </c>
      <c r="Z192" s="132" t="s">
        <v>1499</v>
      </c>
      <c r="AA192" s="133" t="s">
        <v>1500</v>
      </c>
      <c r="AB192" s="134" t="s">
        <v>292</v>
      </c>
      <c r="AC192" s="135">
        <v>47</v>
      </c>
      <c r="AD192" s="136">
        <v>6.14</v>
      </c>
      <c r="AE192" s="229">
        <f t="shared" si="26"/>
        <v>288.58</v>
      </c>
      <c r="AF192" s="227"/>
      <c r="AG192" s="374"/>
      <c r="AR192" s="129" t="s">
        <v>76</v>
      </c>
      <c r="AT192" s="129" t="s">
        <v>277</v>
      </c>
      <c r="AU192" s="129" t="s">
        <v>63</v>
      </c>
      <c r="AY192" s="13" t="s">
        <v>228</v>
      </c>
      <c r="BE192" s="130">
        <f t="shared" si="27"/>
        <v>288.58</v>
      </c>
      <c r="BF192" s="130">
        <f t="shared" si="28"/>
        <v>0</v>
      </c>
      <c r="BG192" s="130">
        <f t="shared" si="29"/>
        <v>0</v>
      </c>
      <c r="BH192" s="130">
        <f t="shared" si="30"/>
        <v>0</v>
      </c>
      <c r="BI192" s="130">
        <f t="shared" si="31"/>
        <v>0</v>
      </c>
      <c r="BJ192" s="13" t="s">
        <v>63</v>
      </c>
      <c r="BK192" s="130">
        <f t="shared" si="32"/>
        <v>288.58</v>
      </c>
      <c r="BL192" s="13" t="s">
        <v>63</v>
      </c>
      <c r="BM192" s="129" t="s">
        <v>1501</v>
      </c>
    </row>
    <row r="193" spans="2:65" s="1" customFormat="1" ht="24" customHeight="1" x14ac:dyDescent="0.2">
      <c r="B193" s="118"/>
      <c r="C193" s="119" t="s">
        <v>480</v>
      </c>
      <c r="D193" s="119" t="s">
        <v>231</v>
      </c>
      <c r="E193" s="120" t="s">
        <v>1502</v>
      </c>
      <c r="F193" s="121" t="s">
        <v>1503</v>
      </c>
      <c r="G193" s="122" t="s">
        <v>292</v>
      </c>
      <c r="H193" s="123">
        <v>35</v>
      </c>
      <c r="I193" s="124">
        <v>1.24</v>
      </c>
      <c r="J193" s="124">
        <f t="shared" si="22"/>
        <v>43.4</v>
      </c>
      <c r="K193" s="121" t="s">
        <v>1</v>
      </c>
      <c r="L193" s="24"/>
      <c r="M193" s="125" t="s">
        <v>1</v>
      </c>
      <c r="N193" s="126" t="s">
        <v>31</v>
      </c>
      <c r="O193" s="127">
        <v>0</v>
      </c>
      <c r="P193" s="127">
        <f t="shared" si="23"/>
        <v>0</v>
      </c>
      <c r="Q193" s="127">
        <v>0</v>
      </c>
      <c r="R193" s="127">
        <f t="shared" si="24"/>
        <v>0</v>
      </c>
      <c r="S193" s="127">
        <v>0</v>
      </c>
      <c r="T193" s="128">
        <f t="shared" si="25"/>
        <v>0</v>
      </c>
      <c r="W193" s="199"/>
      <c r="X193" s="119" t="s">
        <v>480</v>
      </c>
      <c r="Y193" s="119" t="s">
        <v>231</v>
      </c>
      <c r="Z193" s="120" t="s">
        <v>1502</v>
      </c>
      <c r="AA193" s="121" t="s">
        <v>1503</v>
      </c>
      <c r="AB193" s="122" t="s">
        <v>292</v>
      </c>
      <c r="AC193" s="123">
        <v>35</v>
      </c>
      <c r="AD193" s="124">
        <v>1.24</v>
      </c>
      <c r="AE193" s="200">
        <f t="shared" si="26"/>
        <v>43.4</v>
      </c>
      <c r="AF193" s="227"/>
      <c r="AG193" s="374"/>
      <c r="AR193" s="129" t="s">
        <v>63</v>
      </c>
      <c r="AT193" s="129" t="s">
        <v>231</v>
      </c>
      <c r="AU193" s="129" t="s">
        <v>63</v>
      </c>
      <c r="AY193" s="13" t="s">
        <v>228</v>
      </c>
      <c r="BE193" s="130">
        <f t="shared" si="27"/>
        <v>43.4</v>
      </c>
      <c r="BF193" s="130">
        <f t="shared" si="28"/>
        <v>0</v>
      </c>
      <c r="BG193" s="130">
        <f t="shared" si="29"/>
        <v>0</v>
      </c>
      <c r="BH193" s="130">
        <f t="shared" si="30"/>
        <v>0</v>
      </c>
      <c r="BI193" s="130">
        <f t="shared" si="31"/>
        <v>0</v>
      </c>
      <c r="BJ193" s="13" t="s">
        <v>63</v>
      </c>
      <c r="BK193" s="130">
        <f t="shared" si="32"/>
        <v>43.4</v>
      </c>
      <c r="BL193" s="13" t="s">
        <v>63</v>
      </c>
      <c r="BM193" s="129" t="s">
        <v>1504</v>
      </c>
    </row>
    <row r="194" spans="2:65" s="1" customFormat="1" ht="24" customHeight="1" x14ac:dyDescent="0.2">
      <c r="B194" s="118"/>
      <c r="C194" s="131" t="s">
        <v>358</v>
      </c>
      <c r="D194" s="131" t="s">
        <v>277</v>
      </c>
      <c r="E194" s="132" t="s">
        <v>1505</v>
      </c>
      <c r="F194" s="133" t="s">
        <v>1506</v>
      </c>
      <c r="G194" s="134" t="s">
        <v>292</v>
      </c>
      <c r="H194" s="135">
        <v>35</v>
      </c>
      <c r="I194" s="136">
        <v>3.74</v>
      </c>
      <c r="J194" s="136">
        <f t="shared" si="22"/>
        <v>130.9</v>
      </c>
      <c r="K194" s="133" t="s">
        <v>1</v>
      </c>
      <c r="L194" s="137"/>
      <c r="M194" s="138" t="s">
        <v>1</v>
      </c>
      <c r="N194" s="139" t="s">
        <v>31</v>
      </c>
      <c r="O194" s="127">
        <v>0</v>
      </c>
      <c r="P194" s="127">
        <f t="shared" si="23"/>
        <v>0</v>
      </c>
      <c r="Q194" s="127">
        <v>2.3000000000000001E-4</v>
      </c>
      <c r="R194" s="127">
        <f t="shared" si="24"/>
        <v>8.0499999999999999E-3</v>
      </c>
      <c r="S194" s="127">
        <v>0</v>
      </c>
      <c r="T194" s="128">
        <f t="shared" si="25"/>
        <v>0</v>
      </c>
      <c r="W194" s="199"/>
      <c r="X194" s="131" t="s">
        <v>358</v>
      </c>
      <c r="Y194" s="131" t="s">
        <v>277</v>
      </c>
      <c r="Z194" s="132" t="s">
        <v>1505</v>
      </c>
      <c r="AA194" s="133" t="s">
        <v>1506</v>
      </c>
      <c r="AB194" s="134" t="s">
        <v>292</v>
      </c>
      <c r="AC194" s="135">
        <v>35</v>
      </c>
      <c r="AD194" s="136">
        <v>3.74</v>
      </c>
      <c r="AE194" s="229">
        <f t="shared" si="26"/>
        <v>130.9</v>
      </c>
      <c r="AF194" s="227"/>
      <c r="AG194" s="374"/>
      <c r="AR194" s="129" t="s">
        <v>76</v>
      </c>
      <c r="AT194" s="129" t="s">
        <v>277</v>
      </c>
      <c r="AU194" s="129" t="s">
        <v>63</v>
      </c>
      <c r="AY194" s="13" t="s">
        <v>228</v>
      </c>
      <c r="BE194" s="130">
        <f t="shared" si="27"/>
        <v>130.9</v>
      </c>
      <c r="BF194" s="130">
        <f t="shared" si="28"/>
        <v>0</v>
      </c>
      <c r="BG194" s="130">
        <f t="shared" si="29"/>
        <v>0</v>
      </c>
      <c r="BH194" s="130">
        <f t="shared" si="30"/>
        <v>0</v>
      </c>
      <c r="BI194" s="130">
        <f t="shared" si="31"/>
        <v>0</v>
      </c>
      <c r="BJ194" s="13" t="s">
        <v>63</v>
      </c>
      <c r="BK194" s="130">
        <f t="shared" si="32"/>
        <v>130.9</v>
      </c>
      <c r="BL194" s="13" t="s">
        <v>63</v>
      </c>
      <c r="BM194" s="129" t="s">
        <v>1507</v>
      </c>
    </row>
    <row r="195" spans="2:65" s="369" customFormat="1" ht="24" customHeight="1" x14ac:dyDescent="0.2">
      <c r="B195" s="118"/>
      <c r="C195" s="1234" t="s">
        <v>5205</v>
      </c>
      <c r="D195" s="1235"/>
      <c r="E195" s="1235"/>
      <c r="F195" s="1235"/>
      <c r="G195" s="1235"/>
      <c r="H195" s="1235"/>
      <c r="I195" s="1235"/>
      <c r="J195" s="1236"/>
      <c r="K195" s="133"/>
      <c r="L195" s="137"/>
      <c r="M195" s="138"/>
      <c r="N195" s="139"/>
      <c r="O195" s="127"/>
      <c r="P195" s="127"/>
      <c r="Q195" s="127"/>
      <c r="R195" s="127"/>
      <c r="S195" s="127"/>
      <c r="T195" s="128"/>
      <c r="W195" s="199"/>
      <c r="X195" s="341" t="s">
        <v>5897</v>
      </c>
      <c r="Y195" s="341" t="s">
        <v>231</v>
      </c>
      <c r="Z195" s="342" t="s">
        <v>1645</v>
      </c>
      <c r="AA195" s="343" t="s">
        <v>3907</v>
      </c>
      <c r="AB195" s="344" t="s">
        <v>292</v>
      </c>
      <c r="AC195" s="345">
        <v>230</v>
      </c>
      <c r="AD195" s="346">
        <v>1.24</v>
      </c>
      <c r="AE195" s="355">
        <f t="shared" si="26"/>
        <v>285.2</v>
      </c>
      <c r="AF195" s="227">
        <v>2</v>
      </c>
      <c r="AG195" s="374"/>
      <c r="AR195" s="129"/>
      <c r="AT195" s="129"/>
      <c r="AU195" s="129"/>
      <c r="AY195" s="13"/>
      <c r="BE195" s="130"/>
      <c r="BF195" s="130"/>
      <c r="BG195" s="130"/>
      <c r="BH195" s="130"/>
      <c r="BI195" s="130"/>
      <c r="BJ195" s="13"/>
      <c r="BK195" s="130"/>
      <c r="BL195" s="13"/>
      <c r="BM195" s="129"/>
    </row>
    <row r="196" spans="2:65" s="369" customFormat="1" ht="24" customHeight="1" x14ac:dyDescent="0.2">
      <c r="B196" s="118"/>
      <c r="C196" s="1234" t="s">
        <v>5205</v>
      </c>
      <c r="D196" s="1235"/>
      <c r="E196" s="1235"/>
      <c r="F196" s="1235"/>
      <c r="G196" s="1235"/>
      <c r="H196" s="1235"/>
      <c r="I196" s="1235"/>
      <c r="J196" s="1236"/>
      <c r="K196" s="133"/>
      <c r="L196" s="137"/>
      <c r="M196" s="138"/>
      <c r="N196" s="139"/>
      <c r="O196" s="127"/>
      <c r="P196" s="127"/>
      <c r="Q196" s="127"/>
      <c r="R196" s="127"/>
      <c r="S196" s="127"/>
      <c r="T196" s="128"/>
      <c r="W196" s="199"/>
      <c r="X196" s="348" t="s">
        <v>5798</v>
      </c>
      <c r="Y196" s="348" t="s">
        <v>277</v>
      </c>
      <c r="Z196" s="349" t="s">
        <v>5872</v>
      </c>
      <c r="AA196" s="350" t="s">
        <v>5873</v>
      </c>
      <c r="AB196" s="351" t="s">
        <v>292</v>
      </c>
      <c r="AC196" s="352">
        <v>230</v>
      </c>
      <c r="AD196" s="353">
        <v>1.0900000000000001</v>
      </c>
      <c r="AE196" s="356">
        <f t="shared" si="26"/>
        <v>250.7</v>
      </c>
      <c r="AF196" s="227">
        <v>2</v>
      </c>
      <c r="AG196" s="374"/>
      <c r="AR196" s="129"/>
      <c r="AT196" s="129"/>
      <c r="AU196" s="129"/>
      <c r="AY196" s="13"/>
      <c r="BE196" s="130"/>
      <c r="BF196" s="130"/>
      <c r="BG196" s="130"/>
      <c r="BH196" s="130"/>
      <c r="BI196" s="130"/>
      <c r="BJ196" s="13"/>
      <c r="BK196" s="130"/>
      <c r="BL196" s="13"/>
      <c r="BM196" s="129"/>
    </row>
    <row r="197" spans="2:65" s="369" customFormat="1" ht="24" customHeight="1" x14ac:dyDescent="0.2">
      <c r="B197" s="118"/>
      <c r="C197" s="1234" t="s">
        <v>5205</v>
      </c>
      <c r="D197" s="1235"/>
      <c r="E197" s="1235"/>
      <c r="F197" s="1235"/>
      <c r="G197" s="1235"/>
      <c r="H197" s="1235"/>
      <c r="I197" s="1235"/>
      <c r="J197" s="1236"/>
      <c r="K197" s="133"/>
      <c r="L197" s="137"/>
      <c r="M197" s="138"/>
      <c r="N197" s="139"/>
      <c r="O197" s="127"/>
      <c r="P197" s="127"/>
      <c r="Q197" s="127"/>
      <c r="R197" s="127"/>
      <c r="S197" s="127"/>
      <c r="T197" s="128"/>
      <c r="W197" s="199"/>
      <c r="X197" s="341" t="s">
        <v>5898</v>
      </c>
      <c r="Y197" s="341" t="s">
        <v>231</v>
      </c>
      <c r="Z197" s="342" t="s">
        <v>5874</v>
      </c>
      <c r="AA197" s="343" t="s">
        <v>5875</v>
      </c>
      <c r="AB197" s="344" t="s">
        <v>292</v>
      </c>
      <c r="AC197" s="345">
        <v>72</v>
      </c>
      <c r="AD197" s="346">
        <v>0.77</v>
      </c>
      <c r="AE197" s="355">
        <f t="shared" si="26"/>
        <v>55.44</v>
      </c>
      <c r="AF197" s="227">
        <v>2</v>
      </c>
      <c r="AG197" s="374"/>
      <c r="AR197" s="129"/>
      <c r="AT197" s="129"/>
      <c r="AU197" s="129"/>
      <c r="AY197" s="13"/>
      <c r="BE197" s="130"/>
      <c r="BF197" s="130"/>
      <c r="BG197" s="130"/>
      <c r="BH197" s="130"/>
      <c r="BI197" s="130"/>
      <c r="BJ197" s="13"/>
      <c r="BK197" s="130"/>
      <c r="BL197" s="13"/>
      <c r="BM197" s="129"/>
    </row>
    <row r="198" spans="2:65" s="369" customFormat="1" ht="24" customHeight="1" x14ac:dyDescent="0.2">
      <c r="B198" s="118"/>
      <c r="C198" s="1234" t="s">
        <v>5205</v>
      </c>
      <c r="D198" s="1235"/>
      <c r="E198" s="1235"/>
      <c r="F198" s="1235"/>
      <c r="G198" s="1235"/>
      <c r="H198" s="1235"/>
      <c r="I198" s="1235"/>
      <c r="J198" s="1236"/>
      <c r="K198" s="133"/>
      <c r="L198" s="137"/>
      <c r="M198" s="138"/>
      <c r="N198" s="139"/>
      <c r="O198" s="127"/>
      <c r="P198" s="127"/>
      <c r="Q198" s="127"/>
      <c r="R198" s="127"/>
      <c r="S198" s="127"/>
      <c r="T198" s="128"/>
      <c r="W198" s="199"/>
      <c r="X198" s="348" t="s">
        <v>5899</v>
      </c>
      <c r="Y198" s="348" t="s">
        <v>277</v>
      </c>
      <c r="Z198" s="349" t="s">
        <v>5876</v>
      </c>
      <c r="AA198" s="350" t="s">
        <v>5877</v>
      </c>
      <c r="AB198" s="351" t="s">
        <v>292</v>
      </c>
      <c r="AC198" s="352">
        <v>72</v>
      </c>
      <c r="AD198" s="353">
        <v>2.67</v>
      </c>
      <c r="AE198" s="356">
        <f t="shared" si="26"/>
        <v>192.24</v>
      </c>
      <c r="AF198" s="227">
        <v>2</v>
      </c>
      <c r="AG198" s="374"/>
      <c r="AR198" s="129"/>
      <c r="AT198" s="129"/>
      <c r="AU198" s="129"/>
      <c r="AY198" s="13"/>
      <c r="BE198" s="130"/>
      <c r="BF198" s="130"/>
      <c r="BG198" s="130"/>
      <c r="BH198" s="130"/>
      <c r="BI198" s="130"/>
      <c r="BJ198" s="13"/>
      <c r="BK198" s="130"/>
      <c r="BL198" s="13"/>
      <c r="BM198" s="129"/>
    </row>
    <row r="199" spans="2:65" s="1" customFormat="1" ht="24" customHeight="1" x14ac:dyDescent="0.2">
      <c r="B199" s="118"/>
      <c r="C199" s="119" t="s">
        <v>487</v>
      </c>
      <c r="D199" s="119" t="s">
        <v>231</v>
      </c>
      <c r="E199" s="120" t="s">
        <v>1508</v>
      </c>
      <c r="F199" s="121" t="s">
        <v>1509</v>
      </c>
      <c r="G199" s="122" t="s">
        <v>292</v>
      </c>
      <c r="H199" s="123">
        <v>20</v>
      </c>
      <c r="I199" s="124">
        <v>3.75</v>
      </c>
      <c r="J199" s="124">
        <f t="shared" si="22"/>
        <v>75</v>
      </c>
      <c r="K199" s="121" t="s">
        <v>1</v>
      </c>
      <c r="L199" s="24"/>
      <c r="M199" s="125" t="s">
        <v>1</v>
      </c>
      <c r="N199" s="126" t="s">
        <v>31</v>
      </c>
      <c r="O199" s="127">
        <v>0</v>
      </c>
      <c r="P199" s="127">
        <f t="shared" si="23"/>
        <v>0</v>
      </c>
      <c r="Q199" s="127">
        <v>0</v>
      </c>
      <c r="R199" s="127">
        <f t="shared" si="24"/>
        <v>0</v>
      </c>
      <c r="S199" s="127">
        <v>0</v>
      </c>
      <c r="T199" s="128">
        <f t="shared" si="25"/>
        <v>0</v>
      </c>
      <c r="W199" s="199"/>
      <c r="X199" s="119" t="s">
        <v>487</v>
      </c>
      <c r="Y199" s="119" t="s">
        <v>231</v>
      </c>
      <c r="Z199" s="120" t="s">
        <v>1508</v>
      </c>
      <c r="AA199" s="121" t="s">
        <v>1509</v>
      </c>
      <c r="AB199" s="122" t="s">
        <v>292</v>
      </c>
      <c r="AC199" s="123">
        <v>20</v>
      </c>
      <c r="AD199" s="124">
        <v>3.75</v>
      </c>
      <c r="AE199" s="200">
        <f t="shared" si="26"/>
        <v>75</v>
      </c>
      <c r="AF199" s="227"/>
      <c r="AG199" s="374"/>
      <c r="AR199" s="129" t="s">
        <v>63</v>
      </c>
      <c r="AT199" s="129" t="s">
        <v>231</v>
      </c>
      <c r="AU199" s="129" t="s">
        <v>63</v>
      </c>
      <c r="AY199" s="13" t="s">
        <v>228</v>
      </c>
      <c r="BE199" s="130">
        <f t="shared" si="27"/>
        <v>75</v>
      </c>
      <c r="BF199" s="130">
        <f t="shared" si="28"/>
        <v>0</v>
      </c>
      <c r="BG199" s="130">
        <f t="shared" si="29"/>
        <v>0</v>
      </c>
      <c r="BH199" s="130">
        <f t="shared" si="30"/>
        <v>0</v>
      </c>
      <c r="BI199" s="130">
        <f t="shared" si="31"/>
        <v>0</v>
      </c>
      <c r="BJ199" s="13" t="s">
        <v>63</v>
      </c>
      <c r="BK199" s="130">
        <f t="shared" si="32"/>
        <v>75</v>
      </c>
      <c r="BL199" s="13" t="s">
        <v>63</v>
      </c>
      <c r="BM199" s="129" t="s">
        <v>1510</v>
      </c>
    </row>
    <row r="200" spans="2:65" s="1" customFormat="1" ht="24" customHeight="1" x14ac:dyDescent="0.2">
      <c r="B200" s="118"/>
      <c r="C200" s="131" t="s">
        <v>361</v>
      </c>
      <c r="D200" s="131" t="s">
        <v>277</v>
      </c>
      <c r="E200" s="132" t="s">
        <v>1511</v>
      </c>
      <c r="F200" s="133" t="s">
        <v>1512</v>
      </c>
      <c r="G200" s="134" t="s">
        <v>292</v>
      </c>
      <c r="H200" s="135">
        <v>20</v>
      </c>
      <c r="I200" s="136">
        <v>90.52</v>
      </c>
      <c r="J200" s="136">
        <f t="shared" si="22"/>
        <v>1810.4</v>
      </c>
      <c r="K200" s="133" t="s">
        <v>1</v>
      </c>
      <c r="L200" s="137"/>
      <c r="M200" s="138" t="s">
        <v>1</v>
      </c>
      <c r="N200" s="139" t="s">
        <v>31</v>
      </c>
      <c r="O200" s="127">
        <v>0</v>
      </c>
      <c r="P200" s="127">
        <f t="shared" si="23"/>
        <v>0</v>
      </c>
      <c r="Q200" s="127">
        <v>5.7000000000000002E-3</v>
      </c>
      <c r="R200" s="127">
        <f t="shared" si="24"/>
        <v>0.114</v>
      </c>
      <c r="S200" s="127">
        <v>0</v>
      </c>
      <c r="T200" s="128">
        <f t="shared" si="25"/>
        <v>0</v>
      </c>
      <c r="W200" s="199"/>
      <c r="X200" s="131" t="s">
        <v>361</v>
      </c>
      <c r="Y200" s="131" t="s">
        <v>277</v>
      </c>
      <c r="Z200" s="132" t="s">
        <v>1511</v>
      </c>
      <c r="AA200" s="133" t="s">
        <v>1512</v>
      </c>
      <c r="AB200" s="134" t="s">
        <v>292</v>
      </c>
      <c r="AC200" s="135">
        <v>20</v>
      </c>
      <c r="AD200" s="136">
        <v>90.52</v>
      </c>
      <c r="AE200" s="229">
        <f t="shared" si="26"/>
        <v>1810.4</v>
      </c>
      <c r="AF200" s="227"/>
      <c r="AG200" s="374"/>
      <c r="AR200" s="129" t="s">
        <v>76</v>
      </c>
      <c r="AT200" s="129" t="s">
        <v>277</v>
      </c>
      <c r="AU200" s="129" t="s">
        <v>63</v>
      </c>
      <c r="AY200" s="13" t="s">
        <v>228</v>
      </c>
      <c r="BE200" s="130">
        <f t="shared" si="27"/>
        <v>1810.4</v>
      </c>
      <c r="BF200" s="130">
        <f t="shared" si="28"/>
        <v>0</v>
      </c>
      <c r="BG200" s="130">
        <f t="shared" si="29"/>
        <v>0</v>
      </c>
      <c r="BH200" s="130">
        <f t="shared" si="30"/>
        <v>0</v>
      </c>
      <c r="BI200" s="130">
        <f t="shared" si="31"/>
        <v>0</v>
      </c>
      <c r="BJ200" s="13" t="s">
        <v>63</v>
      </c>
      <c r="BK200" s="130">
        <f t="shared" si="32"/>
        <v>1810.4</v>
      </c>
      <c r="BL200" s="13" t="s">
        <v>63</v>
      </c>
      <c r="BM200" s="129" t="s">
        <v>1513</v>
      </c>
    </row>
    <row r="201" spans="2:65" s="369" customFormat="1" ht="24" customHeight="1" x14ac:dyDescent="0.2">
      <c r="B201" s="118"/>
      <c r="C201" s="1234" t="s">
        <v>5205</v>
      </c>
      <c r="D201" s="1235"/>
      <c r="E201" s="1235"/>
      <c r="F201" s="1235"/>
      <c r="G201" s="1235"/>
      <c r="H201" s="1235"/>
      <c r="I201" s="1235"/>
      <c r="J201" s="1236"/>
      <c r="K201" s="133"/>
      <c r="L201" s="137"/>
      <c r="M201" s="138"/>
      <c r="N201" s="139"/>
      <c r="O201" s="127"/>
      <c r="P201" s="127"/>
      <c r="Q201" s="127"/>
      <c r="R201" s="127"/>
      <c r="S201" s="127"/>
      <c r="T201" s="128"/>
      <c r="W201" s="199"/>
      <c r="X201" s="341" t="s">
        <v>5900</v>
      </c>
      <c r="Y201" s="341" t="s">
        <v>231</v>
      </c>
      <c r="Z201" s="342" t="s">
        <v>5878</v>
      </c>
      <c r="AA201" s="343" t="s">
        <v>5879</v>
      </c>
      <c r="AB201" s="344" t="s">
        <v>292</v>
      </c>
      <c r="AC201" s="345">
        <v>12</v>
      </c>
      <c r="AD201" s="346">
        <v>2.57</v>
      </c>
      <c r="AE201" s="355">
        <f t="shared" si="26"/>
        <v>30.84</v>
      </c>
      <c r="AF201" s="227">
        <v>2</v>
      </c>
      <c r="AG201" s="374"/>
      <c r="AR201" s="129"/>
      <c r="AT201" s="129"/>
      <c r="AU201" s="129"/>
      <c r="AY201" s="13"/>
      <c r="BE201" s="130"/>
      <c r="BF201" s="130"/>
      <c r="BG201" s="130"/>
      <c r="BH201" s="130"/>
      <c r="BI201" s="130"/>
      <c r="BJ201" s="13"/>
      <c r="BK201" s="130"/>
      <c r="BL201" s="13"/>
      <c r="BM201" s="129"/>
    </row>
    <row r="202" spans="2:65" s="369" customFormat="1" ht="24" customHeight="1" x14ac:dyDescent="0.2">
      <c r="B202" s="118"/>
      <c r="C202" s="1234" t="s">
        <v>5205</v>
      </c>
      <c r="D202" s="1235"/>
      <c r="E202" s="1235"/>
      <c r="F202" s="1235"/>
      <c r="G202" s="1235"/>
      <c r="H202" s="1235"/>
      <c r="I202" s="1235"/>
      <c r="J202" s="1236"/>
      <c r="K202" s="133"/>
      <c r="L202" s="137"/>
      <c r="M202" s="138"/>
      <c r="N202" s="139"/>
      <c r="O202" s="127"/>
      <c r="P202" s="127"/>
      <c r="Q202" s="127"/>
      <c r="R202" s="127"/>
      <c r="S202" s="127"/>
      <c r="T202" s="128"/>
      <c r="W202" s="199"/>
      <c r="X202" s="348" t="s">
        <v>5901</v>
      </c>
      <c r="Y202" s="348" t="s">
        <v>277</v>
      </c>
      <c r="Z202" s="349" t="s">
        <v>5880</v>
      </c>
      <c r="AA202" s="350" t="s">
        <v>5881</v>
      </c>
      <c r="AB202" s="351" t="s">
        <v>292</v>
      </c>
      <c r="AC202" s="352">
        <v>12</v>
      </c>
      <c r="AD202" s="353">
        <v>34.81</v>
      </c>
      <c r="AE202" s="356">
        <f t="shared" si="26"/>
        <v>417.72</v>
      </c>
      <c r="AF202" s="227">
        <v>2</v>
      </c>
      <c r="AG202" s="374"/>
      <c r="AR202" s="129"/>
      <c r="AT202" s="129"/>
      <c r="AU202" s="129"/>
      <c r="AY202" s="13"/>
      <c r="BE202" s="130"/>
      <c r="BF202" s="130"/>
      <c r="BG202" s="130"/>
      <c r="BH202" s="130"/>
      <c r="BI202" s="130"/>
      <c r="BJ202" s="13"/>
      <c r="BK202" s="130"/>
      <c r="BL202" s="13"/>
      <c r="BM202" s="129"/>
    </row>
    <row r="203" spans="2:65" s="369" customFormat="1" ht="24" customHeight="1" x14ac:dyDescent="0.2">
      <c r="B203" s="118"/>
      <c r="C203" s="1234" t="s">
        <v>5205</v>
      </c>
      <c r="D203" s="1235"/>
      <c r="E203" s="1235"/>
      <c r="F203" s="1235"/>
      <c r="G203" s="1235"/>
      <c r="H203" s="1235"/>
      <c r="I203" s="1235"/>
      <c r="J203" s="1236"/>
      <c r="K203" s="133"/>
      <c r="L203" s="137"/>
      <c r="M203" s="138"/>
      <c r="N203" s="139"/>
      <c r="O203" s="127"/>
      <c r="P203" s="127"/>
      <c r="Q203" s="127"/>
      <c r="R203" s="127"/>
      <c r="S203" s="127"/>
      <c r="T203" s="128"/>
      <c r="W203" s="199"/>
      <c r="X203" s="341" t="s">
        <v>5902</v>
      </c>
      <c r="Y203" s="341" t="s">
        <v>231</v>
      </c>
      <c r="Z203" s="342" t="s">
        <v>5882</v>
      </c>
      <c r="AA203" s="343" t="s">
        <v>5883</v>
      </c>
      <c r="AB203" s="344" t="s">
        <v>292</v>
      </c>
      <c r="AC203" s="345">
        <v>44</v>
      </c>
      <c r="AD203" s="346">
        <v>2.27</v>
      </c>
      <c r="AE203" s="355">
        <f t="shared" si="26"/>
        <v>99.88</v>
      </c>
      <c r="AF203" s="227">
        <v>2</v>
      </c>
      <c r="AG203" s="374"/>
      <c r="AR203" s="129"/>
      <c r="AT203" s="129"/>
      <c r="AU203" s="129"/>
      <c r="AY203" s="13"/>
      <c r="BE203" s="130"/>
      <c r="BF203" s="130"/>
      <c r="BG203" s="130"/>
      <c r="BH203" s="130"/>
      <c r="BI203" s="130"/>
      <c r="BJ203" s="13"/>
      <c r="BK203" s="130"/>
      <c r="BL203" s="13"/>
      <c r="BM203" s="129"/>
    </row>
    <row r="204" spans="2:65" s="369" customFormat="1" ht="24" customHeight="1" x14ac:dyDescent="0.2">
      <c r="B204" s="118"/>
      <c r="C204" s="1234" t="s">
        <v>5205</v>
      </c>
      <c r="D204" s="1235"/>
      <c r="E204" s="1235"/>
      <c r="F204" s="1235"/>
      <c r="G204" s="1235"/>
      <c r="H204" s="1235"/>
      <c r="I204" s="1235"/>
      <c r="J204" s="1236"/>
      <c r="K204" s="133"/>
      <c r="L204" s="137"/>
      <c r="M204" s="138"/>
      <c r="N204" s="139"/>
      <c r="O204" s="127"/>
      <c r="P204" s="127"/>
      <c r="Q204" s="127"/>
      <c r="R204" s="127"/>
      <c r="S204" s="127"/>
      <c r="T204" s="128"/>
      <c r="W204" s="199"/>
      <c r="X204" s="348" t="s">
        <v>5903</v>
      </c>
      <c r="Y204" s="348" t="s">
        <v>277</v>
      </c>
      <c r="Z204" s="349" t="s">
        <v>5884</v>
      </c>
      <c r="AA204" s="350" t="s">
        <v>5885</v>
      </c>
      <c r="AB204" s="351" t="s">
        <v>292</v>
      </c>
      <c r="AC204" s="352">
        <v>44</v>
      </c>
      <c r="AD204" s="353">
        <v>8.8699999999999992</v>
      </c>
      <c r="AE204" s="356">
        <f t="shared" si="26"/>
        <v>390.28</v>
      </c>
      <c r="AF204" s="227">
        <v>2</v>
      </c>
      <c r="AG204" s="374"/>
      <c r="AR204" s="129"/>
      <c r="AT204" s="129"/>
      <c r="AU204" s="129"/>
      <c r="AY204" s="13"/>
      <c r="BE204" s="130"/>
      <c r="BF204" s="130"/>
      <c r="BG204" s="130"/>
      <c r="BH204" s="130"/>
      <c r="BI204" s="130"/>
      <c r="BJ204" s="13"/>
      <c r="BK204" s="130"/>
      <c r="BL204" s="13"/>
      <c r="BM204" s="129"/>
    </row>
    <row r="205" spans="2:65" s="369" customFormat="1" ht="24" customHeight="1" x14ac:dyDescent="0.2">
      <c r="B205" s="118"/>
      <c r="C205" s="1234" t="s">
        <v>5205</v>
      </c>
      <c r="D205" s="1235"/>
      <c r="E205" s="1235"/>
      <c r="F205" s="1235"/>
      <c r="G205" s="1235"/>
      <c r="H205" s="1235"/>
      <c r="I205" s="1235"/>
      <c r="J205" s="1236"/>
      <c r="K205" s="133"/>
      <c r="L205" s="137"/>
      <c r="M205" s="138"/>
      <c r="N205" s="139"/>
      <c r="O205" s="127"/>
      <c r="P205" s="127"/>
      <c r="Q205" s="127"/>
      <c r="R205" s="127"/>
      <c r="S205" s="127"/>
      <c r="T205" s="128"/>
      <c r="W205" s="199"/>
      <c r="X205" s="341" t="s">
        <v>5904</v>
      </c>
      <c r="Y205" s="341" t="s">
        <v>231</v>
      </c>
      <c r="Z205" s="342" t="s">
        <v>5886</v>
      </c>
      <c r="AA205" s="343" t="s">
        <v>5887</v>
      </c>
      <c r="AB205" s="344" t="s">
        <v>292</v>
      </c>
      <c r="AC205" s="345">
        <v>44</v>
      </c>
      <c r="AD205" s="346">
        <v>1.94</v>
      </c>
      <c r="AE205" s="355">
        <f t="shared" si="26"/>
        <v>85.36</v>
      </c>
      <c r="AF205" s="227">
        <v>2</v>
      </c>
      <c r="AG205" s="374"/>
      <c r="AR205" s="129"/>
      <c r="AT205" s="129"/>
      <c r="AU205" s="129"/>
      <c r="AY205" s="13"/>
      <c r="BE205" s="130"/>
      <c r="BF205" s="130"/>
      <c r="BG205" s="130"/>
      <c r="BH205" s="130"/>
      <c r="BI205" s="130"/>
      <c r="BJ205" s="13"/>
      <c r="BK205" s="130"/>
      <c r="BL205" s="13"/>
      <c r="BM205" s="129"/>
    </row>
    <row r="206" spans="2:65" s="369" customFormat="1" ht="24" customHeight="1" x14ac:dyDescent="0.2">
      <c r="B206" s="118"/>
      <c r="C206" s="1234" t="s">
        <v>5205</v>
      </c>
      <c r="D206" s="1235"/>
      <c r="E206" s="1235"/>
      <c r="F206" s="1235"/>
      <c r="G206" s="1235"/>
      <c r="H206" s="1235"/>
      <c r="I206" s="1235"/>
      <c r="J206" s="1236"/>
      <c r="K206" s="133"/>
      <c r="L206" s="137"/>
      <c r="M206" s="138"/>
      <c r="N206" s="139"/>
      <c r="O206" s="127"/>
      <c r="P206" s="127"/>
      <c r="Q206" s="127"/>
      <c r="R206" s="127"/>
      <c r="S206" s="127"/>
      <c r="T206" s="128"/>
      <c r="W206" s="199"/>
      <c r="X206" s="348" t="s">
        <v>5905</v>
      </c>
      <c r="Y206" s="348" t="s">
        <v>277</v>
      </c>
      <c r="Z206" s="349" t="s">
        <v>5888</v>
      </c>
      <c r="AA206" s="350" t="s">
        <v>5889</v>
      </c>
      <c r="AB206" s="351" t="s">
        <v>292</v>
      </c>
      <c r="AC206" s="352">
        <v>44</v>
      </c>
      <c r="AD206" s="353">
        <v>3.02</v>
      </c>
      <c r="AE206" s="356">
        <f t="shared" si="26"/>
        <v>132.88</v>
      </c>
      <c r="AF206" s="227">
        <v>2</v>
      </c>
      <c r="AG206" s="374"/>
      <c r="AR206" s="129"/>
      <c r="AT206" s="129"/>
      <c r="AU206" s="129"/>
      <c r="AY206" s="13"/>
      <c r="BE206" s="130"/>
      <c r="BF206" s="130"/>
      <c r="BG206" s="130"/>
      <c r="BH206" s="130"/>
      <c r="BI206" s="130"/>
      <c r="BJ206" s="13"/>
      <c r="BK206" s="130"/>
      <c r="BL206" s="13"/>
      <c r="BM206" s="129"/>
    </row>
    <row r="207" spans="2:65" s="1" customFormat="1" ht="16.5" customHeight="1" x14ac:dyDescent="0.2">
      <c r="B207" s="118"/>
      <c r="C207" s="119" t="s">
        <v>494</v>
      </c>
      <c r="D207" s="119" t="s">
        <v>231</v>
      </c>
      <c r="E207" s="120" t="s">
        <v>1514</v>
      </c>
      <c r="F207" s="121" t="s">
        <v>1515</v>
      </c>
      <c r="G207" s="122" t="s">
        <v>1194</v>
      </c>
      <c r="H207" s="123">
        <v>9</v>
      </c>
      <c r="I207" s="124">
        <v>9.08</v>
      </c>
      <c r="J207" s="124">
        <f t="shared" si="22"/>
        <v>81.72</v>
      </c>
      <c r="K207" s="121" t="s">
        <v>1</v>
      </c>
      <c r="L207" s="24"/>
      <c r="M207" s="125" t="s">
        <v>1</v>
      </c>
      <c r="N207" s="126" t="s">
        <v>31</v>
      </c>
      <c r="O207" s="127">
        <v>0</v>
      </c>
      <c r="P207" s="127">
        <f t="shared" si="23"/>
        <v>0</v>
      </c>
      <c r="Q207" s="127">
        <v>0</v>
      </c>
      <c r="R207" s="127">
        <f t="shared" si="24"/>
        <v>0</v>
      </c>
      <c r="S207" s="127">
        <v>0</v>
      </c>
      <c r="T207" s="128">
        <f t="shared" si="25"/>
        <v>0</v>
      </c>
      <c r="W207" s="199"/>
      <c r="X207" s="119" t="s">
        <v>494</v>
      </c>
      <c r="Y207" s="119" t="s">
        <v>231</v>
      </c>
      <c r="Z207" s="120" t="s">
        <v>1514</v>
      </c>
      <c r="AA207" s="121" t="s">
        <v>1515</v>
      </c>
      <c r="AB207" s="122" t="s">
        <v>1194</v>
      </c>
      <c r="AC207" s="123">
        <v>9</v>
      </c>
      <c r="AD207" s="124">
        <v>9.08</v>
      </c>
      <c r="AE207" s="200">
        <f t="shared" si="26"/>
        <v>81.72</v>
      </c>
      <c r="AF207" s="227"/>
      <c r="AG207" s="374"/>
      <c r="AR207" s="129" t="s">
        <v>63</v>
      </c>
      <c r="AT207" s="129" t="s">
        <v>231</v>
      </c>
      <c r="AU207" s="129" t="s">
        <v>63</v>
      </c>
      <c r="AY207" s="13" t="s">
        <v>228</v>
      </c>
      <c r="BE207" s="130">
        <f t="shared" si="27"/>
        <v>81.72</v>
      </c>
      <c r="BF207" s="130">
        <f t="shared" si="28"/>
        <v>0</v>
      </c>
      <c r="BG207" s="130">
        <f t="shared" si="29"/>
        <v>0</v>
      </c>
      <c r="BH207" s="130">
        <f t="shared" si="30"/>
        <v>0</v>
      </c>
      <c r="BI207" s="130">
        <f t="shared" si="31"/>
        <v>0</v>
      </c>
      <c r="BJ207" s="13" t="s">
        <v>63</v>
      </c>
      <c r="BK207" s="130">
        <f t="shared" si="32"/>
        <v>81.72</v>
      </c>
      <c r="BL207" s="13" t="s">
        <v>63</v>
      </c>
      <c r="BM207" s="129" t="s">
        <v>1516</v>
      </c>
    </row>
    <row r="208" spans="2:65" s="1" customFormat="1" ht="24" customHeight="1" x14ac:dyDescent="0.2">
      <c r="B208" s="118"/>
      <c r="C208" s="131" t="s">
        <v>365</v>
      </c>
      <c r="D208" s="131" t="s">
        <v>277</v>
      </c>
      <c r="E208" s="132" t="s">
        <v>1517</v>
      </c>
      <c r="F208" s="133" t="s">
        <v>1518</v>
      </c>
      <c r="G208" s="134" t="s">
        <v>1194</v>
      </c>
      <c r="H208" s="135">
        <v>9</v>
      </c>
      <c r="I208" s="136">
        <v>14.02</v>
      </c>
      <c r="J208" s="136">
        <f t="shared" si="22"/>
        <v>126.18</v>
      </c>
      <c r="K208" s="133" t="s">
        <v>1</v>
      </c>
      <c r="L208" s="137"/>
      <c r="M208" s="138" t="s">
        <v>1</v>
      </c>
      <c r="N208" s="139" t="s">
        <v>31</v>
      </c>
      <c r="O208" s="127">
        <v>0</v>
      </c>
      <c r="P208" s="127">
        <f t="shared" si="23"/>
        <v>0</v>
      </c>
      <c r="Q208" s="127">
        <v>0</v>
      </c>
      <c r="R208" s="127">
        <f t="shared" si="24"/>
        <v>0</v>
      </c>
      <c r="S208" s="127">
        <v>0</v>
      </c>
      <c r="T208" s="128">
        <f t="shared" si="25"/>
        <v>0</v>
      </c>
      <c r="W208" s="199"/>
      <c r="X208" s="131" t="s">
        <v>365</v>
      </c>
      <c r="Y208" s="131" t="s">
        <v>277</v>
      </c>
      <c r="Z208" s="132" t="s">
        <v>1517</v>
      </c>
      <c r="AA208" s="133" t="s">
        <v>1518</v>
      </c>
      <c r="AB208" s="134" t="s">
        <v>1194</v>
      </c>
      <c r="AC208" s="135">
        <v>9</v>
      </c>
      <c r="AD208" s="136">
        <v>14.02</v>
      </c>
      <c r="AE208" s="229">
        <f t="shared" si="26"/>
        <v>126.18</v>
      </c>
      <c r="AF208" s="227"/>
      <c r="AG208" s="374"/>
      <c r="AR208" s="129" t="s">
        <v>76</v>
      </c>
      <c r="AT208" s="129" t="s">
        <v>277</v>
      </c>
      <c r="AU208" s="129" t="s">
        <v>63</v>
      </c>
      <c r="AY208" s="13" t="s">
        <v>228</v>
      </c>
      <c r="BE208" s="130">
        <f t="shared" si="27"/>
        <v>126.18</v>
      </c>
      <c r="BF208" s="130">
        <f t="shared" si="28"/>
        <v>0</v>
      </c>
      <c r="BG208" s="130">
        <f t="shared" si="29"/>
        <v>0</v>
      </c>
      <c r="BH208" s="130">
        <f t="shared" si="30"/>
        <v>0</v>
      </c>
      <c r="BI208" s="130">
        <f t="shared" si="31"/>
        <v>0</v>
      </c>
      <c r="BJ208" s="13" t="s">
        <v>63</v>
      </c>
      <c r="BK208" s="130">
        <f t="shared" si="32"/>
        <v>126.18</v>
      </c>
      <c r="BL208" s="13" t="s">
        <v>63</v>
      </c>
      <c r="BM208" s="129" t="s">
        <v>1519</v>
      </c>
    </row>
    <row r="209" spans="2:65" s="1" customFormat="1" ht="16.5" customHeight="1" x14ac:dyDescent="0.2">
      <c r="B209" s="118"/>
      <c r="C209" s="119" t="s">
        <v>501</v>
      </c>
      <c r="D209" s="119" t="s">
        <v>231</v>
      </c>
      <c r="E209" s="120" t="s">
        <v>1520</v>
      </c>
      <c r="F209" s="121" t="s">
        <v>1521</v>
      </c>
      <c r="G209" s="122" t="s">
        <v>1194</v>
      </c>
      <c r="H209" s="123">
        <v>53</v>
      </c>
      <c r="I209" s="124">
        <v>9.08</v>
      </c>
      <c r="J209" s="124">
        <f t="shared" si="22"/>
        <v>481.24</v>
      </c>
      <c r="K209" s="121" t="s">
        <v>1</v>
      </c>
      <c r="L209" s="24"/>
      <c r="M209" s="125" t="s">
        <v>1</v>
      </c>
      <c r="N209" s="126" t="s">
        <v>31</v>
      </c>
      <c r="O209" s="127">
        <v>0</v>
      </c>
      <c r="P209" s="127">
        <f t="shared" si="23"/>
        <v>0</v>
      </c>
      <c r="Q209" s="127">
        <v>0</v>
      </c>
      <c r="R209" s="127">
        <f t="shared" si="24"/>
        <v>0</v>
      </c>
      <c r="S209" s="127">
        <v>0</v>
      </c>
      <c r="T209" s="128">
        <f t="shared" si="25"/>
        <v>0</v>
      </c>
      <c r="W209" s="199"/>
      <c r="X209" s="119" t="s">
        <v>501</v>
      </c>
      <c r="Y209" s="119" t="s">
        <v>231</v>
      </c>
      <c r="Z209" s="120" t="s">
        <v>1520</v>
      </c>
      <c r="AA209" s="121" t="s">
        <v>1521</v>
      </c>
      <c r="AB209" s="122" t="s">
        <v>1194</v>
      </c>
      <c r="AC209" s="123">
        <v>53</v>
      </c>
      <c r="AD209" s="124">
        <v>9.08</v>
      </c>
      <c r="AE209" s="200">
        <f t="shared" si="26"/>
        <v>481.24</v>
      </c>
      <c r="AF209" s="227"/>
      <c r="AG209" s="374"/>
      <c r="AR209" s="129" t="s">
        <v>63</v>
      </c>
      <c r="AT209" s="129" t="s">
        <v>231</v>
      </c>
      <c r="AU209" s="129" t="s">
        <v>63</v>
      </c>
      <c r="AY209" s="13" t="s">
        <v>228</v>
      </c>
      <c r="BE209" s="130">
        <f t="shared" si="27"/>
        <v>481.24</v>
      </c>
      <c r="BF209" s="130">
        <f t="shared" si="28"/>
        <v>0</v>
      </c>
      <c r="BG209" s="130">
        <f t="shared" si="29"/>
        <v>0</v>
      </c>
      <c r="BH209" s="130">
        <f t="shared" si="30"/>
        <v>0</v>
      </c>
      <c r="BI209" s="130">
        <f t="shared" si="31"/>
        <v>0</v>
      </c>
      <c r="BJ209" s="13" t="s">
        <v>63</v>
      </c>
      <c r="BK209" s="130">
        <f t="shared" si="32"/>
        <v>481.24</v>
      </c>
      <c r="BL209" s="13" t="s">
        <v>63</v>
      </c>
      <c r="BM209" s="129" t="s">
        <v>1522</v>
      </c>
    </row>
    <row r="210" spans="2:65" s="1" customFormat="1" ht="24" customHeight="1" x14ac:dyDescent="0.2">
      <c r="B210" s="118"/>
      <c r="C210" s="131" t="s">
        <v>368</v>
      </c>
      <c r="D210" s="131" t="s">
        <v>277</v>
      </c>
      <c r="E210" s="132" t="s">
        <v>1523</v>
      </c>
      <c r="F210" s="133" t="s">
        <v>1524</v>
      </c>
      <c r="G210" s="134" t="s">
        <v>1194</v>
      </c>
      <c r="H210" s="135">
        <v>53</v>
      </c>
      <c r="I210" s="136">
        <v>16.7</v>
      </c>
      <c r="J210" s="136">
        <f t="shared" si="22"/>
        <v>885.1</v>
      </c>
      <c r="K210" s="133" t="s">
        <v>1</v>
      </c>
      <c r="L210" s="137"/>
      <c r="M210" s="138" t="s">
        <v>1</v>
      </c>
      <c r="N210" s="139" t="s">
        <v>31</v>
      </c>
      <c r="O210" s="127">
        <v>0</v>
      </c>
      <c r="P210" s="127">
        <f t="shared" si="23"/>
        <v>0</v>
      </c>
      <c r="Q210" s="127">
        <v>0</v>
      </c>
      <c r="R210" s="127">
        <f t="shared" si="24"/>
        <v>0</v>
      </c>
      <c r="S210" s="127">
        <v>0</v>
      </c>
      <c r="T210" s="128">
        <f t="shared" si="25"/>
        <v>0</v>
      </c>
      <c r="W210" s="199"/>
      <c r="X210" s="131" t="s">
        <v>368</v>
      </c>
      <c r="Y210" s="131" t="s">
        <v>277</v>
      </c>
      <c r="Z210" s="132" t="s">
        <v>1523</v>
      </c>
      <c r="AA210" s="133" t="s">
        <v>1524</v>
      </c>
      <c r="AB210" s="134" t="s">
        <v>1194</v>
      </c>
      <c r="AC210" s="135">
        <v>53</v>
      </c>
      <c r="AD210" s="136">
        <v>16.7</v>
      </c>
      <c r="AE210" s="229">
        <f t="shared" si="26"/>
        <v>885.1</v>
      </c>
      <c r="AF210" s="227"/>
      <c r="AG210" s="374"/>
      <c r="AR210" s="129" t="s">
        <v>76</v>
      </c>
      <c r="AT210" s="129" t="s">
        <v>277</v>
      </c>
      <c r="AU210" s="129" t="s">
        <v>63</v>
      </c>
      <c r="AY210" s="13" t="s">
        <v>228</v>
      </c>
      <c r="BE210" s="130">
        <f t="shared" si="27"/>
        <v>885.1</v>
      </c>
      <c r="BF210" s="130">
        <f t="shared" si="28"/>
        <v>0</v>
      </c>
      <c r="BG210" s="130">
        <f t="shared" si="29"/>
        <v>0</v>
      </c>
      <c r="BH210" s="130">
        <f t="shared" si="30"/>
        <v>0</v>
      </c>
      <c r="BI210" s="130">
        <f t="shared" si="31"/>
        <v>0</v>
      </c>
      <c r="BJ210" s="13" t="s">
        <v>63</v>
      </c>
      <c r="BK210" s="130">
        <f t="shared" si="32"/>
        <v>885.1</v>
      </c>
      <c r="BL210" s="13" t="s">
        <v>63</v>
      </c>
      <c r="BM210" s="129" t="s">
        <v>1525</v>
      </c>
    </row>
    <row r="211" spans="2:65" s="1" customFormat="1" ht="24" customHeight="1" x14ac:dyDescent="0.2">
      <c r="B211" s="118"/>
      <c r="C211" s="119" t="s">
        <v>508</v>
      </c>
      <c r="D211" s="119" t="s">
        <v>231</v>
      </c>
      <c r="E211" s="120" t="s">
        <v>1526</v>
      </c>
      <c r="F211" s="121" t="s">
        <v>1527</v>
      </c>
      <c r="G211" s="122" t="s">
        <v>292</v>
      </c>
      <c r="H211" s="123">
        <v>144</v>
      </c>
      <c r="I211" s="124">
        <v>1.3</v>
      </c>
      <c r="J211" s="124">
        <f t="shared" si="22"/>
        <v>187.2</v>
      </c>
      <c r="K211" s="121" t="s">
        <v>1</v>
      </c>
      <c r="L211" s="24"/>
      <c r="M211" s="125" t="s">
        <v>1</v>
      </c>
      <c r="N211" s="126" t="s">
        <v>31</v>
      </c>
      <c r="O211" s="127">
        <v>0</v>
      </c>
      <c r="P211" s="127">
        <f t="shared" si="23"/>
        <v>0</v>
      </c>
      <c r="Q211" s="127">
        <v>0</v>
      </c>
      <c r="R211" s="127">
        <f t="shared" si="24"/>
        <v>0</v>
      </c>
      <c r="S211" s="127">
        <v>0</v>
      </c>
      <c r="T211" s="128">
        <f t="shared" si="25"/>
        <v>0</v>
      </c>
      <c r="W211" s="199"/>
      <c r="X211" s="119" t="s">
        <v>508</v>
      </c>
      <c r="Y211" s="119" t="s">
        <v>231</v>
      </c>
      <c r="Z211" s="120" t="s">
        <v>1526</v>
      </c>
      <c r="AA211" s="121" t="s">
        <v>1527</v>
      </c>
      <c r="AB211" s="122" t="s">
        <v>292</v>
      </c>
      <c r="AC211" s="123">
        <v>144</v>
      </c>
      <c r="AD211" s="124">
        <v>1.3</v>
      </c>
      <c r="AE211" s="200">
        <f t="shared" si="26"/>
        <v>187.2</v>
      </c>
      <c r="AF211" s="227"/>
      <c r="AG211" s="374"/>
      <c r="AR211" s="129" t="s">
        <v>63</v>
      </c>
      <c r="AT211" s="129" t="s">
        <v>231</v>
      </c>
      <c r="AU211" s="129" t="s">
        <v>63</v>
      </c>
      <c r="AY211" s="13" t="s">
        <v>228</v>
      </c>
      <c r="BE211" s="130">
        <f t="shared" si="27"/>
        <v>187.2</v>
      </c>
      <c r="BF211" s="130">
        <f t="shared" si="28"/>
        <v>0</v>
      </c>
      <c r="BG211" s="130">
        <f t="shared" si="29"/>
        <v>0</v>
      </c>
      <c r="BH211" s="130">
        <f t="shared" si="30"/>
        <v>0</v>
      </c>
      <c r="BI211" s="130">
        <f t="shared" si="31"/>
        <v>0</v>
      </c>
      <c r="BJ211" s="13" t="s">
        <v>63</v>
      </c>
      <c r="BK211" s="130">
        <f t="shared" si="32"/>
        <v>187.2</v>
      </c>
      <c r="BL211" s="13" t="s">
        <v>63</v>
      </c>
      <c r="BM211" s="129" t="s">
        <v>1528</v>
      </c>
    </row>
    <row r="212" spans="2:65" s="1" customFormat="1" ht="24" customHeight="1" x14ac:dyDescent="0.2">
      <c r="B212" s="118"/>
      <c r="C212" s="131" t="s">
        <v>372</v>
      </c>
      <c r="D212" s="131" t="s">
        <v>277</v>
      </c>
      <c r="E212" s="132" t="s">
        <v>1529</v>
      </c>
      <c r="F212" s="133" t="s">
        <v>1530</v>
      </c>
      <c r="G212" s="134" t="s">
        <v>292</v>
      </c>
      <c r="H212" s="135">
        <v>144</v>
      </c>
      <c r="I212" s="136">
        <v>3.94</v>
      </c>
      <c r="J212" s="136">
        <f t="shared" si="22"/>
        <v>567.36</v>
      </c>
      <c r="K212" s="133" t="s">
        <v>1</v>
      </c>
      <c r="L212" s="137"/>
      <c r="M212" s="138" t="s">
        <v>1</v>
      </c>
      <c r="N212" s="139" t="s">
        <v>31</v>
      </c>
      <c r="O212" s="127">
        <v>0</v>
      </c>
      <c r="P212" s="127">
        <f t="shared" si="23"/>
        <v>0</v>
      </c>
      <c r="Q212" s="127">
        <v>5.4000000000000001E-4</v>
      </c>
      <c r="R212" s="127">
        <f t="shared" si="24"/>
        <v>7.7759999999999996E-2</v>
      </c>
      <c r="S212" s="127">
        <v>0</v>
      </c>
      <c r="T212" s="128">
        <f t="shared" si="25"/>
        <v>0</v>
      </c>
      <c r="W212" s="199"/>
      <c r="X212" s="131" t="s">
        <v>372</v>
      </c>
      <c r="Y212" s="131" t="s">
        <v>277</v>
      </c>
      <c r="Z212" s="132" t="s">
        <v>1529</v>
      </c>
      <c r="AA212" s="133" t="s">
        <v>1530</v>
      </c>
      <c r="AB212" s="134" t="s">
        <v>292</v>
      </c>
      <c r="AC212" s="135">
        <v>144</v>
      </c>
      <c r="AD212" s="136">
        <v>3.94</v>
      </c>
      <c r="AE212" s="229">
        <f t="shared" si="26"/>
        <v>567.36</v>
      </c>
      <c r="AF212" s="227"/>
      <c r="AG212" s="374"/>
      <c r="AR212" s="129" t="s">
        <v>76</v>
      </c>
      <c r="AT212" s="129" t="s">
        <v>277</v>
      </c>
      <c r="AU212" s="129" t="s">
        <v>63</v>
      </c>
      <c r="AY212" s="13" t="s">
        <v>228</v>
      </c>
      <c r="BE212" s="130">
        <f t="shared" si="27"/>
        <v>567.36</v>
      </c>
      <c r="BF212" s="130">
        <f t="shared" si="28"/>
        <v>0</v>
      </c>
      <c r="BG212" s="130">
        <f t="shared" si="29"/>
        <v>0</v>
      </c>
      <c r="BH212" s="130">
        <f t="shared" si="30"/>
        <v>0</v>
      </c>
      <c r="BI212" s="130">
        <f t="shared" si="31"/>
        <v>0</v>
      </c>
      <c r="BJ212" s="13" t="s">
        <v>63</v>
      </c>
      <c r="BK212" s="130">
        <f t="shared" si="32"/>
        <v>567.36</v>
      </c>
      <c r="BL212" s="13" t="s">
        <v>63</v>
      </c>
      <c r="BM212" s="129" t="s">
        <v>1531</v>
      </c>
    </row>
    <row r="213" spans="2:65" s="1" customFormat="1" ht="24" customHeight="1" x14ac:dyDescent="0.2">
      <c r="B213" s="118"/>
      <c r="C213" s="205" t="s">
        <v>515</v>
      </c>
      <c r="D213" s="119" t="s">
        <v>231</v>
      </c>
      <c r="E213" s="120" t="s">
        <v>1532</v>
      </c>
      <c r="F213" s="121" t="s">
        <v>1533</v>
      </c>
      <c r="G213" s="122" t="s">
        <v>292</v>
      </c>
      <c r="H213" s="206">
        <v>80</v>
      </c>
      <c r="I213" s="124">
        <v>4.5599999999999996</v>
      </c>
      <c r="J213" s="124">
        <f t="shared" si="22"/>
        <v>364.8</v>
      </c>
      <c r="K213" s="121" t="s">
        <v>1</v>
      </c>
      <c r="L213" s="24"/>
      <c r="M213" s="125" t="s">
        <v>1</v>
      </c>
      <c r="N213" s="126" t="s">
        <v>31</v>
      </c>
      <c r="O213" s="127">
        <v>0</v>
      </c>
      <c r="P213" s="127">
        <f t="shared" si="23"/>
        <v>0</v>
      </c>
      <c r="Q213" s="127">
        <v>0</v>
      </c>
      <c r="R213" s="127">
        <f t="shared" si="24"/>
        <v>0</v>
      </c>
      <c r="S213" s="127">
        <v>0</v>
      </c>
      <c r="T213" s="128">
        <f t="shared" si="25"/>
        <v>0</v>
      </c>
      <c r="W213" s="199"/>
      <c r="X213" s="205" t="s">
        <v>515</v>
      </c>
      <c r="Y213" s="119" t="s">
        <v>231</v>
      </c>
      <c r="Z213" s="120" t="s">
        <v>1532</v>
      </c>
      <c r="AA213" s="121" t="s">
        <v>1533</v>
      </c>
      <c r="AB213" s="122" t="s">
        <v>292</v>
      </c>
      <c r="AC213" s="206">
        <f>80+140</f>
        <v>220</v>
      </c>
      <c r="AD213" s="124">
        <v>4.5599999999999996</v>
      </c>
      <c r="AE213" s="200">
        <f t="shared" si="26"/>
        <v>1003.2</v>
      </c>
      <c r="AF213" s="227">
        <v>2</v>
      </c>
      <c r="AG213" s="374"/>
      <c r="AR213" s="129" t="s">
        <v>63</v>
      </c>
      <c r="AT213" s="129" t="s">
        <v>231</v>
      </c>
      <c r="AU213" s="129" t="s">
        <v>63</v>
      </c>
      <c r="AY213" s="13" t="s">
        <v>228</v>
      </c>
      <c r="BE213" s="130">
        <f t="shared" si="27"/>
        <v>364.8</v>
      </c>
      <c r="BF213" s="130">
        <f t="shared" si="28"/>
        <v>0</v>
      </c>
      <c r="BG213" s="130">
        <f t="shared" si="29"/>
        <v>0</v>
      </c>
      <c r="BH213" s="130">
        <f t="shared" si="30"/>
        <v>0</v>
      </c>
      <c r="BI213" s="130">
        <f t="shared" si="31"/>
        <v>0</v>
      </c>
      <c r="BJ213" s="13" t="s">
        <v>63</v>
      </c>
      <c r="BK213" s="130">
        <f t="shared" si="32"/>
        <v>364.8</v>
      </c>
      <c r="BL213" s="13" t="s">
        <v>63</v>
      </c>
      <c r="BM213" s="129" t="s">
        <v>1534</v>
      </c>
    </row>
    <row r="214" spans="2:65" s="1" customFormat="1" ht="24" customHeight="1" x14ac:dyDescent="0.2">
      <c r="B214" s="118"/>
      <c r="C214" s="242" t="s">
        <v>375</v>
      </c>
      <c r="D214" s="131" t="s">
        <v>277</v>
      </c>
      <c r="E214" s="132" t="s">
        <v>1535</v>
      </c>
      <c r="F214" s="133" t="s">
        <v>1536</v>
      </c>
      <c r="G214" s="134" t="s">
        <v>292</v>
      </c>
      <c r="H214" s="241">
        <v>80</v>
      </c>
      <c r="I214" s="136">
        <v>10.66</v>
      </c>
      <c r="J214" s="136">
        <f t="shared" si="22"/>
        <v>852.8</v>
      </c>
      <c r="K214" s="133" t="s">
        <v>1</v>
      </c>
      <c r="L214" s="137"/>
      <c r="M214" s="138" t="s">
        <v>1</v>
      </c>
      <c r="N214" s="139" t="s">
        <v>31</v>
      </c>
      <c r="O214" s="127">
        <v>0</v>
      </c>
      <c r="P214" s="127">
        <f t="shared" si="23"/>
        <v>0</v>
      </c>
      <c r="Q214" s="127">
        <v>4.0000000000000001E-3</v>
      </c>
      <c r="R214" s="127">
        <f t="shared" si="24"/>
        <v>0.32</v>
      </c>
      <c r="S214" s="127">
        <v>0</v>
      </c>
      <c r="T214" s="128">
        <f t="shared" si="25"/>
        <v>0</v>
      </c>
      <c r="W214" s="199"/>
      <c r="X214" s="242" t="s">
        <v>375</v>
      </c>
      <c r="Y214" s="131" t="s">
        <v>277</v>
      </c>
      <c r="Z214" s="132" t="s">
        <v>1535</v>
      </c>
      <c r="AA214" s="133" t="s">
        <v>1536</v>
      </c>
      <c r="AB214" s="134" t="s">
        <v>292</v>
      </c>
      <c r="AC214" s="241">
        <f>80+140</f>
        <v>220</v>
      </c>
      <c r="AD214" s="136">
        <v>10.66</v>
      </c>
      <c r="AE214" s="229">
        <f t="shared" si="26"/>
        <v>2345.1999999999998</v>
      </c>
      <c r="AF214" s="227">
        <v>2</v>
      </c>
      <c r="AG214" s="374"/>
      <c r="AR214" s="129" t="s">
        <v>76</v>
      </c>
      <c r="AT214" s="129" t="s">
        <v>277</v>
      </c>
      <c r="AU214" s="129" t="s">
        <v>63</v>
      </c>
      <c r="AY214" s="13" t="s">
        <v>228</v>
      </c>
      <c r="BE214" s="130">
        <f t="shared" si="27"/>
        <v>852.8</v>
      </c>
      <c r="BF214" s="130">
        <f t="shared" si="28"/>
        <v>0</v>
      </c>
      <c r="BG214" s="130">
        <f t="shared" si="29"/>
        <v>0</v>
      </c>
      <c r="BH214" s="130">
        <f t="shared" si="30"/>
        <v>0</v>
      </c>
      <c r="BI214" s="130">
        <f t="shared" si="31"/>
        <v>0</v>
      </c>
      <c r="BJ214" s="13" t="s">
        <v>63</v>
      </c>
      <c r="BK214" s="130">
        <f t="shared" si="32"/>
        <v>852.8</v>
      </c>
      <c r="BL214" s="13" t="s">
        <v>63</v>
      </c>
      <c r="BM214" s="129" t="s">
        <v>1537</v>
      </c>
    </row>
    <row r="215" spans="2:65" s="1" customFormat="1" ht="24" customHeight="1" x14ac:dyDescent="0.2">
      <c r="B215" s="118"/>
      <c r="C215" s="205" t="s">
        <v>522</v>
      </c>
      <c r="D215" s="119" t="s">
        <v>231</v>
      </c>
      <c r="E215" s="120" t="s">
        <v>1538</v>
      </c>
      <c r="F215" s="121" t="s">
        <v>1539</v>
      </c>
      <c r="G215" s="122" t="s">
        <v>292</v>
      </c>
      <c r="H215" s="206">
        <v>96</v>
      </c>
      <c r="I215" s="124">
        <v>2.59</v>
      </c>
      <c r="J215" s="124">
        <f t="shared" si="22"/>
        <v>248.64</v>
      </c>
      <c r="K215" s="121" t="s">
        <v>1</v>
      </c>
      <c r="L215" s="24"/>
      <c r="M215" s="125" t="s">
        <v>1</v>
      </c>
      <c r="N215" s="126" t="s">
        <v>31</v>
      </c>
      <c r="O215" s="127">
        <v>0</v>
      </c>
      <c r="P215" s="127">
        <f t="shared" si="23"/>
        <v>0</v>
      </c>
      <c r="Q215" s="127">
        <v>0</v>
      </c>
      <c r="R215" s="127">
        <f t="shared" si="24"/>
        <v>0</v>
      </c>
      <c r="S215" s="127">
        <v>0</v>
      </c>
      <c r="T215" s="128">
        <f t="shared" si="25"/>
        <v>0</v>
      </c>
      <c r="W215" s="199"/>
      <c r="X215" s="205" t="s">
        <v>522</v>
      </c>
      <c r="Y215" s="119" t="s">
        <v>231</v>
      </c>
      <c r="Z215" s="120" t="s">
        <v>1538</v>
      </c>
      <c r="AA215" s="121" t="s">
        <v>1539</v>
      </c>
      <c r="AB215" s="122" t="s">
        <v>292</v>
      </c>
      <c r="AC215" s="206">
        <f>96+36</f>
        <v>132</v>
      </c>
      <c r="AD215" s="124">
        <v>2.59</v>
      </c>
      <c r="AE215" s="200">
        <f t="shared" si="26"/>
        <v>341.88</v>
      </c>
      <c r="AF215" s="227">
        <v>2</v>
      </c>
      <c r="AG215" s="374"/>
      <c r="AR215" s="129" t="s">
        <v>63</v>
      </c>
      <c r="AT215" s="129" t="s">
        <v>231</v>
      </c>
      <c r="AU215" s="129" t="s">
        <v>63</v>
      </c>
      <c r="AY215" s="13" t="s">
        <v>228</v>
      </c>
      <c r="BE215" s="130">
        <f t="shared" si="27"/>
        <v>248.64</v>
      </c>
      <c r="BF215" s="130">
        <f t="shared" si="28"/>
        <v>0</v>
      </c>
      <c r="BG215" s="130">
        <f t="shared" si="29"/>
        <v>0</v>
      </c>
      <c r="BH215" s="130">
        <f t="shared" si="30"/>
        <v>0</v>
      </c>
      <c r="BI215" s="130">
        <f t="shared" si="31"/>
        <v>0</v>
      </c>
      <c r="BJ215" s="13" t="s">
        <v>63</v>
      </c>
      <c r="BK215" s="130">
        <f t="shared" si="32"/>
        <v>248.64</v>
      </c>
      <c r="BL215" s="13" t="s">
        <v>63</v>
      </c>
      <c r="BM215" s="129" t="s">
        <v>1540</v>
      </c>
    </row>
    <row r="216" spans="2:65" s="1" customFormat="1" ht="24" customHeight="1" x14ac:dyDescent="0.2">
      <c r="B216" s="118"/>
      <c r="C216" s="242" t="s">
        <v>379</v>
      </c>
      <c r="D216" s="131" t="s">
        <v>277</v>
      </c>
      <c r="E216" s="132" t="s">
        <v>1541</v>
      </c>
      <c r="F216" s="133" t="s">
        <v>1542</v>
      </c>
      <c r="G216" s="134" t="s">
        <v>292</v>
      </c>
      <c r="H216" s="241">
        <v>96</v>
      </c>
      <c r="I216" s="136">
        <v>44.47</v>
      </c>
      <c r="J216" s="136">
        <f t="shared" si="22"/>
        <v>4269.12</v>
      </c>
      <c r="K216" s="133" t="s">
        <v>1</v>
      </c>
      <c r="L216" s="137"/>
      <c r="M216" s="138" t="s">
        <v>1</v>
      </c>
      <c r="N216" s="139" t="s">
        <v>31</v>
      </c>
      <c r="O216" s="127">
        <v>0</v>
      </c>
      <c r="P216" s="127">
        <f t="shared" si="23"/>
        <v>0</v>
      </c>
      <c r="Q216" s="127">
        <v>3.8999999999999998E-3</v>
      </c>
      <c r="R216" s="127">
        <f t="shared" si="24"/>
        <v>0.37439999999999996</v>
      </c>
      <c r="S216" s="127">
        <v>0</v>
      </c>
      <c r="T216" s="128">
        <f t="shared" si="25"/>
        <v>0</v>
      </c>
      <c r="W216" s="199"/>
      <c r="X216" s="242" t="s">
        <v>379</v>
      </c>
      <c r="Y216" s="131" t="s">
        <v>277</v>
      </c>
      <c r="Z216" s="132" t="s">
        <v>1541</v>
      </c>
      <c r="AA216" s="133" t="s">
        <v>1542</v>
      </c>
      <c r="AB216" s="134" t="s">
        <v>292</v>
      </c>
      <c r="AC216" s="241">
        <f>96+36</f>
        <v>132</v>
      </c>
      <c r="AD216" s="136">
        <v>44.47</v>
      </c>
      <c r="AE216" s="229">
        <f t="shared" si="26"/>
        <v>5870.04</v>
      </c>
      <c r="AF216" s="227">
        <v>2</v>
      </c>
      <c r="AG216" s="374"/>
      <c r="AR216" s="129" t="s">
        <v>76</v>
      </c>
      <c r="AT216" s="129" t="s">
        <v>277</v>
      </c>
      <c r="AU216" s="129" t="s">
        <v>63</v>
      </c>
      <c r="AY216" s="13" t="s">
        <v>228</v>
      </c>
      <c r="BE216" s="130">
        <f t="shared" si="27"/>
        <v>4269.12</v>
      </c>
      <c r="BF216" s="130">
        <f t="shared" si="28"/>
        <v>0</v>
      </c>
      <c r="BG216" s="130">
        <f t="shared" si="29"/>
        <v>0</v>
      </c>
      <c r="BH216" s="130">
        <f t="shared" si="30"/>
        <v>0</v>
      </c>
      <c r="BI216" s="130">
        <f t="shared" si="31"/>
        <v>0</v>
      </c>
      <c r="BJ216" s="13" t="s">
        <v>63</v>
      </c>
      <c r="BK216" s="130">
        <f t="shared" si="32"/>
        <v>4269.12</v>
      </c>
      <c r="BL216" s="13" t="s">
        <v>63</v>
      </c>
      <c r="BM216" s="129" t="s">
        <v>1543</v>
      </c>
    </row>
    <row r="217" spans="2:65" s="1" customFormat="1" ht="16.5" customHeight="1" x14ac:dyDescent="0.2">
      <c r="B217" s="118"/>
      <c r="C217" s="119" t="s">
        <v>529</v>
      </c>
      <c r="D217" s="119" t="s">
        <v>231</v>
      </c>
      <c r="E217" s="120" t="s">
        <v>1544</v>
      </c>
      <c r="F217" s="121" t="s">
        <v>1545</v>
      </c>
      <c r="G217" s="122" t="s">
        <v>1194</v>
      </c>
      <c r="H217" s="123">
        <v>21</v>
      </c>
      <c r="I217" s="124">
        <v>11.48</v>
      </c>
      <c r="J217" s="124">
        <f t="shared" si="22"/>
        <v>241.08</v>
      </c>
      <c r="K217" s="121" t="s">
        <v>1</v>
      </c>
      <c r="L217" s="24"/>
      <c r="M217" s="125" t="s">
        <v>1</v>
      </c>
      <c r="N217" s="126" t="s">
        <v>31</v>
      </c>
      <c r="O217" s="127">
        <v>0</v>
      </c>
      <c r="P217" s="127">
        <f t="shared" si="23"/>
        <v>0</v>
      </c>
      <c r="Q217" s="127">
        <v>0</v>
      </c>
      <c r="R217" s="127">
        <f t="shared" si="24"/>
        <v>0</v>
      </c>
      <c r="S217" s="127">
        <v>0</v>
      </c>
      <c r="T217" s="128">
        <f t="shared" si="25"/>
        <v>0</v>
      </c>
      <c r="W217" s="199"/>
      <c r="X217" s="119" t="s">
        <v>529</v>
      </c>
      <c r="Y217" s="119" t="s">
        <v>231</v>
      </c>
      <c r="Z217" s="120" t="s">
        <v>1544</v>
      </c>
      <c r="AA217" s="121" t="s">
        <v>1545</v>
      </c>
      <c r="AB217" s="122" t="s">
        <v>1194</v>
      </c>
      <c r="AC217" s="123">
        <v>21</v>
      </c>
      <c r="AD217" s="124">
        <v>11.48</v>
      </c>
      <c r="AE217" s="200">
        <f t="shared" si="26"/>
        <v>241.08</v>
      </c>
      <c r="AF217" s="227"/>
      <c r="AG217" s="374"/>
      <c r="AR217" s="129" t="s">
        <v>63</v>
      </c>
      <c r="AT217" s="129" t="s">
        <v>231</v>
      </c>
      <c r="AU217" s="129" t="s">
        <v>63</v>
      </c>
      <c r="AY217" s="13" t="s">
        <v>228</v>
      </c>
      <c r="BE217" s="130">
        <f t="shared" si="27"/>
        <v>241.08</v>
      </c>
      <c r="BF217" s="130">
        <f t="shared" si="28"/>
        <v>0</v>
      </c>
      <c r="BG217" s="130">
        <f t="shared" si="29"/>
        <v>0</v>
      </c>
      <c r="BH217" s="130">
        <f t="shared" si="30"/>
        <v>0</v>
      </c>
      <c r="BI217" s="130">
        <f t="shared" si="31"/>
        <v>0</v>
      </c>
      <c r="BJ217" s="13" t="s">
        <v>63</v>
      </c>
      <c r="BK217" s="130">
        <f t="shared" si="32"/>
        <v>241.08</v>
      </c>
      <c r="BL217" s="13" t="s">
        <v>63</v>
      </c>
      <c r="BM217" s="129" t="s">
        <v>1546</v>
      </c>
    </row>
    <row r="218" spans="2:65" s="1" customFormat="1" ht="16.5" customHeight="1" x14ac:dyDescent="0.2">
      <c r="B218" s="118"/>
      <c r="C218" s="131" t="s">
        <v>382</v>
      </c>
      <c r="D218" s="131" t="s">
        <v>277</v>
      </c>
      <c r="E218" s="132" t="s">
        <v>1544</v>
      </c>
      <c r="F218" s="133" t="s">
        <v>1545</v>
      </c>
      <c r="G218" s="134" t="s">
        <v>1194</v>
      </c>
      <c r="H218" s="135">
        <v>21</v>
      </c>
      <c r="I218" s="136">
        <v>38.19</v>
      </c>
      <c r="J218" s="136">
        <f t="shared" si="22"/>
        <v>801.99</v>
      </c>
      <c r="K218" s="133" t="s">
        <v>1</v>
      </c>
      <c r="L218" s="137"/>
      <c r="M218" s="138" t="s">
        <v>1</v>
      </c>
      <c r="N218" s="139" t="s">
        <v>31</v>
      </c>
      <c r="O218" s="127">
        <v>0</v>
      </c>
      <c r="P218" s="127">
        <f t="shared" si="23"/>
        <v>0</v>
      </c>
      <c r="Q218" s="127">
        <v>0</v>
      </c>
      <c r="R218" s="127">
        <f t="shared" si="24"/>
        <v>0</v>
      </c>
      <c r="S218" s="127">
        <v>0</v>
      </c>
      <c r="T218" s="128">
        <f t="shared" si="25"/>
        <v>0</v>
      </c>
      <c r="W218" s="199"/>
      <c r="X218" s="131" t="s">
        <v>382</v>
      </c>
      <c r="Y218" s="131" t="s">
        <v>277</v>
      </c>
      <c r="Z218" s="132" t="s">
        <v>1544</v>
      </c>
      <c r="AA218" s="133" t="s">
        <v>1545</v>
      </c>
      <c r="AB218" s="134" t="s">
        <v>1194</v>
      </c>
      <c r="AC218" s="135">
        <v>21</v>
      </c>
      <c r="AD218" s="136">
        <v>38.19</v>
      </c>
      <c r="AE218" s="229">
        <f t="shared" si="26"/>
        <v>801.99</v>
      </c>
      <c r="AF218" s="227"/>
      <c r="AG218" s="374"/>
      <c r="AR218" s="129" t="s">
        <v>76</v>
      </c>
      <c r="AT218" s="129" t="s">
        <v>277</v>
      </c>
      <c r="AU218" s="129" t="s">
        <v>63</v>
      </c>
      <c r="AY218" s="13" t="s">
        <v>228</v>
      </c>
      <c r="BE218" s="130">
        <f t="shared" si="27"/>
        <v>801.99</v>
      </c>
      <c r="BF218" s="130">
        <f t="shared" si="28"/>
        <v>0</v>
      </c>
      <c r="BG218" s="130">
        <f t="shared" si="29"/>
        <v>0</v>
      </c>
      <c r="BH218" s="130">
        <f t="shared" si="30"/>
        <v>0</v>
      </c>
      <c r="BI218" s="130">
        <f t="shared" si="31"/>
        <v>0</v>
      </c>
      <c r="BJ218" s="13" t="s">
        <v>63</v>
      </c>
      <c r="BK218" s="130">
        <f t="shared" si="32"/>
        <v>801.99</v>
      </c>
      <c r="BL218" s="13" t="s">
        <v>63</v>
      </c>
      <c r="BM218" s="129" t="s">
        <v>1547</v>
      </c>
    </row>
    <row r="219" spans="2:65" s="1" customFormat="1" ht="16.5" customHeight="1" x14ac:dyDescent="0.2">
      <c r="B219" s="118"/>
      <c r="C219" s="119" t="s">
        <v>536</v>
      </c>
      <c r="D219" s="119" t="s">
        <v>231</v>
      </c>
      <c r="E219" s="120" t="s">
        <v>1548</v>
      </c>
      <c r="F219" s="121" t="s">
        <v>1549</v>
      </c>
      <c r="G219" s="122" t="s">
        <v>1194</v>
      </c>
      <c r="H219" s="123">
        <v>6</v>
      </c>
      <c r="I219" s="124">
        <v>103.7</v>
      </c>
      <c r="J219" s="124">
        <f t="shared" si="22"/>
        <v>622.20000000000005</v>
      </c>
      <c r="K219" s="121" t="s">
        <v>1</v>
      </c>
      <c r="L219" s="24"/>
      <c r="M219" s="125" t="s">
        <v>1</v>
      </c>
      <c r="N219" s="126" t="s">
        <v>31</v>
      </c>
      <c r="O219" s="127">
        <v>0</v>
      </c>
      <c r="P219" s="127">
        <f t="shared" si="23"/>
        <v>0</v>
      </c>
      <c r="Q219" s="127">
        <v>0</v>
      </c>
      <c r="R219" s="127">
        <f t="shared" si="24"/>
        <v>0</v>
      </c>
      <c r="S219" s="127">
        <v>0</v>
      </c>
      <c r="T219" s="128">
        <f t="shared" si="25"/>
        <v>0</v>
      </c>
      <c r="W219" s="199"/>
      <c r="X219" s="119" t="s">
        <v>536</v>
      </c>
      <c r="Y219" s="119" t="s">
        <v>231</v>
      </c>
      <c r="Z219" s="120" t="s">
        <v>1548</v>
      </c>
      <c r="AA219" s="121" t="s">
        <v>1549</v>
      </c>
      <c r="AB219" s="122" t="s">
        <v>1194</v>
      </c>
      <c r="AC219" s="123">
        <v>6</v>
      </c>
      <c r="AD219" s="124">
        <v>103.7</v>
      </c>
      <c r="AE219" s="200">
        <f t="shared" si="26"/>
        <v>622.20000000000005</v>
      </c>
      <c r="AF219" s="227"/>
      <c r="AG219" s="374"/>
      <c r="AR219" s="129" t="s">
        <v>63</v>
      </c>
      <c r="AT219" s="129" t="s">
        <v>231</v>
      </c>
      <c r="AU219" s="129" t="s">
        <v>63</v>
      </c>
      <c r="AY219" s="13" t="s">
        <v>228</v>
      </c>
      <c r="BE219" s="130">
        <f t="shared" si="27"/>
        <v>622.20000000000005</v>
      </c>
      <c r="BF219" s="130">
        <f t="shared" si="28"/>
        <v>0</v>
      </c>
      <c r="BG219" s="130">
        <f t="shared" si="29"/>
        <v>0</v>
      </c>
      <c r="BH219" s="130">
        <f t="shared" si="30"/>
        <v>0</v>
      </c>
      <c r="BI219" s="130">
        <f t="shared" si="31"/>
        <v>0</v>
      </c>
      <c r="BJ219" s="13" t="s">
        <v>63</v>
      </c>
      <c r="BK219" s="130">
        <f t="shared" si="32"/>
        <v>622.20000000000005</v>
      </c>
      <c r="BL219" s="13" t="s">
        <v>63</v>
      </c>
      <c r="BM219" s="129" t="s">
        <v>1550</v>
      </c>
    </row>
    <row r="220" spans="2:65" s="1" customFormat="1" ht="16.5" customHeight="1" x14ac:dyDescent="0.2">
      <c r="B220" s="118"/>
      <c r="C220" s="119" t="s">
        <v>386</v>
      </c>
      <c r="D220" s="119" t="s">
        <v>231</v>
      </c>
      <c r="E220" s="120" t="s">
        <v>1551</v>
      </c>
      <c r="F220" s="121" t="s">
        <v>1552</v>
      </c>
      <c r="G220" s="122" t="s">
        <v>1194</v>
      </c>
      <c r="H220" s="123">
        <v>110</v>
      </c>
      <c r="I220" s="124">
        <v>11.35</v>
      </c>
      <c r="J220" s="124">
        <f t="shared" si="22"/>
        <v>1248.5</v>
      </c>
      <c r="K220" s="121" t="s">
        <v>1</v>
      </c>
      <c r="L220" s="24"/>
      <c r="M220" s="125" t="s">
        <v>1</v>
      </c>
      <c r="N220" s="126" t="s">
        <v>31</v>
      </c>
      <c r="O220" s="127">
        <v>0</v>
      </c>
      <c r="P220" s="127">
        <f t="shared" si="23"/>
        <v>0</v>
      </c>
      <c r="Q220" s="127">
        <v>0</v>
      </c>
      <c r="R220" s="127">
        <f t="shared" si="24"/>
        <v>0</v>
      </c>
      <c r="S220" s="127">
        <v>0</v>
      </c>
      <c r="T220" s="128">
        <f t="shared" si="25"/>
        <v>0</v>
      </c>
      <c r="W220" s="199"/>
      <c r="X220" s="119" t="s">
        <v>386</v>
      </c>
      <c r="Y220" s="119" t="s">
        <v>231</v>
      </c>
      <c r="Z220" s="120" t="s">
        <v>1551</v>
      </c>
      <c r="AA220" s="121" t="s">
        <v>1552</v>
      </c>
      <c r="AB220" s="122" t="s">
        <v>1194</v>
      </c>
      <c r="AC220" s="123">
        <v>110</v>
      </c>
      <c r="AD220" s="124">
        <v>11.35</v>
      </c>
      <c r="AE220" s="200">
        <f t="shared" si="26"/>
        <v>1248.5</v>
      </c>
      <c r="AF220" s="227"/>
      <c r="AG220" s="374"/>
      <c r="AR220" s="129" t="s">
        <v>63</v>
      </c>
      <c r="AT220" s="129" t="s">
        <v>231</v>
      </c>
      <c r="AU220" s="129" t="s">
        <v>63</v>
      </c>
      <c r="AY220" s="13" t="s">
        <v>228</v>
      </c>
      <c r="BE220" s="130">
        <f t="shared" si="27"/>
        <v>1248.5</v>
      </c>
      <c r="BF220" s="130">
        <f t="shared" si="28"/>
        <v>0</v>
      </c>
      <c r="BG220" s="130">
        <f t="shared" si="29"/>
        <v>0</v>
      </c>
      <c r="BH220" s="130">
        <f t="shared" si="30"/>
        <v>0</v>
      </c>
      <c r="BI220" s="130">
        <f t="shared" si="31"/>
        <v>0</v>
      </c>
      <c r="BJ220" s="13" t="s">
        <v>63</v>
      </c>
      <c r="BK220" s="130">
        <f t="shared" si="32"/>
        <v>1248.5</v>
      </c>
      <c r="BL220" s="13" t="s">
        <v>63</v>
      </c>
      <c r="BM220" s="129" t="s">
        <v>1553</v>
      </c>
    </row>
    <row r="221" spans="2:65" s="1" customFormat="1" ht="24" customHeight="1" x14ac:dyDescent="0.2">
      <c r="B221" s="118"/>
      <c r="C221" s="979" t="s">
        <v>543</v>
      </c>
      <c r="D221" s="131" t="s">
        <v>277</v>
      </c>
      <c r="E221" s="132" t="s">
        <v>1554</v>
      </c>
      <c r="F221" s="133" t="s">
        <v>1555</v>
      </c>
      <c r="G221" s="134" t="s">
        <v>1194</v>
      </c>
      <c r="H221" s="978">
        <v>110</v>
      </c>
      <c r="I221" s="136">
        <v>13.35</v>
      </c>
      <c r="J221" s="136">
        <f t="shared" si="22"/>
        <v>1468.5</v>
      </c>
      <c r="K221" s="133" t="s">
        <v>1</v>
      </c>
      <c r="L221" s="137"/>
      <c r="M221" s="138" t="s">
        <v>1</v>
      </c>
      <c r="N221" s="139" t="s">
        <v>31</v>
      </c>
      <c r="O221" s="127">
        <v>0</v>
      </c>
      <c r="P221" s="127">
        <f t="shared" si="23"/>
        <v>0</v>
      </c>
      <c r="Q221" s="127">
        <v>1.8E-3</v>
      </c>
      <c r="R221" s="127">
        <f t="shared" si="24"/>
        <v>0.19799999999999998</v>
      </c>
      <c r="S221" s="127">
        <v>0</v>
      </c>
      <c r="T221" s="128">
        <f t="shared" si="25"/>
        <v>0</v>
      </c>
      <c r="W221" s="199"/>
      <c r="X221" s="979" t="s">
        <v>543</v>
      </c>
      <c r="Y221" s="131" t="s">
        <v>277</v>
      </c>
      <c r="Z221" s="132" t="s">
        <v>1554</v>
      </c>
      <c r="AA221" s="133" t="s">
        <v>1555</v>
      </c>
      <c r="AB221" s="134" t="s">
        <v>1194</v>
      </c>
      <c r="AC221" s="978">
        <f>110-110</f>
        <v>0</v>
      </c>
      <c r="AD221" s="136">
        <v>13.35</v>
      </c>
      <c r="AE221" s="229">
        <f t="shared" si="26"/>
        <v>0</v>
      </c>
      <c r="AF221" s="227">
        <v>29</v>
      </c>
      <c r="AG221" s="374"/>
      <c r="AR221" s="129" t="s">
        <v>76</v>
      </c>
      <c r="AT221" s="129" t="s">
        <v>277</v>
      </c>
      <c r="AU221" s="129" t="s">
        <v>63</v>
      </c>
      <c r="AY221" s="13" t="s">
        <v>228</v>
      </c>
      <c r="BE221" s="130">
        <f t="shared" si="27"/>
        <v>1468.5</v>
      </c>
      <c r="BF221" s="130">
        <f t="shared" si="28"/>
        <v>0</v>
      </c>
      <c r="BG221" s="130">
        <f t="shared" si="29"/>
        <v>0</v>
      </c>
      <c r="BH221" s="130">
        <f t="shared" si="30"/>
        <v>0</v>
      </c>
      <c r="BI221" s="130">
        <f t="shared" si="31"/>
        <v>0</v>
      </c>
      <c r="BJ221" s="13" t="s">
        <v>63</v>
      </c>
      <c r="BK221" s="130">
        <f t="shared" si="32"/>
        <v>1468.5</v>
      </c>
      <c r="BL221" s="13" t="s">
        <v>63</v>
      </c>
      <c r="BM221" s="129" t="s">
        <v>1556</v>
      </c>
    </row>
    <row r="222" spans="2:65" s="1" customFormat="1" ht="22.2" customHeight="1" x14ac:dyDescent="0.2">
      <c r="B222" s="118"/>
      <c r="C222" s="979" t="s">
        <v>389</v>
      </c>
      <c r="D222" s="131" t="s">
        <v>277</v>
      </c>
      <c r="E222" s="132" t="s">
        <v>1557</v>
      </c>
      <c r="F222" s="133" t="s">
        <v>1558</v>
      </c>
      <c r="G222" s="134" t="s">
        <v>1194</v>
      </c>
      <c r="H222" s="978">
        <v>110</v>
      </c>
      <c r="I222" s="136">
        <v>2.3199999999999998</v>
      </c>
      <c r="J222" s="136">
        <f t="shared" si="22"/>
        <v>255.2</v>
      </c>
      <c r="K222" s="133" t="s">
        <v>1</v>
      </c>
      <c r="L222" s="137"/>
      <c r="M222" s="138" t="s">
        <v>1</v>
      </c>
      <c r="N222" s="139" t="s">
        <v>31</v>
      </c>
      <c r="O222" s="127">
        <v>0</v>
      </c>
      <c r="P222" s="127">
        <f t="shared" si="23"/>
        <v>0</v>
      </c>
      <c r="Q222" s="127">
        <v>1.6000000000000001E-4</v>
      </c>
      <c r="R222" s="127">
        <f t="shared" si="24"/>
        <v>1.7600000000000001E-2</v>
      </c>
      <c r="S222" s="127">
        <v>0</v>
      </c>
      <c r="T222" s="128">
        <f t="shared" si="25"/>
        <v>0</v>
      </c>
      <c r="W222" s="199"/>
      <c r="X222" s="979" t="s">
        <v>389</v>
      </c>
      <c r="Y222" s="131" t="s">
        <v>277</v>
      </c>
      <c r="Z222" s="132" t="s">
        <v>1557</v>
      </c>
      <c r="AA222" s="133" t="s">
        <v>1558</v>
      </c>
      <c r="AB222" s="134" t="s">
        <v>1194</v>
      </c>
      <c r="AC222" s="978">
        <f>110-110</f>
        <v>0</v>
      </c>
      <c r="AD222" s="136">
        <v>2.3199999999999998</v>
      </c>
      <c r="AE222" s="229">
        <f t="shared" si="26"/>
        <v>0</v>
      </c>
      <c r="AF222" s="227">
        <v>29</v>
      </c>
      <c r="AG222" s="374"/>
      <c r="AR222" s="129" t="s">
        <v>76</v>
      </c>
      <c r="AT222" s="129" t="s">
        <v>277</v>
      </c>
      <c r="AU222" s="129" t="s">
        <v>63</v>
      </c>
      <c r="AY222" s="13" t="s">
        <v>228</v>
      </c>
      <c r="BE222" s="130">
        <f t="shared" si="27"/>
        <v>255.2</v>
      </c>
      <c r="BF222" s="130">
        <f t="shared" si="28"/>
        <v>0</v>
      </c>
      <c r="BG222" s="130">
        <f t="shared" si="29"/>
        <v>0</v>
      </c>
      <c r="BH222" s="130">
        <f t="shared" si="30"/>
        <v>0</v>
      </c>
      <c r="BI222" s="130">
        <f t="shared" si="31"/>
        <v>0</v>
      </c>
      <c r="BJ222" s="13" t="s">
        <v>63</v>
      </c>
      <c r="BK222" s="130">
        <f t="shared" si="32"/>
        <v>255.2</v>
      </c>
      <c r="BL222" s="13" t="s">
        <v>63</v>
      </c>
      <c r="BM222" s="129" t="s">
        <v>1559</v>
      </c>
    </row>
    <row r="223" spans="2:65" s="1103" customFormat="1" ht="30.45" customHeight="1" x14ac:dyDescent="0.2">
      <c r="B223" s="1028"/>
      <c r="C223" s="1234" t="s">
        <v>5205</v>
      </c>
      <c r="D223" s="1235"/>
      <c r="E223" s="1235"/>
      <c r="F223" s="1235"/>
      <c r="G223" s="1235"/>
      <c r="H223" s="1235"/>
      <c r="I223" s="1235"/>
      <c r="J223" s="1236"/>
      <c r="K223" s="133"/>
      <c r="L223" s="137"/>
      <c r="M223" s="138"/>
      <c r="N223" s="139"/>
      <c r="O223" s="1037"/>
      <c r="P223" s="1037"/>
      <c r="Q223" s="1037"/>
      <c r="R223" s="1037"/>
      <c r="S223" s="1037"/>
      <c r="T223" s="1038"/>
      <c r="W223" s="1041"/>
      <c r="X223" s="386" t="s">
        <v>5448</v>
      </c>
      <c r="Y223" s="386" t="s">
        <v>277</v>
      </c>
      <c r="Z223" s="1111" t="s">
        <v>6752</v>
      </c>
      <c r="AA223" s="1112" t="s">
        <v>6753</v>
      </c>
      <c r="AB223" s="1113" t="s">
        <v>1194</v>
      </c>
      <c r="AC223" s="1114">
        <v>110</v>
      </c>
      <c r="AD223" s="1115">
        <v>15.67</v>
      </c>
      <c r="AE223" s="401">
        <f t="shared" si="26"/>
        <v>1723.7</v>
      </c>
      <c r="AF223" s="1079">
        <v>29</v>
      </c>
      <c r="AG223" s="926"/>
      <c r="AR223" s="1039"/>
      <c r="AT223" s="1039"/>
      <c r="AU223" s="1039"/>
      <c r="AY223" s="1026"/>
      <c r="BE223" s="1040"/>
      <c r="BF223" s="1040"/>
      <c r="BG223" s="1040"/>
      <c r="BH223" s="1040"/>
      <c r="BI223" s="1040"/>
      <c r="BJ223" s="1026"/>
      <c r="BK223" s="1040"/>
      <c r="BL223" s="1026"/>
      <c r="BM223" s="1039"/>
    </row>
    <row r="224" spans="2:65" s="1" customFormat="1" ht="24" customHeight="1" x14ac:dyDescent="0.2">
      <c r="B224" s="118"/>
      <c r="C224" s="384" t="s">
        <v>552</v>
      </c>
      <c r="D224" s="119" t="s">
        <v>231</v>
      </c>
      <c r="E224" s="120" t="s">
        <v>1560</v>
      </c>
      <c r="F224" s="121" t="s">
        <v>1561</v>
      </c>
      <c r="G224" s="122" t="s">
        <v>1194</v>
      </c>
      <c r="H224" s="206">
        <v>164</v>
      </c>
      <c r="I224" s="124">
        <v>11.35</v>
      </c>
      <c r="J224" s="124">
        <f t="shared" si="22"/>
        <v>1861.4</v>
      </c>
      <c r="K224" s="121" t="s">
        <v>1</v>
      </c>
      <c r="L224" s="24"/>
      <c r="M224" s="125" t="s">
        <v>1</v>
      </c>
      <c r="N224" s="126" t="s">
        <v>31</v>
      </c>
      <c r="O224" s="127">
        <v>0</v>
      </c>
      <c r="P224" s="127">
        <f t="shared" si="23"/>
        <v>0</v>
      </c>
      <c r="Q224" s="127">
        <v>0</v>
      </c>
      <c r="R224" s="127">
        <f t="shared" si="24"/>
        <v>0</v>
      </c>
      <c r="S224" s="127">
        <v>0</v>
      </c>
      <c r="T224" s="128">
        <f t="shared" si="25"/>
        <v>0</v>
      </c>
      <c r="W224" s="199"/>
      <c r="X224" s="205" t="s">
        <v>552</v>
      </c>
      <c r="Y224" s="119" t="s">
        <v>231</v>
      </c>
      <c r="Z224" s="120" t="s">
        <v>1560</v>
      </c>
      <c r="AA224" s="121" t="s">
        <v>1561</v>
      </c>
      <c r="AB224" s="122" t="s">
        <v>1194</v>
      </c>
      <c r="AC224" s="206">
        <f>164-8</f>
        <v>156</v>
      </c>
      <c r="AD224" s="124">
        <v>11.35</v>
      </c>
      <c r="AE224" s="200">
        <f t="shared" si="26"/>
        <v>1770.6</v>
      </c>
      <c r="AF224" s="227">
        <v>2</v>
      </c>
      <c r="AG224" s="374"/>
      <c r="AR224" s="129" t="s">
        <v>63</v>
      </c>
      <c r="AT224" s="129" t="s">
        <v>231</v>
      </c>
      <c r="AU224" s="129" t="s">
        <v>63</v>
      </c>
      <c r="AY224" s="13" t="s">
        <v>228</v>
      </c>
      <c r="BE224" s="130">
        <f t="shared" si="27"/>
        <v>1861.4</v>
      </c>
      <c r="BF224" s="130">
        <f t="shared" si="28"/>
        <v>0</v>
      </c>
      <c r="BG224" s="130">
        <f t="shared" si="29"/>
        <v>0</v>
      </c>
      <c r="BH224" s="130">
        <f t="shared" si="30"/>
        <v>0</v>
      </c>
      <c r="BI224" s="130">
        <f t="shared" si="31"/>
        <v>0</v>
      </c>
      <c r="BJ224" s="13" t="s">
        <v>63</v>
      </c>
      <c r="BK224" s="130">
        <f t="shared" si="32"/>
        <v>1861.4</v>
      </c>
      <c r="BL224" s="13" t="s">
        <v>63</v>
      </c>
      <c r="BM224" s="129" t="s">
        <v>1562</v>
      </c>
    </row>
    <row r="225" spans="2:65" s="1" customFormat="1" ht="24" customHeight="1" x14ac:dyDescent="0.2">
      <c r="B225" s="118"/>
      <c r="C225" s="385" t="s">
        <v>393</v>
      </c>
      <c r="D225" s="131" t="s">
        <v>277</v>
      </c>
      <c r="E225" s="132" t="s">
        <v>1563</v>
      </c>
      <c r="F225" s="133" t="s">
        <v>1564</v>
      </c>
      <c r="G225" s="134" t="s">
        <v>1194</v>
      </c>
      <c r="H225" s="241">
        <v>164</v>
      </c>
      <c r="I225" s="136">
        <v>90.4</v>
      </c>
      <c r="J225" s="136">
        <f t="shared" si="22"/>
        <v>14825.6</v>
      </c>
      <c r="K225" s="133" t="s">
        <v>1</v>
      </c>
      <c r="L225" s="137"/>
      <c r="M225" s="138" t="s">
        <v>1</v>
      </c>
      <c r="N225" s="139" t="s">
        <v>31</v>
      </c>
      <c r="O225" s="127">
        <v>0</v>
      </c>
      <c r="P225" s="127">
        <f t="shared" si="23"/>
        <v>0</v>
      </c>
      <c r="Q225" s="127">
        <v>2.8800000000000002E-3</v>
      </c>
      <c r="R225" s="127">
        <f t="shared" si="24"/>
        <v>0.47232000000000002</v>
      </c>
      <c r="S225" s="127">
        <v>0</v>
      </c>
      <c r="T225" s="128">
        <f t="shared" si="25"/>
        <v>0</v>
      </c>
      <c r="W225" s="199"/>
      <c r="X225" s="979" t="s">
        <v>393</v>
      </c>
      <c r="Y225" s="131" t="s">
        <v>277</v>
      </c>
      <c r="Z225" s="132" t="s">
        <v>1563</v>
      </c>
      <c r="AA225" s="133" t="s">
        <v>1564</v>
      </c>
      <c r="AB225" s="134" t="s">
        <v>1194</v>
      </c>
      <c r="AC225" s="241">
        <f>164-8-156</f>
        <v>0</v>
      </c>
      <c r="AD225" s="136">
        <v>90.4</v>
      </c>
      <c r="AE225" s="229">
        <f t="shared" si="26"/>
        <v>0</v>
      </c>
      <c r="AF225" s="227" t="s">
        <v>6751</v>
      </c>
      <c r="AG225" s="374"/>
      <c r="AR225" s="129" t="s">
        <v>76</v>
      </c>
      <c r="AT225" s="129" t="s">
        <v>277</v>
      </c>
      <c r="AU225" s="129" t="s">
        <v>63</v>
      </c>
      <c r="AY225" s="13" t="s">
        <v>228</v>
      </c>
      <c r="BE225" s="130">
        <f t="shared" si="27"/>
        <v>14825.6</v>
      </c>
      <c r="BF225" s="130">
        <f t="shared" si="28"/>
        <v>0</v>
      </c>
      <c r="BG225" s="130">
        <f t="shared" si="29"/>
        <v>0</v>
      </c>
      <c r="BH225" s="130">
        <f t="shared" si="30"/>
        <v>0</v>
      </c>
      <c r="BI225" s="130">
        <f t="shared" si="31"/>
        <v>0</v>
      </c>
      <c r="BJ225" s="13" t="s">
        <v>63</v>
      </c>
      <c r="BK225" s="130">
        <f t="shared" si="32"/>
        <v>14825.6</v>
      </c>
      <c r="BL225" s="13" t="s">
        <v>63</v>
      </c>
      <c r="BM225" s="129" t="s">
        <v>1565</v>
      </c>
    </row>
    <row r="226" spans="2:65" s="1" customFormat="1" ht="16.5" customHeight="1" x14ac:dyDescent="0.2">
      <c r="B226" s="118"/>
      <c r="C226" s="385" t="s">
        <v>563</v>
      </c>
      <c r="D226" s="131" t="s">
        <v>277</v>
      </c>
      <c r="E226" s="132" t="s">
        <v>1566</v>
      </c>
      <c r="F226" s="133" t="s">
        <v>1567</v>
      </c>
      <c r="G226" s="134" t="s">
        <v>1194</v>
      </c>
      <c r="H226" s="241">
        <v>656</v>
      </c>
      <c r="I226" s="136">
        <v>2.3199999999999998</v>
      </c>
      <c r="J226" s="136">
        <f t="shared" si="22"/>
        <v>1521.92</v>
      </c>
      <c r="K226" s="133" t="s">
        <v>1</v>
      </c>
      <c r="L226" s="137"/>
      <c r="M226" s="138" t="s">
        <v>1</v>
      </c>
      <c r="N226" s="139" t="s">
        <v>31</v>
      </c>
      <c r="O226" s="127">
        <v>0</v>
      </c>
      <c r="P226" s="127">
        <f t="shared" si="23"/>
        <v>0</v>
      </c>
      <c r="Q226" s="127">
        <v>1.6000000000000001E-4</v>
      </c>
      <c r="R226" s="127">
        <f t="shared" si="24"/>
        <v>0.10496000000000001</v>
      </c>
      <c r="S226" s="127">
        <v>0</v>
      </c>
      <c r="T226" s="128">
        <f t="shared" si="25"/>
        <v>0</v>
      </c>
      <c r="W226" s="199"/>
      <c r="X226" s="979" t="s">
        <v>563</v>
      </c>
      <c r="Y226" s="131" t="s">
        <v>277</v>
      </c>
      <c r="Z226" s="132" t="s">
        <v>1566</v>
      </c>
      <c r="AA226" s="133" t="s">
        <v>1567</v>
      </c>
      <c r="AB226" s="134" t="s">
        <v>1194</v>
      </c>
      <c r="AC226" s="241">
        <f>656-32-624</f>
        <v>0</v>
      </c>
      <c r="AD226" s="136">
        <v>2.3199999999999998</v>
      </c>
      <c r="AE226" s="229">
        <f t="shared" si="26"/>
        <v>0</v>
      </c>
      <c r="AF226" s="1079" t="s">
        <v>6751</v>
      </c>
      <c r="AG226" s="374"/>
      <c r="AR226" s="129" t="s">
        <v>76</v>
      </c>
      <c r="AT226" s="129" t="s">
        <v>277</v>
      </c>
      <c r="AU226" s="129" t="s">
        <v>63</v>
      </c>
      <c r="AY226" s="13" t="s">
        <v>228</v>
      </c>
      <c r="BE226" s="130">
        <f t="shared" si="27"/>
        <v>1521.92</v>
      </c>
      <c r="BF226" s="130">
        <f t="shared" si="28"/>
        <v>0</v>
      </c>
      <c r="BG226" s="130">
        <f t="shared" si="29"/>
        <v>0</v>
      </c>
      <c r="BH226" s="130">
        <f t="shared" si="30"/>
        <v>0</v>
      </c>
      <c r="BI226" s="130">
        <f t="shared" si="31"/>
        <v>0</v>
      </c>
      <c r="BJ226" s="13" t="s">
        <v>63</v>
      </c>
      <c r="BK226" s="130">
        <f t="shared" si="32"/>
        <v>1521.92</v>
      </c>
      <c r="BL226" s="13" t="s">
        <v>63</v>
      </c>
      <c r="BM226" s="129" t="s">
        <v>1568</v>
      </c>
    </row>
    <row r="227" spans="2:65" s="1103" customFormat="1" ht="26.55" customHeight="1" x14ac:dyDescent="0.2">
      <c r="B227" s="1028"/>
      <c r="C227" s="1234" t="s">
        <v>5205</v>
      </c>
      <c r="D227" s="1235"/>
      <c r="E227" s="1235"/>
      <c r="F227" s="1235"/>
      <c r="G227" s="1235"/>
      <c r="H227" s="1235"/>
      <c r="I227" s="1235"/>
      <c r="J227" s="1236"/>
      <c r="K227" s="133"/>
      <c r="L227" s="137"/>
      <c r="M227" s="138"/>
      <c r="N227" s="139"/>
      <c r="O227" s="1037"/>
      <c r="P227" s="1037"/>
      <c r="Q227" s="1037"/>
      <c r="R227" s="1037"/>
      <c r="S227" s="1037"/>
      <c r="T227" s="1038"/>
      <c r="W227" s="1041"/>
      <c r="X227" s="386" t="s">
        <v>5852</v>
      </c>
      <c r="Y227" s="386" t="s">
        <v>277</v>
      </c>
      <c r="Z227" s="1111" t="s">
        <v>6754</v>
      </c>
      <c r="AA227" s="1112" t="s">
        <v>6755</v>
      </c>
      <c r="AB227" s="1113" t="s">
        <v>1194</v>
      </c>
      <c r="AC227" s="1114">
        <v>156</v>
      </c>
      <c r="AD227" s="1115">
        <v>99.68</v>
      </c>
      <c r="AE227" s="401">
        <f t="shared" si="26"/>
        <v>15550.08</v>
      </c>
      <c r="AF227" s="1079">
        <v>29</v>
      </c>
      <c r="AG227" s="926"/>
      <c r="AR227" s="1039"/>
      <c r="AT227" s="1039"/>
      <c r="AU227" s="1039"/>
      <c r="AY227" s="1026"/>
      <c r="BE227" s="1040"/>
      <c r="BF227" s="1040"/>
      <c r="BG227" s="1040"/>
      <c r="BH227" s="1040"/>
      <c r="BI227" s="1040"/>
      <c r="BJ227" s="1026"/>
      <c r="BK227" s="1040"/>
      <c r="BL227" s="1026"/>
      <c r="BM227" s="1039"/>
    </row>
    <row r="228" spans="2:65" s="1" customFormat="1" ht="36" customHeight="1" x14ac:dyDescent="0.2">
      <c r="B228" s="118"/>
      <c r="C228" s="384" t="s">
        <v>396</v>
      </c>
      <c r="D228" s="119" t="s">
        <v>231</v>
      </c>
      <c r="E228" s="120" t="s">
        <v>1569</v>
      </c>
      <c r="F228" s="121" t="s">
        <v>1570</v>
      </c>
      <c r="G228" s="122" t="s">
        <v>1194</v>
      </c>
      <c r="H228" s="206">
        <v>95</v>
      </c>
      <c r="I228" s="124">
        <v>11.35</v>
      </c>
      <c r="J228" s="124">
        <f t="shared" si="22"/>
        <v>1078.25</v>
      </c>
      <c r="K228" s="121" t="s">
        <v>1</v>
      </c>
      <c r="L228" s="24"/>
      <c r="M228" s="125" t="s">
        <v>1</v>
      </c>
      <c r="N228" s="126" t="s">
        <v>31</v>
      </c>
      <c r="O228" s="127">
        <v>0</v>
      </c>
      <c r="P228" s="127">
        <f t="shared" si="23"/>
        <v>0</v>
      </c>
      <c r="Q228" s="127">
        <v>0</v>
      </c>
      <c r="R228" s="127">
        <f t="shared" si="24"/>
        <v>0</v>
      </c>
      <c r="S228" s="127">
        <v>0</v>
      </c>
      <c r="T228" s="128">
        <f t="shared" si="25"/>
        <v>0</v>
      </c>
      <c r="W228" s="199"/>
      <c r="X228" s="205" t="s">
        <v>396</v>
      </c>
      <c r="Y228" s="119" t="s">
        <v>231</v>
      </c>
      <c r="Z228" s="120" t="s">
        <v>1569</v>
      </c>
      <c r="AA228" s="121" t="s">
        <v>1570</v>
      </c>
      <c r="AB228" s="122" t="s">
        <v>1194</v>
      </c>
      <c r="AC228" s="206">
        <f>95+10</f>
        <v>105</v>
      </c>
      <c r="AD228" s="124">
        <v>11.35</v>
      </c>
      <c r="AE228" s="200">
        <f t="shared" si="26"/>
        <v>1191.75</v>
      </c>
      <c r="AF228" s="227">
        <v>2</v>
      </c>
      <c r="AG228" s="374"/>
      <c r="AR228" s="129" t="s">
        <v>63</v>
      </c>
      <c r="AT228" s="129" t="s">
        <v>231</v>
      </c>
      <c r="AU228" s="129" t="s">
        <v>63</v>
      </c>
      <c r="AY228" s="13" t="s">
        <v>228</v>
      </c>
      <c r="BE228" s="130">
        <f t="shared" si="27"/>
        <v>1078.25</v>
      </c>
      <c r="BF228" s="130">
        <f t="shared" si="28"/>
        <v>0</v>
      </c>
      <c r="BG228" s="130">
        <f t="shared" si="29"/>
        <v>0</v>
      </c>
      <c r="BH228" s="130">
        <f t="shared" si="30"/>
        <v>0</v>
      </c>
      <c r="BI228" s="130">
        <f t="shared" si="31"/>
        <v>0</v>
      </c>
      <c r="BJ228" s="13" t="s">
        <v>63</v>
      </c>
      <c r="BK228" s="130">
        <f t="shared" si="32"/>
        <v>1078.25</v>
      </c>
      <c r="BL228" s="13" t="s">
        <v>63</v>
      </c>
      <c r="BM228" s="129" t="s">
        <v>1571</v>
      </c>
    </row>
    <row r="229" spans="2:65" s="1" customFormat="1" ht="36" customHeight="1" x14ac:dyDescent="0.2">
      <c r="B229" s="118"/>
      <c r="C229" s="385" t="s">
        <v>574</v>
      </c>
      <c r="D229" s="131" t="s">
        <v>277</v>
      </c>
      <c r="E229" s="132" t="s">
        <v>1572</v>
      </c>
      <c r="F229" s="133" t="s">
        <v>1573</v>
      </c>
      <c r="G229" s="134" t="s">
        <v>1194</v>
      </c>
      <c r="H229" s="241">
        <v>95</v>
      </c>
      <c r="I229" s="136">
        <v>150.21</v>
      </c>
      <c r="J229" s="136">
        <f t="shared" si="22"/>
        <v>14269.95</v>
      </c>
      <c r="K229" s="133" t="s">
        <v>1</v>
      </c>
      <c r="L229" s="137"/>
      <c r="M229" s="138" t="s">
        <v>1</v>
      </c>
      <c r="N229" s="139" t="s">
        <v>31</v>
      </c>
      <c r="O229" s="127">
        <v>0</v>
      </c>
      <c r="P229" s="127">
        <f t="shared" si="23"/>
        <v>0</v>
      </c>
      <c r="Q229" s="127">
        <v>5.2900000000000004E-3</v>
      </c>
      <c r="R229" s="127">
        <f t="shared" si="24"/>
        <v>0.50255000000000005</v>
      </c>
      <c r="S229" s="127">
        <v>0</v>
      </c>
      <c r="T229" s="128">
        <f t="shared" si="25"/>
        <v>0</v>
      </c>
      <c r="W229" s="199"/>
      <c r="X229" s="242" t="s">
        <v>574</v>
      </c>
      <c r="Y229" s="131" t="s">
        <v>277</v>
      </c>
      <c r="Z229" s="132" t="s">
        <v>1572</v>
      </c>
      <c r="AA229" s="133" t="s">
        <v>1573</v>
      </c>
      <c r="AB229" s="134" t="s">
        <v>1194</v>
      </c>
      <c r="AC229" s="241">
        <f>95+10-105</f>
        <v>0</v>
      </c>
      <c r="AD229" s="136">
        <v>150.21</v>
      </c>
      <c r="AE229" s="229">
        <f t="shared" si="26"/>
        <v>0</v>
      </c>
      <c r="AF229" s="1079" t="s">
        <v>6751</v>
      </c>
      <c r="AG229" s="374"/>
      <c r="AR229" s="129" t="s">
        <v>76</v>
      </c>
      <c r="AT229" s="129" t="s">
        <v>277</v>
      </c>
      <c r="AU229" s="129" t="s">
        <v>63</v>
      </c>
      <c r="AY229" s="13" t="s">
        <v>228</v>
      </c>
      <c r="BE229" s="130">
        <f t="shared" si="27"/>
        <v>14269.95</v>
      </c>
      <c r="BF229" s="130">
        <f t="shared" si="28"/>
        <v>0</v>
      </c>
      <c r="BG229" s="130">
        <f t="shared" si="29"/>
        <v>0</v>
      </c>
      <c r="BH229" s="130">
        <f t="shared" si="30"/>
        <v>0</v>
      </c>
      <c r="BI229" s="130">
        <f t="shared" si="31"/>
        <v>0</v>
      </c>
      <c r="BJ229" s="13" t="s">
        <v>63</v>
      </c>
      <c r="BK229" s="130">
        <f t="shared" si="32"/>
        <v>14269.95</v>
      </c>
      <c r="BL229" s="13" t="s">
        <v>63</v>
      </c>
      <c r="BM229" s="129" t="s">
        <v>1574</v>
      </c>
    </row>
    <row r="230" spans="2:65" s="1" customFormat="1" ht="16.5" customHeight="1" x14ac:dyDescent="0.2">
      <c r="B230" s="118"/>
      <c r="C230" s="385" t="s">
        <v>400</v>
      </c>
      <c r="D230" s="131" t="s">
        <v>277</v>
      </c>
      <c r="E230" s="132" t="s">
        <v>1575</v>
      </c>
      <c r="F230" s="133" t="s">
        <v>1576</v>
      </c>
      <c r="G230" s="134" t="s">
        <v>1194</v>
      </c>
      <c r="H230" s="241">
        <v>380</v>
      </c>
      <c r="I230" s="136">
        <v>2.3199999999999998</v>
      </c>
      <c r="J230" s="136">
        <f t="shared" si="22"/>
        <v>881.6</v>
      </c>
      <c r="K230" s="133" t="s">
        <v>1</v>
      </c>
      <c r="L230" s="137"/>
      <c r="M230" s="138" t="s">
        <v>1</v>
      </c>
      <c r="N230" s="139" t="s">
        <v>31</v>
      </c>
      <c r="O230" s="127">
        <v>0</v>
      </c>
      <c r="P230" s="127">
        <f t="shared" si="23"/>
        <v>0</v>
      </c>
      <c r="Q230" s="127">
        <v>1.7000000000000001E-4</v>
      </c>
      <c r="R230" s="127">
        <f t="shared" si="24"/>
        <v>6.4600000000000005E-2</v>
      </c>
      <c r="S230" s="127">
        <v>0</v>
      </c>
      <c r="T230" s="128">
        <f t="shared" si="25"/>
        <v>0</v>
      </c>
      <c r="W230" s="199"/>
      <c r="X230" s="242" t="s">
        <v>400</v>
      </c>
      <c r="Y230" s="131" t="s">
        <v>277</v>
      </c>
      <c r="Z230" s="132" t="s">
        <v>1575</v>
      </c>
      <c r="AA230" s="133" t="s">
        <v>1576</v>
      </c>
      <c r="AB230" s="134" t="s">
        <v>1194</v>
      </c>
      <c r="AC230" s="241">
        <f>380+40-420</f>
        <v>0</v>
      </c>
      <c r="AD230" s="136">
        <v>2.3199999999999998</v>
      </c>
      <c r="AE230" s="229">
        <f t="shared" si="26"/>
        <v>0</v>
      </c>
      <c r="AF230" s="1079" t="s">
        <v>6751</v>
      </c>
      <c r="AG230" s="374"/>
      <c r="AR230" s="129" t="s">
        <v>76</v>
      </c>
      <c r="AT230" s="129" t="s">
        <v>277</v>
      </c>
      <c r="AU230" s="129" t="s">
        <v>63</v>
      </c>
      <c r="AY230" s="13" t="s">
        <v>228</v>
      </c>
      <c r="BE230" s="130">
        <f t="shared" si="27"/>
        <v>881.6</v>
      </c>
      <c r="BF230" s="130">
        <f t="shared" si="28"/>
        <v>0</v>
      </c>
      <c r="BG230" s="130">
        <f t="shared" si="29"/>
        <v>0</v>
      </c>
      <c r="BH230" s="130">
        <f t="shared" si="30"/>
        <v>0</v>
      </c>
      <c r="BI230" s="130">
        <f t="shared" si="31"/>
        <v>0</v>
      </c>
      <c r="BJ230" s="13" t="s">
        <v>63</v>
      </c>
      <c r="BK230" s="130">
        <f t="shared" si="32"/>
        <v>881.6</v>
      </c>
      <c r="BL230" s="13" t="s">
        <v>63</v>
      </c>
      <c r="BM230" s="129" t="s">
        <v>1577</v>
      </c>
    </row>
    <row r="231" spans="2:65" s="1103" customFormat="1" ht="27" customHeight="1" x14ac:dyDescent="0.2">
      <c r="B231" s="1028"/>
      <c r="C231" s="1234" t="s">
        <v>5205</v>
      </c>
      <c r="D231" s="1235"/>
      <c r="E231" s="1235"/>
      <c r="F231" s="1235"/>
      <c r="G231" s="1235"/>
      <c r="H231" s="1235"/>
      <c r="I231" s="1235"/>
      <c r="J231" s="1236"/>
      <c r="K231" s="133"/>
      <c r="L231" s="137"/>
      <c r="M231" s="138"/>
      <c r="N231" s="139"/>
      <c r="O231" s="1037"/>
      <c r="P231" s="1037"/>
      <c r="Q231" s="1037"/>
      <c r="R231" s="1037"/>
      <c r="S231" s="1037"/>
      <c r="T231" s="1038"/>
      <c r="W231" s="1041"/>
      <c r="X231" s="386" t="s">
        <v>6758</v>
      </c>
      <c r="Y231" s="386" t="s">
        <v>277</v>
      </c>
      <c r="Z231" s="1111" t="s">
        <v>6756</v>
      </c>
      <c r="AA231" s="1112" t="s">
        <v>6757</v>
      </c>
      <c r="AB231" s="1113" t="s">
        <v>1194</v>
      </c>
      <c r="AC231" s="1114">
        <v>105</v>
      </c>
      <c r="AD231" s="1115">
        <v>159.49</v>
      </c>
      <c r="AE231" s="401">
        <f t="shared" si="26"/>
        <v>16746.45</v>
      </c>
      <c r="AF231" s="1079">
        <v>29</v>
      </c>
      <c r="AG231" s="926"/>
      <c r="AR231" s="1039"/>
      <c r="AT231" s="1039"/>
      <c r="AU231" s="1039"/>
      <c r="AY231" s="1026"/>
      <c r="BE231" s="1040"/>
      <c r="BF231" s="1040"/>
      <c r="BG231" s="1040"/>
      <c r="BH231" s="1040"/>
      <c r="BI231" s="1040"/>
      <c r="BJ231" s="1026"/>
      <c r="BK231" s="1040"/>
      <c r="BL231" s="1026"/>
      <c r="BM231" s="1039"/>
    </row>
    <row r="232" spans="2:65" s="1" customFormat="1" ht="24" customHeight="1" x14ac:dyDescent="0.2">
      <c r="B232" s="118"/>
      <c r="C232" s="119" t="s">
        <v>405</v>
      </c>
      <c r="D232" s="119" t="s">
        <v>231</v>
      </c>
      <c r="E232" s="120" t="s">
        <v>1578</v>
      </c>
      <c r="F232" s="121" t="s">
        <v>1579</v>
      </c>
      <c r="G232" s="122" t="s">
        <v>1194</v>
      </c>
      <c r="H232" s="123">
        <v>80</v>
      </c>
      <c r="I232" s="124">
        <v>9.2200000000000006</v>
      </c>
      <c r="J232" s="124">
        <f t="shared" si="22"/>
        <v>737.6</v>
      </c>
      <c r="K232" s="121" t="s">
        <v>1</v>
      </c>
      <c r="L232" s="24"/>
      <c r="M232" s="125" t="s">
        <v>1</v>
      </c>
      <c r="N232" s="126" t="s">
        <v>31</v>
      </c>
      <c r="O232" s="127">
        <v>0</v>
      </c>
      <c r="P232" s="127">
        <f t="shared" si="23"/>
        <v>0</v>
      </c>
      <c r="Q232" s="127">
        <v>0</v>
      </c>
      <c r="R232" s="127">
        <f t="shared" si="24"/>
        <v>0</v>
      </c>
      <c r="S232" s="127">
        <v>0</v>
      </c>
      <c r="T232" s="128">
        <f t="shared" si="25"/>
        <v>0</v>
      </c>
      <c r="W232" s="199"/>
      <c r="X232" s="119" t="s">
        <v>405</v>
      </c>
      <c r="Y232" s="119" t="s">
        <v>231</v>
      </c>
      <c r="Z232" s="120" t="s">
        <v>1578</v>
      </c>
      <c r="AA232" s="121" t="s">
        <v>1579</v>
      </c>
      <c r="AB232" s="122" t="s">
        <v>1194</v>
      </c>
      <c r="AC232" s="123">
        <v>80</v>
      </c>
      <c r="AD232" s="124">
        <v>9.2200000000000006</v>
      </c>
      <c r="AE232" s="200">
        <f t="shared" si="26"/>
        <v>737.6</v>
      </c>
      <c r="AF232" s="227"/>
      <c r="AG232" s="374"/>
      <c r="AR232" s="129" t="s">
        <v>63</v>
      </c>
      <c r="AT232" s="129" t="s">
        <v>231</v>
      </c>
      <c r="AU232" s="129" t="s">
        <v>63</v>
      </c>
      <c r="AY232" s="13" t="s">
        <v>228</v>
      </c>
      <c r="BE232" s="130">
        <f t="shared" si="27"/>
        <v>737.6</v>
      </c>
      <c r="BF232" s="130">
        <f t="shared" si="28"/>
        <v>0</v>
      </c>
      <c r="BG232" s="130">
        <f t="shared" si="29"/>
        <v>0</v>
      </c>
      <c r="BH232" s="130">
        <f t="shared" si="30"/>
        <v>0</v>
      </c>
      <c r="BI232" s="130">
        <f t="shared" si="31"/>
        <v>0</v>
      </c>
      <c r="BJ232" s="13" t="s">
        <v>63</v>
      </c>
      <c r="BK232" s="130">
        <f t="shared" si="32"/>
        <v>737.6</v>
      </c>
      <c r="BL232" s="13" t="s">
        <v>63</v>
      </c>
      <c r="BM232" s="129" t="s">
        <v>1580</v>
      </c>
    </row>
    <row r="233" spans="2:65" s="1" customFormat="1" ht="21" customHeight="1" x14ac:dyDescent="0.2">
      <c r="B233" s="118"/>
      <c r="C233" s="979" t="s">
        <v>404</v>
      </c>
      <c r="D233" s="131" t="s">
        <v>277</v>
      </c>
      <c r="E233" s="132" t="s">
        <v>1581</v>
      </c>
      <c r="F233" s="133" t="s">
        <v>1582</v>
      </c>
      <c r="G233" s="134" t="s">
        <v>1194</v>
      </c>
      <c r="H233" s="978">
        <v>80</v>
      </c>
      <c r="I233" s="136">
        <v>36.049999999999997</v>
      </c>
      <c r="J233" s="136">
        <f t="shared" si="22"/>
        <v>2884</v>
      </c>
      <c r="K233" s="133" t="s">
        <v>1</v>
      </c>
      <c r="L233" s="137"/>
      <c r="M233" s="138" t="s">
        <v>1</v>
      </c>
      <c r="N233" s="139" t="s">
        <v>31</v>
      </c>
      <c r="O233" s="127">
        <v>0</v>
      </c>
      <c r="P233" s="127">
        <f t="shared" si="23"/>
        <v>0</v>
      </c>
      <c r="Q233" s="127">
        <v>1.7700000000000001E-3</v>
      </c>
      <c r="R233" s="127">
        <f t="shared" si="24"/>
        <v>0.1416</v>
      </c>
      <c r="S233" s="127">
        <v>0</v>
      </c>
      <c r="T233" s="128">
        <f t="shared" si="25"/>
        <v>0</v>
      </c>
      <c r="W233" s="199"/>
      <c r="X233" s="979" t="s">
        <v>404</v>
      </c>
      <c r="Y233" s="131" t="s">
        <v>277</v>
      </c>
      <c r="Z233" s="132" t="s">
        <v>1581</v>
      </c>
      <c r="AA233" s="133" t="s">
        <v>1582</v>
      </c>
      <c r="AB233" s="134" t="s">
        <v>1194</v>
      </c>
      <c r="AC233" s="978">
        <f>80-80</f>
        <v>0</v>
      </c>
      <c r="AD233" s="136">
        <v>36.049999999999997</v>
      </c>
      <c r="AE233" s="229">
        <f t="shared" si="26"/>
        <v>0</v>
      </c>
      <c r="AF233" s="227">
        <v>29</v>
      </c>
      <c r="AG233" s="374"/>
      <c r="AR233" s="129" t="s">
        <v>76</v>
      </c>
      <c r="AT233" s="129" t="s">
        <v>277</v>
      </c>
      <c r="AU233" s="129" t="s">
        <v>63</v>
      </c>
      <c r="AY233" s="13" t="s">
        <v>228</v>
      </c>
      <c r="BE233" s="130">
        <f t="shared" si="27"/>
        <v>2884</v>
      </c>
      <c r="BF233" s="130">
        <f t="shared" si="28"/>
        <v>0</v>
      </c>
      <c r="BG233" s="130">
        <f t="shared" si="29"/>
        <v>0</v>
      </c>
      <c r="BH233" s="130">
        <f t="shared" si="30"/>
        <v>0</v>
      </c>
      <c r="BI233" s="130">
        <f t="shared" si="31"/>
        <v>0</v>
      </c>
      <c r="BJ233" s="13" t="s">
        <v>63</v>
      </c>
      <c r="BK233" s="130">
        <f t="shared" si="32"/>
        <v>2884</v>
      </c>
      <c r="BL233" s="13" t="s">
        <v>63</v>
      </c>
      <c r="BM233" s="129" t="s">
        <v>1583</v>
      </c>
    </row>
    <row r="234" spans="2:65" s="1" customFormat="1" ht="27.45" customHeight="1" x14ac:dyDescent="0.2">
      <c r="B234" s="118"/>
      <c r="C234" s="979" t="s">
        <v>436</v>
      </c>
      <c r="D234" s="131" t="s">
        <v>277</v>
      </c>
      <c r="E234" s="132" t="s">
        <v>1584</v>
      </c>
      <c r="F234" s="133" t="s">
        <v>1585</v>
      </c>
      <c r="G234" s="134" t="s">
        <v>1194</v>
      </c>
      <c r="H234" s="978">
        <v>80</v>
      </c>
      <c r="I234" s="136">
        <v>2.3199999999999998</v>
      </c>
      <c r="J234" s="136">
        <f t="shared" ref="J234:J269" si="33">ROUND(I234*H234,2)</f>
        <v>185.6</v>
      </c>
      <c r="K234" s="133" t="s">
        <v>1</v>
      </c>
      <c r="L234" s="137"/>
      <c r="M234" s="138" t="s">
        <v>1</v>
      </c>
      <c r="N234" s="139" t="s">
        <v>31</v>
      </c>
      <c r="O234" s="127">
        <v>0</v>
      </c>
      <c r="P234" s="127">
        <f t="shared" ref="P234:P269" si="34">O234*H234</f>
        <v>0</v>
      </c>
      <c r="Q234" s="127">
        <v>1.2999999999999999E-4</v>
      </c>
      <c r="R234" s="127">
        <f t="shared" ref="R234:R269" si="35">Q234*H234</f>
        <v>1.04E-2</v>
      </c>
      <c r="S234" s="127">
        <v>0</v>
      </c>
      <c r="T234" s="128">
        <f t="shared" ref="T234:T269" si="36">S234*H234</f>
        <v>0</v>
      </c>
      <c r="W234" s="199"/>
      <c r="X234" s="979" t="s">
        <v>436</v>
      </c>
      <c r="Y234" s="131" t="s">
        <v>277</v>
      </c>
      <c r="Z234" s="132" t="s">
        <v>1584</v>
      </c>
      <c r="AA234" s="133" t="s">
        <v>1585</v>
      </c>
      <c r="AB234" s="134" t="s">
        <v>1194</v>
      </c>
      <c r="AC234" s="978">
        <f>80-80</f>
        <v>0</v>
      </c>
      <c r="AD234" s="136">
        <v>2.3199999999999998</v>
      </c>
      <c r="AE234" s="229">
        <f t="shared" si="26"/>
        <v>0</v>
      </c>
      <c r="AF234" s="227">
        <v>29</v>
      </c>
      <c r="AG234" s="374"/>
      <c r="AR234" s="129" t="s">
        <v>76</v>
      </c>
      <c r="AT234" s="129" t="s">
        <v>277</v>
      </c>
      <c r="AU234" s="129" t="s">
        <v>63</v>
      </c>
      <c r="AY234" s="13" t="s">
        <v>228</v>
      </c>
      <c r="BE234" s="130">
        <f t="shared" ref="BE234:BE269" si="37">IF(N234="základná",J234,0)</f>
        <v>185.6</v>
      </c>
      <c r="BF234" s="130">
        <f t="shared" ref="BF234:BF269" si="38">IF(N234="znížená",J234,0)</f>
        <v>0</v>
      </c>
      <c r="BG234" s="130">
        <f t="shared" ref="BG234:BG269" si="39">IF(N234="zákl. prenesená",J234,0)</f>
        <v>0</v>
      </c>
      <c r="BH234" s="130">
        <f t="shared" ref="BH234:BH269" si="40">IF(N234="zníž. prenesená",J234,0)</f>
        <v>0</v>
      </c>
      <c r="BI234" s="130">
        <f t="shared" ref="BI234:BI269" si="41">IF(N234="nulová",J234,0)</f>
        <v>0</v>
      </c>
      <c r="BJ234" s="13" t="s">
        <v>63</v>
      </c>
      <c r="BK234" s="130">
        <f t="shared" ref="BK234:BK269" si="42">ROUND(I234*H234,2)</f>
        <v>185.6</v>
      </c>
      <c r="BL234" s="13" t="s">
        <v>63</v>
      </c>
      <c r="BM234" s="129" t="s">
        <v>1586</v>
      </c>
    </row>
    <row r="235" spans="2:65" s="1103" customFormat="1" ht="37.200000000000003" customHeight="1" x14ac:dyDescent="0.2">
      <c r="B235" s="1028"/>
      <c r="C235" s="1234" t="s">
        <v>5205</v>
      </c>
      <c r="D235" s="1235"/>
      <c r="E235" s="1235"/>
      <c r="F235" s="1235"/>
      <c r="G235" s="1235"/>
      <c r="H235" s="1235"/>
      <c r="I235" s="1235"/>
      <c r="J235" s="1236"/>
      <c r="K235" s="133"/>
      <c r="L235" s="137"/>
      <c r="M235" s="138"/>
      <c r="N235" s="139"/>
      <c r="O235" s="1037"/>
      <c r="P235" s="1037"/>
      <c r="Q235" s="1037"/>
      <c r="R235" s="1037"/>
      <c r="S235" s="1037"/>
      <c r="T235" s="1038"/>
      <c r="W235" s="1041"/>
      <c r="X235" s="386" t="s">
        <v>6761</v>
      </c>
      <c r="Y235" s="386" t="s">
        <v>277</v>
      </c>
      <c r="Z235" s="1111" t="s">
        <v>6759</v>
      </c>
      <c r="AA235" s="1112" t="s">
        <v>6760</v>
      </c>
      <c r="AB235" s="1113" t="s">
        <v>1194</v>
      </c>
      <c r="AC235" s="1114">
        <v>80</v>
      </c>
      <c r="AD235" s="1115">
        <v>38.369999999999997</v>
      </c>
      <c r="AE235" s="401">
        <f t="shared" si="26"/>
        <v>3069.6</v>
      </c>
      <c r="AF235" s="1079">
        <v>29</v>
      </c>
      <c r="AG235" s="926"/>
      <c r="AR235" s="1039"/>
      <c r="AT235" s="1039"/>
      <c r="AU235" s="1039"/>
      <c r="AY235" s="1026"/>
      <c r="BE235" s="1040"/>
      <c r="BF235" s="1040"/>
      <c r="BG235" s="1040"/>
      <c r="BH235" s="1040"/>
      <c r="BI235" s="1040"/>
      <c r="BJ235" s="1026"/>
      <c r="BK235" s="1040"/>
      <c r="BL235" s="1026"/>
      <c r="BM235" s="1039"/>
    </row>
    <row r="236" spans="2:65" s="1" customFormat="1" ht="16.5" customHeight="1" x14ac:dyDescent="0.2">
      <c r="B236" s="118"/>
      <c r="C236" s="119" t="s">
        <v>410</v>
      </c>
      <c r="D236" s="119" t="s">
        <v>231</v>
      </c>
      <c r="E236" s="120" t="s">
        <v>1587</v>
      </c>
      <c r="F236" s="121" t="s">
        <v>1588</v>
      </c>
      <c r="G236" s="122" t="s">
        <v>1194</v>
      </c>
      <c r="H236" s="123">
        <v>34</v>
      </c>
      <c r="I236" s="124">
        <v>11.35</v>
      </c>
      <c r="J236" s="124">
        <f t="shared" si="33"/>
        <v>385.9</v>
      </c>
      <c r="K236" s="121" t="s">
        <v>1</v>
      </c>
      <c r="L236" s="24"/>
      <c r="M236" s="125" t="s">
        <v>1</v>
      </c>
      <c r="N236" s="126" t="s">
        <v>31</v>
      </c>
      <c r="O236" s="127">
        <v>0</v>
      </c>
      <c r="P236" s="127">
        <f t="shared" si="34"/>
        <v>0</v>
      </c>
      <c r="Q236" s="127">
        <v>0</v>
      </c>
      <c r="R236" s="127">
        <f t="shared" si="35"/>
        <v>0</v>
      </c>
      <c r="S236" s="127">
        <v>0</v>
      </c>
      <c r="T236" s="128">
        <f t="shared" si="36"/>
        <v>0</v>
      </c>
      <c r="W236" s="199"/>
      <c r="X236" s="119" t="s">
        <v>410</v>
      </c>
      <c r="Y236" s="119" t="s">
        <v>231</v>
      </c>
      <c r="Z236" s="120" t="s">
        <v>1587</v>
      </c>
      <c r="AA236" s="121" t="s">
        <v>1588</v>
      </c>
      <c r="AB236" s="122" t="s">
        <v>1194</v>
      </c>
      <c r="AC236" s="123">
        <v>34</v>
      </c>
      <c r="AD236" s="124">
        <v>11.35</v>
      </c>
      <c r="AE236" s="200">
        <f t="shared" si="26"/>
        <v>385.9</v>
      </c>
      <c r="AF236" s="227"/>
      <c r="AG236" s="374"/>
      <c r="AR236" s="129" t="s">
        <v>63</v>
      </c>
      <c r="AT236" s="129" t="s">
        <v>231</v>
      </c>
      <c r="AU236" s="129" t="s">
        <v>63</v>
      </c>
      <c r="AY236" s="13" t="s">
        <v>228</v>
      </c>
      <c r="BE236" s="130">
        <f t="shared" si="37"/>
        <v>385.9</v>
      </c>
      <c r="BF236" s="130">
        <f t="shared" si="38"/>
        <v>0</v>
      </c>
      <c r="BG236" s="130">
        <f t="shared" si="39"/>
        <v>0</v>
      </c>
      <c r="BH236" s="130">
        <f t="shared" si="40"/>
        <v>0</v>
      </c>
      <c r="BI236" s="130">
        <f t="shared" si="41"/>
        <v>0</v>
      </c>
      <c r="BJ236" s="13" t="s">
        <v>63</v>
      </c>
      <c r="BK236" s="130">
        <f t="shared" si="42"/>
        <v>385.9</v>
      </c>
      <c r="BL236" s="13" t="s">
        <v>63</v>
      </c>
      <c r="BM236" s="129" t="s">
        <v>1589</v>
      </c>
    </row>
    <row r="237" spans="2:65" s="1" customFormat="1" ht="24" customHeight="1" x14ac:dyDescent="0.2">
      <c r="B237" s="118"/>
      <c r="C237" s="119" t="s">
        <v>595</v>
      </c>
      <c r="D237" s="119" t="s">
        <v>231</v>
      </c>
      <c r="E237" s="120" t="s">
        <v>1590</v>
      </c>
      <c r="F237" s="121" t="s">
        <v>1591</v>
      </c>
      <c r="G237" s="122" t="s">
        <v>1194</v>
      </c>
      <c r="H237" s="123">
        <v>3</v>
      </c>
      <c r="I237" s="124">
        <v>10.02</v>
      </c>
      <c r="J237" s="124">
        <f t="shared" si="33"/>
        <v>30.06</v>
      </c>
      <c r="K237" s="121" t="s">
        <v>1</v>
      </c>
      <c r="L237" s="24"/>
      <c r="M237" s="125" t="s">
        <v>1</v>
      </c>
      <c r="N237" s="126" t="s">
        <v>31</v>
      </c>
      <c r="O237" s="127">
        <v>0</v>
      </c>
      <c r="P237" s="127">
        <f t="shared" si="34"/>
        <v>0</v>
      </c>
      <c r="Q237" s="127">
        <v>0</v>
      </c>
      <c r="R237" s="127">
        <f t="shared" si="35"/>
        <v>0</v>
      </c>
      <c r="S237" s="127">
        <v>0</v>
      </c>
      <c r="T237" s="128">
        <f t="shared" si="36"/>
        <v>0</v>
      </c>
      <c r="W237" s="199"/>
      <c r="X237" s="119" t="s">
        <v>595</v>
      </c>
      <c r="Y237" s="119" t="s">
        <v>231</v>
      </c>
      <c r="Z237" s="120" t="s">
        <v>1590</v>
      </c>
      <c r="AA237" s="121" t="s">
        <v>1591</v>
      </c>
      <c r="AB237" s="122" t="s">
        <v>1194</v>
      </c>
      <c r="AC237" s="123">
        <v>3</v>
      </c>
      <c r="AD237" s="124">
        <v>10.02</v>
      </c>
      <c r="AE237" s="200">
        <f t="shared" si="26"/>
        <v>30.06</v>
      </c>
      <c r="AF237" s="227"/>
      <c r="AG237" s="374"/>
      <c r="AR237" s="129" t="s">
        <v>63</v>
      </c>
      <c r="AT237" s="129" t="s">
        <v>231</v>
      </c>
      <c r="AU237" s="129" t="s">
        <v>63</v>
      </c>
      <c r="AY237" s="13" t="s">
        <v>228</v>
      </c>
      <c r="BE237" s="130">
        <f t="shared" si="37"/>
        <v>30.06</v>
      </c>
      <c r="BF237" s="130">
        <f t="shared" si="38"/>
        <v>0</v>
      </c>
      <c r="BG237" s="130">
        <f t="shared" si="39"/>
        <v>0</v>
      </c>
      <c r="BH237" s="130">
        <f t="shared" si="40"/>
        <v>0</v>
      </c>
      <c r="BI237" s="130">
        <f t="shared" si="41"/>
        <v>0</v>
      </c>
      <c r="BJ237" s="13" t="s">
        <v>63</v>
      </c>
      <c r="BK237" s="130">
        <f t="shared" si="42"/>
        <v>30.06</v>
      </c>
      <c r="BL237" s="13" t="s">
        <v>63</v>
      </c>
      <c r="BM237" s="129" t="s">
        <v>1592</v>
      </c>
    </row>
    <row r="238" spans="2:65" s="1" customFormat="1" ht="16.5" customHeight="1" x14ac:dyDescent="0.2">
      <c r="B238" s="118"/>
      <c r="C238" s="979" t="s">
        <v>414</v>
      </c>
      <c r="D238" s="131" t="s">
        <v>277</v>
      </c>
      <c r="E238" s="132" t="s">
        <v>1593</v>
      </c>
      <c r="F238" s="133" t="s">
        <v>1594</v>
      </c>
      <c r="G238" s="134" t="s">
        <v>1194</v>
      </c>
      <c r="H238" s="978">
        <v>3</v>
      </c>
      <c r="I238" s="136">
        <v>25.9</v>
      </c>
      <c r="J238" s="136">
        <f t="shared" si="33"/>
        <v>77.7</v>
      </c>
      <c r="K238" s="133" t="s">
        <v>1</v>
      </c>
      <c r="L238" s="137"/>
      <c r="M238" s="138" t="s">
        <v>1</v>
      </c>
      <c r="N238" s="139" t="s">
        <v>31</v>
      </c>
      <c r="O238" s="127">
        <v>0</v>
      </c>
      <c r="P238" s="127">
        <f t="shared" si="34"/>
        <v>0</v>
      </c>
      <c r="Q238" s="127">
        <v>1.92E-3</v>
      </c>
      <c r="R238" s="127">
        <f t="shared" si="35"/>
        <v>5.7600000000000004E-3</v>
      </c>
      <c r="S238" s="127">
        <v>0</v>
      </c>
      <c r="T238" s="128">
        <f t="shared" si="36"/>
        <v>0</v>
      </c>
      <c r="W238" s="199"/>
      <c r="X238" s="979" t="s">
        <v>414</v>
      </c>
      <c r="Y238" s="131" t="s">
        <v>277</v>
      </c>
      <c r="Z238" s="132" t="s">
        <v>1593</v>
      </c>
      <c r="AA238" s="133" t="s">
        <v>1594</v>
      </c>
      <c r="AB238" s="134" t="s">
        <v>1194</v>
      </c>
      <c r="AC238" s="978">
        <f>3-3</f>
        <v>0</v>
      </c>
      <c r="AD238" s="136">
        <v>25.9</v>
      </c>
      <c r="AE238" s="229">
        <f t="shared" si="26"/>
        <v>0</v>
      </c>
      <c r="AF238" s="227">
        <v>29</v>
      </c>
      <c r="AG238" s="374"/>
      <c r="AR238" s="129" t="s">
        <v>76</v>
      </c>
      <c r="AT238" s="129" t="s">
        <v>277</v>
      </c>
      <c r="AU238" s="129" t="s">
        <v>63</v>
      </c>
      <c r="AY238" s="13" t="s">
        <v>228</v>
      </c>
      <c r="BE238" s="130">
        <f t="shared" si="37"/>
        <v>77.7</v>
      </c>
      <c r="BF238" s="130">
        <f t="shared" si="38"/>
        <v>0</v>
      </c>
      <c r="BG238" s="130">
        <f t="shared" si="39"/>
        <v>0</v>
      </c>
      <c r="BH238" s="130">
        <f t="shared" si="40"/>
        <v>0</v>
      </c>
      <c r="BI238" s="130">
        <f t="shared" si="41"/>
        <v>0</v>
      </c>
      <c r="BJ238" s="13" t="s">
        <v>63</v>
      </c>
      <c r="BK238" s="130">
        <f t="shared" si="42"/>
        <v>77.7</v>
      </c>
      <c r="BL238" s="13" t="s">
        <v>63</v>
      </c>
      <c r="BM238" s="129" t="s">
        <v>1595</v>
      </c>
    </row>
    <row r="239" spans="2:65" s="1103" customFormat="1" ht="25.95" customHeight="1" x14ac:dyDescent="0.2">
      <c r="B239" s="1028"/>
      <c r="C239" s="1234" t="s">
        <v>5205</v>
      </c>
      <c r="D239" s="1235"/>
      <c r="E239" s="1235"/>
      <c r="F239" s="1235"/>
      <c r="G239" s="1235"/>
      <c r="H239" s="1235"/>
      <c r="I239" s="1235"/>
      <c r="J239" s="1236"/>
      <c r="K239" s="133"/>
      <c r="L239" s="137"/>
      <c r="M239" s="138"/>
      <c r="N239" s="139"/>
      <c r="O239" s="1037"/>
      <c r="P239" s="1037"/>
      <c r="Q239" s="1037"/>
      <c r="R239" s="1037"/>
      <c r="S239" s="1037"/>
      <c r="T239" s="1038"/>
      <c r="W239" s="1041"/>
      <c r="X239" s="386" t="s">
        <v>6625</v>
      </c>
      <c r="Y239" s="386" t="s">
        <v>277</v>
      </c>
      <c r="Z239" s="1111" t="s">
        <v>6762</v>
      </c>
      <c r="AA239" s="1112" t="s">
        <v>6763</v>
      </c>
      <c r="AB239" s="1113" t="s">
        <v>1194</v>
      </c>
      <c r="AC239" s="1114">
        <v>3</v>
      </c>
      <c r="AD239" s="1115">
        <v>25.9</v>
      </c>
      <c r="AE239" s="401">
        <f t="shared" si="26"/>
        <v>77.7</v>
      </c>
      <c r="AF239" s="1079">
        <v>29</v>
      </c>
      <c r="AG239" s="926"/>
      <c r="AR239" s="1039"/>
      <c r="AT239" s="1039"/>
      <c r="AU239" s="1039"/>
      <c r="AY239" s="1026"/>
      <c r="BE239" s="1040"/>
      <c r="BF239" s="1040"/>
      <c r="BG239" s="1040"/>
      <c r="BH239" s="1040"/>
      <c r="BI239" s="1040"/>
      <c r="BJ239" s="1026"/>
      <c r="BK239" s="1040"/>
      <c r="BL239" s="1026"/>
      <c r="BM239" s="1039"/>
    </row>
    <row r="240" spans="2:65" s="1" customFormat="1" ht="16.5" customHeight="1" x14ac:dyDescent="0.2">
      <c r="B240" s="118"/>
      <c r="C240" s="979" t="s">
        <v>602</v>
      </c>
      <c r="D240" s="131" t="s">
        <v>277</v>
      </c>
      <c r="E240" s="132" t="s">
        <v>1587</v>
      </c>
      <c r="F240" s="133" t="s">
        <v>1588</v>
      </c>
      <c r="G240" s="134" t="s">
        <v>1194</v>
      </c>
      <c r="H240" s="978">
        <v>34</v>
      </c>
      <c r="I240" s="136">
        <v>46.73</v>
      </c>
      <c r="J240" s="136">
        <f t="shared" si="33"/>
        <v>1588.82</v>
      </c>
      <c r="K240" s="133" t="s">
        <v>1</v>
      </c>
      <c r="L240" s="137"/>
      <c r="M240" s="138" t="s">
        <v>1</v>
      </c>
      <c r="N240" s="139" t="s">
        <v>31</v>
      </c>
      <c r="O240" s="127">
        <v>0</v>
      </c>
      <c r="P240" s="127">
        <f t="shared" si="34"/>
        <v>0</v>
      </c>
      <c r="Q240" s="127">
        <v>0</v>
      </c>
      <c r="R240" s="127">
        <f t="shared" si="35"/>
        <v>0</v>
      </c>
      <c r="S240" s="127">
        <v>0</v>
      </c>
      <c r="T240" s="128">
        <f t="shared" si="36"/>
        <v>0</v>
      </c>
      <c r="W240" s="199"/>
      <c r="X240" s="979" t="s">
        <v>602</v>
      </c>
      <c r="Y240" s="131" t="s">
        <v>277</v>
      </c>
      <c r="Z240" s="132" t="s">
        <v>1587</v>
      </c>
      <c r="AA240" s="133" t="s">
        <v>1588</v>
      </c>
      <c r="AB240" s="134" t="s">
        <v>1194</v>
      </c>
      <c r="AC240" s="978">
        <f>34-34</f>
        <v>0</v>
      </c>
      <c r="AD240" s="136">
        <v>46.73</v>
      </c>
      <c r="AE240" s="229">
        <f t="shared" si="26"/>
        <v>0</v>
      </c>
      <c r="AF240" s="227">
        <v>29</v>
      </c>
      <c r="AG240" s="374"/>
      <c r="AR240" s="129" t="s">
        <v>76</v>
      </c>
      <c r="AT240" s="129" t="s">
        <v>277</v>
      </c>
      <c r="AU240" s="129" t="s">
        <v>63</v>
      </c>
      <c r="AY240" s="13" t="s">
        <v>228</v>
      </c>
      <c r="BE240" s="130">
        <f t="shared" si="37"/>
        <v>1588.82</v>
      </c>
      <c r="BF240" s="130">
        <f t="shared" si="38"/>
        <v>0</v>
      </c>
      <c r="BG240" s="130">
        <f t="shared" si="39"/>
        <v>0</v>
      </c>
      <c r="BH240" s="130">
        <f t="shared" si="40"/>
        <v>0</v>
      </c>
      <c r="BI240" s="130">
        <f t="shared" si="41"/>
        <v>0</v>
      </c>
      <c r="BJ240" s="13" t="s">
        <v>63</v>
      </c>
      <c r="BK240" s="130">
        <f t="shared" si="42"/>
        <v>1588.82</v>
      </c>
      <c r="BL240" s="13" t="s">
        <v>63</v>
      </c>
      <c r="BM240" s="129" t="s">
        <v>1596</v>
      </c>
    </row>
    <row r="241" spans="2:65" s="1103" customFormat="1" ht="37.200000000000003" customHeight="1" x14ac:dyDescent="0.2">
      <c r="B241" s="1028"/>
      <c r="C241" s="1234" t="s">
        <v>5205</v>
      </c>
      <c r="D241" s="1235"/>
      <c r="E241" s="1235"/>
      <c r="F241" s="1235"/>
      <c r="G241" s="1235"/>
      <c r="H241" s="1235"/>
      <c r="I241" s="1235"/>
      <c r="J241" s="1236"/>
      <c r="K241" s="133"/>
      <c r="L241" s="137"/>
      <c r="M241" s="138"/>
      <c r="N241" s="139"/>
      <c r="O241" s="1037"/>
      <c r="P241" s="1037"/>
      <c r="Q241" s="1037"/>
      <c r="R241" s="1037"/>
      <c r="S241" s="1037"/>
      <c r="T241" s="1038"/>
      <c r="W241" s="1041"/>
      <c r="X241" s="386" t="s">
        <v>6361</v>
      </c>
      <c r="Y241" s="386" t="s">
        <v>277</v>
      </c>
      <c r="Z241" s="1111" t="s">
        <v>6764</v>
      </c>
      <c r="AA241" s="1112" t="s">
        <v>6765</v>
      </c>
      <c r="AB241" s="1113" t="s">
        <v>1194</v>
      </c>
      <c r="AC241" s="1114">
        <v>34</v>
      </c>
      <c r="AD241" s="1115">
        <v>46.73</v>
      </c>
      <c r="AE241" s="401">
        <f t="shared" si="26"/>
        <v>1588.82</v>
      </c>
      <c r="AF241" s="1079">
        <v>29</v>
      </c>
      <c r="AG241" s="926"/>
      <c r="AR241" s="1039"/>
      <c r="AT241" s="1039"/>
      <c r="AU241" s="1039"/>
      <c r="AY241" s="1026"/>
      <c r="BE241" s="1040"/>
      <c r="BF241" s="1040"/>
      <c r="BG241" s="1040"/>
      <c r="BH241" s="1040"/>
      <c r="BI241" s="1040"/>
      <c r="BJ241" s="1026"/>
      <c r="BK241" s="1040"/>
      <c r="BL241" s="1026"/>
      <c r="BM241" s="1039"/>
    </row>
    <row r="242" spans="2:65" s="1" customFormat="1" ht="16.5" customHeight="1" x14ac:dyDescent="0.2">
      <c r="B242" s="118"/>
      <c r="C242" s="119" t="s">
        <v>418</v>
      </c>
      <c r="D242" s="119" t="s">
        <v>231</v>
      </c>
      <c r="E242" s="120" t="s">
        <v>1597</v>
      </c>
      <c r="F242" s="121" t="s">
        <v>1598</v>
      </c>
      <c r="G242" s="122" t="s">
        <v>1194</v>
      </c>
      <c r="H242" s="123">
        <v>2</v>
      </c>
      <c r="I242" s="124">
        <v>10.02</v>
      </c>
      <c r="J242" s="124">
        <f t="shared" si="33"/>
        <v>20.04</v>
      </c>
      <c r="K242" s="121" t="s">
        <v>1</v>
      </c>
      <c r="L242" s="24"/>
      <c r="M242" s="125" t="s">
        <v>1</v>
      </c>
      <c r="N242" s="126" t="s">
        <v>31</v>
      </c>
      <c r="O242" s="127">
        <v>0</v>
      </c>
      <c r="P242" s="127">
        <f t="shared" si="34"/>
        <v>0</v>
      </c>
      <c r="Q242" s="127">
        <v>0</v>
      </c>
      <c r="R242" s="127">
        <f t="shared" si="35"/>
        <v>0</v>
      </c>
      <c r="S242" s="127">
        <v>0</v>
      </c>
      <c r="T242" s="128">
        <f t="shared" si="36"/>
        <v>0</v>
      </c>
      <c r="W242" s="199"/>
      <c r="X242" s="119" t="s">
        <v>418</v>
      </c>
      <c r="Y242" s="119" t="s">
        <v>231</v>
      </c>
      <c r="Z242" s="120" t="s">
        <v>1597</v>
      </c>
      <c r="AA242" s="121" t="s">
        <v>1598</v>
      </c>
      <c r="AB242" s="122" t="s">
        <v>1194</v>
      </c>
      <c r="AC242" s="123">
        <v>2</v>
      </c>
      <c r="AD242" s="124">
        <v>10.02</v>
      </c>
      <c r="AE242" s="229">
        <f t="shared" si="26"/>
        <v>20.04</v>
      </c>
      <c r="AF242" s="227"/>
      <c r="AG242" s="374"/>
      <c r="AR242" s="129" t="s">
        <v>63</v>
      </c>
      <c r="AT242" s="129" t="s">
        <v>231</v>
      </c>
      <c r="AU242" s="129" t="s">
        <v>63</v>
      </c>
      <c r="AY242" s="13" t="s">
        <v>228</v>
      </c>
      <c r="BE242" s="130">
        <f t="shared" si="37"/>
        <v>20.04</v>
      </c>
      <c r="BF242" s="130">
        <f t="shared" si="38"/>
        <v>0</v>
      </c>
      <c r="BG242" s="130">
        <f t="shared" si="39"/>
        <v>0</v>
      </c>
      <c r="BH242" s="130">
        <f t="shared" si="40"/>
        <v>0</v>
      </c>
      <c r="BI242" s="130">
        <f t="shared" si="41"/>
        <v>0</v>
      </c>
      <c r="BJ242" s="13" t="s">
        <v>63</v>
      </c>
      <c r="BK242" s="130">
        <f t="shared" si="42"/>
        <v>20.04</v>
      </c>
      <c r="BL242" s="13" t="s">
        <v>63</v>
      </c>
      <c r="BM242" s="129" t="s">
        <v>1599</v>
      </c>
    </row>
    <row r="243" spans="2:65" s="1" customFormat="1" ht="16.5" customHeight="1" x14ac:dyDescent="0.2">
      <c r="B243" s="118"/>
      <c r="C243" s="979" t="s">
        <v>613</v>
      </c>
      <c r="D243" s="131" t="s">
        <v>277</v>
      </c>
      <c r="E243" s="132" t="s">
        <v>1600</v>
      </c>
      <c r="F243" s="133" t="s">
        <v>1598</v>
      </c>
      <c r="G243" s="134" t="s">
        <v>1194</v>
      </c>
      <c r="H243" s="978">
        <v>2</v>
      </c>
      <c r="I243" s="136">
        <v>33.25</v>
      </c>
      <c r="J243" s="136">
        <f t="shared" si="33"/>
        <v>66.5</v>
      </c>
      <c r="K243" s="133" t="s">
        <v>1</v>
      </c>
      <c r="L243" s="137"/>
      <c r="M243" s="138" t="s">
        <v>1</v>
      </c>
      <c r="N243" s="139" t="s">
        <v>31</v>
      </c>
      <c r="O243" s="127">
        <v>0</v>
      </c>
      <c r="P243" s="127">
        <f t="shared" si="34"/>
        <v>0</v>
      </c>
      <c r="Q243" s="127">
        <v>0</v>
      </c>
      <c r="R243" s="127">
        <f t="shared" si="35"/>
        <v>0</v>
      </c>
      <c r="S243" s="127">
        <v>0</v>
      </c>
      <c r="T243" s="128">
        <f t="shared" si="36"/>
        <v>0</v>
      </c>
      <c r="W243" s="199"/>
      <c r="X243" s="979" t="s">
        <v>613</v>
      </c>
      <c r="Y243" s="131" t="s">
        <v>277</v>
      </c>
      <c r="Z243" s="132" t="s">
        <v>1600</v>
      </c>
      <c r="AA243" s="133" t="s">
        <v>1598</v>
      </c>
      <c r="AB243" s="134" t="s">
        <v>1194</v>
      </c>
      <c r="AC243" s="978">
        <f>2-2</f>
        <v>0</v>
      </c>
      <c r="AD243" s="136">
        <v>33.25</v>
      </c>
      <c r="AE243" s="229">
        <f t="shared" si="26"/>
        <v>0</v>
      </c>
      <c r="AF243" s="227">
        <v>29</v>
      </c>
      <c r="AG243" s="374"/>
      <c r="AR243" s="129" t="s">
        <v>76</v>
      </c>
      <c r="AT243" s="129" t="s">
        <v>277</v>
      </c>
      <c r="AU243" s="129" t="s">
        <v>63</v>
      </c>
      <c r="AY243" s="13" t="s">
        <v>228</v>
      </c>
      <c r="BE243" s="130">
        <f t="shared" si="37"/>
        <v>66.5</v>
      </c>
      <c r="BF243" s="130">
        <f t="shared" si="38"/>
        <v>0</v>
      </c>
      <c r="BG243" s="130">
        <f t="shared" si="39"/>
        <v>0</v>
      </c>
      <c r="BH243" s="130">
        <f t="shared" si="40"/>
        <v>0</v>
      </c>
      <c r="BI243" s="130">
        <f t="shared" si="41"/>
        <v>0</v>
      </c>
      <c r="BJ243" s="13" t="s">
        <v>63</v>
      </c>
      <c r="BK243" s="130">
        <f t="shared" si="42"/>
        <v>66.5</v>
      </c>
      <c r="BL243" s="13" t="s">
        <v>63</v>
      </c>
      <c r="BM243" s="129" t="s">
        <v>1601</v>
      </c>
    </row>
    <row r="244" spans="2:65" s="1103" customFormat="1" ht="36" customHeight="1" x14ac:dyDescent="0.2">
      <c r="B244" s="1028"/>
      <c r="C244" s="1234" t="s">
        <v>5205</v>
      </c>
      <c r="D244" s="1235"/>
      <c r="E244" s="1235"/>
      <c r="F244" s="1235"/>
      <c r="G244" s="1235"/>
      <c r="H244" s="1235"/>
      <c r="I244" s="1235"/>
      <c r="J244" s="1236"/>
      <c r="K244" s="133"/>
      <c r="L244" s="137"/>
      <c r="M244" s="138"/>
      <c r="N244" s="139"/>
      <c r="O244" s="1037"/>
      <c r="P244" s="1037"/>
      <c r="Q244" s="1037"/>
      <c r="R244" s="1037"/>
      <c r="S244" s="1037"/>
      <c r="T244" s="1038"/>
      <c r="W244" s="1041"/>
      <c r="X244" s="386" t="s">
        <v>6768</v>
      </c>
      <c r="Y244" s="386" t="s">
        <v>277</v>
      </c>
      <c r="Z244" s="1111" t="s">
        <v>6766</v>
      </c>
      <c r="AA244" s="1112" t="s">
        <v>6767</v>
      </c>
      <c r="AB244" s="1113" t="s">
        <v>1194</v>
      </c>
      <c r="AC244" s="1114">
        <v>2</v>
      </c>
      <c r="AD244" s="1115">
        <v>33.25</v>
      </c>
      <c r="AE244" s="401">
        <f t="shared" si="26"/>
        <v>66.5</v>
      </c>
      <c r="AF244" s="1079">
        <v>29</v>
      </c>
      <c r="AG244" s="926"/>
      <c r="AR244" s="1039"/>
      <c r="AT244" s="1039"/>
      <c r="AU244" s="1039"/>
      <c r="AY244" s="1026"/>
      <c r="BE244" s="1040"/>
      <c r="BF244" s="1040"/>
      <c r="BG244" s="1040"/>
      <c r="BH244" s="1040"/>
      <c r="BI244" s="1040"/>
      <c r="BJ244" s="1026"/>
      <c r="BK244" s="1040"/>
      <c r="BL244" s="1026"/>
      <c r="BM244" s="1039"/>
    </row>
    <row r="245" spans="2:65" s="1" customFormat="1" ht="24" customHeight="1" x14ac:dyDescent="0.2">
      <c r="B245" s="118"/>
      <c r="C245" s="119" t="s">
        <v>421</v>
      </c>
      <c r="D245" s="119" t="s">
        <v>231</v>
      </c>
      <c r="E245" s="120" t="s">
        <v>1602</v>
      </c>
      <c r="F245" s="121" t="s">
        <v>1603</v>
      </c>
      <c r="G245" s="122" t="s">
        <v>292</v>
      </c>
      <c r="H245" s="123">
        <v>22</v>
      </c>
      <c r="I245" s="124">
        <v>1.24</v>
      </c>
      <c r="J245" s="124">
        <f t="shared" si="33"/>
        <v>27.28</v>
      </c>
      <c r="K245" s="121" t="s">
        <v>1</v>
      </c>
      <c r="L245" s="24"/>
      <c r="M245" s="125" t="s">
        <v>1</v>
      </c>
      <c r="N245" s="126" t="s">
        <v>31</v>
      </c>
      <c r="O245" s="127">
        <v>0</v>
      </c>
      <c r="P245" s="127">
        <f t="shared" si="34"/>
        <v>0</v>
      </c>
      <c r="Q245" s="127">
        <v>0</v>
      </c>
      <c r="R245" s="127">
        <f t="shared" si="35"/>
        <v>0</v>
      </c>
      <c r="S245" s="127">
        <v>0</v>
      </c>
      <c r="T245" s="128">
        <f t="shared" si="36"/>
        <v>0</v>
      </c>
      <c r="W245" s="199"/>
      <c r="X245" s="119" t="s">
        <v>421</v>
      </c>
      <c r="Y245" s="119" t="s">
        <v>231</v>
      </c>
      <c r="Z245" s="120" t="s">
        <v>1602</v>
      </c>
      <c r="AA245" s="121" t="s">
        <v>1603</v>
      </c>
      <c r="AB245" s="122" t="s">
        <v>292</v>
      </c>
      <c r="AC245" s="123">
        <v>22</v>
      </c>
      <c r="AD245" s="124">
        <v>1.24</v>
      </c>
      <c r="AE245" s="200">
        <f t="shared" si="26"/>
        <v>27.28</v>
      </c>
      <c r="AF245" s="227"/>
      <c r="AG245" s="374"/>
      <c r="AR245" s="129" t="s">
        <v>63</v>
      </c>
      <c r="AT245" s="129" t="s">
        <v>231</v>
      </c>
      <c r="AU245" s="129" t="s">
        <v>63</v>
      </c>
      <c r="AY245" s="13" t="s">
        <v>228</v>
      </c>
      <c r="BE245" s="130">
        <f t="shared" si="37"/>
        <v>27.28</v>
      </c>
      <c r="BF245" s="130">
        <f t="shared" si="38"/>
        <v>0</v>
      </c>
      <c r="BG245" s="130">
        <f t="shared" si="39"/>
        <v>0</v>
      </c>
      <c r="BH245" s="130">
        <f t="shared" si="40"/>
        <v>0</v>
      </c>
      <c r="BI245" s="130">
        <f t="shared" si="41"/>
        <v>0</v>
      </c>
      <c r="BJ245" s="13" t="s">
        <v>63</v>
      </c>
      <c r="BK245" s="130">
        <f t="shared" si="42"/>
        <v>27.28</v>
      </c>
      <c r="BL245" s="13" t="s">
        <v>63</v>
      </c>
      <c r="BM245" s="129" t="s">
        <v>1604</v>
      </c>
    </row>
    <row r="246" spans="2:65" s="1" customFormat="1" ht="24" customHeight="1" x14ac:dyDescent="0.2">
      <c r="B246" s="118"/>
      <c r="C246" s="131" t="s">
        <v>620</v>
      </c>
      <c r="D246" s="131" t="s">
        <v>277</v>
      </c>
      <c r="E246" s="132" t="s">
        <v>1605</v>
      </c>
      <c r="F246" s="133" t="s">
        <v>1606</v>
      </c>
      <c r="G246" s="134" t="s">
        <v>1607</v>
      </c>
      <c r="H246" s="135">
        <v>22</v>
      </c>
      <c r="I246" s="136">
        <v>7.21</v>
      </c>
      <c r="J246" s="136">
        <f t="shared" si="33"/>
        <v>158.62</v>
      </c>
      <c r="K246" s="133" t="s">
        <v>1</v>
      </c>
      <c r="L246" s="137"/>
      <c r="M246" s="138" t="s">
        <v>1</v>
      </c>
      <c r="N246" s="139" t="s">
        <v>31</v>
      </c>
      <c r="O246" s="127">
        <v>0</v>
      </c>
      <c r="P246" s="127">
        <f t="shared" si="34"/>
        <v>0</v>
      </c>
      <c r="Q246" s="127">
        <v>4.8999999999999998E-4</v>
      </c>
      <c r="R246" s="127">
        <f t="shared" si="35"/>
        <v>1.078E-2</v>
      </c>
      <c r="S246" s="127">
        <v>0</v>
      </c>
      <c r="T246" s="128">
        <f t="shared" si="36"/>
        <v>0</v>
      </c>
      <c r="W246" s="199"/>
      <c r="X246" s="131" t="s">
        <v>620</v>
      </c>
      <c r="Y246" s="131" t="s">
        <v>277</v>
      </c>
      <c r="Z246" s="132" t="s">
        <v>1605</v>
      </c>
      <c r="AA246" s="133" t="s">
        <v>1606</v>
      </c>
      <c r="AB246" s="134" t="s">
        <v>1607</v>
      </c>
      <c r="AC246" s="135">
        <v>22</v>
      </c>
      <c r="AD246" s="136">
        <v>7.21</v>
      </c>
      <c r="AE246" s="229">
        <f t="shared" si="26"/>
        <v>158.62</v>
      </c>
      <c r="AF246" s="227"/>
      <c r="AG246" s="374"/>
      <c r="AR246" s="129" t="s">
        <v>76</v>
      </c>
      <c r="AT246" s="129" t="s">
        <v>277</v>
      </c>
      <c r="AU246" s="129" t="s">
        <v>63</v>
      </c>
      <c r="AY246" s="13" t="s">
        <v>228</v>
      </c>
      <c r="BE246" s="130">
        <f t="shared" si="37"/>
        <v>158.62</v>
      </c>
      <c r="BF246" s="130">
        <f t="shared" si="38"/>
        <v>0</v>
      </c>
      <c r="BG246" s="130">
        <f t="shared" si="39"/>
        <v>0</v>
      </c>
      <c r="BH246" s="130">
        <f t="shared" si="40"/>
        <v>0</v>
      </c>
      <c r="BI246" s="130">
        <f t="shared" si="41"/>
        <v>0</v>
      </c>
      <c r="BJ246" s="13" t="s">
        <v>63</v>
      </c>
      <c r="BK246" s="130">
        <f t="shared" si="42"/>
        <v>158.62</v>
      </c>
      <c r="BL246" s="13" t="s">
        <v>63</v>
      </c>
      <c r="BM246" s="129" t="s">
        <v>1608</v>
      </c>
    </row>
    <row r="247" spans="2:65" s="1" customFormat="1" ht="24" customHeight="1" x14ac:dyDescent="0.2">
      <c r="B247" s="118"/>
      <c r="C247" s="205" t="s">
        <v>425</v>
      </c>
      <c r="D247" s="119" t="s">
        <v>231</v>
      </c>
      <c r="E247" s="120" t="s">
        <v>1609</v>
      </c>
      <c r="F247" s="121" t="s">
        <v>1610</v>
      </c>
      <c r="G247" s="122" t="s">
        <v>292</v>
      </c>
      <c r="H247" s="206">
        <v>192</v>
      </c>
      <c r="I247" s="124">
        <v>1.24</v>
      </c>
      <c r="J247" s="124">
        <f t="shared" si="33"/>
        <v>238.08</v>
      </c>
      <c r="K247" s="121" t="s">
        <v>1</v>
      </c>
      <c r="L247" s="24"/>
      <c r="M247" s="125" t="s">
        <v>1</v>
      </c>
      <c r="N247" s="126" t="s">
        <v>31</v>
      </c>
      <c r="O247" s="127">
        <v>0</v>
      </c>
      <c r="P247" s="127">
        <f t="shared" si="34"/>
        <v>0</v>
      </c>
      <c r="Q247" s="127">
        <v>0</v>
      </c>
      <c r="R247" s="127">
        <f t="shared" si="35"/>
        <v>0</v>
      </c>
      <c r="S247" s="127">
        <v>0</v>
      </c>
      <c r="T247" s="128">
        <f t="shared" si="36"/>
        <v>0</v>
      </c>
      <c r="W247" s="199"/>
      <c r="X247" s="205" t="s">
        <v>425</v>
      </c>
      <c r="Y247" s="119" t="s">
        <v>231</v>
      </c>
      <c r="Z247" s="120" t="s">
        <v>1609</v>
      </c>
      <c r="AA247" s="121" t="s">
        <v>1610</v>
      </c>
      <c r="AB247" s="122" t="s">
        <v>292</v>
      </c>
      <c r="AC247" s="206">
        <f>192+23</f>
        <v>215</v>
      </c>
      <c r="AD247" s="124">
        <v>1.24</v>
      </c>
      <c r="AE247" s="200">
        <f t="shared" si="26"/>
        <v>266.60000000000002</v>
      </c>
      <c r="AF247" s="227">
        <v>2</v>
      </c>
      <c r="AG247" s="374"/>
      <c r="AR247" s="129" t="s">
        <v>63</v>
      </c>
      <c r="AT247" s="129" t="s">
        <v>231</v>
      </c>
      <c r="AU247" s="129" t="s">
        <v>63</v>
      </c>
      <c r="AY247" s="13" t="s">
        <v>228</v>
      </c>
      <c r="BE247" s="130">
        <f t="shared" si="37"/>
        <v>238.08</v>
      </c>
      <c r="BF247" s="130">
        <f t="shared" si="38"/>
        <v>0</v>
      </c>
      <c r="BG247" s="130">
        <f t="shared" si="39"/>
        <v>0</v>
      </c>
      <c r="BH247" s="130">
        <f t="shared" si="40"/>
        <v>0</v>
      </c>
      <c r="BI247" s="130">
        <f t="shared" si="41"/>
        <v>0</v>
      </c>
      <c r="BJ247" s="13" t="s">
        <v>63</v>
      </c>
      <c r="BK247" s="130">
        <f t="shared" si="42"/>
        <v>238.08</v>
      </c>
      <c r="BL247" s="13" t="s">
        <v>63</v>
      </c>
      <c r="BM247" s="129" t="s">
        <v>1611</v>
      </c>
    </row>
    <row r="248" spans="2:65" s="1" customFormat="1" ht="24" customHeight="1" x14ac:dyDescent="0.2">
      <c r="B248" s="118"/>
      <c r="C248" s="242" t="s">
        <v>627</v>
      </c>
      <c r="D248" s="131" t="s">
        <v>277</v>
      </c>
      <c r="E248" s="132" t="s">
        <v>1612</v>
      </c>
      <c r="F248" s="133" t="s">
        <v>1613</v>
      </c>
      <c r="G248" s="134" t="s">
        <v>1607</v>
      </c>
      <c r="H248" s="241">
        <v>192</v>
      </c>
      <c r="I248" s="136">
        <v>8.42</v>
      </c>
      <c r="J248" s="136">
        <f t="shared" si="33"/>
        <v>1616.64</v>
      </c>
      <c r="K248" s="133" t="s">
        <v>1</v>
      </c>
      <c r="L248" s="137"/>
      <c r="M248" s="138" t="s">
        <v>1</v>
      </c>
      <c r="N248" s="139" t="s">
        <v>31</v>
      </c>
      <c r="O248" s="127">
        <v>0</v>
      </c>
      <c r="P248" s="127">
        <f t="shared" si="34"/>
        <v>0</v>
      </c>
      <c r="Q248" s="127">
        <v>5.8E-4</v>
      </c>
      <c r="R248" s="127">
        <f t="shared" si="35"/>
        <v>0.11136</v>
      </c>
      <c r="S248" s="127">
        <v>0</v>
      </c>
      <c r="T248" s="128">
        <f t="shared" si="36"/>
        <v>0</v>
      </c>
      <c r="W248" s="199"/>
      <c r="X248" s="242" t="s">
        <v>627</v>
      </c>
      <c r="Y248" s="131" t="s">
        <v>277</v>
      </c>
      <c r="Z248" s="132" t="s">
        <v>1612</v>
      </c>
      <c r="AA248" s="133" t="s">
        <v>1613</v>
      </c>
      <c r="AB248" s="134" t="s">
        <v>1607</v>
      </c>
      <c r="AC248" s="241">
        <f>192+23</f>
        <v>215</v>
      </c>
      <c r="AD248" s="136">
        <v>8.42</v>
      </c>
      <c r="AE248" s="229">
        <f t="shared" si="26"/>
        <v>1810.3</v>
      </c>
      <c r="AF248" s="227">
        <v>2</v>
      </c>
      <c r="AG248" s="374"/>
      <c r="AR248" s="129" t="s">
        <v>76</v>
      </c>
      <c r="AT248" s="129" t="s">
        <v>277</v>
      </c>
      <c r="AU248" s="129" t="s">
        <v>63</v>
      </c>
      <c r="AY248" s="13" t="s">
        <v>228</v>
      </c>
      <c r="BE248" s="130">
        <f t="shared" si="37"/>
        <v>1616.64</v>
      </c>
      <c r="BF248" s="130">
        <f t="shared" si="38"/>
        <v>0</v>
      </c>
      <c r="BG248" s="130">
        <f t="shared" si="39"/>
        <v>0</v>
      </c>
      <c r="BH248" s="130">
        <f t="shared" si="40"/>
        <v>0</v>
      </c>
      <c r="BI248" s="130">
        <f t="shared" si="41"/>
        <v>0</v>
      </c>
      <c r="BJ248" s="13" t="s">
        <v>63</v>
      </c>
      <c r="BK248" s="130">
        <f t="shared" si="42"/>
        <v>1616.64</v>
      </c>
      <c r="BL248" s="13" t="s">
        <v>63</v>
      </c>
      <c r="BM248" s="129" t="s">
        <v>1614</v>
      </c>
    </row>
    <row r="249" spans="2:65" s="1" customFormat="1" ht="24" customHeight="1" x14ac:dyDescent="0.2">
      <c r="B249" s="118"/>
      <c r="C249" s="119" t="s">
        <v>428</v>
      </c>
      <c r="D249" s="119" t="s">
        <v>231</v>
      </c>
      <c r="E249" s="120" t="s">
        <v>1615</v>
      </c>
      <c r="F249" s="121" t="s">
        <v>1616</v>
      </c>
      <c r="G249" s="122" t="s">
        <v>292</v>
      </c>
      <c r="H249" s="123">
        <v>644</v>
      </c>
      <c r="I249" s="124">
        <v>1.24</v>
      </c>
      <c r="J249" s="124">
        <f t="shared" si="33"/>
        <v>798.56</v>
      </c>
      <c r="K249" s="121" t="s">
        <v>1</v>
      </c>
      <c r="L249" s="24"/>
      <c r="M249" s="125" t="s">
        <v>1</v>
      </c>
      <c r="N249" s="126" t="s">
        <v>31</v>
      </c>
      <c r="O249" s="127">
        <v>0</v>
      </c>
      <c r="P249" s="127">
        <f t="shared" si="34"/>
        <v>0</v>
      </c>
      <c r="Q249" s="127">
        <v>0</v>
      </c>
      <c r="R249" s="127">
        <f t="shared" si="35"/>
        <v>0</v>
      </c>
      <c r="S249" s="127">
        <v>0</v>
      </c>
      <c r="T249" s="128">
        <f t="shared" si="36"/>
        <v>0</v>
      </c>
      <c r="W249" s="199"/>
      <c r="X249" s="119" t="s">
        <v>428</v>
      </c>
      <c r="Y249" s="119" t="s">
        <v>231</v>
      </c>
      <c r="Z249" s="120" t="s">
        <v>1615</v>
      </c>
      <c r="AA249" s="121" t="s">
        <v>1616</v>
      </c>
      <c r="AB249" s="122" t="s">
        <v>292</v>
      </c>
      <c r="AC249" s="123">
        <v>644</v>
      </c>
      <c r="AD249" s="124">
        <v>1.24</v>
      </c>
      <c r="AE249" s="200">
        <f t="shared" si="26"/>
        <v>798.56</v>
      </c>
      <c r="AF249" s="227"/>
      <c r="AG249" s="374"/>
      <c r="AR249" s="129" t="s">
        <v>63</v>
      </c>
      <c r="AT249" s="129" t="s">
        <v>231</v>
      </c>
      <c r="AU249" s="129" t="s">
        <v>63</v>
      </c>
      <c r="AY249" s="13" t="s">
        <v>228</v>
      </c>
      <c r="BE249" s="130">
        <f t="shared" si="37"/>
        <v>798.56</v>
      </c>
      <c r="BF249" s="130">
        <f t="shared" si="38"/>
        <v>0</v>
      </c>
      <c r="BG249" s="130">
        <f t="shared" si="39"/>
        <v>0</v>
      </c>
      <c r="BH249" s="130">
        <f t="shared" si="40"/>
        <v>0</v>
      </c>
      <c r="BI249" s="130">
        <f t="shared" si="41"/>
        <v>0</v>
      </c>
      <c r="BJ249" s="13" t="s">
        <v>63</v>
      </c>
      <c r="BK249" s="130">
        <f t="shared" si="42"/>
        <v>798.56</v>
      </c>
      <c r="BL249" s="13" t="s">
        <v>63</v>
      </c>
      <c r="BM249" s="129" t="s">
        <v>1617</v>
      </c>
    </row>
    <row r="250" spans="2:65" s="1" customFormat="1" ht="24" customHeight="1" x14ac:dyDescent="0.2">
      <c r="B250" s="118"/>
      <c r="C250" s="131" t="s">
        <v>636</v>
      </c>
      <c r="D250" s="131" t="s">
        <v>277</v>
      </c>
      <c r="E250" s="132" t="s">
        <v>1618</v>
      </c>
      <c r="F250" s="133" t="s">
        <v>1619</v>
      </c>
      <c r="G250" s="134" t="s">
        <v>1607</v>
      </c>
      <c r="H250" s="135">
        <v>644</v>
      </c>
      <c r="I250" s="136">
        <v>1.49</v>
      </c>
      <c r="J250" s="136">
        <f t="shared" si="33"/>
        <v>959.56</v>
      </c>
      <c r="K250" s="133" t="s">
        <v>1</v>
      </c>
      <c r="L250" s="137"/>
      <c r="M250" s="138" t="s">
        <v>1</v>
      </c>
      <c r="N250" s="139" t="s">
        <v>31</v>
      </c>
      <c r="O250" s="127">
        <v>0</v>
      </c>
      <c r="P250" s="127">
        <f t="shared" si="34"/>
        <v>0</v>
      </c>
      <c r="Q250" s="127">
        <v>2.9999999999999997E-4</v>
      </c>
      <c r="R250" s="127">
        <f t="shared" si="35"/>
        <v>0.19319999999999998</v>
      </c>
      <c r="S250" s="127">
        <v>0</v>
      </c>
      <c r="T250" s="128">
        <f t="shared" si="36"/>
        <v>0</v>
      </c>
      <c r="W250" s="199"/>
      <c r="X250" s="131" t="s">
        <v>636</v>
      </c>
      <c r="Y250" s="131" t="s">
        <v>277</v>
      </c>
      <c r="Z250" s="132" t="s">
        <v>1618</v>
      </c>
      <c r="AA250" s="133" t="s">
        <v>1619</v>
      </c>
      <c r="AB250" s="134" t="s">
        <v>1607</v>
      </c>
      <c r="AC250" s="135">
        <v>644</v>
      </c>
      <c r="AD250" s="136">
        <v>1.49</v>
      </c>
      <c r="AE250" s="229">
        <f t="shared" si="26"/>
        <v>959.56</v>
      </c>
      <c r="AF250" s="227"/>
      <c r="AG250" s="374"/>
      <c r="AR250" s="129" t="s">
        <v>76</v>
      </c>
      <c r="AT250" s="129" t="s">
        <v>277</v>
      </c>
      <c r="AU250" s="129" t="s">
        <v>63</v>
      </c>
      <c r="AY250" s="13" t="s">
        <v>228</v>
      </c>
      <c r="BE250" s="130">
        <f t="shared" si="37"/>
        <v>959.56</v>
      </c>
      <c r="BF250" s="130">
        <f t="shared" si="38"/>
        <v>0</v>
      </c>
      <c r="BG250" s="130">
        <f t="shared" si="39"/>
        <v>0</v>
      </c>
      <c r="BH250" s="130">
        <f t="shared" si="40"/>
        <v>0</v>
      </c>
      <c r="BI250" s="130">
        <f t="shared" si="41"/>
        <v>0</v>
      </c>
      <c r="BJ250" s="13" t="s">
        <v>63</v>
      </c>
      <c r="BK250" s="130">
        <f t="shared" si="42"/>
        <v>959.56</v>
      </c>
      <c r="BL250" s="13" t="s">
        <v>63</v>
      </c>
      <c r="BM250" s="129" t="s">
        <v>1620</v>
      </c>
    </row>
    <row r="251" spans="2:65" s="1" customFormat="1" ht="24" customHeight="1" x14ac:dyDescent="0.2">
      <c r="B251" s="118"/>
      <c r="C251" s="205" t="s">
        <v>432</v>
      </c>
      <c r="D251" s="119" t="s">
        <v>231</v>
      </c>
      <c r="E251" s="120" t="s">
        <v>1621</v>
      </c>
      <c r="F251" s="121" t="s">
        <v>1622</v>
      </c>
      <c r="G251" s="122" t="s">
        <v>292</v>
      </c>
      <c r="H251" s="206">
        <v>1820</v>
      </c>
      <c r="I251" s="124">
        <v>1.24</v>
      </c>
      <c r="J251" s="124">
        <f t="shared" si="33"/>
        <v>2256.8000000000002</v>
      </c>
      <c r="K251" s="121" t="s">
        <v>1</v>
      </c>
      <c r="L251" s="24"/>
      <c r="M251" s="125" t="s">
        <v>1</v>
      </c>
      <c r="N251" s="126" t="s">
        <v>31</v>
      </c>
      <c r="O251" s="127">
        <v>0</v>
      </c>
      <c r="P251" s="127">
        <f t="shared" si="34"/>
        <v>0</v>
      </c>
      <c r="Q251" s="127">
        <v>0</v>
      </c>
      <c r="R251" s="127">
        <f t="shared" si="35"/>
        <v>0</v>
      </c>
      <c r="S251" s="127">
        <v>0</v>
      </c>
      <c r="T251" s="128">
        <f t="shared" si="36"/>
        <v>0</v>
      </c>
      <c r="W251" s="199"/>
      <c r="X251" s="205" t="s">
        <v>432</v>
      </c>
      <c r="Y251" s="119" t="s">
        <v>231</v>
      </c>
      <c r="Z251" s="120" t="s">
        <v>1621</v>
      </c>
      <c r="AA251" s="121" t="s">
        <v>1622</v>
      </c>
      <c r="AB251" s="122" t="s">
        <v>292</v>
      </c>
      <c r="AC251" s="206">
        <f>1820+430</f>
        <v>2250</v>
      </c>
      <c r="AD251" s="124">
        <v>1.24</v>
      </c>
      <c r="AE251" s="200">
        <f t="shared" si="26"/>
        <v>2790</v>
      </c>
      <c r="AF251" s="227">
        <v>2</v>
      </c>
      <c r="AG251" s="374"/>
      <c r="AR251" s="129" t="s">
        <v>63</v>
      </c>
      <c r="AT251" s="129" t="s">
        <v>231</v>
      </c>
      <c r="AU251" s="129" t="s">
        <v>63</v>
      </c>
      <c r="AY251" s="13" t="s">
        <v>228</v>
      </c>
      <c r="BE251" s="130">
        <f t="shared" si="37"/>
        <v>2256.8000000000002</v>
      </c>
      <c r="BF251" s="130">
        <f t="shared" si="38"/>
        <v>0</v>
      </c>
      <c r="BG251" s="130">
        <f t="shared" si="39"/>
        <v>0</v>
      </c>
      <c r="BH251" s="130">
        <f t="shared" si="40"/>
        <v>0</v>
      </c>
      <c r="BI251" s="130">
        <f t="shared" si="41"/>
        <v>0</v>
      </c>
      <c r="BJ251" s="13" t="s">
        <v>63</v>
      </c>
      <c r="BK251" s="130">
        <f t="shared" si="42"/>
        <v>2256.8000000000002</v>
      </c>
      <c r="BL251" s="13" t="s">
        <v>63</v>
      </c>
      <c r="BM251" s="129" t="s">
        <v>1623</v>
      </c>
    </row>
    <row r="252" spans="2:65" s="1" customFormat="1" ht="24" customHeight="1" x14ac:dyDescent="0.2">
      <c r="B252" s="118"/>
      <c r="C252" s="242" t="s">
        <v>643</v>
      </c>
      <c r="D252" s="131" t="s">
        <v>277</v>
      </c>
      <c r="E252" s="132" t="s">
        <v>1624</v>
      </c>
      <c r="F252" s="133" t="s">
        <v>1625</v>
      </c>
      <c r="G252" s="134" t="s">
        <v>1607</v>
      </c>
      <c r="H252" s="241">
        <v>1820</v>
      </c>
      <c r="I252" s="136">
        <v>1.49</v>
      </c>
      <c r="J252" s="136">
        <f t="shared" si="33"/>
        <v>2711.8</v>
      </c>
      <c r="K252" s="133" t="s">
        <v>1</v>
      </c>
      <c r="L252" s="137"/>
      <c r="M252" s="138" t="s">
        <v>1</v>
      </c>
      <c r="N252" s="139" t="s">
        <v>31</v>
      </c>
      <c r="O252" s="127">
        <v>0</v>
      </c>
      <c r="P252" s="127">
        <f t="shared" si="34"/>
        <v>0</v>
      </c>
      <c r="Q252" s="127">
        <v>2.9999999999999997E-4</v>
      </c>
      <c r="R252" s="127">
        <f t="shared" si="35"/>
        <v>0.54599999999999993</v>
      </c>
      <c r="S252" s="127">
        <v>0</v>
      </c>
      <c r="T252" s="128">
        <f t="shared" si="36"/>
        <v>0</v>
      </c>
      <c r="W252" s="199"/>
      <c r="X252" s="242" t="s">
        <v>643</v>
      </c>
      <c r="Y252" s="131" t="s">
        <v>277</v>
      </c>
      <c r="Z252" s="132" t="s">
        <v>1624</v>
      </c>
      <c r="AA252" s="133" t="s">
        <v>1625</v>
      </c>
      <c r="AB252" s="134" t="s">
        <v>1607</v>
      </c>
      <c r="AC252" s="241">
        <f>1820+430</f>
        <v>2250</v>
      </c>
      <c r="AD252" s="136">
        <v>1.49</v>
      </c>
      <c r="AE252" s="229">
        <f t="shared" si="26"/>
        <v>3352.5</v>
      </c>
      <c r="AF252" s="227">
        <v>2</v>
      </c>
      <c r="AG252" s="374"/>
      <c r="AR252" s="129" t="s">
        <v>76</v>
      </c>
      <c r="AT252" s="129" t="s">
        <v>277</v>
      </c>
      <c r="AU252" s="129" t="s">
        <v>63</v>
      </c>
      <c r="AY252" s="13" t="s">
        <v>228</v>
      </c>
      <c r="BE252" s="130">
        <f t="shared" si="37"/>
        <v>2711.8</v>
      </c>
      <c r="BF252" s="130">
        <f t="shared" si="38"/>
        <v>0</v>
      </c>
      <c r="BG252" s="130">
        <f t="shared" si="39"/>
        <v>0</v>
      </c>
      <c r="BH252" s="130">
        <f t="shared" si="40"/>
        <v>0</v>
      </c>
      <c r="BI252" s="130">
        <f t="shared" si="41"/>
        <v>0</v>
      </c>
      <c r="BJ252" s="13" t="s">
        <v>63</v>
      </c>
      <c r="BK252" s="130">
        <f t="shared" si="42"/>
        <v>2711.8</v>
      </c>
      <c r="BL252" s="13" t="s">
        <v>63</v>
      </c>
      <c r="BM252" s="129" t="s">
        <v>1626</v>
      </c>
    </row>
    <row r="253" spans="2:65" s="1" customFormat="1" ht="24" customHeight="1" x14ac:dyDescent="0.2">
      <c r="B253" s="118"/>
      <c r="C253" s="205" t="s">
        <v>435</v>
      </c>
      <c r="D253" s="119" t="s">
        <v>231</v>
      </c>
      <c r="E253" s="120" t="s">
        <v>1627</v>
      </c>
      <c r="F253" s="121" t="s">
        <v>1628</v>
      </c>
      <c r="G253" s="122" t="s">
        <v>292</v>
      </c>
      <c r="H253" s="206">
        <v>1500</v>
      </c>
      <c r="I253" s="124">
        <v>1.24</v>
      </c>
      <c r="J253" s="124">
        <f t="shared" si="33"/>
        <v>1860</v>
      </c>
      <c r="K253" s="121" t="s">
        <v>1</v>
      </c>
      <c r="L253" s="24"/>
      <c r="M253" s="125" t="s">
        <v>1</v>
      </c>
      <c r="N253" s="126" t="s">
        <v>31</v>
      </c>
      <c r="O253" s="127">
        <v>0</v>
      </c>
      <c r="P253" s="127">
        <f t="shared" si="34"/>
        <v>0</v>
      </c>
      <c r="Q253" s="127">
        <v>0</v>
      </c>
      <c r="R253" s="127">
        <f t="shared" si="35"/>
        <v>0</v>
      </c>
      <c r="S253" s="127">
        <v>0</v>
      </c>
      <c r="T253" s="128">
        <f t="shared" si="36"/>
        <v>0</v>
      </c>
      <c r="W253" s="199"/>
      <c r="X253" s="205" t="s">
        <v>435</v>
      </c>
      <c r="Y253" s="119" t="s">
        <v>231</v>
      </c>
      <c r="Z253" s="120" t="s">
        <v>1627</v>
      </c>
      <c r="AA253" s="121" t="s">
        <v>1628</v>
      </c>
      <c r="AB253" s="122" t="s">
        <v>292</v>
      </c>
      <c r="AC253" s="206">
        <f>1500+1200</f>
        <v>2700</v>
      </c>
      <c r="AD253" s="124">
        <v>1.24</v>
      </c>
      <c r="AE253" s="200">
        <f t="shared" si="26"/>
        <v>3348</v>
      </c>
      <c r="AF253" s="227">
        <v>2</v>
      </c>
      <c r="AG253" s="374"/>
      <c r="AR253" s="129" t="s">
        <v>63</v>
      </c>
      <c r="AT253" s="129" t="s">
        <v>231</v>
      </c>
      <c r="AU253" s="129" t="s">
        <v>63</v>
      </c>
      <c r="AY253" s="13" t="s">
        <v>228</v>
      </c>
      <c r="BE253" s="130">
        <f t="shared" si="37"/>
        <v>1860</v>
      </c>
      <c r="BF253" s="130">
        <f t="shared" si="38"/>
        <v>0</v>
      </c>
      <c r="BG253" s="130">
        <f t="shared" si="39"/>
        <v>0</v>
      </c>
      <c r="BH253" s="130">
        <f t="shared" si="40"/>
        <v>0</v>
      </c>
      <c r="BI253" s="130">
        <f t="shared" si="41"/>
        <v>0</v>
      </c>
      <c r="BJ253" s="13" t="s">
        <v>63</v>
      </c>
      <c r="BK253" s="130">
        <f t="shared" si="42"/>
        <v>1860</v>
      </c>
      <c r="BL253" s="13" t="s">
        <v>63</v>
      </c>
      <c r="BM253" s="129" t="s">
        <v>1629</v>
      </c>
    </row>
    <row r="254" spans="2:65" s="1" customFormat="1" ht="24" customHeight="1" x14ac:dyDescent="0.2">
      <c r="B254" s="118"/>
      <c r="C254" s="242" t="s">
        <v>650</v>
      </c>
      <c r="D254" s="131" t="s">
        <v>277</v>
      </c>
      <c r="E254" s="132" t="s">
        <v>1630</v>
      </c>
      <c r="F254" s="133" t="s">
        <v>1631</v>
      </c>
      <c r="G254" s="134" t="s">
        <v>1607</v>
      </c>
      <c r="H254" s="241">
        <v>1500</v>
      </c>
      <c r="I254" s="136">
        <v>1.83</v>
      </c>
      <c r="J254" s="136">
        <f t="shared" si="33"/>
        <v>2745</v>
      </c>
      <c r="K254" s="133" t="s">
        <v>1</v>
      </c>
      <c r="L254" s="137"/>
      <c r="M254" s="138" t="s">
        <v>1</v>
      </c>
      <c r="N254" s="139" t="s">
        <v>31</v>
      </c>
      <c r="O254" s="127">
        <v>0</v>
      </c>
      <c r="P254" s="127">
        <f t="shared" si="34"/>
        <v>0</v>
      </c>
      <c r="Q254" s="127">
        <v>3.5E-4</v>
      </c>
      <c r="R254" s="127">
        <f t="shared" si="35"/>
        <v>0.52500000000000002</v>
      </c>
      <c r="S254" s="127">
        <v>0</v>
      </c>
      <c r="T254" s="128">
        <f t="shared" si="36"/>
        <v>0</v>
      </c>
      <c r="W254" s="199"/>
      <c r="X254" s="242" t="s">
        <v>650</v>
      </c>
      <c r="Y254" s="131" t="s">
        <v>277</v>
      </c>
      <c r="Z254" s="132" t="s">
        <v>1630</v>
      </c>
      <c r="AA254" s="133" t="s">
        <v>1631</v>
      </c>
      <c r="AB254" s="134" t="s">
        <v>1607</v>
      </c>
      <c r="AC254" s="241">
        <f>1500+1200</f>
        <v>2700</v>
      </c>
      <c r="AD254" s="136">
        <v>1.83</v>
      </c>
      <c r="AE254" s="229">
        <f t="shared" si="26"/>
        <v>4941</v>
      </c>
      <c r="AF254" s="227">
        <v>2</v>
      </c>
      <c r="AG254" s="374"/>
      <c r="AR254" s="129" t="s">
        <v>76</v>
      </c>
      <c r="AT254" s="129" t="s">
        <v>277</v>
      </c>
      <c r="AU254" s="129" t="s">
        <v>63</v>
      </c>
      <c r="AY254" s="13" t="s">
        <v>228</v>
      </c>
      <c r="BE254" s="130">
        <f t="shared" si="37"/>
        <v>2745</v>
      </c>
      <c r="BF254" s="130">
        <f t="shared" si="38"/>
        <v>0</v>
      </c>
      <c r="BG254" s="130">
        <f t="shared" si="39"/>
        <v>0</v>
      </c>
      <c r="BH254" s="130">
        <f t="shared" si="40"/>
        <v>0</v>
      </c>
      <c r="BI254" s="130">
        <f t="shared" si="41"/>
        <v>0</v>
      </c>
      <c r="BJ254" s="13" t="s">
        <v>63</v>
      </c>
      <c r="BK254" s="130">
        <f t="shared" si="42"/>
        <v>2745</v>
      </c>
      <c r="BL254" s="13" t="s">
        <v>63</v>
      </c>
      <c r="BM254" s="129" t="s">
        <v>1632</v>
      </c>
    </row>
    <row r="255" spans="2:65" s="1" customFormat="1" ht="24" customHeight="1" x14ac:dyDescent="0.2">
      <c r="B255" s="118"/>
      <c r="C255" s="205" t="s">
        <v>441</v>
      </c>
      <c r="D255" s="119" t="s">
        <v>231</v>
      </c>
      <c r="E255" s="120" t="s">
        <v>1633</v>
      </c>
      <c r="F255" s="121" t="s">
        <v>1634</v>
      </c>
      <c r="G255" s="122" t="s">
        <v>292</v>
      </c>
      <c r="H255" s="206">
        <v>16</v>
      </c>
      <c r="I255" s="124">
        <v>1.3</v>
      </c>
      <c r="J255" s="124">
        <f t="shared" si="33"/>
        <v>20.8</v>
      </c>
      <c r="K255" s="121" t="s">
        <v>1</v>
      </c>
      <c r="L255" s="24"/>
      <c r="M255" s="125" t="s">
        <v>1</v>
      </c>
      <c r="N255" s="126" t="s">
        <v>31</v>
      </c>
      <c r="O255" s="127">
        <v>0</v>
      </c>
      <c r="P255" s="127">
        <f t="shared" si="34"/>
        <v>0</v>
      </c>
      <c r="Q255" s="127">
        <v>0</v>
      </c>
      <c r="R255" s="127">
        <f t="shared" si="35"/>
        <v>0</v>
      </c>
      <c r="S255" s="127">
        <v>0</v>
      </c>
      <c r="T255" s="128">
        <f t="shared" si="36"/>
        <v>0</v>
      </c>
      <c r="W255" s="199"/>
      <c r="X255" s="205" t="s">
        <v>441</v>
      </c>
      <c r="Y255" s="119" t="s">
        <v>231</v>
      </c>
      <c r="Z255" s="120" t="s">
        <v>1633</v>
      </c>
      <c r="AA255" s="121" t="s">
        <v>1634</v>
      </c>
      <c r="AB255" s="122" t="s">
        <v>292</v>
      </c>
      <c r="AC255" s="206">
        <f>16+214</f>
        <v>230</v>
      </c>
      <c r="AD255" s="124">
        <v>1.3</v>
      </c>
      <c r="AE255" s="200">
        <f t="shared" si="26"/>
        <v>299</v>
      </c>
      <c r="AF255" s="227">
        <v>2</v>
      </c>
      <c r="AG255" s="374"/>
      <c r="AR255" s="129" t="s">
        <v>63</v>
      </c>
      <c r="AT255" s="129" t="s">
        <v>231</v>
      </c>
      <c r="AU255" s="129" t="s">
        <v>63</v>
      </c>
      <c r="AY255" s="13" t="s">
        <v>228</v>
      </c>
      <c r="BE255" s="130">
        <f t="shared" si="37"/>
        <v>20.8</v>
      </c>
      <c r="BF255" s="130">
        <f t="shared" si="38"/>
        <v>0</v>
      </c>
      <c r="BG255" s="130">
        <f t="shared" si="39"/>
        <v>0</v>
      </c>
      <c r="BH255" s="130">
        <f t="shared" si="40"/>
        <v>0</v>
      </c>
      <c r="BI255" s="130">
        <f t="shared" si="41"/>
        <v>0</v>
      </c>
      <c r="BJ255" s="13" t="s">
        <v>63</v>
      </c>
      <c r="BK255" s="130">
        <f t="shared" si="42"/>
        <v>20.8</v>
      </c>
      <c r="BL255" s="13" t="s">
        <v>63</v>
      </c>
      <c r="BM255" s="129" t="s">
        <v>1635</v>
      </c>
    </row>
    <row r="256" spans="2:65" s="1" customFormat="1" ht="24" customHeight="1" x14ac:dyDescent="0.2">
      <c r="B256" s="118"/>
      <c r="C256" s="242" t="s">
        <v>657</v>
      </c>
      <c r="D256" s="131" t="s">
        <v>277</v>
      </c>
      <c r="E256" s="132" t="s">
        <v>1636</v>
      </c>
      <c r="F256" s="133" t="s">
        <v>1637</v>
      </c>
      <c r="G256" s="134" t="s">
        <v>1607</v>
      </c>
      <c r="H256" s="978">
        <v>14</v>
      </c>
      <c r="I256" s="136">
        <v>2.54</v>
      </c>
      <c r="J256" s="136">
        <f t="shared" si="33"/>
        <v>35.56</v>
      </c>
      <c r="K256" s="133" t="s">
        <v>1</v>
      </c>
      <c r="L256" s="137"/>
      <c r="M256" s="138" t="s">
        <v>1</v>
      </c>
      <c r="N256" s="139" t="s">
        <v>31</v>
      </c>
      <c r="O256" s="127">
        <v>0</v>
      </c>
      <c r="P256" s="127">
        <f t="shared" si="34"/>
        <v>0</v>
      </c>
      <c r="Q256" s="127">
        <v>4.2000000000000002E-4</v>
      </c>
      <c r="R256" s="127">
        <f t="shared" si="35"/>
        <v>5.8799999999999998E-3</v>
      </c>
      <c r="S256" s="127">
        <v>0</v>
      </c>
      <c r="T256" s="128">
        <f t="shared" si="36"/>
        <v>0</v>
      </c>
      <c r="W256" s="199"/>
      <c r="X256" s="242" t="s">
        <v>657</v>
      </c>
      <c r="Y256" s="131" t="s">
        <v>277</v>
      </c>
      <c r="Z256" s="132" t="s">
        <v>1636</v>
      </c>
      <c r="AA256" s="133" t="s">
        <v>1637</v>
      </c>
      <c r="AB256" s="134" t="s">
        <v>1607</v>
      </c>
      <c r="AC256" s="241">
        <f>14+216</f>
        <v>230</v>
      </c>
      <c r="AD256" s="136">
        <v>2.54</v>
      </c>
      <c r="AE256" s="229">
        <f t="shared" si="26"/>
        <v>584.20000000000005</v>
      </c>
      <c r="AF256" s="227">
        <v>2</v>
      </c>
      <c r="AG256" s="374"/>
      <c r="AR256" s="129" t="s">
        <v>76</v>
      </c>
      <c r="AT256" s="129" t="s">
        <v>277</v>
      </c>
      <c r="AU256" s="129" t="s">
        <v>63</v>
      </c>
      <c r="AY256" s="13" t="s">
        <v>228</v>
      </c>
      <c r="BE256" s="130">
        <f t="shared" si="37"/>
        <v>35.56</v>
      </c>
      <c r="BF256" s="130">
        <f t="shared" si="38"/>
        <v>0</v>
      </c>
      <c r="BG256" s="130">
        <f t="shared" si="39"/>
        <v>0</v>
      </c>
      <c r="BH256" s="130">
        <f t="shared" si="40"/>
        <v>0</v>
      </c>
      <c r="BI256" s="130">
        <f t="shared" si="41"/>
        <v>0</v>
      </c>
      <c r="BJ256" s="13" t="s">
        <v>63</v>
      </c>
      <c r="BK256" s="130">
        <f t="shared" si="42"/>
        <v>35.56</v>
      </c>
      <c r="BL256" s="13" t="s">
        <v>63</v>
      </c>
      <c r="BM256" s="129" t="s">
        <v>1638</v>
      </c>
    </row>
    <row r="257" spans="2:65" s="1" customFormat="1" ht="24" customHeight="1" x14ac:dyDescent="0.2">
      <c r="B257" s="118"/>
      <c r="C257" s="119" t="s">
        <v>444</v>
      </c>
      <c r="D257" s="119" t="s">
        <v>231</v>
      </c>
      <c r="E257" s="120" t="s">
        <v>1639</v>
      </c>
      <c r="F257" s="121" t="s">
        <v>1640</v>
      </c>
      <c r="G257" s="122" t="s">
        <v>292</v>
      </c>
      <c r="H257" s="123">
        <v>155</v>
      </c>
      <c r="I257" s="124">
        <v>1.24</v>
      </c>
      <c r="J257" s="124">
        <f t="shared" si="33"/>
        <v>192.2</v>
      </c>
      <c r="K257" s="121" t="s">
        <v>1</v>
      </c>
      <c r="L257" s="24"/>
      <c r="M257" s="125" t="s">
        <v>1</v>
      </c>
      <c r="N257" s="126" t="s">
        <v>31</v>
      </c>
      <c r="O257" s="127">
        <v>0</v>
      </c>
      <c r="P257" s="127">
        <f t="shared" si="34"/>
        <v>0</v>
      </c>
      <c r="Q257" s="127">
        <v>0</v>
      </c>
      <c r="R257" s="127">
        <f t="shared" si="35"/>
        <v>0</v>
      </c>
      <c r="S257" s="127">
        <v>0</v>
      </c>
      <c r="T257" s="128">
        <f t="shared" si="36"/>
        <v>0</v>
      </c>
      <c r="W257" s="199"/>
      <c r="X257" s="119" t="s">
        <v>444</v>
      </c>
      <c r="Y257" s="119" t="s">
        <v>231</v>
      </c>
      <c r="Z257" s="120" t="s">
        <v>1639</v>
      </c>
      <c r="AA257" s="121" t="s">
        <v>1640</v>
      </c>
      <c r="AB257" s="122" t="s">
        <v>292</v>
      </c>
      <c r="AC257" s="123">
        <v>155</v>
      </c>
      <c r="AD257" s="124">
        <v>1.24</v>
      </c>
      <c r="AE257" s="200">
        <f t="shared" si="26"/>
        <v>192.2</v>
      </c>
      <c r="AF257" s="227"/>
      <c r="AG257" s="374"/>
      <c r="AR257" s="129" t="s">
        <v>63</v>
      </c>
      <c r="AT257" s="129" t="s">
        <v>231</v>
      </c>
      <c r="AU257" s="129" t="s">
        <v>63</v>
      </c>
      <c r="AY257" s="13" t="s">
        <v>228</v>
      </c>
      <c r="BE257" s="130">
        <f t="shared" si="37"/>
        <v>192.2</v>
      </c>
      <c r="BF257" s="130">
        <f t="shared" si="38"/>
        <v>0</v>
      </c>
      <c r="BG257" s="130">
        <f t="shared" si="39"/>
        <v>0</v>
      </c>
      <c r="BH257" s="130">
        <f t="shared" si="40"/>
        <v>0</v>
      </c>
      <c r="BI257" s="130">
        <f t="shared" si="41"/>
        <v>0</v>
      </c>
      <c r="BJ257" s="13" t="s">
        <v>63</v>
      </c>
      <c r="BK257" s="130">
        <f t="shared" si="42"/>
        <v>192.2</v>
      </c>
      <c r="BL257" s="13" t="s">
        <v>63</v>
      </c>
      <c r="BM257" s="129" t="s">
        <v>1641</v>
      </c>
    </row>
    <row r="258" spans="2:65" s="1" customFormat="1" ht="24" customHeight="1" x14ac:dyDescent="0.2">
      <c r="B258" s="118"/>
      <c r="C258" s="131" t="s">
        <v>664</v>
      </c>
      <c r="D258" s="131" t="s">
        <v>277</v>
      </c>
      <c r="E258" s="132" t="s">
        <v>1642</v>
      </c>
      <c r="F258" s="133" t="s">
        <v>1643</v>
      </c>
      <c r="G258" s="134" t="s">
        <v>1607</v>
      </c>
      <c r="H258" s="135">
        <v>155</v>
      </c>
      <c r="I258" s="136">
        <v>2.21</v>
      </c>
      <c r="J258" s="136">
        <f t="shared" si="33"/>
        <v>342.55</v>
      </c>
      <c r="K258" s="133" t="s">
        <v>1</v>
      </c>
      <c r="L258" s="137"/>
      <c r="M258" s="138" t="s">
        <v>1</v>
      </c>
      <c r="N258" s="139" t="s">
        <v>31</v>
      </c>
      <c r="O258" s="127">
        <v>0</v>
      </c>
      <c r="P258" s="127">
        <f t="shared" si="34"/>
        <v>0</v>
      </c>
      <c r="Q258" s="127">
        <v>4.0000000000000002E-4</v>
      </c>
      <c r="R258" s="127">
        <f t="shared" si="35"/>
        <v>6.2E-2</v>
      </c>
      <c r="S258" s="127">
        <v>0</v>
      </c>
      <c r="T258" s="128">
        <f t="shared" si="36"/>
        <v>0</v>
      </c>
      <c r="W258" s="199"/>
      <c r="X258" s="131" t="s">
        <v>664</v>
      </c>
      <c r="Y258" s="131" t="s">
        <v>277</v>
      </c>
      <c r="Z258" s="132" t="s">
        <v>1642</v>
      </c>
      <c r="AA258" s="133" t="s">
        <v>1643</v>
      </c>
      <c r="AB258" s="134" t="s">
        <v>1607</v>
      </c>
      <c r="AC258" s="135">
        <v>155</v>
      </c>
      <c r="AD258" s="136">
        <v>2.21</v>
      </c>
      <c r="AE258" s="229">
        <f t="shared" si="26"/>
        <v>342.55</v>
      </c>
      <c r="AF258" s="227"/>
      <c r="AG258" s="374"/>
      <c r="AR258" s="129" t="s">
        <v>76</v>
      </c>
      <c r="AT258" s="129" t="s">
        <v>277</v>
      </c>
      <c r="AU258" s="129" t="s">
        <v>63</v>
      </c>
      <c r="AY258" s="13" t="s">
        <v>228</v>
      </c>
      <c r="BE258" s="130">
        <f t="shared" si="37"/>
        <v>342.55</v>
      </c>
      <c r="BF258" s="130">
        <f t="shared" si="38"/>
        <v>0</v>
      </c>
      <c r="BG258" s="130">
        <f t="shared" si="39"/>
        <v>0</v>
      </c>
      <c r="BH258" s="130">
        <f t="shared" si="40"/>
        <v>0</v>
      </c>
      <c r="BI258" s="130">
        <f t="shared" si="41"/>
        <v>0</v>
      </c>
      <c r="BJ258" s="13" t="s">
        <v>63</v>
      </c>
      <c r="BK258" s="130">
        <f t="shared" si="42"/>
        <v>342.55</v>
      </c>
      <c r="BL258" s="13" t="s">
        <v>63</v>
      </c>
      <c r="BM258" s="129" t="s">
        <v>1644</v>
      </c>
    </row>
    <row r="259" spans="2:65" s="1" customFormat="1" ht="24" customHeight="1" x14ac:dyDescent="0.2">
      <c r="B259" s="118"/>
      <c r="C259" s="119" t="s">
        <v>448</v>
      </c>
      <c r="D259" s="119" t="s">
        <v>231</v>
      </c>
      <c r="E259" s="120" t="s">
        <v>1645</v>
      </c>
      <c r="F259" s="121" t="s">
        <v>1646</v>
      </c>
      <c r="G259" s="122" t="s">
        <v>292</v>
      </c>
      <c r="H259" s="123">
        <v>1840</v>
      </c>
      <c r="I259" s="124">
        <v>1.24</v>
      </c>
      <c r="J259" s="124">
        <f t="shared" si="33"/>
        <v>2281.6</v>
      </c>
      <c r="K259" s="121" t="s">
        <v>1</v>
      </c>
      <c r="L259" s="24"/>
      <c r="M259" s="125" t="s">
        <v>1</v>
      </c>
      <c r="N259" s="126" t="s">
        <v>31</v>
      </c>
      <c r="O259" s="127">
        <v>0</v>
      </c>
      <c r="P259" s="127">
        <f t="shared" si="34"/>
        <v>0</v>
      </c>
      <c r="Q259" s="127">
        <v>0</v>
      </c>
      <c r="R259" s="127">
        <f t="shared" si="35"/>
        <v>0</v>
      </c>
      <c r="S259" s="127">
        <v>0</v>
      </c>
      <c r="T259" s="128">
        <f t="shared" si="36"/>
        <v>0</v>
      </c>
      <c r="W259" s="199"/>
      <c r="X259" s="119" t="s">
        <v>448</v>
      </c>
      <c r="Y259" s="119" t="s">
        <v>231</v>
      </c>
      <c r="Z259" s="120" t="s">
        <v>1645</v>
      </c>
      <c r="AA259" s="121" t="s">
        <v>1646</v>
      </c>
      <c r="AB259" s="122" t="s">
        <v>292</v>
      </c>
      <c r="AC259" s="123">
        <v>1840</v>
      </c>
      <c r="AD259" s="124">
        <v>1.24</v>
      </c>
      <c r="AE259" s="200">
        <f t="shared" si="26"/>
        <v>2281.6</v>
      </c>
      <c r="AF259" s="227"/>
      <c r="AG259" s="374"/>
      <c r="AR259" s="129" t="s">
        <v>63</v>
      </c>
      <c r="AT259" s="129" t="s">
        <v>231</v>
      </c>
      <c r="AU259" s="129" t="s">
        <v>63</v>
      </c>
      <c r="AY259" s="13" t="s">
        <v>228</v>
      </c>
      <c r="BE259" s="130">
        <f t="shared" si="37"/>
        <v>2281.6</v>
      </c>
      <c r="BF259" s="130">
        <f t="shared" si="38"/>
        <v>0</v>
      </c>
      <c r="BG259" s="130">
        <f t="shared" si="39"/>
        <v>0</v>
      </c>
      <c r="BH259" s="130">
        <f t="shared" si="40"/>
        <v>0</v>
      </c>
      <c r="BI259" s="130">
        <f t="shared" si="41"/>
        <v>0</v>
      </c>
      <c r="BJ259" s="13" t="s">
        <v>63</v>
      </c>
      <c r="BK259" s="130">
        <f t="shared" si="42"/>
        <v>2281.6</v>
      </c>
      <c r="BL259" s="13" t="s">
        <v>63</v>
      </c>
      <c r="BM259" s="129" t="s">
        <v>1647</v>
      </c>
    </row>
    <row r="260" spans="2:65" s="1" customFormat="1" ht="24" customHeight="1" x14ac:dyDescent="0.2">
      <c r="B260" s="118"/>
      <c r="C260" s="131" t="s">
        <v>671</v>
      </c>
      <c r="D260" s="131" t="s">
        <v>277</v>
      </c>
      <c r="E260" s="132" t="s">
        <v>1648</v>
      </c>
      <c r="F260" s="133" t="s">
        <v>1649</v>
      </c>
      <c r="G260" s="134" t="s">
        <v>1607</v>
      </c>
      <c r="H260" s="135">
        <v>1840</v>
      </c>
      <c r="I260" s="136">
        <v>1.23</v>
      </c>
      <c r="J260" s="136">
        <f t="shared" si="33"/>
        <v>2263.1999999999998</v>
      </c>
      <c r="K260" s="133" t="s">
        <v>1</v>
      </c>
      <c r="L260" s="137"/>
      <c r="M260" s="138" t="s">
        <v>1</v>
      </c>
      <c r="N260" s="139" t="s">
        <v>31</v>
      </c>
      <c r="O260" s="127">
        <v>0</v>
      </c>
      <c r="P260" s="127">
        <f t="shared" si="34"/>
        <v>0</v>
      </c>
      <c r="Q260" s="127">
        <v>1.2E-4</v>
      </c>
      <c r="R260" s="127">
        <f t="shared" si="35"/>
        <v>0.2208</v>
      </c>
      <c r="S260" s="127">
        <v>0</v>
      </c>
      <c r="T260" s="128">
        <f t="shared" si="36"/>
        <v>0</v>
      </c>
      <c r="W260" s="199"/>
      <c r="X260" s="131" t="s">
        <v>671</v>
      </c>
      <c r="Y260" s="131" t="s">
        <v>277</v>
      </c>
      <c r="Z260" s="132" t="s">
        <v>1648</v>
      </c>
      <c r="AA260" s="133" t="s">
        <v>1649</v>
      </c>
      <c r="AB260" s="134" t="s">
        <v>1607</v>
      </c>
      <c r="AC260" s="135">
        <v>1840</v>
      </c>
      <c r="AD260" s="136">
        <v>1.23</v>
      </c>
      <c r="AE260" s="229">
        <f t="shared" si="26"/>
        <v>2263.1999999999998</v>
      </c>
      <c r="AF260" s="227"/>
      <c r="AG260" s="374"/>
      <c r="AR260" s="129" t="s">
        <v>76</v>
      </c>
      <c r="AT260" s="129" t="s">
        <v>277</v>
      </c>
      <c r="AU260" s="129" t="s">
        <v>63</v>
      </c>
      <c r="AY260" s="13" t="s">
        <v>228</v>
      </c>
      <c r="BE260" s="130">
        <f t="shared" si="37"/>
        <v>2263.1999999999998</v>
      </c>
      <c r="BF260" s="130">
        <f t="shared" si="38"/>
        <v>0</v>
      </c>
      <c r="BG260" s="130">
        <f t="shared" si="39"/>
        <v>0</v>
      </c>
      <c r="BH260" s="130">
        <f t="shared" si="40"/>
        <v>0</v>
      </c>
      <c r="BI260" s="130">
        <f t="shared" si="41"/>
        <v>0</v>
      </c>
      <c r="BJ260" s="13" t="s">
        <v>63</v>
      </c>
      <c r="BK260" s="130">
        <f t="shared" si="42"/>
        <v>2263.1999999999998</v>
      </c>
      <c r="BL260" s="13" t="s">
        <v>63</v>
      </c>
      <c r="BM260" s="129" t="s">
        <v>1650</v>
      </c>
    </row>
    <row r="261" spans="2:65" s="1" customFormat="1" ht="16.5" customHeight="1" x14ac:dyDescent="0.2">
      <c r="B261" s="118"/>
      <c r="C261" s="205" t="s">
        <v>451</v>
      </c>
      <c r="D261" s="119" t="s">
        <v>231</v>
      </c>
      <c r="E261" s="120" t="s">
        <v>1651</v>
      </c>
      <c r="F261" s="121" t="s">
        <v>1652</v>
      </c>
      <c r="G261" s="122" t="s">
        <v>292</v>
      </c>
      <c r="H261" s="206">
        <v>5370</v>
      </c>
      <c r="I261" s="124">
        <v>0.67</v>
      </c>
      <c r="J261" s="124">
        <f t="shared" si="33"/>
        <v>3597.9</v>
      </c>
      <c r="K261" s="121" t="s">
        <v>1</v>
      </c>
      <c r="L261" s="24"/>
      <c r="M261" s="125" t="s">
        <v>1</v>
      </c>
      <c r="N261" s="126" t="s">
        <v>31</v>
      </c>
      <c r="O261" s="127">
        <v>0</v>
      </c>
      <c r="P261" s="127">
        <f t="shared" si="34"/>
        <v>0</v>
      </c>
      <c r="Q261" s="127">
        <v>0</v>
      </c>
      <c r="R261" s="127">
        <f t="shared" si="35"/>
        <v>0</v>
      </c>
      <c r="S261" s="127">
        <v>0</v>
      </c>
      <c r="T261" s="128">
        <f t="shared" si="36"/>
        <v>0</v>
      </c>
      <c r="W261" s="199"/>
      <c r="X261" s="205" t="s">
        <v>451</v>
      </c>
      <c r="Y261" s="119" t="s">
        <v>231</v>
      </c>
      <c r="Z261" s="120" t="s">
        <v>1651</v>
      </c>
      <c r="AA261" s="121" t="s">
        <v>1652</v>
      </c>
      <c r="AB261" s="122" t="s">
        <v>292</v>
      </c>
      <c r="AC261" s="206">
        <f>5370+530</f>
        <v>5900</v>
      </c>
      <c r="AD261" s="124">
        <v>0.67</v>
      </c>
      <c r="AE261" s="200">
        <f t="shared" si="26"/>
        <v>3953</v>
      </c>
      <c r="AF261" s="227">
        <v>2</v>
      </c>
      <c r="AG261" s="374"/>
      <c r="AR261" s="129" t="s">
        <v>63</v>
      </c>
      <c r="AT261" s="129" t="s">
        <v>231</v>
      </c>
      <c r="AU261" s="129" t="s">
        <v>63</v>
      </c>
      <c r="AY261" s="13" t="s">
        <v>228</v>
      </c>
      <c r="BE261" s="130">
        <f t="shared" si="37"/>
        <v>3597.9</v>
      </c>
      <c r="BF261" s="130">
        <f t="shared" si="38"/>
        <v>0</v>
      </c>
      <c r="BG261" s="130">
        <f t="shared" si="39"/>
        <v>0</v>
      </c>
      <c r="BH261" s="130">
        <f t="shared" si="40"/>
        <v>0</v>
      </c>
      <c r="BI261" s="130">
        <f t="shared" si="41"/>
        <v>0</v>
      </c>
      <c r="BJ261" s="13" t="s">
        <v>63</v>
      </c>
      <c r="BK261" s="130">
        <f t="shared" si="42"/>
        <v>3597.9</v>
      </c>
      <c r="BL261" s="13" t="s">
        <v>63</v>
      </c>
      <c r="BM261" s="129" t="s">
        <v>1653</v>
      </c>
    </row>
    <row r="262" spans="2:65" s="1" customFormat="1" ht="30" customHeight="1" x14ac:dyDescent="0.2">
      <c r="B262" s="118"/>
      <c r="C262" s="242" t="s">
        <v>678</v>
      </c>
      <c r="D262" s="131" t="s">
        <v>277</v>
      </c>
      <c r="E262" s="132" t="s">
        <v>1651</v>
      </c>
      <c r="F262" s="133" t="s">
        <v>1652</v>
      </c>
      <c r="G262" s="134" t="s">
        <v>292</v>
      </c>
      <c r="H262" s="241">
        <v>5370</v>
      </c>
      <c r="I262" s="136">
        <v>1.21</v>
      </c>
      <c r="J262" s="136">
        <f t="shared" si="33"/>
        <v>6497.7</v>
      </c>
      <c r="K262" s="133" t="s">
        <v>1</v>
      </c>
      <c r="L262" s="137"/>
      <c r="M262" s="138" t="s">
        <v>1</v>
      </c>
      <c r="N262" s="139" t="s">
        <v>31</v>
      </c>
      <c r="O262" s="127">
        <v>0</v>
      </c>
      <c r="P262" s="127">
        <f t="shared" si="34"/>
        <v>0</v>
      </c>
      <c r="Q262" s="127">
        <v>0</v>
      </c>
      <c r="R262" s="127">
        <f t="shared" si="35"/>
        <v>0</v>
      </c>
      <c r="S262" s="127">
        <v>0</v>
      </c>
      <c r="T262" s="128">
        <f t="shared" si="36"/>
        <v>0</v>
      </c>
      <c r="W262" s="199"/>
      <c r="X262" s="242" t="s">
        <v>678</v>
      </c>
      <c r="Y262" s="131" t="s">
        <v>277</v>
      </c>
      <c r="Z262" s="132" t="s">
        <v>1651</v>
      </c>
      <c r="AA262" s="133" t="s">
        <v>1652</v>
      </c>
      <c r="AB262" s="134" t="s">
        <v>292</v>
      </c>
      <c r="AC262" s="241">
        <f>5370+530</f>
        <v>5900</v>
      </c>
      <c r="AD262" s="136">
        <v>1.21</v>
      </c>
      <c r="AE262" s="229">
        <f t="shared" si="26"/>
        <v>7139</v>
      </c>
      <c r="AF262" s="227">
        <v>2</v>
      </c>
      <c r="AG262" s="374"/>
      <c r="AR262" s="129" t="s">
        <v>76</v>
      </c>
      <c r="AT262" s="129" t="s">
        <v>277</v>
      </c>
      <c r="AU262" s="129" t="s">
        <v>63</v>
      </c>
      <c r="AY262" s="13" t="s">
        <v>228</v>
      </c>
      <c r="BE262" s="130">
        <f t="shared" si="37"/>
        <v>6497.7</v>
      </c>
      <c r="BF262" s="130">
        <f t="shared" si="38"/>
        <v>0</v>
      </c>
      <c r="BG262" s="130">
        <f t="shared" si="39"/>
        <v>0</v>
      </c>
      <c r="BH262" s="130">
        <f t="shared" si="40"/>
        <v>0</v>
      </c>
      <c r="BI262" s="130">
        <f t="shared" si="41"/>
        <v>0</v>
      </c>
      <c r="BJ262" s="13" t="s">
        <v>63</v>
      </c>
      <c r="BK262" s="130">
        <f t="shared" si="42"/>
        <v>6497.7</v>
      </c>
      <c r="BL262" s="13" t="s">
        <v>63</v>
      </c>
      <c r="BM262" s="129" t="s">
        <v>1654</v>
      </c>
    </row>
    <row r="263" spans="2:65" s="1" customFormat="1" ht="24" customHeight="1" x14ac:dyDescent="0.2">
      <c r="B263" s="118"/>
      <c r="C263" s="444" t="s">
        <v>455</v>
      </c>
      <c r="D263" s="131" t="s">
        <v>277</v>
      </c>
      <c r="E263" s="132" t="s">
        <v>1538</v>
      </c>
      <c r="F263" s="133" t="s">
        <v>1655</v>
      </c>
      <c r="G263" s="134" t="s">
        <v>292</v>
      </c>
      <c r="H263" s="443">
        <v>39</v>
      </c>
      <c r="I263" s="136">
        <v>2.31</v>
      </c>
      <c r="J263" s="136">
        <f t="shared" si="33"/>
        <v>90.09</v>
      </c>
      <c r="K263" s="133" t="s">
        <v>1</v>
      </c>
      <c r="L263" s="137"/>
      <c r="M263" s="138" t="s">
        <v>1</v>
      </c>
      <c r="N263" s="139" t="s">
        <v>31</v>
      </c>
      <c r="O263" s="127">
        <v>0</v>
      </c>
      <c r="P263" s="127">
        <f t="shared" si="34"/>
        <v>0</v>
      </c>
      <c r="Q263" s="127">
        <v>0</v>
      </c>
      <c r="R263" s="127">
        <f t="shared" si="35"/>
        <v>0</v>
      </c>
      <c r="S263" s="127">
        <v>0</v>
      </c>
      <c r="T263" s="128">
        <f t="shared" si="36"/>
        <v>0</v>
      </c>
      <c r="W263" s="199"/>
      <c r="X263" s="444" t="s">
        <v>455</v>
      </c>
      <c r="Y263" s="131" t="s">
        <v>277</v>
      </c>
      <c r="Z263" s="132" t="s">
        <v>1538</v>
      </c>
      <c r="AA263" s="133" t="s">
        <v>1655</v>
      </c>
      <c r="AB263" s="134" t="s">
        <v>292</v>
      </c>
      <c r="AC263" s="443">
        <v>39</v>
      </c>
      <c r="AD263" s="136">
        <v>2.31</v>
      </c>
      <c r="AE263" s="229">
        <f t="shared" si="26"/>
        <v>90.09</v>
      </c>
      <c r="AF263" s="227"/>
      <c r="AG263" s="374"/>
      <c r="AR263" s="129" t="s">
        <v>76</v>
      </c>
      <c r="AT263" s="129" t="s">
        <v>277</v>
      </c>
      <c r="AU263" s="129" t="s">
        <v>63</v>
      </c>
      <c r="AY263" s="13" t="s">
        <v>228</v>
      </c>
      <c r="BE263" s="130">
        <f t="shared" si="37"/>
        <v>90.09</v>
      </c>
      <c r="BF263" s="130">
        <f t="shared" si="38"/>
        <v>0</v>
      </c>
      <c r="BG263" s="130">
        <f t="shared" si="39"/>
        <v>0</v>
      </c>
      <c r="BH263" s="130">
        <f t="shared" si="40"/>
        <v>0</v>
      </c>
      <c r="BI263" s="130">
        <f t="shared" si="41"/>
        <v>0</v>
      </c>
      <c r="BJ263" s="13" t="s">
        <v>63</v>
      </c>
      <c r="BK263" s="130">
        <f t="shared" si="42"/>
        <v>90.09</v>
      </c>
      <c r="BL263" s="13" t="s">
        <v>63</v>
      </c>
      <c r="BM263" s="129" t="s">
        <v>1656</v>
      </c>
    </row>
    <row r="264" spans="2:65" s="1" customFormat="1" ht="24" customHeight="1" x14ac:dyDescent="0.2">
      <c r="B264" s="118"/>
      <c r="C264" s="445" t="s">
        <v>685</v>
      </c>
      <c r="D264" s="119" t="s">
        <v>231</v>
      </c>
      <c r="E264" s="120" t="s">
        <v>1541</v>
      </c>
      <c r="F264" s="121" t="s">
        <v>1657</v>
      </c>
      <c r="G264" s="122" t="s">
        <v>1607</v>
      </c>
      <c r="H264" s="288">
        <v>39</v>
      </c>
      <c r="I264" s="124">
        <v>37.380000000000003</v>
      </c>
      <c r="J264" s="124">
        <f t="shared" si="33"/>
        <v>1457.82</v>
      </c>
      <c r="K264" s="121" t="s">
        <v>1</v>
      </c>
      <c r="L264" s="24"/>
      <c r="M264" s="125" t="s">
        <v>1</v>
      </c>
      <c r="N264" s="126" t="s">
        <v>31</v>
      </c>
      <c r="O264" s="127">
        <v>0</v>
      </c>
      <c r="P264" s="127">
        <f t="shared" si="34"/>
        <v>0</v>
      </c>
      <c r="Q264" s="127">
        <v>3.8999999999999998E-3</v>
      </c>
      <c r="R264" s="127">
        <f t="shared" si="35"/>
        <v>0.15209999999999999</v>
      </c>
      <c r="S264" s="127">
        <v>0</v>
      </c>
      <c r="T264" s="128">
        <f t="shared" si="36"/>
        <v>0</v>
      </c>
      <c r="W264" s="199"/>
      <c r="X264" s="285" t="s">
        <v>685</v>
      </c>
      <c r="Y264" s="119" t="s">
        <v>231</v>
      </c>
      <c r="Z264" s="120" t="s">
        <v>1541</v>
      </c>
      <c r="AA264" s="121" t="s">
        <v>1657</v>
      </c>
      <c r="AB264" s="122" t="s">
        <v>1607</v>
      </c>
      <c r="AC264" s="288">
        <v>39</v>
      </c>
      <c r="AD264" s="124">
        <v>37.380000000000003</v>
      </c>
      <c r="AE264" s="200">
        <f t="shared" si="26"/>
        <v>1457.82</v>
      </c>
      <c r="AF264" s="227"/>
      <c r="AG264" s="374"/>
      <c r="AR264" s="129" t="s">
        <v>63</v>
      </c>
      <c r="AT264" s="129" t="s">
        <v>231</v>
      </c>
      <c r="AU264" s="129" t="s">
        <v>63</v>
      </c>
      <c r="AY264" s="13" t="s">
        <v>228</v>
      </c>
      <c r="BE264" s="130">
        <f t="shared" si="37"/>
        <v>1457.82</v>
      </c>
      <c r="BF264" s="130">
        <f t="shared" si="38"/>
        <v>0</v>
      </c>
      <c r="BG264" s="130">
        <f t="shared" si="39"/>
        <v>0</v>
      </c>
      <c r="BH264" s="130">
        <f t="shared" si="40"/>
        <v>0</v>
      </c>
      <c r="BI264" s="130">
        <f t="shared" si="41"/>
        <v>0</v>
      </c>
      <c r="BJ264" s="13" t="s">
        <v>63</v>
      </c>
      <c r="BK264" s="130">
        <f t="shared" si="42"/>
        <v>1457.82</v>
      </c>
      <c r="BL264" s="13" t="s">
        <v>63</v>
      </c>
      <c r="BM264" s="129" t="s">
        <v>1658</v>
      </c>
    </row>
    <row r="265" spans="2:65" s="1" customFormat="1" ht="36" customHeight="1" x14ac:dyDescent="0.2">
      <c r="B265" s="118"/>
      <c r="C265" s="446" t="s">
        <v>458</v>
      </c>
      <c r="D265" s="119" t="s">
        <v>231</v>
      </c>
      <c r="E265" s="120" t="s">
        <v>1659</v>
      </c>
      <c r="F265" s="121" t="s">
        <v>1660</v>
      </c>
      <c r="G265" s="122" t="s">
        <v>1194</v>
      </c>
      <c r="H265" s="288">
        <v>36</v>
      </c>
      <c r="I265" s="124">
        <v>7.88</v>
      </c>
      <c r="J265" s="124">
        <f t="shared" si="33"/>
        <v>283.68</v>
      </c>
      <c r="K265" s="121" t="s">
        <v>1</v>
      </c>
      <c r="L265" s="24"/>
      <c r="M265" s="125" t="s">
        <v>1</v>
      </c>
      <c r="N265" s="126" t="s">
        <v>31</v>
      </c>
      <c r="O265" s="127">
        <v>0</v>
      </c>
      <c r="P265" s="127">
        <f t="shared" si="34"/>
        <v>0</v>
      </c>
      <c r="Q265" s="127">
        <v>0</v>
      </c>
      <c r="R265" s="127">
        <f t="shared" si="35"/>
        <v>0</v>
      </c>
      <c r="S265" s="127">
        <v>0</v>
      </c>
      <c r="T265" s="128">
        <f t="shared" si="36"/>
        <v>0</v>
      </c>
      <c r="W265" s="199"/>
      <c r="X265" s="285" t="s">
        <v>458</v>
      </c>
      <c r="Y265" s="119" t="s">
        <v>231</v>
      </c>
      <c r="Z265" s="120" t="s">
        <v>1659</v>
      </c>
      <c r="AA265" s="121" t="s">
        <v>1660</v>
      </c>
      <c r="AB265" s="122" t="s">
        <v>1194</v>
      </c>
      <c r="AC265" s="288">
        <v>36</v>
      </c>
      <c r="AD265" s="124">
        <v>7.88</v>
      </c>
      <c r="AE265" s="200">
        <f t="shared" si="26"/>
        <v>283.68</v>
      </c>
      <c r="AF265" s="227"/>
      <c r="AG265" s="374"/>
      <c r="AR265" s="129" t="s">
        <v>63</v>
      </c>
      <c r="AT265" s="129" t="s">
        <v>231</v>
      </c>
      <c r="AU265" s="129" t="s">
        <v>63</v>
      </c>
      <c r="AY265" s="13" t="s">
        <v>228</v>
      </c>
      <c r="BE265" s="130">
        <f t="shared" si="37"/>
        <v>283.68</v>
      </c>
      <c r="BF265" s="130">
        <f t="shared" si="38"/>
        <v>0</v>
      </c>
      <c r="BG265" s="130">
        <f t="shared" si="39"/>
        <v>0</v>
      </c>
      <c r="BH265" s="130">
        <f t="shared" si="40"/>
        <v>0</v>
      </c>
      <c r="BI265" s="130">
        <f t="shared" si="41"/>
        <v>0</v>
      </c>
      <c r="BJ265" s="13" t="s">
        <v>63</v>
      </c>
      <c r="BK265" s="130">
        <f t="shared" si="42"/>
        <v>283.68</v>
      </c>
      <c r="BL265" s="13" t="s">
        <v>63</v>
      </c>
      <c r="BM265" s="129" t="s">
        <v>1661</v>
      </c>
    </row>
    <row r="266" spans="2:65" s="1" customFormat="1" ht="36" customHeight="1" x14ac:dyDescent="0.2">
      <c r="B266" s="118"/>
      <c r="C266" s="444" t="s">
        <v>692</v>
      </c>
      <c r="D266" s="131" t="s">
        <v>277</v>
      </c>
      <c r="E266" s="132" t="s">
        <v>1659</v>
      </c>
      <c r="F266" s="133" t="s">
        <v>1660</v>
      </c>
      <c r="G266" s="134" t="s">
        <v>1194</v>
      </c>
      <c r="H266" s="443">
        <v>36</v>
      </c>
      <c r="I266" s="136">
        <v>22.04</v>
      </c>
      <c r="J266" s="136">
        <f t="shared" si="33"/>
        <v>793.44</v>
      </c>
      <c r="K266" s="133" t="s">
        <v>1</v>
      </c>
      <c r="L266" s="137"/>
      <c r="M266" s="138" t="s">
        <v>1</v>
      </c>
      <c r="N266" s="139" t="s">
        <v>31</v>
      </c>
      <c r="O266" s="127">
        <v>0</v>
      </c>
      <c r="P266" s="127">
        <f t="shared" si="34"/>
        <v>0</v>
      </c>
      <c r="Q266" s="127">
        <v>0</v>
      </c>
      <c r="R266" s="127">
        <f t="shared" si="35"/>
        <v>0</v>
      </c>
      <c r="S266" s="127">
        <v>0</v>
      </c>
      <c r="T266" s="128">
        <f t="shared" si="36"/>
        <v>0</v>
      </c>
      <c r="W266" s="199"/>
      <c r="X266" s="444" t="s">
        <v>692</v>
      </c>
      <c r="Y266" s="131" t="s">
        <v>277</v>
      </c>
      <c r="Z266" s="132" t="s">
        <v>1659</v>
      </c>
      <c r="AA266" s="133" t="s">
        <v>1660</v>
      </c>
      <c r="AB266" s="134" t="s">
        <v>1194</v>
      </c>
      <c r="AC266" s="443">
        <v>36</v>
      </c>
      <c r="AD266" s="136">
        <v>22.04</v>
      </c>
      <c r="AE266" s="229">
        <f t="shared" si="26"/>
        <v>793.44</v>
      </c>
      <c r="AF266" s="227"/>
      <c r="AG266" s="374"/>
      <c r="AR266" s="129" t="s">
        <v>76</v>
      </c>
      <c r="AT266" s="129" t="s">
        <v>277</v>
      </c>
      <c r="AU266" s="129" t="s">
        <v>63</v>
      </c>
      <c r="AY266" s="13" t="s">
        <v>228</v>
      </c>
      <c r="BE266" s="130">
        <f t="shared" si="37"/>
        <v>793.44</v>
      </c>
      <c r="BF266" s="130">
        <f t="shared" si="38"/>
        <v>0</v>
      </c>
      <c r="BG266" s="130">
        <f t="shared" si="39"/>
        <v>0</v>
      </c>
      <c r="BH266" s="130">
        <f t="shared" si="40"/>
        <v>0</v>
      </c>
      <c r="BI266" s="130">
        <f t="shared" si="41"/>
        <v>0</v>
      </c>
      <c r="BJ266" s="13" t="s">
        <v>63</v>
      </c>
      <c r="BK266" s="130">
        <f t="shared" si="42"/>
        <v>793.44</v>
      </c>
      <c r="BL266" s="13" t="s">
        <v>63</v>
      </c>
      <c r="BM266" s="129" t="s">
        <v>1662</v>
      </c>
    </row>
    <row r="267" spans="2:65" s="1" customFormat="1" ht="24" customHeight="1" x14ac:dyDescent="0.2">
      <c r="B267" s="118"/>
      <c r="C267" s="205" t="s">
        <v>462</v>
      </c>
      <c r="D267" s="119" t="s">
        <v>231</v>
      </c>
      <c r="E267" s="120" t="s">
        <v>1663</v>
      </c>
      <c r="F267" s="121" t="s">
        <v>1664</v>
      </c>
      <c r="G267" s="122" t="s">
        <v>292</v>
      </c>
      <c r="H267" s="206">
        <v>22</v>
      </c>
      <c r="I267" s="124">
        <v>2.31</v>
      </c>
      <c r="J267" s="124">
        <f t="shared" si="33"/>
        <v>50.82</v>
      </c>
      <c r="K267" s="121" t="s">
        <v>1</v>
      </c>
      <c r="L267" s="24"/>
      <c r="M267" s="125" t="s">
        <v>1</v>
      </c>
      <c r="N267" s="126" t="s">
        <v>31</v>
      </c>
      <c r="O267" s="127">
        <v>0</v>
      </c>
      <c r="P267" s="127">
        <f t="shared" si="34"/>
        <v>0</v>
      </c>
      <c r="Q267" s="127">
        <v>0</v>
      </c>
      <c r="R267" s="127">
        <f t="shared" si="35"/>
        <v>0</v>
      </c>
      <c r="S267" s="127">
        <v>0</v>
      </c>
      <c r="T267" s="128">
        <f t="shared" si="36"/>
        <v>0</v>
      </c>
      <c r="W267" s="199"/>
      <c r="X267" s="205" t="s">
        <v>462</v>
      </c>
      <c r="Y267" s="119" t="s">
        <v>231</v>
      </c>
      <c r="Z267" s="120" t="s">
        <v>1663</v>
      </c>
      <c r="AA267" s="121" t="s">
        <v>1664</v>
      </c>
      <c r="AB267" s="122" t="s">
        <v>292</v>
      </c>
      <c r="AC267" s="206">
        <f>22+38</f>
        <v>60</v>
      </c>
      <c r="AD267" s="124">
        <v>2.31</v>
      </c>
      <c r="AE267" s="200">
        <f t="shared" si="26"/>
        <v>138.6</v>
      </c>
      <c r="AF267" s="227">
        <v>2</v>
      </c>
      <c r="AG267" s="374"/>
      <c r="AR267" s="129" t="s">
        <v>63</v>
      </c>
      <c r="AT267" s="129" t="s">
        <v>231</v>
      </c>
      <c r="AU267" s="129" t="s">
        <v>63</v>
      </c>
      <c r="AY267" s="13" t="s">
        <v>228</v>
      </c>
      <c r="BE267" s="130">
        <f t="shared" si="37"/>
        <v>50.82</v>
      </c>
      <c r="BF267" s="130">
        <f t="shared" si="38"/>
        <v>0</v>
      </c>
      <c r="BG267" s="130">
        <f t="shared" si="39"/>
        <v>0</v>
      </c>
      <c r="BH267" s="130">
        <f t="shared" si="40"/>
        <v>0</v>
      </c>
      <c r="BI267" s="130">
        <f t="shared" si="41"/>
        <v>0</v>
      </c>
      <c r="BJ267" s="13" t="s">
        <v>63</v>
      </c>
      <c r="BK267" s="130">
        <f t="shared" si="42"/>
        <v>50.82</v>
      </c>
      <c r="BL267" s="13" t="s">
        <v>63</v>
      </c>
      <c r="BM267" s="129" t="s">
        <v>1665</v>
      </c>
    </row>
    <row r="268" spans="2:65" s="1" customFormat="1" ht="24" customHeight="1" x14ac:dyDescent="0.2">
      <c r="B268" s="118"/>
      <c r="C268" s="242" t="s">
        <v>699</v>
      </c>
      <c r="D268" s="131" t="s">
        <v>277</v>
      </c>
      <c r="E268" s="132" t="s">
        <v>1666</v>
      </c>
      <c r="F268" s="133" t="s">
        <v>1667</v>
      </c>
      <c r="G268" s="134" t="s">
        <v>292</v>
      </c>
      <c r="H268" s="135">
        <v>22</v>
      </c>
      <c r="I268" s="136">
        <v>34.590000000000003</v>
      </c>
      <c r="J268" s="136">
        <f t="shared" si="33"/>
        <v>760.98</v>
      </c>
      <c r="K268" s="133" t="s">
        <v>1</v>
      </c>
      <c r="L268" s="137"/>
      <c r="M268" s="138" t="s">
        <v>1</v>
      </c>
      <c r="N268" s="139" t="s">
        <v>31</v>
      </c>
      <c r="O268" s="127">
        <v>0</v>
      </c>
      <c r="P268" s="127">
        <f t="shared" si="34"/>
        <v>0</v>
      </c>
      <c r="Q268" s="127">
        <v>2.8999999999999998E-3</v>
      </c>
      <c r="R268" s="127">
        <f t="shared" si="35"/>
        <v>6.3799999999999996E-2</v>
      </c>
      <c r="S268" s="127">
        <v>0</v>
      </c>
      <c r="T268" s="128">
        <f t="shared" si="36"/>
        <v>0</v>
      </c>
      <c r="W268" s="199"/>
      <c r="X268" s="242" t="s">
        <v>699</v>
      </c>
      <c r="Y268" s="131" t="s">
        <v>277</v>
      </c>
      <c r="Z268" s="132" t="s">
        <v>1666</v>
      </c>
      <c r="AA268" s="133" t="s">
        <v>1667</v>
      </c>
      <c r="AB268" s="134" t="s">
        <v>292</v>
      </c>
      <c r="AC268" s="241">
        <f>22+38</f>
        <v>60</v>
      </c>
      <c r="AD268" s="136">
        <v>34.590000000000003</v>
      </c>
      <c r="AE268" s="229">
        <f t="shared" si="26"/>
        <v>2075.4</v>
      </c>
      <c r="AF268" s="227">
        <v>2</v>
      </c>
      <c r="AG268" s="374"/>
      <c r="AR268" s="129" t="s">
        <v>76</v>
      </c>
      <c r="AT268" s="129" t="s">
        <v>277</v>
      </c>
      <c r="AU268" s="129" t="s">
        <v>63</v>
      </c>
      <c r="AY268" s="13" t="s">
        <v>228</v>
      </c>
      <c r="BE268" s="130">
        <f t="shared" si="37"/>
        <v>760.98</v>
      </c>
      <c r="BF268" s="130">
        <f t="shared" si="38"/>
        <v>0</v>
      </c>
      <c r="BG268" s="130">
        <f t="shared" si="39"/>
        <v>0</v>
      </c>
      <c r="BH268" s="130">
        <f t="shared" si="40"/>
        <v>0</v>
      </c>
      <c r="BI268" s="130">
        <f t="shared" si="41"/>
        <v>0</v>
      </c>
      <c r="BJ268" s="13" t="s">
        <v>63</v>
      </c>
      <c r="BK268" s="130">
        <f t="shared" si="42"/>
        <v>760.98</v>
      </c>
      <c r="BL268" s="13" t="s">
        <v>63</v>
      </c>
      <c r="BM268" s="129" t="s">
        <v>1668</v>
      </c>
    </row>
    <row r="269" spans="2:65" s="1" customFormat="1" ht="24" customHeight="1" x14ac:dyDescent="0.2">
      <c r="B269" s="118"/>
      <c r="C269" s="119" t="s">
        <v>465</v>
      </c>
      <c r="D269" s="119" t="s">
        <v>231</v>
      </c>
      <c r="E269" s="120" t="s">
        <v>1669</v>
      </c>
      <c r="F269" s="121" t="s">
        <v>1670</v>
      </c>
      <c r="G269" s="122" t="s">
        <v>292</v>
      </c>
      <c r="H269" s="123">
        <v>220</v>
      </c>
      <c r="I269" s="124">
        <v>8.7899999999999991</v>
      </c>
      <c r="J269" s="124">
        <f t="shared" si="33"/>
        <v>1933.8</v>
      </c>
      <c r="K269" s="121" t="s">
        <v>1</v>
      </c>
      <c r="L269" s="24"/>
      <c r="M269" s="125" t="s">
        <v>1</v>
      </c>
      <c r="N269" s="126" t="s">
        <v>31</v>
      </c>
      <c r="O269" s="127">
        <v>0</v>
      </c>
      <c r="P269" s="127">
        <f t="shared" si="34"/>
        <v>0</v>
      </c>
      <c r="Q269" s="127">
        <v>0</v>
      </c>
      <c r="R269" s="127">
        <f t="shared" si="35"/>
        <v>0</v>
      </c>
      <c r="S269" s="127">
        <v>0</v>
      </c>
      <c r="T269" s="128">
        <f t="shared" si="36"/>
        <v>0</v>
      </c>
      <c r="W269" s="199"/>
      <c r="X269" s="119" t="s">
        <v>465</v>
      </c>
      <c r="Y269" s="119" t="s">
        <v>231</v>
      </c>
      <c r="Z269" s="120" t="s">
        <v>1669</v>
      </c>
      <c r="AA269" s="121" t="s">
        <v>1670</v>
      </c>
      <c r="AB269" s="122" t="s">
        <v>292</v>
      </c>
      <c r="AC269" s="123">
        <v>220</v>
      </c>
      <c r="AD269" s="124">
        <v>8.7899999999999991</v>
      </c>
      <c r="AE269" s="200">
        <f t="shared" si="26"/>
        <v>1933.8</v>
      </c>
      <c r="AF269" s="227"/>
      <c r="AG269" s="374"/>
      <c r="AR269" s="129" t="s">
        <v>63</v>
      </c>
      <c r="AT269" s="129" t="s">
        <v>231</v>
      </c>
      <c r="AU269" s="129" t="s">
        <v>63</v>
      </c>
      <c r="AY269" s="13" t="s">
        <v>228</v>
      </c>
      <c r="BE269" s="130">
        <f t="shared" si="37"/>
        <v>1933.8</v>
      </c>
      <c r="BF269" s="130">
        <f t="shared" si="38"/>
        <v>0</v>
      </c>
      <c r="BG269" s="130">
        <f t="shared" si="39"/>
        <v>0</v>
      </c>
      <c r="BH269" s="130">
        <f t="shared" si="40"/>
        <v>0</v>
      </c>
      <c r="BI269" s="130">
        <f t="shared" si="41"/>
        <v>0</v>
      </c>
      <c r="BJ269" s="13" t="s">
        <v>63</v>
      </c>
      <c r="BK269" s="130">
        <f t="shared" si="42"/>
        <v>1933.8</v>
      </c>
      <c r="BL269" s="13" t="s">
        <v>63</v>
      </c>
      <c r="BM269" s="129" t="s">
        <v>1671</v>
      </c>
    </row>
    <row r="270" spans="2:65" s="1" customFormat="1" ht="24" customHeight="1" x14ac:dyDescent="0.2">
      <c r="B270" s="118"/>
      <c r="C270" s="131" t="s">
        <v>706</v>
      </c>
      <c r="D270" s="131" t="s">
        <v>277</v>
      </c>
      <c r="E270" s="132" t="s">
        <v>1597</v>
      </c>
      <c r="F270" s="133" t="s">
        <v>1672</v>
      </c>
      <c r="G270" s="134" t="s">
        <v>292</v>
      </c>
      <c r="H270" s="135">
        <v>220</v>
      </c>
      <c r="I270" s="136">
        <v>16.7</v>
      </c>
      <c r="J270" s="136">
        <f t="shared" ref="J270:J305" si="43">ROUND(I270*H270,2)</f>
        <v>3674</v>
      </c>
      <c r="K270" s="133" t="s">
        <v>1</v>
      </c>
      <c r="L270" s="137"/>
      <c r="M270" s="138" t="s">
        <v>1</v>
      </c>
      <c r="N270" s="139" t="s">
        <v>31</v>
      </c>
      <c r="O270" s="127">
        <v>0</v>
      </c>
      <c r="P270" s="127">
        <f t="shared" ref="P270:P305" si="44">O270*H270</f>
        <v>0</v>
      </c>
      <c r="Q270" s="127">
        <v>0</v>
      </c>
      <c r="R270" s="127">
        <f t="shared" ref="R270:R305" si="45">Q270*H270</f>
        <v>0</v>
      </c>
      <c r="S270" s="127">
        <v>0</v>
      </c>
      <c r="T270" s="128">
        <f t="shared" ref="T270:T305" si="46">S270*H270</f>
        <v>0</v>
      </c>
      <c r="W270" s="199"/>
      <c r="X270" s="131" t="s">
        <v>706</v>
      </c>
      <c r="Y270" s="131" t="s">
        <v>277</v>
      </c>
      <c r="Z270" s="132" t="s">
        <v>1597</v>
      </c>
      <c r="AA270" s="133" t="s">
        <v>1672</v>
      </c>
      <c r="AB270" s="134" t="s">
        <v>292</v>
      </c>
      <c r="AC270" s="135">
        <v>220</v>
      </c>
      <c r="AD270" s="136">
        <v>16.7</v>
      </c>
      <c r="AE270" s="229">
        <f t="shared" ref="AE270:AE313" si="47">ROUND(AD270*AC270,2)</f>
        <v>3674</v>
      </c>
      <c r="AF270" s="227"/>
      <c r="AG270" s="374"/>
      <c r="AR270" s="129" t="s">
        <v>76</v>
      </c>
      <c r="AT270" s="129" t="s">
        <v>277</v>
      </c>
      <c r="AU270" s="129" t="s">
        <v>63</v>
      </c>
      <c r="AY270" s="13" t="s">
        <v>228</v>
      </c>
      <c r="BE270" s="130">
        <f t="shared" ref="BE270:BE305" si="48">IF(N270="základná",J270,0)</f>
        <v>3674</v>
      </c>
      <c r="BF270" s="130">
        <f t="shared" ref="BF270:BF305" si="49">IF(N270="znížená",J270,0)</f>
        <v>0</v>
      </c>
      <c r="BG270" s="130">
        <f t="shared" ref="BG270:BG305" si="50">IF(N270="zákl. prenesená",J270,0)</f>
        <v>0</v>
      </c>
      <c r="BH270" s="130">
        <f t="shared" ref="BH270:BH305" si="51">IF(N270="zníž. prenesená",J270,0)</f>
        <v>0</v>
      </c>
      <c r="BI270" s="130">
        <f t="shared" ref="BI270:BI305" si="52">IF(N270="nulová",J270,0)</f>
        <v>0</v>
      </c>
      <c r="BJ270" s="13" t="s">
        <v>63</v>
      </c>
      <c r="BK270" s="130">
        <f t="shared" ref="BK270:BK305" si="53">ROUND(I270*H270,2)</f>
        <v>3674</v>
      </c>
      <c r="BL270" s="13" t="s">
        <v>63</v>
      </c>
      <c r="BM270" s="129" t="s">
        <v>1673</v>
      </c>
    </row>
    <row r="271" spans="2:65" s="1" customFormat="1" ht="16.5" customHeight="1" x14ac:dyDescent="0.2">
      <c r="B271" s="118"/>
      <c r="C271" s="119" t="s">
        <v>469</v>
      </c>
      <c r="D271" s="119" t="s">
        <v>231</v>
      </c>
      <c r="E271" s="120" t="s">
        <v>1674</v>
      </c>
      <c r="F271" s="121" t="s">
        <v>1675</v>
      </c>
      <c r="G271" s="122" t="s">
        <v>1194</v>
      </c>
      <c r="H271" s="123">
        <v>1</v>
      </c>
      <c r="I271" s="124">
        <v>93.46</v>
      </c>
      <c r="J271" s="124">
        <f t="shared" si="43"/>
        <v>93.46</v>
      </c>
      <c r="K271" s="121" t="s">
        <v>1</v>
      </c>
      <c r="L271" s="24"/>
      <c r="M271" s="125" t="s">
        <v>1</v>
      </c>
      <c r="N271" s="126" t="s">
        <v>31</v>
      </c>
      <c r="O271" s="127">
        <v>0</v>
      </c>
      <c r="P271" s="127">
        <f t="shared" si="44"/>
        <v>0</v>
      </c>
      <c r="Q271" s="127">
        <v>0</v>
      </c>
      <c r="R271" s="127">
        <f t="shared" si="45"/>
        <v>0</v>
      </c>
      <c r="S271" s="127">
        <v>0</v>
      </c>
      <c r="T271" s="128">
        <f t="shared" si="46"/>
        <v>0</v>
      </c>
      <c r="W271" s="199"/>
      <c r="X271" s="119" t="s">
        <v>469</v>
      </c>
      <c r="Y271" s="119" t="s">
        <v>231</v>
      </c>
      <c r="Z271" s="120" t="s">
        <v>1674</v>
      </c>
      <c r="AA271" s="121" t="s">
        <v>1675</v>
      </c>
      <c r="AB271" s="122" t="s">
        <v>1194</v>
      </c>
      <c r="AC271" s="123">
        <v>1</v>
      </c>
      <c r="AD271" s="124">
        <v>93.46</v>
      </c>
      <c r="AE271" s="200">
        <f t="shared" si="47"/>
        <v>93.46</v>
      </c>
      <c r="AF271" s="227"/>
      <c r="AG271" s="374"/>
      <c r="AR271" s="129" t="s">
        <v>63</v>
      </c>
      <c r="AT271" s="129" t="s">
        <v>231</v>
      </c>
      <c r="AU271" s="129" t="s">
        <v>63</v>
      </c>
      <c r="AY271" s="13" t="s">
        <v>228</v>
      </c>
      <c r="BE271" s="130">
        <f t="shared" si="48"/>
        <v>93.46</v>
      </c>
      <c r="BF271" s="130">
        <f t="shared" si="49"/>
        <v>0</v>
      </c>
      <c r="BG271" s="130">
        <f t="shared" si="50"/>
        <v>0</v>
      </c>
      <c r="BH271" s="130">
        <f t="shared" si="51"/>
        <v>0</v>
      </c>
      <c r="BI271" s="130">
        <f t="shared" si="52"/>
        <v>0</v>
      </c>
      <c r="BJ271" s="13" t="s">
        <v>63</v>
      </c>
      <c r="BK271" s="130">
        <f t="shared" si="53"/>
        <v>93.46</v>
      </c>
      <c r="BL271" s="13" t="s">
        <v>63</v>
      </c>
      <c r="BM271" s="129" t="s">
        <v>1676</v>
      </c>
    </row>
    <row r="272" spans="2:65" s="1" customFormat="1" ht="16.5" customHeight="1" x14ac:dyDescent="0.2">
      <c r="B272" s="118"/>
      <c r="C272" s="131" t="s">
        <v>713</v>
      </c>
      <c r="D272" s="131" t="s">
        <v>277</v>
      </c>
      <c r="E272" s="132" t="s">
        <v>1674</v>
      </c>
      <c r="F272" s="133" t="s">
        <v>1677</v>
      </c>
      <c r="G272" s="134" t="s">
        <v>1194</v>
      </c>
      <c r="H272" s="135">
        <v>1</v>
      </c>
      <c r="I272" s="136">
        <v>93.46</v>
      </c>
      <c r="J272" s="136">
        <f t="shared" si="43"/>
        <v>93.46</v>
      </c>
      <c r="K272" s="133" t="s">
        <v>1</v>
      </c>
      <c r="L272" s="137"/>
      <c r="M272" s="138" t="s">
        <v>1</v>
      </c>
      <c r="N272" s="139" t="s">
        <v>31</v>
      </c>
      <c r="O272" s="127">
        <v>0</v>
      </c>
      <c r="P272" s="127">
        <f t="shared" si="44"/>
        <v>0</v>
      </c>
      <c r="Q272" s="127">
        <v>0</v>
      </c>
      <c r="R272" s="127">
        <f t="shared" si="45"/>
        <v>0</v>
      </c>
      <c r="S272" s="127">
        <v>0</v>
      </c>
      <c r="T272" s="128">
        <f t="shared" si="46"/>
        <v>0</v>
      </c>
      <c r="W272" s="199"/>
      <c r="X272" s="131" t="s">
        <v>713</v>
      </c>
      <c r="Y272" s="131" t="s">
        <v>277</v>
      </c>
      <c r="Z272" s="132" t="s">
        <v>1674</v>
      </c>
      <c r="AA272" s="133" t="s">
        <v>1677</v>
      </c>
      <c r="AB272" s="134" t="s">
        <v>1194</v>
      </c>
      <c r="AC272" s="135">
        <v>1</v>
      </c>
      <c r="AD272" s="136">
        <v>93.46</v>
      </c>
      <c r="AE272" s="229">
        <f t="shared" si="47"/>
        <v>93.46</v>
      </c>
      <c r="AF272" s="227"/>
      <c r="AG272" s="374"/>
      <c r="AR272" s="129" t="s">
        <v>76</v>
      </c>
      <c r="AT272" s="129" t="s">
        <v>277</v>
      </c>
      <c r="AU272" s="129" t="s">
        <v>63</v>
      </c>
      <c r="AY272" s="13" t="s">
        <v>228</v>
      </c>
      <c r="BE272" s="130">
        <f t="shared" si="48"/>
        <v>93.46</v>
      </c>
      <c r="BF272" s="130">
        <f t="shared" si="49"/>
        <v>0</v>
      </c>
      <c r="BG272" s="130">
        <f t="shared" si="50"/>
        <v>0</v>
      </c>
      <c r="BH272" s="130">
        <f t="shared" si="51"/>
        <v>0</v>
      </c>
      <c r="BI272" s="130">
        <f t="shared" si="52"/>
        <v>0</v>
      </c>
      <c r="BJ272" s="13" t="s">
        <v>63</v>
      </c>
      <c r="BK272" s="130">
        <f t="shared" si="53"/>
        <v>93.46</v>
      </c>
      <c r="BL272" s="13" t="s">
        <v>63</v>
      </c>
      <c r="BM272" s="129" t="s">
        <v>1678</v>
      </c>
    </row>
    <row r="273" spans="2:65" s="1" customFormat="1" ht="16.5" customHeight="1" x14ac:dyDescent="0.2">
      <c r="B273" s="118"/>
      <c r="C273" s="205" t="s">
        <v>472</v>
      </c>
      <c r="D273" s="119" t="s">
        <v>231</v>
      </c>
      <c r="E273" s="120" t="s">
        <v>1679</v>
      </c>
      <c r="F273" s="121" t="s">
        <v>1680</v>
      </c>
      <c r="G273" s="122" t="s">
        <v>1194</v>
      </c>
      <c r="H273" s="206">
        <v>1</v>
      </c>
      <c r="I273" s="124">
        <v>200.27</v>
      </c>
      <c r="J273" s="124">
        <f t="shared" si="43"/>
        <v>200.27</v>
      </c>
      <c r="K273" s="121" t="s">
        <v>1</v>
      </c>
      <c r="L273" s="24"/>
      <c r="M273" s="125" t="s">
        <v>1</v>
      </c>
      <c r="N273" s="126" t="s">
        <v>31</v>
      </c>
      <c r="O273" s="127">
        <v>0</v>
      </c>
      <c r="P273" s="127">
        <f t="shared" si="44"/>
        <v>0</v>
      </c>
      <c r="Q273" s="127">
        <v>0</v>
      </c>
      <c r="R273" s="127">
        <f t="shared" si="45"/>
        <v>0</v>
      </c>
      <c r="S273" s="127">
        <v>0</v>
      </c>
      <c r="T273" s="128">
        <f t="shared" si="46"/>
        <v>0</v>
      </c>
      <c r="W273" s="199"/>
      <c r="X273" s="205" t="s">
        <v>472</v>
      </c>
      <c r="Y273" s="119" t="s">
        <v>231</v>
      </c>
      <c r="Z273" s="120" t="s">
        <v>1679</v>
      </c>
      <c r="AA273" s="121" t="s">
        <v>1680</v>
      </c>
      <c r="AB273" s="122" t="s">
        <v>1194</v>
      </c>
      <c r="AC273" s="206">
        <f>1+3</f>
        <v>4</v>
      </c>
      <c r="AD273" s="124">
        <v>200.27</v>
      </c>
      <c r="AE273" s="200">
        <f t="shared" si="47"/>
        <v>801.08</v>
      </c>
      <c r="AF273" s="227">
        <v>2</v>
      </c>
      <c r="AG273" s="374"/>
      <c r="AR273" s="129" t="s">
        <v>63</v>
      </c>
      <c r="AT273" s="129" t="s">
        <v>231</v>
      </c>
      <c r="AU273" s="129" t="s">
        <v>63</v>
      </c>
      <c r="AY273" s="13" t="s">
        <v>228</v>
      </c>
      <c r="BE273" s="130">
        <f t="shared" si="48"/>
        <v>200.27</v>
      </c>
      <c r="BF273" s="130">
        <f t="shared" si="49"/>
        <v>0</v>
      </c>
      <c r="BG273" s="130">
        <f t="shared" si="50"/>
        <v>0</v>
      </c>
      <c r="BH273" s="130">
        <f t="shared" si="51"/>
        <v>0</v>
      </c>
      <c r="BI273" s="130">
        <f t="shared" si="52"/>
        <v>0</v>
      </c>
      <c r="BJ273" s="13" t="s">
        <v>63</v>
      </c>
      <c r="BK273" s="130">
        <f t="shared" si="53"/>
        <v>200.27</v>
      </c>
      <c r="BL273" s="13" t="s">
        <v>63</v>
      </c>
      <c r="BM273" s="129" t="s">
        <v>1681</v>
      </c>
    </row>
    <row r="274" spans="2:65" s="1" customFormat="1" ht="16.5" customHeight="1" x14ac:dyDescent="0.2">
      <c r="B274" s="118"/>
      <c r="C274" s="242" t="s">
        <v>722</v>
      </c>
      <c r="D274" s="131" t="s">
        <v>277</v>
      </c>
      <c r="E274" s="132" t="s">
        <v>1679</v>
      </c>
      <c r="F274" s="133" t="s">
        <v>1682</v>
      </c>
      <c r="G274" s="134" t="s">
        <v>1194</v>
      </c>
      <c r="H274" s="241">
        <v>1</v>
      </c>
      <c r="I274" s="136">
        <v>1602.18</v>
      </c>
      <c r="J274" s="136">
        <f t="shared" si="43"/>
        <v>1602.18</v>
      </c>
      <c r="K274" s="133" t="s">
        <v>1</v>
      </c>
      <c r="L274" s="137"/>
      <c r="M274" s="138" t="s">
        <v>1</v>
      </c>
      <c r="N274" s="139" t="s">
        <v>31</v>
      </c>
      <c r="O274" s="127">
        <v>0</v>
      </c>
      <c r="P274" s="127">
        <f t="shared" si="44"/>
        <v>0</v>
      </c>
      <c r="Q274" s="127">
        <v>0</v>
      </c>
      <c r="R274" s="127">
        <f t="shared" si="45"/>
        <v>0</v>
      </c>
      <c r="S274" s="127">
        <v>0</v>
      </c>
      <c r="T274" s="128">
        <f t="shared" si="46"/>
        <v>0</v>
      </c>
      <c r="W274" s="199"/>
      <c r="X274" s="242" t="s">
        <v>722</v>
      </c>
      <c r="Y274" s="131" t="s">
        <v>277</v>
      </c>
      <c r="Z274" s="132" t="s">
        <v>1679</v>
      </c>
      <c r="AA274" s="133" t="s">
        <v>1682</v>
      </c>
      <c r="AB274" s="134" t="s">
        <v>1194</v>
      </c>
      <c r="AC274" s="241">
        <f>1+3</f>
        <v>4</v>
      </c>
      <c r="AD274" s="136">
        <v>1602.18</v>
      </c>
      <c r="AE274" s="229">
        <f t="shared" si="47"/>
        <v>6408.72</v>
      </c>
      <c r="AF274" s="227">
        <v>2</v>
      </c>
      <c r="AG274" s="374"/>
      <c r="AR274" s="129" t="s">
        <v>76</v>
      </c>
      <c r="AT274" s="129" t="s">
        <v>277</v>
      </c>
      <c r="AU274" s="129" t="s">
        <v>63</v>
      </c>
      <c r="AY274" s="13" t="s">
        <v>228</v>
      </c>
      <c r="BE274" s="130">
        <f t="shared" si="48"/>
        <v>1602.18</v>
      </c>
      <c r="BF274" s="130">
        <f t="shared" si="49"/>
        <v>0</v>
      </c>
      <c r="BG274" s="130">
        <f t="shared" si="50"/>
        <v>0</v>
      </c>
      <c r="BH274" s="130">
        <f t="shared" si="51"/>
        <v>0</v>
      </c>
      <c r="BI274" s="130">
        <f t="shared" si="52"/>
        <v>0</v>
      </c>
      <c r="BJ274" s="13" t="s">
        <v>63</v>
      </c>
      <c r="BK274" s="130">
        <f t="shared" si="53"/>
        <v>1602.18</v>
      </c>
      <c r="BL274" s="13" t="s">
        <v>63</v>
      </c>
      <c r="BM274" s="129" t="s">
        <v>1683</v>
      </c>
    </row>
    <row r="275" spans="2:65" s="1" customFormat="1" ht="16.5" customHeight="1" x14ac:dyDescent="0.2">
      <c r="B275" s="118"/>
      <c r="C275" s="285" t="s">
        <v>476</v>
      </c>
      <c r="D275" s="119" t="s">
        <v>231</v>
      </c>
      <c r="E275" s="120" t="s">
        <v>1684</v>
      </c>
      <c r="F275" s="121" t="s">
        <v>1685</v>
      </c>
      <c r="G275" s="122" t="s">
        <v>1194</v>
      </c>
      <c r="H275" s="288">
        <v>1</v>
      </c>
      <c r="I275" s="124">
        <v>467.3</v>
      </c>
      <c r="J275" s="124">
        <f t="shared" si="43"/>
        <v>467.3</v>
      </c>
      <c r="K275" s="121" t="s">
        <v>1</v>
      </c>
      <c r="L275" s="24"/>
      <c r="M275" s="125" t="s">
        <v>1</v>
      </c>
      <c r="N275" s="126" t="s">
        <v>31</v>
      </c>
      <c r="O275" s="127">
        <v>0</v>
      </c>
      <c r="P275" s="127">
        <f t="shared" si="44"/>
        <v>0</v>
      </c>
      <c r="Q275" s="127">
        <v>0</v>
      </c>
      <c r="R275" s="127">
        <f t="shared" si="45"/>
        <v>0</v>
      </c>
      <c r="S275" s="127">
        <v>0</v>
      </c>
      <c r="T275" s="128">
        <f t="shared" si="46"/>
        <v>0</v>
      </c>
      <c r="W275" s="199"/>
      <c r="X275" s="285" t="s">
        <v>476</v>
      </c>
      <c r="Y275" s="119" t="s">
        <v>231</v>
      </c>
      <c r="Z275" s="120" t="s">
        <v>1684</v>
      </c>
      <c r="AA275" s="121" t="s">
        <v>1685</v>
      </c>
      <c r="AB275" s="122" t="s">
        <v>1194</v>
      </c>
      <c r="AC275" s="288">
        <v>1</v>
      </c>
      <c r="AD275" s="124">
        <v>467.3</v>
      </c>
      <c r="AE275" s="200">
        <f t="shared" si="47"/>
        <v>467.3</v>
      </c>
      <c r="AF275" s="227"/>
      <c r="AG275" s="374"/>
      <c r="AR275" s="129" t="s">
        <v>63</v>
      </c>
      <c r="AT275" s="129" t="s">
        <v>231</v>
      </c>
      <c r="AU275" s="129" t="s">
        <v>63</v>
      </c>
      <c r="AY275" s="13" t="s">
        <v>228</v>
      </c>
      <c r="BE275" s="130">
        <f t="shared" si="48"/>
        <v>467.3</v>
      </c>
      <c r="BF275" s="130">
        <f t="shared" si="49"/>
        <v>0</v>
      </c>
      <c r="BG275" s="130">
        <f t="shared" si="50"/>
        <v>0</v>
      </c>
      <c r="BH275" s="130">
        <f t="shared" si="51"/>
        <v>0</v>
      </c>
      <c r="BI275" s="130">
        <f t="shared" si="52"/>
        <v>0</v>
      </c>
      <c r="BJ275" s="13" t="s">
        <v>63</v>
      </c>
      <c r="BK275" s="130">
        <f t="shared" si="53"/>
        <v>467.3</v>
      </c>
      <c r="BL275" s="13" t="s">
        <v>63</v>
      </c>
      <c r="BM275" s="129" t="s">
        <v>1686</v>
      </c>
    </row>
    <row r="276" spans="2:65" s="1" customFormat="1" ht="16.5" customHeight="1" x14ac:dyDescent="0.2">
      <c r="B276" s="118"/>
      <c r="C276" s="444" t="s">
        <v>729</v>
      </c>
      <c r="D276" s="131" t="s">
        <v>277</v>
      </c>
      <c r="E276" s="132" t="s">
        <v>1684</v>
      </c>
      <c r="F276" s="133" t="s">
        <v>1687</v>
      </c>
      <c r="G276" s="134" t="s">
        <v>1194</v>
      </c>
      <c r="H276" s="443">
        <v>1</v>
      </c>
      <c r="I276" s="136">
        <v>2803.82</v>
      </c>
      <c r="J276" s="136">
        <f t="shared" si="43"/>
        <v>2803.82</v>
      </c>
      <c r="K276" s="133" t="s">
        <v>1</v>
      </c>
      <c r="L276" s="137"/>
      <c r="M276" s="138" t="s">
        <v>1</v>
      </c>
      <c r="N276" s="139" t="s">
        <v>31</v>
      </c>
      <c r="O276" s="127">
        <v>0</v>
      </c>
      <c r="P276" s="127">
        <f t="shared" si="44"/>
        <v>0</v>
      </c>
      <c r="Q276" s="127">
        <v>0</v>
      </c>
      <c r="R276" s="127">
        <f t="shared" si="45"/>
        <v>0</v>
      </c>
      <c r="S276" s="127">
        <v>0</v>
      </c>
      <c r="T276" s="128">
        <f t="shared" si="46"/>
        <v>0</v>
      </c>
      <c r="W276" s="199"/>
      <c r="X276" s="444" t="s">
        <v>729</v>
      </c>
      <c r="Y276" s="131" t="s">
        <v>277</v>
      </c>
      <c r="Z276" s="132" t="s">
        <v>1684</v>
      </c>
      <c r="AA276" s="133" t="s">
        <v>1687</v>
      </c>
      <c r="AB276" s="134" t="s">
        <v>1194</v>
      </c>
      <c r="AC276" s="443">
        <v>1</v>
      </c>
      <c r="AD276" s="136">
        <v>2803.82</v>
      </c>
      <c r="AE276" s="229">
        <f t="shared" si="47"/>
        <v>2803.82</v>
      </c>
      <c r="AF276" s="227"/>
      <c r="AG276" s="374"/>
      <c r="AR276" s="129" t="s">
        <v>76</v>
      </c>
      <c r="AT276" s="129" t="s">
        <v>277</v>
      </c>
      <c r="AU276" s="129" t="s">
        <v>63</v>
      </c>
      <c r="AY276" s="13" t="s">
        <v>228</v>
      </c>
      <c r="BE276" s="130">
        <f t="shared" si="48"/>
        <v>2803.82</v>
      </c>
      <c r="BF276" s="130">
        <f t="shared" si="49"/>
        <v>0</v>
      </c>
      <c r="BG276" s="130">
        <f t="shared" si="50"/>
        <v>0</v>
      </c>
      <c r="BH276" s="130">
        <f t="shared" si="51"/>
        <v>0</v>
      </c>
      <c r="BI276" s="130">
        <f t="shared" si="52"/>
        <v>0</v>
      </c>
      <c r="BJ276" s="13" t="s">
        <v>63</v>
      </c>
      <c r="BK276" s="130">
        <f t="shared" si="53"/>
        <v>2803.82</v>
      </c>
      <c r="BL276" s="13" t="s">
        <v>63</v>
      </c>
      <c r="BM276" s="129" t="s">
        <v>1688</v>
      </c>
    </row>
    <row r="277" spans="2:65" s="1" customFormat="1" ht="16.5" customHeight="1" x14ac:dyDescent="0.2">
      <c r="B277" s="118"/>
      <c r="C277" s="285" t="s">
        <v>479</v>
      </c>
      <c r="D277" s="285" t="s">
        <v>231</v>
      </c>
      <c r="E277" s="286" t="s">
        <v>1689</v>
      </c>
      <c r="F277" s="240" t="s">
        <v>1690</v>
      </c>
      <c r="G277" s="287" t="s">
        <v>1194</v>
      </c>
      <c r="H277" s="288">
        <v>4</v>
      </c>
      <c r="I277" s="289">
        <v>46.73</v>
      </c>
      <c r="J277" s="289">
        <f t="shared" si="43"/>
        <v>186.92</v>
      </c>
      <c r="K277" s="240" t="s">
        <v>1</v>
      </c>
      <c r="L277" s="447"/>
      <c r="M277" s="448" t="s">
        <v>1</v>
      </c>
      <c r="N277" s="449" t="s">
        <v>31</v>
      </c>
      <c r="O277" s="450">
        <v>0</v>
      </c>
      <c r="P277" s="450">
        <f t="shared" si="44"/>
        <v>0</v>
      </c>
      <c r="Q277" s="450">
        <v>0</v>
      </c>
      <c r="R277" s="450">
        <f t="shared" si="45"/>
        <v>0</v>
      </c>
      <c r="S277" s="450">
        <v>0</v>
      </c>
      <c r="T277" s="451">
        <f t="shared" si="46"/>
        <v>0</v>
      </c>
      <c r="U277" s="407"/>
      <c r="V277" s="407"/>
      <c r="W277" s="452"/>
      <c r="X277" s="285" t="s">
        <v>479</v>
      </c>
      <c r="Y277" s="285" t="s">
        <v>231</v>
      </c>
      <c r="Z277" s="286" t="s">
        <v>1689</v>
      </c>
      <c r="AA277" s="240" t="s">
        <v>1690</v>
      </c>
      <c r="AB277" s="287" t="s">
        <v>1194</v>
      </c>
      <c r="AC277" s="288">
        <v>4</v>
      </c>
      <c r="AD277" s="289">
        <v>46.73</v>
      </c>
      <c r="AE277" s="200">
        <f t="shared" si="47"/>
        <v>186.92</v>
      </c>
      <c r="AF277" s="227"/>
      <c r="AG277" s="374"/>
      <c r="AR277" s="129" t="s">
        <v>63</v>
      </c>
      <c r="AT277" s="129" t="s">
        <v>231</v>
      </c>
      <c r="AU277" s="129" t="s">
        <v>63</v>
      </c>
      <c r="AY277" s="13" t="s">
        <v>228</v>
      </c>
      <c r="BE277" s="130">
        <f t="shared" si="48"/>
        <v>186.92</v>
      </c>
      <c r="BF277" s="130">
        <f t="shared" si="49"/>
        <v>0</v>
      </c>
      <c r="BG277" s="130">
        <f t="shared" si="50"/>
        <v>0</v>
      </c>
      <c r="BH277" s="130">
        <f t="shared" si="51"/>
        <v>0</v>
      </c>
      <c r="BI277" s="130">
        <f t="shared" si="52"/>
        <v>0</v>
      </c>
      <c r="BJ277" s="13" t="s">
        <v>63</v>
      </c>
      <c r="BK277" s="130">
        <f t="shared" si="53"/>
        <v>186.92</v>
      </c>
      <c r="BL277" s="13" t="s">
        <v>63</v>
      </c>
      <c r="BM277" s="129" t="s">
        <v>1691</v>
      </c>
    </row>
    <row r="278" spans="2:65" s="1" customFormat="1" ht="16.5" customHeight="1" x14ac:dyDescent="0.2">
      <c r="B278" s="118"/>
      <c r="C278" s="444" t="s">
        <v>736</v>
      </c>
      <c r="D278" s="444" t="s">
        <v>277</v>
      </c>
      <c r="E278" s="453" t="s">
        <v>1689</v>
      </c>
      <c r="F278" s="454" t="s">
        <v>1690</v>
      </c>
      <c r="G278" s="455" t="s">
        <v>1194</v>
      </c>
      <c r="H278" s="443">
        <v>4</v>
      </c>
      <c r="I278" s="456">
        <v>747.68</v>
      </c>
      <c r="J278" s="456">
        <f t="shared" si="43"/>
        <v>2990.72</v>
      </c>
      <c r="K278" s="454" t="s">
        <v>1</v>
      </c>
      <c r="L278" s="457"/>
      <c r="M278" s="458" t="s">
        <v>1</v>
      </c>
      <c r="N278" s="459" t="s">
        <v>31</v>
      </c>
      <c r="O278" s="450">
        <v>0</v>
      </c>
      <c r="P278" s="450">
        <f t="shared" si="44"/>
        <v>0</v>
      </c>
      <c r="Q278" s="450">
        <v>0</v>
      </c>
      <c r="R278" s="450">
        <f t="shared" si="45"/>
        <v>0</v>
      </c>
      <c r="S278" s="450">
        <v>0</v>
      </c>
      <c r="T278" s="451">
        <f t="shared" si="46"/>
        <v>0</v>
      </c>
      <c r="U278" s="407"/>
      <c r="V278" s="407"/>
      <c r="W278" s="452"/>
      <c r="X278" s="444" t="s">
        <v>736</v>
      </c>
      <c r="Y278" s="444" t="s">
        <v>277</v>
      </c>
      <c r="Z278" s="453" t="s">
        <v>1689</v>
      </c>
      <c r="AA278" s="454" t="s">
        <v>1690</v>
      </c>
      <c r="AB278" s="455" t="s">
        <v>1194</v>
      </c>
      <c r="AC278" s="443">
        <v>4</v>
      </c>
      <c r="AD278" s="456">
        <v>747.68</v>
      </c>
      <c r="AE278" s="229">
        <f t="shared" si="47"/>
        <v>2990.72</v>
      </c>
      <c r="AF278" s="227"/>
      <c r="AG278" s="374"/>
      <c r="AR278" s="129" t="s">
        <v>76</v>
      </c>
      <c r="AT278" s="129" t="s">
        <v>277</v>
      </c>
      <c r="AU278" s="129" t="s">
        <v>63</v>
      </c>
      <c r="AY278" s="13" t="s">
        <v>228</v>
      </c>
      <c r="BE278" s="130">
        <f t="shared" si="48"/>
        <v>2990.72</v>
      </c>
      <c r="BF278" s="130">
        <f t="shared" si="49"/>
        <v>0</v>
      </c>
      <c r="BG278" s="130">
        <f t="shared" si="50"/>
        <v>0</v>
      </c>
      <c r="BH278" s="130">
        <f t="shared" si="51"/>
        <v>0</v>
      </c>
      <c r="BI278" s="130">
        <f t="shared" si="52"/>
        <v>0</v>
      </c>
      <c r="BJ278" s="13" t="s">
        <v>63</v>
      </c>
      <c r="BK278" s="130">
        <f t="shared" si="53"/>
        <v>2990.72</v>
      </c>
      <c r="BL278" s="13" t="s">
        <v>63</v>
      </c>
      <c r="BM278" s="129" t="s">
        <v>1692</v>
      </c>
    </row>
    <row r="279" spans="2:65" s="1" customFormat="1" ht="16.5" customHeight="1" x14ac:dyDescent="0.2">
      <c r="B279" s="118"/>
      <c r="C279" s="205" t="s">
        <v>483</v>
      </c>
      <c r="D279" s="119" t="s">
        <v>231</v>
      </c>
      <c r="E279" s="120" t="s">
        <v>1693</v>
      </c>
      <c r="F279" s="121" t="s">
        <v>1694</v>
      </c>
      <c r="G279" s="122" t="s">
        <v>1194</v>
      </c>
      <c r="H279" s="206">
        <v>1</v>
      </c>
      <c r="I279" s="124">
        <v>53.41</v>
      </c>
      <c r="J279" s="124">
        <f t="shared" si="43"/>
        <v>53.41</v>
      </c>
      <c r="K279" s="121" t="s">
        <v>1</v>
      </c>
      <c r="L279" s="24"/>
      <c r="M279" s="125" t="s">
        <v>1</v>
      </c>
      <c r="N279" s="126" t="s">
        <v>31</v>
      </c>
      <c r="O279" s="127">
        <v>0</v>
      </c>
      <c r="P279" s="127">
        <f t="shared" si="44"/>
        <v>0</v>
      </c>
      <c r="Q279" s="127">
        <v>0</v>
      </c>
      <c r="R279" s="127">
        <f t="shared" si="45"/>
        <v>0</v>
      </c>
      <c r="S279" s="127">
        <v>0</v>
      </c>
      <c r="T279" s="128">
        <f t="shared" si="46"/>
        <v>0</v>
      </c>
      <c r="W279" s="199"/>
      <c r="X279" s="205" t="s">
        <v>483</v>
      </c>
      <c r="Y279" s="119" t="s">
        <v>231</v>
      </c>
      <c r="Z279" s="120" t="s">
        <v>1693</v>
      </c>
      <c r="AA279" s="121" t="s">
        <v>1694</v>
      </c>
      <c r="AB279" s="122" t="s">
        <v>1194</v>
      </c>
      <c r="AC279" s="206">
        <f>1+1</f>
        <v>2</v>
      </c>
      <c r="AD279" s="124">
        <v>53.41</v>
      </c>
      <c r="AE279" s="200">
        <f t="shared" si="47"/>
        <v>106.82</v>
      </c>
      <c r="AF279" s="227">
        <v>2</v>
      </c>
      <c r="AG279" s="374"/>
      <c r="AR279" s="129" t="s">
        <v>63</v>
      </c>
      <c r="AT279" s="129" t="s">
        <v>231</v>
      </c>
      <c r="AU279" s="129" t="s">
        <v>63</v>
      </c>
      <c r="AY279" s="13" t="s">
        <v>228</v>
      </c>
      <c r="BE279" s="130">
        <f t="shared" si="48"/>
        <v>53.41</v>
      </c>
      <c r="BF279" s="130">
        <f t="shared" si="49"/>
        <v>0</v>
      </c>
      <c r="BG279" s="130">
        <f t="shared" si="50"/>
        <v>0</v>
      </c>
      <c r="BH279" s="130">
        <f t="shared" si="51"/>
        <v>0</v>
      </c>
      <c r="BI279" s="130">
        <f t="shared" si="52"/>
        <v>0</v>
      </c>
      <c r="BJ279" s="13" t="s">
        <v>63</v>
      </c>
      <c r="BK279" s="130">
        <f t="shared" si="53"/>
        <v>53.41</v>
      </c>
      <c r="BL279" s="13" t="s">
        <v>63</v>
      </c>
      <c r="BM279" s="129" t="s">
        <v>1695</v>
      </c>
    </row>
    <row r="280" spans="2:65" s="1" customFormat="1" ht="16.5" customHeight="1" x14ac:dyDescent="0.2">
      <c r="B280" s="118"/>
      <c r="C280" s="242" t="s">
        <v>743</v>
      </c>
      <c r="D280" s="131" t="s">
        <v>277</v>
      </c>
      <c r="E280" s="132" t="s">
        <v>1693</v>
      </c>
      <c r="F280" s="133" t="s">
        <v>1694</v>
      </c>
      <c r="G280" s="134" t="s">
        <v>1194</v>
      </c>
      <c r="H280" s="241">
        <v>1</v>
      </c>
      <c r="I280" s="136">
        <v>961.31</v>
      </c>
      <c r="J280" s="136">
        <f t="shared" si="43"/>
        <v>961.31</v>
      </c>
      <c r="K280" s="133" t="s">
        <v>1</v>
      </c>
      <c r="L280" s="137"/>
      <c r="M280" s="138" t="s">
        <v>1</v>
      </c>
      <c r="N280" s="139" t="s">
        <v>31</v>
      </c>
      <c r="O280" s="127">
        <v>0</v>
      </c>
      <c r="P280" s="127">
        <f t="shared" si="44"/>
        <v>0</v>
      </c>
      <c r="Q280" s="127">
        <v>0</v>
      </c>
      <c r="R280" s="127">
        <f t="shared" si="45"/>
        <v>0</v>
      </c>
      <c r="S280" s="127">
        <v>0</v>
      </c>
      <c r="T280" s="128">
        <f t="shared" si="46"/>
        <v>0</v>
      </c>
      <c r="W280" s="199"/>
      <c r="X280" s="242" t="s">
        <v>743</v>
      </c>
      <c r="Y280" s="131" t="s">
        <v>277</v>
      </c>
      <c r="Z280" s="132" t="s">
        <v>1693</v>
      </c>
      <c r="AA280" s="133" t="s">
        <v>1694</v>
      </c>
      <c r="AB280" s="134" t="s">
        <v>1194</v>
      </c>
      <c r="AC280" s="241">
        <f>1+1</f>
        <v>2</v>
      </c>
      <c r="AD280" s="136">
        <v>961.31</v>
      </c>
      <c r="AE280" s="229">
        <f t="shared" si="47"/>
        <v>1922.62</v>
      </c>
      <c r="AF280" s="227">
        <v>2</v>
      </c>
      <c r="AG280" s="374"/>
      <c r="AR280" s="129" t="s">
        <v>76</v>
      </c>
      <c r="AT280" s="129" t="s">
        <v>277</v>
      </c>
      <c r="AU280" s="129" t="s">
        <v>63</v>
      </c>
      <c r="AY280" s="13" t="s">
        <v>228</v>
      </c>
      <c r="BE280" s="130">
        <f t="shared" si="48"/>
        <v>961.31</v>
      </c>
      <c r="BF280" s="130">
        <f t="shared" si="49"/>
        <v>0</v>
      </c>
      <c r="BG280" s="130">
        <f t="shared" si="50"/>
        <v>0</v>
      </c>
      <c r="BH280" s="130">
        <f t="shared" si="51"/>
        <v>0</v>
      </c>
      <c r="BI280" s="130">
        <f t="shared" si="52"/>
        <v>0</v>
      </c>
      <c r="BJ280" s="13" t="s">
        <v>63</v>
      </c>
      <c r="BK280" s="130">
        <f t="shared" si="53"/>
        <v>961.31</v>
      </c>
      <c r="BL280" s="13" t="s">
        <v>63</v>
      </c>
      <c r="BM280" s="129" t="s">
        <v>1696</v>
      </c>
    </row>
    <row r="281" spans="2:65" s="1" customFormat="1" ht="16.5" customHeight="1" x14ac:dyDescent="0.2">
      <c r="B281" s="118"/>
      <c r="C281" s="205" t="s">
        <v>486</v>
      </c>
      <c r="D281" s="119" t="s">
        <v>231</v>
      </c>
      <c r="E281" s="120" t="s">
        <v>1697</v>
      </c>
      <c r="F281" s="121" t="s">
        <v>1698</v>
      </c>
      <c r="G281" s="122" t="s">
        <v>1194</v>
      </c>
      <c r="H281" s="206">
        <v>1</v>
      </c>
      <c r="I281" s="124">
        <v>53.41</v>
      </c>
      <c r="J281" s="124">
        <f t="shared" si="43"/>
        <v>53.41</v>
      </c>
      <c r="K281" s="121" t="s">
        <v>1</v>
      </c>
      <c r="L281" s="24"/>
      <c r="M281" s="125" t="s">
        <v>1</v>
      </c>
      <c r="N281" s="126" t="s">
        <v>31</v>
      </c>
      <c r="O281" s="127">
        <v>0</v>
      </c>
      <c r="P281" s="127">
        <f t="shared" si="44"/>
        <v>0</v>
      </c>
      <c r="Q281" s="127">
        <v>0</v>
      </c>
      <c r="R281" s="127">
        <f t="shared" si="45"/>
        <v>0</v>
      </c>
      <c r="S281" s="127">
        <v>0</v>
      </c>
      <c r="T281" s="128">
        <f t="shared" si="46"/>
        <v>0</v>
      </c>
      <c r="W281" s="199"/>
      <c r="X281" s="205" t="s">
        <v>486</v>
      </c>
      <c r="Y281" s="119" t="s">
        <v>231</v>
      </c>
      <c r="Z281" s="120" t="s">
        <v>1697</v>
      </c>
      <c r="AA281" s="121" t="s">
        <v>1698</v>
      </c>
      <c r="AB281" s="122" t="s">
        <v>1194</v>
      </c>
      <c r="AC281" s="206">
        <f>1+1</f>
        <v>2</v>
      </c>
      <c r="AD281" s="124">
        <v>53.41</v>
      </c>
      <c r="AE281" s="200">
        <f t="shared" si="47"/>
        <v>106.82</v>
      </c>
      <c r="AF281" s="227">
        <v>2</v>
      </c>
      <c r="AG281" s="374"/>
      <c r="AR281" s="129" t="s">
        <v>63</v>
      </c>
      <c r="AT281" s="129" t="s">
        <v>231</v>
      </c>
      <c r="AU281" s="129" t="s">
        <v>63</v>
      </c>
      <c r="AY281" s="13" t="s">
        <v>228</v>
      </c>
      <c r="BE281" s="130">
        <f t="shared" si="48"/>
        <v>53.41</v>
      </c>
      <c r="BF281" s="130">
        <f t="shared" si="49"/>
        <v>0</v>
      </c>
      <c r="BG281" s="130">
        <f t="shared" si="50"/>
        <v>0</v>
      </c>
      <c r="BH281" s="130">
        <f t="shared" si="51"/>
        <v>0</v>
      </c>
      <c r="BI281" s="130">
        <f t="shared" si="52"/>
        <v>0</v>
      </c>
      <c r="BJ281" s="13" t="s">
        <v>63</v>
      </c>
      <c r="BK281" s="130">
        <f t="shared" si="53"/>
        <v>53.41</v>
      </c>
      <c r="BL281" s="13" t="s">
        <v>63</v>
      </c>
      <c r="BM281" s="129" t="s">
        <v>1699</v>
      </c>
    </row>
    <row r="282" spans="2:65" s="1" customFormat="1" ht="16.5" customHeight="1" x14ac:dyDescent="0.2">
      <c r="B282" s="118"/>
      <c r="C282" s="242" t="s">
        <v>750</v>
      </c>
      <c r="D282" s="131" t="s">
        <v>277</v>
      </c>
      <c r="E282" s="132" t="s">
        <v>1697</v>
      </c>
      <c r="F282" s="133" t="s">
        <v>1698</v>
      </c>
      <c r="G282" s="134" t="s">
        <v>1194</v>
      </c>
      <c r="H282" s="241">
        <v>1</v>
      </c>
      <c r="I282" s="136">
        <v>867.85</v>
      </c>
      <c r="J282" s="136">
        <f t="shared" si="43"/>
        <v>867.85</v>
      </c>
      <c r="K282" s="133" t="s">
        <v>1</v>
      </c>
      <c r="L282" s="137"/>
      <c r="M282" s="138" t="s">
        <v>1</v>
      </c>
      <c r="N282" s="139" t="s">
        <v>31</v>
      </c>
      <c r="O282" s="127">
        <v>0</v>
      </c>
      <c r="P282" s="127">
        <f t="shared" si="44"/>
        <v>0</v>
      </c>
      <c r="Q282" s="127">
        <v>0</v>
      </c>
      <c r="R282" s="127">
        <f t="shared" si="45"/>
        <v>0</v>
      </c>
      <c r="S282" s="127">
        <v>0</v>
      </c>
      <c r="T282" s="128">
        <f t="shared" si="46"/>
        <v>0</v>
      </c>
      <c r="W282" s="199"/>
      <c r="X282" s="242" t="s">
        <v>750</v>
      </c>
      <c r="Y282" s="131" t="s">
        <v>277</v>
      </c>
      <c r="Z282" s="132" t="s">
        <v>1697</v>
      </c>
      <c r="AA282" s="133" t="s">
        <v>1698</v>
      </c>
      <c r="AB282" s="134" t="s">
        <v>1194</v>
      </c>
      <c r="AC282" s="241">
        <f>1+1</f>
        <v>2</v>
      </c>
      <c r="AD282" s="136">
        <v>867.85</v>
      </c>
      <c r="AE282" s="229">
        <f t="shared" si="47"/>
        <v>1735.7</v>
      </c>
      <c r="AF282" s="227">
        <v>2</v>
      </c>
      <c r="AG282" s="374"/>
      <c r="AR282" s="129" t="s">
        <v>76</v>
      </c>
      <c r="AT282" s="129" t="s">
        <v>277</v>
      </c>
      <c r="AU282" s="129" t="s">
        <v>63</v>
      </c>
      <c r="AY282" s="13" t="s">
        <v>228</v>
      </c>
      <c r="BE282" s="130">
        <f t="shared" si="48"/>
        <v>867.85</v>
      </c>
      <c r="BF282" s="130">
        <f t="shared" si="49"/>
        <v>0</v>
      </c>
      <c r="BG282" s="130">
        <f t="shared" si="50"/>
        <v>0</v>
      </c>
      <c r="BH282" s="130">
        <f t="shared" si="51"/>
        <v>0</v>
      </c>
      <c r="BI282" s="130">
        <f t="shared" si="52"/>
        <v>0</v>
      </c>
      <c r="BJ282" s="13" t="s">
        <v>63</v>
      </c>
      <c r="BK282" s="130">
        <f t="shared" si="53"/>
        <v>867.85</v>
      </c>
      <c r="BL282" s="13" t="s">
        <v>63</v>
      </c>
      <c r="BM282" s="129" t="s">
        <v>1700</v>
      </c>
    </row>
    <row r="283" spans="2:65" s="1" customFormat="1" ht="16.5" customHeight="1" x14ac:dyDescent="0.2">
      <c r="B283" s="118"/>
      <c r="C283" s="205" t="s">
        <v>490</v>
      </c>
      <c r="D283" s="119" t="s">
        <v>231</v>
      </c>
      <c r="E283" s="120" t="s">
        <v>1701</v>
      </c>
      <c r="F283" s="121" t="s">
        <v>1702</v>
      </c>
      <c r="G283" s="122" t="s">
        <v>1194</v>
      </c>
      <c r="H283" s="206">
        <v>2</v>
      </c>
      <c r="I283" s="124">
        <v>440.6</v>
      </c>
      <c r="J283" s="124">
        <f t="shared" si="43"/>
        <v>881.2</v>
      </c>
      <c r="K283" s="121" t="s">
        <v>1</v>
      </c>
      <c r="L283" s="24"/>
      <c r="M283" s="125" t="s">
        <v>1</v>
      </c>
      <c r="N283" s="126" t="s">
        <v>31</v>
      </c>
      <c r="O283" s="127">
        <v>0</v>
      </c>
      <c r="P283" s="127">
        <f t="shared" si="44"/>
        <v>0</v>
      </c>
      <c r="Q283" s="127">
        <v>0</v>
      </c>
      <c r="R283" s="127">
        <f t="shared" si="45"/>
        <v>0</v>
      </c>
      <c r="S283" s="127">
        <v>0</v>
      </c>
      <c r="T283" s="128">
        <f t="shared" si="46"/>
        <v>0</v>
      </c>
      <c r="W283" s="199"/>
      <c r="X283" s="205" t="s">
        <v>490</v>
      </c>
      <c r="Y283" s="119" t="s">
        <v>231</v>
      </c>
      <c r="Z283" s="120" t="s">
        <v>1701</v>
      </c>
      <c r="AA283" s="121" t="s">
        <v>1702</v>
      </c>
      <c r="AB283" s="122" t="s">
        <v>1194</v>
      </c>
      <c r="AC283" s="206">
        <f>2+2</f>
        <v>4</v>
      </c>
      <c r="AD283" s="124">
        <v>440.6</v>
      </c>
      <c r="AE283" s="200">
        <f t="shared" si="47"/>
        <v>1762.4</v>
      </c>
      <c r="AF283" s="227">
        <v>2</v>
      </c>
      <c r="AG283" s="374"/>
      <c r="AR283" s="129" t="s">
        <v>63</v>
      </c>
      <c r="AT283" s="129" t="s">
        <v>231</v>
      </c>
      <c r="AU283" s="129" t="s">
        <v>63</v>
      </c>
      <c r="AY283" s="13" t="s">
        <v>228</v>
      </c>
      <c r="BE283" s="130">
        <f t="shared" si="48"/>
        <v>881.2</v>
      </c>
      <c r="BF283" s="130">
        <f t="shared" si="49"/>
        <v>0</v>
      </c>
      <c r="BG283" s="130">
        <f t="shared" si="50"/>
        <v>0</v>
      </c>
      <c r="BH283" s="130">
        <f t="shared" si="51"/>
        <v>0</v>
      </c>
      <c r="BI283" s="130">
        <f t="shared" si="52"/>
        <v>0</v>
      </c>
      <c r="BJ283" s="13" t="s">
        <v>63</v>
      </c>
      <c r="BK283" s="130">
        <f t="shared" si="53"/>
        <v>881.2</v>
      </c>
      <c r="BL283" s="13" t="s">
        <v>63</v>
      </c>
      <c r="BM283" s="129" t="s">
        <v>1703</v>
      </c>
    </row>
    <row r="284" spans="2:65" s="1" customFormat="1" ht="24" customHeight="1" x14ac:dyDescent="0.2">
      <c r="B284" s="118"/>
      <c r="C284" s="119" t="s">
        <v>757</v>
      </c>
      <c r="D284" s="119" t="s">
        <v>231</v>
      </c>
      <c r="E284" s="120" t="s">
        <v>1704</v>
      </c>
      <c r="F284" s="121" t="s">
        <v>1705</v>
      </c>
      <c r="G284" s="122" t="s">
        <v>1194</v>
      </c>
      <c r="H284" s="123">
        <v>19</v>
      </c>
      <c r="I284" s="124">
        <v>33.380000000000003</v>
      </c>
      <c r="J284" s="124">
        <f t="shared" si="43"/>
        <v>634.22</v>
      </c>
      <c r="K284" s="121" t="s">
        <v>1</v>
      </c>
      <c r="L284" s="24"/>
      <c r="M284" s="125" t="s">
        <v>1</v>
      </c>
      <c r="N284" s="126" t="s">
        <v>31</v>
      </c>
      <c r="O284" s="127">
        <v>0</v>
      </c>
      <c r="P284" s="127">
        <f t="shared" si="44"/>
        <v>0</v>
      </c>
      <c r="Q284" s="127">
        <v>0</v>
      </c>
      <c r="R284" s="127">
        <f t="shared" si="45"/>
        <v>0</v>
      </c>
      <c r="S284" s="127">
        <v>0</v>
      </c>
      <c r="T284" s="128">
        <f t="shared" si="46"/>
        <v>0</v>
      </c>
      <c r="W284" s="199"/>
      <c r="X284" s="119" t="s">
        <v>757</v>
      </c>
      <c r="Y284" s="119" t="s">
        <v>231</v>
      </c>
      <c r="Z284" s="120" t="s">
        <v>1704</v>
      </c>
      <c r="AA284" s="121" t="s">
        <v>1705</v>
      </c>
      <c r="AB284" s="122" t="s">
        <v>1194</v>
      </c>
      <c r="AC284" s="123">
        <v>19</v>
      </c>
      <c r="AD284" s="124">
        <v>33.380000000000003</v>
      </c>
      <c r="AE284" s="200">
        <f t="shared" si="47"/>
        <v>634.22</v>
      </c>
      <c r="AF284" s="227"/>
      <c r="AG284" s="374"/>
      <c r="AR284" s="129" t="s">
        <v>63</v>
      </c>
      <c r="AT284" s="129" t="s">
        <v>231</v>
      </c>
      <c r="AU284" s="129" t="s">
        <v>63</v>
      </c>
      <c r="AY284" s="13" t="s">
        <v>228</v>
      </c>
      <c r="BE284" s="130">
        <f t="shared" si="48"/>
        <v>634.22</v>
      </c>
      <c r="BF284" s="130">
        <f t="shared" si="49"/>
        <v>0</v>
      </c>
      <c r="BG284" s="130">
        <f t="shared" si="50"/>
        <v>0</v>
      </c>
      <c r="BH284" s="130">
        <f t="shared" si="51"/>
        <v>0</v>
      </c>
      <c r="BI284" s="130">
        <f t="shared" si="52"/>
        <v>0</v>
      </c>
      <c r="BJ284" s="13" t="s">
        <v>63</v>
      </c>
      <c r="BK284" s="130">
        <f t="shared" si="53"/>
        <v>634.22</v>
      </c>
      <c r="BL284" s="13" t="s">
        <v>63</v>
      </c>
      <c r="BM284" s="129" t="s">
        <v>1706</v>
      </c>
    </row>
    <row r="285" spans="2:65" s="1" customFormat="1" ht="24" customHeight="1" x14ac:dyDescent="0.2">
      <c r="B285" s="118"/>
      <c r="C285" s="131" t="s">
        <v>493</v>
      </c>
      <c r="D285" s="131" t="s">
        <v>277</v>
      </c>
      <c r="E285" s="132" t="s">
        <v>1701</v>
      </c>
      <c r="F285" s="133" t="s">
        <v>1705</v>
      </c>
      <c r="G285" s="134" t="s">
        <v>1194</v>
      </c>
      <c r="H285" s="135">
        <v>19</v>
      </c>
      <c r="I285" s="136">
        <v>373.84</v>
      </c>
      <c r="J285" s="136">
        <f t="shared" si="43"/>
        <v>7102.96</v>
      </c>
      <c r="K285" s="133" t="s">
        <v>1</v>
      </c>
      <c r="L285" s="137"/>
      <c r="M285" s="138" t="s">
        <v>1</v>
      </c>
      <c r="N285" s="139" t="s">
        <v>31</v>
      </c>
      <c r="O285" s="127">
        <v>0</v>
      </c>
      <c r="P285" s="127">
        <f t="shared" si="44"/>
        <v>0</v>
      </c>
      <c r="Q285" s="127">
        <v>0</v>
      </c>
      <c r="R285" s="127">
        <f t="shared" si="45"/>
        <v>0</v>
      </c>
      <c r="S285" s="127">
        <v>0</v>
      </c>
      <c r="T285" s="128">
        <f t="shared" si="46"/>
        <v>0</v>
      </c>
      <c r="W285" s="199"/>
      <c r="X285" s="131" t="s">
        <v>493</v>
      </c>
      <c r="Y285" s="131" t="s">
        <v>277</v>
      </c>
      <c r="Z285" s="132" t="s">
        <v>1701</v>
      </c>
      <c r="AA285" s="133" t="s">
        <v>1705</v>
      </c>
      <c r="AB285" s="134" t="s">
        <v>1194</v>
      </c>
      <c r="AC285" s="135">
        <v>19</v>
      </c>
      <c r="AD285" s="136">
        <v>373.84</v>
      </c>
      <c r="AE285" s="229">
        <f t="shared" si="47"/>
        <v>7102.96</v>
      </c>
      <c r="AF285" s="227"/>
      <c r="AG285" s="374"/>
      <c r="AR285" s="129" t="s">
        <v>76</v>
      </c>
      <c r="AT285" s="129" t="s">
        <v>277</v>
      </c>
      <c r="AU285" s="129" t="s">
        <v>63</v>
      </c>
      <c r="AY285" s="13" t="s">
        <v>228</v>
      </c>
      <c r="BE285" s="130">
        <f t="shared" si="48"/>
        <v>7102.96</v>
      </c>
      <c r="BF285" s="130">
        <f t="shared" si="49"/>
        <v>0</v>
      </c>
      <c r="BG285" s="130">
        <f t="shared" si="50"/>
        <v>0</v>
      </c>
      <c r="BH285" s="130">
        <f t="shared" si="51"/>
        <v>0</v>
      </c>
      <c r="BI285" s="130">
        <f t="shared" si="52"/>
        <v>0</v>
      </c>
      <c r="BJ285" s="13" t="s">
        <v>63</v>
      </c>
      <c r="BK285" s="130">
        <f t="shared" si="53"/>
        <v>7102.96</v>
      </c>
      <c r="BL285" s="13" t="s">
        <v>63</v>
      </c>
      <c r="BM285" s="129" t="s">
        <v>1707</v>
      </c>
    </row>
    <row r="286" spans="2:65" s="1" customFormat="1" ht="16.5" customHeight="1" x14ac:dyDescent="0.2">
      <c r="B286" s="118"/>
      <c r="C286" s="119" t="s">
        <v>764</v>
      </c>
      <c r="D286" s="119" t="s">
        <v>231</v>
      </c>
      <c r="E286" s="120" t="s">
        <v>1708</v>
      </c>
      <c r="F286" s="121" t="s">
        <v>1709</v>
      </c>
      <c r="G286" s="122" t="s">
        <v>1194</v>
      </c>
      <c r="H286" s="123">
        <v>4</v>
      </c>
      <c r="I286" s="124">
        <v>200.27</v>
      </c>
      <c r="J286" s="124">
        <f t="shared" si="43"/>
        <v>801.08</v>
      </c>
      <c r="K286" s="121" t="s">
        <v>1</v>
      </c>
      <c r="L286" s="24"/>
      <c r="M286" s="125" t="s">
        <v>1</v>
      </c>
      <c r="N286" s="126" t="s">
        <v>31</v>
      </c>
      <c r="O286" s="127">
        <v>0</v>
      </c>
      <c r="P286" s="127">
        <f t="shared" si="44"/>
        <v>0</v>
      </c>
      <c r="Q286" s="127">
        <v>0</v>
      </c>
      <c r="R286" s="127">
        <f t="shared" si="45"/>
        <v>0</v>
      </c>
      <c r="S286" s="127">
        <v>0</v>
      </c>
      <c r="T286" s="128">
        <f t="shared" si="46"/>
        <v>0</v>
      </c>
      <c r="W286" s="199"/>
      <c r="X286" s="119" t="s">
        <v>764</v>
      </c>
      <c r="Y286" s="119" t="s">
        <v>231</v>
      </c>
      <c r="Z286" s="120" t="s">
        <v>1708</v>
      </c>
      <c r="AA286" s="121" t="s">
        <v>1709</v>
      </c>
      <c r="AB286" s="122" t="s">
        <v>1194</v>
      </c>
      <c r="AC286" s="123">
        <v>4</v>
      </c>
      <c r="AD286" s="124">
        <v>200.27</v>
      </c>
      <c r="AE286" s="200">
        <f t="shared" si="47"/>
        <v>801.08</v>
      </c>
      <c r="AF286" s="227"/>
      <c r="AG286" s="374"/>
      <c r="AR286" s="129" t="s">
        <v>63</v>
      </c>
      <c r="AT286" s="129" t="s">
        <v>231</v>
      </c>
      <c r="AU286" s="129" t="s">
        <v>63</v>
      </c>
      <c r="AY286" s="13" t="s">
        <v>228</v>
      </c>
      <c r="BE286" s="130">
        <f t="shared" si="48"/>
        <v>801.08</v>
      </c>
      <c r="BF286" s="130">
        <f t="shared" si="49"/>
        <v>0</v>
      </c>
      <c r="BG286" s="130">
        <f t="shared" si="50"/>
        <v>0</v>
      </c>
      <c r="BH286" s="130">
        <f t="shared" si="51"/>
        <v>0</v>
      </c>
      <c r="BI286" s="130">
        <f t="shared" si="52"/>
        <v>0</v>
      </c>
      <c r="BJ286" s="13" t="s">
        <v>63</v>
      </c>
      <c r="BK286" s="130">
        <f t="shared" si="53"/>
        <v>801.08</v>
      </c>
      <c r="BL286" s="13" t="s">
        <v>63</v>
      </c>
      <c r="BM286" s="129" t="s">
        <v>1710</v>
      </c>
    </row>
    <row r="287" spans="2:65" s="1" customFormat="1" ht="16.5" customHeight="1" x14ac:dyDescent="0.2">
      <c r="B287" s="118"/>
      <c r="C287" s="131" t="s">
        <v>497</v>
      </c>
      <c r="D287" s="131" t="s">
        <v>277</v>
      </c>
      <c r="E287" s="132" t="s">
        <v>1704</v>
      </c>
      <c r="F287" s="133" t="s">
        <v>1709</v>
      </c>
      <c r="G287" s="134" t="s">
        <v>1194</v>
      </c>
      <c r="H287" s="135">
        <v>4</v>
      </c>
      <c r="I287" s="136">
        <v>1001.36</v>
      </c>
      <c r="J287" s="136">
        <f t="shared" si="43"/>
        <v>4005.44</v>
      </c>
      <c r="K287" s="133" t="s">
        <v>1</v>
      </c>
      <c r="L287" s="137"/>
      <c r="M287" s="138" t="s">
        <v>1</v>
      </c>
      <c r="N287" s="139" t="s">
        <v>31</v>
      </c>
      <c r="O287" s="127">
        <v>0</v>
      </c>
      <c r="P287" s="127">
        <f t="shared" si="44"/>
        <v>0</v>
      </c>
      <c r="Q287" s="127">
        <v>0</v>
      </c>
      <c r="R287" s="127">
        <f t="shared" si="45"/>
        <v>0</v>
      </c>
      <c r="S287" s="127">
        <v>0</v>
      </c>
      <c r="T287" s="128">
        <f t="shared" si="46"/>
        <v>0</v>
      </c>
      <c r="W287" s="199"/>
      <c r="X287" s="131" t="s">
        <v>497</v>
      </c>
      <c r="Y287" s="131" t="s">
        <v>277</v>
      </c>
      <c r="Z287" s="132" t="s">
        <v>1704</v>
      </c>
      <c r="AA287" s="133" t="s">
        <v>1709</v>
      </c>
      <c r="AB287" s="134" t="s">
        <v>1194</v>
      </c>
      <c r="AC287" s="135">
        <v>4</v>
      </c>
      <c r="AD287" s="136">
        <v>1001.36</v>
      </c>
      <c r="AE287" s="229">
        <f t="shared" si="47"/>
        <v>4005.44</v>
      </c>
      <c r="AF287" s="227"/>
      <c r="AG287" s="374"/>
      <c r="AR287" s="129" t="s">
        <v>76</v>
      </c>
      <c r="AT287" s="129" t="s">
        <v>277</v>
      </c>
      <c r="AU287" s="129" t="s">
        <v>63</v>
      </c>
      <c r="AY287" s="13" t="s">
        <v>228</v>
      </c>
      <c r="BE287" s="130">
        <f t="shared" si="48"/>
        <v>4005.44</v>
      </c>
      <c r="BF287" s="130">
        <f t="shared" si="49"/>
        <v>0</v>
      </c>
      <c r="BG287" s="130">
        <f t="shared" si="50"/>
        <v>0</v>
      </c>
      <c r="BH287" s="130">
        <f t="shared" si="51"/>
        <v>0</v>
      </c>
      <c r="BI287" s="130">
        <f t="shared" si="52"/>
        <v>0</v>
      </c>
      <c r="BJ287" s="13" t="s">
        <v>63</v>
      </c>
      <c r="BK287" s="130">
        <f t="shared" si="53"/>
        <v>4005.44</v>
      </c>
      <c r="BL287" s="13" t="s">
        <v>63</v>
      </c>
      <c r="BM287" s="129" t="s">
        <v>1711</v>
      </c>
    </row>
    <row r="288" spans="2:65" s="1" customFormat="1" ht="16.5" customHeight="1" x14ac:dyDescent="0.2">
      <c r="B288" s="118"/>
      <c r="C288" s="119" t="s">
        <v>771</v>
      </c>
      <c r="D288" s="119" t="s">
        <v>231</v>
      </c>
      <c r="E288" s="120" t="s">
        <v>1712</v>
      </c>
      <c r="F288" s="121" t="s">
        <v>1713</v>
      </c>
      <c r="G288" s="122" t="s">
        <v>292</v>
      </c>
      <c r="H288" s="123">
        <v>26</v>
      </c>
      <c r="I288" s="124">
        <v>0.67</v>
      </c>
      <c r="J288" s="124">
        <f t="shared" si="43"/>
        <v>17.420000000000002</v>
      </c>
      <c r="K288" s="121" t="s">
        <v>1</v>
      </c>
      <c r="L288" s="24"/>
      <c r="M288" s="125" t="s">
        <v>1</v>
      </c>
      <c r="N288" s="126" t="s">
        <v>31</v>
      </c>
      <c r="O288" s="127">
        <v>0</v>
      </c>
      <c r="P288" s="127">
        <f t="shared" si="44"/>
        <v>0</v>
      </c>
      <c r="Q288" s="127">
        <v>0</v>
      </c>
      <c r="R288" s="127">
        <f t="shared" si="45"/>
        <v>0</v>
      </c>
      <c r="S288" s="127">
        <v>0</v>
      </c>
      <c r="T288" s="128">
        <f t="shared" si="46"/>
        <v>0</v>
      </c>
      <c r="W288" s="199"/>
      <c r="X288" s="119" t="s">
        <v>771</v>
      </c>
      <c r="Y288" s="119" t="s">
        <v>231</v>
      </c>
      <c r="Z288" s="120" t="s">
        <v>1712</v>
      </c>
      <c r="AA288" s="121" t="s">
        <v>1713</v>
      </c>
      <c r="AB288" s="122" t="s">
        <v>292</v>
      </c>
      <c r="AC288" s="123">
        <v>26</v>
      </c>
      <c r="AD288" s="124">
        <v>0.67</v>
      </c>
      <c r="AE288" s="200">
        <f t="shared" si="47"/>
        <v>17.420000000000002</v>
      </c>
      <c r="AF288" s="227"/>
      <c r="AG288" s="374"/>
      <c r="AR288" s="129" t="s">
        <v>63</v>
      </c>
      <c r="AT288" s="129" t="s">
        <v>231</v>
      </c>
      <c r="AU288" s="129" t="s">
        <v>63</v>
      </c>
      <c r="AY288" s="13" t="s">
        <v>228</v>
      </c>
      <c r="BE288" s="130">
        <f t="shared" si="48"/>
        <v>17.420000000000002</v>
      </c>
      <c r="BF288" s="130">
        <f t="shared" si="49"/>
        <v>0</v>
      </c>
      <c r="BG288" s="130">
        <f t="shared" si="50"/>
        <v>0</v>
      </c>
      <c r="BH288" s="130">
        <f t="shared" si="51"/>
        <v>0</v>
      </c>
      <c r="BI288" s="130">
        <f t="shared" si="52"/>
        <v>0</v>
      </c>
      <c r="BJ288" s="13" t="s">
        <v>63</v>
      </c>
      <c r="BK288" s="130">
        <f t="shared" si="53"/>
        <v>17.420000000000002</v>
      </c>
      <c r="BL288" s="13" t="s">
        <v>63</v>
      </c>
      <c r="BM288" s="129" t="s">
        <v>1714</v>
      </c>
    </row>
    <row r="289" spans="2:65" s="1" customFormat="1" ht="16.5" customHeight="1" x14ac:dyDescent="0.2">
      <c r="B289" s="118"/>
      <c r="C289" s="131" t="s">
        <v>500</v>
      </c>
      <c r="D289" s="131" t="s">
        <v>277</v>
      </c>
      <c r="E289" s="132" t="s">
        <v>1712</v>
      </c>
      <c r="F289" s="133" t="s">
        <v>1713</v>
      </c>
      <c r="G289" s="134" t="s">
        <v>292</v>
      </c>
      <c r="H289" s="135">
        <v>26</v>
      </c>
      <c r="I289" s="136">
        <v>1.28</v>
      </c>
      <c r="J289" s="136">
        <f t="shared" si="43"/>
        <v>33.28</v>
      </c>
      <c r="K289" s="133" t="s">
        <v>1</v>
      </c>
      <c r="L289" s="137"/>
      <c r="M289" s="138" t="s">
        <v>1</v>
      </c>
      <c r="N289" s="139" t="s">
        <v>31</v>
      </c>
      <c r="O289" s="127">
        <v>0</v>
      </c>
      <c r="P289" s="127">
        <f t="shared" si="44"/>
        <v>0</v>
      </c>
      <c r="Q289" s="127">
        <v>0</v>
      </c>
      <c r="R289" s="127">
        <f t="shared" si="45"/>
        <v>0</v>
      </c>
      <c r="S289" s="127">
        <v>0</v>
      </c>
      <c r="T289" s="128">
        <f t="shared" si="46"/>
        <v>0</v>
      </c>
      <c r="W289" s="199"/>
      <c r="X289" s="131" t="s">
        <v>500</v>
      </c>
      <c r="Y289" s="131" t="s">
        <v>277</v>
      </c>
      <c r="Z289" s="132" t="s">
        <v>1712</v>
      </c>
      <c r="AA289" s="133" t="s">
        <v>1713</v>
      </c>
      <c r="AB289" s="134" t="s">
        <v>292</v>
      </c>
      <c r="AC289" s="135">
        <v>26</v>
      </c>
      <c r="AD289" s="136">
        <v>1.28</v>
      </c>
      <c r="AE289" s="229">
        <f t="shared" si="47"/>
        <v>33.28</v>
      </c>
      <c r="AF289" s="227"/>
      <c r="AG289" s="374"/>
      <c r="AR289" s="129" t="s">
        <v>76</v>
      </c>
      <c r="AT289" s="129" t="s">
        <v>277</v>
      </c>
      <c r="AU289" s="129" t="s">
        <v>63</v>
      </c>
      <c r="AY289" s="13" t="s">
        <v>228</v>
      </c>
      <c r="BE289" s="130">
        <f t="shared" si="48"/>
        <v>33.28</v>
      </c>
      <c r="BF289" s="130">
        <f t="shared" si="49"/>
        <v>0</v>
      </c>
      <c r="BG289" s="130">
        <f t="shared" si="50"/>
        <v>0</v>
      </c>
      <c r="BH289" s="130">
        <f t="shared" si="51"/>
        <v>0</v>
      </c>
      <c r="BI289" s="130">
        <f t="shared" si="52"/>
        <v>0</v>
      </c>
      <c r="BJ289" s="13" t="s">
        <v>63</v>
      </c>
      <c r="BK289" s="130">
        <f t="shared" si="53"/>
        <v>33.28</v>
      </c>
      <c r="BL289" s="13" t="s">
        <v>63</v>
      </c>
      <c r="BM289" s="129" t="s">
        <v>1715</v>
      </c>
    </row>
    <row r="290" spans="2:65" s="1" customFormat="1" ht="16.5" customHeight="1" x14ac:dyDescent="0.2">
      <c r="B290" s="118"/>
      <c r="C290" s="119" t="s">
        <v>778</v>
      </c>
      <c r="D290" s="119" t="s">
        <v>231</v>
      </c>
      <c r="E290" s="120" t="s">
        <v>1716</v>
      </c>
      <c r="F290" s="121" t="s">
        <v>1717</v>
      </c>
      <c r="G290" s="122" t="s">
        <v>1194</v>
      </c>
      <c r="H290" s="123">
        <v>1</v>
      </c>
      <c r="I290" s="124">
        <v>8.68</v>
      </c>
      <c r="J290" s="124">
        <f t="shared" si="43"/>
        <v>8.68</v>
      </c>
      <c r="K290" s="121" t="s">
        <v>1</v>
      </c>
      <c r="L290" s="24"/>
      <c r="M290" s="125" t="s">
        <v>1</v>
      </c>
      <c r="N290" s="126" t="s">
        <v>31</v>
      </c>
      <c r="O290" s="127">
        <v>0</v>
      </c>
      <c r="P290" s="127">
        <f t="shared" si="44"/>
        <v>0</v>
      </c>
      <c r="Q290" s="127">
        <v>0</v>
      </c>
      <c r="R290" s="127">
        <f t="shared" si="45"/>
        <v>0</v>
      </c>
      <c r="S290" s="127">
        <v>0</v>
      </c>
      <c r="T290" s="128">
        <f t="shared" si="46"/>
        <v>0</v>
      </c>
      <c r="W290" s="199"/>
      <c r="X290" s="119" t="s">
        <v>778</v>
      </c>
      <c r="Y290" s="119" t="s">
        <v>231</v>
      </c>
      <c r="Z290" s="120" t="s">
        <v>1716</v>
      </c>
      <c r="AA290" s="121" t="s">
        <v>1717</v>
      </c>
      <c r="AB290" s="122" t="s">
        <v>1194</v>
      </c>
      <c r="AC290" s="123">
        <v>1</v>
      </c>
      <c r="AD290" s="124">
        <v>8.68</v>
      </c>
      <c r="AE290" s="200">
        <f t="shared" si="47"/>
        <v>8.68</v>
      </c>
      <c r="AF290" s="227"/>
      <c r="AG290" s="374"/>
      <c r="AR290" s="129" t="s">
        <v>63</v>
      </c>
      <c r="AT290" s="129" t="s">
        <v>231</v>
      </c>
      <c r="AU290" s="129" t="s">
        <v>63</v>
      </c>
      <c r="AY290" s="13" t="s">
        <v>228</v>
      </c>
      <c r="BE290" s="130">
        <f t="shared" si="48"/>
        <v>8.68</v>
      </c>
      <c r="BF290" s="130">
        <f t="shared" si="49"/>
        <v>0</v>
      </c>
      <c r="BG290" s="130">
        <f t="shared" si="50"/>
        <v>0</v>
      </c>
      <c r="BH290" s="130">
        <f t="shared" si="51"/>
        <v>0</v>
      </c>
      <c r="BI290" s="130">
        <f t="shared" si="52"/>
        <v>0</v>
      </c>
      <c r="BJ290" s="13" t="s">
        <v>63</v>
      </c>
      <c r="BK290" s="130">
        <f t="shared" si="53"/>
        <v>8.68</v>
      </c>
      <c r="BL290" s="13" t="s">
        <v>63</v>
      </c>
      <c r="BM290" s="129" t="s">
        <v>1718</v>
      </c>
    </row>
    <row r="291" spans="2:65" s="1" customFormat="1" ht="16.5" customHeight="1" x14ac:dyDescent="0.2">
      <c r="B291" s="118"/>
      <c r="C291" s="131" t="s">
        <v>504</v>
      </c>
      <c r="D291" s="131" t="s">
        <v>277</v>
      </c>
      <c r="E291" s="132" t="s">
        <v>1716</v>
      </c>
      <c r="F291" s="133" t="s">
        <v>1717</v>
      </c>
      <c r="G291" s="134" t="s">
        <v>1194</v>
      </c>
      <c r="H291" s="135">
        <v>1</v>
      </c>
      <c r="I291" s="136">
        <v>14.02</v>
      </c>
      <c r="J291" s="136">
        <f t="shared" si="43"/>
        <v>14.02</v>
      </c>
      <c r="K291" s="133" t="s">
        <v>1</v>
      </c>
      <c r="L291" s="137"/>
      <c r="M291" s="138" t="s">
        <v>1</v>
      </c>
      <c r="N291" s="139" t="s">
        <v>31</v>
      </c>
      <c r="O291" s="127">
        <v>0</v>
      </c>
      <c r="P291" s="127">
        <f t="shared" si="44"/>
        <v>0</v>
      </c>
      <c r="Q291" s="127">
        <v>0</v>
      </c>
      <c r="R291" s="127">
        <f t="shared" si="45"/>
        <v>0</v>
      </c>
      <c r="S291" s="127">
        <v>0</v>
      </c>
      <c r="T291" s="128">
        <f t="shared" si="46"/>
        <v>0</v>
      </c>
      <c r="W291" s="199"/>
      <c r="X291" s="131" t="s">
        <v>504</v>
      </c>
      <c r="Y291" s="131" t="s">
        <v>277</v>
      </c>
      <c r="Z291" s="132" t="s">
        <v>1716</v>
      </c>
      <c r="AA291" s="133" t="s">
        <v>1717</v>
      </c>
      <c r="AB291" s="134" t="s">
        <v>1194</v>
      </c>
      <c r="AC291" s="135">
        <v>1</v>
      </c>
      <c r="AD291" s="136">
        <v>14.02</v>
      </c>
      <c r="AE291" s="229">
        <f t="shared" si="47"/>
        <v>14.02</v>
      </c>
      <c r="AF291" s="227"/>
      <c r="AG291" s="374"/>
      <c r="AR291" s="129" t="s">
        <v>76</v>
      </c>
      <c r="AT291" s="129" t="s">
        <v>277</v>
      </c>
      <c r="AU291" s="129" t="s">
        <v>63</v>
      </c>
      <c r="AY291" s="13" t="s">
        <v>228</v>
      </c>
      <c r="BE291" s="130">
        <f t="shared" si="48"/>
        <v>14.02</v>
      </c>
      <c r="BF291" s="130">
        <f t="shared" si="49"/>
        <v>0</v>
      </c>
      <c r="BG291" s="130">
        <f t="shared" si="50"/>
        <v>0</v>
      </c>
      <c r="BH291" s="130">
        <f t="shared" si="51"/>
        <v>0</v>
      </c>
      <c r="BI291" s="130">
        <f t="shared" si="52"/>
        <v>0</v>
      </c>
      <c r="BJ291" s="13" t="s">
        <v>63</v>
      </c>
      <c r="BK291" s="130">
        <f t="shared" si="53"/>
        <v>14.02</v>
      </c>
      <c r="BL291" s="13" t="s">
        <v>63</v>
      </c>
      <c r="BM291" s="129" t="s">
        <v>1719</v>
      </c>
    </row>
    <row r="292" spans="2:65" s="1" customFormat="1" ht="16.5" customHeight="1" x14ac:dyDescent="0.2">
      <c r="B292" s="118"/>
      <c r="C292" s="119" t="s">
        <v>787</v>
      </c>
      <c r="D292" s="119" t="s">
        <v>231</v>
      </c>
      <c r="E292" s="120" t="s">
        <v>1720</v>
      </c>
      <c r="F292" s="121" t="s">
        <v>1721</v>
      </c>
      <c r="G292" s="122" t="s">
        <v>1194</v>
      </c>
      <c r="H292" s="123">
        <v>15</v>
      </c>
      <c r="I292" s="124">
        <v>5.04</v>
      </c>
      <c r="J292" s="124">
        <f t="shared" si="43"/>
        <v>75.599999999999994</v>
      </c>
      <c r="K292" s="121" t="s">
        <v>1</v>
      </c>
      <c r="L292" s="24"/>
      <c r="M292" s="125" t="s">
        <v>1</v>
      </c>
      <c r="N292" s="126" t="s">
        <v>31</v>
      </c>
      <c r="O292" s="127">
        <v>0</v>
      </c>
      <c r="P292" s="127">
        <f t="shared" si="44"/>
        <v>0</v>
      </c>
      <c r="Q292" s="127">
        <v>0</v>
      </c>
      <c r="R292" s="127">
        <f t="shared" si="45"/>
        <v>0</v>
      </c>
      <c r="S292" s="127">
        <v>0</v>
      </c>
      <c r="T292" s="128">
        <f t="shared" si="46"/>
        <v>0</v>
      </c>
      <c r="W292" s="199"/>
      <c r="X292" s="119" t="s">
        <v>787</v>
      </c>
      <c r="Y292" s="119" t="s">
        <v>231</v>
      </c>
      <c r="Z292" s="120" t="s">
        <v>1720</v>
      </c>
      <c r="AA292" s="121" t="s">
        <v>1721</v>
      </c>
      <c r="AB292" s="122" t="s">
        <v>1194</v>
      </c>
      <c r="AC292" s="123">
        <v>15</v>
      </c>
      <c r="AD292" s="124">
        <v>5.04</v>
      </c>
      <c r="AE292" s="200">
        <f t="shared" si="47"/>
        <v>75.599999999999994</v>
      </c>
      <c r="AF292" s="227"/>
      <c r="AG292" s="374"/>
      <c r="AR292" s="129" t="s">
        <v>63</v>
      </c>
      <c r="AT292" s="129" t="s">
        <v>231</v>
      </c>
      <c r="AU292" s="129" t="s">
        <v>63</v>
      </c>
      <c r="AY292" s="13" t="s">
        <v>228</v>
      </c>
      <c r="BE292" s="130">
        <f t="shared" si="48"/>
        <v>75.599999999999994</v>
      </c>
      <c r="BF292" s="130">
        <f t="shared" si="49"/>
        <v>0</v>
      </c>
      <c r="BG292" s="130">
        <f t="shared" si="50"/>
        <v>0</v>
      </c>
      <c r="BH292" s="130">
        <f t="shared" si="51"/>
        <v>0</v>
      </c>
      <c r="BI292" s="130">
        <f t="shared" si="52"/>
        <v>0</v>
      </c>
      <c r="BJ292" s="13" t="s">
        <v>63</v>
      </c>
      <c r="BK292" s="130">
        <f t="shared" si="53"/>
        <v>75.599999999999994</v>
      </c>
      <c r="BL292" s="13" t="s">
        <v>63</v>
      </c>
      <c r="BM292" s="129" t="s">
        <v>1722</v>
      </c>
    </row>
    <row r="293" spans="2:65" s="1" customFormat="1" ht="16.5" customHeight="1" x14ac:dyDescent="0.2">
      <c r="B293" s="118"/>
      <c r="C293" s="131" t="s">
        <v>507</v>
      </c>
      <c r="D293" s="131" t="s">
        <v>277</v>
      </c>
      <c r="E293" s="132" t="s">
        <v>1708</v>
      </c>
      <c r="F293" s="133" t="s">
        <v>1723</v>
      </c>
      <c r="G293" s="134" t="s">
        <v>1194</v>
      </c>
      <c r="H293" s="135">
        <v>15</v>
      </c>
      <c r="I293" s="136">
        <v>24.71</v>
      </c>
      <c r="J293" s="136">
        <f t="shared" si="43"/>
        <v>370.65</v>
      </c>
      <c r="K293" s="133" t="s">
        <v>1</v>
      </c>
      <c r="L293" s="137"/>
      <c r="M293" s="138" t="s">
        <v>1</v>
      </c>
      <c r="N293" s="139" t="s">
        <v>31</v>
      </c>
      <c r="O293" s="127">
        <v>0</v>
      </c>
      <c r="P293" s="127">
        <f t="shared" si="44"/>
        <v>0</v>
      </c>
      <c r="Q293" s="127">
        <v>0</v>
      </c>
      <c r="R293" s="127">
        <f t="shared" si="45"/>
        <v>0</v>
      </c>
      <c r="S293" s="127">
        <v>0</v>
      </c>
      <c r="T293" s="128">
        <f t="shared" si="46"/>
        <v>0</v>
      </c>
      <c r="W293" s="199"/>
      <c r="X293" s="131" t="s">
        <v>507</v>
      </c>
      <c r="Y293" s="131" t="s">
        <v>277</v>
      </c>
      <c r="Z293" s="132" t="s">
        <v>1708</v>
      </c>
      <c r="AA293" s="133" t="s">
        <v>1723</v>
      </c>
      <c r="AB293" s="134" t="s">
        <v>1194</v>
      </c>
      <c r="AC293" s="135">
        <v>15</v>
      </c>
      <c r="AD293" s="136">
        <v>24.71</v>
      </c>
      <c r="AE293" s="229">
        <f t="shared" si="47"/>
        <v>370.65</v>
      </c>
      <c r="AF293" s="227"/>
      <c r="AG293" s="374"/>
      <c r="AR293" s="129" t="s">
        <v>76</v>
      </c>
      <c r="AT293" s="129" t="s">
        <v>277</v>
      </c>
      <c r="AU293" s="129" t="s">
        <v>63</v>
      </c>
      <c r="AY293" s="13" t="s">
        <v>228</v>
      </c>
      <c r="BE293" s="130">
        <f t="shared" si="48"/>
        <v>370.65</v>
      </c>
      <c r="BF293" s="130">
        <f t="shared" si="49"/>
        <v>0</v>
      </c>
      <c r="BG293" s="130">
        <f t="shared" si="50"/>
        <v>0</v>
      </c>
      <c r="BH293" s="130">
        <f t="shared" si="51"/>
        <v>0</v>
      </c>
      <c r="BI293" s="130">
        <f t="shared" si="52"/>
        <v>0</v>
      </c>
      <c r="BJ293" s="13" t="s">
        <v>63</v>
      </c>
      <c r="BK293" s="130">
        <f t="shared" si="53"/>
        <v>370.65</v>
      </c>
      <c r="BL293" s="13" t="s">
        <v>63</v>
      </c>
      <c r="BM293" s="129" t="s">
        <v>1724</v>
      </c>
    </row>
    <row r="294" spans="2:65" s="1" customFormat="1" ht="24" customHeight="1" x14ac:dyDescent="0.2">
      <c r="B294" s="118"/>
      <c r="C294" s="205" t="s">
        <v>794</v>
      </c>
      <c r="D294" s="119" t="s">
        <v>231</v>
      </c>
      <c r="E294" s="120" t="s">
        <v>1725</v>
      </c>
      <c r="F294" s="121" t="s">
        <v>1726</v>
      </c>
      <c r="G294" s="122" t="s">
        <v>292</v>
      </c>
      <c r="H294" s="206">
        <v>200</v>
      </c>
      <c r="I294" s="124">
        <v>10.55</v>
      </c>
      <c r="J294" s="124">
        <f t="shared" si="43"/>
        <v>2110</v>
      </c>
      <c r="K294" s="121" t="s">
        <v>1</v>
      </c>
      <c r="L294" s="24"/>
      <c r="M294" s="125" t="s">
        <v>1</v>
      </c>
      <c r="N294" s="126" t="s">
        <v>31</v>
      </c>
      <c r="O294" s="127">
        <v>0</v>
      </c>
      <c r="P294" s="127">
        <f t="shared" si="44"/>
        <v>0</v>
      </c>
      <c r="Q294" s="127">
        <v>0</v>
      </c>
      <c r="R294" s="127">
        <f t="shared" si="45"/>
        <v>0</v>
      </c>
      <c r="S294" s="127">
        <v>0</v>
      </c>
      <c r="T294" s="128">
        <f t="shared" si="46"/>
        <v>0</v>
      </c>
      <c r="W294" s="199"/>
      <c r="X294" s="205" t="s">
        <v>794</v>
      </c>
      <c r="Y294" s="119" t="s">
        <v>231</v>
      </c>
      <c r="Z294" s="120" t="s">
        <v>1725</v>
      </c>
      <c r="AA294" s="121" t="s">
        <v>1726</v>
      </c>
      <c r="AB294" s="122" t="s">
        <v>292</v>
      </c>
      <c r="AC294" s="206">
        <f>200+180</f>
        <v>380</v>
      </c>
      <c r="AD294" s="124">
        <v>10.55</v>
      </c>
      <c r="AE294" s="200">
        <f t="shared" si="47"/>
        <v>4009</v>
      </c>
      <c r="AF294" s="227">
        <v>2</v>
      </c>
      <c r="AG294" s="374"/>
      <c r="AR294" s="129" t="s">
        <v>63</v>
      </c>
      <c r="AT294" s="129" t="s">
        <v>231</v>
      </c>
      <c r="AU294" s="129" t="s">
        <v>63</v>
      </c>
      <c r="AY294" s="13" t="s">
        <v>228</v>
      </c>
      <c r="BE294" s="130">
        <f t="shared" si="48"/>
        <v>2110</v>
      </c>
      <c r="BF294" s="130">
        <f t="shared" si="49"/>
        <v>0</v>
      </c>
      <c r="BG294" s="130">
        <f t="shared" si="50"/>
        <v>0</v>
      </c>
      <c r="BH294" s="130">
        <f t="shared" si="51"/>
        <v>0</v>
      </c>
      <c r="BI294" s="130">
        <f t="shared" si="52"/>
        <v>0</v>
      </c>
      <c r="BJ294" s="13" t="s">
        <v>63</v>
      </c>
      <c r="BK294" s="130">
        <f t="shared" si="53"/>
        <v>2110</v>
      </c>
      <c r="BL294" s="13" t="s">
        <v>63</v>
      </c>
      <c r="BM294" s="129" t="s">
        <v>1727</v>
      </c>
    </row>
    <row r="295" spans="2:65" s="1" customFormat="1" ht="16.5" customHeight="1" x14ac:dyDescent="0.2">
      <c r="B295" s="118"/>
      <c r="C295" s="131" t="s">
        <v>511</v>
      </c>
      <c r="D295" s="131" t="s">
        <v>277</v>
      </c>
      <c r="E295" s="132" t="s">
        <v>1674</v>
      </c>
      <c r="F295" s="133" t="s">
        <v>1677</v>
      </c>
      <c r="G295" s="134" t="s">
        <v>1194</v>
      </c>
      <c r="H295" s="135">
        <v>1</v>
      </c>
      <c r="I295" s="136">
        <v>93.46</v>
      </c>
      <c r="J295" s="136">
        <f t="shared" si="43"/>
        <v>93.46</v>
      </c>
      <c r="K295" s="133" t="s">
        <v>1</v>
      </c>
      <c r="L295" s="137"/>
      <c r="M295" s="138" t="s">
        <v>1</v>
      </c>
      <c r="N295" s="139" t="s">
        <v>31</v>
      </c>
      <c r="O295" s="127">
        <v>0</v>
      </c>
      <c r="P295" s="127">
        <f t="shared" si="44"/>
        <v>0</v>
      </c>
      <c r="Q295" s="127">
        <v>0</v>
      </c>
      <c r="R295" s="127">
        <f t="shared" si="45"/>
        <v>0</v>
      </c>
      <c r="S295" s="127">
        <v>0</v>
      </c>
      <c r="T295" s="128">
        <f t="shared" si="46"/>
        <v>0</v>
      </c>
      <c r="W295" s="199"/>
      <c r="X295" s="131" t="s">
        <v>511</v>
      </c>
      <c r="Y295" s="131" t="s">
        <v>277</v>
      </c>
      <c r="Z295" s="132" t="s">
        <v>1674</v>
      </c>
      <c r="AA295" s="133" t="s">
        <v>1677</v>
      </c>
      <c r="AB295" s="134" t="s">
        <v>1194</v>
      </c>
      <c r="AC295" s="135">
        <v>1</v>
      </c>
      <c r="AD295" s="136">
        <v>93.46</v>
      </c>
      <c r="AE295" s="229">
        <f t="shared" si="47"/>
        <v>93.46</v>
      </c>
      <c r="AF295" s="227"/>
      <c r="AG295" s="374"/>
      <c r="AR295" s="129" t="s">
        <v>76</v>
      </c>
      <c r="AT295" s="129" t="s">
        <v>277</v>
      </c>
      <c r="AU295" s="129" t="s">
        <v>63</v>
      </c>
      <c r="AY295" s="13" t="s">
        <v>228</v>
      </c>
      <c r="BE295" s="130">
        <f t="shared" si="48"/>
        <v>93.46</v>
      </c>
      <c r="BF295" s="130">
        <f t="shared" si="49"/>
        <v>0</v>
      </c>
      <c r="BG295" s="130">
        <f t="shared" si="50"/>
        <v>0</v>
      </c>
      <c r="BH295" s="130">
        <f t="shared" si="51"/>
        <v>0</v>
      </c>
      <c r="BI295" s="130">
        <f t="shared" si="52"/>
        <v>0</v>
      </c>
      <c r="BJ295" s="13" t="s">
        <v>63</v>
      </c>
      <c r="BK295" s="130">
        <f t="shared" si="53"/>
        <v>93.46</v>
      </c>
      <c r="BL295" s="13" t="s">
        <v>63</v>
      </c>
      <c r="BM295" s="129" t="s">
        <v>1728</v>
      </c>
    </row>
    <row r="296" spans="2:65" s="1" customFormat="1" ht="16.5" customHeight="1" x14ac:dyDescent="0.2">
      <c r="B296" s="118"/>
      <c r="C296" s="119" t="s">
        <v>801</v>
      </c>
      <c r="D296" s="119" t="s">
        <v>231</v>
      </c>
      <c r="E296" s="120" t="s">
        <v>1729</v>
      </c>
      <c r="F296" s="121" t="s">
        <v>1730</v>
      </c>
      <c r="G296" s="122" t="s">
        <v>1194</v>
      </c>
      <c r="H296" s="123">
        <v>1</v>
      </c>
      <c r="I296" s="124">
        <v>514.03</v>
      </c>
      <c r="J296" s="124">
        <f t="shared" si="43"/>
        <v>514.03</v>
      </c>
      <c r="K296" s="121" t="s">
        <v>1</v>
      </c>
      <c r="L296" s="24"/>
      <c r="M296" s="125" t="s">
        <v>1</v>
      </c>
      <c r="N296" s="126" t="s">
        <v>31</v>
      </c>
      <c r="O296" s="127">
        <v>0</v>
      </c>
      <c r="P296" s="127">
        <f t="shared" si="44"/>
        <v>0</v>
      </c>
      <c r="Q296" s="127">
        <v>0</v>
      </c>
      <c r="R296" s="127">
        <f t="shared" si="45"/>
        <v>0</v>
      </c>
      <c r="S296" s="127">
        <v>0</v>
      </c>
      <c r="T296" s="128">
        <f t="shared" si="46"/>
        <v>0</v>
      </c>
      <c r="W296" s="199"/>
      <c r="X296" s="119" t="s">
        <v>801</v>
      </c>
      <c r="Y296" s="119" t="s">
        <v>231</v>
      </c>
      <c r="Z296" s="120" t="s">
        <v>1729</v>
      </c>
      <c r="AA296" s="121" t="s">
        <v>1730</v>
      </c>
      <c r="AB296" s="122" t="s">
        <v>1194</v>
      </c>
      <c r="AC296" s="123">
        <v>1</v>
      </c>
      <c r="AD296" s="124">
        <v>514.03</v>
      </c>
      <c r="AE296" s="200">
        <f t="shared" si="47"/>
        <v>514.03</v>
      </c>
      <c r="AF296" s="227"/>
      <c r="AG296" s="374"/>
      <c r="AR296" s="129" t="s">
        <v>63</v>
      </c>
      <c r="AT296" s="129" t="s">
        <v>231</v>
      </c>
      <c r="AU296" s="129" t="s">
        <v>63</v>
      </c>
      <c r="AY296" s="13" t="s">
        <v>228</v>
      </c>
      <c r="BE296" s="130">
        <f t="shared" si="48"/>
        <v>514.03</v>
      </c>
      <c r="BF296" s="130">
        <f t="shared" si="49"/>
        <v>0</v>
      </c>
      <c r="BG296" s="130">
        <f t="shared" si="50"/>
        <v>0</v>
      </c>
      <c r="BH296" s="130">
        <f t="shared" si="51"/>
        <v>0</v>
      </c>
      <c r="BI296" s="130">
        <f t="shared" si="52"/>
        <v>0</v>
      </c>
      <c r="BJ296" s="13" t="s">
        <v>63</v>
      </c>
      <c r="BK296" s="130">
        <f t="shared" si="53"/>
        <v>514.03</v>
      </c>
      <c r="BL296" s="13" t="s">
        <v>63</v>
      </c>
      <c r="BM296" s="129" t="s">
        <v>1731</v>
      </c>
    </row>
    <row r="297" spans="2:65" s="1" customFormat="1" ht="24" customHeight="1" x14ac:dyDescent="0.2">
      <c r="B297" s="118"/>
      <c r="C297" s="242" t="s">
        <v>514</v>
      </c>
      <c r="D297" s="131" t="s">
        <v>277</v>
      </c>
      <c r="E297" s="132" t="s">
        <v>1732</v>
      </c>
      <c r="F297" s="133" t="s">
        <v>1733</v>
      </c>
      <c r="G297" s="134" t="s">
        <v>292</v>
      </c>
      <c r="H297" s="241">
        <v>200</v>
      </c>
      <c r="I297" s="136">
        <v>24.71</v>
      </c>
      <c r="J297" s="136">
        <f t="shared" si="43"/>
        <v>4942</v>
      </c>
      <c r="K297" s="133" t="s">
        <v>1</v>
      </c>
      <c r="L297" s="137"/>
      <c r="M297" s="138" t="s">
        <v>1</v>
      </c>
      <c r="N297" s="139" t="s">
        <v>31</v>
      </c>
      <c r="O297" s="127">
        <v>0</v>
      </c>
      <c r="P297" s="127">
        <f t="shared" si="44"/>
        <v>0</v>
      </c>
      <c r="Q297" s="127">
        <v>0</v>
      </c>
      <c r="R297" s="127">
        <f t="shared" si="45"/>
        <v>0</v>
      </c>
      <c r="S297" s="127">
        <v>0</v>
      </c>
      <c r="T297" s="128">
        <f t="shared" si="46"/>
        <v>0</v>
      </c>
      <c r="W297" s="199"/>
      <c r="X297" s="242" t="s">
        <v>514</v>
      </c>
      <c r="Y297" s="131" t="s">
        <v>277</v>
      </c>
      <c r="Z297" s="132" t="s">
        <v>1732</v>
      </c>
      <c r="AA297" s="133" t="s">
        <v>1733</v>
      </c>
      <c r="AB297" s="134" t="s">
        <v>292</v>
      </c>
      <c r="AC297" s="241">
        <f>200+180</f>
        <v>380</v>
      </c>
      <c r="AD297" s="136">
        <v>24.71</v>
      </c>
      <c r="AE297" s="229">
        <f t="shared" si="47"/>
        <v>9389.7999999999993</v>
      </c>
      <c r="AF297" s="227">
        <v>2</v>
      </c>
      <c r="AG297" s="374"/>
      <c r="AR297" s="129" t="s">
        <v>76</v>
      </c>
      <c r="AT297" s="129" t="s">
        <v>277</v>
      </c>
      <c r="AU297" s="129" t="s">
        <v>63</v>
      </c>
      <c r="AY297" s="13" t="s">
        <v>228</v>
      </c>
      <c r="BE297" s="130">
        <f t="shared" si="48"/>
        <v>4942</v>
      </c>
      <c r="BF297" s="130">
        <f t="shared" si="49"/>
        <v>0</v>
      </c>
      <c r="BG297" s="130">
        <f t="shared" si="50"/>
        <v>0</v>
      </c>
      <c r="BH297" s="130">
        <f t="shared" si="51"/>
        <v>0</v>
      </c>
      <c r="BI297" s="130">
        <f t="shared" si="52"/>
        <v>0</v>
      </c>
      <c r="BJ297" s="13" t="s">
        <v>63</v>
      </c>
      <c r="BK297" s="130">
        <f t="shared" si="53"/>
        <v>4942</v>
      </c>
      <c r="BL297" s="13" t="s">
        <v>63</v>
      </c>
      <c r="BM297" s="129" t="s">
        <v>1734</v>
      </c>
    </row>
    <row r="298" spans="2:65" s="369" customFormat="1" ht="24" customHeight="1" x14ac:dyDescent="0.2">
      <c r="B298" s="118"/>
      <c r="C298" s="1234" t="s">
        <v>5205</v>
      </c>
      <c r="D298" s="1235"/>
      <c r="E298" s="1235"/>
      <c r="F298" s="1235"/>
      <c r="G298" s="1235"/>
      <c r="H298" s="1235"/>
      <c r="I298" s="1235"/>
      <c r="J298" s="1236"/>
      <c r="K298" s="133"/>
      <c r="L298" s="137"/>
      <c r="M298" s="138"/>
      <c r="N298" s="139"/>
      <c r="O298" s="127"/>
      <c r="P298" s="127"/>
      <c r="Q298" s="127"/>
      <c r="R298" s="127"/>
      <c r="S298" s="127"/>
      <c r="T298" s="128"/>
      <c r="W298" s="199"/>
      <c r="X298" s="341" t="s">
        <v>5906</v>
      </c>
      <c r="Y298" s="341" t="s">
        <v>231</v>
      </c>
      <c r="Z298" s="342" t="s">
        <v>5890</v>
      </c>
      <c r="AA298" s="343" t="s">
        <v>5891</v>
      </c>
      <c r="AB298" s="344" t="s">
        <v>1194</v>
      </c>
      <c r="AC298" s="345">
        <v>1</v>
      </c>
      <c r="AD298" s="346">
        <v>3.7</v>
      </c>
      <c r="AE298" s="355">
        <f>ROUND(AD298*AC298,2)</f>
        <v>3.7</v>
      </c>
      <c r="AF298" s="227">
        <v>2</v>
      </c>
      <c r="AG298" s="374"/>
      <c r="AR298" s="129"/>
      <c r="AT298" s="129"/>
      <c r="AU298" s="129"/>
      <c r="AY298" s="13"/>
      <c r="BE298" s="130"/>
      <c r="BF298" s="130"/>
      <c r="BG298" s="130"/>
      <c r="BH298" s="130"/>
      <c r="BI298" s="130"/>
      <c r="BJ298" s="13"/>
      <c r="BK298" s="130"/>
      <c r="BL298" s="13"/>
      <c r="BM298" s="129"/>
    </row>
    <row r="299" spans="2:65" s="369" customFormat="1" ht="24" customHeight="1" x14ac:dyDescent="0.2">
      <c r="B299" s="118"/>
      <c r="C299" s="1234" t="s">
        <v>5205</v>
      </c>
      <c r="D299" s="1235"/>
      <c r="E299" s="1235"/>
      <c r="F299" s="1235"/>
      <c r="G299" s="1235"/>
      <c r="H299" s="1235"/>
      <c r="I299" s="1235"/>
      <c r="J299" s="1236"/>
      <c r="K299" s="133"/>
      <c r="L299" s="137"/>
      <c r="M299" s="138"/>
      <c r="N299" s="139"/>
      <c r="O299" s="127"/>
      <c r="P299" s="127"/>
      <c r="Q299" s="127"/>
      <c r="R299" s="127"/>
      <c r="S299" s="127"/>
      <c r="T299" s="128"/>
      <c r="W299" s="199"/>
      <c r="X299" s="348" t="s">
        <v>5907</v>
      </c>
      <c r="Y299" s="348" t="s">
        <v>277</v>
      </c>
      <c r="Z299" s="349" t="s">
        <v>5892</v>
      </c>
      <c r="AA299" s="350" t="s">
        <v>5891</v>
      </c>
      <c r="AB299" s="351" t="s">
        <v>1194</v>
      </c>
      <c r="AC299" s="352">
        <v>1</v>
      </c>
      <c r="AD299" s="353">
        <v>8.4499999999999993</v>
      </c>
      <c r="AE299" s="356">
        <f>ROUND(AD299*AC299,2)</f>
        <v>8.4499999999999993</v>
      </c>
      <c r="AF299" s="227">
        <v>2</v>
      </c>
      <c r="AG299" s="374"/>
      <c r="AR299" s="129"/>
      <c r="AT299" s="129"/>
      <c r="AU299" s="129"/>
      <c r="AY299" s="13"/>
      <c r="BE299" s="130"/>
      <c r="BF299" s="130"/>
      <c r="BG299" s="130"/>
      <c r="BH299" s="130"/>
      <c r="BI299" s="130"/>
      <c r="BJ299" s="13"/>
      <c r="BK299" s="130"/>
      <c r="BL299" s="13"/>
      <c r="BM299" s="129"/>
    </row>
    <row r="300" spans="2:65" s="369" customFormat="1" ht="24" customHeight="1" x14ac:dyDescent="0.2">
      <c r="B300" s="118"/>
      <c r="C300" s="1234" t="s">
        <v>5205</v>
      </c>
      <c r="D300" s="1235"/>
      <c r="E300" s="1235"/>
      <c r="F300" s="1235"/>
      <c r="G300" s="1235"/>
      <c r="H300" s="1235"/>
      <c r="I300" s="1235"/>
      <c r="J300" s="1236"/>
      <c r="K300" s="133"/>
      <c r="L300" s="137"/>
      <c r="M300" s="138"/>
      <c r="N300" s="139"/>
      <c r="O300" s="127"/>
      <c r="P300" s="127"/>
      <c r="Q300" s="127"/>
      <c r="R300" s="127"/>
      <c r="S300" s="127"/>
      <c r="T300" s="128"/>
      <c r="W300" s="199"/>
      <c r="X300" s="341" t="s">
        <v>5908</v>
      </c>
      <c r="Y300" s="341" t="s">
        <v>231</v>
      </c>
      <c r="Z300" s="342" t="s">
        <v>5893</v>
      </c>
      <c r="AA300" s="343" t="s">
        <v>5894</v>
      </c>
      <c r="AB300" s="344" t="s">
        <v>1194</v>
      </c>
      <c r="AC300" s="345">
        <v>4</v>
      </c>
      <c r="AD300" s="346">
        <v>2.9</v>
      </c>
      <c r="AE300" s="355">
        <f>ROUND(AD300*AC300,2)</f>
        <v>11.6</v>
      </c>
      <c r="AF300" s="227">
        <v>2</v>
      </c>
      <c r="AG300" s="374"/>
      <c r="AR300" s="129"/>
      <c r="AT300" s="129"/>
      <c r="AU300" s="129"/>
      <c r="AY300" s="13"/>
      <c r="BE300" s="130"/>
      <c r="BF300" s="130"/>
      <c r="BG300" s="130"/>
      <c r="BH300" s="130"/>
      <c r="BI300" s="130"/>
      <c r="BJ300" s="13"/>
      <c r="BK300" s="130"/>
      <c r="BL300" s="13"/>
      <c r="BM300" s="129"/>
    </row>
    <row r="301" spans="2:65" s="369" customFormat="1" ht="24" customHeight="1" x14ac:dyDescent="0.2">
      <c r="B301" s="118"/>
      <c r="C301" s="1234" t="s">
        <v>5205</v>
      </c>
      <c r="D301" s="1235"/>
      <c r="E301" s="1235"/>
      <c r="F301" s="1235"/>
      <c r="G301" s="1235"/>
      <c r="H301" s="1235"/>
      <c r="I301" s="1235"/>
      <c r="J301" s="1236"/>
      <c r="K301" s="133"/>
      <c r="L301" s="137"/>
      <c r="M301" s="138"/>
      <c r="N301" s="139"/>
      <c r="O301" s="127"/>
      <c r="P301" s="127"/>
      <c r="Q301" s="127"/>
      <c r="R301" s="127"/>
      <c r="S301" s="127"/>
      <c r="T301" s="128"/>
      <c r="W301" s="199"/>
      <c r="X301" s="348" t="s">
        <v>5909</v>
      </c>
      <c r="Y301" s="348" t="s">
        <v>277</v>
      </c>
      <c r="Z301" s="349" t="s">
        <v>5895</v>
      </c>
      <c r="AA301" s="350" t="s">
        <v>5894</v>
      </c>
      <c r="AB301" s="351" t="s">
        <v>1194</v>
      </c>
      <c r="AC301" s="352">
        <v>4</v>
      </c>
      <c r="AD301" s="353">
        <v>0.66</v>
      </c>
      <c r="AE301" s="356">
        <f>ROUND(AD301*AC301,2)</f>
        <v>2.64</v>
      </c>
      <c r="AF301" s="227">
        <v>2</v>
      </c>
      <c r="AG301" s="374"/>
      <c r="AR301" s="129"/>
      <c r="AT301" s="129"/>
      <c r="AU301" s="129"/>
      <c r="AY301" s="13"/>
      <c r="BE301" s="130"/>
      <c r="BF301" s="130"/>
      <c r="BG301" s="130"/>
      <c r="BH301" s="130"/>
      <c r="BI301" s="130"/>
      <c r="BJ301" s="13"/>
      <c r="BK301" s="130"/>
      <c r="BL301" s="13"/>
      <c r="BM301" s="129"/>
    </row>
    <row r="302" spans="2:65" s="1" customFormat="1" ht="16.5" customHeight="1" x14ac:dyDescent="0.2">
      <c r="B302" s="118"/>
      <c r="C302" s="205" t="s">
        <v>808</v>
      </c>
      <c r="D302" s="119" t="s">
        <v>231</v>
      </c>
      <c r="E302" s="120" t="s">
        <v>1735</v>
      </c>
      <c r="F302" s="121" t="s">
        <v>1736</v>
      </c>
      <c r="G302" s="122" t="s">
        <v>284</v>
      </c>
      <c r="H302" s="206">
        <v>80</v>
      </c>
      <c r="I302" s="124">
        <v>1.34</v>
      </c>
      <c r="J302" s="124">
        <f t="shared" si="43"/>
        <v>107.2</v>
      </c>
      <c r="K302" s="121" t="s">
        <v>1</v>
      </c>
      <c r="L302" s="24"/>
      <c r="M302" s="125" t="s">
        <v>1</v>
      </c>
      <c r="N302" s="126" t="s">
        <v>31</v>
      </c>
      <c r="O302" s="127">
        <v>0</v>
      </c>
      <c r="P302" s="127">
        <f t="shared" si="44"/>
        <v>0</v>
      </c>
      <c r="Q302" s="127">
        <v>0</v>
      </c>
      <c r="R302" s="127">
        <f t="shared" si="45"/>
        <v>0</v>
      </c>
      <c r="S302" s="127">
        <v>0</v>
      </c>
      <c r="T302" s="128">
        <f t="shared" si="46"/>
        <v>0</v>
      </c>
      <c r="W302" s="199"/>
      <c r="X302" s="205" t="s">
        <v>808</v>
      </c>
      <c r="Y302" s="119" t="s">
        <v>231</v>
      </c>
      <c r="Z302" s="120" t="s">
        <v>1735</v>
      </c>
      <c r="AA302" s="121" t="s">
        <v>1736</v>
      </c>
      <c r="AB302" s="122" t="s">
        <v>284</v>
      </c>
      <c r="AC302" s="206">
        <f>80+112</f>
        <v>192</v>
      </c>
      <c r="AD302" s="124">
        <v>1.34</v>
      </c>
      <c r="AE302" s="200">
        <f t="shared" si="47"/>
        <v>257.27999999999997</v>
      </c>
      <c r="AF302" s="227">
        <v>2</v>
      </c>
      <c r="AG302" s="374"/>
      <c r="AR302" s="129" t="s">
        <v>63</v>
      </c>
      <c r="AT302" s="129" t="s">
        <v>231</v>
      </c>
      <c r="AU302" s="129" t="s">
        <v>63</v>
      </c>
      <c r="AY302" s="13" t="s">
        <v>228</v>
      </c>
      <c r="BE302" s="130">
        <f t="shared" si="48"/>
        <v>107.2</v>
      </c>
      <c r="BF302" s="130">
        <f t="shared" si="49"/>
        <v>0</v>
      </c>
      <c r="BG302" s="130">
        <f t="shared" si="50"/>
        <v>0</v>
      </c>
      <c r="BH302" s="130">
        <f t="shared" si="51"/>
        <v>0</v>
      </c>
      <c r="BI302" s="130">
        <f t="shared" si="52"/>
        <v>0</v>
      </c>
      <c r="BJ302" s="13" t="s">
        <v>63</v>
      </c>
      <c r="BK302" s="130">
        <f t="shared" si="53"/>
        <v>107.2</v>
      </c>
      <c r="BL302" s="13" t="s">
        <v>63</v>
      </c>
      <c r="BM302" s="129" t="s">
        <v>1737</v>
      </c>
    </row>
    <row r="303" spans="2:65" s="1" customFormat="1" ht="16.5" customHeight="1" x14ac:dyDescent="0.2">
      <c r="B303" s="118"/>
      <c r="C303" s="242" t="s">
        <v>518</v>
      </c>
      <c r="D303" s="131" t="s">
        <v>277</v>
      </c>
      <c r="E303" s="132" t="s">
        <v>1735</v>
      </c>
      <c r="F303" s="133" t="s">
        <v>1738</v>
      </c>
      <c r="G303" s="134" t="s">
        <v>284</v>
      </c>
      <c r="H303" s="241">
        <v>80</v>
      </c>
      <c r="I303" s="136">
        <v>3.34</v>
      </c>
      <c r="J303" s="136">
        <f t="shared" si="43"/>
        <v>267.2</v>
      </c>
      <c r="K303" s="133" t="s">
        <v>1</v>
      </c>
      <c r="L303" s="137"/>
      <c r="M303" s="138" t="s">
        <v>1</v>
      </c>
      <c r="N303" s="139" t="s">
        <v>31</v>
      </c>
      <c r="O303" s="127">
        <v>0</v>
      </c>
      <c r="P303" s="127">
        <f t="shared" si="44"/>
        <v>0</v>
      </c>
      <c r="Q303" s="127">
        <v>0</v>
      </c>
      <c r="R303" s="127">
        <f t="shared" si="45"/>
        <v>0</v>
      </c>
      <c r="S303" s="127">
        <v>0</v>
      </c>
      <c r="T303" s="128">
        <f t="shared" si="46"/>
        <v>0</v>
      </c>
      <c r="W303" s="199"/>
      <c r="X303" s="242" t="s">
        <v>518</v>
      </c>
      <c r="Y303" s="131" t="s">
        <v>277</v>
      </c>
      <c r="Z303" s="132" t="s">
        <v>1735</v>
      </c>
      <c r="AA303" s="133" t="s">
        <v>1738</v>
      </c>
      <c r="AB303" s="134" t="s">
        <v>284</v>
      </c>
      <c r="AC303" s="241">
        <f>80+112</f>
        <v>192</v>
      </c>
      <c r="AD303" s="136">
        <v>3.34</v>
      </c>
      <c r="AE303" s="229">
        <f t="shared" si="47"/>
        <v>641.28</v>
      </c>
      <c r="AF303" s="227">
        <v>2</v>
      </c>
      <c r="AG303" s="374"/>
      <c r="AR303" s="129" t="s">
        <v>76</v>
      </c>
      <c r="AT303" s="129" t="s">
        <v>277</v>
      </c>
      <c r="AU303" s="129" t="s">
        <v>63</v>
      </c>
      <c r="AY303" s="13" t="s">
        <v>228</v>
      </c>
      <c r="BE303" s="130">
        <f t="shared" si="48"/>
        <v>267.2</v>
      </c>
      <c r="BF303" s="130">
        <f t="shared" si="49"/>
        <v>0</v>
      </c>
      <c r="BG303" s="130">
        <f t="shared" si="50"/>
        <v>0</v>
      </c>
      <c r="BH303" s="130">
        <f t="shared" si="51"/>
        <v>0</v>
      </c>
      <c r="BI303" s="130">
        <f t="shared" si="52"/>
        <v>0</v>
      </c>
      <c r="BJ303" s="13" t="s">
        <v>63</v>
      </c>
      <c r="BK303" s="130">
        <f t="shared" si="53"/>
        <v>267.2</v>
      </c>
      <c r="BL303" s="13" t="s">
        <v>63</v>
      </c>
      <c r="BM303" s="129" t="s">
        <v>1739</v>
      </c>
    </row>
    <row r="304" spans="2:65" s="1" customFormat="1" ht="16.5" customHeight="1" x14ac:dyDescent="0.2">
      <c r="B304" s="118"/>
      <c r="C304" s="131" t="s">
        <v>815</v>
      </c>
      <c r="D304" s="131" t="s">
        <v>277</v>
      </c>
      <c r="E304" s="132" t="s">
        <v>1740</v>
      </c>
      <c r="F304" s="133" t="s">
        <v>1741</v>
      </c>
      <c r="G304" s="134" t="s">
        <v>1194</v>
      </c>
      <c r="H304" s="135">
        <v>1</v>
      </c>
      <c r="I304" s="136">
        <v>6088.28</v>
      </c>
      <c r="J304" s="136">
        <f t="shared" si="43"/>
        <v>6088.28</v>
      </c>
      <c r="K304" s="133" t="s">
        <v>1</v>
      </c>
      <c r="L304" s="137"/>
      <c r="M304" s="138" t="s">
        <v>1</v>
      </c>
      <c r="N304" s="139" t="s">
        <v>31</v>
      </c>
      <c r="O304" s="127">
        <v>0</v>
      </c>
      <c r="P304" s="127">
        <f t="shared" si="44"/>
        <v>0</v>
      </c>
      <c r="Q304" s="127">
        <v>0</v>
      </c>
      <c r="R304" s="127">
        <f t="shared" si="45"/>
        <v>0</v>
      </c>
      <c r="S304" s="127">
        <v>0</v>
      </c>
      <c r="T304" s="128">
        <f t="shared" si="46"/>
        <v>0</v>
      </c>
      <c r="W304" s="199"/>
      <c r="X304" s="131" t="s">
        <v>815</v>
      </c>
      <c r="Y304" s="131" t="s">
        <v>277</v>
      </c>
      <c r="Z304" s="132" t="s">
        <v>1740</v>
      </c>
      <c r="AA304" s="133" t="s">
        <v>1741</v>
      </c>
      <c r="AB304" s="134" t="s">
        <v>1194</v>
      </c>
      <c r="AC304" s="135">
        <v>1</v>
      </c>
      <c r="AD304" s="136">
        <v>6088.28</v>
      </c>
      <c r="AE304" s="229">
        <f t="shared" si="47"/>
        <v>6088.28</v>
      </c>
      <c r="AF304" s="227"/>
      <c r="AG304" s="374"/>
      <c r="AR304" s="129" t="s">
        <v>76</v>
      </c>
      <c r="AT304" s="129" t="s">
        <v>277</v>
      </c>
      <c r="AU304" s="129" t="s">
        <v>63</v>
      </c>
      <c r="AY304" s="13" t="s">
        <v>228</v>
      </c>
      <c r="BE304" s="130">
        <f t="shared" si="48"/>
        <v>6088.28</v>
      </c>
      <c r="BF304" s="130">
        <f t="shared" si="49"/>
        <v>0</v>
      </c>
      <c r="BG304" s="130">
        <f t="shared" si="50"/>
        <v>0</v>
      </c>
      <c r="BH304" s="130">
        <f t="shared" si="51"/>
        <v>0</v>
      </c>
      <c r="BI304" s="130">
        <f t="shared" si="52"/>
        <v>0</v>
      </c>
      <c r="BJ304" s="13" t="s">
        <v>63</v>
      </c>
      <c r="BK304" s="130">
        <f t="shared" si="53"/>
        <v>6088.28</v>
      </c>
      <c r="BL304" s="13" t="s">
        <v>63</v>
      </c>
      <c r="BM304" s="129" t="s">
        <v>1742</v>
      </c>
    </row>
    <row r="305" spans="2:65" s="1" customFormat="1" ht="16.5" customHeight="1" x14ac:dyDescent="0.2">
      <c r="B305" s="118"/>
      <c r="C305" s="131" t="s">
        <v>521</v>
      </c>
      <c r="D305" s="131" t="s">
        <v>277</v>
      </c>
      <c r="E305" s="132" t="s">
        <v>1743</v>
      </c>
      <c r="F305" s="133" t="s">
        <v>1744</v>
      </c>
      <c r="G305" s="134" t="s">
        <v>1194</v>
      </c>
      <c r="H305" s="135">
        <v>1</v>
      </c>
      <c r="I305" s="136">
        <v>1404.58</v>
      </c>
      <c r="J305" s="136">
        <f t="shared" si="43"/>
        <v>1404.58</v>
      </c>
      <c r="K305" s="133" t="s">
        <v>1</v>
      </c>
      <c r="L305" s="137"/>
      <c r="M305" s="138" t="s">
        <v>1</v>
      </c>
      <c r="N305" s="139" t="s">
        <v>31</v>
      </c>
      <c r="O305" s="127">
        <v>0</v>
      </c>
      <c r="P305" s="127">
        <f t="shared" si="44"/>
        <v>0</v>
      </c>
      <c r="Q305" s="127">
        <v>0</v>
      </c>
      <c r="R305" s="127">
        <f t="shared" si="45"/>
        <v>0</v>
      </c>
      <c r="S305" s="127">
        <v>0</v>
      </c>
      <c r="T305" s="128">
        <f t="shared" si="46"/>
        <v>0</v>
      </c>
      <c r="W305" s="199"/>
      <c r="X305" s="131" t="s">
        <v>521</v>
      </c>
      <c r="Y305" s="131" t="s">
        <v>277</v>
      </c>
      <c r="Z305" s="132" t="s">
        <v>1743</v>
      </c>
      <c r="AA305" s="133" t="s">
        <v>1744</v>
      </c>
      <c r="AB305" s="134" t="s">
        <v>1194</v>
      </c>
      <c r="AC305" s="135">
        <v>1</v>
      </c>
      <c r="AD305" s="136">
        <v>1404.58</v>
      </c>
      <c r="AE305" s="229">
        <f t="shared" si="47"/>
        <v>1404.58</v>
      </c>
      <c r="AF305" s="227"/>
      <c r="AG305" s="374"/>
      <c r="AR305" s="129" t="s">
        <v>76</v>
      </c>
      <c r="AT305" s="129" t="s">
        <v>277</v>
      </c>
      <c r="AU305" s="129" t="s">
        <v>63</v>
      </c>
      <c r="AY305" s="13" t="s">
        <v>228</v>
      </c>
      <c r="BE305" s="130">
        <f t="shared" si="48"/>
        <v>1404.58</v>
      </c>
      <c r="BF305" s="130">
        <f t="shared" si="49"/>
        <v>0</v>
      </c>
      <c r="BG305" s="130">
        <f t="shared" si="50"/>
        <v>0</v>
      </c>
      <c r="BH305" s="130">
        <f t="shared" si="51"/>
        <v>0</v>
      </c>
      <c r="BI305" s="130">
        <f t="shared" si="52"/>
        <v>0</v>
      </c>
      <c r="BJ305" s="13" t="s">
        <v>63</v>
      </c>
      <c r="BK305" s="130">
        <f t="shared" si="53"/>
        <v>1404.58</v>
      </c>
      <c r="BL305" s="13" t="s">
        <v>63</v>
      </c>
      <c r="BM305" s="129" t="s">
        <v>1745</v>
      </c>
    </row>
    <row r="306" spans="2:65" s="1" customFormat="1" ht="16.5" customHeight="1" x14ac:dyDescent="0.2">
      <c r="B306" s="118"/>
      <c r="C306" s="131" t="s">
        <v>824</v>
      </c>
      <c r="D306" s="131" t="s">
        <v>277</v>
      </c>
      <c r="E306" s="132" t="s">
        <v>1746</v>
      </c>
      <c r="F306" s="133" t="s">
        <v>1747</v>
      </c>
      <c r="G306" s="134" t="s">
        <v>1194</v>
      </c>
      <c r="H306" s="135">
        <v>1</v>
      </c>
      <c r="I306" s="136">
        <v>2016.08</v>
      </c>
      <c r="J306" s="136">
        <f t="shared" ref="J306:J313" si="54">ROUND(I306*H306,2)</f>
        <v>2016.08</v>
      </c>
      <c r="K306" s="133" t="s">
        <v>1</v>
      </c>
      <c r="L306" s="137"/>
      <c r="M306" s="138" t="s">
        <v>1</v>
      </c>
      <c r="N306" s="139" t="s">
        <v>31</v>
      </c>
      <c r="O306" s="127">
        <v>0</v>
      </c>
      <c r="P306" s="127">
        <f t="shared" ref="P306:P313" si="55">O306*H306</f>
        <v>0</v>
      </c>
      <c r="Q306" s="127">
        <v>0</v>
      </c>
      <c r="R306" s="127">
        <f t="shared" ref="R306:R313" si="56">Q306*H306</f>
        <v>0</v>
      </c>
      <c r="S306" s="127">
        <v>0</v>
      </c>
      <c r="T306" s="128">
        <f t="shared" ref="T306:T313" si="57">S306*H306</f>
        <v>0</v>
      </c>
      <c r="W306" s="199"/>
      <c r="X306" s="131" t="s">
        <v>824</v>
      </c>
      <c r="Y306" s="131" t="s">
        <v>277</v>
      </c>
      <c r="Z306" s="132" t="s">
        <v>1746</v>
      </c>
      <c r="AA306" s="133" t="s">
        <v>1747</v>
      </c>
      <c r="AB306" s="134" t="s">
        <v>1194</v>
      </c>
      <c r="AC306" s="135">
        <v>1</v>
      </c>
      <c r="AD306" s="136">
        <v>2016.08</v>
      </c>
      <c r="AE306" s="229">
        <f t="shared" si="47"/>
        <v>2016.08</v>
      </c>
      <c r="AF306" s="227"/>
      <c r="AG306" s="374"/>
      <c r="AR306" s="129" t="s">
        <v>76</v>
      </c>
      <c r="AT306" s="129" t="s">
        <v>277</v>
      </c>
      <c r="AU306" s="129" t="s">
        <v>63</v>
      </c>
      <c r="AY306" s="13" t="s">
        <v>228</v>
      </c>
      <c r="BE306" s="130">
        <f t="shared" ref="BE306:BE313" si="58">IF(N306="základná",J306,0)</f>
        <v>2016.08</v>
      </c>
      <c r="BF306" s="130">
        <f t="shared" ref="BF306:BF313" si="59">IF(N306="znížená",J306,0)</f>
        <v>0</v>
      </c>
      <c r="BG306" s="130">
        <f t="shared" ref="BG306:BG313" si="60">IF(N306="zákl. prenesená",J306,0)</f>
        <v>0</v>
      </c>
      <c r="BH306" s="130">
        <f t="shared" ref="BH306:BH313" si="61">IF(N306="zníž. prenesená",J306,0)</f>
        <v>0</v>
      </c>
      <c r="BI306" s="130">
        <f t="shared" ref="BI306:BI313" si="62">IF(N306="nulová",J306,0)</f>
        <v>0</v>
      </c>
      <c r="BJ306" s="13" t="s">
        <v>63</v>
      </c>
      <c r="BK306" s="130">
        <f t="shared" ref="BK306:BK313" si="63">ROUND(I306*H306,2)</f>
        <v>2016.08</v>
      </c>
      <c r="BL306" s="13" t="s">
        <v>63</v>
      </c>
      <c r="BM306" s="129" t="s">
        <v>1748</v>
      </c>
    </row>
    <row r="307" spans="2:65" s="1" customFormat="1" ht="16.5" customHeight="1" x14ac:dyDescent="0.2">
      <c r="B307" s="118"/>
      <c r="C307" s="131" t="s">
        <v>525</v>
      </c>
      <c r="D307" s="131" t="s">
        <v>277</v>
      </c>
      <c r="E307" s="132" t="s">
        <v>1749</v>
      </c>
      <c r="F307" s="133" t="s">
        <v>1750</v>
      </c>
      <c r="G307" s="134" t="s">
        <v>1194</v>
      </c>
      <c r="H307" s="135">
        <v>1</v>
      </c>
      <c r="I307" s="136">
        <v>1121.53</v>
      </c>
      <c r="J307" s="136">
        <f t="shared" si="54"/>
        <v>1121.53</v>
      </c>
      <c r="K307" s="133" t="s">
        <v>1</v>
      </c>
      <c r="L307" s="137"/>
      <c r="M307" s="138" t="s">
        <v>1</v>
      </c>
      <c r="N307" s="139" t="s">
        <v>31</v>
      </c>
      <c r="O307" s="127">
        <v>0</v>
      </c>
      <c r="P307" s="127">
        <f t="shared" si="55"/>
        <v>0</v>
      </c>
      <c r="Q307" s="127">
        <v>0</v>
      </c>
      <c r="R307" s="127">
        <f t="shared" si="56"/>
        <v>0</v>
      </c>
      <c r="S307" s="127">
        <v>0</v>
      </c>
      <c r="T307" s="128">
        <f t="shared" si="57"/>
        <v>0</v>
      </c>
      <c r="W307" s="199"/>
      <c r="X307" s="131" t="s">
        <v>525</v>
      </c>
      <c r="Y307" s="131" t="s">
        <v>277</v>
      </c>
      <c r="Z307" s="132" t="s">
        <v>1749</v>
      </c>
      <c r="AA307" s="133" t="s">
        <v>1750</v>
      </c>
      <c r="AB307" s="134" t="s">
        <v>1194</v>
      </c>
      <c r="AC307" s="135">
        <v>1</v>
      </c>
      <c r="AD307" s="136">
        <v>1121.53</v>
      </c>
      <c r="AE307" s="229">
        <f t="shared" si="47"/>
        <v>1121.53</v>
      </c>
      <c r="AF307" s="227"/>
      <c r="AG307" s="374"/>
      <c r="AR307" s="129" t="s">
        <v>76</v>
      </c>
      <c r="AT307" s="129" t="s">
        <v>277</v>
      </c>
      <c r="AU307" s="129" t="s">
        <v>63</v>
      </c>
      <c r="AY307" s="13" t="s">
        <v>228</v>
      </c>
      <c r="BE307" s="130">
        <f t="shared" si="58"/>
        <v>1121.53</v>
      </c>
      <c r="BF307" s="130">
        <f t="shared" si="59"/>
        <v>0</v>
      </c>
      <c r="BG307" s="130">
        <f t="shared" si="60"/>
        <v>0</v>
      </c>
      <c r="BH307" s="130">
        <f t="shared" si="61"/>
        <v>0</v>
      </c>
      <c r="BI307" s="130">
        <f t="shared" si="62"/>
        <v>0</v>
      </c>
      <c r="BJ307" s="13" t="s">
        <v>63</v>
      </c>
      <c r="BK307" s="130">
        <f t="shared" si="63"/>
        <v>1121.53</v>
      </c>
      <c r="BL307" s="13" t="s">
        <v>63</v>
      </c>
      <c r="BM307" s="129" t="s">
        <v>1751</v>
      </c>
    </row>
    <row r="308" spans="2:65" s="1" customFormat="1" ht="16.5" customHeight="1" x14ac:dyDescent="0.2">
      <c r="B308" s="118"/>
      <c r="C308" s="444" t="s">
        <v>831</v>
      </c>
      <c r="D308" s="131" t="s">
        <v>277</v>
      </c>
      <c r="E308" s="132" t="s">
        <v>1752</v>
      </c>
      <c r="F308" s="133" t="s">
        <v>1753</v>
      </c>
      <c r="G308" s="134" t="s">
        <v>1194</v>
      </c>
      <c r="H308" s="443">
        <v>1</v>
      </c>
      <c r="I308" s="136">
        <v>6141.69</v>
      </c>
      <c r="J308" s="136">
        <f t="shared" si="54"/>
        <v>6141.69</v>
      </c>
      <c r="K308" s="133" t="s">
        <v>1</v>
      </c>
      <c r="L308" s="137"/>
      <c r="M308" s="138" t="s">
        <v>1</v>
      </c>
      <c r="N308" s="139" t="s">
        <v>31</v>
      </c>
      <c r="O308" s="127">
        <v>0</v>
      </c>
      <c r="P308" s="127">
        <f t="shared" si="55"/>
        <v>0</v>
      </c>
      <c r="Q308" s="127">
        <v>0</v>
      </c>
      <c r="R308" s="127">
        <f t="shared" si="56"/>
        <v>0</v>
      </c>
      <c r="S308" s="127">
        <v>0</v>
      </c>
      <c r="T308" s="128">
        <f t="shared" si="57"/>
        <v>0</v>
      </c>
      <c r="W308" s="199"/>
      <c r="X308" s="444" t="s">
        <v>831</v>
      </c>
      <c r="Y308" s="444" t="s">
        <v>277</v>
      </c>
      <c r="Z308" s="453" t="s">
        <v>1752</v>
      </c>
      <c r="AA308" s="454" t="s">
        <v>1753</v>
      </c>
      <c r="AB308" s="455" t="s">
        <v>1194</v>
      </c>
      <c r="AC308" s="443">
        <v>1</v>
      </c>
      <c r="AD308" s="136">
        <v>6141.69</v>
      </c>
      <c r="AE308" s="229">
        <f t="shared" si="47"/>
        <v>6141.69</v>
      </c>
      <c r="AF308" s="227"/>
      <c r="AG308" s="374"/>
      <c r="AR308" s="129" t="s">
        <v>76</v>
      </c>
      <c r="AT308" s="129" t="s">
        <v>277</v>
      </c>
      <c r="AU308" s="129" t="s">
        <v>63</v>
      </c>
      <c r="AY308" s="13" t="s">
        <v>228</v>
      </c>
      <c r="BE308" s="130">
        <f t="shared" si="58"/>
        <v>6141.69</v>
      </c>
      <c r="BF308" s="130">
        <f t="shared" si="59"/>
        <v>0</v>
      </c>
      <c r="BG308" s="130">
        <f t="shared" si="60"/>
        <v>0</v>
      </c>
      <c r="BH308" s="130">
        <f t="shared" si="61"/>
        <v>0</v>
      </c>
      <c r="BI308" s="130">
        <f t="shared" si="62"/>
        <v>0</v>
      </c>
      <c r="BJ308" s="13" t="s">
        <v>63</v>
      </c>
      <c r="BK308" s="130">
        <f t="shared" si="63"/>
        <v>6141.69</v>
      </c>
      <c r="BL308" s="13" t="s">
        <v>63</v>
      </c>
      <c r="BM308" s="129" t="s">
        <v>1754</v>
      </c>
    </row>
    <row r="309" spans="2:65" s="1" customFormat="1" ht="16.5" customHeight="1" x14ac:dyDescent="0.2">
      <c r="B309" s="118"/>
      <c r="C309" s="444" t="s">
        <v>528</v>
      </c>
      <c r="D309" s="131" t="s">
        <v>277</v>
      </c>
      <c r="E309" s="132" t="s">
        <v>1755</v>
      </c>
      <c r="F309" s="133" t="s">
        <v>1756</v>
      </c>
      <c r="G309" s="134" t="s">
        <v>1194</v>
      </c>
      <c r="H309" s="443">
        <v>1</v>
      </c>
      <c r="I309" s="136">
        <v>4592.92</v>
      </c>
      <c r="J309" s="136">
        <f t="shared" si="54"/>
        <v>4592.92</v>
      </c>
      <c r="K309" s="133" t="s">
        <v>1</v>
      </c>
      <c r="L309" s="137"/>
      <c r="M309" s="138" t="s">
        <v>1</v>
      </c>
      <c r="N309" s="139" t="s">
        <v>31</v>
      </c>
      <c r="O309" s="127">
        <v>0</v>
      </c>
      <c r="P309" s="127">
        <f t="shared" si="55"/>
        <v>0</v>
      </c>
      <c r="Q309" s="127">
        <v>0</v>
      </c>
      <c r="R309" s="127">
        <f t="shared" si="56"/>
        <v>0</v>
      </c>
      <c r="S309" s="127">
        <v>0</v>
      </c>
      <c r="T309" s="128">
        <f t="shared" si="57"/>
        <v>0</v>
      </c>
      <c r="W309" s="199"/>
      <c r="X309" s="444" t="s">
        <v>528</v>
      </c>
      <c r="Y309" s="444" t="s">
        <v>277</v>
      </c>
      <c r="Z309" s="453" t="s">
        <v>1755</v>
      </c>
      <c r="AA309" s="454" t="s">
        <v>1756</v>
      </c>
      <c r="AB309" s="455" t="s">
        <v>1194</v>
      </c>
      <c r="AC309" s="443">
        <v>1</v>
      </c>
      <c r="AD309" s="136">
        <v>4592.92</v>
      </c>
      <c r="AE309" s="229">
        <f t="shared" si="47"/>
        <v>4592.92</v>
      </c>
      <c r="AF309" s="227"/>
      <c r="AG309" s="374"/>
      <c r="AR309" s="129" t="s">
        <v>76</v>
      </c>
      <c r="AT309" s="129" t="s">
        <v>277</v>
      </c>
      <c r="AU309" s="129" t="s">
        <v>63</v>
      </c>
      <c r="AY309" s="13" t="s">
        <v>228</v>
      </c>
      <c r="BE309" s="130">
        <f t="shared" si="58"/>
        <v>4592.92</v>
      </c>
      <c r="BF309" s="130">
        <f t="shared" si="59"/>
        <v>0</v>
      </c>
      <c r="BG309" s="130">
        <f t="shared" si="60"/>
        <v>0</v>
      </c>
      <c r="BH309" s="130">
        <f t="shared" si="61"/>
        <v>0</v>
      </c>
      <c r="BI309" s="130">
        <f t="shared" si="62"/>
        <v>0</v>
      </c>
      <c r="BJ309" s="13" t="s">
        <v>63</v>
      </c>
      <c r="BK309" s="130">
        <f t="shared" si="63"/>
        <v>4592.92</v>
      </c>
      <c r="BL309" s="13" t="s">
        <v>63</v>
      </c>
      <c r="BM309" s="129" t="s">
        <v>1757</v>
      </c>
    </row>
    <row r="310" spans="2:65" s="1" customFormat="1" ht="16.5" customHeight="1" x14ac:dyDescent="0.2">
      <c r="B310" s="118"/>
      <c r="C310" s="119" t="s">
        <v>838</v>
      </c>
      <c r="D310" s="119" t="s">
        <v>231</v>
      </c>
      <c r="E310" s="120" t="s">
        <v>1758</v>
      </c>
      <c r="F310" s="121" t="s">
        <v>1759</v>
      </c>
      <c r="G310" s="122" t="s">
        <v>1194</v>
      </c>
      <c r="H310" s="123">
        <v>1</v>
      </c>
      <c r="I310" s="124">
        <v>2068.4699999999998</v>
      </c>
      <c r="J310" s="124">
        <f t="shared" si="54"/>
        <v>2068.4699999999998</v>
      </c>
      <c r="K310" s="121" t="s">
        <v>1</v>
      </c>
      <c r="L310" s="24"/>
      <c r="M310" s="125" t="s">
        <v>1</v>
      </c>
      <c r="N310" s="126" t="s">
        <v>31</v>
      </c>
      <c r="O310" s="127">
        <v>0</v>
      </c>
      <c r="P310" s="127">
        <f t="shared" si="55"/>
        <v>0</v>
      </c>
      <c r="Q310" s="127">
        <v>0</v>
      </c>
      <c r="R310" s="127">
        <f t="shared" si="56"/>
        <v>0</v>
      </c>
      <c r="S310" s="127">
        <v>0</v>
      </c>
      <c r="T310" s="128">
        <f t="shared" si="57"/>
        <v>0</v>
      </c>
      <c r="W310" s="199"/>
      <c r="X310" s="119" t="s">
        <v>838</v>
      </c>
      <c r="Y310" s="119" t="s">
        <v>231</v>
      </c>
      <c r="Z310" s="120" t="s">
        <v>1758</v>
      </c>
      <c r="AA310" s="121" t="s">
        <v>1759</v>
      </c>
      <c r="AB310" s="122" t="s">
        <v>1194</v>
      </c>
      <c r="AC310" s="123">
        <v>1</v>
      </c>
      <c r="AD310" s="124">
        <v>2068.4699999999998</v>
      </c>
      <c r="AE310" s="200">
        <f t="shared" si="47"/>
        <v>2068.4699999999998</v>
      </c>
      <c r="AF310" s="227"/>
      <c r="AG310" s="374"/>
      <c r="AR310" s="129" t="s">
        <v>63</v>
      </c>
      <c r="AT310" s="129" t="s">
        <v>231</v>
      </c>
      <c r="AU310" s="129" t="s">
        <v>63</v>
      </c>
      <c r="AY310" s="13" t="s">
        <v>228</v>
      </c>
      <c r="BE310" s="130">
        <f t="shared" si="58"/>
        <v>2068.4699999999998</v>
      </c>
      <c r="BF310" s="130">
        <f t="shared" si="59"/>
        <v>0</v>
      </c>
      <c r="BG310" s="130">
        <f t="shared" si="60"/>
        <v>0</v>
      </c>
      <c r="BH310" s="130">
        <f t="shared" si="61"/>
        <v>0</v>
      </c>
      <c r="BI310" s="130">
        <f t="shared" si="62"/>
        <v>0</v>
      </c>
      <c r="BJ310" s="13" t="s">
        <v>63</v>
      </c>
      <c r="BK310" s="130">
        <f t="shared" si="63"/>
        <v>2068.4699999999998</v>
      </c>
      <c r="BL310" s="13" t="s">
        <v>63</v>
      </c>
      <c r="BM310" s="129" t="s">
        <v>1760</v>
      </c>
    </row>
    <row r="311" spans="2:65" s="1" customFormat="1" ht="16.5" customHeight="1" x14ac:dyDescent="0.2">
      <c r="B311" s="118"/>
      <c r="C311" s="119" t="s">
        <v>532</v>
      </c>
      <c r="D311" s="119" t="s">
        <v>231</v>
      </c>
      <c r="E311" s="120" t="s">
        <v>1761</v>
      </c>
      <c r="F311" s="121" t="s">
        <v>1762</v>
      </c>
      <c r="G311" s="122" t="s">
        <v>1194</v>
      </c>
      <c r="H311" s="123">
        <v>1</v>
      </c>
      <c r="I311" s="124">
        <v>5839.16</v>
      </c>
      <c r="J311" s="124">
        <f t="shared" si="54"/>
        <v>5839.16</v>
      </c>
      <c r="K311" s="121" t="s">
        <v>1</v>
      </c>
      <c r="L311" s="24"/>
      <c r="M311" s="125" t="s">
        <v>1</v>
      </c>
      <c r="N311" s="126" t="s">
        <v>31</v>
      </c>
      <c r="O311" s="127">
        <v>0</v>
      </c>
      <c r="P311" s="127">
        <f t="shared" si="55"/>
        <v>0</v>
      </c>
      <c r="Q311" s="127">
        <v>0</v>
      </c>
      <c r="R311" s="127">
        <f t="shared" si="56"/>
        <v>0</v>
      </c>
      <c r="S311" s="127">
        <v>0</v>
      </c>
      <c r="T311" s="128">
        <f t="shared" si="57"/>
        <v>0</v>
      </c>
      <c r="W311" s="199"/>
      <c r="X311" s="119" t="s">
        <v>532</v>
      </c>
      <c r="Y311" s="119" t="s">
        <v>231</v>
      </c>
      <c r="Z311" s="120" t="s">
        <v>1761</v>
      </c>
      <c r="AA311" s="121" t="s">
        <v>1762</v>
      </c>
      <c r="AB311" s="122" t="s">
        <v>1194</v>
      </c>
      <c r="AC311" s="123">
        <v>1</v>
      </c>
      <c r="AD311" s="124">
        <v>5839.16</v>
      </c>
      <c r="AE311" s="200">
        <f t="shared" si="47"/>
        <v>5839.16</v>
      </c>
      <c r="AF311" s="227"/>
      <c r="AG311" s="374"/>
      <c r="AR311" s="129" t="s">
        <v>63</v>
      </c>
      <c r="AT311" s="129" t="s">
        <v>231</v>
      </c>
      <c r="AU311" s="129" t="s">
        <v>63</v>
      </c>
      <c r="AY311" s="13" t="s">
        <v>228</v>
      </c>
      <c r="BE311" s="130">
        <f t="shared" si="58"/>
        <v>5839.16</v>
      </c>
      <c r="BF311" s="130">
        <f t="shared" si="59"/>
        <v>0</v>
      </c>
      <c r="BG311" s="130">
        <f t="shared" si="60"/>
        <v>0</v>
      </c>
      <c r="BH311" s="130">
        <f t="shared" si="61"/>
        <v>0</v>
      </c>
      <c r="BI311" s="130">
        <f t="shared" si="62"/>
        <v>0</v>
      </c>
      <c r="BJ311" s="13" t="s">
        <v>63</v>
      </c>
      <c r="BK311" s="130">
        <f t="shared" si="63"/>
        <v>5839.16</v>
      </c>
      <c r="BL311" s="13" t="s">
        <v>63</v>
      </c>
      <c r="BM311" s="129" t="s">
        <v>1763</v>
      </c>
    </row>
    <row r="312" spans="2:65" s="1" customFormat="1" ht="16.5" customHeight="1" x14ac:dyDescent="0.2">
      <c r="B312" s="118"/>
      <c r="C312" s="119" t="s">
        <v>845</v>
      </c>
      <c r="D312" s="119" t="s">
        <v>231</v>
      </c>
      <c r="E312" s="120" t="s">
        <v>1764</v>
      </c>
      <c r="F312" s="121" t="s">
        <v>1765</v>
      </c>
      <c r="G312" s="122" t="s">
        <v>1194</v>
      </c>
      <c r="H312" s="123">
        <v>1</v>
      </c>
      <c r="I312" s="124">
        <v>1403.77</v>
      </c>
      <c r="J312" s="124">
        <f t="shared" si="54"/>
        <v>1403.77</v>
      </c>
      <c r="K312" s="121" t="s">
        <v>1</v>
      </c>
      <c r="L312" s="24"/>
      <c r="M312" s="125" t="s">
        <v>1</v>
      </c>
      <c r="N312" s="126" t="s">
        <v>31</v>
      </c>
      <c r="O312" s="127">
        <v>0</v>
      </c>
      <c r="P312" s="127">
        <f t="shared" si="55"/>
        <v>0</v>
      </c>
      <c r="Q312" s="127">
        <v>0</v>
      </c>
      <c r="R312" s="127">
        <f t="shared" si="56"/>
        <v>0</v>
      </c>
      <c r="S312" s="127">
        <v>0</v>
      </c>
      <c r="T312" s="128">
        <f t="shared" si="57"/>
        <v>0</v>
      </c>
      <c r="W312" s="199"/>
      <c r="X312" s="285" t="s">
        <v>845</v>
      </c>
      <c r="Y312" s="285" t="s">
        <v>231</v>
      </c>
      <c r="Z312" s="286" t="s">
        <v>1764</v>
      </c>
      <c r="AA312" s="240" t="s">
        <v>1765</v>
      </c>
      <c r="AB312" s="287" t="s">
        <v>1194</v>
      </c>
      <c r="AC312" s="288">
        <v>1</v>
      </c>
      <c r="AD312" s="289">
        <f>1403.77</f>
        <v>1403.77</v>
      </c>
      <c r="AE312" s="290">
        <f t="shared" si="47"/>
        <v>1403.77</v>
      </c>
      <c r="AF312" s="956"/>
      <c r="AG312" s="409"/>
      <c r="AR312" s="129" t="s">
        <v>63</v>
      </c>
      <c r="AT312" s="129" t="s">
        <v>231</v>
      </c>
      <c r="AU312" s="129" t="s">
        <v>63</v>
      </c>
      <c r="AY312" s="13" t="s">
        <v>228</v>
      </c>
      <c r="BE312" s="130">
        <f t="shared" si="58"/>
        <v>1403.77</v>
      </c>
      <c r="BF312" s="130">
        <f t="shared" si="59"/>
        <v>0</v>
      </c>
      <c r="BG312" s="130">
        <f t="shared" si="60"/>
        <v>0</v>
      </c>
      <c r="BH312" s="130">
        <f t="shared" si="61"/>
        <v>0</v>
      </c>
      <c r="BI312" s="130">
        <f t="shared" si="62"/>
        <v>0</v>
      </c>
      <c r="BJ312" s="13" t="s">
        <v>63</v>
      </c>
      <c r="BK312" s="130">
        <f t="shared" si="63"/>
        <v>1403.77</v>
      </c>
      <c r="BL312" s="13" t="s">
        <v>63</v>
      </c>
      <c r="BM312" s="129" t="s">
        <v>1766</v>
      </c>
    </row>
    <row r="313" spans="2:65" s="1" customFormat="1" ht="16.5" customHeight="1" x14ac:dyDescent="0.2">
      <c r="B313" s="118"/>
      <c r="C313" s="119" t="s">
        <v>535</v>
      </c>
      <c r="D313" s="119" t="s">
        <v>231</v>
      </c>
      <c r="E313" s="120" t="s">
        <v>1767</v>
      </c>
      <c r="F313" s="121" t="s">
        <v>1768</v>
      </c>
      <c r="G313" s="122" t="s">
        <v>1194</v>
      </c>
      <c r="H313" s="123">
        <v>1</v>
      </c>
      <c r="I313" s="124">
        <v>4178.2299999999996</v>
      </c>
      <c r="J313" s="124">
        <f t="shared" si="54"/>
        <v>4178.2299999999996</v>
      </c>
      <c r="K313" s="121" t="s">
        <v>1</v>
      </c>
      <c r="L313" s="24"/>
      <c r="M313" s="140" t="s">
        <v>1</v>
      </c>
      <c r="N313" s="141" t="s">
        <v>31</v>
      </c>
      <c r="O313" s="142">
        <v>0</v>
      </c>
      <c r="P313" s="142">
        <f t="shared" si="55"/>
        <v>0</v>
      </c>
      <c r="Q313" s="142">
        <v>0</v>
      </c>
      <c r="R313" s="142">
        <f t="shared" si="56"/>
        <v>0</v>
      </c>
      <c r="S313" s="142">
        <v>0</v>
      </c>
      <c r="T313" s="143">
        <f t="shared" si="57"/>
        <v>0</v>
      </c>
      <c r="W313" s="199"/>
      <c r="X313" s="285" t="s">
        <v>535</v>
      </c>
      <c r="Y313" s="285" t="s">
        <v>231</v>
      </c>
      <c r="Z313" s="286" t="s">
        <v>1767</v>
      </c>
      <c r="AA313" s="240" t="s">
        <v>1768</v>
      </c>
      <c r="AB313" s="287" t="s">
        <v>1194</v>
      </c>
      <c r="AC313" s="288">
        <v>1</v>
      </c>
      <c r="AD313" s="289">
        <f>4178.23</f>
        <v>4178.2299999999996</v>
      </c>
      <c r="AE313" s="290">
        <f t="shared" si="47"/>
        <v>4178.2299999999996</v>
      </c>
      <c r="AF313" s="956"/>
      <c r="AG313" s="409"/>
      <c r="AR313" s="129" t="s">
        <v>63</v>
      </c>
      <c r="AT313" s="129" t="s">
        <v>231</v>
      </c>
      <c r="AU313" s="129" t="s">
        <v>63</v>
      </c>
      <c r="AY313" s="13" t="s">
        <v>228</v>
      </c>
      <c r="BE313" s="130">
        <f t="shared" si="58"/>
        <v>4178.2299999999996</v>
      </c>
      <c r="BF313" s="130">
        <f t="shared" si="59"/>
        <v>0</v>
      </c>
      <c r="BG313" s="130">
        <f t="shared" si="60"/>
        <v>0</v>
      </c>
      <c r="BH313" s="130">
        <f t="shared" si="61"/>
        <v>0</v>
      </c>
      <c r="BI313" s="130">
        <f t="shared" si="62"/>
        <v>0</v>
      </c>
      <c r="BJ313" s="13" t="s">
        <v>63</v>
      </c>
      <c r="BK313" s="130">
        <f t="shared" si="63"/>
        <v>4178.2299999999996</v>
      </c>
      <c r="BL313" s="13" t="s">
        <v>63</v>
      </c>
      <c r="BM313" s="129" t="s">
        <v>1769</v>
      </c>
    </row>
    <row r="314" spans="2:65" s="1" customFormat="1" ht="7.05" customHeight="1" x14ac:dyDescent="0.2">
      <c r="B314" s="33"/>
      <c r="C314" s="34"/>
      <c r="D314" s="34"/>
      <c r="E314" s="34"/>
      <c r="F314" s="34"/>
      <c r="G314" s="34"/>
      <c r="H314" s="34"/>
      <c r="I314" s="34"/>
      <c r="J314" s="34"/>
      <c r="K314" s="34"/>
      <c r="L314" s="24"/>
      <c r="W314" s="175"/>
      <c r="X314" s="487"/>
      <c r="Y314" s="487"/>
      <c r="Z314" s="487"/>
      <c r="AA314" s="487"/>
      <c r="AB314" s="487"/>
      <c r="AC314" s="487"/>
      <c r="AD314" s="487"/>
      <c r="AE314" s="516"/>
      <c r="AF314" s="956"/>
      <c r="AG314" s="407"/>
    </row>
    <row r="315" spans="2:65" ht="12" x14ac:dyDescent="0.2">
      <c r="X315" s="410"/>
      <c r="Y315" s="410"/>
      <c r="Z315" s="410"/>
      <c r="AA315" s="410"/>
      <c r="AB315" s="410"/>
      <c r="AC315" s="410"/>
      <c r="AD315" s="410"/>
      <c r="AE315" s="410"/>
      <c r="AF315" s="956"/>
      <c r="AG315" s="410"/>
    </row>
    <row r="316" spans="2:65" ht="12" x14ac:dyDescent="0.2">
      <c r="AF316" s="227"/>
    </row>
    <row r="317" spans="2:65" ht="12" x14ac:dyDescent="0.2">
      <c r="AF317" s="227"/>
    </row>
    <row r="318" spans="2:65" ht="12" x14ac:dyDescent="0.2">
      <c r="AF318" s="227"/>
    </row>
    <row r="319" spans="2:65" ht="12" x14ac:dyDescent="0.2">
      <c r="AF319" s="227"/>
    </row>
  </sheetData>
  <autoFilter ref="C116:K313" xr:uid="{00000000-0009-0000-0000-000005000000}"/>
  <mergeCells count="54">
    <mergeCell ref="C300:J300"/>
    <mergeCell ref="C301:J301"/>
    <mergeCell ref="C206:J206"/>
    <mergeCell ref="C298:J298"/>
    <mergeCell ref="C299:J299"/>
    <mergeCell ref="C223:J223"/>
    <mergeCell ref="C227:J227"/>
    <mergeCell ref="C231:J231"/>
    <mergeCell ref="C235:J235"/>
    <mergeCell ref="C239:J239"/>
    <mergeCell ref="C241:J241"/>
    <mergeCell ref="C244:J244"/>
    <mergeCell ref="C201:J201"/>
    <mergeCell ref="C202:J202"/>
    <mergeCell ref="C203:J203"/>
    <mergeCell ref="C204:J204"/>
    <mergeCell ref="C205:J205"/>
    <mergeCell ref="C186:J186"/>
    <mergeCell ref="C195:J195"/>
    <mergeCell ref="C196:J196"/>
    <mergeCell ref="C197:J197"/>
    <mergeCell ref="C198:J198"/>
    <mergeCell ref="C123:J123"/>
    <mergeCell ref="C124:J124"/>
    <mergeCell ref="C183:J183"/>
    <mergeCell ref="C184:J184"/>
    <mergeCell ref="C185:J185"/>
    <mergeCell ref="E87:H87"/>
    <mergeCell ref="E107:H107"/>
    <mergeCell ref="E109:H109"/>
    <mergeCell ref="L2:V2"/>
    <mergeCell ref="E9:H9"/>
    <mergeCell ref="E18:H18"/>
    <mergeCell ref="E27:H27"/>
    <mergeCell ref="E85:H85"/>
    <mergeCell ref="C4:J4"/>
    <mergeCell ref="F6:J7"/>
    <mergeCell ref="C104:J104"/>
    <mergeCell ref="E106:J106"/>
    <mergeCell ref="Z87:AC87"/>
    <mergeCell ref="Z107:AC107"/>
    <mergeCell ref="Z109:AC109"/>
    <mergeCell ref="Z9:AC9"/>
    <mergeCell ref="Z18:AC18"/>
    <mergeCell ref="Z27:AC27"/>
    <mergeCell ref="Z85:AC85"/>
    <mergeCell ref="X104:AE104"/>
    <mergeCell ref="Z106:AE106"/>
    <mergeCell ref="Y4:AE4"/>
    <mergeCell ref="X82:AE82"/>
    <mergeCell ref="Z84:AE84"/>
    <mergeCell ref="C82:J82"/>
    <mergeCell ref="E84:J84"/>
    <mergeCell ref="AA6:AE7"/>
  </mergeCells>
  <pageMargins left="0.39370078740157483" right="0.39370078740157483" top="0.39370078740157483" bottom="0.39370078740157483" header="0" footer="0"/>
  <pageSetup paperSize="9" fitToHeight="100" orientation="landscape" r:id="rId1"/>
  <headerFooter>
    <oddFooter>&amp;CStrana &amp;P z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pageSetUpPr fitToPage="1"/>
  </sheetPr>
  <dimension ref="A1:BM167"/>
  <sheetViews>
    <sheetView showGridLines="0" topLeftCell="F43" zoomScale="80" zoomScaleNormal="80" workbookViewId="0">
      <selection activeCell="AE119" sqref="AE119:AE168"/>
    </sheetView>
  </sheetViews>
  <sheetFormatPr defaultColWidth="8.7109375" defaultRowHeight="10.199999999999999" x14ac:dyDescent="0.2"/>
  <cols>
    <col min="1" max="1" width="8.28515625" customWidth="1"/>
    <col min="2" max="2" width="1.7109375" customWidth="1"/>
    <col min="3" max="4" width="4.28515625" customWidth="1"/>
    <col min="5" max="5" width="17.28515625" customWidth="1"/>
    <col min="6" max="6" width="50.7109375" customWidth="1"/>
    <col min="7" max="7" width="7" customWidth="1"/>
    <col min="8" max="8" width="11.42578125" customWidth="1"/>
    <col min="9" max="10" width="20.28515625" customWidth="1"/>
    <col min="11" max="11" width="20.28515625" hidden="1" customWidth="1"/>
    <col min="12" max="12" width="9.28515625" customWidth="1"/>
    <col min="13" max="13" width="10.7109375" hidden="1" customWidth="1"/>
    <col min="14" max="14" width="9.28515625" hidden="1"/>
    <col min="15" max="20" width="14.28515625" hidden="1" customWidth="1"/>
    <col min="21" max="21" width="16.28515625" hidden="1" customWidth="1"/>
    <col min="22" max="22" width="12.28515625" customWidth="1"/>
    <col min="23" max="23" width="1.7109375" style="678" customWidth="1"/>
    <col min="24" max="24" width="5.28515625" style="678" customWidth="1"/>
    <col min="25" max="25" width="4.28515625" style="678" customWidth="1"/>
    <col min="26" max="26" width="17.28515625" style="678" customWidth="1"/>
    <col min="27" max="27" width="50.7109375" style="678" customWidth="1"/>
    <col min="28" max="28" width="7" style="678" customWidth="1"/>
    <col min="29" max="29" width="11.42578125" style="678" customWidth="1"/>
    <col min="30" max="31" width="20.28515625" style="678" customWidth="1"/>
    <col min="44" max="65" width="9.28515625" hidden="1"/>
  </cols>
  <sheetData>
    <row r="1" spans="1:46" x14ac:dyDescent="0.2">
      <c r="A1" s="73"/>
    </row>
    <row r="2" spans="1:46" ht="37.049999999999997" customHeight="1" x14ac:dyDescent="0.2">
      <c r="L2" s="1227" t="s">
        <v>5</v>
      </c>
      <c r="M2" s="1225"/>
      <c r="N2" s="1225"/>
      <c r="O2" s="1225"/>
      <c r="P2" s="1225"/>
      <c r="Q2" s="1225"/>
      <c r="R2" s="1225"/>
      <c r="S2" s="1225"/>
      <c r="T2" s="1225"/>
      <c r="U2" s="1225"/>
      <c r="V2" s="1225"/>
      <c r="AT2" s="13" t="s">
        <v>79</v>
      </c>
    </row>
    <row r="3" spans="1:46" ht="7.05" customHeight="1" x14ac:dyDescent="0.2">
      <c r="B3" s="14"/>
      <c r="C3" s="15"/>
      <c r="D3" s="15"/>
      <c r="E3" s="15"/>
      <c r="F3" s="15"/>
      <c r="G3" s="15"/>
      <c r="H3" s="15"/>
      <c r="I3" s="15"/>
      <c r="J3" s="15"/>
      <c r="K3" s="15"/>
      <c r="L3" s="16"/>
      <c r="W3" s="152"/>
      <c r="X3" s="153"/>
      <c r="Y3" s="153"/>
      <c r="Z3" s="153"/>
      <c r="AA3" s="153"/>
      <c r="AB3" s="153"/>
      <c r="AC3" s="153"/>
      <c r="AD3" s="153"/>
      <c r="AE3" s="154"/>
      <c r="AT3" s="13" t="s">
        <v>76</v>
      </c>
    </row>
    <row r="4" spans="1:46" ht="25.05" customHeight="1" x14ac:dyDescent="0.2">
      <c r="B4" s="16"/>
      <c r="D4" s="1165" t="s">
        <v>185</v>
      </c>
      <c r="E4" s="1165"/>
      <c r="F4" s="1165"/>
      <c r="G4" s="1165"/>
      <c r="H4" s="1165"/>
      <c r="I4" s="1165"/>
      <c r="J4" s="1165"/>
      <c r="L4" s="16"/>
      <c r="M4" s="74" t="s">
        <v>9</v>
      </c>
      <c r="W4" s="155"/>
      <c r="X4" s="156"/>
      <c r="Y4" s="1237" t="s">
        <v>185</v>
      </c>
      <c r="Z4" s="1237"/>
      <c r="AA4" s="1237"/>
      <c r="AB4" s="1237"/>
      <c r="AC4" s="1237"/>
      <c r="AD4" s="1237"/>
      <c r="AE4" s="1238"/>
      <c r="AT4" s="13" t="s">
        <v>3</v>
      </c>
    </row>
    <row r="5" spans="1:46" ht="7.05" customHeight="1" x14ac:dyDescent="0.2">
      <c r="B5" s="16"/>
      <c r="L5" s="16"/>
      <c r="W5" s="155"/>
      <c r="X5" s="156"/>
      <c r="Y5" s="156"/>
      <c r="Z5" s="156"/>
      <c r="AA5" s="156"/>
      <c r="AB5" s="156"/>
      <c r="AC5" s="156"/>
      <c r="AD5" s="156"/>
      <c r="AE5" s="157"/>
    </row>
    <row r="6" spans="1:46" ht="12" customHeight="1" x14ac:dyDescent="0.2">
      <c r="B6" s="16"/>
      <c r="D6" s="548" t="s">
        <v>12</v>
      </c>
      <c r="F6" s="1254" t="s">
        <v>6176</v>
      </c>
      <c r="G6" s="1254"/>
      <c r="H6" s="1254"/>
      <c r="I6" s="1254"/>
      <c r="J6" s="1254"/>
      <c r="L6" s="16"/>
      <c r="W6" s="155"/>
      <c r="X6" s="156"/>
      <c r="Y6" s="541" t="s">
        <v>12</v>
      </c>
      <c r="Z6" s="156"/>
      <c r="AA6" s="1239" t="s">
        <v>6176</v>
      </c>
      <c r="AB6" s="1239"/>
      <c r="AC6" s="1239"/>
      <c r="AD6" s="1239"/>
      <c r="AE6" s="1240"/>
    </row>
    <row r="7" spans="1:46" ht="23.55" customHeight="1" x14ac:dyDescent="0.2">
      <c r="B7" s="16"/>
      <c r="D7" s="527"/>
      <c r="E7" s="531"/>
      <c r="F7" s="1254"/>
      <c r="G7" s="1254"/>
      <c r="H7" s="1254"/>
      <c r="I7" s="1254"/>
      <c r="J7" s="1254"/>
      <c r="L7" s="16"/>
      <c r="W7" s="155"/>
      <c r="X7" s="156"/>
      <c r="Y7" s="539"/>
      <c r="Z7" s="245"/>
      <c r="AA7" s="1239"/>
      <c r="AB7" s="1239"/>
      <c r="AC7" s="1239"/>
      <c r="AD7" s="1239"/>
      <c r="AE7" s="1240"/>
    </row>
    <row r="8" spans="1:46" s="1" customFormat="1" ht="12" customHeight="1" x14ac:dyDescent="0.2">
      <c r="B8" s="24"/>
      <c r="D8" s="549" t="s">
        <v>186</v>
      </c>
      <c r="F8" s="532" t="s">
        <v>1770</v>
      </c>
      <c r="L8" s="24"/>
      <c r="W8" s="158"/>
      <c r="X8" s="680"/>
      <c r="Y8" s="550" t="s">
        <v>186</v>
      </c>
      <c r="Z8" s="680"/>
      <c r="AA8" s="555" t="s">
        <v>1770</v>
      </c>
      <c r="AB8" s="680"/>
      <c r="AC8" s="680"/>
      <c r="AD8" s="680"/>
      <c r="AE8" s="159"/>
    </row>
    <row r="9" spans="1:46" s="1" customFormat="1" ht="37.049999999999997" customHeight="1" x14ac:dyDescent="0.2">
      <c r="B9" s="24"/>
      <c r="D9" s="521"/>
      <c r="E9" s="1251"/>
      <c r="F9" s="1252"/>
      <c r="G9" s="1252"/>
      <c r="H9" s="1252"/>
      <c r="L9" s="24"/>
      <c r="W9" s="158"/>
      <c r="X9" s="680"/>
      <c r="Y9" s="680"/>
      <c r="Z9" s="1245"/>
      <c r="AA9" s="1246"/>
      <c r="AB9" s="1246"/>
      <c r="AC9" s="1246"/>
      <c r="AD9" s="680"/>
      <c r="AE9" s="159"/>
    </row>
    <row r="10" spans="1:46" s="1" customFormat="1" x14ac:dyDescent="0.2">
      <c r="B10" s="24"/>
      <c r="D10" s="521"/>
      <c r="L10" s="24"/>
      <c r="W10" s="158"/>
      <c r="X10" s="680"/>
      <c r="Y10" s="680"/>
      <c r="Z10" s="680"/>
      <c r="AA10" s="680"/>
      <c r="AB10" s="680"/>
      <c r="AC10" s="680"/>
      <c r="AD10" s="680"/>
      <c r="AE10" s="159"/>
    </row>
    <row r="11" spans="1:46" s="1" customFormat="1" ht="12" customHeight="1" x14ac:dyDescent="0.2">
      <c r="B11" s="24"/>
      <c r="D11" s="528" t="s">
        <v>13</v>
      </c>
      <c r="F11" s="19" t="s">
        <v>1</v>
      </c>
      <c r="I11" s="528" t="s">
        <v>14</v>
      </c>
      <c r="J11" s="19" t="s">
        <v>1</v>
      </c>
      <c r="L11" s="24"/>
      <c r="W11" s="158"/>
      <c r="X11" s="680"/>
      <c r="Y11" s="679" t="s">
        <v>13</v>
      </c>
      <c r="Z11" s="680"/>
      <c r="AA11" s="677" t="s">
        <v>1</v>
      </c>
      <c r="AB11" s="680"/>
      <c r="AC11" s="680"/>
      <c r="AD11" s="679" t="s">
        <v>14</v>
      </c>
      <c r="AE11" s="161" t="s">
        <v>1</v>
      </c>
    </row>
    <row r="12" spans="1:46" s="1" customFormat="1" ht="12" customHeight="1" x14ac:dyDescent="0.2">
      <c r="B12" s="24"/>
      <c r="D12" s="528" t="s">
        <v>15</v>
      </c>
      <c r="F12" s="520" t="s">
        <v>6173</v>
      </c>
      <c r="I12" s="528" t="s">
        <v>17</v>
      </c>
      <c r="J12" s="39"/>
      <c r="L12" s="24"/>
      <c r="W12" s="158"/>
      <c r="X12" s="680"/>
      <c r="Y12" s="679" t="s">
        <v>15</v>
      </c>
      <c r="Z12" s="680"/>
      <c r="AA12" s="677" t="s">
        <v>6173</v>
      </c>
      <c r="AB12" s="680"/>
      <c r="AC12" s="680"/>
      <c r="AD12" s="679" t="s">
        <v>17</v>
      </c>
      <c r="AE12" s="162"/>
    </row>
    <row r="13" spans="1:46" s="1" customFormat="1" ht="10.95" customHeight="1" x14ac:dyDescent="0.2">
      <c r="B13" s="24"/>
      <c r="D13" s="521"/>
      <c r="I13" s="521"/>
      <c r="L13" s="24"/>
      <c r="W13" s="158"/>
      <c r="X13" s="680"/>
      <c r="Y13" s="680"/>
      <c r="Z13" s="680"/>
      <c r="AA13" s="680"/>
      <c r="AB13" s="680"/>
      <c r="AC13" s="680"/>
      <c r="AD13" s="680"/>
      <c r="AE13" s="159"/>
    </row>
    <row r="14" spans="1:46" s="1" customFormat="1" ht="12" customHeight="1" x14ac:dyDescent="0.2">
      <c r="B14" s="24"/>
      <c r="D14" s="528" t="s">
        <v>18</v>
      </c>
      <c r="F14" s="529" t="s">
        <v>6175</v>
      </c>
      <c r="I14" s="528" t="s">
        <v>19</v>
      </c>
      <c r="J14" s="19"/>
      <c r="L14" s="24"/>
      <c r="W14" s="158"/>
      <c r="X14" s="680"/>
      <c r="Y14" s="679" t="s">
        <v>18</v>
      </c>
      <c r="Z14" s="680"/>
      <c r="AA14" s="576" t="s">
        <v>6175</v>
      </c>
      <c r="AB14" s="680"/>
      <c r="AC14" s="680"/>
      <c r="AD14" s="679" t="s">
        <v>19</v>
      </c>
      <c r="AE14" s="161"/>
    </row>
    <row r="15" spans="1:46" s="1" customFormat="1" ht="18" customHeight="1" x14ac:dyDescent="0.2">
      <c r="B15" s="24"/>
      <c r="D15" s="521"/>
      <c r="E15" s="19"/>
      <c r="I15" s="528" t="s">
        <v>20</v>
      </c>
      <c r="J15" s="19" t="s">
        <v>1</v>
      </c>
      <c r="L15" s="24"/>
      <c r="W15" s="158"/>
      <c r="X15" s="680"/>
      <c r="Y15" s="680"/>
      <c r="Z15" s="677"/>
      <c r="AA15" s="680"/>
      <c r="AB15" s="680"/>
      <c r="AC15" s="680"/>
      <c r="AD15" s="679" t="s">
        <v>20</v>
      </c>
      <c r="AE15" s="161" t="s">
        <v>1</v>
      </c>
    </row>
    <row r="16" spans="1:46" s="1" customFormat="1" ht="7.05" customHeight="1" x14ac:dyDescent="0.2">
      <c r="B16" s="24"/>
      <c r="D16" s="521"/>
      <c r="I16" s="521"/>
      <c r="L16" s="24"/>
      <c r="W16" s="158"/>
      <c r="X16" s="680"/>
      <c r="Y16" s="680"/>
      <c r="Z16" s="680"/>
      <c r="AA16" s="680"/>
      <c r="AB16" s="680"/>
      <c r="AC16" s="680"/>
      <c r="AD16" s="680"/>
      <c r="AE16" s="159"/>
    </row>
    <row r="17" spans="2:31" s="1" customFormat="1" ht="12" customHeight="1" x14ac:dyDescent="0.2">
      <c r="B17" s="24"/>
      <c r="D17" s="528" t="s">
        <v>21</v>
      </c>
      <c r="F17" s="529" t="s">
        <v>5202</v>
      </c>
      <c r="I17" s="528" t="s">
        <v>19</v>
      </c>
      <c r="J17" s="19"/>
      <c r="L17" s="24"/>
      <c r="W17" s="158"/>
      <c r="X17" s="680"/>
      <c r="Y17" s="679" t="s">
        <v>21</v>
      </c>
      <c r="Z17" s="680"/>
      <c r="AA17" s="576" t="s">
        <v>5202</v>
      </c>
      <c r="AB17" s="680"/>
      <c r="AC17" s="680"/>
      <c r="AD17" s="679" t="s">
        <v>19</v>
      </c>
      <c r="AE17" s="161"/>
    </row>
    <row r="18" spans="2:31" s="1" customFormat="1" ht="18" customHeight="1" x14ac:dyDescent="0.2">
      <c r="B18" s="24"/>
      <c r="D18" s="521"/>
      <c r="E18" s="1161"/>
      <c r="F18" s="1161"/>
      <c r="G18" s="1161"/>
      <c r="H18" s="1161"/>
      <c r="I18" s="528" t="s">
        <v>20</v>
      </c>
      <c r="J18" s="19" t="str">
        <f>'Rekapitulácia stavby'!AN14</f>
        <v/>
      </c>
      <c r="L18" s="24"/>
      <c r="W18" s="158"/>
      <c r="X18" s="680"/>
      <c r="Y18" s="680"/>
      <c r="Z18" s="1247"/>
      <c r="AA18" s="1247"/>
      <c r="AB18" s="1247"/>
      <c r="AC18" s="1247"/>
      <c r="AD18" s="679" t="s">
        <v>20</v>
      </c>
      <c r="AE18" s="161"/>
    </row>
    <row r="19" spans="2:31" s="1" customFormat="1" ht="7.05" customHeight="1" x14ac:dyDescent="0.2">
      <c r="B19" s="24"/>
      <c r="D19" s="521"/>
      <c r="I19" s="521"/>
      <c r="L19" s="24"/>
      <c r="W19" s="158"/>
      <c r="X19" s="680"/>
      <c r="Y19" s="680"/>
      <c r="Z19" s="680"/>
      <c r="AA19" s="680"/>
      <c r="AB19" s="680"/>
      <c r="AC19" s="680"/>
      <c r="AD19" s="680"/>
      <c r="AE19" s="159"/>
    </row>
    <row r="20" spans="2:31" s="1" customFormat="1" ht="12" customHeight="1" x14ac:dyDescent="0.2">
      <c r="B20" s="24"/>
      <c r="D20" s="528" t="s">
        <v>22</v>
      </c>
      <c r="I20" s="528" t="s">
        <v>19</v>
      </c>
      <c r="J20" s="19" t="s">
        <v>1</v>
      </c>
      <c r="L20" s="24"/>
      <c r="W20" s="158"/>
      <c r="X20" s="680"/>
      <c r="Y20" s="679" t="s">
        <v>22</v>
      </c>
      <c r="Z20" s="680"/>
      <c r="AA20" s="680"/>
      <c r="AB20" s="680"/>
      <c r="AC20" s="680"/>
      <c r="AD20" s="679" t="s">
        <v>19</v>
      </c>
      <c r="AE20" s="161" t="s">
        <v>1</v>
      </c>
    </row>
    <row r="21" spans="2:31" s="1" customFormat="1" ht="18" customHeight="1" x14ac:dyDescent="0.2">
      <c r="B21" s="24"/>
      <c r="D21" s="521"/>
      <c r="E21" s="19"/>
      <c r="I21" s="528" t="s">
        <v>20</v>
      </c>
      <c r="J21" s="19" t="s">
        <v>1</v>
      </c>
      <c r="L21" s="24"/>
      <c r="W21" s="158"/>
      <c r="X21" s="680"/>
      <c r="Y21" s="680"/>
      <c r="Z21" s="677"/>
      <c r="AA21" s="680"/>
      <c r="AB21" s="680"/>
      <c r="AC21" s="680"/>
      <c r="AD21" s="679" t="s">
        <v>20</v>
      </c>
      <c r="AE21" s="161" t="s">
        <v>1</v>
      </c>
    </row>
    <row r="22" spans="2:31" s="1" customFormat="1" ht="7.05" customHeight="1" x14ac:dyDescent="0.2">
      <c r="B22" s="24"/>
      <c r="D22" s="521"/>
      <c r="I22" s="521"/>
      <c r="L22" s="24"/>
      <c r="W22" s="158"/>
      <c r="X22" s="680"/>
      <c r="Y22" s="680"/>
      <c r="Z22" s="680"/>
      <c r="AA22" s="680"/>
      <c r="AB22" s="680"/>
      <c r="AC22" s="680"/>
      <c r="AD22" s="680"/>
      <c r="AE22" s="159"/>
    </row>
    <row r="23" spans="2:31" s="1" customFormat="1" ht="12" customHeight="1" x14ac:dyDescent="0.2">
      <c r="B23" s="24"/>
      <c r="D23" s="528" t="s">
        <v>24</v>
      </c>
      <c r="I23" s="528" t="s">
        <v>19</v>
      </c>
      <c r="J23" s="19" t="str">
        <f>IF('Rekapitulácia stavby'!AN19="","",'Rekapitulácia stavby'!AN19)</f>
        <v/>
      </c>
      <c r="L23" s="24"/>
      <c r="W23" s="158"/>
      <c r="X23" s="680"/>
      <c r="Y23" s="679" t="s">
        <v>24</v>
      </c>
      <c r="Z23" s="680"/>
      <c r="AA23" s="680"/>
      <c r="AB23" s="680"/>
      <c r="AC23" s="680"/>
      <c r="AD23" s="679" t="s">
        <v>19</v>
      </c>
      <c r="AE23" s="161" t="str">
        <f>IF('Rekapitulácia stavby'!BI19="","",'Rekapitulácia stavby'!BI19)</f>
        <v/>
      </c>
    </row>
    <row r="24" spans="2:31" s="1" customFormat="1" ht="18" customHeight="1" x14ac:dyDescent="0.2">
      <c r="B24" s="24"/>
      <c r="D24" s="521"/>
      <c r="E24" s="19" t="str">
        <f>IF('Rekapitulácia stavby'!E20="","",'Rekapitulácia stavby'!E20)</f>
        <v xml:space="preserve"> </v>
      </c>
      <c r="I24" s="528" t="s">
        <v>20</v>
      </c>
      <c r="J24" s="19" t="str">
        <f>IF('Rekapitulácia stavby'!AN20="","",'Rekapitulácia stavby'!AN20)</f>
        <v/>
      </c>
      <c r="L24" s="24"/>
      <c r="W24" s="158"/>
      <c r="X24" s="680"/>
      <c r="Y24" s="680"/>
      <c r="Z24" s="677" t="str">
        <f>IF('Rekapitulácia stavby'!Z20="","",'Rekapitulácia stavby'!Z20)</f>
        <v/>
      </c>
      <c r="AA24" s="680"/>
      <c r="AB24" s="680"/>
      <c r="AC24" s="680"/>
      <c r="AD24" s="679" t="s">
        <v>20</v>
      </c>
      <c r="AE24" s="161" t="str">
        <f>IF('Rekapitulácia stavby'!BI20="","",'Rekapitulácia stavby'!BI20)</f>
        <v/>
      </c>
    </row>
    <row r="25" spans="2:31" s="1" customFormat="1" ht="7.05" customHeight="1" x14ac:dyDescent="0.2">
      <c r="B25" s="24"/>
      <c r="D25" s="521"/>
      <c r="L25" s="24"/>
      <c r="W25" s="158"/>
      <c r="X25" s="680"/>
      <c r="Y25" s="680"/>
      <c r="Z25" s="680"/>
      <c r="AA25" s="680"/>
      <c r="AB25" s="680"/>
      <c r="AC25" s="680"/>
      <c r="AD25" s="680"/>
      <c r="AE25" s="159"/>
    </row>
    <row r="26" spans="2:31" s="1" customFormat="1" ht="12" customHeight="1" x14ac:dyDescent="0.2">
      <c r="B26" s="24"/>
      <c r="D26" s="528" t="s">
        <v>25</v>
      </c>
      <c r="L26" s="24"/>
      <c r="W26" s="158"/>
      <c r="X26" s="680"/>
      <c r="Y26" s="679" t="s">
        <v>25</v>
      </c>
      <c r="Z26" s="680"/>
      <c r="AA26" s="680"/>
      <c r="AB26" s="680"/>
      <c r="AC26" s="680"/>
      <c r="AD26" s="680"/>
      <c r="AE26" s="159"/>
    </row>
    <row r="27" spans="2:31" s="7" customFormat="1" ht="16.5" customHeight="1" x14ac:dyDescent="0.2">
      <c r="B27" s="75"/>
      <c r="E27" s="1228" t="s">
        <v>1</v>
      </c>
      <c r="F27" s="1228"/>
      <c r="G27" s="1228"/>
      <c r="H27" s="1228"/>
      <c r="L27" s="75"/>
      <c r="W27" s="163"/>
      <c r="X27" s="164"/>
      <c r="Y27" s="164"/>
      <c r="Z27" s="1248" t="s">
        <v>1</v>
      </c>
      <c r="AA27" s="1248"/>
      <c r="AB27" s="1248"/>
      <c r="AC27" s="1248"/>
      <c r="AD27" s="164"/>
      <c r="AE27" s="165"/>
    </row>
    <row r="28" spans="2:31" s="1" customFormat="1" ht="7.05" customHeight="1" x14ac:dyDescent="0.2">
      <c r="B28" s="24"/>
      <c r="L28" s="24"/>
      <c r="W28" s="158"/>
      <c r="X28" s="680"/>
      <c r="Y28" s="680"/>
      <c r="Z28" s="680"/>
      <c r="AA28" s="680"/>
      <c r="AB28" s="680"/>
      <c r="AC28" s="680"/>
      <c r="AD28" s="680"/>
      <c r="AE28" s="159"/>
    </row>
    <row r="29" spans="2:31" s="1" customFormat="1" ht="7.05" customHeight="1" x14ac:dyDescent="0.2">
      <c r="B29" s="24"/>
      <c r="D29" s="40"/>
      <c r="E29" s="40"/>
      <c r="F29" s="40"/>
      <c r="G29" s="40"/>
      <c r="H29" s="40"/>
      <c r="I29" s="40"/>
      <c r="J29" s="40"/>
      <c r="K29" s="40"/>
      <c r="L29" s="24"/>
      <c r="W29" s="158"/>
      <c r="X29" s="680"/>
      <c r="Y29" s="40"/>
      <c r="Z29" s="40"/>
      <c r="AA29" s="40"/>
      <c r="AB29" s="40"/>
      <c r="AC29" s="40"/>
      <c r="AD29" s="40"/>
      <c r="AE29" s="166"/>
    </row>
    <row r="30" spans="2:31" s="1" customFormat="1" ht="25.2" customHeight="1" x14ac:dyDescent="0.2">
      <c r="B30" s="24"/>
      <c r="D30" s="76" t="s">
        <v>26</v>
      </c>
      <c r="J30" s="53">
        <f>ROUND(J117, 2)</f>
        <v>29576.080000000002</v>
      </c>
      <c r="L30" s="24"/>
      <c r="W30" s="158"/>
      <c r="X30" s="680"/>
      <c r="Y30" s="167" t="s">
        <v>26</v>
      </c>
      <c r="Z30" s="680"/>
      <c r="AA30" s="680"/>
      <c r="AB30" s="680"/>
      <c r="AC30" s="680"/>
      <c r="AD30" s="680"/>
      <c r="AE30" s="168">
        <f>ROUND(AE117, 2)</f>
        <v>38990.92</v>
      </c>
    </row>
    <row r="31" spans="2:31" s="1" customFormat="1" ht="7.05" customHeight="1" x14ac:dyDescent="0.2">
      <c r="B31" s="24"/>
      <c r="D31" s="40"/>
      <c r="E31" s="40"/>
      <c r="F31" s="40"/>
      <c r="G31" s="40"/>
      <c r="H31" s="40"/>
      <c r="I31" s="40"/>
      <c r="J31" s="40"/>
      <c r="K31" s="40"/>
      <c r="L31" s="24"/>
      <c r="W31" s="158"/>
      <c r="X31" s="680"/>
      <c r="Y31" s="40"/>
      <c r="Z31" s="40"/>
      <c r="AA31" s="40"/>
      <c r="AB31" s="40"/>
      <c r="AC31" s="40"/>
      <c r="AD31" s="40"/>
      <c r="AE31" s="166"/>
    </row>
    <row r="32" spans="2:31" s="1" customFormat="1" ht="14.55" customHeight="1" x14ac:dyDescent="0.2">
      <c r="B32" s="24"/>
      <c r="D32" s="521"/>
      <c r="E32" s="521"/>
      <c r="F32" s="534" t="s">
        <v>28</v>
      </c>
      <c r="G32" s="521"/>
      <c r="H32" s="521"/>
      <c r="I32" s="534" t="s">
        <v>27</v>
      </c>
      <c r="J32" s="534" t="s">
        <v>29</v>
      </c>
      <c r="L32" s="24"/>
      <c r="W32" s="158"/>
      <c r="X32" s="680"/>
      <c r="Y32" s="680"/>
      <c r="Z32" s="680"/>
      <c r="AA32" s="542" t="s">
        <v>28</v>
      </c>
      <c r="AB32" s="680"/>
      <c r="AC32" s="680"/>
      <c r="AD32" s="542" t="s">
        <v>27</v>
      </c>
      <c r="AE32" s="543" t="s">
        <v>29</v>
      </c>
    </row>
    <row r="33" spans="2:31" s="1" customFormat="1" ht="14.55" customHeight="1" x14ac:dyDescent="0.2">
      <c r="B33" s="24"/>
      <c r="D33" s="13" t="s">
        <v>30</v>
      </c>
      <c r="E33" s="528" t="s">
        <v>31</v>
      </c>
      <c r="F33" s="398">
        <f>ROUND((SUM(BE117:BE166)),  2)</f>
        <v>29576.080000000002</v>
      </c>
      <c r="G33" s="521"/>
      <c r="H33" s="521"/>
      <c r="I33" s="535">
        <v>0.2</v>
      </c>
      <c r="J33" s="398">
        <f>ROUND(((SUM(BE117:BE166))*I33),  2)</f>
        <v>5915.22</v>
      </c>
      <c r="L33" s="24"/>
      <c r="W33" s="158"/>
      <c r="X33" s="680"/>
      <c r="Y33" s="544" t="s">
        <v>30</v>
      </c>
      <c r="Z33" s="679" t="s">
        <v>31</v>
      </c>
      <c r="AA33" s="545">
        <f>ROUND((SUM(BZ117:BZ166)),  2)</f>
        <v>0</v>
      </c>
      <c r="AB33" s="680"/>
      <c r="AC33" s="680"/>
      <c r="AD33" s="546">
        <v>0.2</v>
      </c>
      <c r="AE33" s="547">
        <f>ROUND(((SUM(BZ117:BZ166))*AD33),  2)</f>
        <v>0</v>
      </c>
    </row>
    <row r="34" spans="2:31" s="1" customFormat="1" ht="14.55" customHeight="1" x14ac:dyDescent="0.2">
      <c r="B34" s="24"/>
      <c r="D34" s="521"/>
      <c r="E34" s="528" t="s">
        <v>32</v>
      </c>
      <c r="F34" s="398">
        <f>ROUND((SUM(BF117:BF166)),  2)</f>
        <v>0</v>
      </c>
      <c r="G34" s="521"/>
      <c r="H34" s="521"/>
      <c r="I34" s="535">
        <v>0.2</v>
      </c>
      <c r="J34" s="398">
        <f>ROUND(((SUM(BF117:BF166))*I34),  2)</f>
        <v>0</v>
      </c>
      <c r="L34" s="24"/>
      <c r="W34" s="158"/>
      <c r="X34" s="680"/>
      <c r="Y34" s="680"/>
      <c r="Z34" s="679" t="s">
        <v>32</v>
      </c>
      <c r="AA34" s="545">
        <f>AE30</f>
        <v>38990.92</v>
      </c>
      <c r="AB34" s="680"/>
      <c r="AC34" s="680"/>
      <c r="AD34" s="546">
        <v>0.2</v>
      </c>
      <c r="AE34" s="547">
        <f>AA34*0.2</f>
        <v>7798.1840000000002</v>
      </c>
    </row>
    <row r="35" spans="2:31" s="1" customFormat="1" ht="14.55" hidden="1" customHeight="1" x14ac:dyDescent="0.2">
      <c r="B35" s="24"/>
      <c r="E35" s="21" t="s">
        <v>33</v>
      </c>
      <c r="F35" s="78">
        <f>ROUND((SUM(BG117:BG166)),  2)</f>
        <v>0</v>
      </c>
      <c r="I35" s="79">
        <v>0.2</v>
      </c>
      <c r="J35" s="78">
        <f>0</f>
        <v>0</v>
      </c>
      <c r="L35" s="24"/>
      <c r="W35" s="158"/>
      <c r="X35" s="680"/>
      <c r="Y35" s="680"/>
      <c r="Z35" s="681" t="s">
        <v>33</v>
      </c>
      <c r="AA35" s="170">
        <f>ROUND((SUM(CB117:CB166)),  2)</f>
        <v>0</v>
      </c>
      <c r="AB35" s="680"/>
      <c r="AC35" s="680"/>
      <c r="AD35" s="171">
        <v>0.2</v>
      </c>
      <c r="AE35" s="172">
        <f>0</f>
        <v>0</v>
      </c>
    </row>
    <row r="36" spans="2:31" s="1" customFormat="1" ht="14.55" hidden="1" customHeight="1" x14ac:dyDescent="0.2">
      <c r="B36" s="24"/>
      <c r="E36" s="21" t="s">
        <v>34</v>
      </c>
      <c r="F36" s="78">
        <f>ROUND((SUM(BH117:BH166)),  2)</f>
        <v>0</v>
      </c>
      <c r="I36" s="79">
        <v>0.2</v>
      </c>
      <c r="J36" s="78">
        <f>0</f>
        <v>0</v>
      </c>
      <c r="L36" s="24"/>
      <c r="W36" s="158"/>
      <c r="X36" s="680"/>
      <c r="Y36" s="680"/>
      <c r="Z36" s="681" t="s">
        <v>34</v>
      </c>
      <c r="AA36" s="170">
        <f>ROUND((SUM(CC117:CC166)),  2)</f>
        <v>0</v>
      </c>
      <c r="AB36" s="680"/>
      <c r="AC36" s="680"/>
      <c r="AD36" s="171">
        <v>0.2</v>
      </c>
      <c r="AE36" s="172">
        <f>0</f>
        <v>0</v>
      </c>
    </row>
    <row r="37" spans="2:31" s="1" customFormat="1" ht="14.55" hidden="1" customHeight="1" x14ac:dyDescent="0.2">
      <c r="B37" s="24"/>
      <c r="E37" s="21" t="s">
        <v>35</v>
      </c>
      <c r="F37" s="78">
        <f>ROUND((SUM(BI117:BI166)),  2)</f>
        <v>0</v>
      </c>
      <c r="I37" s="79">
        <v>0</v>
      </c>
      <c r="J37" s="78">
        <f>0</f>
        <v>0</v>
      </c>
      <c r="L37" s="24"/>
      <c r="W37" s="158"/>
      <c r="X37" s="680"/>
      <c r="Y37" s="680"/>
      <c r="Z37" s="681" t="s">
        <v>35</v>
      </c>
      <c r="AA37" s="170">
        <f>ROUND((SUM(CD117:CD166)),  2)</f>
        <v>0</v>
      </c>
      <c r="AB37" s="680"/>
      <c r="AC37" s="680"/>
      <c r="AD37" s="171">
        <v>0</v>
      </c>
      <c r="AE37" s="172">
        <f>0</f>
        <v>0</v>
      </c>
    </row>
    <row r="38" spans="2:31" s="1" customFormat="1" ht="7.05" customHeight="1" x14ac:dyDescent="0.2">
      <c r="B38" s="24"/>
      <c r="L38" s="24"/>
      <c r="W38" s="158"/>
      <c r="X38" s="680"/>
      <c r="Y38" s="680"/>
      <c r="Z38" s="680"/>
      <c r="AA38" s="680"/>
      <c r="AB38" s="680"/>
      <c r="AC38" s="680"/>
      <c r="AD38" s="680"/>
      <c r="AE38" s="159"/>
    </row>
    <row r="39" spans="2:31" s="1" customFormat="1" ht="25.2" customHeight="1" x14ac:dyDescent="0.2">
      <c r="B39" s="24"/>
      <c r="C39" s="80"/>
      <c r="D39" s="81" t="s">
        <v>36</v>
      </c>
      <c r="E39" s="44"/>
      <c r="F39" s="44"/>
      <c r="G39" s="82" t="s">
        <v>37</v>
      </c>
      <c r="H39" s="83" t="s">
        <v>38</v>
      </c>
      <c r="I39" s="44"/>
      <c r="J39" s="84">
        <f>SUM(J30:J37)</f>
        <v>35491.300000000003</v>
      </c>
      <c r="K39" s="85"/>
      <c r="L39" s="24"/>
      <c r="W39" s="158"/>
      <c r="X39" s="173"/>
      <c r="Y39" s="81" t="s">
        <v>36</v>
      </c>
      <c r="Z39" s="44"/>
      <c r="AA39" s="44"/>
      <c r="AB39" s="82" t="s">
        <v>37</v>
      </c>
      <c r="AC39" s="83" t="s">
        <v>38</v>
      </c>
      <c r="AD39" s="44"/>
      <c r="AE39" s="174">
        <f>SUM(AE30:AE37)</f>
        <v>46789.103999999999</v>
      </c>
    </row>
    <row r="40" spans="2:31" s="1" customFormat="1" ht="14.55" customHeight="1" x14ac:dyDescent="0.2">
      <c r="B40" s="24"/>
      <c r="L40" s="24"/>
      <c r="W40" s="158"/>
      <c r="X40" s="680"/>
      <c r="Y40" s="680"/>
      <c r="Z40" s="680"/>
      <c r="AA40" s="680"/>
      <c r="AB40" s="680"/>
      <c r="AC40" s="680"/>
      <c r="AD40" s="680"/>
      <c r="AE40" s="159"/>
    </row>
    <row r="41" spans="2:31" ht="14.55" customHeight="1" x14ac:dyDescent="0.2">
      <c r="B41" s="16"/>
      <c r="L41" s="16"/>
      <c r="W41" s="155"/>
      <c r="X41" s="156"/>
      <c r="Y41" s="156"/>
      <c r="Z41" s="156"/>
      <c r="AA41" s="156"/>
      <c r="AB41" s="156"/>
      <c r="AC41" s="156"/>
      <c r="AD41" s="156"/>
      <c r="AE41" s="157"/>
    </row>
    <row r="42" spans="2:31" ht="14.55" customHeight="1" x14ac:dyDescent="0.2">
      <c r="B42" s="16"/>
      <c r="L42" s="16"/>
      <c r="W42" s="155"/>
      <c r="X42" s="156"/>
      <c r="Y42" s="156"/>
      <c r="Z42" s="156"/>
      <c r="AA42" s="156"/>
      <c r="AB42" s="156"/>
      <c r="AC42" s="156"/>
      <c r="AD42" s="156"/>
      <c r="AE42" s="157"/>
    </row>
    <row r="43" spans="2:31" ht="14.55" customHeight="1" x14ac:dyDescent="0.2">
      <c r="B43" s="16"/>
      <c r="L43" s="16"/>
      <c r="W43" s="155"/>
      <c r="X43" s="156"/>
      <c r="Y43" s="156"/>
      <c r="Z43" s="156"/>
      <c r="AA43" s="156"/>
      <c r="AB43" s="156"/>
      <c r="AC43" s="156"/>
      <c r="AD43" s="156"/>
      <c r="AE43" s="157"/>
    </row>
    <row r="44" spans="2:31" ht="14.55" customHeight="1" x14ac:dyDescent="0.2">
      <c r="B44" s="16"/>
      <c r="L44" s="16"/>
      <c r="W44" s="155"/>
      <c r="X44" s="156"/>
      <c r="Y44" s="156"/>
      <c r="Z44" s="156"/>
      <c r="AA44" s="156"/>
      <c r="AB44" s="156"/>
      <c r="AC44" s="156"/>
      <c r="AD44" s="156"/>
      <c r="AE44" s="157"/>
    </row>
    <row r="45" spans="2:31" ht="14.55" customHeight="1" x14ac:dyDescent="0.2">
      <c r="B45" s="16"/>
      <c r="L45" s="16"/>
      <c r="W45" s="155"/>
      <c r="X45" s="156"/>
      <c r="Y45" s="156"/>
      <c r="Z45" s="156"/>
      <c r="AA45" s="156"/>
      <c r="AB45" s="156"/>
      <c r="AC45" s="156"/>
      <c r="AD45" s="156"/>
      <c r="AE45" s="157"/>
    </row>
    <row r="46" spans="2:31" ht="14.55" customHeight="1" x14ac:dyDescent="0.2">
      <c r="B46" s="16"/>
      <c r="L46" s="16"/>
      <c r="W46" s="155"/>
      <c r="X46" s="156"/>
      <c r="Y46" s="156"/>
      <c r="Z46" s="156"/>
      <c r="AA46" s="156"/>
      <c r="AB46" s="156"/>
      <c r="AC46" s="156"/>
      <c r="AD46" s="156"/>
      <c r="AE46" s="157"/>
    </row>
    <row r="47" spans="2:31" ht="14.55" customHeight="1" x14ac:dyDescent="0.2">
      <c r="B47" s="16"/>
      <c r="L47" s="16"/>
      <c r="W47" s="155"/>
      <c r="X47" s="156"/>
      <c r="Y47" s="156"/>
      <c r="Z47" s="156"/>
      <c r="AA47" s="156"/>
      <c r="AB47" s="156"/>
      <c r="AC47" s="156"/>
      <c r="AD47" s="156"/>
      <c r="AE47" s="157"/>
    </row>
    <row r="48" spans="2:31" ht="14.55" customHeight="1" x14ac:dyDescent="0.2">
      <c r="B48" s="16"/>
      <c r="L48" s="16"/>
      <c r="W48" s="155"/>
      <c r="X48" s="156"/>
      <c r="Y48" s="156"/>
      <c r="Z48" s="156"/>
      <c r="AA48" s="156"/>
      <c r="AB48" s="156"/>
      <c r="AC48" s="156"/>
      <c r="AD48" s="156"/>
      <c r="AE48" s="157"/>
    </row>
    <row r="49" spans="2:31" ht="14.55" customHeight="1" x14ac:dyDescent="0.2">
      <c r="B49" s="16"/>
      <c r="D49" s="156"/>
      <c r="E49" s="156"/>
      <c r="F49" s="156"/>
      <c r="G49" s="156"/>
      <c r="H49" s="156"/>
      <c r="I49" s="156"/>
      <c r="J49" s="156"/>
      <c r="L49" s="16"/>
      <c r="W49" s="155"/>
      <c r="X49" s="156"/>
      <c r="Y49" s="156"/>
      <c r="Z49" s="156"/>
      <c r="AA49" s="156"/>
      <c r="AB49" s="156"/>
      <c r="AC49" s="156"/>
      <c r="AD49" s="156"/>
      <c r="AE49" s="157"/>
    </row>
    <row r="50" spans="2:31" s="1" customFormat="1" ht="14.55" customHeight="1" x14ac:dyDescent="0.2">
      <c r="B50" s="24"/>
      <c r="D50" s="530"/>
      <c r="E50" s="523"/>
      <c r="F50" s="523"/>
      <c r="G50" s="530"/>
      <c r="H50" s="523"/>
      <c r="I50" s="523"/>
      <c r="J50" s="523"/>
      <c r="K50" s="32"/>
      <c r="L50" s="24"/>
      <c r="W50" s="158"/>
      <c r="X50" s="680"/>
      <c r="Y50" s="530"/>
      <c r="Z50" s="680"/>
      <c r="AA50" s="680"/>
      <c r="AB50" s="530"/>
      <c r="AC50" s="680"/>
      <c r="AD50" s="680"/>
      <c r="AE50" s="159"/>
    </row>
    <row r="51" spans="2:31" x14ac:dyDescent="0.2">
      <c r="B51" s="16"/>
      <c r="D51" s="156"/>
      <c r="E51" s="156"/>
      <c r="F51" s="156"/>
      <c r="G51" s="156"/>
      <c r="H51" s="156"/>
      <c r="I51" s="156"/>
      <c r="J51" s="156"/>
      <c r="L51" s="16"/>
      <c r="W51" s="155"/>
      <c r="X51" s="156"/>
      <c r="Y51" s="156"/>
      <c r="Z51" s="156"/>
      <c r="AA51" s="156"/>
      <c r="AB51" s="156"/>
      <c r="AC51" s="156"/>
      <c r="AD51" s="156"/>
      <c r="AE51" s="157"/>
    </row>
    <row r="52" spans="2:31" x14ac:dyDescent="0.2">
      <c r="B52" s="16"/>
      <c r="D52" s="156"/>
      <c r="E52" s="156"/>
      <c r="F52" s="156"/>
      <c r="G52" s="156"/>
      <c r="H52" s="156"/>
      <c r="I52" s="156"/>
      <c r="J52" s="156"/>
      <c r="L52" s="16"/>
      <c r="W52" s="155"/>
      <c r="X52" s="156"/>
      <c r="Y52" s="156"/>
      <c r="Z52" s="156"/>
      <c r="AA52" s="156"/>
      <c r="AB52" s="156"/>
      <c r="AC52" s="156"/>
      <c r="AD52" s="156"/>
      <c r="AE52" s="157"/>
    </row>
    <row r="53" spans="2:31" x14ac:dyDescent="0.2">
      <c r="B53" s="16"/>
      <c r="D53" s="156"/>
      <c r="E53" s="156"/>
      <c r="F53" s="156"/>
      <c r="G53" s="156"/>
      <c r="H53" s="156"/>
      <c r="I53" s="156"/>
      <c r="J53" s="156"/>
      <c r="L53" s="16"/>
      <c r="W53" s="155"/>
      <c r="X53" s="156"/>
      <c r="Y53" s="156"/>
      <c r="Z53" s="156"/>
      <c r="AA53" s="156"/>
      <c r="AB53" s="156"/>
      <c r="AC53" s="156"/>
      <c r="AD53" s="156"/>
      <c r="AE53" s="157"/>
    </row>
    <row r="54" spans="2:31" x14ac:dyDescent="0.2">
      <c r="B54" s="16"/>
      <c r="D54" s="156"/>
      <c r="E54" s="156"/>
      <c r="F54" s="156"/>
      <c r="G54" s="156"/>
      <c r="H54" s="156"/>
      <c r="I54" s="156"/>
      <c r="J54" s="156"/>
      <c r="L54" s="16"/>
      <c r="W54" s="155"/>
      <c r="X54" s="156"/>
      <c r="Y54" s="156"/>
      <c r="Z54" s="156"/>
      <c r="AA54" s="156"/>
      <c r="AB54" s="156"/>
      <c r="AC54" s="156"/>
      <c r="AD54" s="156"/>
      <c r="AE54" s="157"/>
    </row>
    <row r="55" spans="2:31" x14ac:dyDescent="0.2">
      <c r="B55" s="16"/>
      <c r="D55" s="156"/>
      <c r="E55" s="156"/>
      <c r="F55" s="156"/>
      <c r="G55" s="156"/>
      <c r="H55" s="156"/>
      <c r="I55" s="156"/>
      <c r="J55" s="156"/>
      <c r="L55" s="16"/>
      <c r="W55" s="155"/>
      <c r="X55" s="156"/>
      <c r="Y55" s="156"/>
      <c r="Z55" s="156"/>
      <c r="AA55" s="156"/>
      <c r="AB55" s="156"/>
      <c r="AC55" s="156"/>
      <c r="AD55" s="156"/>
      <c r="AE55" s="157"/>
    </row>
    <row r="56" spans="2:31" x14ac:dyDescent="0.2">
      <c r="B56" s="16"/>
      <c r="D56" s="156"/>
      <c r="E56" s="156"/>
      <c r="F56" s="156"/>
      <c r="G56" s="156"/>
      <c r="H56" s="156"/>
      <c r="I56" s="156"/>
      <c r="J56" s="156"/>
      <c r="L56" s="16"/>
      <c r="W56" s="155"/>
      <c r="X56" s="156"/>
      <c r="Y56" s="156"/>
      <c r="Z56" s="156"/>
      <c r="AA56" s="156"/>
      <c r="AB56" s="156"/>
      <c r="AC56" s="156"/>
      <c r="AD56" s="156"/>
      <c r="AE56" s="157"/>
    </row>
    <row r="57" spans="2:31" x14ac:dyDescent="0.2">
      <c r="B57" s="16"/>
      <c r="D57" s="156"/>
      <c r="E57" s="156"/>
      <c r="F57" s="156"/>
      <c r="G57" s="156"/>
      <c r="H57" s="156"/>
      <c r="I57" s="156"/>
      <c r="J57" s="156"/>
      <c r="L57" s="16"/>
      <c r="W57" s="155"/>
      <c r="X57" s="156"/>
      <c r="Y57" s="156"/>
      <c r="Z57" s="156"/>
      <c r="AA57" s="156"/>
      <c r="AB57" s="156"/>
      <c r="AC57" s="156"/>
      <c r="AD57" s="156"/>
      <c r="AE57" s="157"/>
    </row>
    <row r="58" spans="2:31" x14ac:dyDescent="0.2">
      <c r="B58" s="16"/>
      <c r="D58" s="156"/>
      <c r="E58" s="156"/>
      <c r="F58" s="156"/>
      <c r="G58" s="156"/>
      <c r="H58" s="156"/>
      <c r="I58" s="156"/>
      <c r="J58" s="156"/>
      <c r="L58" s="16"/>
      <c r="W58" s="155"/>
      <c r="X58" s="156"/>
      <c r="Y58" s="156"/>
      <c r="Z58" s="156"/>
      <c r="AA58" s="156"/>
      <c r="AB58" s="156"/>
      <c r="AC58" s="156"/>
      <c r="AD58" s="156"/>
      <c r="AE58" s="157"/>
    </row>
    <row r="59" spans="2:31" x14ac:dyDescent="0.2">
      <c r="B59" s="16"/>
      <c r="D59" s="156"/>
      <c r="E59" s="156"/>
      <c r="F59" s="156"/>
      <c r="G59" s="156"/>
      <c r="H59" s="156"/>
      <c r="I59" s="156"/>
      <c r="J59" s="156"/>
      <c r="L59" s="16"/>
      <c r="W59" s="155"/>
      <c r="X59" s="156"/>
      <c r="Y59" s="156"/>
      <c r="Z59" s="156"/>
      <c r="AA59" s="156"/>
      <c r="AB59" s="156"/>
      <c r="AC59" s="156"/>
      <c r="AD59" s="156"/>
      <c r="AE59" s="157"/>
    </row>
    <row r="60" spans="2:31" x14ac:dyDescent="0.2">
      <c r="B60" s="16"/>
      <c r="D60" s="156"/>
      <c r="E60" s="156"/>
      <c r="F60" s="156"/>
      <c r="G60" s="156"/>
      <c r="H60" s="156"/>
      <c r="I60" s="156"/>
      <c r="J60" s="156"/>
      <c r="L60" s="16"/>
      <c r="W60" s="155"/>
      <c r="X60" s="156"/>
      <c r="Y60" s="156"/>
      <c r="Z60" s="156"/>
      <c r="AA60" s="156"/>
      <c r="AB60" s="156"/>
      <c r="AC60" s="156"/>
      <c r="AD60" s="156"/>
      <c r="AE60" s="157"/>
    </row>
    <row r="61" spans="2:31" s="1" customFormat="1" ht="13.2" x14ac:dyDescent="0.2">
      <c r="B61" s="24"/>
      <c r="D61" s="522"/>
      <c r="E61" s="523"/>
      <c r="F61" s="536"/>
      <c r="G61" s="522"/>
      <c r="H61" s="523"/>
      <c r="I61" s="523"/>
      <c r="J61" s="169"/>
      <c r="K61" s="26"/>
      <c r="L61" s="24"/>
      <c r="W61" s="158"/>
      <c r="X61" s="680"/>
      <c r="Y61" s="681"/>
      <c r="Z61" s="680"/>
      <c r="AA61" s="536"/>
      <c r="AB61" s="681"/>
      <c r="AC61" s="680"/>
      <c r="AD61" s="680"/>
      <c r="AE61" s="577"/>
    </row>
    <row r="62" spans="2:31" x14ac:dyDescent="0.2">
      <c r="B62" s="16"/>
      <c r="D62" s="156"/>
      <c r="E62" s="156"/>
      <c r="F62" s="156"/>
      <c r="G62" s="156"/>
      <c r="H62" s="156"/>
      <c r="I62" s="156"/>
      <c r="J62" s="156"/>
      <c r="L62" s="16"/>
      <c r="W62" s="155"/>
      <c r="X62" s="156"/>
      <c r="Y62" s="156"/>
      <c r="Z62" s="156"/>
      <c r="AA62" s="156"/>
      <c r="AB62" s="156"/>
      <c r="AC62" s="156"/>
      <c r="AD62" s="156"/>
      <c r="AE62" s="157"/>
    </row>
    <row r="63" spans="2:31" x14ac:dyDescent="0.2">
      <c r="B63" s="16"/>
      <c r="D63" s="156"/>
      <c r="E63" s="156"/>
      <c r="F63" s="156"/>
      <c r="G63" s="156"/>
      <c r="H63" s="156"/>
      <c r="I63" s="156"/>
      <c r="J63" s="156"/>
      <c r="L63" s="16"/>
      <c r="W63" s="155"/>
      <c r="X63" s="156"/>
      <c r="Y63" s="156"/>
      <c r="Z63" s="156"/>
      <c r="AA63" s="156"/>
      <c r="AB63" s="156"/>
      <c r="AC63" s="156"/>
      <c r="AD63" s="156"/>
      <c r="AE63" s="157"/>
    </row>
    <row r="64" spans="2:31" x14ac:dyDescent="0.2">
      <c r="B64" s="16"/>
      <c r="D64" s="156"/>
      <c r="E64" s="156"/>
      <c r="F64" s="156"/>
      <c r="G64" s="156"/>
      <c r="H64" s="156"/>
      <c r="I64" s="156"/>
      <c r="J64" s="156"/>
      <c r="L64" s="16"/>
      <c r="W64" s="155"/>
      <c r="X64" s="156"/>
      <c r="Y64" s="156"/>
      <c r="Z64" s="156"/>
      <c r="AA64" s="156"/>
      <c r="AB64" s="156"/>
      <c r="AC64" s="156"/>
      <c r="AD64" s="156"/>
      <c r="AE64" s="157"/>
    </row>
    <row r="65" spans="2:31" s="1" customFormat="1" ht="13.2" x14ac:dyDescent="0.2">
      <c r="B65" s="24"/>
      <c r="D65" s="530"/>
      <c r="E65" s="523"/>
      <c r="F65" s="523"/>
      <c r="G65" s="530"/>
      <c r="H65" s="523"/>
      <c r="I65" s="523"/>
      <c r="J65" s="523"/>
      <c r="K65" s="32"/>
      <c r="L65" s="24"/>
      <c r="W65" s="158"/>
      <c r="X65" s="680"/>
      <c r="Y65" s="530"/>
      <c r="Z65" s="680"/>
      <c r="AA65" s="680"/>
      <c r="AB65" s="530"/>
      <c r="AC65" s="680"/>
      <c r="AD65" s="680"/>
      <c r="AE65" s="159"/>
    </row>
    <row r="66" spans="2:31" x14ac:dyDescent="0.2">
      <c r="B66" s="16"/>
      <c r="D66" s="156"/>
      <c r="E66" s="156"/>
      <c r="F66" s="156"/>
      <c r="G66" s="156"/>
      <c r="H66" s="156"/>
      <c r="I66" s="156"/>
      <c r="J66" s="156"/>
      <c r="L66" s="16"/>
      <c r="W66" s="155"/>
      <c r="X66" s="156"/>
      <c r="Y66" s="156"/>
      <c r="Z66" s="156"/>
      <c r="AA66" s="156"/>
      <c r="AB66" s="156"/>
      <c r="AC66" s="156"/>
      <c r="AD66" s="156"/>
      <c r="AE66" s="157"/>
    </row>
    <row r="67" spans="2:31" x14ac:dyDescent="0.2">
      <c r="B67" s="16"/>
      <c r="D67" s="156"/>
      <c r="E67" s="156"/>
      <c r="F67" s="156"/>
      <c r="G67" s="156"/>
      <c r="H67" s="156"/>
      <c r="I67" s="156"/>
      <c r="J67" s="156"/>
      <c r="L67" s="16"/>
      <c r="W67" s="155"/>
      <c r="X67" s="156"/>
      <c r="Y67" s="156"/>
      <c r="Z67" s="156"/>
      <c r="AA67" s="156"/>
      <c r="AB67" s="156"/>
      <c r="AC67" s="156"/>
      <c r="AD67" s="156"/>
      <c r="AE67" s="157"/>
    </row>
    <row r="68" spans="2:31" x14ac:dyDescent="0.2">
      <c r="B68" s="16"/>
      <c r="D68" s="156"/>
      <c r="E68" s="156"/>
      <c r="F68" s="156"/>
      <c r="G68" s="156"/>
      <c r="H68" s="156"/>
      <c r="I68" s="156"/>
      <c r="J68" s="156"/>
      <c r="L68" s="16"/>
      <c r="W68" s="155"/>
      <c r="X68" s="156"/>
      <c r="Y68" s="156"/>
      <c r="Z68" s="156"/>
      <c r="AA68" s="156"/>
      <c r="AB68" s="156"/>
      <c r="AC68" s="156"/>
      <c r="AD68" s="156"/>
      <c r="AE68" s="157"/>
    </row>
    <row r="69" spans="2:31" x14ac:dyDescent="0.2">
      <c r="B69" s="16"/>
      <c r="D69" s="156"/>
      <c r="E69" s="156"/>
      <c r="F69" s="156"/>
      <c r="G69" s="156"/>
      <c r="H69" s="156"/>
      <c r="I69" s="156"/>
      <c r="J69" s="156"/>
      <c r="L69" s="16"/>
      <c r="W69" s="155"/>
      <c r="X69" s="156"/>
      <c r="Y69" s="156"/>
      <c r="Z69" s="156"/>
      <c r="AA69" s="156"/>
      <c r="AB69" s="156"/>
      <c r="AC69" s="156"/>
      <c r="AD69" s="156"/>
      <c r="AE69" s="157"/>
    </row>
    <row r="70" spans="2:31" x14ac:dyDescent="0.2">
      <c r="B70" s="16"/>
      <c r="D70" s="156"/>
      <c r="E70" s="156"/>
      <c r="F70" s="156"/>
      <c r="G70" s="156"/>
      <c r="H70" s="156"/>
      <c r="I70" s="156"/>
      <c r="J70" s="156"/>
      <c r="L70" s="16"/>
      <c r="W70" s="155"/>
      <c r="X70" s="156"/>
      <c r="Y70" s="156"/>
      <c r="Z70" s="156"/>
      <c r="AA70" s="156"/>
      <c r="AB70" s="156"/>
      <c r="AC70" s="156"/>
      <c r="AD70" s="156"/>
      <c r="AE70" s="157"/>
    </row>
    <row r="71" spans="2:31" x14ac:dyDescent="0.2">
      <c r="B71" s="16"/>
      <c r="D71" s="156"/>
      <c r="E71" s="156"/>
      <c r="F71" s="156"/>
      <c r="G71" s="156"/>
      <c r="H71" s="156"/>
      <c r="I71" s="156"/>
      <c r="J71" s="156"/>
      <c r="L71" s="16"/>
      <c r="W71" s="155"/>
      <c r="X71" s="156"/>
      <c r="Y71" s="156"/>
      <c r="Z71" s="156"/>
      <c r="AA71" s="156"/>
      <c r="AB71" s="156"/>
      <c r="AC71" s="156"/>
      <c r="AD71" s="156"/>
      <c r="AE71" s="157"/>
    </row>
    <row r="72" spans="2:31" x14ac:dyDescent="0.2">
      <c r="B72" s="16"/>
      <c r="D72" s="156"/>
      <c r="E72" s="156"/>
      <c r="F72" s="156"/>
      <c r="G72" s="156"/>
      <c r="H72" s="156"/>
      <c r="I72" s="156"/>
      <c r="J72" s="156"/>
      <c r="L72" s="16"/>
      <c r="W72" s="155"/>
      <c r="X72" s="156"/>
      <c r="Y72" s="156"/>
      <c r="Z72" s="156"/>
      <c r="AA72" s="156"/>
      <c r="AB72" s="156"/>
      <c r="AC72" s="156"/>
      <c r="AD72" s="156"/>
      <c r="AE72" s="157"/>
    </row>
    <row r="73" spans="2:31" x14ac:dyDescent="0.2">
      <c r="B73" s="16"/>
      <c r="D73" s="156"/>
      <c r="E73" s="156"/>
      <c r="F73" s="156"/>
      <c r="G73" s="156"/>
      <c r="H73" s="156"/>
      <c r="I73" s="156"/>
      <c r="J73" s="156"/>
      <c r="L73" s="16"/>
      <c r="W73" s="155"/>
      <c r="X73" s="156"/>
      <c r="Y73" s="156"/>
      <c r="Z73" s="156"/>
      <c r="AA73" s="156"/>
      <c r="AB73" s="156"/>
      <c r="AC73" s="156"/>
      <c r="AD73" s="156"/>
      <c r="AE73" s="157"/>
    </row>
    <row r="74" spans="2:31" x14ac:dyDescent="0.2">
      <c r="B74" s="16"/>
      <c r="D74" s="156"/>
      <c r="E74" s="156"/>
      <c r="F74" s="156"/>
      <c r="G74" s="156"/>
      <c r="H74" s="156"/>
      <c r="I74" s="156"/>
      <c r="J74" s="156"/>
      <c r="L74" s="16"/>
      <c r="W74" s="155"/>
      <c r="X74" s="156"/>
      <c r="Y74" s="156"/>
      <c r="Z74" s="156"/>
      <c r="AA74" s="156"/>
      <c r="AB74" s="156"/>
      <c r="AC74" s="156"/>
      <c r="AD74" s="156"/>
      <c r="AE74" s="157"/>
    </row>
    <row r="75" spans="2:31" x14ac:dyDescent="0.2">
      <c r="B75" s="16"/>
      <c r="D75" s="156"/>
      <c r="E75" s="156"/>
      <c r="F75" s="156"/>
      <c r="G75" s="156"/>
      <c r="H75" s="156"/>
      <c r="I75" s="156"/>
      <c r="J75" s="156"/>
      <c r="L75" s="16"/>
      <c r="W75" s="155"/>
      <c r="X75" s="156"/>
      <c r="Y75" s="156"/>
      <c r="Z75" s="156"/>
      <c r="AA75" s="156"/>
      <c r="AB75" s="156"/>
      <c r="AC75" s="156"/>
      <c r="AD75" s="156"/>
      <c r="AE75" s="157"/>
    </row>
    <row r="76" spans="2:31" s="1" customFormat="1" ht="13.2" x14ac:dyDescent="0.2">
      <c r="B76" s="24"/>
      <c r="D76" s="522"/>
      <c r="E76" s="523"/>
      <c r="F76" s="536"/>
      <c r="G76" s="522"/>
      <c r="H76" s="523"/>
      <c r="I76" s="523"/>
      <c r="J76" s="169"/>
      <c r="K76" s="26"/>
      <c r="L76" s="24"/>
      <c r="W76" s="158"/>
      <c r="X76" s="680"/>
      <c r="Y76" s="681"/>
      <c r="Z76" s="680"/>
      <c r="AA76" s="536"/>
      <c r="AB76" s="681"/>
      <c r="AC76" s="680"/>
      <c r="AD76" s="680"/>
      <c r="AE76" s="577"/>
    </row>
    <row r="77" spans="2:31" s="1" customFormat="1" ht="14.55" customHeight="1" x14ac:dyDescent="0.2">
      <c r="B77" s="33"/>
      <c r="C77" s="34"/>
      <c r="D77" s="34"/>
      <c r="E77" s="34"/>
      <c r="F77" s="34"/>
      <c r="G77" s="34"/>
      <c r="H77" s="34"/>
      <c r="I77" s="34"/>
      <c r="J77" s="34"/>
      <c r="K77" s="34"/>
      <c r="L77" s="24"/>
      <c r="W77" s="175"/>
      <c r="X77" s="176"/>
      <c r="Y77" s="176"/>
      <c r="Z77" s="176"/>
      <c r="AA77" s="176"/>
      <c r="AB77" s="176"/>
      <c r="AC77" s="176"/>
      <c r="AD77" s="176"/>
      <c r="AE77" s="177"/>
    </row>
    <row r="81" spans="2:47" s="1" customFormat="1" ht="7.05" customHeight="1" x14ac:dyDescent="0.2">
      <c r="B81" s="35"/>
      <c r="C81" s="36"/>
      <c r="D81" s="36"/>
      <c r="E81" s="36"/>
      <c r="F81" s="36"/>
      <c r="G81" s="36"/>
      <c r="H81" s="36"/>
      <c r="I81" s="36"/>
      <c r="J81" s="36"/>
      <c r="K81" s="36"/>
      <c r="L81" s="24"/>
      <c r="W81" s="178"/>
      <c r="X81" s="179"/>
      <c r="Y81" s="179"/>
      <c r="Z81" s="179"/>
      <c r="AA81" s="179"/>
      <c r="AB81" s="179"/>
      <c r="AC81" s="179"/>
      <c r="AD81" s="179"/>
      <c r="AE81" s="180"/>
    </row>
    <row r="82" spans="2:47" s="1" customFormat="1" ht="25.05" customHeight="1" x14ac:dyDescent="0.2">
      <c r="B82" s="24"/>
      <c r="C82" s="1165" t="s">
        <v>188</v>
      </c>
      <c r="D82" s="1165"/>
      <c r="E82" s="1165"/>
      <c r="F82" s="1165"/>
      <c r="G82" s="1165"/>
      <c r="H82" s="1165"/>
      <c r="I82" s="1165"/>
      <c r="J82" s="1165"/>
      <c r="L82" s="24"/>
      <c r="W82" s="158"/>
      <c r="X82" s="1237" t="s">
        <v>188</v>
      </c>
      <c r="Y82" s="1237"/>
      <c r="Z82" s="1237"/>
      <c r="AA82" s="1237"/>
      <c r="AB82" s="1237"/>
      <c r="AC82" s="1237"/>
      <c r="AD82" s="1237"/>
      <c r="AE82" s="1238"/>
    </row>
    <row r="83" spans="2:47" s="1" customFormat="1" ht="7.05" customHeight="1" x14ac:dyDescent="0.2">
      <c r="B83" s="24"/>
      <c r="L83" s="24"/>
      <c r="W83" s="158"/>
      <c r="X83" s="680"/>
      <c r="Y83" s="680"/>
      <c r="Z83" s="680"/>
      <c r="AA83" s="680"/>
      <c r="AB83" s="680"/>
      <c r="AC83" s="680"/>
      <c r="AD83" s="680"/>
      <c r="AE83" s="159"/>
    </row>
    <row r="84" spans="2:47" s="1" customFormat="1" ht="12" customHeight="1" x14ac:dyDescent="0.2">
      <c r="B84" s="24"/>
      <c r="C84" s="528" t="s">
        <v>12</v>
      </c>
      <c r="E84" s="1242" t="s">
        <v>6177</v>
      </c>
      <c r="F84" s="1242"/>
      <c r="G84" s="1242"/>
      <c r="H84" s="1242"/>
      <c r="I84" s="1242"/>
      <c r="J84" s="1242"/>
      <c r="L84" s="24"/>
      <c r="W84" s="158"/>
      <c r="X84" s="679" t="s">
        <v>12</v>
      </c>
      <c r="Y84" s="680"/>
      <c r="Z84" s="1163" t="s">
        <v>6177</v>
      </c>
      <c r="AA84" s="1163"/>
      <c r="AB84" s="1163"/>
      <c r="AC84" s="1163"/>
      <c r="AD84" s="1163"/>
      <c r="AE84" s="1241"/>
    </row>
    <row r="85" spans="2:47" s="1" customFormat="1" ht="27.45" customHeight="1" x14ac:dyDescent="0.2">
      <c r="B85" s="24"/>
      <c r="C85" s="521"/>
      <c r="E85" s="1243"/>
      <c r="F85" s="1244"/>
      <c r="G85" s="1244"/>
      <c r="H85" s="1244"/>
      <c r="L85" s="24"/>
      <c r="W85" s="158"/>
      <c r="X85" s="680"/>
      <c r="Y85" s="680"/>
      <c r="Z85" s="1249"/>
      <c r="AA85" s="1250"/>
      <c r="AB85" s="1250"/>
      <c r="AC85" s="1250"/>
      <c r="AD85" s="680"/>
      <c r="AE85" s="159"/>
    </row>
    <row r="86" spans="2:47" s="1" customFormat="1" ht="12" customHeight="1" x14ac:dyDescent="0.2">
      <c r="B86" s="24"/>
      <c r="C86" s="528" t="s">
        <v>186</v>
      </c>
      <c r="F86" s="532" t="s">
        <v>1770</v>
      </c>
      <c r="L86" s="24"/>
      <c r="W86" s="158"/>
      <c r="X86" s="679" t="s">
        <v>186</v>
      </c>
      <c r="Y86" s="680"/>
      <c r="Z86" s="680"/>
      <c r="AA86" s="555" t="s">
        <v>1770</v>
      </c>
      <c r="AB86" s="680"/>
      <c r="AC86" s="680"/>
      <c r="AD86" s="680"/>
      <c r="AE86" s="159"/>
    </row>
    <row r="87" spans="2:47" s="1" customFormat="1" ht="16.5" customHeight="1" x14ac:dyDescent="0.2">
      <c r="B87" s="24"/>
      <c r="C87" s="521"/>
      <c r="E87" s="1251"/>
      <c r="F87" s="1252"/>
      <c r="G87" s="1252"/>
      <c r="H87" s="1252"/>
      <c r="L87" s="24"/>
      <c r="W87" s="158"/>
      <c r="X87" s="680"/>
      <c r="Y87" s="680"/>
      <c r="Z87" s="1245"/>
      <c r="AA87" s="1246"/>
      <c r="AB87" s="1246"/>
      <c r="AC87" s="1246"/>
      <c r="AD87" s="680"/>
      <c r="AE87" s="159"/>
    </row>
    <row r="88" spans="2:47" s="1" customFormat="1" ht="7.05" customHeight="1" x14ac:dyDescent="0.2">
      <c r="B88" s="24"/>
      <c r="C88" s="521"/>
      <c r="L88" s="24"/>
      <c r="W88" s="158"/>
      <c r="X88" s="680"/>
      <c r="Y88" s="680"/>
      <c r="Z88" s="680"/>
      <c r="AA88" s="680"/>
      <c r="AB88" s="680"/>
      <c r="AC88" s="680"/>
      <c r="AD88" s="680"/>
      <c r="AE88" s="159"/>
    </row>
    <row r="89" spans="2:47" s="1" customFormat="1" ht="12" customHeight="1" x14ac:dyDescent="0.2">
      <c r="B89" s="24"/>
      <c r="C89" s="528" t="s">
        <v>15</v>
      </c>
      <c r="F89" s="520" t="s">
        <v>6173</v>
      </c>
      <c r="I89" s="528" t="s">
        <v>17</v>
      </c>
      <c r="J89" s="39" t="str">
        <f>IF(J12="","",J12)</f>
        <v/>
      </c>
      <c r="L89" s="24"/>
      <c r="W89" s="158"/>
      <c r="X89" s="679" t="s">
        <v>15</v>
      </c>
      <c r="Y89" s="680"/>
      <c r="Z89" s="680"/>
      <c r="AA89" s="677" t="s">
        <v>6173</v>
      </c>
      <c r="AB89" s="680"/>
      <c r="AC89" s="680"/>
      <c r="AD89" s="679" t="s">
        <v>17</v>
      </c>
      <c r="AE89" s="162" t="str">
        <f>IF(AE12="","",AE12)</f>
        <v/>
      </c>
    </row>
    <row r="90" spans="2:47" s="1" customFormat="1" ht="7.05" customHeight="1" x14ac:dyDescent="0.2">
      <c r="B90" s="24"/>
      <c r="C90" s="521"/>
      <c r="I90" s="521"/>
      <c r="L90" s="24"/>
      <c r="W90" s="158"/>
      <c r="X90" s="680"/>
      <c r="Y90" s="680"/>
      <c r="Z90" s="680"/>
      <c r="AA90" s="680"/>
      <c r="AB90" s="680"/>
      <c r="AC90" s="680"/>
      <c r="AD90" s="680"/>
      <c r="AE90" s="159"/>
    </row>
    <row r="91" spans="2:47" s="1" customFormat="1" ht="43.2" customHeight="1" x14ac:dyDescent="0.2">
      <c r="B91" s="24"/>
      <c r="C91" s="528" t="s">
        <v>18</v>
      </c>
      <c r="F91" s="529" t="s">
        <v>6175</v>
      </c>
      <c r="I91" s="528" t="s">
        <v>22</v>
      </c>
      <c r="J91" s="22"/>
      <c r="L91" s="24"/>
      <c r="W91" s="158"/>
      <c r="X91" s="679" t="s">
        <v>18</v>
      </c>
      <c r="Y91" s="680"/>
      <c r="Z91" s="680"/>
      <c r="AA91" s="576" t="s">
        <v>6175</v>
      </c>
      <c r="AB91" s="680"/>
      <c r="AC91" s="680"/>
      <c r="AD91" s="679" t="s">
        <v>22</v>
      </c>
      <c r="AE91" s="181"/>
    </row>
    <row r="92" spans="2:47" s="1" customFormat="1" ht="15.3" customHeight="1" x14ac:dyDescent="0.2">
      <c r="B92" s="24"/>
      <c r="C92" s="528" t="s">
        <v>21</v>
      </c>
      <c r="F92" s="529" t="s">
        <v>5202</v>
      </c>
      <c r="I92" s="528" t="s">
        <v>24</v>
      </c>
      <c r="J92" s="22" t="str">
        <f>E24</f>
        <v xml:space="preserve"> </v>
      </c>
      <c r="L92" s="24"/>
      <c r="W92" s="158"/>
      <c r="X92" s="679" t="s">
        <v>21</v>
      </c>
      <c r="Y92" s="680"/>
      <c r="Z92" s="680"/>
      <c r="AA92" s="576" t="s">
        <v>5202</v>
      </c>
      <c r="AB92" s="680"/>
      <c r="AC92" s="680"/>
      <c r="AD92" s="679" t="s">
        <v>24</v>
      </c>
      <c r="AE92" s="181" t="str">
        <f>Z24</f>
        <v/>
      </c>
    </row>
    <row r="93" spans="2:47" s="1" customFormat="1" ht="10.199999999999999" customHeight="1" x14ac:dyDescent="0.2">
      <c r="B93" s="24"/>
      <c r="L93" s="24"/>
      <c r="W93" s="158"/>
      <c r="X93" s="680"/>
      <c r="Y93" s="680"/>
      <c r="Z93" s="680"/>
      <c r="AA93" s="680"/>
      <c r="AB93" s="680"/>
      <c r="AC93" s="680"/>
      <c r="AD93" s="680"/>
      <c r="AE93" s="159"/>
    </row>
    <row r="94" spans="2:47" s="1" customFormat="1" ht="29.25" customHeight="1" x14ac:dyDescent="0.2">
      <c r="B94" s="24"/>
      <c r="C94" s="86" t="s">
        <v>189</v>
      </c>
      <c r="D94" s="80"/>
      <c r="E94" s="80"/>
      <c r="F94" s="80"/>
      <c r="G94" s="80"/>
      <c r="H94" s="80"/>
      <c r="I94" s="80"/>
      <c r="J94" s="87" t="s">
        <v>190</v>
      </c>
      <c r="K94" s="80"/>
      <c r="L94" s="24"/>
      <c r="W94" s="158"/>
      <c r="X94" s="182" t="s">
        <v>189</v>
      </c>
      <c r="Y94" s="173"/>
      <c r="Z94" s="173"/>
      <c r="AA94" s="173"/>
      <c r="AB94" s="173"/>
      <c r="AC94" s="173"/>
      <c r="AD94" s="173"/>
      <c r="AE94" s="183" t="s">
        <v>190</v>
      </c>
    </row>
    <row r="95" spans="2:47" s="1" customFormat="1" ht="10.199999999999999" customHeight="1" x14ac:dyDescent="0.2">
      <c r="B95" s="24"/>
      <c r="L95" s="24"/>
      <c r="W95" s="158"/>
      <c r="X95" s="680"/>
      <c r="Y95" s="680"/>
      <c r="Z95" s="680"/>
      <c r="AA95" s="680"/>
      <c r="AB95" s="680"/>
      <c r="AC95" s="680"/>
      <c r="AD95" s="680"/>
      <c r="AE95" s="159"/>
    </row>
    <row r="96" spans="2:47" s="1" customFormat="1" ht="22.95" customHeight="1" x14ac:dyDescent="0.2">
      <c r="B96" s="24"/>
      <c r="C96" s="88" t="s">
        <v>191</v>
      </c>
      <c r="J96" s="53">
        <f>J117</f>
        <v>29576.080000000005</v>
      </c>
      <c r="L96" s="24"/>
      <c r="W96" s="158"/>
      <c r="X96" s="184" t="s">
        <v>191</v>
      </c>
      <c r="Y96" s="680"/>
      <c r="Z96" s="680"/>
      <c r="AA96" s="680"/>
      <c r="AB96" s="680"/>
      <c r="AC96" s="680"/>
      <c r="AD96" s="680"/>
      <c r="AE96" s="168">
        <f>AE117</f>
        <v>38990.920000000013</v>
      </c>
      <c r="AU96" s="13" t="s">
        <v>192</v>
      </c>
    </row>
    <row r="97" spans="2:31" s="8" customFormat="1" ht="25.05" customHeight="1" x14ac:dyDescent="0.2">
      <c r="B97" s="89"/>
      <c r="D97" s="90" t="s">
        <v>1301</v>
      </c>
      <c r="E97" s="91"/>
      <c r="F97" s="91"/>
      <c r="G97" s="91"/>
      <c r="H97" s="91"/>
      <c r="I97" s="91"/>
      <c r="J97" s="92">
        <f>J118</f>
        <v>29576.080000000005</v>
      </c>
      <c r="L97" s="89"/>
      <c r="W97" s="185"/>
      <c r="X97" s="186"/>
      <c r="Y97" s="90" t="s">
        <v>1301</v>
      </c>
      <c r="Z97" s="91"/>
      <c r="AA97" s="91"/>
      <c r="AB97" s="91"/>
      <c r="AC97" s="91"/>
      <c r="AD97" s="91"/>
      <c r="AE97" s="187">
        <f>AE118</f>
        <v>38990.920000000013</v>
      </c>
    </row>
    <row r="98" spans="2:31" s="1" customFormat="1" ht="21.75" customHeight="1" x14ac:dyDescent="0.2">
      <c r="B98" s="24"/>
      <c r="L98" s="24"/>
      <c r="W98" s="158"/>
      <c r="X98" s="680"/>
      <c r="Y98" s="680"/>
      <c r="Z98" s="680"/>
      <c r="AA98" s="680"/>
      <c r="AB98" s="680"/>
      <c r="AC98" s="680"/>
      <c r="AD98" s="680"/>
      <c r="AE98" s="159"/>
    </row>
    <row r="99" spans="2:31" s="1" customFormat="1" ht="7.05" customHeight="1" x14ac:dyDescent="0.2">
      <c r="B99" s="33"/>
      <c r="C99" s="34"/>
      <c r="D99" s="34"/>
      <c r="E99" s="34"/>
      <c r="F99" s="34"/>
      <c r="G99" s="34"/>
      <c r="H99" s="34"/>
      <c r="I99" s="34"/>
      <c r="J99" s="34"/>
      <c r="K99" s="34"/>
      <c r="L99" s="24"/>
      <c r="W99" s="175"/>
      <c r="X99" s="176"/>
      <c r="Y99" s="176"/>
      <c r="Z99" s="176"/>
      <c r="AA99" s="176"/>
      <c r="AB99" s="176"/>
      <c r="AC99" s="176"/>
      <c r="AD99" s="176"/>
      <c r="AE99" s="177"/>
    </row>
    <row r="103" spans="2:31" s="1" customFormat="1" ht="7.05" customHeight="1" x14ac:dyDescent="0.2">
      <c r="B103" s="35"/>
      <c r="C103" s="36"/>
      <c r="D103" s="36"/>
      <c r="E103" s="36"/>
      <c r="F103" s="36"/>
      <c r="G103" s="36"/>
      <c r="H103" s="36"/>
      <c r="I103" s="36"/>
      <c r="J103" s="36"/>
      <c r="K103" s="36"/>
      <c r="L103" s="24"/>
      <c r="W103" s="178"/>
      <c r="X103" s="179"/>
      <c r="Y103" s="179"/>
      <c r="Z103" s="179"/>
      <c r="AA103" s="179"/>
      <c r="AB103" s="179"/>
      <c r="AC103" s="179"/>
      <c r="AD103" s="179"/>
      <c r="AE103" s="180"/>
    </row>
    <row r="104" spans="2:31" s="1" customFormat="1" ht="25.05" customHeight="1" x14ac:dyDescent="0.2">
      <c r="B104" s="24"/>
      <c r="C104" s="1165" t="s">
        <v>214</v>
      </c>
      <c r="D104" s="1165"/>
      <c r="E104" s="1165"/>
      <c r="F104" s="1165"/>
      <c r="G104" s="1165"/>
      <c r="H104" s="1165"/>
      <c r="I104" s="1165"/>
      <c r="J104" s="1165"/>
      <c r="L104" s="24"/>
      <c r="W104" s="158"/>
      <c r="X104" s="1237" t="s">
        <v>214</v>
      </c>
      <c r="Y104" s="1237"/>
      <c r="Z104" s="1237"/>
      <c r="AA104" s="1237"/>
      <c r="AB104" s="1237"/>
      <c r="AC104" s="1237"/>
      <c r="AD104" s="1237"/>
      <c r="AE104" s="1238"/>
    </row>
    <row r="105" spans="2:31" s="1" customFormat="1" ht="7.05" customHeight="1" x14ac:dyDescent="0.2">
      <c r="B105" s="24"/>
      <c r="L105" s="24"/>
      <c r="W105" s="158"/>
      <c r="X105" s="680"/>
      <c r="Y105" s="680"/>
      <c r="Z105" s="680"/>
      <c r="AA105" s="680"/>
      <c r="AB105" s="680"/>
      <c r="AC105" s="680"/>
      <c r="AD105" s="680"/>
      <c r="AE105" s="159"/>
    </row>
    <row r="106" spans="2:31" s="1" customFormat="1" ht="12" customHeight="1" x14ac:dyDescent="0.2">
      <c r="B106" s="24"/>
      <c r="C106" s="528" t="s">
        <v>12</v>
      </c>
      <c r="E106" s="1242" t="s">
        <v>6177</v>
      </c>
      <c r="F106" s="1242"/>
      <c r="G106" s="1242"/>
      <c r="H106" s="1242"/>
      <c r="I106" s="1242"/>
      <c r="J106" s="1242"/>
      <c r="L106" s="24"/>
      <c r="W106" s="158"/>
      <c r="X106" s="679" t="s">
        <v>12</v>
      </c>
      <c r="Y106" s="680"/>
      <c r="Z106" s="1163" t="s">
        <v>6177</v>
      </c>
      <c r="AA106" s="1163"/>
      <c r="AB106" s="1163"/>
      <c r="AC106" s="1163"/>
      <c r="AD106" s="1163"/>
      <c r="AE106" s="1241"/>
    </row>
    <row r="107" spans="2:31" s="1" customFormat="1" ht="24" customHeight="1" x14ac:dyDescent="0.2">
      <c r="B107" s="24"/>
      <c r="C107" s="521"/>
      <c r="E107" s="1243"/>
      <c r="F107" s="1244"/>
      <c r="G107" s="1244"/>
      <c r="H107" s="1244"/>
      <c r="L107" s="24"/>
      <c r="W107" s="158"/>
      <c r="X107" s="680"/>
      <c r="Y107" s="680"/>
      <c r="Z107" s="1249"/>
      <c r="AA107" s="1250"/>
      <c r="AB107" s="1250"/>
      <c r="AC107" s="1250"/>
      <c r="AD107" s="680"/>
      <c r="AE107" s="159"/>
    </row>
    <row r="108" spans="2:31" s="1" customFormat="1" ht="12" customHeight="1" x14ac:dyDescent="0.2">
      <c r="B108" s="24"/>
      <c r="C108" s="528" t="s">
        <v>186</v>
      </c>
      <c r="F108" s="532" t="s">
        <v>1770</v>
      </c>
      <c r="L108" s="24"/>
      <c r="W108" s="158"/>
      <c r="X108" s="679" t="s">
        <v>186</v>
      </c>
      <c r="Y108" s="680"/>
      <c r="Z108" s="680"/>
      <c r="AA108" s="555" t="s">
        <v>1770</v>
      </c>
      <c r="AB108" s="680"/>
      <c r="AC108" s="680"/>
      <c r="AD108" s="680"/>
      <c r="AE108" s="159"/>
    </row>
    <row r="109" spans="2:31" s="1" customFormat="1" ht="16.5" customHeight="1" x14ac:dyDescent="0.2">
      <c r="B109" s="24"/>
      <c r="C109" s="521"/>
      <c r="E109" s="1251"/>
      <c r="F109" s="1252"/>
      <c r="G109" s="1252"/>
      <c r="H109" s="1252"/>
      <c r="L109" s="24"/>
      <c r="W109" s="158"/>
      <c r="X109" s="680"/>
      <c r="Y109" s="680"/>
      <c r="Z109" s="1245"/>
      <c r="AA109" s="1246"/>
      <c r="AB109" s="1246"/>
      <c r="AC109" s="1246"/>
      <c r="AD109" s="680"/>
      <c r="AE109" s="159"/>
    </row>
    <row r="110" spans="2:31" s="1" customFormat="1" ht="7.05" customHeight="1" x14ac:dyDescent="0.2">
      <c r="B110" s="24"/>
      <c r="C110" s="521"/>
      <c r="L110" s="24"/>
      <c r="W110" s="158"/>
      <c r="X110" s="680"/>
      <c r="Y110" s="680"/>
      <c r="Z110" s="680"/>
      <c r="AA110" s="680"/>
      <c r="AB110" s="680"/>
      <c r="AC110" s="680"/>
      <c r="AD110" s="680"/>
      <c r="AE110" s="159"/>
    </row>
    <row r="111" spans="2:31" s="1" customFormat="1" ht="12" customHeight="1" x14ac:dyDescent="0.2">
      <c r="B111" s="24"/>
      <c r="C111" s="528" t="s">
        <v>15</v>
      </c>
      <c r="F111" s="19" t="str">
        <f>F12</f>
        <v>Kuzmányho nábrežie 28, 960 01 Zvolen</v>
      </c>
      <c r="I111" s="528" t="s">
        <v>17</v>
      </c>
      <c r="J111" s="39" t="str">
        <f>IF(J12="","",J12)</f>
        <v/>
      </c>
      <c r="L111" s="24"/>
      <c r="W111" s="158"/>
      <c r="X111" s="679" t="s">
        <v>15</v>
      </c>
      <c r="Y111" s="680"/>
      <c r="Z111" s="680"/>
      <c r="AA111" s="677" t="str">
        <f>AA12</f>
        <v>Kuzmányho nábrežie 28, 960 01 Zvolen</v>
      </c>
      <c r="AB111" s="680"/>
      <c r="AC111" s="680"/>
      <c r="AD111" s="679" t="s">
        <v>17</v>
      </c>
      <c r="AE111" s="162" t="str">
        <f>IF(AE12="","",AE12)</f>
        <v/>
      </c>
    </row>
    <row r="112" spans="2:31" s="1" customFormat="1" ht="7.05" customHeight="1" x14ac:dyDescent="0.2">
      <c r="B112" s="24"/>
      <c r="C112" s="521"/>
      <c r="I112" s="521"/>
      <c r="L112" s="24"/>
      <c r="W112" s="158"/>
      <c r="X112" s="680"/>
      <c r="Y112" s="680"/>
      <c r="Z112" s="680"/>
      <c r="AA112" s="680"/>
      <c r="AB112" s="680"/>
      <c r="AC112" s="680"/>
      <c r="AD112" s="680"/>
      <c r="AE112" s="159"/>
    </row>
    <row r="113" spans="2:65" s="1" customFormat="1" ht="43.2" customHeight="1" x14ac:dyDescent="0.2">
      <c r="B113" s="24"/>
      <c r="C113" s="528" t="s">
        <v>18</v>
      </c>
      <c r="F113" s="529" t="s">
        <v>6175</v>
      </c>
      <c r="I113" s="528" t="s">
        <v>22</v>
      </c>
      <c r="J113" s="22"/>
      <c r="L113" s="24"/>
      <c r="W113" s="158"/>
      <c r="X113" s="679" t="s">
        <v>18</v>
      </c>
      <c r="Y113" s="680"/>
      <c r="Z113" s="680"/>
      <c r="AA113" s="576" t="s">
        <v>6175</v>
      </c>
      <c r="AB113" s="680"/>
      <c r="AC113" s="680"/>
      <c r="AD113" s="679" t="s">
        <v>22</v>
      </c>
      <c r="AE113" s="181"/>
    </row>
    <row r="114" spans="2:65" s="1" customFormat="1" ht="15.3" customHeight="1" x14ac:dyDescent="0.2">
      <c r="B114" s="24"/>
      <c r="C114" s="528" t="s">
        <v>21</v>
      </c>
      <c r="F114" s="529" t="s">
        <v>5202</v>
      </c>
      <c r="I114" s="528" t="s">
        <v>24</v>
      </c>
      <c r="J114" s="22" t="str">
        <f>E24</f>
        <v xml:space="preserve"> </v>
      </c>
      <c r="L114" s="24"/>
      <c r="W114" s="158"/>
      <c r="X114" s="679" t="s">
        <v>21</v>
      </c>
      <c r="Y114" s="680"/>
      <c r="Z114" s="680"/>
      <c r="AA114" s="576" t="s">
        <v>5202</v>
      </c>
      <c r="AB114" s="680"/>
      <c r="AC114" s="680"/>
      <c r="AD114" s="679" t="s">
        <v>24</v>
      </c>
      <c r="AE114" s="181" t="str">
        <f>Z24</f>
        <v/>
      </c>
    </row>
    <row r="115" spans="2:65" s="1" customFormat="1" ht="10.199999999999999" customHeight="1" x14ac:dyDescent="0.2">
      <c r="B115" s="24"/>
      <c r="L115" s="24"/>
      <c r="W115" s="158"/>
      <c r="X115" s="680"/>
      <c r="Y115" s="680"/>
      <c r="Z115" s="680"/>
      <c r="AA115" s="680"/>
      <c r="AB115" s="680"/>
      <c r="AC115" s="680"/>
      <c r="AD115" s="680"/>
      <c r="AE115" s="159"/>
    </row>
    <row r="116" spans="2:65" s="10" customFormat="1" ht="29.25" customHeight="1" x14ac:dyDescent="0.2">
      <c r="B116" s="97"/>
      <c r="C116" s="98" t="s">
        <v>215</v>
      </c>
      <c r="D116" s="99" t="s">
        <v>43</v>
      </c>
      <c r="E116" s="99" t="s">
        <v>41</v>
      </c>
      <c r="F116" s="99" t="s">
        <v>42</v>
      </c>
      <c r="G116" s="99" t="s">
        <v>216</v>
      </c>
      <c r="H116" s="99" t="s">
        <v>217</v>
      </c>
      <c r="I116" s="99" t="s">
        <v>218</v>
      </c>
      <c r="J116" s="100" t="s">
        <v>190</v>
      </c>
      <c r="K116" s="101" t="s">
        <v>219</v>
      </c>
      <c r="L116" s="97"/>
      <c r="M116" s="46" t="s">
        <v>1</v>
      </c>
      <c r="N116" s="47" t="s">
        <v>30</v>
      </c>
      <c r="O116" s="47" t="s">
        <v>220</v>
      </c>
      <c r="P116" s="47" t="s">
        <v>221</v>
      </c>
      <c r="Q116" s="47" t="s">
        <v>222</v>
      </c>
      <c r="R116" s="47" t="s">
        <v>223</v>
      </c>
      <c r="S116" s="47" t="s">
        <v>224</v>
      </c>
      <c r="T116" s="48" t="s">
        <v>225</v>
      </c>
      <c r="W116" s="191"/>
      <c r="X116" s="98" t="s">
        <v>215</v>
      </c>
      <c r="Y116" s="99" t="s">
        <v>43</v>
      </c>
      <c r="Z116" s="99" t="s">
        <v>41</v>
      </c>
      <c r="AA116" s="99" t="s">
        <v>42</v>
      </c>
      <c r="AB116" s="99" t="s">
        <v>216</v>
      </c>
      <c r="AC116" s="99" t="s">
        <v>217</v>
      </c>
      <c r="AD116" s="99" t="s">
        <v>218</v>
      </c>
      <c r="AE116" s="192" t="s">
        <v>190</v>
      </c>
      <c r="AF116" s="228" t="s">
        <v>5220</v>
      </c>
    </row>
    <row r="117" spans="2:65" s="1" customFormat="1" ht="22.95" customHeight="1" x14ac:dyDescent="0.3">
      <c r="B117" s="24"/>
      <c r="C117" s="51" t="s">
        <v>191</v>
      </c>
      <c r="J117" s="102">
        <f>BK117</f>
        <v>29576.080000000005</v>
      </c>
      <c r="L117" s="24"/>
      <c r="M117" s="49"/>
      <c r="N117" s="40"/>
      <c r="O117" s="40"/>
      <c r="P117" s="103">
        <f>P118</f>
        <v>0</v>
      </c>
      <c r="Q117" s="40"/>
      <c r="R117" s="103">
        <f>R118</f>
        <v>0.14370000000000002</v>
      </c>
      <c r="S117" s="40"/>
      <c r="T117" s="104">
        <f>T118</f>
        <v>0</v>
      </c>
      <c r="W117" s="158"/>
      <c r="X117" s="193" t="s">
        <v>191</v>
      </c>
      <c r="Y117" s="680"/>
      <c r="Z117" s="680"/>
      <c r="AA117" s="680"/>
      <c r="AB117" s="680"/>
      <c r="AC117" s="680"/>
      <c r="AD117" s="680"/>
      <c r="AE117" s="194">
        <f>AE118</f>
        <v>38990.920000000013</v>
      </c>
      <c r="AH117" s="130"/>
      <c r="AT117" s="13" t="s">
        <v>57</v>
      </c>
      <c r="AU117" s="13" t="s">
        <v>192</v>
      </c>
      <c r="BK117" s="105">
        <f>BK118</f>
        <v>29576.080000000005</v>
      </c>
    </row>
    <row r="118" spans="2:65" s="11" customFormat="1" ht="25.95" customHeight="1" x14ac:dyDescent="0.25">
      <c r="B118" s="106"/>
      <c r="D118" s="107" t="s">
        <v>57</v>
      </c>
      <c r="E118" s="108" t="s">
        <v>1302</v>
      </c>
      <c r="F118" s="108" t="s">
        <v>1303</v>
      </c>
      <c r="J118" s="109">
        <f>BK118</f>
        <v>29576.080000000005</v>
      </c>
      <c r="L118" s="106"/>
      <c r="M118" s="110"/>
      <c r="N118" s="111"/>
      <c r="O118" s="111"/>
      <c r="P118" s="112">
        <f>SUM(P119:P166)</f>
        <v>0</v>
      </c>
      <c r="Q118" s="111"/>
      <c r="R118" s="112">
        <f>SUM(R119:R166)</f>
        <v>0.14370000000000002</v>
      </c>
      <c r="S118" s="111"/>
      <c r="T118" s="113">
        <f>SUM(T119:T166)</f>
        <v>0</v>
      </c>
      <c r="W118" s="195"/>
      <c r="X118" s="111"/>
      <c r="Y118" s="196" t="s">
        <v>57</v>
      </c>
      <c r="Z118" s="197" t="s">
        <v>1302</v>
      </c>
      <c r="AA118" s="197" t="s">
        <v>1303</v>
      </c>
      <c r="AB118" s="111"/>
      <c r="AC118" s="111"/>
      <c r="AD118" s="111"/>
      <c r="AE118" s="198">
        <f>SUM(AE119:AE166)</f>
        <v>38990.920000000013</v>
      </c>
      <c r="AR118" s="107" t="s">
        <v>58</v>
      </c>
      <c r="AT118" s="114" t="s">
        <v>57</v>
      </c>
      <c r="AU118" s="114" t="s">
        <v>58</v>
      </c>
      <c r="AY118" s="107" t="s">
        <v>228</v>
      </c>
      <c r="BK118" s="115">
        <f>SUM(BK119:BK166)</f>
        <v>29576.080000000005</v>
      </c>
    </row>
    <row r="119" spans="2:65" s="1" customFormat="1" ht="24" customHeight="1" x14ac:dyDescent="0.2">
      <c r="B119" s="118"/>
      <c r="C119" s="205" t="s">
        <v>63</v>
      </c>
      <c r="D119" s="119" t="s">
        <v>231</v>
      </c>
      <c r="E119" s="120" t="s">
        <v>1771</v>
      </c>
      <c r="F119" s="121" t="s">
        <v>1772</v>
      </c>
      <c r="G119" s="122" t="s">
        <v>292</v>
      </c>
      <c r="H119" s="206">
        <v>460</v>
      </c>
      <c r="I119" s="124">
        <v>0.67</v>
      </c>
      <c r="J119" s="124">
        <f t="shared" ref="J119:J166" si="0">ROUND(I119*H119,2)</f>
        <v>308.2</v>
      </c>
      <c r="K119" s="121" t="s">
        <v>1</v>
      </c>
      <c r="L119" s="24"/>
      <c r="M119" s="125" t="s">
        <v>1</v>
      </c>
      <c r="N119" s="126" t="s">
        <v>31</v>
      </c>
      <c r="O119" s="127">
        <v>0</v>
      </c>
      <c r="P119" s="127">
        <f t="shared" ref="P119:P166" si="1">O119*H119</f>
        <v>0</v>
      </c>
      <c r="Q119" s="127">
        <v>0</v>
      </c>
      <c r="R119" s="127">
        <f t="shared" ref="R119:R166" si="2">Q119*H119</f>
        <v>0</v>
      </c>
      <c r="S119" s="127">
        <v>0</v>
      </c>
      <c r="T119" s="128">
        <f t="shared" ref="T119:T166" si="3">S119*H119</f>
        <v>0</v>
      </c>
      <c r="W119" s="199"/>
      <c r="X119" s="205" t="s">
        <v>63</v>
      </c>
      <c r="Y119" s="119" t="s">
        <v>231</v>
      </c>
      <c r="Z119" s="120" t="s">
        <v>1771</v>
      </c>
      <c r="AA119" s="121" t="s">
        <v>1772</v>
      </c>
      <c r="AB119" s="122" t="s">
        <v>292</v>
      </c>
      <c r="AC119" s="206">
        <f>460+225</f>
        <v>685</v>
      </c>
      <c r="AD119" s="124">
        <v>0.67</v>
      </c>
      <c r="AE119" s="200">
        <f t="shared" ref="AE119:AE166" si="4">ROUND(AD119*AC119,2)</f>
        <v>458.95</v>
      </c>
      <c r="AF119" s="1152">
        <v>21</v>
      </c>
      <c r="AR119" s="129" t="s">
        <v>347</v>
      </c>
      <c r="AT119" s="129" t="s">
        <v>231</v>
      </c>
      <c r="AU119" s="129" t="s">
        <v>63</v>
      </c>
      <c r="AY119" s="13" t="s">
        <v>228</v>
      </c>
      <c r="BE119" s="130">
        <f t="shared" ref="BE119:BE166" si="5">IF(N119="základná",J119,0)</f>
        <v>308.2</v>
      </c>
      <c r="BF119" s="130">
        <f t="shared" ref="BF119:BF166" si="6">IF(N119="znížená",J119,0)</f>
        <v>0</v>
      </c>
      <c r="BG119" s="130">
        <f t="shared" ref="BG119:BG166" si="7">IF(N119="zákl. prenesená",J119,0)</f>
        <v>0</v>
      </c>
      <c r="BH119" s="130">
        <f t="shared" ref="BH119:BH166" si="8">IF(N119="zníž. prenesená",J119,0)</f>
        <v>0</v>
      </c>
      <c r="BI119" s="130">
        <f t="shared" ref="BI119:BI166" si="9">IF(N119="nulová",J119,0)</f>
        <v>0</v>
      </c>
      <c r="BJ119" s="13" t="s">
        <v>63</v>
      </c>
      <c r="BK119" s="130">
        <f t="shared" ref="BK119:BK166" si="10">ROUND(I119*H119,2)</f>
        <v>308.2</v>
      </c>
      <c r="BL119" s="13" t="s">
        <v>347</v>
      </c>
      <c r="BM119" s="129" t="s">
        <v>1773</v>
      </c>
    </row>
    <row r="120" spans="2:65" s="1" customFormat="1" ht="16.5" customHeight="1" x14ac:dyDescent="0.2">
      <c r="B120" s="118"/>
      <c r="C120" s="242" t="s">
        <v>76</v>
      </c>
      <c r="D120" s="131" t="s">
        <v>277</v>
      </c>
      <c r="E120" s="132" t="s">
        <v>1774</v>
      </c>
      <c r="F120" s="133" t="s">
        <v>1775</v>
      </c>
      <c r="G120" s="134" t="s">
        <v>292</v>
      </c>
      <c r="H120" s="241">
        <v>460</v>
      </c>
      <c r="I120" s="136">
        <v>0.85</v>
      </c>
      <c r="J120" s="136">
        <f t="shared" si="0"/>
        <v>391</v>
      </c>
      <c r="K120" s="133" t="s">
        <v>1</v>
      </c>
      <c r="L120" s="137"/>
      <c r="M120" s="138" t="s">
        <v>1</v>
      </c>
      <c r="N120" s="139" t="s">
        <v>31</v>
      </c>
      <c r="O120" s="127">
        <v>0</v>
      </c>
      <c r="P120" s="127">
        <f t="shared" si="1"/>
        <v>0</v>
      </c>
      <c r="Q120" s="127">
        <v>2.7E-4</v>
      </c>
      <c r="R120" s="127">
        <f t="shared" si="2"/>
        <v>0.1242</v>
      </c>
      <c r="S120" s="127">
        <v>0</v>
      </c>
      <c r="T120" s="128">
        <f t="shared" si="3"/>
        <v>0</v>
      </c>
      <c r="W120" s="199"/>
      <c r="X120" s="242" t="s">
        <v>76</v>
      </c>
      <c r="Y120" s="131" t="s">
        <v>277</v>
      </c>
      <c r="Z120" s="132" t="s">
        <v>1774</v>
      </c>
      <c r="AA120" s="133" t="s">
        <v>1775</v>
      </c>
      <c r="AB120" s="134" t="s">
        <v>292</v>
      </c>
      <c r="AC120" s="241">
        <f>460+225</f>
        <v>685</v>
      </c>
      <c r="AD120" s="136">
        <v>0.85</v>
      </c>
      <c r="AE120" s="229">
        <f t="shared" si="4"/>
        <v>582.25</v>
      </c>
      <c r="AF120" s="1152">
        <v>21</v>
      </c>
      <c r="AR120" s="129" t="s">
        <v>76</v>
      </c>
      <c r="AT120" s="129" t="s">
        <v>277</v>
      </c>
      <c r="AU120" s="129" t="s">
        <v>63</v>
      </c>
      <c r="AY120" s="13" t="s">
        <v>228</v>
      </c>
      <c r="BE120" s="130">
        <f t="shared" si="5"/>
        <v>391</v>
      </c>
      <c r="BF120" s="130">
        <f t="shared" si="6"/>
        <v>0</v>
      </c>
      <c r="BG120" s="130">
        <f t="shared" si="7"/>
        <v>0</v>
      </c>
      <c r="BH120" s="130">
        <f t="shared" si="8"/>
        <v>0</v>
      </c>
      <c r="BI120" s="130">
        <f t="shared" si="9"/>
        <v>0</v>
      </c>
      <c r="BJ120" s="13" t="s">
        <v>63</v>
      </c>
      <c r="BK120" s="130">
        <f t="shared" si="10"/>
        <v>391</v>
      </c>
      <c r="BL120" s="13" t="s">
        <v>63</v>
      </c>
      <c r="BM120" s="129" t="s">
        <v>1776</v>
      </c>
    </row>
    <row r="121" spans="2:65" s="1" customFormat="1" ht="24" customHeight="1" x14ac:dyDescent="0.2">
      <c r="B121" s="118"/>
      <c r="C121" s="119" t="s">
        <v>229</v>
      </c>
      <c r="D121" s="119" t="s">
        <v>231</v>
      </c>
      <c r="E121" s="120" t="s">
        <v>1615</v>
      </c>
      <c r="F121" s="121" t="s">
        <v>1777</v>
      </c>
      <c r="G121" s="122" t="s">
        <v>292</v>
      </c>
      <c r="H121" s="123">
        <v>30</v>
      </c>
      <c r="I121" s="124">
        <v>1.24</v>
      </c>
      <c r="J121" s="124">
        <f t="shared" si="0"/>
        <v>37.200000000000003</v>
      </c>
      <c r="K121" s="121" t="s">
        <v>1</v>
      </c>
      <c r="L121" s="24"/>
      <c r="M121" s="125" t="s">
        <v>1</v>
      </c>
      <c r="N121" s="126" t="s">
        <v>31</v>
      </c>
      <c r="O121" s="127">
        <v>0</v>
      </c>
      <c r="P121" s="127">
        <f t="shared" si="1"/>
        <v>0</v>
      </c>
      <c r="Q121" s="127">
        <v>0</v>
      </c>
      <c r="R121" s="127">
        <f t="shared" si="2"/>
        <v>0</v>
      </c>
      <c r="S121" s="127">
        <v>0</v>
      </c>
      <c r="T121" s="128">
        <f t="shared" si="3"/>
        <v>0</v>
      </c>
      <c r="W121" s="199"/>
      <c r="X121" s="119" t="s">
        <v>229</v>
      </c>
      <c r="Y121" s="119" t="s">
        <v>231</v>
      </c>
      <c r="Z121" s="120" t="s">
        <v>1615</v>
      </c>
      <c r="AA121" s="121" t="s">
        <v>1777</v>
      </c>
      <c r="AB121" s="122" t="s">
        <v>292</v>
      </c>
      <c r="AC121" s="123">
        <v>30</v>
      </c>
      <c r="AD121" s="124">
        <v>1.24</v>
      </c>
      <c r="AE121" s="200">
        <f t="shared" si="4"/>
        <v>37.200000000000003</v>
      </c>
      <c r="AF121" s="227"/>
      <c r="AR121" s="129" t="s">
        <v>63</v>
      </c>
      <c r="AT121" s="129" t="s">
        <v>231</v>
      </c>
      <c r="AU121" s="129" t="s">
        <v>63</v>
      </c>
      <c r="AY121" s="13" t="s">
        <v>228</v>
      </c>
      <c r="BE121" s="130">
        <f t="shared" si="5"/>
        <v>37.200000000000003</v>
      </c>
      <c r="BF121" s="130">
        <f t="shared" si="6"/>
        <v>0</v>
      </c>
      <c r="BG121" s="130">
        <f t="shared" si="7"/>
        <v>0</v>
      </c>
      <c r="BH121" s="130">
        <f t="shared" si="8"/>
        <v>0</v>
      </c>
      <c r="BI121" s="130">
        <f t="shared" si="9"/>
        <v>0</v>
      </c>
      <c r="BJ121" s="13" t="s">
        <v>63</v>
      </c>
      <c r="BK121" s="130">
        <f t="shared" si="10"/>
        <v>37.200000000000003</v>
      </c>
      <c r="BL121" s="13" t="s">
        <v>63</v>
      </c>
      <c r="BM121" s="129" t="s">
        <v>1778</v>
      </c>
    </row>
    <row r="122" spans="2:65" s="1" customFormat="1" ht="16.5" customHeight="1" x14ac:dyDescent="0.2">
      <c r="B122" s="118"/>
      <c r="C122" s="131" t="s">
        <v>235</v>
      </c>
      <c r="D122" s="131" t="s">
        <v>277</v>
      </c>
      <c r="E122" s="132" t="s">
        <v>1618</v>
      </c>
      <c r="F122" s="133" t="s">
        <v>1779</v>
      </c>
      <c r="G122" s="134" t="s">
        <v>292</v>
      </c>
      <c r="H122" s="135">
        <v>30</v>
      </c>
      <c r="I122" s="136">
        <v>1.49</v>
      </c>
      <c r="J122" s="136">
        <f t="shared" si="0"/>
        <v>44.7</v>
      </c>
      <c r="K122" s="133" t="s">
        <v>1</v>
      </c>
      <c r="L122" s="137"/>
      <c r="M122" s="138" t="s">
        <v>1</v>
      </c>
      <c r="N122" s="139" t="s">
        <v>31</v>
      </c>
      <c r="O122" s="127">
        <v>0</v>
      </c>
      <c r="P122" s="127">
        <f t="shared" si="1"/>
        <v>0</v>
      </c>
      <c r="Q122" s="127">
        <v>2.9999999999999997E-4</v>
      </c>
      <c r="R122" s="127">
        <f t="shared" si="2"/>
        <v>8.9999999999999993E-3</v>
      </c>
      <c r="S122" s="127">
        <v>0</v>
      </c>
      <c r="T122" s="128">
        <f t="shared" si="3"/>
        <v>0</v>
      </c>
      <c r="W122" s="199"/>
      <c r="X122" s="131" t="s">
        <v>235</v>
      </c>
      <c r="Y122" s="131" t="s">
        <v>277</v>
      </c>
      <c r="Z122" s="132" t="s">
        <v>1618</v>
      </c>
      <c r="AA122" s="133" t="s">
        <v>1779</v>
      </c>
      <c r="AB122" s="134" t="s">
        <v>292</v>
      </c>
      <c r="AC122" s="135">
        <v>30</v>
      </c>
      <c r="AD122" s="136">
        <v>1.49</v>
      </c>
      <c r="AE122" s="229">
        <f t="shared" si="4"/>
        <v>44.7</v>
      </c>
      <c r="AF122" s="227"/>
      <c r="AR122" s="129" t="s">
        <v>76</v>
      </c>
      <c r="AT122" s="129" t="s">
        <v>277</v>
      </c>
      <c r="AU122" s="129" t="s">
        <v>63</v>
      </c>
      <c r="AY122" s="13" t="s">
        <v>228</v>
      </c>
      <c r="BE122" s="130">
        <f t="shared" si="5"/>
        <v>44.7</v>
      </c>
      <c r="BF122" s="130">
        <f t="shared" si="6"/>
        <v>0</v>
      </c>
      <c r="BG122" s="130">
        <f t="shared" si="7"/>
        <v>0</v>
      </c>
      <c r="BH122" s="130">
        <f t="shared" si="8"/>
        <v>0</v>
      </c>
      <c r="BI122" s="130">
        <f t="shared" si="9"/>
        <v>0</v>
      </c>
      <c r="BJ122" s="13" t="s">
        <v>63</v>
      </c>
      <c r="BK122" s="130">
        <f t="shared" si="10"/>
        <v>44.7</v>
      </c>
      <c r="BL122" s="13" t="s">
        <v>63</v>
      </c>
      <c r="BM122" s="129" t="s">
        <v>1780</v>
      </c>
    </row>
    <row r="123" spans="2:65" s="1" customFormat="1" ht="24" customHeight="1" x14ac:dyDescent="0.2">
      <c r="B123" s="118"/>
      <c r="C123" s="119" t="s">
        <v>245</v>
      </c>
      <c r="D123" s="119" t="s">
        <v>231</v>
      </c>
      <c r="E123" s="120" t="s">
        <v>1627</v>
      </c>
      <c r="F123" s="121" t="s">
        <v>1781</v>
      </c>
      <c r="G123" s="122" t="s">
        <v>292</v>
      </c>
      <c r="H123" s="123">
        <v>30</v>
      </c>
      <c r="I123" s="124">
        <v>1.24</v>
      </c>
      <c r="J123" s="124">
        <f t="shared" si="0"/>
        <v>37.200000000000003</v>
      </c>
      <c r="K123" s="121" t="s">
        <v>1</v>
      </c>
      <c r="L123" s="24"/>
      <c r="M123" s="125" t="s">
        <v>1</v>
      </c>
      <c r="N123" s="126" t="s">
        <v>31</v>
      </c>
      <c r="O123" s="127">
        <v>0</v>
      </c>
      <c r="P123" s="127">
        <f t="shared" si="1"/>
        <v>0</v>
      </c>
      <c r="Q123" s="127">
        <v>0</v>
      </c>
      <c r="R123" s="127">
        <f t="shared" si="2"/>
        <v>0</v>
      </c>
      <c r="S123" s="127">
        <v>0</v>
      </c>
      <c r="T123" s="128">
        <f t="shared" si="3"/>
        <v>0</v>
      </c>
      <c r="W123" s="199"/>
      <c r="X123" s="119" t="s">
        <v>245</v>
      </c>
      <c r="Y123" s="119" t="s">
        <v>231</v>
      </c>
      <c r="Z123" s="120" t="s">
        <v>1627</v>
      </c>
      <c r="AA123" s="121" t="s">
        <v>1781</v>
      </c>
      <c r="AB123" s="122" t="s">
        <v>292</v>
      </c>
      <c r="AC123" s="123">
        <v>30</v>
      </c>
      <c r="AD123" s="124">
        <v>1.24</v>
      </c>
      <c r="AE123" s="200">
        <f t="shared" si="4"/>
        <v>37.200000000000003</v>
      </c>
      <c r="AF123" s="227"/>
      <c r="AR123" s="129" t="s">
        <v>63</v>
      </c>
      <c r="AT123" s="129" t="s">
        <v>231</v>
      </c>
      <c r="AU123" s="129" t="s">
        <v>63</v>
      </c>
      <c r="AY123" s="13" t="s">
        <v>228</v>
      </c>
      <c r="BE123" s="130">
        <f t="shared" si="5"/>
        <v>37.200000000000003</v>
      </c>
      <c r="BF123" s="130">
        <f t="shared" si="6"/>
        <v>0</v>
      </c>
      <c r="BG123" s="130">
        <f t="shared" si="7"/>
        <v>0</v>
      </c>
      <c r="BH123" s="130">
        <f t="shared" si="8"/>
        <v>0</v>
      </c>
      <c r="BI123" s="130">
        <f t="shared" si="9"/>
        <v>0</v>
      </c>
      <c r="BJ123" s="13" t="s">
        <v>63</v>
      </c>
      <c r="BK123" s="130">
        <f t="shared" si="10"/>
        <v>37.200000000000003</v>
      </c>
      <c r="BL123" s="13" t="s">
        <v>63</v>
      </c>
      <c r="BM123" s="129" t="s">
        <v>1782</v>
      </c>
    </row>
    <row r="124" spans="2:65" s="1" customFormat="1" ht="16.5" customHeight="1" x14ac:dyDescent="0.2">
      <c r="B124" s="118"/>
      <c r="C124" s="131" t="s">
        <v>240</v>
      </c>
      <c r="D124" s="131" t="s">
        <v>277</v>
      </c>
      <c r="E124" s="132" t="s">
        <v>1630</v>
      </c>
      <c r="F124" s="133" t="s">
        <v>1783</v>
      </c>
      <c r="G124" s="134" t="s">
        <v>292</v>
      </c>
      <c r="H124" s="135">
        <v>30</v>
      </c>
      <c r="I124" s="136">
        <v>1.83</v>
      </c>
      <c r="J124" s="136">
        <f t="shared" si="0"/>
        <v>54.9</v>
      </c>
      <c r="K124" s="133" t="s">
        <v>1</v>
      </c>
      <c r="L124" s="137"/>
      <c r="M124" s="138" t="s">
        <v>1</v>
      </c>
      <c r="N124" s="139" t="s">
        <v>31</v>
      </c>
      <c r="O124" s="127">
        <v>0</v>
      </c>
      <c r="P124" s="127">
        <f t="shared" si="1"/>
        <v>0</v>
      </c>
      <c r="Q124" s="127">
        <v>3.5E-4</v>
      </c>
      <c r="R124" s="127">
        <f t="shared" si="2"/>
        <v>1.0500000000000001E-2</v>
      </c>
      <c r="S124" s="127">
        <v>0</v>
      </c>
      <c r="T124" s="128">
        <f t="shared" si="3"/>
        <v>0</v>
      </c>
      <c r="W124" s="199"/>
      <c r="X124" s="131" t="s">
        <v>240</v>
      </c>
      <c r="Y124" s="131" t="s">
        <v>277</v>
      </c>
      <c r="Z124" s="132" t="s">
        <v>1630</v>
      </c>
      <c r="AA124" s="133" t="s">
        <v>1783</v>
      </c>
      <c r="AB124" s="134" t="s">
        <v>292</v>
      </c>
      <c r="AC124" s="135">
        <v>30</v>
      </c>
      <c r="AD124" s="136">
        <v>1.83</v>
      </c>
      <c r="AE124" s="229">
        <f t="shared" si="4"/>
        <v>54.9</v>
      </c>
      <c r="AF124" s="227"/>
      <c r="AR124" s="129" t="s">
        <v>76</v>
      </c>
      <c r="AT124" s="129" t="s">
        <v>277</v>
      </c>
      <c r="AU124" s="129" t="s">
        <v>63</v>
      </c>
      <c r="AY124" s="13" t="s">
        <v>228</v>
      </c>
      <c r="BE124" s="130">
        <f t="shared" si="5"/>
        <v>54.9</v>
      </c>
      <c r="BF124" s="130">
        <f t="shared" si="6"/>
        <v>0</v>
      </c>
      <c r="BG124" s="130">
        <f t="shared" si="7"/>
        <v>0</v>
      </c>
      <c r="BH124" s="130">
        <f t="shared" si="8"/>
        <v>0</v>
      </c>
      <c r="BI124" s="130">
        <f t="shared" si="9"/>
        <v>0</v>
      </c>
      <c r="BJ124" s="13" t="s">
        <v>63</v>
      </c>
      <c r="BK124" s="130">
        <f t="shared" si="10"/>
        <v>54.9</v>
      </c>
      <c r="BL124" s="13" t="s">
        <v>63</v>
      </c>
      <c r="BM124" s="129" t="s">
        <v>1784</v>
      </c>
    </row>
    <row r="125" spans="2:65" s="1" customFormat="1" ht="16.5" customHeight="1" x14ac:dyDescent="0.2">
      <c r="B125" s="118"/>
      <c r="C125" s="205" t="s">
        <v>252</v>
      </c>
      <c r="D125" s="119" t="s">
        <v>231</v>
      </c>
      <c r="E125" s="120" t="s">
        <v>1651</v>
      </c>
      <c r="F125" s="121" t="s">
        <v>1652</v>
      </c>
      <c r="G125" s="122" t="s">
        <v>292</v>
      </c>
      <c r="H125" s="206">
        <v>1100</v>
      </c>
      <c r="I125" s="124">
        <v>0.67</v>
      </c>
      <c r="J125" s="124">
        <f t="shared" si="0"/>
        <v>737</v>
      </c>
      <c r="K125" s="121" t="s">
        <v>1</v>
      </c>
      <c r="L125" s="24"/>
      <c r="M125" s="125" t="s">
        <v>1</v>
      </c>
      <c r="N125" s="126" t="s">
        <v>31</v>
      </c>
      <c r="O125" s="127">
        <v>0</v>
      </c>
      <c r="P125" s="127">
        <f t="shared" si="1"/>
        <v>0</v>
      </c>
      <c r="Q125" s="127">
        <v>0</v>
      </c>
      <c r="R125" s="127">
        <f t="shared" si="2"/>
        <v>0</v>
      </c>
      <c r="S125" s="127">
        <v>0</v>
      </c>
      <c r="T125" s="128">
        <f t="shared" si="3"/>
        <v>0</v>
      </c>
      <c r="W125" s="199"/>
      <c r="X125" s="205" t="s">
        <v>252</v>
      </c>
      <c r="Y125" s="119" t="s">
        <v>231</v>
      </c>
      <c r="Z125" s="120" t="s">
        <v>1651</v>
      </c>
      <c r="AA125" s="121" t="s">
        <v>1652</v>
      </c>
      <c r="AB125" s="122" t="s">
        <v>292</v>
      </c>
      <c r="AC125" s="206">
        <f>1100+500</f>
        <v>1600</v>
      </c>
      <c r="AD125" s="124">
        <v>0.67</v>
      </c>
      <c r="AE125" s="200">
        <f t="shared" si="4"/>
        <v>1072</v>
      </c>
      <c r="AF125" s="227">
        <v>21</v>
      </c>
      <c r="AR125" s="129" t="s">
        <v>63</v>
      </c>
      <c r="AT125" s="129" t="s">
        <v>231</v>
      </c>
      <c r="AU125" s="129" t="s">
        <v>63</v>
      </c>
      <c r="AY125" s="13" t="s">
        <v>228</v>
      </c>
      <c r="BE125" s="130">
        <f t="shared" si="5"/>
        <v>737</v>
      </c>
      <c r="BF125" s="130">
        <f t="shared" si="6"/>
        <v>0</v>
      </c>
      <c r="BG125" s="130">
        <f t="shared" si="7"/>
        <v>0</v>
      </c>
      <c r="BH125" s="130">
        <f t="shared" si="8"/>
        <v>0</v>
      </c>
      <c r="BI125" s="130">
        <f t="shared" si="9"/>
        <v>0</v>
      </c>
      <c r="BJ125" s="13" t="s">
        <v>63</v>
      </c>
      <c r="BK125" s="130">
        <f t="shared" si="10"/>
        <v>737</v>
      </c>
      <c r="BL125" s="13" t="s">
        <v>63</v>
      </c>
      <c r="BM125" s="129" t="s">
        <v>1785</v>
      </c>
    </row>
    <row r="126" spans="2:65" s="1" customFormat="1" ht="16.5" customHeight="1" x14ac:dyDescent="0.2">
      <c r="B126" s="118"/>
      <c r="C126" s="242" t="s">
        <v>244</v>
      </c>
      <c r="D126" s="131" t="s">
        <v>277</v>
      </c>
      <c r="E126" s="132" t="s">
        <v>1651</v>
      </c>
      <c r="F126" s="133" t="s">
        <v>1652</v>
      </c>
      <c r="G126" s="134" t="s">
        <v>292</v>
      </c>
      <c r="H126" s="241">
        <v>1100</v>
      </c>
      <c r="I126" s="136">
        <v>1.21</v>
      </c>
      <c r="J126" s="136">
        <f t="shared" si="0"/>
        <v>1331</v>
      </c>
      <c r="K126" s="133" t="s">
        <v>1</v>
      </c>
      <c r="L126" s="137"/>
      <c r="M126" s="138" t="s">
        <v>1</v>
      </c>
      <c r="N126" s="139" t="s">
        <v>31</v>
      </c>
      <c r="O126" s="127">
        <v>0</v>
      </c>
      <c r="P126" s="127">
        <f t="shared" si="1"/>
        <v>0</v>
      </c>
      <c r="Q126" s="127">
        <v>0</v>
      </c>
      <c r="R126" s="127">
        <f t="shared" si="2"/>
        <v>0</v>
      </c>
      <c r="S126" s="127">
        <v>0</v>
      </c>
      <c r="T126" s="128">
        <f t="shared" si="3"/>
        <v>0</v>
      </c>
      <c r="W126" s="199"/>
      <c r="X126" s="242" t="s">
        <v>244</v>
      </c>
      <c r="Y126" s="131" t="s">
        <v>277</v>
      </c>
      <c r="Z126" s="132" t="s">
        <v>1651</v>
      </c>
      <c r="AA126" s="133" t="s">
        <v>1652</v>
      </c>
      <c r="AB126" s="134" t="s">
        <v>292</v>
      </c>
      <c r="AC126" s="241">
        <f>1100+500</f>
        <v>1600</v>
      </c>
      <c r="AD126" s="136">
        <v>1.21</v>
      </c>
      <c r="AE126" s="229">
        <f t="shared" si="4"/>
        <v>1936</v>
      </c>
      <c r="AF126" s="227">
        <v>21</v>
      </c>
      <c r="AR126" s="129" t="s">
        <v>76</v>
      </c>
      <c r="AT126" s="129" t="s">
        <v>277</v>
      </c>
      <c r="AU126" s="129" t="s">
        <v>63</v>
      </c>
      <c r="AY126" s="13" t="s">
        <v>228</v>
      </c>
      <c r="BE126" s="130">
        <f t="shared" si="5"/>
        <v>1331</v>
      </c>
      <c r="BF126" s="130">
        <f t="shared" si="6"/>
        <v>0</v>
      </c>
      <c r="BG126" s="130">
        <f t="shared" si="7"/>
        <v>0</v>
      </c>
      <c r="BH126" s="130">
        <f t="shared" si="8"/>
        <v>0</v>
      </c>
      <c r="BI126" s="130">
        <f t="shared" si="9"/>
        <v>0</v>
      </c>
      <c r="BJ126" s="13" t="s">
        <v>63</v>
      </c>
      <c r="BK126" s="130">
        <f t="shared" si="10"/>
        <v>1331</v>
      </c>
      <c r="BL126" s="13" t="s">
        <v>63</v>
      </c>
      <c r="BM126" s="129" t="s">
        <v>1786</v>
      </c>
    </row>
    <row r="127" spans="2:65" s="1" customFormat="1" ht="24" customHeight="1" x14ac:dyDescent="0.2">
      <c r="B127" s="118"/>
      <c r="C127" s="205" t="s">
        <v>259</v>
      </c>
      <c r="D127" s="119" t="s">
        <v>231</v>
      </c>
      <c r="E127" s="120" t="s">
        <v>1304</v>
      </c>
      <c r="F127" s="121" t="s">
        <v>1787</v>
      </c>
      <c r="G127" s="122" t="s">
        <v>292</v>
      </c>
      <c r="H127" s="206">
        <v>1500</v>
      </c>
      <c r="I127" s="124">
        <v>1.21</v>
      </c>
      <c r="J127" s="124">
        <f t="shared" si="0"/>
        <v>1815</v>
      </c>
      <c r="K127" s="121" t="s">
        <v>1</v>
      </c>
      <c r="L127" s="24"/>
      <c r="M127" s="125" t="s">
        <v>1</v>
      </c>
      <c r="N127" s="126" t="s">
        <v>31</v>
      </c>
      <c r="O127" s="127">
        <v>0</v>
      </c>
      <c r="P127" s="127">
        <f t="shared" si="1"/>
        <v>0</v>
      </c>
      <c r="Q127" s="127">
        <v>0</v>
      </c>
      <c r="R127" s="127">
        <f t="shared" si="2"/>
        <v>0</v>
      </c>
      <c r="S127" s="127">
        <v>0</v>
      </c>
      <c r="T127" s="128">
        <f t="shared" si="3"/>
        <v>0</v>
      </c>
      <c r="W127" s="199"/>
      <c r="X127" s="205" t="s">
        <v>259</v>
      </c>
      <c r="Y127" s="119" t="s">
        <v>231</v>
      </c>
      <c r="Z127" s="120" t="s">
        <v>1304</v>
      </c>
      <c r="AA127" s="121" t="s">
        <v>1787</v>
      </c>
      <c r="AB127" s="122" t="s">
        <v>292</v>
      </c>
      <c r="AC127" s="206">
        <f>1500+50</f>
        <v>1550</v>
      </c>
      <c r="AD127" s="124">
        <v>1.21</v>
      </c>
      <c r="AE127" s="200">
        <f t="shared" si="4"/>
        <v>1875.5</v>
      </c>
      <c r="AF127" s="227">
        <v>21</v>
      </c>
      <c r="AR127" s="129" t="s">
        <v>63</v>
      </c>
      <c r="AT127" s="129" t="s">
        <v>231</v>
      </c>
      <c r="AU127" s="129" t="s">
        <v>63</v>
      </c>
      <c r="AY127" s="13" t="s">
        <v>228</v>
      </c>
      <c r="BE127" s="130">
        <f t="shared" si="5"/>
        <v>1815</v>
      </c>
      <c r="BF127" s="130">
        <f t="shared" si="6"/>
        <v>0</v>
      </c>
      <c r="BG127" s="130">
        <f t="shared" si="7"/>
        <v>0</v>
      </c>
      <c r="BH127" s="130">
        <f t="shared" si="8"/>
        <v>0</v>
      </c>
      <c r="BI127" s="130">
        <f t="shared" si="9"/>
        <v>0</v>
      </c>
      <c r="BJ127" s="13" t="s">
        <v>63</v>
      </c>
      <c r="BK127" s="130">
        <f t="shared" si="10"/>
        <v>1815</v>
      </c>
      <c r="BL127" s="13" t="s">
        <v>63</v>
      </c>
      <c r="BM127" s="129" t="s">
        <v>1788</v>
      </c>
    </row>
    <row r="128" spans="2:65" s="1" customFormat="1" ht="16.5" customHeight="1" x14ac:dyDescent="0.2">
      <c r="B128" s="118"/>
      <c r="C128" s="242" t="s">
        <v>248</v>
      </c>
      <c r="D128" s="131" t="s">
        <v>277</v>
      </c>
      <c r="E128" s="132" t="s">
        <v>1307</v>
      </c>
      <c r="F128" s="133" t="s">
        <v>1789</v>
      </c>
      <c r="G128" s="134" t="s">
        <v>292</v>
      </c>
      <c r="H128" s="241">
        <v>1500</v>
      </c>
      <c r="I128" s="136">
        <v>2.14</v>
      </c>
      <c r="J128" s="136">
        <f t="shared" si="0"/>
        <v>3210</v>
      </c>
      <c r="K128" s="133" t="s">
        <v>1</v>
      </c>
      <c r="L128" s="137"/>
      <c r="M128" s="138" t="s">
        <v>1</v>
      </c>
      <c r="N128" s="139" t="s">
        <v>31</v>
      </c>
      <c r="O128" s="127">
        <v>0</v>
      </c>
      <c r="P128" s="127">
        <f t="shared" si="1"/>
        <v>0</v>
      </c>
      <c r="Q128" s="127">
        <v>0</v>
      </c>
      <c r="R128" s="127">
        <f t="shared" si="2"/>
        <v>0</v>
      </c>
      <c r="S128" s="127">
        <v>0</v>
      </c>
      <c r="T128" s="128">
        <f t="shared" si="3"/>
        <v>0</v>
      </c>
      <c r="W128" s="199"/>
      <c r="X128" s="242" t="s">
        <v>248</v>
      </c>
      <c r="Y128" s="131" t="s">
        <v>277</v>
      </c>
      <c r="Z128" s="132" t="s">
        <v>1307</v>
      </c>
      <c r="AA128" s="133" t="s">
        <v>1789</v>
      </c>
      <c r="AB128" s="134" t="s">
        <v>292</v>
      </c>
      <c r="AC128" s="241">
        <f>1500+50</f>
        <v>1550</v>
      </c>
      <c r="AD128" s="136">
        <v>2.14</v>
      </c>
      <c r="AE128" s="229">
        <f t="shared" si="4"/>
        <v>3317</v>
      </c>
      <c r="AF128" s="227">
        <v>21</v>
      </c>
      <c r="AR128" s="129" t="s">
        <v>76</v>
      </c>
      <c r="AT128" s="129" t="s">
        <v>277</v>
      </c>
      <c r="AU128" s="129" t="s">
        <v>63</v>
      </c>
      <c r="AY128" s="13" t="s">
        <v>228</v>
      </c>
      <c r="BE128" s="130">
        <f t="shared" si="5"/>
        <v>3210</v>
      </c>
      <c r="BF128" s="130">
        <f t="shared" si="6"/>
        <v>0</v>
      </c>
      <c r="BG128" s="130">
        <f t="shared" si="7"/>
        <v>0</v>
      </c>
      <c r="BH128" s="130">
        <f t="shared" si="8"/>
        <v>0</v>
      </c>
      <c r="BI128" s="130">
        <f t="shared" si="9"/>
        <v>0</v>
      </c>
      <c r="BJ128" s="13" t="s">
        <v>63</v>
      </c>
      <c r="BK128" s="130">
        <f t="shared" si="10"/>
        <v>3210</v>
      </c>
      <c r="BL128" s="13" t="s">
        <v>63</v>
      </c>
      <c r="BM128" s="129" t="s">
        <v>1790</v>
      </c>
    </row>
    <row r="129" spans="2:65" s="682" customFormat="1" ht="19.95" customHeight="1" x14ac:dyDescent="0.2">
      <c r="B129" s="118"/>
      <c r="C129" s="1234" t="s">
        <v>5205</v>
      </c>
      <c r="D129" s="1235"/>
      <c r="E129" s="1235"/>
      <c r="F129" s="1235"/>
      <c r="G129" s="1235"/>
      <c r="H129" s="1235"/>
      <c r="I129" s="1235"/>
      <c r="J129" s="1236"/>
      <c r="K129" s="133"/>
      <c r="L129" s="137"/>
      <c r="M129" s="138"/>
      <c r="N129" s="139"/>
      <c r="O129" s="127"/>
      <c r="P129" s="127"/>
      <c r="Q129" s="127"/>
      <c r="R129" s="127"/>
      <c r="S129" s="127"/>
      <c r="T129" s="128"/>
      <c r="W129" s="199"/>
      <c r="X129" s="207" t="s">
        <v>5839</v>
      </c>
      <c r="Y129" s="207" t="s">
        <v>231</v>
      </c>
      <c r="Z129" s="342" t="s">
        <v>6520</v>
      </c>
      <c r="AA129" s="343" t="s">
        <v>6521</v>
      </c>
      <c r="AB129" s="344" t="s">
        <v>1194</v>
      </c>
      <c r="AC129" s="345">
        <v>1497</v>
      </c>
      <c r="AD129" s="346">
        <v>0.24</v>
      </c>
      <c r="AE129" s="355">
        <f t="shared" ref="AE129:AE135" si="11">ROUND(AD129*AC129,2)</f>
        <v>359.28</v>
      </c>
      <c r="AF129" s="1152">
        <v>21</v>
      </c>
      <c r="AR129" s="129"/>
      <c r="AT129" s="129"/>
      <c r="AU129" s="129"/>
      <c r="AY129" s="13"/>
      <c r="BE129" s="130"/>
      <c r="BF129" s="130"/>
      <c r="BG129" s="130"/>
      <c r="BH129" s="130"/>
      <c r="BI129" s="130"/>
      <c r="BJ129" s="13"/>
      <c r="BK129" s="130"/>
      <c r="BL129" s="13"/>
      <c r="BM129" s="129"/>
    </row>
    <row r="130" spans="2:65" s="682" customFormat="1" ht="19.95" customHeight="1" x14ac:dyDescent="0.2">
      <c r="B130" s="118"/>
      <c r="C130" s="1234" t="s">
        <v>5205</v>
      </c>
      <c r="D130" s="1235"/>
      <c r="E130" s="1235"/>
      <c r="F130" s="1235"/>
      <c r="G130" s="1235"/>
      <c r="H130" s="1235"/>
      <c r="I130" s="1235"/>
      <c r="J130" s="1236"/>
      <c r="K130" s="133"/>
      <c r="L130" s="137"/>
      <c r="M130" s="138"/>
      <c r="N130" s="139"/>
      <c r="O130" s="127"/>
      <c r="P130" s="127"/>
      <c r="Q130" s="127"/>
      <c r="R130" s="127"/>
      <c r="S130" s="127"/>
      <c r="T130" s="128"/>
      <c r="W130" s="199"/>
      <c r="X130" s="386" t="s">
        <v>6466</v>
      </c>
      <c r="Y130" s="386" t="s">
        <v>277</v>
      </c>
      <c r="Z130" s="349" t="s">
        <v>6522</v>
      </c>
      <c r="AA130" s="350" t="s">
        <v>6521</v>
      </c>
      <c r="AB130" s="351" t="s">
        <v>1194</v>
      </c>
      <c r="AC130" s="352">
        <v>1497</v>
      </c>
      <c r="AD130" s="353">
        <v>0.3</v>
      </c>
      <c r="AE130" s="356">
        <f t="shared" si="11"/>
        <v>449.1</v>
      </c>
      <c r="AF130" s="1152">
        <v>21</v>
      </c>
      <c r="AR130" s="129"/>
      <c r="AT130" s="129"/>
      <c r="AU130" s="129"/>
      <c r="AY130" s="13"/>
      <c r="BE130" s="130"/>
      <c r="BF130" s="130"/>
      <c r="BG130" s="130"/>
      <c r="BH130" s="130"/>
      <c r="BI130" s="130"/>
      <c r="BJ130" s="13"/>
      <c r="BK130" s="130"/>
      <c r="BL130" s="13"/>
      <c r="BM130" s="129"/>
    </row>
    <row r="131" spans="2:65" s="682" customFormat="1" ht="19.95" customHeight="1" x14ac:dyDescent="0.2">
      <c r="B131" s="118"/>
      <c r="C131" s="1234" t="s">
        <v>5205</v>
      </c>
      <c r="D131" s="1235"/>
      <c r="E131" s="1235"/>
      <c r="F131" s="1235"/>
      <c r="G131" s="1235"/>
      <c r="H131" s="1235"/>
      <c r="I131" s="1235"/>
      <c r="J131" s="1236"/>
      <c r="K131" s="133"/>
      <c r="L131" s="137"/>
      <c r="M131" s="138"/>
      <c r="N131" s="139"/>
      <c r="O131" s="127"/>
      <c r="P131" s="127"/>
      <c r="Q131" s="127"/>
      <c r="R131" s="127"/>
      <c r="S131" s="127"/>
      <c r="T131" s="128"/>
      <c r="W131" s="199"/>
      <c r="X131" s="207" t="s">
        <v>6467</v>
      </c>
      <c r="Y131" s="207" t="s">
        <v>231</v>
      </c>
      <c r="Z131" s="342" t="s">
        <v>6523</v>
      </c>
      <c r="AA131" s="343" t="s">
        <v>6524</v>
      </c>
      <c r="AB131" s="344" t="s">
        <v>1194</v>
      </c>
      <c r="AC131" s="345">
        <v>1</v>
      </c>
      <c r="AD131" s="346">
        <v>15.94</v>
      </c>
      <c r="AE131" s="355">
        <f t="shared" si="11"/>
        <v>15.94</v>
      </c>
      <c r="AF131" s="227">
        <v>21</v>
      </c>
      <c r="AR131" s="129"/>
      <c r="AT131" s="129"/>
      <c r="AU131" s="129"/>
      <c r="AY131" s="13"/>
      <c r="BE131" s="130"/>
      <c r="BF131" s="130"/>
      <c r="BG131" s="130"/>
      <c r="BH131" s="130"/>
      <c r="BI131" s="130"/>
      <c r="BJ131" s="13"/>
      <c r="BK131" s="130"/>
      <c r="BL131" s="13"/>
      <c r="BM131" s="129"/>
    </row>
    <row r="132" spans="2:65" s="682" customFormat="1" ht="19.95" customHeight="1" x14ac:dyDescent="0.2">
      <c r="B132" s="118"/>
      <c r="C132" s="1234" t="s">
        <v>5205</v>
      </c>
      <c r="D132" s="1235"/>
      <c r="E132" s="1235"/>
      <c r="F132" s="1235"/>
      <c r="G132" s="1235"/>
      <c r="H132" s="1235"/>
      <c r="I132" s="1235"/>
      <c r="J132" s="1236"/>
      <c r="K132" s="133"/>
      <c r="L132" s="137"/>
      <c r="M132" s="138"/>
      <c r="N132" s="139"/>
      <c r="O132" s="127"/>
      <c r="P132" s="127"/>
      <c r="Q132" s="127"/>
      <c r="R132" s="127"/>
      <c r="S132" s="127"/>
      <c r="T132" s="128"/>
      <c r="W132" s="199"/>
      <c r="X132" s="386" t="s">
        <v>6532</v>
      </c>
      <c r="Y132" s="386" t="s">
        <v>277</v>
      </c>
      <c r="Z132" s="349" t="s">
        <v>6525</v>
      </c>
      <c r="AA132" s="350" t="s">
        <v>6524</v>
      </c>
      <c r="AB132" s="351" t="s">
        <v>1194</v>
      </c>
      <c r="AC132" s="352">
        <v>1</v>
      </c>
      <c r="AD132" s="353">
        <v>78</v>
      </c>
      <c r="AE132" s="356">
        <f t="shared" si="11"/>
        <v>78</v>
      </c>
      <c r="AF132" s="227">
        <v>21</v>
      </c>
      <c r="AR132" s="129"/>
      <c r="AT132" s="129"/>
      <c r="AU132" s="129"/>
      <c r="AY132" s="13"/>
      <c r="BE132" s="130"/>
      <c r="BF132" s="130"/>
      <c r="BG132" s="130"/>
      <c r="BH132" s="130"/>
      <c r="BI132" s="130"/>
      <c r="BJ132" s="13"/>
      <c r="BK132" s="130"/>
      <c r="BL132" s="13"/>
      <c r="BM132" s="129"/>
    </row>
    <row r="133" spans="2:65" s="682" customFormat="1" ht="19.95" customHeight="1" x14ac:dyDescent="0.2">
      <c r="B133" s="118"/>
      <c r="C133" s="1234" t="s">
        <v>5205</v>
      </c>
      <c r="D133" s="1235"/>
      <c r="E133" s="1235"/>
      <c r="F133" s="1235"/>
      <c r="G133" s="1235"/>
      <c r="H133" s="1235"/>
      <c r="I133" s="1235"/>
      <c r="J133" s="1236"/>
      <c r="K133" s="133"/>
      <c r="L133" s="137"/>
      <c r="M133" s="138"/>
      <c r="N133" s="139"/>
      <c r="O133" s="127"/>
      <c r="P133" s="127"/>
      <c r="Q133" s="127"/>
      <c r="R133" s="127"/>
      <c r="S133" s="127"/>
      <c r="T133" s="128"/>
      <c r="W133" s="199"/>
      <c r="X133" s="207" t="s">
        <v>6533</v>
      </c>
      <c r="Y133" s="207" t="s">
        <v>231</v>
      </c>
      <c r="Z133" s="342" t="s">
        <v>6526</v>
      </c>
      <c r="AA133" s="343" t="s">
        <v>6527</v>
      </c>
      <c r="AB133" s="344" t="s">
        <v>1194</v>
      </c>
      <c r="AC133" s="345">
        <v>4</v>
      </c>
      <c r="AD133" s="346">
        <v>15.94</v>
      </c>
      <c r="AE133" s="355">
        <f t="shared" si="11"/>
        <v>63.76</v>
      </c>
      <c r="AF133" s="227">
        <v>21</v>
      </c>
      <c r="AR133" s="129"/>
      <c r="AT133" s="129"/>
      <c r="AU133" s="129"/>
      <c r="AY133" s="13"/>
      <c r="BE133" s="130"/>
      <c r="BF133" s="130"/>
      <c r="BG133" s="130"/>
      <c r="BH133" s="130"/>
      <c r="BI133" s="130"/>
      <c r="BJ133" s="13"/>
      <c r="BK133" s="130"/>
      <c r="BL133" s="13"/>
      <c r="BM133" s="129"/>
    </row>
    <row r="134" spans="2:65" s="682" customFormat="1" ht="19.95" customHeight="1" x14ac:dyDescent="0.2">
      <c r="B134" s="118"/>
      <c r="C134" s="1234" t="s">
        <v>5205</v>
      </c>
      <c r="D134" s="1235"/>
      <c r="E134" s="1235"/>
      <c r="F134" s="1235"/>
      <c r="G134" s="1235"/>
      <c r="H134" s="1235"/>
      <c r="I134" s="1235"/>
      <c r="J134" s="1236"/>
      <c r="K134" s="133"/>
      <c r="L134" s="137"/>
      <c r="M134" s="138"/>
      <c r="N134" s="139"/>
      <c r="O134" s="127"/>
      <c r="P134" s="127"/>
      <c r="Q134" s="127"/>
      <c r="R134" s="127"/>
      <c r="S134" s="127"/>
      <c r="T134" s="128"/>
      <c r="W134" s="199"/>
      <c r="X134" s="386" t="s">
        <v>6534</v>
      </c>
      <c r="Y134" s="386" t="s">
        <v>277</v>
      </c>
      <c r="Z134" s="349" t="s">
        <v>6528</v>
      </c>
      <c r="AA134" s="350" t="s">
        <v>6527</v>
      </c>
      <c r="AB134" s="351" t="s">
        <v>1194</v>
      </c>
      <c r="AC134" s="352">
        <v>4</v>
      </c>
      <c r="AD134" s="353">
        <v>102</v>
      </c>
      <c r="AE134" s="356">
        <f t="shared" si="11"/>
        <v>408</v>
      </c>
      <c r="AF134" s="227">
        <v>21</v>
      </c>
      <c r="AR134" s="129"/>
      <c r="AT134" s="129"/>
      <c r="AU134" s="129"/>
      <c r="AY134" s="13"/>
      <c r="BE134" s="130"/>
      <c r="BF134" s="130"/>
      <c r="BG134" s="130"/>
      <c r="BH134" s="130"/>
      <c r="BI134" s="130"/>
      <c r="BJ134" s="13"/>
      <c r="BK134" s="130"/>
      <c r="BL134" s="13"/>
      <c r="BM134" s="129"/>
    </row>
    <row r="135" spans="2:65" s="682" customFormat="1" ht="19.95" customHeight="1" x14ac:dyDescent="0.2">
      <c r="B135" s="118"/>
      <c r="C135" s="1234" t="s">
        <v>5205</v>
      </c>
      <c r="D135" s="1235"/>
      <c r="E135" s="1235"/>
      <c r="F135" s="1235"/>
      <c r="G135" s="1235"/>
      <c r="H135" s="1235"/>
      <c r="I135" s="1235"/>
      <c r="J135" s="1236"/>
      <c r="K135" s="133"/>
      <c r="L135" s="137"/>
      <c r="M135" s="138"/>
      <c r="N135" s="139"/>
      <c r="O135" s="127"/>
      <c r="P135" s="127"/>
      <c r="Q135" s="127"/>
      <c r="R135" s="127"/>
      <c r="S135" s="127"/>
      <c r="T135" s="128"/>
      <c r="W135" s="199"/>
      <c r="X135" s="207" t="s">
        <v>6535</v>
      </c>
      <c r="Y135" s="207" t="s">
        <v>231</v>
      </c>
      <c r="Z135" s="342" t="s">
        <v>6529</v>
      </c>
      <c r="AA135" s="343" t="s">
        <v>6530</v>
      </c>
      <c r="AB135" s="344" t="s">
        <v>1194</v>
      </c>
      <c r="AC135" s="345">
        <v>5</v>
      </c>
      <c r="AD135" s="346">
        <v>3.24</v>
      </c>
      <c r="AE135" s="355">
        <f t="shared" si="11"/>
        <v>16.2</v>
      </c>
      <c r="AF135" s="227">
        <v>21</v>
      </c>
      <c r="AR135" s="129"/>
      <c r="AT135" s="129"/>
      <c r="AU135" s="129"/>
      <c r="AY135" s="13"/>
      <c r="BE135" s="130"/>
      <c r="BF135" s="130"/>
      <c r="BG135" s="130"/>
      <c r="BH135" s="130"/>
      <c r="BI135" s="130"/>
      <c r="BJ135" s="13"/>
      <c r="BK135" s="130"/>
      <c r="BL135" s="13"/>
      <c r="BM135" s="129"/>
    </row>
    <row r="136" spans="2:65" s="682" customFormat="1" ht="19.95" customHeight="1" x14ac:dyDescent="0.2">
      <c r="B136" s="118"/>
      <c r="C136" s="1234" t="s">
        <v>5205</v>
      </c>
      <c r="D136" s="1235"/>
      <c r="E136" s="1235"/>
      <c r="F136" s="1235"/>
      <c r="G136" s="1235"/>
      <c r="H136" s="1235"/>
      <c r="I136" s="1235"/>
      <c r="J136" s="1236"/>
      <c r="K136" s="133"/>
      <c r="L136" s="137"/>
      <c r="M136" s="138"/>
      <c r="N136" s="139"/>
      <c r="O136" s="127"/>
      <c r="P136" s="127"/>
      <c r="Q136" s="127"/>
      <c r="R136" s="127"/>
      <c r="S136" s="127"/>
      <c r="T136" s="128"/>
      <c r="W136" s="199"/>
      <c r="X136" s="386" t="s">
        <v>6536</v>
      </c>
      <c r="Y136" s="386" t="s">
        <v>277</v>
      </c>
      <c r="Z136" s="349" t="s">
        <v>6531</v>
      </c>
      <c r="AA136" s="350" t="s">
        <v>6530</v>
      </c>
      <c r="AB136" s="351" t="s">
        <v>1194</v>
      </c>
      <c r="AC136" s="352">
        <v>5</v>
      </c>
      <c r="AD136" s="353">
        <v>12.74</v>
      </c>
      <c r="AE136" s="356">
        <f t="shared" ref="AE136" si="12">ROUND(AD136*AC136,2)</f>
        <v>63.7</v>
      </c>
      <c r="AF136" s="227">
        <v>21</v>
      </c>
      <c r="AR136" s="129"/>
      <c r="AT136" s="129"/>
      <c r="AU136" s="129"/>
      <c r="AY136" s="13"/>
      <c r="BE136" s="130"/>
      <c r="BF136" s="130"/>
      <c r="BG136" s="130"/>
      <c r="BH136" s="130"/>
      <c r="BI136" s="130"/>
      <c r="BJ136" s="13"/>
      <c r="BK136" s="130"/>
      <c r="BL136" s="13"/>
      <c r="BM136" s="129"/>
    </row>
    <row r="137" spans="2:65" s="1" customFormat="1" ht="16.5" customHeight="1" x14ac:dyDescent="0.2">
      <c r="B137" s="118"/>
      <c r="C137" s="119" t="s">
        <v>265</v>
      </c>
      <c r="D137" s="119" t="s">
        <v>231</v>
      </c>
      <c r="E137" s="120" t="s">
        <v>1587</v>
      </c>
      <c r="F137" s="121" t="s">
        <v>1791</v>
      </c>
      <c r="G137" s="122" t="s">
        <v>1194</v>
      </c>
      <c r="H137" s="123">
        <v>1</v>
      </c>
      <c r="I137" s="124">
        <v>1982.7</v>
      </c>
      <c r="J137" s="124">
        <f t="shared" si="0"/>
        <v>1982.7</v>
      </c>
      <c r="K137" s="121" t="s">
        <v>1</v>
      </c>
      <c r="L137" s="24"/>
      <c r="M137" s="125" t="s">
        <v>1</v>
      </c>
      <c r="N137" s="126" t="s">
        <v>31</v>
      </c>
      <c r="O137" s="127">
        <v>0</v>
      </c>
      <c r="P137" s="127">
        <f t="shared" si="1"/>
        <v>0</v>
      </c>
      <c r="Q137" s="127">
        <v>0</v>
      </c>
      <c r="R137" s="127">
        <f t="shared" si="2"/>
        <v>0</v>
      </c>
      <c r="S137" s="127">
        <v>0</v>
      </c>
      <c r="T137" s="128">
        <f t="shared" si="3"/>
        <v>0</v>
      </c>
      <c r="W137" s="199"/>
      <c r="X137" s="119" t="s">
        <v>265</v>
      </c>
      <c r="Y137" s="119" t="s">
        <v>231</v>
      </c>
      <c r="Z137" s="120" t="s">
        <v>1587</v>
      </c>
      <c r="AA137" s="121" t="s">
        <v>1791</v>
      </c>
      <c r="AB137" s="122" t="s">
        <v>1194</v>
      </c>
      <c r="AC137" s="123">
        <v>1</v>
      </c>
      <c r="AD137" s="124">
        <v>1982.7</v>
      </c>
      <c r="AE137" s="200">
        <f t="shared" si="4"/>
        <v>1982.7</v>
      </c>
      <c r="AF137" s="227"/>
      <c r="AR137" s="129" t="s">
        <v>63</v>
      </c>
      <c r="AT137" s="129" t="s">
        <v>231</v>
      </c>
      <c r="AU137" s="129" t="s">
        <v>63</v>
      </c>
      <c r="AY137" s="13" t="s">
        <v>228</v>
      </c>
      <c r="BE137" s="130">
        <f t="shared" si="5"/>
        <v>1982.7</v>
      </c>
      <c r="BF137" s="130">
        <f t="shared" si="6"/>
        <v>0</v>
      </c>
      <c r="BG137" s="130">
        <f t="shared" si="7"/>
        <v>0</v>
      </c>
      <c r="BH137" s="130">
        <f t="shared" si="8"/>
        <v>0</v>
      </c>
      <c r="BI137" s="130">
        <f t="shared" si="9"/>
        <v>0</v>
      </c>
      <c r="BJ137" s="13" t="s">
        <v>63</v>
      </c>
      <c r="BK137" s="130">
        <f t="shared" si="10"/>
        <v>1982.7</v>
      </c>
      <c r="BL137" s="13" t="s">
        <v>63</v>
      </c>
      <c r="BM137" s="129" t="s">
        <v>1792</v>
      </c>
    </row>
    <row r="138" spans="2:65" s="1" customFormat="1" ht="16.5" customHeight="1" x14ac:dyDescent="0.2">
      <c r="B138" s="118"/>
      <c r="C138" s="131" t="s">
        <v>251</v>
      </c>
      <c r="D138" s="131" t="s">
        <v>277</v>
      </c>
      <c r="E138" s="132" t="s">
        <v>1587</v>
      </c>
      <c r="F138" s="133" t="s">
        <v>1791</v>
      </c>
      <c r="G138" s="134" t="s">
        <v>1194</v>
      </c>
      <c r="H138" s="135">
        <v>1</v>
      </c>
      <c r="I138" s="136">
        <v>3017.44</v>
      </c>
      <c r="J138" s="136">
        <f t="shared" si="0"/>
        <v>3017.44</v>
      </c>
      <c r="K138" s="133" t="s">
        <v>1</v>
      </c>
      <c r="L138" s="137"/>
      <c r="M138" s="138" t="s">
        <v>1</v>
      </c>
      <c r="N138" s="139" t="s">
        <v>31</v>
      </c>
      <c r="O138" s="127">
        <v>0</v>
      </c>
      <c r="P138" s="127">
        <f t="shared" si="1"/>
        <v>0</v>
      </c>
      <c r="Q138" s="127">
        <v>0</v>
      </c>
      <c r="R138" s="127">
        <f t="shared" si="2"/>
        <v>0</v>
      </c>
      <c r="S138" s="127">
        <v>0</v>
      </c>
      <c r="T138" s="128">
        <f t="shared" si="3"/>
        <v>0</v>
      </c>
      <c r="W138" s="199"/>
      <c r="X138" s="131" t="s">
        <v>251</v>
      </c>
      <c r="Y138" s="131" t="s">
        <v>277</v>
      </c>
      <c r="Z138" s="132" t="s">
        <v>1587</v>
      </c>
      <c r="AA138" s="133" t="s">
        <v>1791</v>
      </c>
      <c r="AB138" s="134" t="s">
        <v>1194</v>
      </c>
      <c r="AC138" s="135">
        <v>1</v>
      </c>
      <c r="AD138" s="136">
        <v>3017.44</v>
      </c>
      <c r="AE138" s="229">
        <f t="shared" si="4"/>
        <v>3017.44</v>
      </c>
      <c r="AF138" s="227"/>
      <c r="AR138" s="129" t="s">
        <v>76</v>
      </c>
      <c r="AT138" s="129" t="s">
        <v>277</v>
      </c>
      <c r="AU138" s="129" t="s">
        <v>63</v>
      </c>
      <c r="AY138" s="13" t="s">
        <v>228</v>
      </c>
      <c r="BE138" s="130">
        <f t="shared" si="5"/>
        <v>3017.44</v>
      </c>
      <c r="BF138" s="130">
        <f t="shared" si="6"/>
        <v>0</v>
      </c>
      <c r="BG138" s="130">
        <f t="shared" si="7"/>
        <v>0</v>
      </c>
      <c r="BH138" s="130">
        <f t="shared" si="8"/>
        <v>0</v>
      </c>
      <c r="BI138" s="130">
        <f t="shared" si="9"/>
        <v>0</v>
      </c>
      <c r="BJ138" s="13" t="s">
        <v>63</v>
      </c>
      <c r="BK138" s="130">
        <f t="shared" si="10"/>
        <v>3017.44</v>
      </c>
      <c r="BL138" s="13" t="s">
        <v>63</v>
      </c>
      <c r="BM138" s="129" t="s">
        <v>1793</v>
      </c>
    </row>
    <row r="139" spans="2:65" s="1" customFormat="1" ht="16.5" customHeight="1" x14ac:dyDescent="0.2">
      <c r="B139" s="118"/>
      <c r="C139" s="119" t="s">
        <v>273</v>
      </c>
      <c r="D139" s="119" t="s">
        <v>231</v>
      </c>
      <c r="E139" s="120" t="s">
        <v>1597</v>
      </c>
      <c r="F139" s="121" t="s">
        <v>1794</v>
      </c>
      <c r="G139" s="122" t="s">
        <v>1194</v>
      </c>
      <c r="H139" s="123">
        <v>1</v>
      </c>
      <c r="I139" s="124">
        <v>2216.35</v>
      </c>
      <c r="J139" s="124">
        <f t="shared" si="0"/>
        <v>2216.35</v>
      </c>
      <c r="K139" s="121" t="s">
        <v>1</v>
      </c>
      <c r="L139" s="24"/>
      <c r="M139" s="125" t="s">
        <v>1</v>
      </c>
      <c r="N139" s="126" t="s">
        <v>31</v>
      </c>
      <c r="O139" s="127">
        <v>0</v>
      </c>
      <c r="P139" s="127">
        <f t="shared" si="1"/>
        <v>0</v>
      </c>
      <c r="Q139" s="127">
        <v>0</v>
      </c>
      <c r="R139" s="127">
        <f t="shared" si="2"/>
        <v>0</v>
      </c>
      <c r="S139" s="127">
        <v>0</v>
      </c>
      <c r="T139" s="128">
        <f t="shared" si="3"/>
        <v>0</v>
      </c>
      <c r="W139" s="199"/>
      <c r="X139" s="119" t="s">
        <v>273</v>
      </c>
      <c r="Y139" s="119" t="s">
        <v>231</v>
      </c>
      <c r="Z139" s="120" t="s">
        <v>1597</v>
      </c>
      <c r="AA139" s="121" t="s">
        <v>1794</v>
      </c>
      <c r="AB139" s="122" t="s">
        <v>1194</v>
      </c>
      <c r="AC139" s="123">
        <v>1</v>
      </c>
      <c r="AD139" s="124">
        <v>2216.35</v>
      </c>
      <c r="AE139" s="200">
        <f t="shared" si="4"/>
        <v>2216.35</v>
      </c>
      <c r="AF139" s="227"/>
      <c r="AR139" s="129" t="s">
        <v>63</v>
      </c>
      <c r="AT139" s="129" t="s">
        <v>231</v>
      </c>
      <c r="AU139" s="129" t="s">
        <v>63</v>
      </c>
      <c r="AY139" s="13" t="s">
        <v>228</v>
      </c>
      <c r="BE139" s="130">
        <f t="shared" si="5"/>
        <v>2216.35</v>
      </c>
      <c r="BF139" s="130">
        <f t="shared" si="6"/>
        <v>0</v>
      </c>
      <c r="BG139" s="130">
        <f t="shared" si="7"/>
        <v>0</v>
      </c>
      <c r="BH139" s="130">
        <f t="shared" si="8"/>
        <v>0</v>
      </c>
      <c r="BI139" s="130">
        <f t="shared" si="9"/>
        <v>0</v>
      </c>
      <c r="BJ139" s="13" t="s">
        <v>63</v>
      </c>
      <c r="BK139" s="130">
        <f t="shared" si="10"/>
        <v>2216.35</v>
      </c>
      <c r="BL139" s="13" t="s">
        <v>63</v>
      </c>
      <c r="BM139" s="129" t="s">
        <v>1795</v>
      </c>
    </row>
    <row r="140" spans="2:65" s="1" customFormat="1" ht="16.5" customHeight="1" x14ac:dyDescent="0.2">
      <c r="B140" s="118"/>
      <c r="C140" s="131" t="s">
        <v>255</v>
      </c>
      <c r="D140" s="131" t="s">
        <v>277</v>
      </c>
      <c r="E140" s="132" t="s">
        <v>1597</v>
      </c>
      <c r="F140" s="133" t="s">
        <v>1796</v>
      </c>
      <c r="G140" s="134" t="s">
        <v>1194</v>
      </c>
      <c r="H140" s="135">
        <v>1</v>
      </c>
      <c r="I140" s="136">
        <v>4355.6099999999997</v>
      </c>
      <c r="J140" s="136">
        <f t="shared" si="0"/>
        <v>4355.6099999999997</v>
      </c>
      <c r="K140" s="133" t="s">
        <v>1</v>
      </c>
      <c r="L140" s="137"/>
      <c r="M140" s="138" t="s">
        <v>1</v>
      </c>
      <c r="N140" s="139" t="s">
        <v>31</v>
      </c>
      <c r="O140" s="127">
        <v>0</v>
      </c>
      <c r="P140" s="127">
        <f t="shared" si="1"/>
        <v>0</v>
      </c>
      <c r="Q140" s="127">
        <v>0</v>
      </c>
      <c r="R140" s="127">
        <f t="shared" si="2"/>
        <v>0</v>
      </c>
      <c r="S140" s="127">
        <v>0</v>
      </c>
      <c r="T140" s="128">
        <f t="shared" si="3"/>
        <v>0</v>
      </c>
      <c r="W140" s="199"/>
      <c r="X140" s="131" t="s">
        <v>255</v>
      </c>
      <c r="Y140" s="131" t="s">
        <v>277</v>
      </c>
      <c r="Z140" s="132" t="s">
        <v>1597</v>
      </c>
      <c r="AA140" s="133" t="s">
        <v>1796</v>
      </c>
      <c r="AB140" s="134" t="s">
        <v>1194</v>
      </c>
      <c r="AC140" s="135">
        <v>1</v>
      </c>
      <c r="AD140" s="136">
        <v>4355.6099999999997</v>
      </c>
      <c r="AE140" s="229">
        <f t="shared" si="4"/>
        <v>4355.6099999999997</v>
      </c>
      <c r="AF140" s="227"/>
      <c r="AR140" s="129" t="s">
        <v>76</v>
      </c>
      <c r="AT140" s="129" t="s">
        <v>277</v>
      </c>
      <c r="AU140" s="129" t="s">
        <v>63</v>
      </c>
      <c r="AY140" s="13" t="s">
        <v>228</v>
      </c>
      <c r="BE140" s="130">
        <f t="shared" si="5"/>
        <v>4355.6099999999997</v>
      </c>
      <c r="BF140" s="130">
        <f t="shared" si="6"/>
        <v>0</v>
      </c>
      <c r="BG140" s="130">
        <f t="shared" si="7"/>
        <v>0</v>
      </c>
      <c r="BH140" s="130">
        <f t="shared" si="8"/>
        <v>0</v>
      </c>
      <c r="BI140" s="130">
        <f t="shared" si="9"/>
        <v>0</v>
      </c>
      <c r="BJ140" s="13" t="s">
        <v>63</v>
      </c>
      <c r="BK140" s="130">
        <f t="shared" si="10"/>
        <v>4355.6099999999997</v>
      </c>
      <c r="BL140" s="13" t="s">
        <v>63</v>
      </c>
      <c r="BM140" s="129" t="s">
        <v>1797</v>
      </c>
    </row>
    <row r="141" spans="2:65" s="1" customFormat="1" ht="16.5" customHeight="1" x14ac:dyDescent="0.2">
      <c r="B141" s="118"/>
      <c r="C141" s="119" t="s">
        <v>281</v>
      </c>
      <c r="D141" s="119" t="s">
        <v>231</v>
      </c>
      <c r="E141" s="120" t="s">
        <v>1735</v>
      </c>
      <c r="F141" s="121" t="s">
        <v>1798</v>
      </c>
      <c r="G141" s="122" t="s">
        <v>1194</v>
      </c>
      <c r="H141" s="123">
        <v>1</v>
      </c>
      <c r="I141" s="124">
        <v>40.049999999999997</v>
      </c>
      <c r="J141" s="124">
        <f t="shared" si="0"/>
        <v>40.049999999999997</v>
      </c>
      <c r="K141" s="121" t="s">
        <v>1</v>
      </c>
      <c r="L141" s="24"/>
      <c r="M141" s="125" t="s">
        <v>1</v>
      </c>
      <c r="N141" s="126" t="s">
        <v>31</v>
      </c>
      <c r="O141" s="127">
        <v>0</v>
      </c>
      <c r="P141" s="127">
        <f t="shared" si="1"/>
        <v>0</v>
      </c>
      <c r="Q141" s="127">
        <v>0</v>
      </c>
      <c r="R141" s="127">
        <f t="shared" si="2"/>
        <v>0</v>
      </c>
      <c r="S141" s="127">
        <v>0</v>
      </c>
      <c r="T141" s="128">
        <f t="shared" si="3"/>
        <v>0</v>
      </c>
      <c r="W141" s="199"/>
      <c r="X141" s="119" t="s">
        <v>281</v>
      </c>
      <c r="Y141" s="119" t="s">
        <v>231</v>
      </c>
      <c r="Z141" s="120" t="s">
        <v>1735</v>
      </c>
      <c r="AA141" s="121" t="s">
        <v>1798</v>
      </c>
      <c r="AB141" s="122" t="s">
        <v>1194</v>
      </c>
      <c r="AC141" s="123">
        <v>1</v>
      </c>
      <c r="AD141" s="124">
        <v>40.049999999999997</v>
      </c>
      <c r="AE141" s="200">
        <f t="shared" si="4"/>
        <v>40.049999999999997</v>
      </c>
      <c r="AF141" s="227"/>
      <c r="AR141" s="129" t="s">
        <v>63</v>
      </c>
      <c r="AT141" s="129" t="s">
        <v>231</v>
      </c>
      <c r="AU141" s="129" t="s">
        <v>63</v>
      </c>
      <c r="AY141" s="13" t="s">
        <v>228</v>
      </c>
      <c r="BE141" s="130">
        <f t="shared" si="5"/>
        <v>40.049999999999997</v>
      </c>
      <c r="BF141" s="130">
        <f t="shared" si="6"/>
        <v>0</v>
      </c>
      <c r="BG141" s="130">
        <f t="shared" si="7"/>
        <v>0</v>
      </c>
      <c r="BH141" s="130">
        <f t="shared" si="8"/>
        <v>0</v>
      </c>
      <c r="BI141" s="130">
        <f t="shared" si="9"/>
        <v>0</v>
      </c>
      <c r="BJ141" s="13" t="s">
        <v>63</v>
      </c>
      <c r="BK141" s="130">
        <f t="shared" si="10"/>
        <v>40.049999999999997</v>
      </c>
      <c r="BL141" s="13" t="s">
        <v>63</v>
      </c>
      <c r="BM141" s="129" t="s">
        <v>1799</v>
      </c>
    </row>
    <row r="142" spans="2:65" s="1" customFormat="1" ht="16.5" customHeight="1" x14ac:dyDescent="0.2">
      <c r="B142" s="118"/>
      <c r="C142" s="131" t="s">
        <v>258</v>
      </c>
      <c r="D142" s="131" t="s">
        <v>277</v>
      </c>
      <c r="E142" s="132" t="s">
        <v>1735</v>
      </c>
      <c r="F142" s="133" t="s">
        <v>1798</v>
      </c>
      <c r="G142" s="134" t="s">
        <v>1194</v>
      </c>
      <c r="H142" s="135">
        <v>1</v>
      </c>
      <c r="I142" s="136">
        <v>459.18</v>
      </c>
      <c r="J142" s="136">
        <f t="shared" si="0"/>
        <v>459.18</v>
      </c>
      <c r="K142" s="133" t="s">
        <v>1</v>
      </c>
      <c r="L142" s="137"/>
      <c r="M142" s="138" t="s">
        <v>1</v>
      </c>
      <c r="N142" s="139" t="s">
        <v>31</v>
      </c>
      <c r="O142" s="127">
        <v>0</v>
      </c>
      <c r="P142" s="127">
        <f t="shared" si="1"/>
        <v>0</v>
      </c>
      <c r="Q142" s="127">
        <v>0</v>
      </c>
      <c r="R142" s="127">
        <f t="shared" si="2"/>
        <v>0</v>
      </c>
      <c r="S142" s="127">
        <v>0</v>
      </c>
      <c r="T142" s="128">
        <f t="shared" si="3"/>
        <v>0</v>
      </c>
      <c r="W142" s="199"/>
      <c r="X142" s="131" t="s">
        <v>258</v>
      </c>
      <c r="Y142" s="131" t="s">
        <v>277</v>
      </c>
      <c r="Z142" s="132" t="s">
        <v>1735</v>
      </c>
      <c r="AA142" s="133" t="s">
        <v>1798</v>
      </c>
      <c r="AB142" s="134" t="s">
        <v>1194</v>
      </c>
      <c r="AC142" s="135">
        <v>1</v>
      </c>
      <c r="AD142" s="136">
        <v>459.18</v>
      </c>
      <c r="AE142" s="229">
        <f t="shared" si="4"/>
        <v>459.18</v>
      </c>
      <c r="AF142" s="227"/>
      <c r="AR142" s="129" t="s">
        <v>76</v>
      </c>
      <c r="AT142" s="129" t="s">
        <v>277</v>
      </c>
      <c r="AU142" s="129" t="s">
        <v>63</v>
      </c>
      <c r="AY142" s="13" t="s">
        <v>228</v>
      </c>
      <c r="BE142" s="130">
        <f t="shared" si="5"/>
        <v>459.18</v>
      </c>
      <c r="BF142" s="130">
        <f t="shared" si="6"/>
        <v>0</v>
      </c>
      <c r="BG142" s="130">
        <f t="shared" si="7"/>
        <v>0</v>
      </c>
      <c r="BH142" s="130">
        <f t="shared" si="8"/>
        <v>0</v>
      </c>
      <c r="BI142" s="130">
        <f t="shared" si="9"/>
        <v>0</v>
      </c>
      <c r="BJ142" s="13" t="s">
        <v>63</v>
      </c>
      <c r="BK142" s="130">
        <f t="shared" si="10"/>
        <v>459.18</v>
      </c>
      <c r="BL142" s="13" t="s">
        <v>63</v>
      </c>
      <c r="BM142" s="129" t="s">
        <v>1800</v>
      </c>
    </row>
    <row r="143" spans="2:65" s="1" customFormat="1" ht="16.5" customHeight="1" x14ac:dyDescent="0.2">
      <c r="B143" s="118"/>
      <c r="C143" s="205" t="s">
        <v>289</v>
      </c>
      <c r="D143" s="119" t="s">
        <v>231</v>
      </c>
      <c r="E143" s="120" t="s">
        <v>1740</v>
      </c>
      <c r="F143" s="121" t="s">
        <v>1801</v>
      </c>
      <c r="G143" s="122" t="s">
        <v>1194</v>
      </c>
      <c r="H143" s="206">
        <v>25</v>
      </c>
      <c r="I143" s="124">
        <v>14.76</v>
      </c>
      <c r="J143" s="124">
        <f t="shared" si="0"/>
        <v>369</v>
      </c>
      <c r="K143" s="121" t="s">
        <v>1</v>
      </c>
      <c r="L143" s="24"/>
      <c r="M143" s="125" t="s">
        <v>1</v>
      </c>
      <c r="N143" s="126" t="s">
        <v>31</v>
      </c>
      <c r="O143" s="127">
        <v>0</v>
      </c>
      <c r="P143" s="127">
        <f t="shared" si="1"/>
        <v>0</v>
      </c>
      <c r="Q143" s="127">
        <v>0</v>
      </c>
      <c r="R143" s="127">
        <f t="shared" si="2"/>
        <v>0</v>
      </c>
      <c r="S143" s="127">
        <v>0</v>
      </c>
      <c r="T143" s="128">
        <f t="shared" si="3"/>
        <v>0</v>
      </c>
      <c r="W143" s="199"/>
      <c r="X143" s="205" t="s">
        <v>289</v>
      </c>
      <c r="Y143" s="119" t="s">
        <v>231</v>
      </c>
      <c r="Z143" s="120" t="s">
        <v>1740</v>
      </c>
      <c r="AA143" s="121" t="s">
        <v>1801</v>
      </c>
      <c r="AB143" s="122" t="s">
        <v>1194</v>
      </c>
      <c r="AC143" s="206">
        <f>25+2</f>
        <v>27</v>
      </c>
      <c r="AD143" s="124">
        <v>14.76</v>
      </c>
      <c r="AE143" s="200">
        <f t="shared" si="4"/>
        <v>398.52</v>
      </c>
      <c r="AF143" s="227">
        <v>21</v>
      </c>
      <c r="AR143" s="129" t="s">
        <v>63</v>
      </c>
      <c r="AT143" s="129" t="s">
        <v>231</v>
      </c>
      <c r="AU143" s="129" t="s">
        <v>63</v>
      </c>
      <c r="AY143" s="13" t="s">
        <v>228</v>
      </c>
      <c r="BE143" s="130">
        <f t="shared" si="5"/>
        <v>369</v>
      </c>
      <c r="BF143" s="130">
        <f t="shared" si="6"/>
        <v>0</v>
      </c>
      <c r="BG143" s="130">
        <f t="shared" si="7"/>
        <v>0</v>
      </c>
      <c r="BH143" s="130">
        <f t="shared" si="8"/>
        <v>0</v>
      </c>
      <c r="BI143" s="130">
        <f t="shared" si="9"/>
        <v>0</v>
      </c>
      <c r="BJ143" s="13" t="s">
        <v>63</v>
      </c>
      <c r="BK143" s="130">
        <f t="shared" si="10"/>
        <v>369</v>
      </c>
      <c r="BL143" s="13" t="s">
        <v>63</v>
      </c>
      <c r="BM143" s="129" t="s">
        <v>1802</v>
      </c>
    </row>
    <row r="144" spans="2:65" s="1" customFormat="1" ht="16.5" customHeight="1" x14ac:dyDescent="0.2">
      <c r="B144" s="118"/>
      <c r="C144" s="242" t="s">
        <v>262</v>
      </c>
      <c r="D144" s="131" t="s">
        <v>277</v>
      </c>
      <c r="E144" s="132" t="s">
        <v>1740</v>
      </c>
      <c r="F144" s="133" t="s">
        <v>1801</v>
      </c>
      <c r="G144" s="134" t="s">
        <v>1194</v>
      </c>
      <c r="H144" s="241">
        <v>25</v>
      </c>
      <c r="I144" s="136">
        <v>60.76</v>
      </c>
      <c r="J144" s="136">
        <f t="shared" si="0"/>
        <v>1519</v>
      </c>
      <c r="K144" s="133" t="s">
        <v>1</v>
      </c>
      <c r="L144" s="137"/>
      <c r="M144" s="138" t="s">
        <v>1</v>
      </c>
      <c r="N144" s="139" t="s">
        <v>31</v>
      </c>
      <c r="O144" s="127">
        <v>0</v>
      </c>
      <c r="P144" s="127">
        <f t="shared" si="1"/>
        <v>0</v>
      </c>
      <c r="Q144" s="127">
        <v>0</v>
      </c>
      <c r="R144" s="127">
        <f t="shared" si="2"/>
        <v>0</v>
      </c>
      <c r="S144" s="127">
        <v>0</v>
      </c>
      <c r="T144" s="128">
        <f t="shared" si="3"/>
        <v>0</v>
      </c>
      <c r="W144" s="199"/>
      <c r="X144" s="242" t="s">
        <v>262</v>
      </c>
      <c r="Y144" s="131" t="s">
        <v>277</v>
      </c>
      <c r="Z144" s="132" t="s">
        <v>1740</v>
      </c>
      <c r="AA144" s="133" t="s">
        <v>1801</v>
      </c>
      <c r="AB144" s="134" t="s">
        <v>1194</v>
      </c>
      <c r="AC144" s="241">
        <f>25+2</f>
        <v>27</v>
      </c>
      <c r="AD144" s="136">
        <v>60.76</v>
      </c>
      <c r="AE144" s="229">
        <f t="shared" si="4"/>
        <v>1640.52</v>
      </c>
      <c r="AF144" s="227">
        <v>21</v>
      </c>
      <c r="AR144" s="129" t="s">
        <v>76</v>
      </c>
      <c r="AT144" s="129" t="s">
        <v>277</v>
      </c>
      <c r="AU144" s="129" t="s">
        <v>63</v>
      </c>
      <c r="AY144" s="13" t="s">
        <v>228</v>
      </c>
      <c r="BE144" s="130">
        <f t="shared" si="5"/>
        <v>1519</v>
      </c>
      <c r="BF144" s="130">
        <f t="shared" si="6"/>
        <v>0</v>
      </c>
      <c r="BG144" s="130">
        <f t="shared" si="7"/>
        <v>0</v>
      </c>
      <c r="BH144" s="130">
        <f t="shared" si="8"/>
        <v>0</v>
      </c>
      <c r="BI144" s="130">
        <f t="shared" si="9"/>
        <v>0</v>
      </c>
      <c r="BJ144" s="13" t="s">
        <v>63</v>
      </c>
      <c r="BK144" s="130">
        <f t="shared" si="10"/>
        <v>1519</v>
      </c>
      <c r="BL144" s="13" t="s">
        <v>63</v>
      </c>
      <c r="BM144" s="129" t="s">
        <v>1803</v>
      </c>
    </row>
    <row r="145" spans="2:65" s="1" customFormat="1" ht="16.5" customHeight="1" x14ac:dyDescent="0.2">
      <c r="B145" s="118"/>
      <c r="C145" s="205" t="s">
        <v>297</v>
      </c>
      <c r="D145" s="119" t="s">
        <v>231</v>
      </c>
      <c r="E145" s="120" t="s">
        <v>1743</v>
      </c>
      <c r="F145" s="121" t="s">
        <v>1804</v>
      </c>
      <c r="G145" s="122" t="s">
        <v>1194</v>
      </c>
      <c r="H145" s="206">
        <v>67</v>
      </c>
      <c r="I145" s="124">
        <v>13.08</v>
      </c>
      <c r="J145" s="124">
        <f t="shared" si="0"/>
        <v>876.36</v>
      </c>
      <c r="K145" s="121" t="s">
        <v>1</v>
      </c>
      <c r="L145" s="24"/>
      <c r="M145" s="125" t="s">
        <v>1</v>
      </c>
      <c r="N145" s="126" t="s">
        <v>31</v>
      </c>
      <c r="O145" s="127">
        <v>0</v>
      </c>
      <c r="P145" s="127">
        <f t="shared" si="1"/>
        <v>0</v>
      </c>
      <c r="Q145" s="127">
        <v>0</v>
      </c>
      <c r="R145" s="127">
        <f t="shared" si="2"/>
        <v>0</v>
      </c>
      <c r="S145" s="127">
        <v>0</v>
      </c>
      <c r="T145" s="128">
        <f t="shared" si="3"/>
        <v>0</v>
      </c>
      <c r="W145" s="199"/>
      <c r="X145" s="205" t="s">
        <v>297</v>
      </c>
      <c r="Y145" s="119" t="s">
        <v>231</v>
      </c>
      <c r="Z145" s="120" t="s">
        <v>1743</v>
      </c>
      <c r="AA145" s="121" t="s">
        <v>1804</v>
      </c>
      <c r="AB145" s="122" t="s">
        <v>1194</v>
      </c>
      <c r="AC145" s="206">
        <f>67+4</f>
        <v>71</v>
      </c>
      <c r="AD145" s="124">
        <v>13.08</v>
      </c>
      <c r="AE145" s="200">
        <f t="shared" si="4"/>
        <v>928.68</v>
      </c>
      <c r="AF145" s="227">
        <v>21</v>
      </c>
      <c r="AR145" s="129" t="s">
        <v>63</v>
      </c>
      <c r="AT145" s="129" t="s">
        <v>231</v>
      </c>
      <c r="AU145" s="129" t="s">
        <v>63</v>
      </c>
      <c r="AY145" s="13" t="s">
        <v>228</v>
      </c>
      <c r="BE145" s="130">
        <f t="shared" si="5"/>
        <v>876.36</v>
      </c>
      <c r="BF145" s="130">
        <f t="shared" si="6"/>
        <v>0</v>
      </c>
      <c r="BG145" s="130">
        <f t="shared" si="7"/>
        <v>0</v>
      </c>
      <c r="BH145" s="130">
        <f t="shared" si="8"/>
        <v>0</v>
      </c>
      <c r="BI145" s="130">
        <f t="shared" si="9"/>
        <v>0</v>
      </c>
      <c r="BJ145" s="13" t="s">
        <v>63</v>
      </c>
      <c r="BK145" s="130">
        <f t="shared" si="10"/>
        <v>876.36</v>
      </c>
      <c r="BL145" s="13" t="s">
        <v>63</v>
      </c>
      <c r="BM145" s="129" t="s">
        <v>1805</v>
      </c>
    </row>
    <row r="146" spans="2:65" s="1" customFormat="1" ht="16.5" customHeight="1" x14ac:dyDescent="0.2">
      <c r="B146" s="118"/>
      <c r="C146" s="242" t="s">
        <v>7</v>
      </c>
      <c r="D146" s="131" t="s">
        <v>277</v>
      </c>
      <c r="E146" s="132" t="s">
        <v>1743</v>
      </c>
      <c r="F146" s="133" t="s">
        <v>1804</v>
      </c>
      <c r="G146" s="134" t="s">
        <v>1194</v>
      </c>
      <c r="H146" s="241">
        <v>67</v>
      </c>
      <c r="I146" s="136">
        <v>50.74</v>
      </c>
      <c r="J146" s="136">
        <f t="shared" si="0"/>
        <v>3399.58</v>
      </c>
      <c r="K146" s="133" t="s">
        <v>1</v>
      </c>
      <c r="L146" s="137"/>
      <c r="M146" s="138" t="s">
        <v>1</v>
      </c>
      <c r="N146" s="139" t="s">
        <v>31</v>
      </c>
      <c r="O146" s="127">
        <v>0</v>
      </c>
      <c r="P146" s="127">
        <f t="shared" si="1"/>
        <v>0</v>
      </c>
      <c r="Q146" s="127">
        <v>0</v>
      </c>
      <c r="R146" s="127">
        <f t="shared" si="2"/>
        <v>0</v>
      </c>
      <c r="S146" s="127">
        <v>0</v>
      </c>
      <c r="T146" s="128">
        <f t="shared" si="3"/>
        <v>0</v>
      </c>
      <c r="W146" s="199"/>
      <c r="X146" s="242" t="s">
        <v>7</v>
      </c>
      <c r="Y146" s="131" t="s">
        <v>277</v>
      </c>
      <c r="Z146" s="132" t="s">
        <v>1743</v>
      </c>
      <c r="AA146" s="133" t="s">
        <v>1804</v>
      </c>
      <c r="AB146" s="134" t="s">
        <v>1194</v>
      </c>
      <c r="AC146" s="241">
        <f>67+4</f>
        <v>71</v>
      </c>
      <c r="AD146" s="136">
        <v>50.74</v>
      </c>
      <c r="AE146" s="229">
        <f t="shared" si="4"/>
        <v>3602.54</v>
      </c>
      <c r="AF146" s="227">
        <v>21</v>
      </c>
      <c r="AR146" s="129" t="s">
        <v>76</v>
      </c>
      <c r="AT146" s="129" t="s">
        <v>277</v>
      </c>
      <c r="AU146" s="129" t="s">
        <v>63</v>
      </c>
      <c r="AY146" s="13" t="s">
        <v>228</v>
      </c>
      <c r="BE146" s="130">
        <f t="shared" si="5"/>
        <v>3399.58</v>
      </c>
      <c r="BF146" s="130">
        <f t="shared" si="6"/>
        <v>0</v>
      </c>
      <c r="BG146" s="130">
        <f t="shared" si="7"/>
        <v>0</v>
      </c>
      <c r="BH146" s="130">
        <f t="shared" si="8"/>
        <v>0</v>
      </c>
      <c r="BI146" s="130">
        <f t="shared" si="9"/>
        <v>0</v>
      </c>
      <c r="BJ146" s="13" t="s">
        <v>63</v>
      </c>
      <c r="BK146" s="130">
        <f t="shared" si="10"/>
        <v>3399.58</v>
      </c>
      <c r="BL146" s="13" t="s">
        <v>63</v>
      </c>
      <c r="BM146" s="129" t="s">
        <v>1806</v>
      </c>
    </row>
    <row r="147" spans="2:65" s="1" customFormat="1" ht="16.5" customHeight="1" x14ac:dyDescent="0.2">
      <c r="B147" s="118"/>
      <c r="C147" s="119" t="s">
        <v>305</v>
      </c>
      <c r="D147" s="119" t="s">
        <v>231</v>
      </c>
      <c r="E147" s="120" t="s">
        <v>1746</v>
      </c>
      <c r="F147" s="121" t="s">
        <v>1807</v>
      </c>
      <c r="G147" s="122" t="s">
        <v>1194</v>
      </c>
      <c r="H147" s="123">
        <v>3</v>
      </c>
      <c r="I147" s="124">
        <v>20.83</v>
      </c>
      <c r="J147" s="124">
        <f t="shared" si="0"/>
        <v>62.49</v>
      </c>
      <c r="K147" s="121" t="s">
        <v>1</v>
      </c>
      <c r="L147" s="24"/>
      <c r="M147" s="125" t="s">
        <v>1</v>
      </c>
      <c r="N147" s="126" t="s">
        <v>31</v>
      </c>
      <c r="O147" s="127">
        <v>0</v>
      </c>
      <c r="P147" s="127">
        <f t="shared" si="1"/>
        <v>0</v>
      </c>
      <c r="Q147" s="127">
        <v>0</v>
      </c>
      <c r="R147" s="127">
        <f t="shared" si="2"/>
        <v>0</v>
      </c>
      <c r="S147" s="127">
        <v>0</v>
      </c>
      <c r="T147" s="128">
        <f t="shared" si="3"/>
        <v>0</v>
      </c>
      <c r="W147" s="199"/>
      <c r="X147" s="119" t="s">
        <v>305</v>
      </c>
      <c r="Y147" s="119" t="s">
        <v>231</v>
      </c>
      <c r="Z147" s="120" t="s">
        <v>1746</v>
      </c>
      <c r="AA147" s="121" t="s">
        <v>1807</v>
      </c>
      <c r="AB147" s="122" t="s">
        <v>1194</v>
      </c>
      <c r="AC147" s="123">
        <v>3</v>
      </c>
      <c r="AD147" s="124">
        <v>20.83</v>
      </c>
      <c r="AE147" s="200">
        <f t="shared" si="4"/>
        <v>62.49</v>
      </c>
      <c r="AF147" s="227"/>
      <c r="AR147" s="129" t="s">
        <v>63</v>
      </c>
      <c r="AT147" s="129" t="s">
        <v>231</v>
      </c>
      <c r="AU147" s="129" t="s">
        <v>63</v>
      </c>
      <c r="AY147" s="13" t="s">
        <v>228</v>
      </c>
      <c r="BE147" s="130">
        <f t="shared" si="5"/>
        <v>62.49</v>
      </c>
      <c r="BF147" s="130">
        <f t="shared" si="6"/>
        <v>0</v>
      </c>
      <c r="BG147" s="130">
        <f t="shared" si="7"/>
        <v>0</v>
      </c>
      <c r="BH147" s="130">
        <f t="shared" si="8"/>
        <v>0</v>
      </c>
      <c r="BI147" s="130">
        <f t="shared" si="9"/>
        <v>0</v>
      </c>
      <c r="BJ147" s="13" t="s">
        <v>63</v>
      </c>
      <c r="BK147" s="130">
        <f t="shared" si="10"/>
        <v>62.49</v>
      </c>
      <c r="BL147" s="13" t="s">
        <v>63</v>
      </c>
      <c r="BM147" s="129" t="s">
        <v>1808</v>
      </c>
    </row>
    <row r="148" spans="2:65" s="1" customFormat="1" ht="16.5" customHeight="1" x14ac:dyDescent="0.2">
      <c r="B148" s="118"/>
      <c r="C148" s="131" t="s">
        <v>268</v>
      </c>
      <c r="D148" s="131" t="s">
        <v>277</v>
      </c>
      <c r="E148" s="132" t="s">
        <v>1746</v>
      </c>
      <c r="F148" s="133" t="s">
        <v>1807</v>
      </c>
      <c r="G148" s="134" t="s">
        <v>1194</v>
      </c>
      <c r="H148" s="135">
        <v>3</v>
      </c>
      <c r="I148" s="136">
        <v>107.08</v>
      </c>
      <c r="J148" s="136">
        <f t="shared" si="0"/>
        <v>321.24</v>
      </c>
      <c r="K148" s="133" t="s">
        <v>1</v>
      </c>
      <c r="L148" s="137"/>
      <c r="M148" s="138" t="s">
        <v>1</v>
      </c>
      <c r="N148" s="139" t="s">
        <v>31</v>
      </c>
      <c r="O148" s="127">
        <v>0</v>
      </c>
      <c r="P148" s="127">
        <f t="shared" si="1"/>
        <v>0</v>
      </c>
      <c r="Q148" s="127">
        <v>0</v>
      </c>
      <c r="R148" s="127">
        <f t="shared" si="2"/>
        <v>0</v>
      </c>
      <c r="S148" s="127">
        <v>0</v>
      </c>
      <c r="T148" s="128">
        <f t="shared" si="3"/>
        <v>0</v>
      </c>
      <c r="W148" s="199"/>
      <c r="X148" s="131" t="s">
        <v>268</v>
      </c>
      <c r="Y148" s="131" t="s">
        <v>277</v>
      </c>
      <c r="Z148" s="132" t="s">
        <v>1746</v>
      </c>
      <c r="AA148" s="133" t="s">
        <v>1807</v>
      </c>
      <c r="AB148" s="134" t="s">
        <v>1194</v>
      </c>
      <c r="AC148" s="135">
        <v>3</v>
      </c>
      <c r="AD148" s="136">
        <v>107.08</v>
      </c>
      <c r="AE148" s="229">
        <f t="shared" si="4"/>
        <v>321.24</v>
      </c>
      <c r="AF148" s="227"/>
      <c r="AR148" s="129" t="s">
        <v>76</v>
      </c>
      <c r="AT148" s="129" t="s">
        <v>277</v>
      </c>
      <c r="AU148" s="129" t="s">
        <v>63</v>
      </c>
      <c r="AY148" s="13" t="s">
        <v>228</v>
      </c>
      <c r="BE148" s="130">
        <f t="shared" si="5"/>
        <v>321.24</v>
      </c>
      <c r="BF148" s="130">
        <f t="shared" si="6"/>
        <v>0</v>
      </c>
      <c r="BG148" s="130">
        <f t="shared" si="7"/>
        <v>0</v>
      </c>
      <c r="BH148" s="130">
        <f t="shared" si="8"/>
        <v>0</v>
      </c>
      <c r="BI148" s="130">
        <f t="shared" si="9"/>
        <v>0</v>
      </c>
      <c r="BJ148" s="13" t="s">
        <v>63</v>
      </c>
      <c r="BK148" s="130">
        <f t="shared" si="10"/>
        <v>321.24</v>
      </c>
      <c r="BL148" s="13" t="s">
        <v>63</v>
      </c>
      <c r="BM148" s="129" t="s">
        <v>1809</v>
      </c>
    </row>
    <row r="149" spans="2:65" s="1" customFormat="1" ht="16.5" customHeight="1" x14ac:dyDescent="0.2">
      <c r="B149" s="118"/>
      <c r="C149" s="205" t="s">
        <v>313</v>
      </c>
      <c r="D149" s="119" t="s">
        <v>231</v>
      </c>
      <c r="E149" s="120" t="s">
        <v>1749</v>
      </c>
      <c r="F149" s="121" t="s">
        <v>1810</v>
      </c>
      <c r="G149" s="122" t="s">
        <v>1194</v>
      </c>
      <c r="H149" s="206">
        <v>7</v>
      </c>
      <c r="I149" s="124">
        <v>20.83</v>
      </c>
      <c r="J149" s="124">
        <f t="shared" si="0"/>
        <v>145.81</v>
      </c>
      <c r="K149" s="121" t="s">
        <v>1</v>
      </c>
      <c r="L149" s="24"/>
      <c r="M149" s="125" t="s">
        <v>1</v>
      </c>
      <c r="N149" s="126" t="s">
        <v>31</v>
      </c>
      <c r="O149" s="127">
        <v>0</v>
      </c>
      <c r="P149" s="127">
        <f t="shared" si="1"/>
        <v>0</v>
      </c>
      <c r="Q149" s="127">
        <v>0</v>
      </c>
      <c r="R149" s="127">
        <f t="shared" si="2"/>
        <v>0</v>
      </c>
      <c r="S149" s="127">
        <v>0</v>
      </c>
      <c r="T149" s="128">
        <f t="shared" si="3"/>
        <v>0</v>
      </c>
      <c r="W149" s="199"/>
      <c r="X149" s="205" t="s">
        <v>313</v>
      </c>
      <c r="Y149" s="119" t="s">
        <v>231</v>
      </c>
      <c r="Z149" s="120" t="s">
        <v>1749</v>
      </c>
      <c r="AA149" s="121" t="s">
        <v>1810</v>
      </c>
      <c r="AB149" s="122" t="s">
        <v>1194</v>
      </c>
      <c r="AC149" s="206">
        <f>7+1</f>
        <v>8</v>
      </c>
      <c r="AD149" s="124">
        <v>20.83</v>
      </c>
      <c r="AE149" s="200">
        <f t="shared" si="4"/>
        <v>166.64</v>
      </c>
      <c r="AF149" s="227">
        <v>21</v>
      </c>
      <c r="AR149" s="129" t="s">
        <v>63</v>
      </c>
      <c r="AT149" s="129" t="s">
        <v>231</v>
      </c>
      <c r="AU149" s="129" t="s">
        <v>63</v>
      </c>
      <c r="AY149" s="13" t="s">
        <v>228</v>
      </c>
      <c r="BE149" s="130">
        <f t="shared" si="5"/>
        <v>145.81</v>
      </c>
      <c r="BF149" s="130">
        <f t="shared" si="6"/>
        <v>0</v>
      </c>
      <c r="BG149" s="130">
        <f t="shared" si="7"/>
        <v>0</v>
      </c>
      <c r="BH149" s="130">
        <f t="shared" si="8"/>
        <v>0</v>
      </c>
      <c r="BI149" s="130">
        <f t="shared" si="9"/>
        <v>0</v>
      </c>
      <c r="BJ149" s="13" t="s">
        <v>63</v>
      </c>
      <c r="BK149" s="130">
        <f t="shared" si="10"/>
        <v>145.81</v>
      </c>
      <c r="BL149" s="13" t="s">
        <v>63</v>
      </c>
      <c r="BM149" s="129" t="s">
        <v>1811</v>
      </c>
    </row>
    <row r="150" spans="2:65" s="1" customFormat="1" ht="16.5" customHeight="1" x14ac:dyDescent="0.2">
      <c r="B150" s="118"/>
      <c r="C150" s="242" t="s">
        <v>272</v>
      </c>
      <c r="D150" s="131" t="s">
        <v>277</v>
      </c>
      <c r="E150" s="132" t="s">
        <v>1749</v>
      </c>
      <c r="F150" s="133" t="s">
        <v>1810</v>
      </c>
      <c r="G150" s="134" t="s">
        <v>1194</v>
      </c>
      <c r="H150" s="241">
        <v>7</v>
      </c>
      <c r="I150" s="136">
        <v>113.2</v>
      </c>
      <c r="J150" s="136">
        <f t="shared" si="0"/>
        <v>792.4</v>
      </c>
      <c r="K150" s="133" t="s">
        <v>1</v>
      </c>
      <c r="L150" s="137"/>
      <c r="M150" s="138" t="s">
        <v>1</v>
      </c>
      <c r="N150" s="139" t="s">
        <v>31</v>
      </c>
      <c r="O150" s="127">
        <v>0</v>
      </c>
      <c r="P150" s="127">
        <f t="shared" si="1"/>
        <v>0</v>
      </c>
      <c r="Q150" s="127">
        <v>0</v>
      </c>
      <c r="R150" s="127">
        <f t="shared" si="2"/>
        <v>0</v>
      </c>
      <c r="S150" s="127">
        <v>0</v>
      </c>
      <c r="T150" s="128">
        <f t="shared" si="3"/>
        <v>0</v>
      </c>
      <c r="W150" s="199"/>
      <c r="X150" s="242" t="s">
        <v>272</v>
      </c>
      <c r="Y150" s="131" t="s">
        <v>277</v>
      </c>
      <c r="Z150" s="132" t="s">
        <v>1749</v>
      </c>
      <c r="AA150" s="133" t="s">
        <v>1810</v>
      </c>
      <c r="AB150" s="134" t="s">
        <v>1194</v>
      </c>
      <c r="AC150" s="241">
        <f>7+1</f>
        <v>8</v>
      </c>
      <c r="AD150" s="136">
        <v>113.2</v>
      </c>
      <c r="AE150" s="229">
        <f t="shared" si="4"/>
        <v>905.6</v>
      </c>
      <c r="AF150" s="227">
        <v>21</v>
      </c>
      <c r="AR150" s="129" t="s">
        <v>76</v>
      </c>
      <c r="AT150" s="129" t="s">
        <v>277</v>
      </c>
      <c r="AU150" s="129" t="s">
        <v>63</v>
      </c>
      <c r="AY150" s="13" t="s">
        <v>228</v>
      </c>
      <c r="BE150" s="130">
        <f t="shared" si="5"/>
        <v>792.4</v>
      </c>
      <c r="BF150" s="130">
        <f t="shared" si="6"/>
        <v>0</v>
      </c>
      <c r="BG150" s="130">
        <f t="shared" si="7"/>
        <v>0</v>
      </c>
      <c r="BH150" s="130">
        <f t="shared" si="8"/>
        <v>0</v>
      </c>
      <c r="BI150" s="130">
        <f t="shared" si="9"/>
        <v>0</v>
      </c>
      <c r="BJ150" s="13" t="s">
        <v>63</v>
      </c>
      <c r="BK150" s="130">
        <f t="shared" si="10"/>
        <v>792.4</v>
      </c>
      <c r="BL150" s="13" t="s">
        <v>63</v>
      </c>
      <c r="BM150" s="129" t="s">
        <v>1812</v>
      </c>
    </row>
    <row r="151" spans="2:65" s="1" customFormat="1" ht="16.5" customHeight="1" x14ac:dyDescent="0.2">
      <c r="B151" s="118"/>
      <c r="C151" s="205" t="s">
        <v>320</v>
      </c>
      <c r="D151" s="119" t="s">
        <v>231</v>
      </c>
      <c r="E151" s="120" t="s">
        <v>1752</v>
      </c>
      <c r="F151" s="121" t="s">
        <v>1813</v>
      </c>
      <c r="G151" s="122" t="s">
        <v>1194</v>
      </c>
      <c r="H151" s="206">
        <v>14</v>
      </c>
      <c r="I151" s="124">
        <v>20.83</v>
      </c>
      <c r="J151" s="124">
        <f t="shared" si="0"/>
        <v>291.62</v>
      </c>
      <c r="K151" s="121" t="s">
        <v>1</v>
      </c>
      <c r="L151" s="24"/>
      <c r="M151" s="125" t="s">
        <v>1</v>
      </c>
      <c r="N151" s="126" t="s">
        <v>31</v>
      </c>
      <c r="O151" s="127">
        <v>0</v>
      </c>
      <c r="P151" s="127">
        <f t="shared" si="1"/>
        <v>0</v>
      </c>
      <c r="Q151" s="127">
        <v>0</v>
      </c>
      <c r="R151" s="127">
        <f t="shared" si="2"/>
        <v>0</v>
      </c>
      <c r="S151" s="127">
        <v>0</v>
      </c>
      <c r="T151" s="128">
        <f t="shared" si="3"/>
        <v>0</v>
      </c>
      <c r="W151" s="199"/>
      <c r="X151" s="205" t="s">
        <v>320</v>
      </c>
      <c r="Y151" s="119" t="s">
        <v>231</v>
      </c>
      <c r="Z151" s="120" t="s">
        <v>1752</v>
      </c>
      <c r="AA151" s="121" t="s">
        <v>1813</v>
      </c>
      <c r="AB151" s="122" t="s">
        <v>1194</v>
      </c>
      <c r="AC151" s="206">
        <f>14+3</f>
        <v>17</v>
      </c>
      <c r="AD151" s="124">
        <v>20.83</v>
      </c>
      <c r="AE151" s="200">
        <f t="shared" si="4"/>
        <v>354.11</v>
      </c>
      <c r="AF151" s="227">
        <v>21</v>
      </c>
      <c r="AR151" s="129" t="s">
        <v>63</v>
      </c>
      <c r="AT151" s="129" t="s">
        <v>231</v>
      </c>
      <c r="AU151" s="129" t="s">
        <v>63</v>
      </c>
      <c r="AY151" s="13" t="s">
        <v>228</v>
      </c>
      <c r="BE151" s="130">
        <f t="shared" si="5"/>
        <v>291.62</v>
      </c>
      <c r="BF151" s="130">
        <f t="shared" si="6"/>
        <v>0</v>
      </c>
      <c r="BG151" s="130">
        <f t="shared" si="7"/>
        <v>0</v>
      </c>
      <c r="BH151" s="130">
        <f t="shared" si="8"/>
        <v>0</v>
      </c>
      <c r="BI151" s="130">
        <f t="shared" si="9"/>
        <v>0</v>
      </c>
      <c r="BJ151" s="13" t="s">
        <v>63</v>
      </c>
      <c r="BK151" s="130">
        <f t="shared" si="10"/>
        <v>291.62</v>
      </c>
      <c r="BL151" s="13" t="s">
        <v>63</v>
      </c>
      <c r="BM151" s="129" t="s">
        <v>1814</v>
      </c>
    </row>
    <row r="152" spans="2:65" s="1" customFormat="1" ht="16.5" customHeight="1" x14ac:dyDescent="0.2">
      <c r="B152" s="118"/>
      <c r="C152" s="242" t="s">
        <v>276</v>
      </c>
      <c r="D152" s="131" t="s">
        <v>277</v>
      </c>
      <c r="E152" s="132" t="s">
        <v>1752</v>
      </c>
      <c r="F152" s="133" t="s">
        <v>1813</v>
      </c>
      <c r="G152" s="134" t="s">
        <v>1194</v>
      </c>
      <c r="H152" s="241">
        <v>14</v>
      </c>
      <c r="I152" s="136">
        <v>25.1</v>
      </c>
      <c r="J152" s="136">
        <f t="shared" si="0"/>
        <v>351.4</v>
      </c>
      <c r="K152" s="133" t="s">
        <v>1</v>
      </c>
      <c r="L152" s="137"/>
      <c r="M152" s="138" t="s">
        <v>1</v>
      </c>
      <c r="N152" s="139" t="s">
        <v>31</v>
      </c>
      <c r="O152" s="127">
        <v>0</v>
      </c>
      <c r="P152" s="127">
        <f t="shared" si="1"/>
        <v>0</v>
      </c>
      <c r="Q152" s="127">
        <v>0</v>
      </c>
      <c r="R152" s="127">
        <f t="shared" si="2"/>
        <v>0</v>
      </c>
      <c r="S152" s="127">
        <v>0</v>
      </c>
      <c r="T152" s="128">
        <f t="shared" si="3"/>
        <v>0</v>
      </c>
      <c r="W152" s="199"/>
      <c r="X152" s="242" t="s">
        <v>276</v>
      </c>
      <c r="Y152" s="131" t="s">
        <v>277</v>
      </c>
      <c r="Z152" s="132" t="s">
        <v>1752</v>
      </c>
      <c r="AA152" s="133" t="s">
        <v>1813</v>
      </c>
      <c r="AB152" s="134" t="s">
        <v>1194</v>
      </c>
      <c r="AC152" s="241">
        <f>14+3</f>
        <v>17</v>
      </c>
      <c r="AD152" s="136">
        <v>25.1</v>
      </c>
      <c r="AE152" s="229">
        <f t="shared" si="4"/>
        <v>426.7</v>
      </c>
      <c r="AF152" s="227">
        <v>21</v>
      </c>
      <c r="AR152" s="129" t="s">
        <v>76</v>
      </c>
      <c r="AT152" s="129" t="s">
        <v>277</v>
      </c>
      <c r="AU152" s="129" t="s">
        <v>63</v>
      </c>
      <c r="AY152" s="13" t="s">
        <v>228</v>
      </c>
      <c r="BE152" s="130">
        <f t="shared" si="5"/>
        <v>351.4</v>
      </c>
      <c r="BF152" s="130">
        <f t="shared" si="6"/>
        <v>0</v>
      </c>
      <c r="BG152" s="130">
        <f t="shared" si="7"/>
        <v>0</v>
      </c>
      <c r="BH152" s="130">
        <f t="shared" si="8"/>
        <v>0</v>
      </c>
      <c r="BI152" s="130">
        <f t="shared" si="9"/>
        <v>0</v>
      </c>
      <c r="BJ152" s="13" t="s">
        <v>63</v>
      </c>
      <c r="BK152" s="130">
        <f t="shared" si="10"/>
        <v>351.4</v>
      </c>
      <c r="BL152" s="13" t="s">
        <v>63</v>
      </c>
      <c r="BM152" s="129" t="s">
        <v>1815</v>
      </c>
    </row>
    <row r="153" spans="2:65" s="682" customFormat="1" ht="16.5" customHeight="1" x14ac:dyDescent="0.2">
      <c r="B153" s="118"/>
      <c r="C153" s="1234" t="s">
        <v>5205</v>
      </c>
      <c r="D153" s="1235"/>
      <c r="E153" s="1235"/>
      <c r="F153" s="1235"/>
      <c r="G153" s="1235"/>
      <c r="H153" s="1235"/>
      <c r="I153" s="1235"/>
      <c r="J153" s="1236"/>
      <c r="K153" s="133"/>
      <c r="L153" s="137"/>
      <c r="M153" s="138"/>
      <c r="N153" s="139"/>
      <c r="O153" s="127"/>
      <c r="P153" s="127"/>
      <c r="Q153" s="127"/>
      <c r="R153" s="127"/>
      <c r="S153" s="127"/>
      <c r="T153" s="128"/>
      <c r="W153" s="199"/>
      <c r="X153" s="207" t="s">
        <v>5218</v>
      </c>
      <c r="Y153" s="207" t="s">
        <v>231</v>
      </c>
      <c r="Z153" s="342" t="s">
        <v>6537</v>
      </c>
      <c r="AA153" s="343" t="s">
        <v>6538</v>
      </c>
      <c r="AB153" s="344" t="s">
        <v>1194</v>
      </c>
      <c r="AC153" s="345">
        <v>2</v>
      </c>
      <c r="AD153" s="346">
        <v>7.38</v>
      </c>
      <c r="AE153" s="355">
        <f t="shared" si="4"/>
        <v>14.76</v>
      </c>
      <c r="AF153" s="1152">
        <v>21</v>
      </c>
      <c r="AR153" s="129"/>
      <c r="AT153" s="129"/>
      <c r="AU153" s="129"/>
      <c r="AY153" s="13"/>
      <c r="BE153" s="130"/>
      <c r="BF153" s="130"/>
      <c r="BG153" s="130"/>
      <c r="BH153" s="130"/>
      <c r="BI153" s="130"/>
      <c r="BJ153" s="13"/>
      <c r="BK153" s="130"/>
      <c r="BL153" s="13"/>
      <c r="BM153" s="129"/>
    </row>
    <row r="154" spans="2:65" s="682" customFormat="1" ht="16.5" customHeight="1" x14ac:dyDescent="0.2">
      <c r="B154" s="118"/>
      <c r="C154" s="1234" t="s">
        <v>5205</v>
      </c>
      <c r="D154" s="1235"/>
      <c r="E154" s="1235"/>
      <c r="F154" s="1235"/>
      <c r="G154" s="1235"/>
      <c r="H154" s="1235"/>
      <c r="I154" s="1235"/>
      <c r="J154" s="1236"/>
      <c r="K154" s="133"/>
      <c r="L154" s="137"/>
      <c r="M154" s="138"/>
      <c r="N154" s="139"/>
      <c r="O154" s="127"/>
      <c r="P154" s="127"/>
      <c r="Q154" s="127"/>
      <c r="R154" s="127"/>
      <c r="S154" s="127"/>
      <c r="T154" s="128"/>
      <c r="W154" s="199"/>
      <c r="X154" s="386" t="s">
        <v>6029</v>
      </c>
      <c r="Y154" s="386" t="s">
        <v>277</v>
      </c>
      <c r="Z154" s="349" t="s">
        <v>6539</v>
      </c>
      <c r="AA154" s="350" t="s">
        <v>6540</v>
      </c>
      <c r="AB154" s="351" t="s">
        <v>1194</v>
      </c>
      <c r="AC154" s="352">
        <v>2</v>
      </c>
      <c r="AD154" s="353">
        <v>455</v>
      </c>
      <c r="AE154" s="356">
        <f t="shared" si="4"/>
        <v>910</v>
      </c>
      <c r="AF154" s="1152">
        <v>21</v>
      </c>
      <c r="AR154" s="129"/>
      <c r="AT154" s="129"/>
      <c r="AU154" s="129"/>
      <c r="AY154" s="13"/>
      <c r="BE154" s="130"/>
      <c r="BF154" s="130"/>
      <c r="BG154" s="130"/>
      <c r="BH154" s="130"/>
      <c r="BI154" s="130"/>
      <c r="BJ154" s="13"/>
      <c r="BK154" s="130"/>
      <c r="BL154" s="13"/>
      <c r="BM154" s="129"/>
    </row>
    <row r="155" spans="2:65" s="682" customFormat="1" ht="16.5" customHeight="1" x14ac:dyDescent="0.2">
      <c r="B155" s="118"/>
      <c r="C155" s="1234" t="s">
        <v>5205</v>
      </c>
      <c r="D155" s="1235"/>
      <c r="E155" s="1235"/>
      <c r="F155" s="1235"/>
      <c r="G155" s="1235"/>
      <c r="H155" s="1235"/>
      <c r="I155" s="1235"/>
      <c r="J155" s="1236"/>
      <c r="K155" s="133"/>
      <c r="L155" s="137"/>
      <c r="M155" s="138"/>
      <c r="N155" s="139"/>
      <c r="O155" s="127"/>
      <c r="P155" s="127"/>
      <c r="Q155" s="127"/>
      <c r="R155" s="127"/>
      <c r="S155" s="127"/>
      <c r="T155" s="128"/>
      <c r="W155" s="199"/>
      <c r="X155" s="207" t="s">
        <v>6030</v>
      </c>
      <c r="Y155" s="207" t="s">
        <v>231</v>
      </c>
      <c r="Z155" s="342" t="s">
        <v>6541</v>
      </c>
      <c r="AA155" s="343" t="s">
        <v>6542</v>
      </c>
      <c r="AB155" s="344" t="s">
        <v>1194</v>
      </c>
      <c r="AC155" s="345">
        <v>1</v>
      </c>
      <c r="AD155" s="346">
        <v>70</v>
      </c>
      <c r="AE155" s="355">
        <f t="shared" si="4"/>
        <v>70</v>
      </c>
      <c r="AF155" s="1152">
        <v>21</v>
      </c>
      <c r="AR155" s="129"/>
      <c r="AT155" s="129"/>
      <c r="AU155" s="129"/>
      <c r="AY155" s="13"/>
      <c r="BE155" s="130"/>
      <c r="BF155" s="130"/>
      <c r="BG155" s="130"/>
      <c r="BH155" s="130"/>
      <c r="BI155" s="130"/>
      <c r="BJ155" s="13"/>
      <c r="BK155" s="130"/>
      <c r="BL155" s="13"/>
      <c r="BM155" s="129"/>
    </row>
    <row r="156" spans="2:65" s="682" customFormat="1" ht="16.5" customHeight="1" x14ac:dyDescent="0.2">
      <c r="B156" s="118"/>
      <c r="C156" s="1234" t="s">
        <v>5205</v>
      </c>
      <c r="D156" s="1235"/>
      <c r="E156" s="1235"/>
      <c r="F156" s="1235"/>
      <c r="G156" s="1235"/>
      <c r="H156" s="1235"/>
      <c r="I156" s="1235"/>
      <c r="J156" s="1236"/>
      <c r="K156" s="133"/>
      <c r="L156" s="137"/>
      <c r="M156" s="138"/>
      <c r="N156" s="139"/>
      <c r="O156" s="127"/>
      <c r="P156" s="127"/>
      <c r="Q156" s="127"/>
      <c r="R156" s="127"/>
      <c r="S156" s="127"/>
      <c r="T156" s="128"/>
      <c r="W156" s="199"/>
      <c r="X156" s="386" t="s">
        <v>6031</v>
      </c>
      <c r="Y156" s="386" t="s">
        <v>277</v>
      </c>
      <c r="Z156" s="349" t="s">
        <v>6543</v>
      </c>
      <c r="AA156" s="350" t="s">
        <v>6544</v>
      </c>
      <c r="AB156" s="351" t="s">
        <v>1194</v>
      </c>
      <c r="AC156" s="352">
        <v>1</v>
      </c>
      <c r="AD156" s="353">
        <v>2250</v>
      </c>
      <c r="AE156" s="356">
        <f t="shared" si="4"/>
        <v>2250</v>
      </c>
      <c r="AF156" s="1152">
        <v>21</v>
      </c>
      <c r="AR156" s="129"/>
      <c r="AT156" s="129"/>
      <c r="AU156" s="129"/>
      <c r="AY156" s="13"/>
      <c r="BE156" s="130"/>
      <c r="BF156" s="130"/>
      <c r="BG156" s="130"/>
      <c r="BH156" s="130"/>
      <c r="BI156" s="130"/>
      <c r="BJ156" s="13"/>
      <c r="BK156" s="130"/>
      <c r="BL156" s="13"/>
      <c r="BM156" s="129"/>
    </row>
    <row r="157" spans="2:65" s="682" customFormat="1" ht="16.5" customHeight="1" x14ac:dyDescent="0.2">
      <c r="B157" s="118"/>
      <c r="C157" s="1234" t="s">
        <v>5205</v>
      </c>
      <c r="D157" s="1235"/>
      <c r="E157" s="1235"/>
      <c r="F157" s="1235"/>
      <c r="G157" s="1235"/>
      <c r="H157" s="1235"/>
      <c r="I157" s="1235"/>
      <c r="J157" s="1236"/>
      <c r="K157" s="133"/>
      <c r="L157" s="137"/>
      <c r="M157" s="138"/>
      <c r="N157" s="139"/>
      <c r="O157" s="127"/>
      <c r="P157" s="127"/>
      <c r="Q157" s="127"/>
      <c r="R157" s="127"/>
      <c r="S157" s="127"/>
      <c r="T157" s="128"/>
      <c r="W157" s="199"/>
      <c r="X157" s="207" t="s">
        <v>6278</v>
      </c>
      <c r="Y157" s="207" t="s">
        <v>231</v>
      </c>
      <c r="Z157" s="342" t="s">
        <v>6545</v>
      </c>
      <c r="AA157" s="343" t="s">
        <v>6546</v>
      </c>
      <c r="AB157" s="344" t="s">
        <v>1194</v>
      </c>
      <c r="AC157" s="345">
        <v>2</v>
      </c>
      <c r="AD157" s="346">
        <v>50</v>
      </c>
      <c r="AE157" s="355">
        <f t="shared" si="4"/>
        <v>100</v>
      </c>
      <c r="AF157" s="1152">
        <v>21</v>
      </c>
      <c r="AR157" s="129"/>
      <c r="AT157" s="129"/>
      <c r="AU157" s="129"/>
      <c r="AY157" s="13"/>
      <c r="BE157" s="130"/>
      <c r="BF157" s="130"/>
      <c r="BG157" s="130"/>
      <c r="BH157" s="130"/>
      <c r="BI157" s="130"/>
      <c r="BJ157" s="13"/>
      <c r="BK157" s="130"/>
      <c r="BL157" s="13"/>
      <c r="BM157" s="129"/>
    </row>
    <row r="158" spans="2:65" s="682" customFormat="1" ht="16.5" customHeight="1" x14ac:dyDescent="0.2">
      <c r="B158" s="118"/>
      <c r="C158" s="1234" t="s">
        <v>5205</v>
      </c>
      <c r="D158" s="1235"/>
      <c r="E158" s="1235"/>
      <c r="F158" s="1235"/>
      <c r="G158" s="1235"/>
      <c r="H158" s="1235"/>
      <c r="I158" s="1235"/>
      <c r="J158" s="1236"/>
      <c r="K158" s="133"/>
      <c r="L158" s="137"/>
      <c r="M158" s="138"/>
      <c r="N158" s="139"/>
      <c r="O158" s="127"/>
      <c r="P158" s="127"/>
      <c r="Q158" s="127"/>
      <c r="R158" s="127"/>
      <c r="S158" s="127"/>
      <c r="T158" s="128"/>
      <c r="W158" s="199"/>
      <c r="X158" s="386" t="s">
        <v>6279</v>
      </c>
      <c r="Y158" s="386" t="s">
        <v>277</v>
      </c>
      <c r="Z158" s="349" t="s">
        <v>6547</v>
      </c>
      <c r="AA158" s="350" t="s">
        <v>6548</v>
      </c>
      <c r="AB158" s="351" t="s">
        <v>1194</v>
      </c>
      <c r="AC158" s="352">
        <v>2</v>
      </c>
      <c r="AD158" s="353">
        <v>922</v>
      </c>
      <c r="AE158" s="356">
        <f t="shared" si="4"/>
        <v>1844</v>
      </c>
      <c r="AF158" s="1152">
        <v>21</v>
      </c>
      <c r="AR158" s="129"/>
      <c r="AT158" s="129"/>
      <c r="AU158" s="129"/>
      <c r="AY158" s="13"/>
      <c r="BE158" s="130"/>
      <c r="BF158" s="130"/>
      <c r="BG158" s="130"/>
      <c r="BH158" s="130"/>
      <c r="BI158" s="130"/>
      <c r="BJ158" s="13"/>
      <c r="BK158" s="130"/>
      <c r="BL158" s="13"/>
      <c r="BM158" s="129"/>
    </row>
    <row r="159" spans="2:65" s="1" customFormat="1" ht="24" customHeight="1" x14ac:dyDescent="0.2">
      <c r="B159" s="118"/>
      <c r="C159" s="205" t="s">
        <v>327</v>
      </c>
      <c r="D159" s="119" t="s">
        <v>231</v>
      </c>
      <c r="E159" s="120" t="s">
        <v>1365</v>
      </c>
      <c r="F159" s="121" t="s">
        <v>1366</v>
      </c>
      <c r="G159" s="122" t="s">
        <v>1194</v>
      </c>
      <c r="H159" s="206">
        <v>2</v>
      </c>
      <c r="I159" s="124">
        <v>4.74</v>
      </c>
      <c r="J159" s="124">
        <f t="shared" si="0"/>
        <v>9.48</v>
      </c>
      <c r="K159" s="121" t="s">
        <v>1</v>
      </c>
      <c r="L159" s="24"/>
      <c r="M159" s="125" t="s">
        <v>1</v>
      </c>
      <c r="N159" s="126" t="s">
        <v>31</v>
      </c>
      <c r="O159" s="127">
        <v>0</v>
      </c>
      <c r="P159" s="127">
        <f t="shared" si="1"/>
        <v>0</v>
      </c>
      <c r="Q159" s="127">
        <v>0</v>
      </c>
      <c r="R159" s="127">
        <f t="shared" si="2"/>
        <v>0</v>
      </c>
      <c r="S159" s="127">
        <v>0</v>
      </c>
      <c r="T159" s="128">
        <f t="shared" si="3"/>
        <v>0</v>
      </c>
      <c r="W159" s="199"/>
      <c r="X159" s="205" t="s">
        <v>327</v>
      </c>
      <c r="Y159" s="119" t="s">
        <v>231</v>
      </c>
      <c r="Z159" s="120" t="s">
        <v>1365</v>
      </c>
      <c r="AA159" s="121" t="s">
        <v>1366</v>
      </c>
      <c r="AB159" s="122" t="s">
        <v>1194</v>
      </c>
      <c r="AC159" s="206">
        <f>2+2</f>
        <v>4</v>
      </c>
      <c r="AD159" s="124">
        <v>4.74</v>
      </c>
      <c r="AE159" s="200">
        <f t="shared" si="4"/>
        <v>18.96</v>
      </c>
      <c r="AF159" s="227">
        <v>21</v>
      </c>
      <c r="AR159" s="129" t="s">
        <v>63</v>
      </c>
      <c r="AT159" s="129" t="s">
        <v>231</v>
      </c>
      <c r="AU159" s="129" t="s">
        <v>63</v>
      </c>
      <c r="AY159" s="13" t="s">
        <v>228</v>
      </c>
      <c r="BE159" s="130">
        <f t="shared" si="5"/>
        <v>9.48</v>
      </c>
      <c r="BF159" s="130">
        <f t="shared" si="6"/>
        <v>0</v>
      </c>
      <c r="BG159" s="130">
        <f t="shared" si="7"/>
        <v>0</v>
      </c>
      <c r="BH159" s="130">
        <f t="shared" si="8"/>
        <v>0</v>
      </c>
      <c r="BI159" s="130">
        <f t="shared" si="9"/>
        <v>0</v>
      </c>
      <c r="BJ159" s="13" t="s">
        <v>63</v>
      </c>
      <c r="BK159" s="130">
        <f t="shared" si="10"/>
        <v>9.48</v>
      </c>
      <c r="BL159" s="13" t="s">
        <v>63</v>
      </c>
      <c r="BM159" s="129" t="s">
        <v>1816</v>
      </c>
    </row>
    <row r="160" spans="2:65" s="1" customFormat="1" ht="24" customHeight="1" x14ac:dyDescent="0.2">
      <c r="B160" s="118"/>
      <c r="C160" s="205" t="s">
        <v>280</v>
      </c>
      <c r="D160" s="119" t="s">
        <v>231</v>
      </c>
      <c r="E160" s="120" t="s">
        <v>1328</v>
      </c>
      <c r="F160" s="121" t="s">
        <v>1329</v>
      </c>
      <c r="G160" s="122" t="s">
        <v>1194</v>
      </c>
      <c r="H160" s="206">
        <v>6</v>
      </c>
      <c r="I160" s="124">
        <v>0.87</v>
      </c>
      <c r="J160" s="124">
        <f t="shared" si="0"/>
        <v>5.22</v>
      </c>
      <c r="K160" s="121" t="s">
        <v>1</v>
      </c>
      <c r="L160" s="24"/>
      <c r="M160" s="125" t="s">
        <v>1</v>
      </c>
      <c r="N160" s="126" t="s">
        <v>31</v>
      </c>
      <c r="O160" s="127">
        <v>0</v>
      </c>
      <c r="P160" s="127">
        <f t="shared" si="1"/>
        <v>0</v>
      </c>
      <c r="Q160" s="127">
        <v>0</v>
      </c>
      <c r="R160" s="127">
        <f t="shared" si="2"/>
        <v>0</v>
      </c>
      <c r="S160" s="127">
        <v>0</v>
      </c>
      <c r="T160" s="128">
        <f t="shared" si="3"/>
        <v>0</v>
      </c>
      <c r="W160" s="199"/>
      <c r="X160" s="205" t="s">
        <v>280</v>
      </c>
      <c r="Y160" s="119" t="s">
        <v>231</v>
      </c>
      <c r="Z160" s="120" t="s">
        <v>1328</v>
      </c>
      <c r="AA160" s="121" t="s">
        <v>1329</v>
      </c>
      <c r="AB160" s="122" t="s">
        <v>1194</v>
      </c>
      <c r="AC160" s="206">
        <f>6+6</f>
        <v>12</v>
      </c>
      <c r="AD160" s="124">
        <v>0.87</v>
      </c>
      <c r="AE160" s="200">
        <f t="shared" si="4"/>
        <v>10.44</v>
      </c>
      <c r="AF160" s="227">
        <v>21</v>
      </c>
      <c r="AR160" s="129" t="s">
        <v>63</v>
      </c>
      <c r="AT160" s="129" t="s">
        <v>231</v>
      </c>
      <c r="AU160" s="129" t="s">
        <v>63</v>
      </c>
      <c r="AY160" s="13" t="s">
        <v>228</v>
      </c>
      <c r="BE160" s="130">
        <f t="shared" si="5"/>
        <v>5.22</v>
      </c>
      <c r="BF160" s="130">
        <f t="shared" si="6"/>
        <v>0</v>
      </c>
      <c r="BG160" s="130">
        <f t="shared" si="7"/>
        <v>0</v>
      </c>
      <c r="BH160" s="130">
        <f t="shared" si="8"/>
        <v>0</v>
      </c>
      <c r="BI160" s="130">
        <f t="shared" si="9"/>
        <v>0</v>
      </c>
      <c r="BJ160" s="13" t="s">
        <v>63</v>
      </c>
      <c r="BK160" s="130">
        <f t="shared" si="10"/>
        <v>5.22</v>
      </c>
      <c r="BL160" s="13" t="s">
        <v>63</v>
      </c>
      <c r="BM160" s="129" t="s">
        <v>1817</v>
      </c>
    </row>
    <row r="161" spans="2:65" s="1084" customFormat="1" ht="24" customHeight="1" x14ac:dyDescent="0.2">
      <c r="B161" s="1028"/>
      <c r="C161" s="1234" t="s">
        <v>5205</v>
      </c>
      <c r="D161" s="1235"/>
      <c r="E161" s="1235"/>
      <c r="F161" s="1235"/>
      <c r="G161" s="1235"/>
      <c r="H161" s="1235"/>
      <c r="I161" s="1235"/>
      <c r="J161" s="1236"/>
      <c r="K161" s="1031"/>
      <c r="L161" s="1027"/>
      <c r="M161" s="1035"/>
      <c r="N161" s="1036"/>
      <c r="O161" s="1037"/>
      <c r="P161" s="1037"/>
      <c r="Q161" s="1037"/>
      <c r="R161" s="1037"/>
      <c r="S161" s="1037"/>
      <c r="T161" s="1038"/>
      <c r="W161" s="1041"/>
      <c r="X161" s="1072" t="s">
        <v>6311</v>
      </c>
      <c r="Y161" s="1072" t="s">
        <v>231</v>
      </c>
      <c r="Z161" s="1073" t="s">
        <v>6713</v>
      </c>
      <c r="AA161" s="1074" t="s">
        <v>6714</v>
      </c>
      <c r="AB161" s="1075" t="s">
        <v>1194</v>
      </c>
      <c r="AC161" s="1076">
        <v>1</v>
      </c>
      <c r="AD161" s="1077">
        <v>232</v>
      </c>
      <c r="AE161" s="1078">
        <f>AC161*AD161</f>
        <v>232</v>
      </c>
      <c r="AF161" s="1152">
        <v>22</v>
      </c>
      <c r="AR161" s="1039"/>
      <c r="AT161" s="1039"/>
      <c r="AU161" s="1039"/>
      <c r="AY161" s="1026"/>
      <c r="BE161" s="1040"/>
      <c r="BF161" s="1040"/>
      <c r="BG161" s="1040"/>
      <c r="BH161" s="1040"/>
      <c r="BI161" s="1040"/>
      <c r="BJ161" s="1026"/>
      <c r="BK161" s="1040"/>
      <c r="BL161" s="1026"/>
      <c r="BM161" s="1039"/>
    </row>
    <row r="162" spans="2:65" s="1084" customFormat="1" ht="24" customHeight="1" x14ac:dyDescent="0.2">
      <c r="B162" s="1028"/>
      <c r="C162" s="1234" t="s">
        <v>5205</v>
      </c>
      <c r="D162" s="1235"/>
      <c r="E162" s="1235"/>
      <c r="F162" s="1235"/>
      <c r="G162" s="1235"/>
      <c r="H162" s="1235"/>
      <c r="I162" s="1235"/>
      <c r="J162" s="1236"/>
      <c r="K162" s="1031"/>
      <c r="L162" s="1027"/>
      <c r="M162" s="1035"/>
      <c r="N162" s="1036"/>
      <c r="O162" s="1037"/>
      <c r="P162" s="1037"/>
      <c r="Q162" s="1037"/>
      <c r="R162" s="1037"/>
      <c r="S162" s="1037"/>
      <c r="T162" s="1038"/>
      <c r="W162" s="1041"/>
      <c r="X162" s="386" t="s">
        <v>6312</v>
      </c>
      <c r="Y162" s="386" t="s">
        <v>277</v>
      </c>
      <c r="Z162" s="387" t="s">
        <v>6715</v>
      </c>
      <c r="AA162" s="388" t="s">
        <v>6714</v>
      </c>
      <c r="AB162" s="389" t="s">
        <v>1194</v>
      </c>
      <c r="AC162" s="390">
        <v>1</v>
      </c>
      <c r="AD162" s="391">
        <v>212</v>
      </c>
      <c r="AE162" s="401">
        <f>AC162*AD162</f>
        <v>212</v>
      </c>
      <c r="AF162" s="1152">
        <v>22</v>
      </c>
      <c r="AR162" s="1039"/>
      <c r="AT162" s="1039"/>
      <c r="AU162" s="1039"/>
      <c r="AY162" s="1026"/>
      <c r="BE162" s="1040"/>
      <c r="BF162" s="1040"/>
      <c r="BG162" s="1040"/>
      <c r="BH162" s="1040"/>
      <c r="BI162" s="1040"/>
      <c r="BJ162" s="1026"/>
      <c r="BK162" s="1040"/>
      <c r="BL162" s="1026"/>
      <c r="BM162" s="1039"/>
    </row>
    <row r="163" spans="2:65" s="1" customFormat="1" ht="16.5" customHeight="1" x14ac:dyDescent="0.2">
      <c r="B163" s="118"/>
      <c r="C163" s="205" t="s">
        <v>334</v>
      </c>
      <c r="D163" s="119" t="s">
        <v>231</v>
      </c>
      <c r="E163" s="120" t="s">
        <v>1674</v>
      </c>
      <c r="F163" s="121" t="s">
        <v>1759</v>
      </c>
      <c r="G163" s="122" t="s">
        <v>1194</v>
      </c>
      <c r="H163" s="123">
        <v>1</v>
      </c>
      <c r="I163" s="213">
        <v>333.21</v>
      </c>
      <c r="J163" s="124">
        <f t="shared" si="0"/>
        <v>333.21</v>
      </c>
      <c r="K163" s="121" t="s">
        <v>1</v>
      </c>
      <c r="L163" s="24"/>
      <c r="M163" s="125" t="s">
        <v>1</v>
      </c>
      <c r="N163" s="126" t="s">
        <v>31</v>
      </c>
      <c r="O163" s="127">
        <v>0</v>
      </c>
      <c r="P163" s="127">
        <f t="shared" si="1"/>
        <v>0</v>
      </c>
      <c r="Q163" s="127">
        <v>0</v>
      </c>
      <c r="R163" s="127">
        <f t="shared" si="2"/>
        <v>0</v>
      </c>
      <c r="S163" s="127">
        <v>0</v>
      </c>
      <c r="T163" s="128">
        <f t="shared" si="3"/>
        <v>0</v>
      </c>
      <c r="W163" s="199"/>
      <c r="X163" s="205" t="s">
        <v>334</v>
      </c>
      <c r="Y163" s="119" t="s">
        <v>231</v>
      </c>
      <c r="Z163" s="120" t="s">
        <v>1674</v>
      </c>
      <c r="AA163" s="121" t="s">
        <v>1759</v>
      </c>
      <c r="AB163" s="122" t="s">
        <v>1194</v>
      </c>
      <c r="AC163" s="123">
        <v>1</v>
      </c>
      <c r="AD163" s="213">
        <f>333.21+185.76</f>
        <v>518.97</v>
      </c>
      <c r="AE163" s="200">
        <f t="shared" si="4"/>
        <v>518.97</v>
      </c>
      <c r="AF163" s="227">
        <v>21</v>
      </c>
      <c r="AR163" s="129" t="s">
        <v>63</v>
      </c>
      <c r="AT163" s="129" t="s">
        <v>231</v>
      </c>
      <c r="AU163" s="129" t="s">
        <v>63</v>
      </c>
      <c r="AY163" s="13" t="s">
        <v>228</v>
      </c>
      <c r="BE163" s="130">
        <f t="shared" si="5"/>
        <v>333.21</v>
      </c>
      <c r="BF163" s="130">
        <f t="shared" si="6"/>
        <v>0</v>
      </c>
      <c r="BG163" s="130">
        <f t="shared" si="7"/>
        <v>0</v>
      </c>
      <c r="BH163" s="130">
        <f t="shared" si="8"/>
        <v>0</v>
      </c>
      <c r="BI163" s="130">
        <f t="shared" si="9"/>
        <v>0</v>
      </c>
      <c r="BJ163" s="13" t="s">
        <v>63</v>
      </c>
      <c r="BK163" s="130">
        <f t="shared" si="10"/>
        <v>333.21</v>
      </c>
      <c r="BL163" s="13" t="s">
        <v>63</v>
      </c>
      <c r="BM163" s="129" t="s">
        <v>1818</v>
      </c>
    </row>
    <row r="164" spans="2:65" s="1" customFormat="1" ht="16.5" customHeight="1" x14ac:dyDescent="0.2">
      <c r="B164" s="118"/>
      <c r="C164" s="119" t="s">
        <v>285</v>
      </c>
      <c r="D164" s="119" t="s">
        <v>231</v>
      </c>
      <c r="E164" s="120" t="s">
        <v>1679</v>
      </c>
      <c r="F164" s="121" t="s">
        <v>1762</v>
      </c>
      <c r="G164" s="122" t="s">
        <v>1194</v>
      </c>
      <c r="H164" s="123">
        <v>1</v>
      </c>
      <c r="I164" s="124">
        <v>440.6</v>
      </c>
      <c r="J164" s="124">
        <f t="shared" si="0"/>
        <v>440.6</v>
      </c>
      <c r="K164" s="121" t="s">
        <v>1</v>
      </c>
      <c r="L164" s="24"/>
      <c r="M164" s="125" t="s">
        <v>1</v>
      </c>
      <c r="N164" s="126" t="s">
        <v>31</v>
      </c>
      <c r="O164" s="127">
        <v>0</v>
      </c>
      <c r="P164" s="127">
        <f t="shared" si="1"/>
        <v>0</v>
      </c>
      <c r="Q164" s="127">
        <v>0</v>
      </c>
      <c r="R164" s="127">
        <f t="shared" si="2"/>
        <v>0</v>
      </c>
      <c r="S164" s="127">
        <v>0</v>
      </c>
      <c r="T164" s="128">
        <f t="shared" si="3"/>
        <v>0</v>
      </c>
      <c r="W164" s="199"/>
      <c r="X164" s="119" t="s">
        <v>285</v>
      </c>
      <c r="Y164" s="119" t="s">
        <v>231</v>
      </c>
      <c r="Z164" s="120" t="s">
        <v>1679</v>
      </c>
      <c r="AA164" s="121" t="s">
        <v>1762</v>
      </c>
      <c r="AB164" s="122" t="s">
        <v>1194</v>
      </c>
      <c r="AC164" s="123">
        <v>1</v>
      </c>
      <c r="AD164" s="124">
        <v>440.6</v>
      </c>
      <c r="AE164" s="200">
        <f t="shared" si="4"/>
        <v>440.6</v>
      </c>
      <c r="AF164" s="956"/>
      <c r="AR164" s="129" t="s">
        <v>63</v>
      </c>
      <c r="AT164" s="129" t="s">
        <v>231</v>
      </c>
      <c r="AU164" s="129" t="s">
        <v>63</v>
      </c>
      <c r="AY164" s="13" t="s">
        <v>228</v>
      </c>
      <c r="BE164" s="130">
        <f t="shared" si="5"/>
        <v>440.6</v>
      </c>
      <c r="BF164" s="130">
        <f t="shared" si="6"/>
        <v>0</v>
      </c>
      <c r="BG164" s="130">
        <f t="shared" si="7"/>
        <v>0</v>
      </c>
      <c r="BH164" s="130">
        <f t="shared" si="8"/>
        <v>0</v>
      </c>
      <c r="BI164" s="130">
        <f t="shared" si="9"/>
        <v>0</v>
      </c>
      <c r="BJ164" s="13" t="s">
        <v>63</v>
      </c>
      <c r="BK164" s="130">
        <f t="shared" si="10"/>
        <v>440.6</v>
      </c>
      <c r="BL164" s="13" t="s">
        <v>63</v>
      </c>
      <c r="BM164" s="129" t="s">
        <v>1819</v>
      </c>
    </row>
    <row r="165" spans="2:65" s="1" customFormat="1" ht="16.5" customHeight="1" x14ac:dyDescent="0.2">
      <c r="B165" s="118"/>
      <c r="C165" s="285" t="s">
        <v>341</v>
      </c>
      <c r="D165" s="285" t="s">
        <v>231</v>
      </c>
      <c r="E165" s="286" t="s">
        <v>1684</v>
      </c>
      <c r="F165" s="240" t="s">
        <v>1765</v>
      </c>
      <c r="G165" s="287" t="s">
        <v>1194</v>
      </c>
      <c r="H165" s="288">
        <v>1</v>
      </c>
      <c r="I165" s="289">
        <v>336.69</v>
      </c>
      <c r="J165" s="289">
        <f t="shared" si="0"/>
        <v>336.69</v>
      </c>
      <c r="K165" s="121" t="s">
        <v>1</v>
      </c>
      <c r="L165" s="24"/>
      <c r="M165" s="125" t="s">
        <v>1</v>
      </c>
      <c r="N165" s="126" t="s">
        <v>31</v>
      </c>
      <c r="O165" s="127">
        <v>0</v>
      </c>
      <c r="P165" s="127">
        <f t="shared" si="1"/>
        <v>0</v>
      </c>
      <c r="Q165" s="127">
        <v>0</v>
      </c>
      <c r="R165" s="127">
        <f t="shared" si="2"/>
        <v>0</v>
      </c>
      <c r="S165" s="127">
        <v>0</v>
      </c>
      <c r="T165" s="128">
        <f t="shared" si="3"/>
        <v>0</v>
      </c>
      <c r="W165" s="199"/>
      <c r="X165" s="285" t="s">
        <v>341</v>
      </c>
      <c r="Y165" s="285" t="s">
        <v>231</v>
      </c>
      <c r="Z165" s="286" t="s">
        <v>1684</v>
      </c>
      <c r="AA165" s="240" t="s">
        <v>1765</v>
      </c>
      <c r="AB165" s="287" t="s">
        <v>1194</v>
      </c>
      <c r="AC165" s="288">
        <v>1</v>
      </c>
      <c r="AD165" s="289">
        <f>336.69</f>
        <v>336.69</v>
      </c>
      <c r="AE165" s="200">
        <f t="shared" si="4"/>
        <v>336.69</v>
      </c>
      <c r="AF165" s="956"/>
      <c r="AR165" s="129" t="s">
        <v>63</v>
      </c>
      <c r="AT165" s="129" t="s">
        <v>231</v>
      </c>
      <c r="AU165" s="129" t="s">
        <v>63</v>
      </c>
      <c r="AY165" s="13" t="s">
        <v>228</v>
      </c>
      <c r="BE165" s="130">
        <f t="shared" si="5"/>
        <v>336.69</v>
      </c>
      <c r="BF165" s="130">
        <f t="shared" si="6"/>
        <v>0</v>
      </c>
      <c r="BG165" s="130">
        <f t="shared" si="7"/>
        <v>0</v>
      </c>
      <c r="BH165" s="130">
        <f t="shared" si="8"/>
        <v>0</v>
      </c>
      <c r="BI165" s="130">
        <f t="shared" si="9"/>
        <v>0</v>
      </c>
      <c r="BJ165" s="13" t="s">
        <v>63</v>
      </c>
      <c r="BK165" s="130">
        <f t="shared" si="10"/>
        <v>336.69</v>
      </c>
      <c r="BL165" s="13" t="s">
        <v>63</v>
      </c>
      <c r="BM165" s="129" t="s">
        <v>1820</v>
      </c>
    </row>
    <row r="166" spans="2:65" s="1" customFormat="1" ht="16.5" customHeight="1" x14ac:dyDescent="0.2">
      <c r="B166" s="118"/>
      <c r="C166" s="285" t="s">
        <v>288</v>
      </c>
      <c r="D166" s="285" t="s">
        <v>231</v>
      </c>
      <c r="E166" s="286" t="s">
        <v>1689</v>
      </c>
      <c r="F166" s="240" t="s">
        <v>1768</v>
      </c>
      <c r="G166" s="287" t="s">
        <v>1194</v>
      </c>
      <c r="H166" s="288">
        <v>1</v>
      </c>
      <c r="I166" s="289">
        <v>284.45</v>
      </c>
      <c r="J166" s="289">
        <f t="shared" si="0"/>
        <v>284.45</v>
      </c>
      <c r="K166" s="121" t="s">
        <v>1</v>
      </c>
      <c r="L166" s="24"/>
      <c r="M166" s="140" t="s">
        <v>1</v>
      </c>
      <c r="N166" s="141" t="s">
        <v>31</v>
      </c>
      <c r="O166" s="142">
        <v>0</v>
      </c>
      <c r="P166" s="142">
        <f t="shared" si="1"/>
        <v>0</v>
      </c>
      <c r="Q166" s="142">
        <v>0</v>
      </c>
      <c r="R166" s="142">
        <f t="shared" si="2"/>
        <v>0</v>
      </c>
      <c r="S166" s="142">
        <v>0</v>
      </c>
      <c r="T166" s="143">
        <f t="shared" si="3"/>
        <v>0</v>
      </c>
      <c r="W166" s="199"/>
      <c r="X166" s="285" t="s">
        <v>288</v>
      </c>
      <c r="Y166" s="285" t="s">
        <v>231</v>
      </c>
      <c r="Z166" s="286" t="s">
        <v>1689</v>
      </c>
      <c r="AA166" s="240" t="s">
        <v>1768</v>
      </c>
      <c r="AB166" s="287" t="s">
        <v>1194</v>
      </c>
      <c r="AC166" s="288">
        <v>1</v>
      </c>
      <c r="AD166" s="289">
        <f>284.45</f>
        <v>284.45</v>
      </c>
      <c r="AE166" s="200">
        <f t="shared" si="4"/>
        <v>284.45</v>
      </c>
      <c r="AF166" s="956"/>
      <c r="AR166" s="129" t="s">
        <v>63</v>
      </c>
      <c r="AT166" s="129" t="s">
        <v>231</v>
      </c>
      <c r="AU166" s="129" t="s">
        <v>63</v>
      </c>
      <c r="AY166" s="13" t="s">
        <v>228</v>
      </c>
      <c r="BE166" s="130">
        <f t="shared" si="5"/>
        <v>284.45</v>
      </c>
      <c r="BF166" s="130">
        <f t="shared" si="6"/>
        <v>0</v>
      </c>
      <c r="BG166" s="130">
        <f t="shared" si="7"/>
        <v>0</v>
      </c>
      <c r="BH166" s="130">
        <f t="shared" si="8"/>
        <v>0</v>
      </c>
      <c r="BI166" s="130">
        <f t="shared" si="9"/>
        <v>0</v>
      </c>
      <c r="BJ166" s="13" t="s">
        <v>63</v>
      </c>
      <c r="BK166" s="130">
        <f t="shared" si="10"/>
        <v>284.45</v>
      </c>
      <c r="BL166" s="13" t="s">
        <v>63</v>
      </c>
      <c r="BM166" s="129" t="s">
        <v>1821</v>
      </c>
    </row>
    <row r="167" spans="2:65" s="1" customFormat="1" ht="7.05" customHeight="1" x14ac:dyDescent="0.2">
      <c r="B167" s="33"/>
      <c r="C167" s="34"/>
      <c r="D167" s="34"/>
      <c r="E167" s="34"/>
      <c r="F167" s="34"/>
      <c r="G167" s="34"/>
      <c r="H167" s="34"/>
      <c r="I167" s="34"/>
      <c r="J167" s="34"/>
      <c r="K167" s="34"/>
      <c r="L167" s="24"/>
      <c r="W167" s="175"/>
      <c r="X167" s="487"/>
      <c r="Y167" s="487"/>
      <c r="Z167" s="487"/>
      <c r="AA167" s="487"/>
      <c r="AB167" s="487"/>
      <c r="AC167" s="487"/>
      <c r="AD167" s="487"/>
      <c r="AE167" s="177"/>
      <c r="AF167" s="227"/>
    </row>
  </sheetData>
  <autoFilter ref="C116:K166" xr:uid="{00000000-0009-0000-0000-000006000000}"/>
  <mergeCells count="43">
    <mergeCell ref="E87:H87"/>
    <mergeCell ref="E107:H107"/>
    <mergeCell ref="E109:H109"/>
    <mergeCell ref="L2:V2"/>
    <mergeCell ref="E9:H9"/>
    <mergeCell ref="E18:H18"/>
    <mergeCell ref="E27:H27"/>
    <mergeCell ref="E85:H85"/>
    <mergeCell ref="D4:J4"/>
    <mergeCell ref="F6:J7"/>
    <mergeCell ref="C82:J82"/>
    <mergeCell ref="E84:J84"/>
    <mergeCell ref="C104:J104"/>
    <mergeCell ref="E106:J106"/>
    <mergeCell ref="Y4:AE4"/>
    <mergeCell ref="AA6:AE7"/>
    <mergeCell ref="Z9:AC9"/>
    <mergeCell ref="Z18:AC18"/>
    <mergeCell ref="Z27:AC27"/>
    <mergeCell ref="X82:AE82"/>
    <mergeCell ref="Z84:AE84"/>
    <mergeCell ref="Z85:AC85"/>
    <mergeCell ref="Z87:AC87"/>
    <mergeCell ref="X104:AE104"/>
    <mergeCell ref="Z106:AE106"/>
    <mergeCell ref="Z107:AC107"/>
    <mergeCell ref="Z109:AC109"/>
    <mergeCell ref="C129:J129"/>
    <mergeCell ref="C130:J130"/>
    <mergeCell ref="C131:J131"/>
    <mergeCell ref="C132:J132"/>
    <mergeCell ref="C133:J133"/>
    <mergeCell ref="C134:J134"/>
    <mergeCell ref="C135:J135"/>
    <mergeCell ref="C161:J161"/>
    <mergeCell ref="C162:J162"/>
    <mergeCell ref="C157:J157"/>
    <mergeCell ref="C158:J158"/>
    <mergeCell ref="C136:J136"/>
    <mergeCell ref="C153:J153"/>
    <mergeCell ref="C154:J154"/>
    <mergeCell ref="C155:J155"/>
    <mergeCell ref="C156:J156"/>
  </mergeCells>
  <pageMargins left="0.39374999999999999" right="0.39374999999999999" top="0.39374999999999999" bottom="0.39374999999999999" header="0" footer="0"/>
  <pageSetup paperSize="9" scale="89" fitToHeight="100" orientation="portrait" blackAndWhite="1" r:id="rId1"/>
  <headerFooter>
    <oddFooter>&amp;CStrana &amp;P z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pageSetUpPr fitToPage="1"/>
  </sheetPr>
  <dimension ref="A1:BM589"/>
  <sheetViews>
    <sheetView showGridLines="0" topLeftCell="A463" zoomScale="70" zoomScaleNormal="70" workbookViewId="0">
      <selection activeCell="AG162" sqref="AG162"/>
    </sheetView>
  </sheetViews>
  <sheetFormatPr defaultColWidth="8.7109375" defaultRowHeight="10.199999999999999" x14ac:dyDescent="0.2"/>
  <cols>
    <col min="1" max="1" width="8.28515625" customWidth="1"/>
    <col min="2" max="2" width="1.7109375" customWidth="1"/>
    <col min="3" max="3" width="5.7109375" customWidth="1"/>
    <col min="4" max="4" width="4.28515625" customWidth="1"/>
    <col min="5" max="5" width="17.28515625" customWidth="1"/>
    <col min="6" max="6" width="50.7109375" customWidth="1"/>
    <col min="7" max="7" width="7" customWidth="1"/>
    <col min="8" max="8" width="11.42578125" customWidth="1"/>
    <col min="9" max="10" width="20.28515625" customWidth="1"/>
    <col min="11" max="11" width="20.28515625" hidden="1" customWidth="1"/>
    <col min="12" max="12" width="15.28515625" customWidth="1"/>
    <col min="13" max="13" width="10.7109375" hidden="1" customWidth="1"/>
    <col min="14" max="14" width="9.28515625" hidden="1"/>
    <col min="15" max="20" width="14.28515625" hidden="1" customWidth="1"/>
    <col min="21" max="21" width="16.28515625" hidden="1" customWidth="1"/>
    <col min="22" max="22" width="12.28515625" customWidth="1"/>
    <col min="23" max="23" width="1.7109375" style="418" customWidth="1"/>
    <col min="24" max="24" width="7.42578125" style="418" customWidth="1"/>
    <col min="25" max="25" width="4.28515625" style="418" customWidth="1"/>
    <col min="26" max="26" width="17.28515625" style="418" customWidth="1"/>
    <col min="27" max="27" width="50.7109375" style="418" customWidth="1"/>
    <col min="28" max="28" width="7" style="418" customWidth="1"/>
    <col min="29" max="29" width="11.42578125" style="418" customWidth="1"/>
    <col min="30" max="31" width="20.28515625" style="418" customWidth="1"/>
    <col min="33" max="33" width="15" customWidth="1"/>
    <col min="34" max="34" width="13.28515625" customWidth="1"/>
    <col min="44" max="65" width="9.28515625" hidden="1"/>
  </cols>
  <sheetData>
    <row r="1" spans="1:46" x14ac:dyDescent="0.2">
      <c r="A1" s="73"/>
    </row>
    <row r="2" spans="1:46" ht="37.049999999999997" customHeight="1" x14ac:dyDescent="0.2">
      <c r="L2" s="1227" t="s">
        <v>5</v>
      </c>
      <c r="M2" s="1225"/>
      <c r="N2" s="1225"/>
      <c r="O2" s="1225"/>
      <c r="P2" s="1225"/>
      <c r="Q2" s="1225"/>
      <c r="R2" s="1225"/>
      <c r="S2" s="1225"/>
      <c r="T2" s="1225"/>
      <c r="U2" s="1225"/>
      <c r="V2" s="1225"/>
      <c r="AT2" s="13" t="s">
        <v>82</v>
      </c>
    </row>
    <row r="3" spans="1:46" ht="7.05" customHeight="1" x14ac:dyDescent="0.2">
      <c r="B3" s="14"/>
      <c r="C3" s="15"/>
      <c r="D3" s="15"/>
      <c r="E3" s="15"/>
      <c r="F3" s="15"/>
      <c r="G3" s="15"/>
      <c r="H3" s="15"/>
      <c r="I3" s="15"/>
      <c r="J3" s="15"/>
      <c r="K3" s="15"/>
      <c r="L3" s="16"/>
      <c r="W3" s="152"/>
      <c r="X3" s="153"/>
      <c r="Y3" s="153"/>
      <c r="Z3" s="153"/>
      <c r="AA3" s="153"/>
      <c r="AB3" s="153"/>
      <c r="AC3" s="153"/>
      <c r="AD3" s="153"/>
      <c r="AE3" s="154"/>
      <c r="AT3" s="13" t="s">
        <v>58</v>
      </c>
    </row>
    <row r="4" spans="1:46" ht="25.05" customHeight="1" x14ac:dyDescent="0.2">
      <c r="B4" s="16"/>
      <c r="D4" s="1165" t="s">
        <v>185</v>
      </c>
      <c r="E4" s="1165"/>
      <c r="F4" s="1165"/>
      <c r="G4" s="1165"/>
      <c r="H4" s="1165"/>
      <c r="I4" s="1165"/>
      <c r="J4" s="1165"/>
      <c r="L4" s="16"/>
      <c r="M4" s="74" t="s">
        <v>9</v>
      </c>
      <c r="W4" s="155"/>
      <c r="X4" s="1237" t="s">
        <v>185</v>
      </c>
      <c r="Y4" s="1237"/>
      <c r="Z4" s="1237"/>
      <c r="AA4" s="1237"/>
      <c r="AB4" s="1237"/>
      <c r="AC4" s="1237"/>
      <c r="AD4" s="1237"/>
      <c r="AE4" s="1238"/>
      <c r="AT4" s="13" t="s">
        <v>3</v>
      </c>
    </row>
    <row r="5" spans="1:46" ht="7.05" customHeight="1" x14ac:dyDescent="0.2">
      <c r="B5" s="16"/>
      <c r="L5" s="16"/>
      <c r="W5" s="155"/>
      <c r="X5" s="156"/>
      <c r="Y5" s="156"/>
      <c r="Z5" s="156"/>
      <c r="AA5" s="156"/>
      <c r="AB5" s="156"/>
      <c r="AC5" s="156"/>
      <c r="AD5" s="156"/>
      <c r="AE5" s="157"/>
    </row>
    <row r="6" spans="1:46" ht="12" customHeight="1" x14ac:dyDescent="0.2">
      <c r="B6" s="16"/>
      <c r="D6" s="548" t="s">
        <v>12</v>
      </c>
      <c r="F6" s="1254" t="s">
        <v>6176</v>
      </c>
      <c r="G6" s="1254"/>
      <c r="H6" s="1254"/>
      <c r="I6" s="1254"/>
      <c r="J6" s="1254"/>
      <c r="L6" s="16"/>
      <c r="W6" s="155"/>
      <c r="X6" s="156"/>
      <c r="Y6" s="541" t="s">
        <v>12</v>
      </c>
      <c r="Z6" s="156"/>
      <c r="AA6" s="1239" t="s">
        <v>6176</v>
      </c>
      <c r="AB6" s="1239"/>
      <c r="AC6" s="1239"/>
      <c r="AD6" s="1239"/>
      <c r="AE6" s="1240"/>
    </row>
    <row r="7" spans="1:46" ht="24.45" customHeight="1" x14ac:dyDescent="0.2">
      <c r="B7" s="16"/>
      <c r="D7" s="527"/>
      <c r="E7" s="531"/>
      <c r="F7" s="1254"/>
      <c r="G7" s="1254"/>
      <c r="H7" s="1254"/>
      <c r="I7" s="1254"/>
      <c r="J7" s="1254"/>
      <c r="L7" s="16"/>
      <c r="W7" s="155"/>
      <c r="X7" s="156"/>
      <c r="Y7" s="539"/>
      <c r="Z7" s="245"/>
      <c r="AA7" s="1239"/>
      <c r="AB7" s="1239"/>
      <c r="AC7" s="1239"/>
      <c r="AD7" s="1239"/>
      <c r="AE7" s="1240"/>
    </row>
    <row r="8" spans="1:46" s="1" customFormat="1" ht="12" customHeight="1" x14ac:dyDescent="0.2">
      <c r="B8" s="24"/>
      <c r="D8" s="549" t="s">
        <v>186</v>
      </c>
      <c r="F8" s="532" t="s">
        <v>1822</v>
      </c>
      <c r="L8" s="24"/>
      <c r="W8" s="158"/>
      <c r="X8" s="557"/>
      <c r="Y8" s="550" t="s">
        <v>186</v>
      </c>
      <c r="Z8" s="557"/>
      <c r="AA8" s="555" t="s">
        <v>1822</v>
      </c>
      <c r="AB8" s="557"/>
      <c r="AC8" s="557"/>
      <c r="AD8" s="557"/>
      <c r="AE8" s="159"/>
    </row>
    <row r="9" spans="1:46" s="1" customFormat="1" ht="37.049999999999997" customHeight="1" x14ac:dyDescent="0.2">
      <c r="B9" s="24"/>
      <c r="D9" s="521"/>
      <c r="E9" s="1251"/>
      <c r="F9" s="1252"/>
      <c r="G9" s="1252"/>
      <c r="H9" s="1252"/>
      <c r="L9" s="24"/>
      <c r="W9" s="158"/>
      <c r="X9" s="557"/>
      <c r="Y9" s="557"/>
      <c r="Z9" s="1245"/>
      <c r="AA9" s="1246"/>
      <c r="AB9" s="1246"/>
      <c r="AC9" s="1246"/>
      <c r="AD9" s="557"/>
      <c r="AE9" s="159"/>
    </row>
    <row r="10" spans="1:46" s="1" customFormat="1" x14ac:dyDescent="0.2">
      <c r="B10" s="24"/>
      <c r="D10" s="521"/>
      <c r="L10" s="24"/>
      <c r="W10" s="158"/>
      <c r="X10" s="557"/>
      <c r="Y10" s="557"/>
      <c r="Z10" s="557"/>
      <c r="AA10" s="557"/>
      <c r="AB10" s="557"/>
      <c r="AC10" s="557"/>
      <c r="AD10" s="557"/>
      <c r="AE10" s="159"/>
    </row>
    <row r="11" spans="1:46" s="1" customFormat="1" ht="12" customHeight="1" x14ac:dyDescent="0.2">
      <c r="B11" s="24"/>
      <c r="D11" s="528" t="s">
        <v>13</v>
      </c>
      <c r="F11" s="19" t="s">
        <v>1</v>
      </c>
      <c r="I11" s="528" t="s">
        <v>14</v>
      </c>
      <c r="J11" s="19" t="s">
        <v>1</v>
      </c>
      <c r="L11" s="24"/>
      <c r="W11" s="158"/>
      <c r="X11" s="557"/>
      <c r="Y11" s="538" t="s">
        <v>13</v>
      </c>
      <c r="Z11" s="557"/>
      <c r="AA11" s="558" t="s">
        <v>1</v>
      </c>
      <c r="AB11" s="557"/>
      <c r="AC11" s="557"/>
      <c r="AD11" s="538" t="s">
        <v>14</v>
      </c>
      <c r="AE11" s="161" t="s">
        <v>1</v>
      </c>
    </row>
    <row r="12" spans="1:46" s="1" customFormat="1" ht="12" customHeight="1" x14ac:dyDescent="0.2">
      <c r="B12" s="24"/>
      <c r="D12" s="528" t="s">
        <v>15</v>
      </c>
      <c r="F12" s="520" t="s">
        <v>6173</v>
      </c>
      <c r="I12" s="528" t="s">
        <v>17</v>
      </c>
      <c r="J12" s="39"/>
      <c r="L12" s="24"/>
      <c r="W12" s="158"/>
      <c r="X12" s="557"/>
      <c r="Y12" s="538" t="s">
        <v>15</v>
      </c>
      <c r="Z12" s="557"/>
      <c r="AA12" s="558" t="s">
        <v>6173</v>
      </c>
      <c r="AB12" s="557"/>
      <c r="AC12" s="557"/>
      <c r="AD12" s="538" t="s">
        <v>17</v>
      </c>
      <c r="AE12" s="162"/>
    </row>
    <row r="13" spans="1:46" s="1" customFormat="1" ht="10.95" customHeight="1" x14ac:dyDescent="0.2">
      <c r="B13" s="24"/>
      <c r="D13" s="521"/>
      <c r="I13" s="521"/>
      <c r="L13" s="24"/>
      <c r="W13" s="158"/>
      <c r="X13" s="419"/>
      <c r="Y13" s="523"/>
      <c r="Z13" s="419"/>
      <c r="AA13" s="521"/>
      <c r="AB13" s="419"/>
      <c r="AC13" s="419"/>
      <c r="AD13" s="523"/>
      <c r="AE13" s="159"/>
    </row>
    <row r="14" spans="1:46" s="1" customFormat="1" ht="12" customHeight="1" x14ac:dyDescent="0.2">
      <c r="B14" s="24"/>
      <c r="D14" s="528" t="s">
        <v>18</v>
      </c>
      <c r="F14" s="529" t="s">
        <v>6175</v>
      </c>
      <c r="I14" s="528" t="s">
        <v>19</v>
      </c>
      <c r="J14" s="19" t="str">
        <f>IF('Rekapitulácia stavby'!AN10="","",'Rekapitulácia stavby'!AN10)</f>
        <v/>
      </c>
      <c r="L14" s="24"/>
      <c r="W14" s="158"/>
      <c r="X14" s="419"/>
      <c r="Y14" s="538" t="s">
        <v>18</v>
      </c>
      <c r="Z14" s="419"/>
      <c r="AA14" s="529" t="s">
        <v>6175</v>
      </c>
      <c r="AB14" s="419"/>
      <c r="AC14" s="419"/>
      <c r="AD14" s="538" t="s">
        <v>19</v>
      </c>
      <c r="AE14" s="161" t="str">
        <f>IF('Rekapitulácia stavby'!BI10="","",'Rekapitulácia stavby'!BI10)</f>
        <v/>
      </c>
    </row>
    <row r="15" spans="1:46" s="1" customFormat="1" ht="18" customHeight="1" x14ac:dyDescent="0.2">
      <c r="B15" s="24"/>
      <c r="D15" s="521"/>
      <c r="E15" s="19" t="str">
        <f>IF('Rekapitulácia stavby'!E11="","",'Rekapitulácia stavby'!E11)</f>
        <v/>
      </c>
      <c r="I15" s="528" t="s">
        <v>20</v>
      </c>
      <c r="J15" s="19" t="str">
        <f>IF('Rekapitulácia stavby'!AN11="","",'Rekapitulácia stavby'!AN11)</f>
        <v/>
      </c>
      <c r="L15" s="24"/>
      <c r="W15" s="158"/>
      <c r="X15" s="419"/>
      <c r="Y15" s="523"/>
      <c r="Z15" s="422" t="str">
        <f>IF('Rekapitulácia stavby'!Z11="","",'Rekapitulácia stavby'!Z11)</f>
        <v/>
      </c>
      <c r="AA15" s="521"/>
      <c r="AB15" s="419"/>
      <c r="AC15" s="419"/>
      <c r="AD15" s="538" t="s">
        <v>20</v>
      </c>
      <c r="AE15" s="161" t="str">
        <f>IF('Rekapitulácia stavby'!BI11="","",'Rekapitulácia stavby'!BI11)</f>
        <v/>
      </c>
    </row>
    <row r="16" spans="1:46" s="1" customFormat="1" ht="7.05" customHeight="1" x14ac:dyDescent="0.2">
      <c r="B16" s="24"/>
      <c r="D16" s="521"/>
      <c r="I16" s="521"/>
      <c r="L16" s="24"/>
      <c r="W16" s="158"/>
      <c r="X16" s="419"/>
      <c r="Y16" s="523"/>
      <c r="Z16" s="419"/>
      <c r="AA16" s="521"/>
      <c r="AB16" s="419"/>
      <c r="AC16" s="419"/>
      <c r="AD16" s="523"/>
      <c r="AE16" s="159"/>
    </row>
    <row r="17" spans="2:31" s="1" customFormat="1" ht="12" customHeight="1" x14ac:dyDescent="0.2">
      <c r="B17" s="24"/>
      <c r="D17" s="528" t="s">
        <v>21</v>
      </c>
      <c r="F17" s="529" t="s">
        <v>5202</v>
      </c>
      <c r="I17" s="528" t="s">
        <v>19</v>
      </c>
      <c r="J17" s="19"/>
      <c r="L17" s="24"/>
      <c r="W17" s="158"/>
      <c r="X17" s="419"/>
      <c r="Y17" s="538" t="s">
        <v>21</v>
      </c>
      <c r="Z17" s="419"/>
      <c r="AA17" s="529" t="s">
        <v>5202</v>
      </c>
      <c r="AB17" s="419"/>
      <c r="AC17" s="419"/>
      <c r="AD17" s="538" t="s">
        <v>19</v>
      </c>
      <c r="AE17" s="161"/>
    </row>
    <row r="18" spans="2:31" s="1" customFormat="1" ht="18" customHeight="1" x14ac:dyDescent="0.2">
      <c r="B18" s="24"/>
      <c r="D18" s="521"/>
      <c r="E18" s="1161"/>
      <c r="F18" s="1161"/>
      <c r="G18" s="1161"/>
      <c r="H18" s="1161"/>
      <c r="I18" s="528" t="s">
        <v>20</v>
      </c>
      <c r="J18" s="19" t="str">
        <f>'Rekapitulácia stavby'!AN14</f>
        <v/>
      </c>
      <c r="L18" s="24"/>
      <c r="W18" s="158"/>
      <c r="X18" s="419"/>
      <c r="Y18" s="523"/>
      <c r="Z18" s="1247"/>
      <c r="AA18" s="1247"/>
      <c r="AB18" s="1247"/>
      <c r="AC18" s="1247"/>
      <c r="AD18" s="538" t="s">
        <v>20</v>
      </c>
      <c r="AE18" s="161"/>
    </row>
    <row r="19" spans="2:31" s="1" customFormat="1" ht="7.05" customHeight="1" x14ac:dyDescent="0.2">
      <c r="B19" s="24"/>
      <c r="D19" s="521"/>
      <c r="I19" s="521"/>
      <c r="L19" s="24"/>
      <c r="W19" s="158"/>
      <c r="X19" s="419"/>
      <c r="Y19" s="523"/>
      <c r="Z19" s="419"/>
      <c r="AA19" s="419"/>
      <c r="AB19" s="419"/>
      <c r="AC19" s="419"/>
      <c r="AD19" s="523"/>
      <c r="AE19" s="159"/>
    </row>
    <row r="20" spans="2:31" s="1" customFormat="1" ht="12" customHeight="1" x14ac:dyDescent="0.2">
      <c r="B20" s="24"/>
      <c r="D20" s="528" t="s">
        <v>22</v>
      </c>
      <c r="I20" s="528" t="s">
        <v>19</v>
      </c>
      <c r="J20" s="19" t="str">
        <f>IF('Rekapitulácia stavby'!AN16="","",'Rekapitulácia stavby'!AN16)</f>
        <v/>
      </c>
      <c r="L20" s="24"/>
      <c r="W20" s="158"/>
      <c r="X20" s="419"/>
      <c r="Y20" s="538" t="s">
        <v>22</v>
      </c>
      <c r="Z20" s="419"/>
      <c r="AA20" s="419"/>
      <c r="AB20" s="419"/>
      <c r="AC20" s="419"/>
      <c r="AD20" s="538" t="s">
        <v>19</v>
      </c>
      <c r="AE20" s="161" t="str">
        <f>IF('Rekapitulácia stavby'!BI16="","",'Rekapitulácia stavby'!BI16)</f>
        <v/>
      </c>
    </row>
    <row r="21" spans="2:31" s="1" customFormat="1" ht="18" customHeight="1" x14ac:dyDescent="0.2">
      <c r="B21" s="24"/>
      <c r="D21" s="521"/>
      <c r="E21" s="19" t="str">
        <f>IF('Rekapitulácia stavby'!E17="","",'Rekapitulácia stavby'!E17)</f>
        <v xml:space="preserve"> </v>
      </c>
      <c r="I21" s="528" t="s">
        <v>20</v>
      </c>
      <c r="J21" s="19" t="str">
        <f>IF('Rekapitulácia stavby'!AN17="","",'Rekapitulácia stavby'!AN17)</f>
        <v/>
      </c>
      <c r="L21" s="24"/>
      <c r="W21" s="158"/>
      <c r="X21" s="419"/>
      <c r="Y21" s="523"/>
      <c r="Z21" s="422" t="str">
        <f>IF('Rekapitulácia stavby'!Z17="","",'Rekapitulácia stavby'!Z17)</f>
        <v/>
      </c>
      <c r="AA21" s="419"/>
      <c r="AB21" s="419"/>
      <c r="AC21" s="419"/>
      <c r="AD21" s="538" t="s">
        <v>20</v>
      </c>
      <c r="AE21" s="161" t="str">
        <f>IF('Rekapitulácia stavby'!BI17="","",'Rekapitulácia stavby'!BI17)</f>
        <v/>
      </c>
    </row>
    <row r="22" spans="2:31" s="1" customFormat="1" ht="7.05" customHeight="1" x14ac:dyDescent="0.2">
      <c r="B22" s="24"/>
      <c r="D22" s="521"/>
      <c r="I22" s="521"/>
      <c r="L22" s="24"/>
      <c r="W22" s="158"/>
      <c r="X22" s="419"/>
      <c r="Y22" s="523"/>
      <c r="Z22" s="419"/>
      <c r="AA22" s="419"/>
      <c r="AB22" s="419"/>
      <c r="AC22" s="419"/>
      <c r="AD22" s="523"/>
      <c r="AE22" s="159"/>
    </row>
    <row r="23" spans="2:31" s="1" customFormat="1" ht="12" customHeight="1" x14ac:dyDescent="0.2">
      <c r="B23" s="24"/>
      <c r="D23" s="528" t="s">
        <v>24</v>
      </c>
      <c r="I23" s="528" t="s">
        <v>19</v>
      </c>
      <c r="J23" s="19" t="str">
        <f>IF('Rekapitulácia stavby'!AN19="","",'Rekapitulácia stavby'!AN19)</f>
        <v/>
      </c>
      <c r="L23" s="24"/>
      <c r="W23" s="158"/>
      <c r="X23" s="419"/>
      <c r="Y23" s="538" t="s">
        <v>24</v>
      </c>
      <c r="Z23" s="419"/>
      <c r="AA23" s="419"/>
      <c r="AB23" s="419"/>
      <c r="AC23" s="419"/>
      <c r="AD23" s="538" t="s">
        <v>19</v>
      </c>
      <c r="AE23" s="161" t="str">
        <f>IF('Rekapitulácia stavby'!BI19="","",'Rekapitulácia stavby'!BI19)</f>
        <v/>
      </c>
    </row>
    <row r="24" spans="2:31" s="1" customFormat="1" ht="18" customHeight="1" x14ac:dyDescent="0.2">
      <c r="B24" s="24"/>
      <c r="D24" s="521"/>
      <c r="E24" s="19" t="str">
        <f>IF('Rekapitulácia stavby'!E20="","",'Rekapitulácia stavby'!E20)</f>
        <v xml:space="preserve"> </v>
      </c>
      <c r="I24" s="528" t="s">
        <v>20</v>
      </c>
      <c r="J24" s="19" t="str">
        <f>IF('Rekapitulácia stavby'!AN20="","",'Rekapitulácia stavby'!AN20)</f>
        <v/>
      </c>
      <c r="L24" s="24"/>
      <c r="W24" s="158"/>
      <c r="X24" s="419"/>
      <c r="Y24" s="523"/>
      <c r="Z24" s="422" t="str">
        <f>IF('Rekapitulácia stavby'!Z20="","",'Rekapitulácia stavby'!Z20)</f>
        <v/>
      </c>
      <c r="AA24" s="419"/>
      <c r="AB24" s="419"/>
      <c r="AC24" s="419"/>
      <c r="AD24" s="420" t="s">
        <v>20</v>
      </c>
      <c r="AE24" s="161" t="str">
        <f>IF('Rekapitulácia stavby'!BI20="","",'Rekapitulácia stavby'!BI20)</f>
        <v/>
      </c>
    </row>
    <row r="25" spans="2:31" s="1" customFormat="1" ht="7.05" customHeight="1" x14ac:dyDescent="0.2">
      <c r="B25" s="24"/>
      <c r="D25" s="521"/>
      <c r="I25" s="521"/>
      <c r="L25" s="24"/>
      <c r="W25" s="158"/>
      <c r="X25" s="419"/>
      <c r="Y25" s="523"/>
      <c r="Z25" s="419"/>
      <c r="AA25" s="419"/>
      <c r="AB25" s="419"/>
      <c r="AC25" s="419"/>
      <c r="AD25" s="419"/>
      <c r="AE25" s="159"/>
    </row>
    <row r="26" spans="2:31" s="1" customFormat="1" ht="12" customHeight="1" x14ac:dyDescent="0.2">
      <c r="B26" s="24"/>
      <c r="D26" s="528" t="s">
        <v>25</v>
      </c>
      <c r="L26" s="24"/>
      <c r="W26" s="158"/>
      <c r="X26" s="419"/>
      <c r="Y26" s="538" t="s">
        <v>25</v>
      </c>
      <c r="Z26" s="419"/>
      <c r="AA26" s="419"/>
      <c r="AB26" s="419"/>
      <c r="AC26" s="419"/>
      <c r="AD26" s="419"/>
      <c r="AE26" s="159"/>
    </row>
    <row r="27" spans="2:31" s="7" customFormat="1" ht="16.5" customHeight="1" x14ac:dyDescent="0.2">
      <c r="B27" s="75"/>
      <c r="E27" s="1228" t="s">
        <v>1</v>
      </c>
      <c r="F27" s="1228"/>
      <c r="G27" s="1228"/>
      <c r="H27" s="1228"/>
      <c r="L27" s="75"/>
      <c r="W27" s="163"/>
      <c r="X27" s="164"/>
      <c r="Y27" s="164"/>
      <c r="Z27" s="1248" t="s">
        <v>1</v>
      </c>
      <c r="AA27" s="1248"/>
      <c r="AB27" s="1248"/>
      <c r="AC27" s="1248"/>
      <c r="AD27" s="164"/>
      <c r="AE27" s="165"/>
    </row>
    <row r="28" spans="2:31" s="1" customFormat="1" ht="7.05" customHeight="1" x14ac:dyDescent="0.2">
      <c r="B28" s="24"/>
      <c r="L28" s="24"/>
      <c r="W28" s="158"/>
      <c r="X28" s="419"/>
      <c r="Y28" s="419"/>
      <c r="Z28" s="419"/>
      <c r="AA28" s="419"/>
      <c r="AB28" s="419"/>
      <c r="AC28" s="419"/>
      <c r="AD28" s="419"/>
      <c r="AE28" s="159"/>
    </row>
    <row r="29" spans="2:31" s="1" customFormat="1" ht="7.05" customHeight="1" x14ac:dyDescent="0.2">
      <c r="B29" s="24"/>
      <c r="D29" s="40"/>
      <c r="E29" s="40"/>
      <c r="F29" s="40"/>
      <c r="G29" s="40"/>
      <c r="H29" s="40"/>
      <c r="I29" s="40"/>
      <c r="J29" s="40"/>
      <c r="K29" s="40"/>
      <c r="L29" s="24"/>
      <c r="W29" s="158"/>
      <c r="X29" s="419"/>
      <c r="Y29" s="40"/>
      <c r="Z29" s="40"/>
      <c r="AA29" s="40"/>
      <c r="AB29" s="40"/>
      <c r="AC29" s="40"/>
      <c r="AD29" s="40"/>
      <c r="AE29" s="166"/>
    </row>
    <row r="30" spans="2:31" s="1" customFormat="1" ht="25.2" customHeight="1" x14ac:dyDescent="0.2">
      <c r="B30" s="24"/>
      <c r="D30" s="76" t="s">
        <v>26</v>
      </c>
      <c r="J30" s="53">
        <f>ROUND(J163, 2)</f>
        <v>87023.54</v>
      </c>
      <c r="L30" s="24"/>
      <c r="W30" s="158"/>
      <c r="X30" s="419"/>
      <c r="Y30" s="167" t="s">
        <v>26</v>
      </c>
      <c r="Z30" s="419"/>
      <c r="AA30" s="419"/>
      <c r="AB30" s="419"/>
      <c r="AC30" s="419"/>
      <c r="AD30" s="419"/>
      <c r="AE30" s="168">
        <f>ROUND(AE163, 2)</f>
        <v>92166.18</v>
      </c>
    </row>
    <row r="31" spans="2:31" s="1" customFormat="1" ht="7.05" customHeight="1" x14ac:dyDescent="0.2">
      <c r="B31" s="24"/>
      <c r="D31" s="40"/>
      <c r="E31" s="40"/>
      <c r="F31" s="40"/>
      <c r="G31" s="40"/>
      <c r="H31" s="40"/>
      <c r="I31" s="40"/>
      <c r="J31" s="40"/>
      <c r="K31" s="40"/>
      <c r="L31" s="24"/>
      <c r="W31" s="158"/>
      <c r="X31" s="419"/>
      <c r="Y31" s="40"/>
      <c r="Z31" s="40"/>
      <c r="AA31" s="40"/>
      <c r="AB31" s="40"/>
      <c r="AC31" s="40"/>
      <c r="AD31" s="40"/>
      <c r="AE31" s="166"/>
    </row>
    <row r="32" spans="2:31" s="1" customFormat="1" ht="14.55" customHeight="1" x14ac:dyDescent="0.2">
      <c r="B32" s="24"/>
      <c r="D32" s="521"/>
      <c r="E32" s="521"/>
      <c r="F32" s="534" t="s">
        <v>28</v>
      </c>
      <c r="G32" s="521"/>
      <c r="H32" s="521"/>
      <c r="I32" s="534" t="s">
        <v>27</v>
      </c>
      <c r="J32" s="534" t="s">
        <v>29</v>
      </c>
      <c r="L32" s="24"/>
      <c r="W32" s="158"/>
      <c r="X32" s="419"/>
      <c r="Y32" s="523"/>
      <c r="Z32" s="523"/>
      <c r="AA32" s="542" t="s">
        <v>28</v>
      </c>
      <c r="AB32" s="523"/>
      <c r="AC32" s="523"/>
      <c r="AD32" s="542" t="s">
        <v>27</v>
      </c>
      <c r="AE32" s="543" t="s">
        <v>29</v>
      </c>
    </row>
    <row r="33" spans="2:31" s="1" customFormat="1" ht="14.55" customHeight="1" x14ac:dyDescent="0.2">
      <c r="B33" s="24"/>
      <c r="D33" s="13" t="s">
        <v>30</v>
      </c>
      <c r="E33" s="528" t="s">
        <v>31</v>
      </c>
      <c r="F33" s="398">
        <f>ROUND((SUM(BE163:BE584)),  2)</f>
        <v>0</v>
      </c>
      <c r="G33" s="521"/>
      <c r="H33" s="521"/>
      <c r="I33" s="535">
        <v>0.2</v>
      </c>
      <c r="J33" s="398">
        <f>ROUND(((SUM(BE163:BE584))*I33),  2)</f>
        <v>0</v>
      </c>
      <c r="L33" s="24"/>
      <c r="W33" s="158"/>
      <c r="X33" s="419"/>
      <c r="Y33" s="544" t="s">
        <v>30</v>
      </c>
      <c r="Z33" s="538" t="s">
        <v>31</v>
      </c>
      <c r="AA33" s="545">
        <f>ROUND((SUM(BZ163:BZ584)),  2)</f>
        <v>0</v>
      </c>
      <c r="AB33" s="523"/>
      <c r="AC33" s="523"/>
      <c r="AD33" s="546">
        <v>0.2</v>
      </c>
      <c r="AE33" s="547">
        <f>ROUND(((SUM(BZ163:BZ584))*AD33),  2)</f>
        <v>0</v>
      </c>
    </row>
    <row r="34" spans="2:31" s="1" customFormat="1" ht="14.55" customHeight="1" x14ac:dyDescent="0.2">
      <c r="B34" s="24"/>
      <c r="D34" s="521"/>
      <c r="E34" s="528" t="s">
        <v>32</v>
      </c>
      <c r="F34" s="398">
        <f>J30</f>
        <v>87023.54</v>
      </c>
      <c r="G34" s="521"/>
      <c r="H34" s="521"/>
      <c r="I34" s="535">
        <v>0.2</v>
      </c>
      <c r="J34" s="398">
        <f>F34*0.2</f>
        <v>17404.707999999999</v>
      </c>
      <c r="L34" s="24"/>
      <c r="W34" s="158"/>
      <c r="X34" s="419"/>
      <c r="Y34" s="523"/>
      <c r="Z34" s="538" t="s">
        <v>32</v>
      </c>
      <c r="AA34" s="545">
        <f>AE30</f>
        <v>92166.18</v>
      </c>
      <c r="AB34" s="523"/>
      <c r="AC34" s="523"/>
      <c r="AD34" s="546">
        <v>0.2</v>
      </c>
      <c r="AE34" s="547">
        <f>AE30*0.2</f>
        <v>18433.236000000001</v>
      </c>
    </row>
    <row r="35" spans="2:31" s="1" customFormat="1" ht="14.55" hidden="1" customHeight="1" x14ac:dyDescent="0.2">
      <c r="B35" s="24"/>
      <c r="E35" s="21" t="s">
        <v>33</v>
      </c>
      <c r="F35" s="78">
        <f>ROUND((SUM(BG163:BG584)),  2)</f>
        <v>0</v>
      </c>
      <c r="I35" s="79">
        <v>0.2</v>
      </c>
      <c r="J35" s="78">
        <f>0</f>
        <v>0</v>
      </c>
      <c r="L35" s="24"/>
      <c r="W35" s="158"/>
      <c r="X35" s="419"/>
      <c r="Y35" s="523"/>
      <c r="Z35" s="538" t="s">
        <v>33</v>
      </c>
      <c r="AA35" s="545">
        <f>ROUND((SUM(CB163:CB584)),  2)</f>
        <v>0</v>
      </c>
      <c r="AB35" s="523"/>
      <c r="AC35" s="523"/>
      <c r="AD35" s="546">
        <v>0.2</v>
      </c>
      <c r="AE35" s="547">
        <f>0</f>
        <v>0</v>
      </c>
    </row>
    <row r="36" spans="2:31" s="1" customFormat="1" ht="14.55" hidden="1" customHeight="1" x14ac:dyDescent="0.2">
      <c r="B36" s="24"/>
      <c r="E36" s="21" t="s">
        <v>34</v>
      </c>
      <c r="F36" s="78">
        <f>ROUND((SUM(BH163:BH584)),  2)</f>
        <v>0</v>
      </c>
      <c r="I36" s="79">
        <v>0.2</v>
      </c>
      <c r="J36" s="78">
        <f>0</f>
        <v>0</v>
      </c>
      <c r="L36" s="24"/>
      <c r="W36" s="158"/>
      <c r="X36" s="419"/>
      <c r="Y36" s="523"/>
      <c r="Z36" s="538" t="s">
        <v>34</v>
      </c>
      <c r="AA36" s="545">
        <f>ROUND((SUM(CC163:CC584)),  2)</f>
        <v>0</v>
      </c>
      <c r="AB36" s="523"/>
      <c r="AC36" s="523"/>
      <c r="AD36" s="546">
        <v>0.2</v>
      </c>
      <c r="AE36" s="547">
        <f>0</f>
        <v>0</v>
      </c>
    </row>
    <row r="37" spans="2:31" s="1" customFormat="1" ht="14.55" hidden="1" customHeight="1" x14ac:dyDescent="0.2">
      <c r="B37" s="24"/>
      <c r="E37" s="21" t="s">
        <v>35</v>
      </c>
      <c r="F37" s="78">
        <f>ROUND((SUM(BI163:BI584)),  2)</f>
        <v>0</v>
      </c>
      <c r="I37" s="79">
        <v>0</v>
      </c>
      <c r="J37" s="78">
        <f>0</f>
        <v>0</v>
      </c>
      <c r="L37" s="24"/>
      <c r="W37" s="158"/>
      <c r="X37" s="419"/>
      <c r="Y37" s="523"/>
      <c r="Z37" s="538" t="s">
        <v>35</v>
      </c>
      <c r="AA37" s="545">
        <f>ROUND((SUM(CD163:CD584)),  2)</f>
        <v>0</v>
      </c>
      <c r="AB37" s="523"/>
      <c r="AC37" s="523"/>
      <c r="AD37" s="546">
        <v>0</v>
      </c>
      <c r="AE37" s="547">
        <f>0</f>
        <v>0</v>
      </c>
    </row>
    <row r="38" spans="2:31" s="1" customFormat="1" ht="7.05" customHeight="1" x14ac:dyDescent="0.2">
      <c r="B38" s="24"/>
      <c r="L38" s="24"/>
      <c r="W38" s="158"/>
      <c r="X38" s="419"/>
      <c r="Y38" s="523"/>
      <c r="Z38" s="523"/>
      <c r="AA38" s="523"/>
      <c r="AB38" s="523"/>
      <c r="AC38" s="523"/>
      <c r="AD38" s="523"/>
      <c r="AE38" s="159"/>
    </row>
    <row r="39" spans="2:31" s="1" customFormat="1" ht="25.2" customHeight="1" x14ac:dyDescent="0.2">
      <c r="B39" s="24"/>
      <c r="C39" s="80"/>
      <c r="D39" s="81" t="s">
        <v>36</v>
      </c>
      <c r="E39" s="44"/>
      <c r="F39" s="44"/>
      <c r="G39" s="82" t="s">
        <v>37</v>
      </c>
      <c r="H39" s="83" t="s">
        <v>38</v>
      </c>
      <c r="I39" s="44"/>
      <c r="J39" s="84">
        <f>SUM(J30:J37)</f>
        <v>104428.24799999999</v>
      </c>
      <c r="K39" s="85"/>
      <c r="L39" s="24"/>
      <c r="W39" s="158"/>
      <c r="X39" s="173"/>
      <c r="Y39" s="81" t="s">
        <v>36</v>
      </c>
      <c r="Z39" s="44"/>
      <c r="AA39" s="44"/>
      <c r="AB39" s="82" t="s">
        <v>37</v>
      </c>
      <c r="AC39" s="83" t="s">
        <v>38</v>
      </c>
      <c r="AD39" s="44"/>
      <c r="AE39" s="174">
        <f>SUM(AE30:AE37)</f>
        <v>110599.416</v>
      </c>
    </row>
    <row r="40" spans="2:31" s="1" customFormat="1" ht="14.55" customHeight="1" x14ac:dyDescent="0.2">
      <c r="B40" s="24"/>
      <c r="L40" s="24"/>
      <c r="W40" s="158"/>
      <c r="X40" s="419"/>
      <c r="Y40" s="419"/>
      <c r="Z40" s="419"/>
      <c r="AA40" s="419"/>
      <c r="AB40" s="419"/>
      <c r="AC40" s="419"/>
      <c r="AD40" s="419"/>
      <c r="AE40" s="159"/>
    </row>
    <row r="41" spans="2:31" ht="14.55" customHeight="1" x14ac:dyDescent="0.2">
      <c r="B41" s="16"/>
      <c r="L41" s="16"/>
      <c r="W41" s="155"/>
      <c r="X41" s="156"/>
      <c r="Y41" s="156"/>
      <c r="Z41" s="156"/>
      <c r="AA41" s="156"/>
      <c r="AB41" s="156"/>
      <c r="AC41" s="156"/>
      <c r="AD41" s="156"/>
      <c r="AE41" s="157"/>
    </row>
    <row r="42" spans="2:31" ht="14.55" customHeight="1" x14ac:dyDescent="0.2">
      <c r="B42" s="16"/>
      <c r="L42" s="16"/>
      <c r="W42" s="155"/>
      <c r="X42" s="156"/>
      <c r="Y42" s="156"/>
      <c r="Z42" s="156"/>
      <c r="AA42" s="156"/>
      <c r="AB42" s="156"/>
      <c r="AC42" s="156"/>
      <c r="AD42" s="156"/>
      <c r="AE42" s="157"/>
    </row>
    <row r="43" spans="2:31" ht="14.55" customHeight="1" x14ac:dyDescent="0.2">
      <c r="B43" s="16"/>
      <c r="L43" s="16"/>
      <c r="W43" s="155"/>
      <c r="X43" s="156"/>
      <c r="Y43" s="156"/>
      <c r="Z43" s="156"/>
      <c r="AA43" s="156"/>
      <c r="AB43" s="156"/>
      <c r="AC43" s="156"/>
      <c r="AD43" s="156"/>
      <c r="AE43" s="157"/>
    </row>
    <row r="44" spans="2:31" ht="14.55" customHeight="1" x14ac:dyDescent="0.2">
      <c r="B44" s="16"/>
      <c r="L44" s="16"/>
      <c r="W44" s="155"/>
      <c r="X44" s="156"/>
      <c r="Y44" s="156"/>
      <c r="Z44" s="156"/>
      <c r="AA44" s="156"/>
      <c r="AB44" s="156"/>
      <c r="AC44" s="156"/>
      <c r="AD44" s="156"/>
      <c r="AE44" s="157"/>
    </row>
    <row r="45" spans="2:31" ht="14.55" customHeight="1" x14ac:dyDescent="0.2">
      <c r="B45" s="16"/>
      <c r="L45" s="16"/>
      <c r="W45" s="155"/>
      <c r="X45" s="156"/>
      <c r="Y45" s="156"/>
      <c r="Z45" s="156"/>
      <c r="AA45" s="156"/>
      <c r="AB45" s="156"/>
      <c r="AC45" s="156"/>
      <c r="AD45" s="156"/>
      <c r="AE45" s="157"/>
    </row>
    <row r="46" spans="2:31" ht="14.55" customHeight="1" x14ac:dyDescent="0.2">
      <c r="B46" s="16"/>
      <c r="L46" s="16"/>
      <c r="W46" s="155"/>
      <c r="X46" s="156"/>
      <c r="Y46" s="156"/>
      <c r="Z46" s="156"/>
      <c r="AA46" s="156"/>
      <c r="AB46" s="156"/>
      <c r="AC46" s="156"/>
      <c r="AD46" s="156"/>
      <c r="AE46" s="157"/>
    </row>
    <row r="47" spans="2:31" ht="14.55" customHeight="1" x14ac:dyDescent="0.2">
      <c r="B47" s="16"/>
      <c r="L47" s="16"/>
      <c r="W47" s="155"/>
      <c r="X47" s="156"/>
      <c r="Y47" s="156"/>
      <c r="Z47" s="156"/>
      <c r="AA47" s="156"/>
      <c r="AB47" s="156"/>
      <c r="AC47" s="156"/>
      <c r="AD47" s="156"/>
      <c r="AE47" s="157"/>
    </row>
    <row r="48" spans="2:31" ht="14.55" customHeight="1" x14ac:dyDescent="0.2">
      <c r="B48" s="16"/>
      <c r="L48" s="16"/>
      <c r="W48" s="155"/>
      <c r="X48" s="156"/>
      <c r="Y48" s="156"/>
      <c r="Z48" s="156"/>
      <c r="AA48" s="156"/>
      <c r="AB48" s="156"/>
      <c r="AC48" s="156"/>
      <c r="AD48" s="156"/>
      <c r="AE48" s="157"/>
    </row>
    <row r="49" spans="2:31" ht="14.55" customHeight="1" x14ac:dyDescent="0.2">
      <c r="B49" s="16"/>
      <c r="D49" s="156"/>
      <c r="E49" s="156"/>
      <c r="F49" s="156"/>
      <c r="G49" s="156"/>
      <c r="H49" s="156"/>
      <c r="I49" s="156"/>
      <c r="J49" s="156"/>
      <c r="L49" s="16"/>
      <c r="W49" s="155"/>
      <c r="X49" s="156"/>
      <c r="Y49" s="156"/>
      <c r="Z49" s="156"/>
      <c r="AA49" s="156"/>
      <c r="AB49" s="156"/>
      <c r="AC49" s="156"/>
      <c r="AD49" s="156"/>
      <c r="AE49" s="157"/>
    </row>
    <row r="50" spans="2:31" s="1" customFormat="1" ht="14.55" customHeight="1" x14ac:dyDescent="0.2">
      <c r="B50" s="24"/>
      <c r="D50" s="530"/>
      <c r="E50" s="523"/>
      <c r="F50" s="523"/>
      <c r="G50" s="530"/>
      <c r="H50" s="523"/>
      <c r="I50" s="523"/>
      <c r="J50" s="523"/>
      <c r="K50" s="32"/>
      <c r="L50" s="24"/>
      <c r="W50" s="158"/>
      <c r="X50" s="419"/>
      <c r="Y50" s="530"/>
      <c r="Z50" s="523"/>
      <c r="AA50" s="523"/>
      <c r="AB50" s="530"/>
      <c r="AC50" s="523"/>
      <c r="AD50" s="523"/>
      <c r="AE50" s="159"/>
    </row>
    <row r="51" spans="2:31" x14ac:dyDescent="0.2">
      <c r="B51" s="16"/>
      <c r="D51" s="156"/>
      <c r="E51" s="156"/>
      <c r="F51" s="156"/>
      <c r="G51" s="156"/>
      <c r="H51" s="156"/>
      <c r="I51" s="156"/>
      <c r="J51" s="156"/>
      <c r="L51" s="16"/>
      <c r="W51" s="155"/>
      <c r="X51" s="156"/>
      <c r="Y51" s="156"/>
      <c r="Z51" s="156"/>
      <c r="AA51" s="156"/>
      <c r="AB51" s="156"/>
      <c r="AC51" s="156"/>
      <c r="AD51" s="156"/>
      <c r="AE51" s="157"/>
    </row>
    <row r="52" spans="2:31" x14ac:dyDescent="0.2">
      <c r="B52" s="16"/>
      <c r="D52" s="156"/>
      <c r="E52" s="156"/>
      <c r="F52" s="156"/>
      <c r="G52" s="156"/>
      <c r="H52" s="156"/>
      <c r="I52" s="156"/>
      <c r="J52" s="156"/>
      <c r="L52" s="16"/>
      <c r="W52" s="155"/>
      <c r="X52" s="156"/>
      <c r="Y52" s="156"/>
      <c r="Z52" s="156"/>
      <c r="AA52" s="156"/>
      <c r="AB52" s="156"/>
      <c r="AC52" s="156"/>
      <c r="AD52" s="156"/>
      <c r="AE52" s="157"/>
    </row>
    <row r="53" spans="2:31" x14ac:dyDescent="0.2">
      <c r="B53" s="16"/>
      <c r="D53" s="156"/>
      <c r="E53" s="156"/>
      <c r="F53" s="156"/>
      <c r="G53" s="156"/>
      <c r="H53" s="156"/>
      <c r="I53" s="156"/>
      <c r="J53" s="156"/>
      <c r="L53" s="16"/>
      <c r="W53" s="155"/>
      <c r="X53" s="156"/>
      <c r="Y53" s="156"/>
      <c r="Z53" s="156"/>
      <c r="AA53" s="156"/>
      <c r="AB53" s="156"/>
      <c r="AC53" s="156"/>
      <c r="AD53" s="156"/>
      <c r="AE53" s="157"/>
    </row>
    <row r="54" spans="2:31" x14ac:dyDescent="0.2">
      <c r="B54" s="16"/>
      <c r="D54" s="156"/>
      <c r="E54" s="156"/>
      <c r="F54" s="156"/>
      <c r="G54" s="156"/>
      <c r="H54" s="156"/>
      <c r="I54" s="156"/>
      <c r="J54" s="156"/>
      <c r="L54" s="16"/>
      <c r="W54" s="155"/>
      <c r="X54" s="156"/>
      <c r="Y54" s="156"/>
      <c r="Z54" s="156"/>
      <c r="AA54" s="156"/>
      <c r="AB54" s="156"/>
      <c r="AC54" s="156"/>
      <c r="AD54" s="156"/>
      <c r="AE54" s="157"/>
    </row>
    <row r="55" spans="2:31" x14ac:dyDescent="0.2">
      <c r="B55" s="16"/>
      <c r="D55" s="156"/>
      <c r="E55" s="156"/>
      <c r="F55" s="156"/>
      <c r="G55" s="156"/>
      <c r="H55" s="156"/>
      <c r="I55" s="156"/>
      <c r="J55" s="156"/>
      <c r="L55" s="16"/>
      <c r="W55" s="155"/>
      <c r="X55" s="156"/>
      <c r="Y55" s="156"/>
      <c r="Z55" s="156"/>
      <c r="AA55" s="156"/>
      <c r="AB55" s="156"/>
      <c r="AC55" s="156"/>
      <c r="AD55" s="156"/>
      <c r="AE55" s="157"/>
    </row>
    <row r="56" spans="2:31" x14ac:dyDescent="0.2">
      <c r="B56" s="16"/>
      <c r="D56" s="156"/>
      <c r="E56" s="156"/>
      <c r="F56" s="156"/>
      <c r="G56" s="156"/>
      <c r="H56" s="156"/>
      <c r="I56" s="156"/>
      <c r="J56" s="156"/>
      <c r="L56" s="16"/>
      <c r="W56" s="155"/>
      <c r="X56" s="156"/>
      <c r="Y56" s="156"/>
      <c r="Z56" s="156"/>
      <c r="AA56" s="156"/>
      <c r="AB56" s="156"/>
      <c r="AC56" s="156"/>
      <c r="AD56" s="156"/>
      <c r="AE56" s="157"/>
    </row>
    <row r="57" spans="2:31" x14ac:dyDescent="0.2">
      <c r="B57" s="16"/>
      <c r="D57" s="156"/>
      <c r="E57" s="156"/>
      <c r="F57" s="156"/>
      <c r="G57" s="156"/>
      <c r="H57" s="156"/>
      <c r="I57" s="156"/>
      <c r="J57" s="156"/>
      <c r="L57" s="16"/>
      <c r="W57" s="155"/>
      <c r="X57" s="156"/>
      <c r="Y57" s="156"/>
      <c r="Z57" s="156"/>
      <c r="AA57" s="156"/>
      <c r="AB57" s="156"/>
      <c r="AC57" s="156"/>
      <c r="AD57" s="156"/>
      <c r="AE57" s="157"/>
    </row>
    <row r="58" spans="2:31" x14ac:dyDescent="0.2">
      <c r="B58" s="16"/>
      <c r="D58" s="156"/>
      <c r="E58" s="156"/>
      <c r="F58" s="156"/>
      <c r="G58" s="156"/>
      <c r="H58" s="156"/>
      <c r="I58" s="156"/>
      <c r="J58" s="156"/>
      <c r="L58" s="16"/>
      <c r="W58" s="155"/>
      <c r="X58" s="156"/>
      <c r="Y58" s="156"/>
      <c r="Z58" s="156"/>
      <c r="AA58" s="156"/>
      <c r="AB58" s="156"/>
      <c r="AC58" s="156"/>
      <c r="AD58" s="156"/>
      <c r="AE58" s="157"/>
    </row>
    <row r="59" spans="2:31" x14ac:dyDescent="0.2">
      <c r="B59" s="16"/>
      <c r="D59" s="156"/>
      <c r="E59" s="156"/>
      <c r="F59" s="156"/>
      <c r="G59" s="156"/>
      <c r="H59" s="156"/>
      <c r="I59" s="156"/>
      <c r="J59" s="156"/>
      <c r="L59" s="16"/>
      <c r="W59" s="155"/>
      <c r="X59" s="156"/>
      <c r="Y59" s="156"/>
      <c r="Z59" s="156"/>
      <c r="AA59" s="156"/>
      <c r="AB59" s="156"/>
      <c r="AC59" s="156"/>
      <c r="AD59" s="156"/>
      <c r="AE59" s="157"/>
    </row>
    <row r="60" spans="2:31" x14ac:dyDescent="0.2">
      <c r="B60" s="16"/>
      <c r="D60" s="156"/>
      <c r="E60" s="156"/>
      <c r="F60" s="156"/>
      <c r="G60" s="156"/>
      <c r="H60" s="156"/>
      <c r="I60" s="156"/>
      <c r="J60" s="156"/>
      <c r="L60" s="16"/>
      <c r="W60" s="155"/>
      <c r="X60" s="156"/>
      <c r="Y60" s="156"/>
      <c r="Z60" s="156"/>
      <c r="AA60" s="156"/>
      <c r="AB60" s="156"/>
      <c r="AC60" s="156"/>
      <c r="AD60" s="156"/>
      <c r="AE60" s="157"/>
    </row>
    <row r="61" spans="2:31" s="1" customFormat="1" ht="13.2" x14ac:dyDescent="0.2">
      <c r="B61" s="24"/>
      <c r="D61" s="522"/>
      <c r="E61" s="523"/>
      <c r="F61" s="536"/>
      <c r="G61" s="522"/>
      <c r="H61" s="523"/>
      <c r="I61" s="523"/>
      <c r="J61" s="169"/>
      <c r="K61" s="26"/>
      <c r="L61" s="24"/>
      <c r="W61" s="158"/>
      <c r="X61" s="419"/>
      <c r="Y61" s="522"/>
      <c r="Z61" s="523"/>
      <c r="AA61" s="536"/>
      <c r="AB61" s="522"/>
      <c r="AC61" s="523"/>
      <c r="AD61" s="523"/>
      <c r="AE61" s="577"/>
    </row>
    <row r="62" spans="2:31" x14ac:dyDescent="0.2">
      <c r="B62" s="16"/>
      <c r="D62" s="156"/>
      <c r="E62" s="156"/>
      <c r="F62" s="156"/>
      <c r="G62" s="156"/>
      <c r="H62" s="156"/>
      <c r="I62" s="156"/>
      <c r="J62" s="156"/>
      <c r="L62" s="16"/>
      <c r="W62" s="155"/>
      <c r="X62" s="156"/>
      <c r="Y62" s="156"/>
      <c r="Z62" s="156"/>
      <c r="AA62" s="156"/>
      <c r="AB62" s="156"/>
      <c r="AC62" s="156"/>
      <c r="AD62" s="156"/>
      <c r="AE62" s="157"/>
    </row>
    <row r="63" spans="2:31" x14ac:dyDescent="0.2">
      <c r="B63" s="16"/>
      <c r="D63" s="156"/>
      <c r="E63" s="156"/>
      <c r="F63" s="156"/>
      <c r="G63" s="156"/>
      <c r="H63" s="156"/>
      <c r="I63" s="156"/>
      <c r="J63" s="156"/>
      <c r="L63" s="16"/>
      <c r="W63" s="155"/>
      <c r="X63" s="156"/>
      <c r="Y63" s="156"/>
      <c r="Z63" s="156"/>
      <c r="AA63" s="156"/>
      <c r="AB63" s="156"/>
      <c r="AC63" s="156"/>
      <c r="AD63" s="156"/>
      <c r="AE63" s="157"/>
    </row>
    <row r="64" spans="2:31" x14ac:dyDescent="0.2">
      <c r="B64" s="16"/>
      <c r="D64" s="156"/>
      <c r="E64" s="156"/>
      <c r="F64" s="156"/>
      <c r="G64" s="156"/>
      <c r="H64" s="156"/>
      <c r="I64" s="156"/>
      <c r="J64" s="156"/>
      <c r="L64" s="16"/>
      <c r="W64" s="155"/>
      <c r="X64" s="156"/>
      <c r="Y64" s="156"/>
      <c r="Z64" s="156"/>
      <c r="AA64" s="156"/>
      <c r="AB64" s="156"/>
      <c r="AC64" s="156"/>
      <c r="AD64" s="156"/>
      <c r="AE64" s="157"/>
    </row>
    <row r="65" spans="2:31" s="1" customFormat="1" ht="13.2" x14ac:dyDescent="0.2">
      <c r="B65" s="24"/>
      <c r="D65" s="530"/>
      <c r="E65" s="523"/>
      <c r="F65" s="523"/>
      <c r="G65" s="530"/>
      <c r="H65" s="523"/>
      <c r="I65" s="523"/>
      <c r="J65" s="523"/>
      <c r="K65" s="32"/>
      <c r="L65" s="24"/>
      <c r="W65" s="158"/>
      <c r="X65" s="419"/>
      <c r="Y65" s="530"/>
      <c r="Z65" s="523"/>
      <c r="AA65" s="523"/>
      <c r="AB65" s="530"/>
      <c r="AC65" s="523"/>
      <c r="AD65" s="523"/>
      <c r="AE65" s="159"/>
    </row>
    <row r="66" spans="2:31" x14ac:dyDescent="0.2">
      <c r="B66" s="16"/>
      <c r="D66" s="156"/>
      <c r="E66" s="156"/>
      <c r="F66" s="156"/>
      <c r="G66" s="156"/>
      <c r="H66" s="156"/>
      <c r="I66" s="156"/>
      <c r="J66" s="156"/>
      <c r="L66" s="16"/>
      <c r="W66" s="155"/>
      <c r="X66" s="156"/>
      <c r="Y66" s="156"/>
      <c r="Z66" s="156"/>
      <c r="AA66" s="156"/>
      <c r="AB66" s="156"/>
      <c r="AC66" s="156"/>
      <c r="AD66" s="156"/>
      <c r="AE66" s="157"/>
    </row>
    <row r="67" spans="2:31" x14ac:dyDescent="0.2">
      <c r="B67" s="16"/>
      <c r="D67" s="156"/>
      <c r="E67" s="156"/>
      <c r="F67" s="156"/>
      <c r="G67" s="156"/>
      <c r="H67" s="156"/>
      <c r="I67" s="156"/>
      <c r="J67" s="156"/>
      <c r="L67" s="16"/>
      <c r="W67" s="155"/>
      <c r="X67" s="156"/>
      <c r="Y67" s="156"/>
      <c r="Z67" s="156"/>
      <c r="AA67" s="156"/>
      <c r="AB67" s="156"/>
      <c r="AC67" s="156"/>
      <c r="AD67" s="156"/>
      <c r="AE67" s="157"/>
    </row>
    <row r="68" spans="2:31" x14ac:dyDescent="0.2">
      <c r="B68" s="16"/>
      <c r="D68" s="156"/>
      <c r="E68" s="156"/>
      <c r="F68" s="156"/>
      <c r="G68" s="156"/>
      <c r="H68" s="156"/>
      <c r="I68" s="156"/>
      <c r="J68" s="156"/>
      <c r="L68" s="16"/>
      <c r="W68" s="155"/>
      <c r="X68" s="156"/>
      <c r="Y68" s="156"/>
      <c r="Z68" s="156"/>
      <c r="AA68" s="156"/>
      <c r="AB68" s="156"/>
      <c r="AC68" s="156"/>
      <c r="AD68" s="156"/>
      <c r="AE68" s="157"/>
    </row>
    <row r="69" spans="2:31" x14ac:dyDescent="0.2">
      <c r="B69" s="16"/>
      <c r="D69" s="156"/>
      <c r="E69" s="156"/>
      <c r="F69" s="156"/>
      <c r="G69" s="156"/>
      <c r="H69" s="156"/>
      <c r="I69" s="156"/>
      <c r="J69" s="156"/>
      <c r="L69" s="16"/>
      <c r="W69" s="155"/>
      <c r="X69" s="156"/>
      <c r="Y69" s="156"/>
      <c r="Z69" s="156"/>
      <c r="AA69" s="156"/>
      <c r="AB69" s="156"/>
      <c r="AC69" s="156"/>
      <c r="AD69" s="156"/>
      <c r="AE69" s="157"/>
    </row>
    <row r="70" spans="2:31" x14ac:dyDescent="0.2">
      <c r="B70" s="16"/>
      <c r="D70" s="156"/>
      <c r="E70" s="156"/>
      <c r="F70" s="156"/>
      <c r="G70" s="156"/>
      <c r="H70" s="156"/>
      <c r="I70" s="156"/>
      <c r="J70" s="156"/>
      <c r="L70" s="16"/>
      <c r="W70" s="155"/>
      <c r="X70" s="156"/>
      <c r="Y70" s="156"/>
      <c r="Z70" s="156"/>
      <c r="AA70" s="156"/>
      <c r="AB70" s="156"/>
      <c r="AC70" s="156"/>
      <c r="AD70" s="156"/>
      <c r="AE70" s="157"/>
    </row>
    <row r="71" spans="2:31" x14ac:dyDescent="0.2">
      <c r="B71" s="16"/>
      <c r="D71" s="156"/>
      <c r="E71" s="156"/>
      <c r="F71" s="156"/>
      <c r="G71" s="156"/>
      <c r="H71" s="156"/>
      <c r="I71" s="156"/>
      <c r="J71" s="156"/>
      <c r="L71" s="16"/>
      <c r="W71" s="155"/>
      <c r="X71" s="156"/>
      <c r="Y71" s="156"/>
      <c r="Z71" s="156"/>
      <c r="AA71" s="156"/>
      <c r="AB71" s="156"/>
      <c r="AC71" s="156"/>
      <c r="AD71" s="156"/>
      <c r="AE71" s="157"/>
    </row>
    <row r="72" spans="2:31" x14ac:dyDescent="0.2">
      <c r="B72" s="16"/>
      <c r="D72" s="156"/>
      <c r="E72" s="156"/>
      <c r="F72" s="156"/>
      <c r="G72" s="156"/>
      <c r="H72" s="156"/>
      <c r="I72" s="156"/>
      <c r="J72" s="156"/>
      <c r="L72" s="16"/>
      <c r="W72" s="155"/>
      <c r="X72" s="156"/>
      <c r="Y72" s="156"/>
      <c r="Z72" s="156"/>
      <c r="AA72" s="156"/>
      <c r="AB72" s="156"/>
      <c r="AC72" s="156"/>
      <c r="AD72" s="156"/>
      <c r="AE72" s="157"/>
    </row>
    <row r="73" spans="2:31" x14ac:dyDescent="0.2">
      <c r="B73" s="16"/>
      <c r="D73" s="156"/>
      <c r="E73" s="156"/>
      <c r="F73" s="156"/>
      <c r="G73" s="156"/>
      <c r="H73" s="156"/>
      <c r="I73" s="156"/>
      <c r="J73" s="156"/>
      <c r="L73" s="16"/>
      <c r="W73" s="155"/>
      <c r="X73" s="156"/>
      <c r="Y73" s="156"/>
      <c r="Z73" s="156"/>
      <c r="AA73" s="156"/>
      <c r="AB73" s="156"/>
      <c r="AC73" s="156"/>
      <c r="AD73" s="156"/>
      <c r="AE73" s="157"/>
    </row>
    <row r="74" spans="2:31" x14ac:dyDescent="0.2">
      <c r="B74" s="16"/>
      <c r="D74" s="156"/>
      <c r="E74" s="156"/>
      <c r="F74" s="156"/>
      <c r="G74" s="156"/>
      <c r="H74" s="156"/>
      <c r="I74" s="156"/>
      <c r="J74" s="156"/>
      <c r="L74" s="16"/>
      <c r="W74" s="155"/>
      <c r="X74" s="156"/>
      <c r="Y74" s="156"/>
      <c r="Z74" s="156"/>
      <c r="AA74" s="156"/>
      <c r="AB74" s="156"/>
      <c r="AC74" s="156"/>
      <c r="AD74" s="156"/>
      <c r="AE74" s="157"/>
    </row>
    <row r="75" spans="2:31" x14ac:dyDescent="0.2">
      <c r="B75" s="16"/>
      <c r="D75" s="156"/>
      <c r="E75" s="156"/>
      <c r="F75" s="156"/>
      <c r="G75" s="156"/>
      <c r="H75" s="156"/>
      <c r="I75" s="156"/>
      <c r="J75" s="156"/>
      <c r="L75" s="16"/>
      <c r="W75" s="155"/>
      <c r="X75" s="156"/>
      <c r="Y75" s="156"/>
      <c r="Z75" s="156"/>
      <c r="AA75" s="156"/>
      <c r="AB75" s="156"/>
      <c r="AC75" s="156"/>
      <c r="AD75" s="156"/>
      <c r="AE75" s="157"/>
    </row>
    <row r="76" spans="2:31" s="1" customFormat="1" ht="13.2" x14ac:dyDescent="0.2">
      <c r="B76" s="24"/>
      <c r="D76" s="522"/>
      <c r="E76" s="523"/>
      <c r="F76" s="536"/>
      <c r="G76" s="522"/>
      <c r="H76" s="523"/>
      <c r="I76" s="523"/>
      <c r="J76" s="169"/>
      <c r="K76" s="26"/>
      <c r="L76" s="24"/>
      <c r="W76" s="158"/>
      <c r="X76" s="419"/>
      <c r="Y76" s="522"/>
      <c r="Z76" s="523"/>
      <c r="AA76" s="536"/>
      <c r="AB76" s="522"/>
      <c r="AC76" s="523"/>
      <c r="AD76" s="523"/>
      <c r="AE76" s="577"/>
    </row>
    <row r="77" spans="2:31" s="1" customFormat="1" ht="14.55" customHeight="1" x14ac:dyDescent="0.2">
      <c r="B77" s="33"/>
      <c r="C77" s="34"/>
      <c r="D77" s="34"/>
      <c r="E77" s="34"/>
      <c r="F77" s="34"/>
      <c r="G77" s="34"/>
      <c r="H77" s="34"/>
      <c r="I77" s="34"/>
      <c r="J77" s="34"/>
      <c r="K77" s="34"/>
      <c r="L77" s="24"/>
      <c r="W77" s="175"/>
      <c r="X77" s="176"/>
      <c r="Y77" s="176"/>
      <c r="Z77" s="176"/>
      <c r="AA77" s="176"/>
      <c r="AB77" s="176"/>
      <c r="AC77" s="176"/>
      <c r="AD77" s="176"/>
      <c r="AE77" s="177"/>
    </row>
    <row r="81" spans="2:47" s="1" customFormat="1" ht="7.05" customHeight="1" x14ac:dyDescent="0.2">
      <c r="B81" s="35"/>
      <c r="C81" s="36"/>
      <c r="D81" s="36"/>
      <c r="E81" s="36"/>
      <c r="F81" s="36"/>
      <c r="G81" s="36"/>
      <c r="H81" s="36"/>
      <c r="I81" s="36"/>
      <c r="J81" s="36"/>
      <c r="K81" s="36"/>
      <c r="L81" s="24"/>
      <c r="W81" s="178"/>
      <c r="X81" s="179"/>
      <c r="Y81" s="179"/>
      <c r="Z81" s="179"/>
      <c r="AA81" s="179"/>
      <c r="AB81" s="179"/>
      <c r="AC81" s="179"/>
      <c r="AD81" s="179"/>
      <c r="AE81" s="180"/>
    </row>
    <row r="82" spans="2:47" s="1" customFormat="1" ht="25.05" customHeight="1" x14ac:dyDescent="0.2">
      <c r="B82" s="24"/>
      <c r="C82" s="1165" t="s">
        <v>188</v>
      </c>
      <c r="D82" s="1165"/>
      <c r="E82" s="1165"/>
      <c r="F82" s="1165"/>
      <c r="G82" s="1165"/>
      <c r="H82" s="1165"/>
      <c r="I82" s="1165"/>
      <c r="J82" s="1165"/>
      <c r="L82" s="24"/>
      <c r="W82" s="158"/>
      <c r="X82" s="1237" t="s">
        <v>188</v>
      </c>
      <c r="Y82" s="1237"/>
      <c r="Z82" s="1237"/>
      <c r="AA82" s="1237"/>
      <c r="AB82" s="1237"/>
      <c r="AC82" s="1237"/>
      <c r="AD82" s="1237"/>
      <c r="AE82" s="1238"/>
    </row>
    <row r="83" spans="2:47" s="1" customFormat="1" ht="7.05" customHeight="1" x14ac:dyDescent="0.2">
      <c r="B83" s="24"/>
      <c r="L83" s="24"/>
      <c r="W83" s="158"/>
      <c r="X83" s="557"/>
      <c r="Y83" s="557"/>
      <c r="Z83" s="557"/>
      <c r="AA83" s="557"/>
      <c r="AB83" s="557"/>
      <c r="AC83" s="557"/>
      <c r="AD83" s="557"/>
      <c r="AE83" s="159"/>
    </row>
    <row r="84" spans="2:47" s="1" customFormat="1" ht="12" customHeight="1" x14ac:dyDescent="0.2">
      <c r="B84" s="24"/>
      <c r="C84" s="528" t="s">
        <v>12</v>
      </c>
      <c r="E84" s="1242" t="s">
        <v>6177</v>
      </c>
      <c r="F84" s="1242"/>
      <c r="G84" s="1242"/>
      <c r="H84" s="1242"/>
      <c r="I84" s="1242"/>
      <c r="J84" s="1242"/>
      <c r="L84" s="24"/>
      <c r="W84" s="158"/>
      <c r="X84" s="538" t="s">
        <v>12</v>
      </c>
      <c r="Y84" s="557"/>
      <c r="Z84" s="1163" t="s">
        <v>6177</v>
      </c>
      <c r="AA84" s="1163"/>
      <c r="AB84" s="1163"/>
      <c r="AC84" s="1163"/>
      <c r="AD84" s="1163"/>
      <c r="AE84" s="1241"/>
    </row>
    <row r="85" spans="2:47" s="1" customFormat="1" ht="27" customHeight="1" x14ac:dyDescent="0.2">
      <c r="B85" s="24"/>
      <c r="C85" s="521"/>
      <c r="E85" s="1243"/>
      <c r="F85" s="1244"/>
      <c r="G85" s="1244"/>
      <c r="H85" s="1244"/>
      <c r="L85" s="24"/>
      <c r="W85" s="158"/>
      <c r="X85" s="557"/>
      <c r="Y85" s="557"/>
      <c r="Z85" s="1249"/>
      <c r="AA85" s="1250"/>
      <c r="AB85" s="1250"/>
      <c r="AC85" s="1250"/>
      <c r="AD85" s="557"/>
      <c r="AE85" s="159"/>
    </row>
    <row r="86" spans="2:47" s="1" customFormat="1" ht="12" customHeight="1" x14ac:dyDescent="0.2">
      <c r="B86" s="24"/>
      <c r="C86" s="528" t="s">
        <v>186</v>
      </c>
      <c r="E86" s="532" t="s">
        <v>1822</v>
      </c>
      <c r="L86" s="24"/>
      <c r="W86" s="158"/>
      <c r="X86" s="538" t="s">
        <v>186</v>
      </c>
      <c r="Y86" s="557"/>
      <c r="Z86" s="555" t="s">
        <v>1822</v>
      </c>
      <c r="AA86" s="557"/>
      <c r="AB86" s="557"/>
      <c r="AC86" s="557"/>
      <c r="AD86" s="557"/>
      <c r="AE86" s="159"/>
    </row>
    <row r="87" spans="2:47" s="1" customFormat="1" ht="16.5" customHeight="1" x14ac:dyDescent="0.2">
      <c r="B87" s="24"/>
      <c r="C87" s="521"/>
      <c r="E87" s="1251"/>
      <c r="F87" s="1252"/>
      <c r="G87" s="1252"/>
      <c r="H87" s="1252"/>
      <c r="L87" s="24"/>
      <c r="W87" s="158"/>
      <c r="X87" s="557"/>
      <c r="Y87" s="557"/>
      <c r="Z87" s="1245"/>
      <c r="AA87" s="1246"/>
      <c r="AB87" s="1246"/>
      <c r="AC87" s="1246"/>
      <c r="AD87" s="557"/>
      <c r="AE87" s="159"/>
    </row>
    <row r="88" spans="2:47" s="1" customFormat="1" ht="7.05" customHeight="1" x14ac:dyDescent="0.2">
      <c r="B88" s="24"/>
      <c r="C88" s="521"/>
      <c r="L88" s="24"/>
      <c r="W88" s="158"/>
      <c r="X88" s="557"/>
      <c r="Y88" s="557"/>
      <c r="Z88" s="557"/>
      <c r="AA88" s="557"/>
      <c r="AB88" s="557"/>
      <c r="AC88" s="557"/>
      <c r="AD88" s="557"/>
      <c r="AE88" s="159"/>
    </row>
    <row r="89" spans="2:47" s="1" customFormat="1" ht="12" customHeight="1" x14ac:dyDescent="0.2">
      <c r="B89" s="24"/>
      <c r="C89" s="528" t="s">
        <v>15</v>
      </c>
      <c r="F89" s="19" t="str">
        <f>F12</f>
        <v>Kuzmányho nábrežie 28, 960 01 Zvolen</v>
      </c>
      <c r="I89" s="528" t="s">
        <v>17</v>
      </c>
      <c r="J89" s="39" t="str">
        <f>IF(J12="","",J12)</f>
        <v/>
      </c>
      <c r="L89" s="24"/>
      <c r="W89" s="158"/>
      <c r="X89" s="538" t="s">
        <v>15</v>
      </c>
      <c r="Y89" s="557"/>
      <c r="Z89" s="557"/>
      <c r="AA89" s="558" t="str">
        <f>AA12</f>
        <v>Kuzmányho nábrežie 28, 960 01 Zvolen</v>
      </c>
      <c r="AB89" s="557"/>
      <c r="AC89" s="557"/>
      <c r="AD89" s="538" t="s">
        <v>17</v>
      </c>
      <c r="AE89" s="162" t="str">
        <f>IF(AE12="","",AE12)</f>
        <v/>
      </c>
    </row>
    <row r="90" spans="2:47" s="1" customFormat="1" ht="7.05" customHeight="1" x14ac:dyDescent="0.2">
      <c r="B90" s="24"/>
      <c r="C90" s="521"/>
      <c r="I90" s="521"/>
      <c r="L90" s="24"/>
      <c r="W90" s="158"/>
      <c r="X90" s="557"/>
      <c r="Y90" s="557"/>
      <c r="Z90" s="557"/>
      <c r="AA90" s="557"/>
      <c r="AB90" s="557"/>
      <c r="AC90" s="557"/>
      <c r="AD90" s="557"/>
      <c r="AE90" s="159"/>
    </row>
    <row r="91" spans="2:47" s="1" customFormat="1" ht="15.3" customHeight="1" x14ac:dyDescent="0.2">
      <c r="B91" s="24"/>
      <c r="C91" s="528" t="s">
        <v>18</v>
      </c>
      <c r="F91" s="529" t="s">
        <v>6175</v>
      </c>
      <c r="I91" s="528" t="s">
        <v>22</v>
      </c>
      <c r="J91" s="22" t="str">
        <f>E21</f>
        <v xml:space="preserve"> </v>
      </c>
      <c r="L91" s="24"/>
      <c r="W91" s="158"/>
      <c r="X91" s="538" t="s">
        <v>18</v>
      </c>
      <c r="Y91" s="557"/>
      <c r="Z91" s="557"/>
      <c r="AA91" s="576" t="s">
        <v>6175</v>
      </c>
      <c r="AB91" s="557"/>
      <c r="AC91" s="557"/>
      <c r="AD91" s="538" t="s">
        <v>22</v>
      </c>
      <c r="AE91" s="181" t="str">
        <f>Z21</f>
        <v/>
      </c>
    </row>
    <row r="92" spans="2:47" s="1" customFormat="1" ht="15.3" customHeight="1" x14ac:dyDescent="0.2">
      <c r="B92" s="24"/>
      <c r="C92" s="528" t="s">
        <v>21</v>
      </c>
      <c r="F92" s="529" t="s">
        <v>5202</v>
      </c>
      <c r="I92" s="528" t="s">
        <v>24</v>
      </c>
      <c r="J92" s="22" t="str">
        <f>E24</f>
        <v xml:space="preserve"> </v>
      </c>
      <c r="L92" s="24"/>
      <c r="W92" s="158"/>
      <c r="X92" s="538" t="s">
        <v>21</v>
      </c>
      <c r="Y92" s="557"/>
      <c r="Z92" s="557"/>
      <c r="AA92" s="576" t="s">
        <v>5202</v>
      </c>
      <c r="AB92" s="557"/>
      <c r="AC92" s="557"/>
      <c r="AD92" s="538" t="s">
        <v>24</v>
      </c>
      <c r="AE92" s="181" t="str">
        <f>Z24</f>
        <v/>
      </c>
    </row>
    <row r="93" spans="2:47" s="1" customFormat="1" ht="10.199999999999999" customHeight="1" x14ac:dyDescent="0.2">
      <c r="B93" s="24"/>
      <c r="L93" s="24"/>
      <c r="W93" s="158"/>
      <c r="X93" s="557"/>
      <c r="Y93" s="557"/>
      <c r="Z93" s="557"/>
      <c r="AA93" s="557"/>
      <c r="AB93" s="557"/>
      <c r="AC93" s="557"/>
      <c r="AD93" s="557"/>
      <c r="AE93" s="159"/>
    </row>
    <row r="94" spans="2:47" s="1" customFormat="1" ht="29.25" customHeight="1" x14ac:dyDescent="0.2">
      <c r="B94" s="24"/>
      <c r="C94" s="86" t="s">
        <v>189</v>
      </c>
      <c r="D94" s="80"/>
      <c r="E94" s="80"/>
      <c r="F94" s="80"/>
      <c r="G94" s="80"/>
      <c r="H94" s="80"/>
      <c r="I94" s="80"/>
      <c r="J94" s="87" t="s">
        <v>190</v>
      </c>
      <c r="K94" s="80"/>
      <c r="L94" s="24"/>
      <c r="W94" s="158"/>
      <c r="X94" s="182" t="s">
        <v>189</v>
      </c>
      <c r="Y94" s="173"/>
      <c r="Z94" s="173"/>
      <c r="AA94" s="173"/>
      <c r="AB94" s="173"/>
      <c r="AC94" s="173"/>
      <c r="AD94" s="173"/>
      <c r="AE94" s="183" t="s">
        <v>190</v>
      </c>
    </row>
    <row r="95" spans="2:47" s="1" customFormat="1" ht="10.199999999999999" customHeight="1" x14ac:dyDescent="0.2">
      <c r="B95" s="24"/>
      <c r="L95" s="24"/>
      <c r="W95" s="158"/>
      <c r="X95" s="419"/>
      <c r="Y95" s="419"/>
      <c r="Z95" s="419"/>
      <c r="AA95" s="419"/>
      <c r="AB95" s="419"/>
      <c r="AC95" s="419"/>
      <c r="AD95" s="419"/>
      <c r="AE95" s="159"/>
    </row>
    <row r="96" spans="2:47" s="1" customFormat="1" ht="22.95" customHeight="1" x14ac:dyDescent="0.2">
      <c r="B96" s="24"/>
      <c r="C96" s="88" t="s">
        <v>191</v>
      </c>
      <c r="J96" s="53">
        <f>J163</f>
        <v>87023.540000000008</v>
      </c>
      <c r="L96" s="24"/>
      <c r="W96" s="158"/>
      <c r="X96" s="184" t="s">
        <v>191</v>
      </c>
      <c r="Y96" s="419"/>
      <c r="Z96" s="419"/>
      <c r="AA96" s="419"/>
      <c r="AB96" s="419"/>
      <c r="AC96" s="419"/>
      <c r="AD96" s="419"/>
      <c r="AE96" s="1155">
        <f>AE163</f>
        <v>92166.18</v>
      </c>
      <c r="AG96" s="1119"/>
      <c r="AU96" s="13" t="s">
        <v>192</v>
      </c>
    </row>
    <row r="97" spans="2:33" s="8" customFormat="1" ht="25.05" customHeight="1" x14ac:dyDescent="0.2">
      <c r="B97" s="89"/>
      <c r="D97" s="90" t="s">
        <v>1823</v>
      </c>
      <c r="E97" s="91"/>
      <c r="F97" s="91"/>
      <c r="G97" s="91"/>
      <c r="H97" s="91"/>
      <c r="I97" s="91"/>
      <c r="J97" s="92">
        <f>J164</f>
        <v>9975.52</v>
      </c>
      <c r="L97" s="89"/>
      <c r="W97" s="185"/>
      <c r="X97" s="186"/>
      <c r="Y97" s="90" t="s">
        <v>1823</v>
      </c>
      <c r="Z97" s="91"/>
      <c r="AA97" s="91"/>
      <c r="AB97" s="91"/>
      <c r="AC97" s="91"/>
      <c r="AD97" s="91"/>
      <c r="AE97" s="1154">
        <f>AE164</f>
        <v>10026.6</v>
      </c>
      <c r="AG97" s="328"/>
    </row>
    <row r="98" spans="2:33" s="9" customFormat="1" ht="19.95" customHeight="1" x14ac:dyDescent="0.2">
      <c r="B98" s="93"/>
      <c r="D98" s="94" t="s">
        <v>1824</v>
      </c>
      <c r="E98" s="95"/>
      <c r="F98" s="95"/>
      <c r="G98" s="95"/>
      <c r="H98" s="95"/>
      <c r="I98" s="95"/>
      <c r="J98" s="96">
        <f>J169</f>
        <v>250.91000000000003</v>
      </c>
      <c r="L98" s="93"/>
      <c r="W98" s="188"/>
      <c r="X98" s="189"/>
      <c r="Y98" s="94" t="s">
        <v>1824</v>
      </c>
      <c r="Z98" s="95"/>
      <c r="AA98" s="95"/>
      <c r="AB98" s="95"/>
      <c r="AC98" s="95"/>
      <c r="AD98" s="95"/>
      <c r="AE98" s="1156">
        <f>AE169</f>
        <v>250.91000000000003</v>
      </c>
    </row>
    <row r="99" spans="2:33" s="9" customFormat="1" ht="19.95" customHeight="1" x14ac:dyDescent="0.2">
      <c r="B99" s="93"/>
      <c r="D99" s="94" t="s">
        <v>1825</v>
      </c>
      <c r="E99" s="95"/>
      <c r="F99" s="95"/>
      <c r="G99" s="95"/>
      <c r="H99" s="95"/>
      <c r="I99" s="95"/>
      <c r="J99" s="96">
        <f>J175</f>
        <v>164.53</v>
      </c>
      <c r="L99" s="93"/>
      <c r="W99" s="188"/>
      <c r="X99" s="189"/>
      <c r="Y99" s="94" t="s">
        <v>1825</v>
      </c>
      <c r="Z99" s="95"/>
      <c r="AA99" s="95"/>
      <c r="AB99" s="95"/>
      <c r="AC99" s="95"/>
      <c r="AD99" s="95"/>
      <c r="AE99" s="1156">
        <f>AE175</f>
        <v>164.53</v>
      </c>
    </row>
    <row r="100" spans="2:33" s="9" customFormat="1" ht="19.95" customHeight="1" x14ac:dyDescent="0.2">
      <c r="B100" s="93"/>
      <c r="D100" s="94" t="s">
        <v>1826</v>
      </c>
      <c r="E100" s="95"/>
      <c r="F100" s="95"/>
      <c r="G100" s="95"/>
      <c r="H100" s="95"/>
      <c r="I100" s="95"/>
      <c r="J100" s="96">
        <f>J179</f>
        <v>738.52</v>
      </c>
      <c r="L100" s="93"/>
      <c r="W100" s="188"/>
      <c r="X100" s="189"/>
      <c r="Y100" s="94" t="s">
        <v>1826</v>
      </c>
      <c r="Z100" s="95"/>
      <c r="AA100" s="95"/>
      <c r="AB100" s="95"/>
      <c r="AC100" s="95"/>
      <c r="AD100" s="95"/>
      <c r="AE100" s="1156">
        <f>AE179</f>
        <v>738.52</v>
      </c>
    </row>
    <row r="101" spans="2:33" s="9" customFormat="1" ht="19.95" customHeight="1" x14ac:dyDescent="0.2">
      <c r="B101" s="93"/>
      <c r="D101" s="94" t="s">
        <v>1827</v>
      </c>
      <c r="E101" s="95"/>
      <c r="F101" s="95"/>
      <c r="G101" s="95"/>
      <c r="H101" s="95"/>
      <c r="I101" s="95"/>
      <c r="J101" s="96">
        <f>J190</f>
        <v>820.78</v>
      </c>
      <c r="L101" s="93"/>
      <c r="W101" s="188"/>
      <c r="X101" s="189"/>
      <c r="Y101" s="94" t="s">
        <v>1827</v>
      </c>
      <c r="Z101" s="95"/>
      <c r="AA101" s="95"/>
      <c r="AB101" s="95"/>
      <c r="AC101" s="95"/>
      <c r="AD101" s="95"/>
      <c r="AE101" s="1156">
        <f>AE190</f>
        <v>871.86</v>
      </c>
    </row>
    <row r="102" spans="2:33" s="9" customFormat="1" ht="19.95" customHeight="1" x14ac:dyDescent="0.2">
      <c r="B102" s="93"/>
      <c r="D102" s="94" t="s">
        <v>1828</v>
      </c>
      <c r="E102" s="95"/>
      <c r="F102" s="95"/>
      <c r="G102" s="95"/>
      <c r="H102" s="95"/>
      <c r="I102" s="95"/>
      <c r="J102" s="96">
        <f>J203</f>
        <v>142.97999999999999</v>
      </c>
      <c r="L102" s="93"/>
      <c r="W102" s="188"/>
      <c r="X102" s="189"/>
      <c r="Y102" s="94" t="s">
        <v>1828</v>
      </c>
      <c r="Z102" s="95"/>
      <c r="AA102" s="95"/>
      <c r="AB102" s="95"/>
      <c r="AC102" s="95"/>
      <c r="AD102" s="95"/>
      <c r="AE102" s="1156">
        <f>AE203</f>
        <v>142.97999999999999</v>
      </c>
    </row>
    <row r="103" spans="2:33" s="8" customFormat="1" ht="25.05" customHeight="1" x14ac:dyDescent="0.2">
      <c r="B103" s="89"/>
      <c r="D103" s="90" t="s">
        <v>1829</v>
      </c>
      <c r="E103" s="91"/>
      <c r="F103" s="91"/>
      <c r="G103" s="91"/>
      <c r="H103" s="91"/>
      <c r="I103" s="91"/>
      <c r="J103" s="92">
        <f>J205</f>
        <v>11345.91</v>
      </c>
      <c r="L103" s="89"/>
      <c r="W103" s="185"/>
      <c r="X103" s="186"/>
      <c r="Y103" s="90" t="s">
        <v>1829</v>
      </c>
      <c r="Z103" s="91"/>
      <c r="AA103" s="91"/>
      <c r="AB103" s="91"/>
      <c r="AC103" s="91"/>
      <c r="AD103" s="91"/>
      <c r="AE103" s="1154">
        <f>AE205</f>
        <v>11345.91</v>
      </c>
    </row>
    <row r="104" spans="2:33" s="9" customFormat="1" ht="19.95" customHeight="1" x14ac:dyDescent="0.2">
      <c r="B104" s="93"/>
      <c r="D104" s="94" t="s">
        <v>1824</v>
      </c>
      <c r="E104" s="95"/>
      <c r="F104" s="95"/>
      <c r="G104" s="95"/>
      <c r="H104" s="95"/>
      <c r="I104" s="95"/>
      <c r="J104" s="96">
        <f>J208</f>
        <v>284.58000000000004</v>
      </c>
      <c r="L104" s="93"/>
      <c r="W104" s="188"/>
      <c r="X104" s="189"/>
      <c r="Y104" s="94" t="s">
        <v>1824</v>
      </c>
      <c r="Z104" s="95"/>
      <c r="AA104" s="95"/>
      <c r="AB104" s="95"/>
      <c r="AC104" s="95"/>
      <c r="AD104" s="95"/>
      <c r="AE104" s="1156">
        <f>AE208</f>
        <v>284.58000000000004</v>
      </c>
    </row>
    <row r="105" spans="2:33" s="9" customFormat="1" ht="19.95" customHeight="1" x14ac:dyDescent="0.2">
      <c r="B105" s="93"/>
      <c r="D105" s="94" t="s">
        <v>1830</v>
      </c>
      <c r="E105" s="95"/>
      <c r="F105" s="95"/>
      <c r="G105" s="95"/>
      <c r="H105" s="95"/>
      <c r="I105" s="95"/>
      <c r="J105" s="96">
        <f>J214</f>
        <v>292.5</v>
      </c>
      <c r="L105" s="93"/>
      <c r="W105" s="188"/>
      <c r="X105" s="189"/>
      <c r="Y105" s="94" t="s">
        <v>1830</v>
      </c>
      <c r="Z105" s="95"/>
      <c r="AA105" s="95"/>
      <c r="AB105" s="95"/>
      <c r="AC105" s="95"/>
      <c r="AD105" s="95"/>
      <c r="AE105" s="1156">
        <f>AE214</f>
        <v>292.5</v>
      </c>
    </row>
    <row r="106" spans="2:33" s="9" customFormat="1" ht="19.95" customHeight="1" x14ac:dyDescent="0.2">
      <c r="B106" s="93"/>
      <c r="D106" s="94" t="s">
        <v>1831</v>
      </c>
      <c r="E106" s="95"/>
      <c r="F106" s="95"/>
      <c r="G106" s="95"/>
      <c r="H106" s="95"/>
      <c r="I106" s="95"/>
      <c r="J106" s="96">
        <f>J221</f>
        <v>1595.6399999999999</v>
      </c>
      <c r="L106" s="93"/>
      <c r="W106" s="188"/>
      <c r="X106" s="189"/>
      <c r="Y106" s="94" t="s">
        <v>1831</v>
      </c>
      <c r="Z106" s="95"/>
      <c r="AA106" s="95"/>
      <c r="AB106" s="95"/>
      <c r="AC106" s="95"/>
      <c r="AD106" s="95"/>
      <c r="AE106" s="1156">
        <f>AE221</f>
        <v>1595.6399999999999</v>
      </c>
    </row>
    <row r="107" spans="2:33" s="9" customFormat="1" ht="19.95" customHeight="1" x14ac:dyDescent="0.2">
      <c r="B107" s="93"/>
      <c r="D107" s="94" t="s">
        <v>1827</v>
      </c>
      <c r="E107" s="95"/>
      <c r="F107" s="95"/>
      <c r="G107" s="95"/>
      <c r="H107" s="95"/>
      <c r="I107" s="95"/>
      <c r="J107" s="96">
        <f>J246</f>
        <v>1107.46</v>
      </c>
      <c r="L107" s="93"/>
      <c r="W107" s="188"/>
      <c r="X107" s="189"/>
      <c r="Y107" s="94" t="s">
        <v>1827</v>
      </c>
      <c r="Z107" s="95"/>
      <c r="AA107" s="95"/>
      <c r="AB107" s="95"/>
      <c r="AC107" s="95"/>
      <c r="AD107" s="95"/>
      <c r="AE107" s="1156">
        <f>AE246</f>
        <v>1107.46</v>
      </c>
    </row>
    <row r="108" spans="2:33" s="9" customFormat="1" ht="19.95" customHeight="1" x14ac:dyDescent="0.2">
      <c r="B108" s="93"/>
      <c r="D108" s="94" t="s">
        <v>1828</v>
      </c>
      <c r="E108" s="95"/>
      <c r="F108" s="95"/>
      <c r="G108" s="95"/>
      <c r="H108" s="95"/>
      <c r="I108" s="95"/>
      <c r="J108" s="96">
        <f>J272</f>
        <v>207.93</v>
      </c>
      <c r="L108" s="93"/>
      <c r="W108" s="188"/>
      <c r="X108" s="189"/>
      <c r="Y108" s="94" t="s">
        <v>1828</v>
      </c>
      <c r="Z108" s="95"/>
      <c r="AA108" s="95"/>
      <c r="AB108" s="95"/>
      <c r="AC108" s="95"/>
      <c r="AD108" s="95"/>
      <c r="AE108" s="1156">
        <f>AE272</f>
        <v>207.93</v>
      </c>
    </row>
    <row r="109" spans="2:33" s="8" customFormat="1" ht="25.05" customHeight="1" x14ac:dyDescent="0.2">
      <c r="B109" s="89"/>
      <c r="D109" s="90" t="s">
        <v>1832</v>
      </c>
      <c r="E109" s="91"/>
      <c r="F109" s="91"/>
      <c r="G109" s="91"/>
      <c r="H109" s="91"/>
      <c r="I109" s="91"/>
      <c r="J109" s="92">
        <f>J275</f>
        <v>12959.84</v>
      </c>
      <c r="L109" s="89"/>
      <c r="W109" s="185"/>
      <c r="X109" s="186"/>
      <c r="Y109" s="90" t="s">
        <v>1832</v>
      </c>
      <c r="Z109" s="91"/>
      <c r="AA109" s="91"/>
      <c r="AB109" s="91"/>
      <c r="AC109" s="91"/>
      <c r="AD109" s="91"/>
      <c r="AE109" s="1154">
        <f>AE275</f>
        <v>12840.71</v>
      </c>
    </row>
    <row r="110" spans="2:33" s="9" customFormat="1" ht="19.95" customHeight="1" x14ac:dyDescent="0.2">
      <c r="B110" s="93"/>
      <c r="D110" s="94" t="s">
        <v>1833</v>
      </c>
      <c r="E110" s="95"/>
      <c r="F110" s="95"/>
      <c r="G110" s="95"/>
      <c r="H110" s="95"/>
      <c r="I110" s="95"/>
      <c r="J110" s="96">
        <f>J279</f>
        <v>3164.7500000000005</v>
      </c>
      <c r="L110" s="93"/>
      <c r="W110" s="188"/>
      <c r="X110" s="189"/>
      <c r="Y110" s="94" t="s">
        <v>1833</v>
      </c>
      <c r="Z110" s="95"/>
      <c r="AA110" s="95"/>
      <c r="AB110" s="95"/>
      <c r="AC110" s="95"/>
      <c r="AD110" s="95"/>
      <c r="AE110" s="1156">
        <f>AE279</f>
        <v>3045.6200000000003</v>
      </c>
    </row>
    <row r="111" spans="2:33" s="9" customFormat="1" ht="19.95" customHeight="1" x14ac:dyDescent="0.2">
      <c r="B111" s="93"/>
      <c r="D111" s="94" t="s">
        <v>1824</v>
      </c>
      <c r="E111" s="95"/>
      <c r="F111" s="95"/>
      <c r="G111" s="95"/>
      <c r="H111" s="95"/>
      <c r="I111" s="95"/>
      <c r="J111" s="96">
        <f>J287</f>
        <v>90.859999999999985</v>
      </c>
      <c r="L111" s="93"/>
      <c r="W111" s="188"/>
      <c r="X111" s="189"/>
      <c r="Y111" s="94" t="s">
        <v>1824</v>
      </c>
      <c r="Z111" s="95"/>
      <c r="AA111" s="95"/>
      <c r="AB111" s="95"/>
      <c r="AC111" s="95"/>
      <c r="AD111" s="95"/>
      <c r="AE111" s="1156">
        <f>AE287</f>
        <v>90.859999999999985</v>
      </c>
    </row>
    <row r="112" spans="2:33" s="9" customFormat="1" ht="19.95" customHeight="1" x14ac:dyDescent="0.2">
      <c r="B112" s="93"/>
      <c r="D112" s="94" t="s">
        <v>1830</v>
      </c>
      <c r="E112" s="95"/>
      <c r="F112" s="95"/>
      <c r="G112" s="95"/>
      <c r="H112" s="95"/>
      <c r="I112" s="95"/>
      <c r="J112" s="96">
        <f>J291</f>
        <v>149.92000000000002</v>
      </c>
      <c r="L112" s="93"/>
      <c r="W112" s="188"/>
      <c r="X112" s="189"/>
      <c r="Y112" s="94" t="s">
        <v>1830</v>
      </c>
      <c r="Z112" s="95"/>
      <c r="AA112" s="95"/>
      <c r="AB112" s="95"/>
      <c r="AC112" s="95"/>
      <c r="AD112" s="95"/>
      <c r="AE112" s="1156">
        <f>AE291</f>
        <v>149.92000000000002</v>
      </c>
    </row>
    <row r="113" spans="2:31" s="9" customFormat="1" ht="19.95" customHeight="1" x14ac:dyDescent="0.2">
      <c r="B113" s="93"/>
      <c r="D113" s="94" t="s">
        <v>1834</v>
      </c>
      <c r="E113" s="95"/>
      <c r="F113" s="95"/>
      <c r="G113" s="95"/>
      <c r="H113" s="95"/>
      <c r="I113" s="95"/>
      <c r="J113" s="96">
        <f>J295</f>
        <v>1413.04</v>
      </c>
      <c r="L113" s="93"/>
      <c r="W113" s="188"/>
      <c r="X113" s="189"/>
      <c r="Y113" s="94" t="s">
        <v>1834</v>
      </c>
      <c r="Z113" s="95"/>
      <c r="AA113" s="95"/>
      <c r="AB113" s="95"/>
      <c r="AC113" s="95"/>
      <c r="AD113" s="95"/>
      <c r="AE113" s="1156">
        <f>AE295</f>
        <v>1413.04</v>
      </c>
    </row>
    <row r="114" spans="2:31" s="9" customFormat="1" ht="19.95" customHeight="1" x14ac:dyDescent="0.2">
      <c r="B114" s="93"/>
      <c r="D114" s="94" t="s">
        <v>1835</v>
      </c>
      <c r="E114" s="95"/>
      <c r="F114" s="95"/>
      <c r="G114" s="95"/>
      <c r="H114" s="95"/>
      <c r="I114" s="95"/>
      <c r="J114" s="96">
        <f>J319</f>
        <v>1175.8</v>
      </c>
      <c r="L114" s="93"/>
      <c r="W114" s="188"/>
      <c r="X114" s="189"/>
      <c r="Y114" s="94" t="s">
        <v>1835</v>
      </c>
      <c r="Z114" s="95"/>
      <c r="AA114" s="95"/>
      <c r="AB114" s="95"/>
      <c r="AC114" s="95"/>
      <c r="AD114" s="95"/>
      <c r="AE114" s="1156">
        <f>AE319</f>
        <v>1175.8</v>
      </c>
    </row>
    <row r="115" spans="2:31" s="8" customFormat="1" ht="25.05" customHeight="1" x14ac:dyDescent="0.2">
      <c r="B115" s="89"/>
      <c r="D115" s="90" t="s">
        <v>1836</v>
      </c>
      <c r="E115" s="91"/>
      <c r="F115" s="91"/>
      <c r="G115" s="91"/>
      <c r="H115" s="91"/>
      <c r="I115" s="91"/>
      <c r="J115" s="92">
        <f>J353</f>
        <v>10401.800000000001</v>
      </c>
      <c r="L115" s="89"/>
      <c r="W115" s="185"/>
      <c r="X115" s="186"/>
      <c r="Y115" s="90" t="s">
        <v>1836</v>
      </c>
      <c r="Z115" s="91"/>
      <c r="AA115" s="91"/>
      <c r="AB115" s="91"/>
      <c r="AC115" s="91"/>
      <c r="AD115" s="91"/>
      <c r="AE115" s="1154">
        <f>AE353</f>
        <v>10401.800000000001</v>
      </c>
    </row>
    <row r="116" spans="2:31" s="9" customFormat="1" ht="19.95" customHeight="1" x14ac:dyDescent="0.2">
      <c r="B116" s="93"/>
      <c r="D116" s="94" t="s">
        <v>1833</v>
      </c>
      <c r="E116" s="95"/>
      <c r="F116" s="95"/>
      <c r="G116" s="95"/>
      <c r="H116" s="95"/>
      <c r="I116" s="95"/>
      <c r="J116" s="96">
        <f>J357</f>
        <v>2935.3500000000004</v>
      </c>
      <c r="L116" s="93"/>
      <c r="W116" s="188"/>
      <c r="X116" s="189"/>
      <c r="Y116" s="94" t="s">
        <v>1833</v>
      </c>
      <c r="Z116" s="95"/>
      <c r="AA116" s="95"/>
      <c r="AB116" s="95"/>
      <c r="AC116" s="95"/>
      <c r="AD116" s="95"/>
      <c r="AE116" s="1156">
        <f>AE357</f>
        <v>2935.3500000000004</v>
      </c>
    </row>
    <row r="117" spans="2:31" s="9" customFormat="1" ht="19.95" customHeight="1" x14ac:dyDescent="0.2">
      <c r="B117" s="93"/>
      <c r="D117" s="94" t="s">
        <v>1824</v>
      </c>
      <c r="E117" s="95"/>
      <c r="F117" s="95"/>
      <c r="G117" s="95"/>
      <c r="H117" s="95"/>
      <c r="I117" s="95"/>
      <c r="J117" s="96">
        <f>J362</f>
        <v>177.24</v>
      </c>
      <c r="L117" s="93"/>
      <c r="W117" s="188"/>
      <c r="X117" s="189"/>
      <c r="Y117" s="94" t="s">
        <v>1824</v>
      </c>
      <c r="Z117" s="95"/>
      <c r="AA117" s="95"/>
      <c r="AB117" s="95"/>
      <c r="AC117" s="95"/>
      <c r="AD117" s="95"/>
      <c r="AE117" s="1156">
        <f>AE362</f>
        <v>177.24</v>
      </c>
    </row>
    <row r="118" spans="2:31" s="9" customFormat="1" ht="19.95" customHeight="1" x14ac:dyDescent="0.2">
      <c r="B118" s="93"/>
      <c r="D118" s="94" t="s">
        <v>1830</v>
      </c>
      <c r="E118" s="95"/>
      <c r="F118" s="95"/>
      <c r="G118" s="95"/>
      <c r="H118" s="95"/>
      <c r="I118" s="95"/>
      <c r="J118" s="96">
        <f>J367</f>
        <v>112.52</v>
      </c>
      <c r="L118" s="93"/>
      <c r="W118" s="188"/>
      <c r="X118" s="189"/>
      <c r="Y118" s="94" t="s">
        <v>1830</v>
      </c>
      <c r="Z118" s="95"/>
      <c r="AA118" s="95"/>
      <c r="AB118" s="95"/>
      <c r="AC118" s="95"/>
      <c r="AD118" s="95"/>
      <c r="AE118" s="1156">
        <f>AE367</f>
        <v>112.52</v>
      </c>
    </row>
    <row r="119" spans="2:31" s="9" customFormat="1" ht="19.95" customHeight="1" x14ac:dyDescent="0.2">
      <c r="B119" s="93"/>
      <c r="D119" s="94" t="s">
        <v>1837</v>
      </c>
      <c r="E119" s="95"/>
      <c r="F119" s="95"/>
      <c r="G119" s="95"/>
      <c r="H119" s="95"/>
      <c r="I119" s="95"/>
      <c r="J119" s="96">
        <f>J371</f>
        <v>483.9</v>
      </c>
      <c r="L119" s="93"/>
      <c r="W119" s="188"/>
      <c r="X119" s="189"/>
      <c r="Y119" s="94" t="s">
        <v>1837</v>
      </c>
      <c r="Z119" s="95"/>
      <c r="AA119" s="95"/>
      <c r="AB119" s="95"/>
      <c r="AC119" s="95"/>
      <c r="AD119" s="95"/>
      <c r="AE119" s="1156">
        <f>AE371</f>
        <v>483.9</v>
      </c>
    </row>
    <row r="120" spans="2:31" s="9" customFormat="1" ht="19.95" customHeight="1" x14ac:dyDescent="0.2">
      <c r="B120" s="93"/>
      <c r="D120" s="94" t="s">
        <v>1838</v>
      </c>
      <c r="E120" s="95"/>
      <c r="F120" s="95"/>
      <c r="G120" s="95"/>
      <c r="H120" s="95"/>
      <c r="I120" s="95"/>
      <c r="J120" s="96">
        <f>J385</f>
        <v>416.12</v>
      </c>
      <c r="L120" s="93"/>
      <c r="W120" s="188"/>
      <c r="X120" s="189"/>
      <c r="Y120" s="94" t="s">
        <v>1838</v>
      </c>
      <c r="Z120" s="95"/>
      <c r="AA120" s="95"/>
      <c r="AB120" s="95"/>
      <c r="AC120" s="95"/>
      <c r="AD120" s="95"/>
      <c r="AE120" s="1156">
        <f>AE385</f>
        <v>416.12</v>
      </c>
    </row>
    <row r="121" spans="2:31" s="8" customFormat="1" ht="25.05" customHeight="1" x14ac:dyDescent="0.2">
      <c r="B121" s="89"/>
      <c r="D121" s="90" t="s">
        <v>1839</v>
      </c>
      <c r="E121" s="91"/>
      <c r="F121" s="91"/>
      <c r="G121" s="91"/>
      <c r="H121" s="91"/>
      <c r="I121" s="91"/>
      <c r="J121" s="92">
        <f>J399</f>
        <v>410.65</v>
      </c>
      <c r="L121" s="89"/>
      <c r="W121" s="185"/>
      <c r="X121" s="186"/>
      <c r="Y121" s="90" t="s">
        <v>1839</v>
      </c>
      <c r="Z121" s="91"/>
      <c r="AA121" s="91"/>
      <c r="AB121" s="91"/>
      <c r="AC121" s="91"/>
      <c r="AD121" s="91"/>
      <c r="AE121" s="1154">
        <f>AE399</f>
        <v>410.65</v>
      </c>
    </row>
    <row r="122" spans="2:31" s="9" customFormat="1" ht="19.95" customHeight="1" x14ac:dyDescent="0.2">
      <c r="B122" s="93"/>
      <c r="D122" s="94" t="s">
        <v>1840</v>
      </c>
      <c r="E122" s="95"/>
      <c r="F122" s="95"/>
      <c r="G122" s="95"/>
      <c r="H122" s="95"/>
      <c r="I122" s="95"/>
      <c r="J122" s="96">
        <f>J404</f>
        <v>142.59</v>
      </c>
      <c r="L122" s="93"/>
      <c r="W122" s="188"/>
      <c r="X122" s="189"/>
      <c r="Y122" s="94" t="s">
        <v>1840</v>
      </c>
      <c r="Z122" s="95"/>
      <c r="AA122" s="95"/>
      <c r="AB122" s="95"/>
      <c r="AC122" s="95"/>
      <c r="AD122" s="95"/>
      <c r="AE122" s="1156">
        <f>AE404</f>
        <v>142.59</v>
      </c>
    </row>
    <row r="123" spans="2:31" s="8" customFormat="1" ht="25.05" customHeight="1" x14ac:dyDescent="0.2">
      <c r="B123" s="89"/>
      <c r="D123" s="90" t="s">
        <v>1841</v>
      </c>
      <c r="E123" s="91"/>
      <c r="F123" s="91"/>
      <c r="G123" s="91"/>
      <c r="H123" s="91"/>
      <c r="I123" s="91"/>
      <c r="J123" s="92">
        <f>J412</f>
        <v>10910.500000000002</v>
      </c>
      <c r="L123" s="89"/>
      <c r="W123" s="185"/>
      <c r="X123" s="186"/>
      <c r="Y123" s="90" t="s">
        <v>1841</v>
      </c>
      <c r="Z123" s="91"/>
      <c r="AA123" s="91"/>
      <c r="AB123" s="91"/>
      <c r="AC123" s="91"/>
      <c r="AD123" s="91"/>
      <c r="AE123" s="1154">
        <f>AE412</f>
        <v>11045.85</v>
      </c>
    </row>
    <row r="124" spans="2:31" s="9" customFormat="1" ht="19.95" customHeight="1" x14ac:dyDescent="0.2">
      <c r="B124" s="93"/>
      <c r="D124" s="94" t="s">
        <v>1833</v>
      </c>
      <c r="E124" s="95"/>
      <c r="F124" s="95"/>
      <c r="G124" s="95"/>
      <c r="H124" s="95"/>
      <c r="I124" s="95"/>
      <c r="J124" s="96">
        <f>J416</f>
        <v>2889.4700000000003</v>
      </c>
      <c r="L124" s="93"/>
      <c r="W124" s="188"/>
      <c r="X124" s="189"/>
      <c r="Y124" s="94" t="s">
        <v>1833</v>
      </c>
      <c r="Z124" s="95"/>
      <c r="AA124" s="95"/>
      <c r="AB124" s="95"/>
      <c r="AC124" s="95"/>
      <c r="AD124" s="95"/>
      <c r="AE124" s="1156">
        <f>AE416</f>
        <v>2889.4700000000003</v>
      </c>
    </row>
    <row r="125" spans="2:31" s="9" customFormat="1" ht="19.95" customHeight="1" x14ac:dyDescent="0.2">
      <c r="B125" s="93"/>
      <c r="D125" s="94" t="s">
        <v>1824</v>
      </c>
      <c r="E125" s="95"/>
      <c r="F125" s="95"/>
      <c r="G125" s="95"/>
      <c r="H125" s="95"/>
      <c r="I125" s="95"/>
      <c r="J125" s="96">
        <f>J422</f>
        <v>167.85999999999999</v>
      </c>
      <c r="L125" s="93"/>
      <c r="W125" s="188"/>
      <c r="X125" s="189"/>
      <c r="Y125" s="94" t="s">
        <v>1824</v>
      </c>
      <c r="Z125" s="95"/>
      <c r="AA125" s="95"/>
      <c r="AB125" s="95"/>
      <c r="AC125" s="95"/>
      <c r="AD125" s="95"/>
      <c r="AE125" s="1156">
        <f>AE422</f>
        <v>144.4</v>
      </c>
    </row>
    <row r="126" spans="2:31" s="9" customFormat="1" ht="19.95" customHeight="1" x14ac:dyDescent="0.2">
      <c r="B126" s="93"/>
      <c r="D126" s="94" t="s">
        <v>1830</v>
      </c>
      <c r="E126" s="95"/>
      <c r="F126" s="95"/>
      <c r="G126" s="95"/>
      <c r="H126" s="95"/>
      <c r="I126" s="95"/>
      <c r="J126" s="96">
        <f>J430</f>
        <v>34.29</v>
      </c>
      <c r="L126" s="93"/>
      <c r="W126" s="188"/>
      <c r="X126" s="189"/>
      <c r="Y126" s="94" t="s">
        <v>1830</v>
      </c>
      <c r="Z126" s="95"/>
      <c r="AA126" s="95"/>
      <c r="AB126" s="95"/>
      <c r="AC126" s="95"/>
      <c r="AD126" s="95"/>
      <c r="AE126" s="1156">
        <f>AE430</f>
        <v>193.10000000000002</v>
      </c>
    </row>
    <row r="127" spans="2:31" s="9" customFormat="1" ht="19.95" customHeight="1" x14ac:dyDescent="0.2">
      <c r="B127" s="93"/>
      <c r="D127" s="94" t="s">
        <v>1842</v>
      </c>
      <c r="E127" s="95"/>
      <c r="F127" s="95"/>
      <c r="G127" s="95"/>
      <c r="H127" s="95"/>
      <c r="I127" s="95"/>
      <c r="J127" s="96">
        <f>J437</f>
        <v>1052.25</v>
      </c>
      <c r="L127" s="93"/>
      <c r="W127" s="188"/>
      <c r="X127" s="189"/>
      <c r="Y127" s="94" t="s">
        <v>1842</v>
      </c>
      <c r="Z127" s="95"/>
      <c r="AA127" s="95"/>
      <c r="AB127" s="95"/>
      <c r="AC127" s="95"/>
      <c r="AD127" s="95"/>
      <c r="AE127" s="1156">
        <f>AE437</f>
        <v>1052.25</v>
      </c>
    </row>
    <row r="128" spans="2:31" s="9" customFormat="1" ht="19.95" customHeight="1" x14ac:dyDescent="0.2">
      <c r="B128" s="93"/>
      <c r="D128" s="94" t="s">
        <v>1843</v>
      </c>
      <c r="E128" s="95"/>
      <c r="F128" s="95"/>
      <c r="G128" s="95"/>
      <c r="H128" s="95"/>
      <c r="I128" s="95"/>
      <c r="J128" s="96">
        <f>J463</f>
        <v>906.09999999999991</v>
      </c>
      <c r="L128" s="93"/>
      <c r="W128" s="188"/>
      <c r="X128" s="189"/>
      <c r="Y128" s="94" t="s">
        <v>1843</v>
      </c>
      <c r="Z128" s="95"/>
      <c r="AA128" s="95"/>
      <c r="AB128" s="95"/>
      <c r="AC128" s="95"/>
      <c r="AD128" s="95"/>
      <c r="AE128" s="1156">
        <f>AE463</f>
        <v>906.09999999999991</v>
      </c>
    </row>
    <row r="129" spans="2:31" s="8" customFormat="1" ht="25.05" customHeight="1" x14ac:dyDescent="0.2">
      <c r="B129" s="89"/>
      <c r="D129" s="90" t="s">
        <v>1839</v>
      </c>
      <c r="E129" s="91"/>
      <c r="F129" s="91"/>
      <c r="G129" s="91"/>
      <c r="H129" s="91"/>
      <c r="I129" s="91"/>
      <c r="J129" s="92">
        <f>J487</f>
        <v>346.29</v>
      </c>
      <c r="L129" s="89"/>
      <c r="W129" s="185"/>
      <c r="X129" s="186"/>
      <c r="Y129" s="90" t="s">
        <v>1839</v>
      </c>
      <c r="Z129" s="91"/>
      <c r="AA129" s="91"/>
      <c r="AB129" s="91"/>
      <c r="AC129" s="91"/>
      <c r="AD129" s="91"/>
      <c r="AE129" s="1154">
        <f>AE487</f>
        <v>346.28999999999996</v>
      </c>
    </row>
    <row r="130" spans="2:31" s="9" customFormat="1" ht="19.95" customHeight="1" x14ac:dyDescent="0.2">
      <c r="B130" s="93"/>
      <c r="D130" s="94" t="s">
        <v>1840</v>
      </c>
      <c r="E130" s="95"/>
      <c r="F130" s="95"/>
      <c r="G130" s="95"/>
      <c r="H130" s="95"/>
      <c r="I130" s="95"/>
      <c r="J130" s="96">
        <f>J492</f>
        <v>132.04</v>
      </c>
      <c r="L130" s="93"/>
      <c r="W130" s="188"/>
      <c r="X130" s="189"/>
      <c r="Y130" s="94" t="s">
        <v>1840</v>
      </c>
      <c r="Z130" s="95"/>
      <c r="AA130" s="95"/>
      <c r="AB130" s="95"/>
      <c r="AC130" s="95"/>
      <c r="AD130" s="95"/>
      <c r="AE130" s="1156">
        <f>AE492</f>
        <v>132.04</v>
      </c>
    </row>
    <row r="131" spans="2:31" s="8" customFormat="1" ht="25.05" customHeight="1" x14ac:dyDescent="0.2">
      <c r="B131" s="89"/>
      <c r="D131" s="90" t="s">
        <v>1844</v>
      </c>
      <c r="E131" s="91"/>
      <c r="F131" s="91"/>
      <c r="G131" s="91"/>
      <c r="H131" s="91"/>
      <c r="I131" s="91"/>
      <c r="J131" s="92">
        <f>J497</f>
        <v>3457.2100000000005</v>
      </c>
      <c r="L131" s="89"/>
      <c r="W131" s="185"/>
      <c r="X131" s="186"/>
      <c r="Y131" s="90" t="s">
        <v>1844</v>
      </c>
      <c r="Z131" s="91"/>
      <c r="AA131" s="91"/>
      <c r="AB131" s="91"/>
      <c r="AC131" s="91"/>
      <c r="AD131" s="91"/>
      <c r="AE131" s="1154">
        <f>AE497</f>
        <v>3457.2100000000005</v>
      </c>
    </row>
    <row r="132" spans="2:31" s="8" customFormat="1" ht="25.05" customHeight="1" x14ac:dyDescent="0.2">
      <c r="B132" s="89"/>
      <c r="D132" s="90" t="s">
        <v>1845</v>
      </c>
      <c r="E132" s="91"/>
      <c r="F132" s="91"/>
      <c r="G132" s="91"/>
      <c r="H132" s="91"/>
      <c r="I132" s="91"/>
      <c r="J132" s="92">
        <f>J504</f>
        <v>6082.9199999999992</v>
      </c>
      <c r="L132" s="89"/>
      <c r="W132" s="185"/>
      <c r="X132" s="186"/>
      <c r="Y132" s="90" t="s">
        <v>1845</v>
      </c>
      <c r="Z132" s="91"/>
      <c r="AA132" s="91"/>
      <c r="AB132" s="91"/>
      <c r="AC132" s="91"/>
      <c r="AD132" s="91"/>
      <c r="AE132" s="1154">
        <f>AE504</f>
        <v>6097.9199999999992</v>
      </c>
    </row>
    <row r="133" spans="2:31" s="8" customFormat="1" ht="25.05" customHeight="1" x14ac:dyDescent="0.2">
      <c r="B133" s="89"/>
      <c r="D133" s="90" t="s">
        <v>1846</v>
      </c>
      <c r="E133" s="91"/>
      <c r="F133" s="91"/>
      <c r="G133" s="91"/>
      <c r="H133" s="91"/>
      <c r="I133" s="91"/>
      <c r="J133" s="92">
        <f>J520</f>
        <v>270.94</v>
      </c>
      <c r="L133" s="89"/>
      <c r="W133" s="185"/>
      <c r="X133" s="186"/>
      <c r="Y133" s="90" t="s">
        <v>1846</v>
      </c>
      <c r="Z133" s="91"/>
      <c r="AA133" s="91"/>
      <c r="AB133" s="91"/>
      <c r="AC133" s="91"/>
      <c r="AD133" s="91"/>
      <c r="AE133" s="1154">
        <f>AE520</f>
        <v>270.94</v>
      </c>
    </row>
    <row r="134" spans="2:31" s="9" customFormat="1" ht="19.95" customHeight="1" x14ac:dyDescent="0.2">
      <c r="B134" s="93"/>
      <c r="D134" s="94" t="s">
        <v>1840</v>
      </c>
      <c r="E134" s="95"/>
      <c r="F134" s="95"/>
      <c r="G134" s="95"/>
      <c r="H134" s="95"/>
      <c r="I134" s="95"/>
      <c r="J134" s="96">
        <f>J523</f>
        <v>100.17999999999999</v>
      </c>
      <c r="L134" s="93"/>
      <c r="W134" s="188"/>
      <c r="X134" s="189"/>
      <c r="Y134" s="94" t="s">
        <v>1840</v>
      </c>
      <c r="Z134" s="95"/>
      <c r="AA134" s="95"/>
      <c r="AB134" s="95"/>
      <c r="AC134" s="95"/>
      <c r="AD134" s="95"/>
      <c r="AE134" s="1156">
        <f>AE523</f>
        <v>100.17999999999999</v>
      </c>
    </row>
    <row r="135" spans="2:31" s="8" customFormat="1" ht="25.05" customHeight="1" x14ac:dyDescent="0.2">
      <c r="B135" s="89"/>
      <c r="D135" s="90" t="s">
        <v>1847</v>
      </c>
      <c r="E135" s="91"/>
      <c r="F135" s="91"/>
      <c r="G135" s="91"/>
      <c r="H135" s="91"/>
      <c r="I135" s="91"/>
      <c r="J135" s="92">
        <f>J529</f>
        <v>445.4</v>
      </c>
      <c r="L135" s="89"/>
      <c r="W135" s="185"/>
      <c r="X135" s="186"/>
      <c r="Y135" s="90" t="s">
        <v>1847</v>
      </c>
      <c r="Z135" s="91"/>
      <c r="AA135" s="91"/>
      <c r="AB135" s="91"/>
      <c r="AC135" s="91"/>
      <c r="AD135" s="91"/>
      <c r="AE135" s="1154">
        <f>AE529</f>
        <v>445.4</v>
      </c>
    </row>
    <row r="136" spans="2:31" s="9" customFormat="1" ht="19.95" customHeight="1" x14ac:dyDescent="0.2">
      <c r="B136" s="93"/>
      <c r="D136" s="94" t="s">
        <v>1840</v>
      </c>
      <c r="E136" s="95"/>
      <c r="F136" s="95"/>
      <c r="G136" s="95"/>
      <c r="H136" s="95"/>
      <c r="I136" s="95"/>
      <c r="J136" s="96">
        <f>J532</f>
        <v>103.88000000000001</v>
      </c>
      <c r="L136" s="93"/>
      <c r="W136" s="188"/>
      <c r="X136" s="189"/>
      <c r="Y136" s="94" t="s">
        <v>1840</v>
      </c>
      <c r="Z136" s="95"/>
      <c r="AA136" s="95"/>
      <c r="AB136" s="95"/>
      <c r="AC136" s="95"/>
      <c r="AD136" s="95"/>
      <c r="AE136" s="1156">
        <f>AE532</f>
        <v>103.88000000000001</v>
      </c>
    </row>
    <row r="137" spans="2:31" s="8" customFormat="1" ht="25.05" customHeight="1" x14ac:dyDescent="0.2">
      <c r="B137" s="89"/>
      <c r="D137" s="90" t="s">
        <v>1848</v>
      </c>
      <c r="E137" s="91"/>
      <c r="F137" s="91"/>
      <c r="G137" s="91"/>
      <c r="H137" s="91"/>
      <c r="I137" s="91"/>
      <c r="J137" s="92">
        <f>J537</f>
        <v>89.97</v>
      </c>
      <c r="L137" s="89"/>
      <c r="W137" s="185"/>
      <c r="X137" s="186"/>
      <c r="Y137" s="90" t="s">
        <v>1848</v>
      </c>
      <c r="Z137" s="91"/>
      <c r="AA137" s="91"/>
      <c r="AB137" s="91"/>
      <c r="AC137" s="91"/>
      <c r="AD137" s="91"/>
      <c r="AE137" s="1154">
        <f>AE537</f>
        <v>89.97</v>
      </c>
    </row>
    <row r="138" spans="2:31" s="9" customFormat="1" ht="19.95" customHeight="1" x14ac:dyDescent="0.2">
      <c r="B138" s="93"/>
      <c r="D138" s="94" t="s">
        <v>1849</v>
      </c>
      <c r="E138" s="95"/>
      <c r="F138" s="95"/>
      <c r="G138" s="95"/>
      <c r="H138" s="95"/>
      <c r="I138" s="95"/>
      <c r="J138" s="96">
        <f>J541</f>
        <v>47.660000000000004</v>
      </c>
      <c r="L138" s="93"/>
      <c r="W138" s="188"/>
      <c r="X138" s="189"/>
      <c r="Y138" s="94" t="s">
        <v>1849</v>
      </c>
      <c r="Z138" s="95"/>
      <c r="AA138" s="95"/>
      <c r="AB138" s="95"/>
      <c r="AC138" s="95"/>
      <c r="AD138" s="95"/>
      <c r="AE138" s="1156">
        <f>AE541</f>
        <v>47.660000000000004</v>
      </c>
    </row>
    <row r="139" spans="2:31" s="8" customFormat="1" ht="25.05" customHeight="1" x14ac:dyDescent="0.2">
      <c r="B139" s="89"/>
      <c r="D139" s="90" t="s">
        <v>1850</v>
      </c>
      <c r="E139" s="91"/>
      <c r="F139" s="91"/>
      <c r="G139" s="91"/>
      <c r="H139" s="91"/>
      <c r="I139" s="91"/>
      <c r="J139" s="92">
        <f>J545</f>
        <v>10523.779999999999</v>
      </c>
      <c r="L139" s="89"/>
      <c r="W139" s="185"/>
      <c r="X139" s="186"/>
      <c r="Y139" s="90" t="s">
        <v>1850</v>
      </c>
      <c r="Z139" s="91"/>
      <c r="AA139" s="91"/>
      <c r="AB139" s="91"/>
      <c r="AC139" s="91"/>
      <c r="AD139" s="91"/>
      <c r="AE139" s="1154">
        <f>AE545</f>
        <v>10755.579999999998</v>
      </c>
    </row>
    <row r="140" spans="2:31" s="8" customFormat="1" ht="25.05" customHeight="1" x14ac:dyDescent="0.2">
      <c r="B140" s="89"/>
      <c r="D140" s="90" t="s">
        <v>1851</v>
      </c>
      <c r="E140" s="91"/>
      <c r="F140" s="91"/>
      <c r="G140" s="91"/>
      <c r="H140" s="91"/>
      <c r="I140" s="91"/>
      <c r="J140" s="92">
        <f>J558</f>
        <v>5796.77</v>
      </c>
      <c r="L140" s="89"/>
      <c r="W140" s="185"/>
      <c r="X140" s="186"/>
      <c r="Y140" s="90" t="s">
        <v>1851</v>
      </c>
      <c r="Z140" s="91"/>
      <c r="AA140" s="91"/>
      <c r="AB140" s="91"/>
      <c r="AC140" s="91"/>
      <c r="AD140" s="91"/>
      <c r="AE140" s="1154">
        <f>AE558</f>
        <v>1886.27</v>
      </c>
    </row>
    <row r="141" spans="2:31" s="8" customFormat="1" ht="25.05" customHeight="1" x14ac:dyDescent="0.2">
      <c r="B141" s="89"/>
      <c r="D141" s="1234" t="s">
        <v>5205</v>
      </c>
      <c r="E141" s="1235"/>
      <c r="F141" s="1235"/>
      <c r="G141" s="1235"/>
      <c r="H141" s="1235"/>
      <c r="I141" s="1235"/>
      <c r="J141" s="1235"/>
      <c r="K141" s="1236"/>
      <c r="L141" s="89"/>
      <c r="W141" s="185"/>
      <c r="X141" s="186"/>
      <c r="Y141" s="90" t="s">
        <v>6823</v>
      </c>
      <c r="Z141" s="91"/>
      <c r="AA141" s="91"/>
      <c r="AB141" s="91"/>
      <c r="AC141" s="91"/>
      <c r="AD141" s="91"/>
      <c r="AE141" s="1154">
        <f>AE565</f>
        <v>7739.04</v>
      </c>
    </row>
    <row r="142" spans="2:31" s="8" customFormat="1" ht="25.05" customHeight="1" x14ac:dyDescent="0.2">
      <c r="B142" s="89"/>
      <c r="D142" s="90" t="s">
        <v>1852</v>
      </c>
      <c r="E142" s="91"/>
      <c r="F142" s="91"/>
      <c r="G142" s="91"/>
      <c r="H142" s="91"/>
      <c r="I142" s="91"/>
      <c r="J142" s="92">
        <f>J579</f>
        <v>4003.04</v>
      </c>
      <c r="L142" s="89"/>
      <c r="W142" s="185"/>
      <c r="X142" s="186"/>
      <c r="Y142" s="90" t="s">
        <v>1852</v>
      </c>
      <c r="Z142" s="91"/>
      <c r="AA142" s="91"/>
      <c r="AB142" s="91"/>
      <c r="AC142" s="91"/>
      <c r="AD142" s="91"/>
      <c r="AE142" s="1154">
        <f>AE579</f>
        <v>5003.04</v>
      </c>
    </row>
    <row r="143" spans="2:31" s="8" customFormat="1" ht="25.05" customHeight="1" x14ac:dyDescent="0.2">
      <c r="B143" s="89"/>
      <c r="D143" s="90" t="s">
        <v>1189</v>
      </c>
      <c r="E143" s="91"/>
      <c r="F143" s="91"/>
      <c r="G143" s="91"/>
      <c r="H143" s="91"/>
      <c r="I143" s="91"/>
      <c r="J143" s="92">
        <f>J583</f>
        <v>3</v>
      </c>
      <c r="L143" s="89"/>
      <c r="W143" s="185"/>
      <c r="X143" s="186"/>
      <c r="Y143" s="90" t="s">
        <v>1189</v>
      </c>
      <c r="Z143" s="91"/>
      <c r="AA143" s="91"/>
      <c r="AB143" s="91"/>
      <c r="AC143" s="91"/>
      <c r="AD143" s="91"/>
      <c r="AE143" s="1154">
        <f>AE583</f>
        <v>3</v>
      </c>
    </row>
    <row r="144" spans="2:31" s="1" customFormat="1" ht="21.75" customHeight="1" x14ac:dyDescent="0.2">
      <c r="B144" s="24"/>
      <c r="L144" s="24"/>
      <c r="W144" s="158"/>
      <c r="X144" s="419"/>
      <c r="Y144" s="419"/>
      <c r="Z144" s="419"/>
      <c r="AA144" s="419"/>
      <c r="AB144" s="419"/>
      <c r="AC144" s="419"/>
      <c r="AD144" s="419"/>
      <c r="AE144" s="159"/>
    </row>
    <row r="145" spans="2:34" s="1" customFormat="1" ht="7.05" customHeight="1" x14ac:dyDescent="0.2">
      <c r="B145" s="33"/>
      <c r="C145" s="34"/>
      <c r="D145" s="34"/>
      <c r="E145" s="34"/>
      <c r="F145" s="34"/>
      <c r="G145" s="34"/>
      <c r="H145" s="34"/>
      <c r="I145" s="34"/>
      <c r="J145" s="34"/>
      <c r="K145" s="34"/>
      <c r="L145" s="24"/>
      <c r="W145" s="175"/>
      <c r="X145" s="176"/>
      <c r="Y145" s="176"/>
      <c r="Z145" s="176"/>
      <c r="AA145" s="176"/>
      <c r="AB145" s="176"/>
      <c r="AC145" s="176"/>
      <c r="AD145" s="176"/>
      <c r="AE145" s="177"/>
    </row>
    <row r="149" spans="2:34" s="1" customFormat="1" ht="7.05" customHeight="1" x14ac:dyDescent="0.2">
      <c r="B149" s="35"/>
      <c r="C149" s="36"/>
      <c r="D149" s="36"/>
      <c r="E149" s="36"/>
      <c r="F149" s="36"/>
      <c r="G149" s="36"/>
      <c r="H149" s="36"/>
      <c r="I149" s="36"/>
      <c r="J149" s="36"/>
      <c r="K149" s="36"/>
      <c r="L149" s="24"/>
      <c r="W149" s="178"/>
      <c r="X149" s="179"/>
      <c r="Y149" s="179"/>
      <c r="Z149" s="179"/>
      <c r="AA149" s="179"/>
      <c r="AB149" s="179"/>
      <c r="AC149" s="179"/>
      <c r="AD149" s="179"/>
      <c r="AE149" s="180"/>
    </row>
    <row r="150" spans="2:34" s="1" customFormat="1" ht="25.05" customHeight="1" x14ac:dyDescent="0.2">
      <c r="B150" s="24"/>
      <c r="C150" s="1165" t="s">
        <v>214</v>
      </c>
      <c r="D150" s="1165"/>
      <c r="E150" s="1165"/>
      <c r="F150" s="1165"/>
      <c r="G150" s="1165"/>
      <c r="H150" s="1165"/>
      <c r="I150" s="1165"/>
      <c r="J150" s="1165"/>
      <c r="L150" s="24"/>
      <c r="W150" s="158"/>
      <c r="X150" s="1237" t="s">
        <v>214</v>
      </c>
      <c r="Y150" s="1237"/>
      <c r="Z150" s="1237"/>
      <c r="AA150" s="1237"/>
      <c r="AB150" s="1237"/>
      <c r="AC150" s="1237"/>
      <c r="AD150" s="1237"/>
      <c r="AE150" s="1238"/>
    </row>
    <row r="151" spans="2:34" s="1" customFormat="1" ht="7.05" customHeight="1" x14ac:dyDescent="0.2">
      <c r="B151" s="24"/>
      <c r="L151" s="24"/>
      <c r="W151" s="158"/>
      <c r="X151" s="557"/>
      <c r="Y151" s="557"/>
      <c r="Z151" s="557"/>
      <c r="AA151" s="557"/>
      <c r="AB151" s="557"/>
      <c r="AC151" s="557"/>
      <c r="AD151" s="557"/>
      <c r="AE151" s="159"/>
    </row>
    <row r="152" spans="2:34" s="1" customFormat="1" ht="12" customHeight="1" x14ac:dyDescent="0.2">
      <c r="B152" s="24"/>
      <c r="C152" s="528" t="s">
        <v>12</v>
      </c>
      <c r="E152" s="1242" t="s">
        <v>6177</v>
      </c>
      <c r="F152" s="1242"/>
      <c r="G152" s="1242"/>
      <c r="H152" s="1242"/>
      <c r="I152" s="1242"/>
      <c r="J152" s="1242"/>
      <c r="L152" s="24"/>
      <c r="W152" s="158"/>
      <c r="X152" s="538" t="s">
        <v>12</v>
      </c>
      <c r="Y152" s="557"/>
      <c r="Z152" s="1163" t="s">
        <v>6177</v>
      </c>
      <c r="AA152" s="1163"/>
      <c r="AB152" s="1163"/>
      <c r="AC152" s="1163"/>
      <c r="AD152" s="1163"/>
      <c r="AE152" s="1241"/>
    </row>
    <row r="153" spans="2:34" s="1" customFormat="1" ht="24" customHeight="1" x14ac:dyDescent="0.2">
      <c r="B153" s="24"/>
      <c r="C153" s="521"/>
      <c r="E153" s="1243"/>
      <c r="F153" s="1244"/>
      <c r="G153" s="1244"/>
      <c r="H153" s="1244"/>
      <c r="I153" s="521"/>
      <c r="J153" s="521"/>
      <c r="L153" s="24"/>
      <c r="W153" s="158"/>
      <c r="X153" s="557"/>
      <c r="Y153" s="557"/>
      <c r="Z153" s="1249"/>
      <c r="AA153" s="1250"/>
      <c r="AB153" s="1250"/>
      <c r="AC153" s="1250"/>
      <c r="AD153" s="557"/>
      <c r="AE153" s="159"/>
    </row>
    <row r="154" spans="2:34" s="1" customFormat="1" ht="12" customHeight="1" x14ac:dyDescent="0.2">
      <c r="B154" s="24"/>
      <c r="C154" s="528" t="s">
        <v>186</v>
      </c>
      <c r="E154" s="532" t="s">
        <v>1822</v>
      </c>
      <c r="F154" s="521"/>
      <c r="G154" s="521"/>
      <c r="H154" s="521"/>
      <c r="I154" s="521"/>
      <c r="J154" s="521"/>
      <c r="L154" s="24"/>
      <c r="W154" s="158"/>
      <c r="X154" s="538" t="s">
        <v>186</v>
      </c>
      <c r="Y154" s="557"/>
      <c r="Z154" s="555" t="s">
        <v>1822</v>
      </c>
      <c r="AA154" s="557"/>
      <c r="AB154" s="557"/>
      <c r="AC154" s="557"/>
      <c r="AD154" s="557"/>
      <c r="AE154" s="159"/>
    </row>
    <row r="155" spans="2:34" s="1" customFormat="1" ht="16.5" customHeight="1" x14ac:dyDescent="0.2">
      <c r="B155" s="24"/>
      <c r="C155" s="521"/>
      <c r="E155" s="1251"/>
      <c r="F155" s="1252"/>
      <c r="G155" s="1252"/>
      <c r="H155" s="1252"/>
      <c r="L155" s="24"/>
      <c r="W155" s="158"/>
      <c r="X155" s="557"/>
      <c r="Y155" s="557"/>
      <c r="Z155" s="1245"/>
      <c r="AA155" s="1246"/>
      <c r="AB155" s="1246"/>
      <c r="AC155" s="1246"/>
      <c r="AD155" s="557"/>
      <c r="AE155" s="159"/>
    </row>
    <row r="156" spans="2:34" s="1" customFormat="1" ht="7.05" customHeight="1" x14ac:dyDescent="0.2">
      <c r="B156" s="24"/>
      <c r="C156" s="521"/>
      <c r="L156" s="24"/>
      <c r="W156" s="158"/>
      <c r="X156" s="557"/>
      <c r="Y156" s="557"/>
      <c r="Z156" s="557"/>
      <c r="AA156" s="557"/>
      <c r="AB156" s="557"/>
      <c r="AC156" s="557"/>
      <c r="AD156" s="557"/>
      <c r="AE156" s="159"/>
    </row>
    <row r="157" spans="2:34" s="1" customFormat="1" ht="12" customHeight="1" x14ac:dyDescent="0.2">
      <c r="B157" s="24"/>
      <c r="C157" s="528" t="s">
        <v>15</v>
      </c>
      <c r="F157" s="19" t="str">
        <f>F12</f>
        <v>Kuzmányho nábrežie 28, 960 01 Zvolen</v>
      </c>
      <c r="I157" s="528" t="s">
        <v>17</v>
      </c>
      <c r="J157" s="39" t="str">
        <f>IF(J12="","",J12)</f>
        <v/>
      </c>
      <c r="L157" s="24"/>
      <c r="W157" s="158"/>
      <c r="X157" s="538" t="s">
        <v>15</v>
      </c>
      <c r="Y157" s="557"/>
      <c r="Z157" s="557"/>
      <c r="AA157" s="558" t="str">
        <f>AA12</f>
        <v>Kuzmányho nábrežie 28, 960 01 Zvolen</v>
      </c>
      <c r="AB157" s="557"/>
      <c r="AC157" s="557"/>
      <c r="AD157" s="538" t="s">
        <v>17</v>
      </c>
      <c r="AE157" s="162" t="str">
        <f>IF(AE12="","",AE12)</f>
        <v/>
      </c>
    </row>
    <row r="158" spans="2:34" s="1" customFormat="1" ht="7.05" customHeight="1" x14ac:dyDescent="0.2">
      <c r="B158" s="24"/>
      <c r="C158" s="521"/>
      <c r="I158" s="521"/>
      <c r="L158" s="24"/>
      <c r="W158" s="158"/>
      <c r="X158" s="557"/>
      <c r="Y158" s="557"/>
      <c r="Z158" s="557"/>
      <c r="AA158" s="557"/>
      <c r="AB158" s="557"/>
      <c r="AC158" s="557"/>
      <c r="AD158" s="557"/>
      <c r="AE158" s="159"/>
    </row>
    <row r="159" spans="2:34" s="1" customFormat="1" ht="15.3" customHeight="1" x14ac:dyDescent="0.2">
      <c r="B159" s="24"/>
      <c r="C159" s="528" t="s">
        <v>18</v>
      </c>
      <c r="F159" s="529" t="s">
        <v>6175</v>
      </c>
      <c r="I159" s="528" t="s">
        <v>22</v>
      </c>
      <c r="J159" s="22" t="str">
        <f>E21</f>
        <v xml:space="preserve"> </v>
      </c>
      <c r="L159" s="24"/>
      <c r="W159" s="158"/>
      <c r="X159" s="538" t="s">
        <v>18</v>
      </c>
      <c r="Y159" s="557"/>
      <c r="Z159" s="557"/>
      <c r="AA159" s="576" t="s">
        <v>6175</v>
      </c>
      <c r="AB159" s="557"/>
      <c r="AC159" s="557"/>
      <c r="AD159" s="538" t="s">
        <v>22</v>
      </c>
      <c r="AE159" s="181" t="str">
        <f>Z21</f>
        <v/>
      </c>
      <c r="AH159" s="130"/>
    </row>
    <row r="160" spans="2:34" s="1" customFormat="1" ht="15.3" customHeight="1" x14ac:dyDescent="0.2">
      <c r="B160" s="24"/>
      <c r="C160" s="528" t="s">
        <v>21</v>
      </c>
      <c r="F160" s="529" t="s">
        <v>5202</v>
      </c>
      <c r="I160" s="528" t="s">
        <v>24</v>
      </c>
      <c r="J160" s="22" t="str">
        <f>E24</f>
        <v xml:space="preserve"> </v>
      </c>
      <c r="L160" s="24"/>
      <c r="W160" s="158"/>
      <c r="X160" s="538" t="s">
        <v>21</v>
      </c>
      <c r="Y160" s="557"/>
      <c r="Z160" s="557"/>
      <c r="AA160" s="576" t="s">
        <v>5202</v>
      </c>
      <c r="AB160" s="557"/>
      <c r="AC160" s="557"/>
      <c r="AD160" s="538" t="s">
        <v>24</v>
      </c>
      <c r="AE160" s="181" t="str">
        <f>Z24</f>
        <v/>
      </c>
    </row>
    <row r="161" spans="2:65" s="1" customFormat="1" ht="10.199999999999999" customHeight="1" x14ac:dyDescent="0.2">
      <c r="B161" s="24"/>
      <c r="L161" s="24"/>
      <c r="W161" s="158"/>
      <c r="X161" s="557"/>
      <c r="Y161" s="557"/>
      <c r="Z161" s="557"/>
      <c r="AA161" s="557"/>
      <c r="AB161" s="557"/>
      <c r="AC161" s="557"/>
      <c r="AD161" s="557"/>
      <c r="AE161" s="159"/>
    </row>
    <row r="162" spans="2:65" s="10" customFormat="1" ht="29.25" customHeight="1" x14ac:dyDescent="0.2">
      <c r="B162" s="97"/>
      <c r="C162" s="98" t="s">
        <v>215</v>
      </c>
      <c r="D162" s="99" t="s">
        <v>43</v>
      </c>
      <c r="E162" s="99" t="s">
        <v>41</v>
      </c>
      <c r="F162" s="99" t="s">
        <v>42</v>
      </c>
      <c r="G162" s="99" t="s">
        <v>216</v>
      </c>
      <c r="H162" s="99" t="s">
        <v>217</v>
      </c>
      <c r="I162" s="99" t="s">
        <v>218</v>
      </c>
      <c r="J162" s="100" t="s">
        <v>190</v>
      </c>
      <c r="K162" s="101" t="s">
        <v>219</v>
      </c>
      <c r="L162" s="97"/>
      <c r="M162" s="46" t="s">
        <v>1</v>
      </c>
      <c r="N162" s="47" t="s">
        <v>30</v>
      </c>
      <c r="O162" s="47" t="s">
        <v>220</v>
      </c>
      <c r="P162" s="47" t="s">
        <v>221</v>
      </c>
      <c r="Q162" s="47" t="s">
        <v>222</v>
      </c>
      <c r="R162" s="47" t="s">
        <v>223</v>
      </c>
      <c r="S162" s="47" t="s">
        <v>224</v>
      </c>
      <c r="T162" s="48" t="s">
        <v>225</v>
      </c>
      <c r="W162" s="191"/>
      <c r="X162" s="98" t="s">
        <v>215</v>
      </c>
      <c r="Y162" s="99" t="s">
        <v>43</v>
      </c>
      <c r="Z162" s="99" t="s">
        <v>41</v>
      </c>
      <c r="AA162" s="99" t="s">
        <v>42</v>
      </c>
      <c r="AB162" s="99" t="s">
        <v>216</v>
      </c>
      <c r="AC162" s="99" t="s">
        <v>217</v>
      </c>
      <c r="AD162" s="99" t="s">
        <v>218</v>
      </c>
      <c r="AE162" s="192" t="s">
        <v>190</v>
      </c>
      <c r="AF162" s="228" t="s">
        <v>5220</v>
      </c>
      <c r="AG162" s="395"/>
    </row>
    <row r="163" spans="2:65" s="1" customFormat="1" ht="22.95" customHeight="1" x14ac:dyDescent="0.3">
      <c r="B163" s="24"/>
      <c r="C163" s="51" t="s">
        <v>191</v>
      </c>
      <c r="J163" s="102">
        <f>J164+J205+J275+J353+J399+J412+J487+J497+J504+J520+J529+J537+J545+J558+J579+J583</f>
        <v>87023.540000000008</v>
      </c>
      <c r="L163" s="24"/>
      <c r="M163" s="49"/>
      <c r="N163" s="40"/>
      <c r="O163" s="40"/>
      <c r="P163" s="103" t="e">
        <f>P164+P205+P275+P353+P399+P412+P487+P497+P504+P520+P529+P537+P545+P558+P579+P583+#REF!</f>
        <v>#REF!</v>
      </c>
      <c r="Q163" s="40"/>
      <c r="R163" s="103" t="e">
        <f>R164+R205+R275+R353+R399+R412+R487+R497+R504+R520+R529+R537+R545+R558+R579+R583+#REF!</f>
        <v>#REF!</v>
      </c>
      <c r="S163" s="40"/>
      <c r="T163" s="104" t="e">
        <f>T164+T205+T275+T353+T399+T412+T487+T497+T504+T520+T529+T537+T545+T558+T579+T583+#REF!</f>
        <v>#REF!</v>
      </c>
      <c r="W163" s="158"/>
      <c r="X163" s="193" t="s">
        <v>191</v>
      </c>
      <c r="Y163" s="557"/>
      <c r="Z163" s="557"/>
      <c r="AA163" s="557"/>
      <c r="AB163" s="557"/>
      <c r="AC163" s="557"/>
      <c r="AD163" s="557"/>
      <c r="AE163" s="194">
        <f>AE164+AE205+AE275+AE353+AE399+AE412+AE487+AE497+AE504+AE520+AE529+AE537+AE545+AE558+AE579+AE583+AE565</f>
        <v>92166.18</v>
      </c>
      <c r="AF163" s="227"/>
      <c r="AG163" s="130"/>
      <c r="AT163" s="13" t="s">
        <v>57</v>
      </c>
      <c r="AU163" s="13" t="s">
        <v>192</v>
      </c>
      <c r="BK163" s="105" t="e">
        <f>BK164+BK205+BK275+BK353+BK399+BK412+BK487+BK497+BK504+BK520+BK529+BK537+BK545+BK558+BK579+BK583+#REF!</f>
        <v>#REF!</v>
      </c>
    </row>
    <row r="164" spans="2:65" s="11" customFormat="1" ht="25.95" customHeight="1" x14ac:dyDescent="0.25">
      <c r="B164" s="106"/>
      <c r="D164" s="107" t="s">
        <v>57</v>
      </c>
      <c r="E164" s="108" t="s">
        <v>1201</v>
      </c>
      <c r="F164" s="108" t="s">
        <v>1853</v>
      </c>
      <c r="J164" s="109">
        <f>BK164</f>
        <v>9975.52</v>
      </c>
      <c r="L164" s="106"/>
      <c r="M164" s="110"/>
      <c r="N164" s="111"/>
      <c r="O164" s="111"/>
      <c r="P164" s="112"/>
      <c r="Q164" s="111"/>
      <c r="R164" s="112"/>
      <c r="S164" s="111"/>
      <c r="T164" s="113"/>
      <c r="W164" s="195"/>
      <c r="X164" s="111"/>
      <c r="Y164" s="196" t="s">
        <v>57</v>
      </c>
      <c r="Z164" s="197" t="s">
        <v>1201</v>
      </c>
      <c r="AA164" s="508" t="s">
        <v>6084</v>
      </c>
      <c r="AB164" s="347"/>
      <c r="AC164" s="111"/>
      <c r="AD164" s="111"/>
      <c r="AE164" s="198">
        <f>AE165+AE167+AE169+AE175+AE179+AE190+AE203</f>
        <v>10026.6</v>
      </c>
      <c r="AF164" s="227"/>
      <c r="AR164" s="107" t="s">
        <v>63</v>
      </c>
      <c r="AT164" s="114" t="s">
        <v>57</v>
      </c>
      <c r="AU164" s="114" t="s">
        <v>58</v>
      </c>
      <c r="AY164" s="107" t="s">
        <v>228</v>
      </c>
      <c r="BK164" s="115">
        <f>BK165+SUM(BK166:BK169)+BK175+BK179+BK190+BK203</f>
        <v>9975.52</v>
      </c>
    </row>
    <row r="165" spans="2:65" s="1" customFormat="1" ht="30" customHeight="1" x14ac:dyDescent="0.2">
      <c r="B165" s="118"/>
      <c r="C165" s="119" t="s">
        <v>63</v>
      </c>
      <c r="D165" s="119" t="s">
        <v>231</v>
      </c>
      <c r="E165" s="286" t="s">
        <v>1854</v>
      </c>
      <c r="F165" s="240" t="s">
        <v>1855</v>
      </c>
      <c r="G165" s="287" t="s">
        <v>1194</v>
      </c>
      <c r="H165" s="288">
        <v>1</v>
      </c>
      <c r="I165" s="124">
        <v>4965.09</v>
      </c>
      <c r="J165" s="124">
        <f>ROUND(I165*H165,2)</f>
        <v>4965.09</v>
      </c>
      <c r="K165" s="121" t="s">
        <v>1</v>
      </c>
      <c r="L165" s="465"/>
      <c r="M165" s="467"/>
      <c r="N165" s="467"/>
      <c r="O165" s="467"/>
      <c r="P165" s="467"/>
      <c r="Q165" s="467"/>
      <c r="R165" s="467"/>
      <c r="S165" s="467"/>
      <c r="T165" s="467"/>
      <c r="U165" s="467"/>
      <c r="V165" s="464"/>
      <c r="W165" s="199"/>
      <c r="X165" s="119" t="s">
        <v>63</v>
      </c>
      <c r="Y165" s="119" t="s">
        <v>231</v>
      </c>
      <c r="Z165" s="120" t="s">
        <v>1854</v>
      </c>
      <c r="AA165" s="240" t="s">
        <v>1855</v>
      </c>
      <c r="AB165" s="122" t="s">
        <v>1194</v>
      </c>
      <c r="AC165" s="123">
        <v>1</v>
      </c>
      <c r="AD165" s="124">
        <v>4965.09</v>
      </c>
      <c r="AE165" s="200">
        <f>ROUND(AD165*AC165,2)</f>
        <v>4965.09</v>
      </c>
      <c r="AF165" s="227"/>
      <c r="AG165" s="374"/>
      <c r="AR165" s="129" t="s">
        <v>235</v>
      </c>
      <c r="AT165" s="129" t="s">
        <v>231</v>
      </c>
      <c r="AU165" s="129" t="s">
        <v>63</v>
      </c>
      <c r="AY165" s="13" t="s">
        <v>228</v>
      </c>
      <c r="BE165" s="130">
        <f>IF(N165="základná",J165,0)</f>
        <v>0</v>
      </c>
      <c r="BF165" s="130">
        <f>IF(N165="znížená",J165,0)</f>
        <v>0</v>
      </c>
      <c r="BG165" s="130">
        <f>IF(N165="zákl. prenesená",J165,0)</f>
        <v>0</v>
      </c>
      <c r="BH165" s="130">
        <f>IF(N165="zníž. prenesená",J165,0)</f>
        <v>0</v>
      </c>
      <c r="BI165" s="130">
        <f>IF(N165="nulová",J165,0)</f>
        <v>0</v>
      </c>
      <c r="BJ165" s="13" t="s">
        <v>76</v>
      </c>
      <c r="BK165" s="130">
        <f>ROUND(I165*H165,2)</f>
        <v>4965.09</v>
      </c>
      <c r="BL165" s="13" t="s">
        <v>235</v>
      </c>
      <c r="BM165" s="129" t="s">
        <v>76</v>
      </c>
    </row>
    <row r="166" spans="2:65" s="1" customFormat="1" ht="67.2" x14ac:dyDescent="0.2">
      <c r="B166" s="24"/>
      <c r="D166" s="144" t="s">
        <v>1259</v>
      </c>
      <c r="E166" s="407"/>
      <c r="F166" s="488" t="s">
        <v>1856</v>
      </c>
      <c r="G166" s="407"/>
      <c r="H166" s="407"/>
      <c r="L166" s="24"/>
      <c r="M166" s="146"/>
      <c r="N166" s="42"/>
      <c r="O166" s="42"/>
      <c r="P166" s="42"/>
      <c r="Q166" s="42"/>
      <c r="R166" s="42"/>
      <c r="S166" s="42"/>
      <c r="T166" s="43"/>
      <c r="W166" s="158"/>
      <c r="X166" s="475"/>
      <c r="Y166" s="203" t="s">
        <v>1259</v>
      </c>
      <c r="Z166" s="475"/>
      <c r="AA166" s="509" t="s">
        <v>1856</v>
      </c>
      <c r="AB166" s="475"/>
      <c r="AC166" s="475"/>
      <c r="AD166" s="475"/>
      <c r="AE166" s="159"/>
      <c r="AF166" s="227"/>
      <c r="AG166" s="374"/>
      <c r="AH166" s="477"/>
      <c r="AT166" s="13" t="s">
        <v>1259</v>
      </c>
      <c r="AU166" s="13" t="s">
        <v>63</v>
      </c>
    </row>
    <row r="167" spans="2:65" s="1" customFormat="1" ht="16.5" customHeight="1" x14ac:dyDescent="0.2">
      <c r="B167" s="118"/>
      <c r="C167" s="119" t="s">
        <v>76</v>
      </c>
      <c r="D167" s="119" t="s">
        <v>231</v>
      </c>
      <c r="E167" s="286" t="s">
        <v>1857</v>
      </c>
      <c r="F167" s="240" t="s">
        <v>1858</v>
      </c>
      <c r="G167" s="287" t="s">
        <v>1194</v>
      </c>
      <c r="H167" s="288">
        <v>1</v>
      </c>
      <c r="I167" s="124">
        <v>2892.71</v>
      </c>
      <c r="J167" s="124">
        <f>ROUND(I167*H167,2)</f>
        <v>2892.71</v>
      </c>
      <c r="K167" s="121" t="s">
        <v>1</v>
      </c>
      <c r="L167" s="465"/>
      <c r="M167" s="125"/>
      <c r="N167" s="126"/>
      <c r="O167" s="127"/>
      <c r="P167" s="127"/>
      <c r="Q167" s="127"/>
      <c r="R167" s="127"/>
      <c r="S167" s="127"/>
      <c r="T167" s="128"/>
      <c r="V167" s="464"/>
      <c r="W167" s="199"/>
      <c r="X167" s="119" t="s">
        <v>76</v>
      </c>
      <c r="Y167" s="119" t="s">
        <v>231</v>
      </c>
      <c r="Z167" s="120" t="s">
        <v>1857</v>
      </c>
      <c r="AA167" s="240" t="s">
        <v>1858</v>
      </c>
      <c r="AB167" s="122" t="s">
        <v>1194</v>
      </c>
      <c r="AC167" s="123">
        <v>1</v>
      </c>
      <c r="AD167" s="124">
        <v>2892.71</v>
      </c>
      <c r="AE167" s="200">
        <f>ROUND(AD167*AC167,2)</f>
        <v>2892.71</v>
      </c>
      <c r="AF167" s="227"/>
      <c r="AG167" s="374"/>
      <c r="AH167" s="477"/>
      <c r="AR167" s="129" t="s">
        <v>235</v>
      </c>
      <c r="AT167" s="129" t="s">
        <v>231</v>
      </c>
      <c r="AU167" s="129" t="s">
        <v>63</v>
      </c>
      <c r="AY167" s="13" t="s">
        <v>228</v>
      </c>
      <c r="BE167" s="130">
        <f>IF(N167="základná",J167,0)</f>
        <v>0</v>
      </c>
      <c r="BF167" s="130">
        <f>IF(N167="znížená",J167,0)</f>
        <v>0</v>
      </c>
      <c r="BG167" s="130">
        <f>IF(N167="zákl. prenesená",J167,0)</f>
        <v>0</v>
      </c>
      <c r="BH167" s="130">
        <f>IF(N167="zníž. prenesená",J167,0)</f>
        <v>0</v>
      </c>
      <c r="BI167" s="130">
        <f>IF(N167="nulová",J167,0)</f>
        <v>0</v>
      </c>
      <c r="BJ167" s="13" t="s">
        <v>76</v>
      </c>
      <c r="BK167" s="130">
        <f>ROUND(I167*H167,2)</f>
        <v>2892.71</v>
      </c>
      <c r="BL167" s="13" t="s">
        <v>235</v>
      </c>
      <c r="BM167" s="129" t="s">
        <v>235</v>
      </c>
    </row>
    <row r="168" spans="2:65" s="1" customFormat="1" ht="19.2" x14ac:dyDescent="0.2">
      <c r="B168" s="24"/>
      <c r="D168" s="144" t="s">
        <v>1259</v>
      </c>
      <c r="E168" s="407"/>
      <c r="F168" s="428" t="s">
        <v>1859</v>
      </c>
      <c r="G168" s="407"/>
      <c r="H168" s="407"/>
      <c r="L168" s="24"/>
      <c r="M168" s="146"/>
      <c r="N168" s="42"/>
      <c r="O168" s="42"/>
      <c r="P168" s="42"/>
      <c r="Q168" s="42"/>
      <c r="R168" s="42"/>
      <c r="S168" s="42"/>
      <c r="T168" s="43"/>
      <c r="W168" s="158"/>
      <c r="X168" s="475"/>
      <c r="Y168" s="203" t="s">
        <v>1259</v>
      </c>
      <c r="Z168" s="475"/>
      <c r="AA168" s="505" t="s">
        <v>1859</v>
      </c>
      <c r="AB168" s="475"/>
      <c r="AC168" s="475"/>
      <c r="AD168" s="475"/>
      <c r="AE168" s="159"/>
      <c r="AF168" s="227"/>
      <c r="AG168" s="374"/>
      <c r="AH168" s="477"/>
      <c r="AT168" s="13" t="s">
        <v>1259</v>
      </c>
      <c r="AU168" s="13" t="s">
        <v>63</v>
      </c>
    </row>
    <row r="169" spans="2:65" s="11" customFormat="1" ht="22.95" customHeight="1" x14ac:dyDescent="0.25">
      <c r="B169" s="106"/>
      <c r="D169" s="107" t="s">
        <v>57</v>
      </c>
      <c r="E169" s="116" t="s">
        <v>1211</v>
      </c>
      <c r="F169" s="116" t="s">
        <v>1860</v>
      </c>
      <c r="J169" s="117">
        <f>BK169</f>
        <v>250.91000000000003</v>
      </c>
      <c r="L169" s="106"/>
      <c r="M169" s="110"/>
      <c r="N169" s="111"/>
      <c r="O169" s="111"/>
      <c r="P169" s="112">
        <f>SUM(P170:P174)</f>
        <v>0</v>
      </c>
      <c r="Q169" s="111"/>
      <c r="R169" s="112">
        <f>SUM(R170:R174)</f>
        <v>0</v>
      </c>
      <c r="S169" s="111"/>
      <c r="T169" s="113">
        <f>SUM(T170:T174)</f>
        <v>0</v>
      </c>
      <c r="W169" s="195"/>
      <c r="X169" s="111"/>
      <c r="Y169" s="196" t="s">
        <v>57</v>
      </c>
      <c r="Z169" s="201" t="s">
        <v>1211</v>
      </c>
      <c r="AA169" s="201" t="s">
        <v>1860</v>
      </c>
      <c r="AB169" s="111"/>
      <c r="AC169" s="111"/>
      <c r="AD169" s="111"/>
      <c r="AE169" s="202">
        <f>SUM(AE170:AE174)</f>
        <v>250.91000000000003</v>
      </c>
      <c r="AF169" s="227"/>
      <c r="AG169" s="374"/>
      <c r="AH169" s="477"/>
      <c r="AR169" s="107" t="s">
        <v>63</v>
      </c>
      <c r="AT169" s="114" t="s">
        <v>57</v>
      </c>
      <c r="AU169" s="114" t="s">
        <v>63</v>
      </c>
      <c r="AY169" s="107" t="s">
        <v>228</v>
      </c>
      <c r="BK169" s="115">
        <f>SUM(BK170:BK174)</f>
        <v>250.91000000000003</v>
      </c>
    </row>
    <row r="170" spans="2:65" s="1" customFormat="1" ht="24" customHeight="1" x14ac:dyDescent="0.2">
      <c r="B170" s="118"/>
      <c r="C170" s="285" t="s">
        <v>229</v>
      </c>
      <c r="D170" s="285" t="s">
        <v>231</v>
      </c>
      <c r="E170" s="286" t="s">
        <v>1861</v>
      </c>
      <c r="F170" s="240" t="s">
        <v>1862</v>
      </c>
      <c r="G170" s="287" t="s">
        <v>1194</v>
      </c>
      <c r="H170" s="288">
        <v>1</v>
      </c>
      <c r="I170" s="289">
        <v>32.450000000000003</v>
      </c>
      <c r="J170" s="289">
        <f>ROUND(I170*H170,2)</f>
        <v>32.450000000000003</v>
      </c>
      <c r="K170" s="121" t="s">
        <v>1</v>
      </c>
      <c r="L170" s="463"/>
      <c r="M170" s="125" t="s">
        <v>1</v>
      </c>
      <c r="N170" s="126" t="s">
        <v>32</v>
      </c>
      <c r="O170" s="127">
        <v>0</v>
      </c>
      <c r="P170" s="127">
        <f>O170*H170</f>
        <v>0</v>
      </c>
      <c r="Q170" s="127">
        <v>0</v>
      </c>
      <c r="R170" s="127">
        <f>Q170*H170</f>
        <v>0</v>
      </c>
      <c r="S170" s="127">
        <v>0</v>
      </c>
      <c r="T170" s="128">
        <f>S170*H170</f>
        <v>0</v>
      </c>
      <c r="W170" s="199"/>
      <c r="X170" s="285" t="s">
        <v>229</v>
      </c>
      <c r="Y170" s="285" t="s">
        <v>231</v>
      </c>
      <c r="Z170" s="286" t="s">
        <v>1861</v>
      </c>
      <c r="AA170" s="240" t="s">
        <v>1862</v>
      </c>
      <c r="AB170" s="287" t="s">
        <v>1194</v>
      </c>
      <c r="AC170" s="288">
        <v>1</v>
      </c>
      <c r="AD170" s="289">
        <v>32.450000000000003</v>
      </c>
      <c r="AE170" s="290">
        <f>ROUND(AD170*AC170,2)</f>
        <v>32.450000000000003</v>
      </c>
      <c r="AF170" s="227"/>
      <c r="AG170" s="374"/>
      <c r="AH170" s="477"/>
      <c r="AR170" s="129" t="s">
        <v>235</v>
      </c>
      <c r="AT170" s="129" t="s">
        <v>231</v>
      </c>
      <c r="AU170" s="129" t="s">
        <v>76</v>
      </c>
      <c r="AY170" s="13" t="s">
        <v>228</v>
      </c>
      <c r="BE170" s="130">
        <f>IF(N170="základná",J170,0)</f>
        <v>0</v>
      </c>
      <c r="BF170" s="130">
        <f>IF(N170="znížená",J170,0)</f>
        <v>32.450000000000003</v>
      </c>
      <c r="BG170" s="130">
        <f>IF(N170="zákl. prenesená",J170,0)</f>
        <v>0</v>
      </c>
      <c r="BH170" s="130">
        <f>IF(N170="zníž. prenesená",J170,0)</f>
        <v>0</v>
      </c>
      <c r="BI170" s="130">
        <f>IF(N170="nulová",J170,0)</f>
        <v>0</v>
      </c>
      <c r="BJ170" s="13" t="s">
        <v>76</v>
      </c>
      <c r="BK170" s="130">
        <f>ROUND(I170*H170,2)</f>
        <v>32.450000000000003</v>
      </c>
      <c r="BL170" s="13" t="s">
        <v>235</v>
      </c>
      <c r="BM170" s="129" t="s">
        <v>240</v>
      </c>
    </row>
    <row r="171" spans="2:65" s="1" customFormat="1" ht="24" customHeight="1" x14ac:dyDescent="0.2">
      <c r="B171" s="118"/>
      <c r="C171" s="285" t="s">
        <v>235</v>
      </c>
      <c r="D171" s="285" t="s">
        <v>231</v>
      </c>
      <c r="E171" s="286" t="s">
        <v>1863</v>
      </c>
      <c r="F171" s="240" t="s">
        <v>1864</v>
      </c>
      <c r="G171" s="287" t="s">
        <v>1194</v>
      </c>
      <c r="H171" s="288">
        <v>1</v>
      </c>
      <c r="I171" s="289">
        <v>37.5</v>
      </c>
      <c r="J171" s="289">
        <f>ROUND(I171*H171,2)</f>
        <v>37.5</v>
      </c>
      <c r="K171" s="121" t="s">
        <v>1</v>
      </c>
      <c r="L171" s="463"/>
      <c r="M171" s="125" t="s">
        <v>1</v>
      </c>
      <c r="N171" s="126" t="s">
        <v>32</v>
      </c>
      <c r="O171" s="127">
        <v>0</v>
      </c>
      <c r="P171" s="127">
        <f>O171*H171</f>
        <v>0</v>
      </c>
      <c r="Q171" s="127">
        <v>0</v>
      </c>
      <c r="R171" s="127">
        <f>Q171*H171</f>
        <v>0</v>
      </c>
      <c r="S171" s="127">
        <v>0</v>
      </c>
      <c r="T171" s="128">
        <f>S171*H171</f>
        <v>0</v>
      </c>
      <c r="W171" s="199"/>
      <c r="X171" s="285" t="s">
        <v>235</v>
      </c>
      <c r="Y171" s="285" t="s">
        <v>231</v>
      </c>
      <c r="Z171" s="286" t="s">
        <v>1863</v>
      </c>
      <c r="AA171" s="240" t="s">
        <v>1864</v>
      </c>
      <c r="AB171" s="287" t="s">
        <v>1194</v>
      </c>
      <c r="AC171" s="288">
        <v>1</v>
      </c>
      <c r="AD171" s="289">
        <v>37.5</v>
      </c>
      <c r="AE171" s="290">
        <f>ROUND(AD171*AC171,2)</f>
        <v>37.5</v>
      </c>
      <c r="AF171" s="227"/>
      <c r="AG171" s="374"/>
      <c r="AH171" s="477"/>
      <c r="AR171" s="129" t="s">
        <v>235</v>
      </c>
      <c r="AT171" s="129" t="s">
        <v>231</v>
      </c>
      <c r="AU171" s="129" t="s">
        <v>76</v>
      </c>
      <c r="AY171" s="13" t="s">
        <v>228</v>
      </c>
      <c r="BE171" s="130">
        <f>IF(N171="základná",J171,0)</f>
        <v>0</v>
      </c>
      <c r="BF171" s="130">
        <f>IF(N171="znížená",J171,0)</f>
        <v>37.5</v>
      </c>
      <c r="BG171" s="130">
        <f>IF(N171="zákl. prenesená",J171,0)</f>
        <v>0</v>
      </c>
      <c r="BH171" s="130">
        <f>IF(N171="zníž. prenesená",J171,0)</f>
        <v>0</v>
      </c>
      <c r="BI171" s="130">
        <f>IF(N171="nulová",J171,0)</f>
        <v>0</v>
      </c>
      <c r="BJ171" s="13" t="s">
        <v>76</v>
      </c>
      <c r="BK171" s="130">
        <f>ROUND(I171*H171,2)</f>
        <v>37.5</v>
      </c>
      <c r="BL171" s="13" t="s">
        <v>235</v>
      </c>
      <c r="BM171" s="129" t="s">
        <v>244</v>
      </c>
    </row>
    <row r="172" spans="2:65" s="1" customFormat="1" ht="24" customHeight="1" x14ac:dyDescent="0.2">
      <c r="B172" s="118"/>
      <c r="C172" s="285" t="s">
        <v>245</v>
      </c>
      <c r="D172" s="285" t="s">
        <v>231</v>
      </c>
      <c r="E172" s="286" t="s">
        <v>1865</v>
      </c>
      <c r="F172" s="240" t="s">
        <v>1866</v>
      </c>
      <c r="G172" s="287" t="s">
        <v>1194</v>
      </c>
      <c r="H172" s="288">
        <v>1</v>
      </c>
      <c r="I172" s="289">
        <v>81.64</v>
      </c>
      <c r="J172" s="289">
        <f>ROUND(I172*H172,2)</f>
        <v>81.64</v>
      </c>
      <c r="K172" s="121" t="s">
        <v>1</v>
      </c>
      <c r="L172" s="463"/>
      <c r="M172" s="125" t="s">
        <v>1</v>
      </c>
      <c r="N172" s="126" t="s">
        <v>32</v>
      </c>
      <c r="O172" s="127">
        <v>0</v>
      </c>
      <c r="P172" s="127">
        <f>O172*H172</f>
        <v>0</v>
      </c>
      <c r="Q172" s="127">
        <v>0</v>
      </c>
      <c r="R172" s="127">
        <f>Q172*H172</f>
        <v>0</v>
      </c>
      <c r="S172" s="127">
        <v>0</v>
      </c>
      <c r="T172" s="128">
        <f>S172*H172</f>
        <v>0</v>
      </c>
      <c r="W172" s="199"/>
      <c r="X172" s="285" t="s">
        <v>245</v>
      </c>
      <c r="Y172" s="285" t="s">
        <v>231</v>
      </c>
      <c r="Z172" s="286" t="s">
        <v>1865</v>
      </c>
      <c r="AA172" s="240" t="s">
        <v>1866</v>
      </c>
      <c r="AB172" s="287" t="s">
        <v>1194</v>
      </c>
      <c r="AC172" s="288">
        <v>1</v>
      </c>
      <c r="AD172" s="289">
        <v>81.64</v>
      </c>
      <c r="AE172" s="290">
        <f>ROUND(AD172*AC172,2)</f>
        <v>81.64</v>
      </c>
      <c r="AF172" s="227"/>
      <c r="AG172" s="374"/>
      <c r="AH172" s="477"/>
      <c r="AR172" s="129" t="s">
        <v>235</v>
      </c>
      <c r="AT172" s="129" t="s">
        <v>231</v>
      </c>
      <c r="AU172" s="129" t="s">
        <v>76</v>
      </c>
      <c r="AY172" s="13" t="s">
        <v>228</v>
      </c>
      <c r="BE172" s="130">
        <f>IF(N172="základná",J172,0)</f>
        <v>0</v>
      </c>
      <c r="BF172" s="130">
        <f>IF(N172="znížená",J172,0)</f>
        <v>81.64</v>
      </c>
      <c r="BG172" s="130">
        <f>IF(N172="zákl. prenesená",J172,0)</f>
        <v>0</v>
      </c>
      <c r="BH172" s="130">
        <f>IF(N172="zníž. prenesená",J172,0)</f>
        <v>0</v>
      </c>
      <c r="BI172" s="130">
        <f>IF(N172="nulová",J172,0)</f>
        <v>0</v>
      </c>
      <c r="BJ172" s="13" t="s">
        <v>76</v>
      </c>
      <c r="BK172" s="130">
        <f>ROUND(I172*H172,2)</f>
        <v>81.64</v>
      </c>
      <c r="BL172" s="13" t="s">
        <v>235</v>
      </c>
      <c r="BM172" s="129" t="s">
        <v>248</v>
      </c>
    </row>
    <row r="173" spans="2:65" s="1" customFormat="1" ht="24" customHeight="1" x14ac:dyDescent="0.2">
      <c r="B173" s="118"/>
      <c r="C173" s="285" t="s">
        <v>240</v>
      </c>
      <c r="D173" s="285" t="s">
        <v>231</v>
      </c>
      <c r="E173" s="286" t="s">
        <v>1867</v>
      </c>
      <c r="F173" s="240" t="s">
        <v>1868</v>
      </c>
      <c r="G173" s="287" t="s">
        <v>1194</v>
      </c>
      <c r="H173" s="288">
        <v>1</v>
      </c>
      <c r="I173" s="289">
        <v>44.14</v>
      </c>
      <c r="J173" s="289">
        <f>ROUND(I173*H173,2)</f>
        <v>44.14</v>
      </c>
      <c r="K173" s="121" t="s">
        <v>1</v>
      </c>
      <c r="L173" s="463"/>
      <c r="M173" s="125" t="s">
        <v>1</v>
      </c>
      <c r="N173" s="126" t="s">
        <v>32</v>
      </c>
      <c r="O173" s="127">
        <v>0</v>
      </c>
      <c r="P173" s="127">
        <f>O173*H173</f>
        <v>0</v>
      </c>
      <c r="Q173" s="127">
        <v>0</v>
      </c>
      <c r="R173" s="127">
        <f>Q173*H173</f>
        <v>0</v>
      </c>
      <c r="S173" s="127">
        <v>0</v>
      </c>
      <c r="T173" s="128">
        <f>S173*H173</f>
        <v>0</v>
      </c>
      <c r="W173" s="199"/>
      <c r="X173" s="285" t="s">
        <v>240</v>
      </c>
      <c r="Y173" s="285" t="s">
        <v>231</v>
      </c>
      <c r="Z173" s="286" t="s">
        <v>1867</v>
      </c>
      <c r="AA173" s="240" t="s">
        <v>1868</v>
      </c>
      <c r="AB173" s="287" t="s">
        <v>1194</v>
      </c>
      <c r="AC173" s="288">
        <v>1</v>
      </c>
      <c r="AD173" s="289">
        <v>44.14</v>
      </c>
      <c r="AE173" s="290">
        <f>ROUND(AD173*AC173,2)</f>
        <v>44.14</v>
      </c>
      <c r="AF173" s="227"/>
      <c r="AG173" s="374"/>
      <c r="AH173" s="477"/>
      <c r="AR173" s="129" t="s">
        <v>235</v>
      </c>
      <c r="AT173" s="129" t="s">
        <v>231</v>
      </c>
      <c r="AU173" s="129" t="s">
        <v>76</v>
      </c>
      <c r="AY173" s="13" t="s">
        <v>228</v>
      </c>
      <c r="BE173" s="130">
        <f>IF(N173="základná",J173,0)</f>
        <v>0</v>
      </c>
      <c r="BF173" s="130">
        <f>IF(N173="znížená",J173,0)</f>
        <v>44.14</v>
      </c>
      <c r="BG173" s="130">
        <f>IF(N173="zákl. prenesená",J173,0)</f>
        <v>0</v>
      </c>
      <c r="BH173" s="130">
        <f>IF(N173="zníž. prenesená",J173,0)</f>
        <v>0</v>
      </c>
      <c r="BI173" s="130">
        <f>IF(N173="nulová",J173,0)</f>
        <v>0</v>
      </c>
      <c r="BJ173" s="13" t="s">
        <v>76</v>
      </c>
      <c r="BK173" s="130">
        <f>ROUND(I173*H173,2)</f>
        <v>44.14</v>
      </c>
      <c r="BL173" s="13" t="s">
        <v>235</v>
      </c>
      <c r="BM173" s="129" t="s">
        <v>251</v>
      </c>
    </row>
    <row r="174" spans="2:65" s="1" customFormat="1" ht="16.5" customHeight="1" x14ac:dyDescent="0.2">
      <c r="B174" s="118"/>
      <c r="C174" s="285" t="s">
        <v>252</v>
      </c>
      <c r="D174" s="285" t="s">
        <v>231</v>
      </c>
      <c r="E174" s="286" t="s">
        <v>1869</v>
      </c>
      <c r="F174" s="240" t="s">
        <v>1870</v>
      </c>
      <c r="G174" s="287" t="s">
        <v>1194</v>
      </c>
      <c r="H174" s="288">
        <v>1</v>
      </c>
      <c r="I174" s="289">
        <v>55.18</v>
      </c>
      <c r="J174" s="289">
        <f>ROUND(I174*H174,2)</f>
        <v>55.18</v>
      </c>
      <c r="K174" s="121" t="s">
        <v>1</v>
      </c>
      <c r="L174" s="463"/>
      <c r="M174" s="125" t="s">
        <v>1</v>
      </c>
      <c r="N174" s="126" t="s">
        <v>32</v>
      </c>
      <c r="O174" s="127">
        <v>0</v>
      </c>
      <c r="P174" s="127">
        <f>O174*H174</f>
        <v>0</v>
      </c>
      <c r="Q174" s="127">
        <v>0</v>
      </c>
      <c r="R174" s="127">
        <f>Q174*H174</f>
        <v>0</v>
      </c>
      <c r="S174" s="127">
        <v>0</v>
      </c>
      <c r="T174" s="128">
        <f>S174*H174</f>
        <v>0</v>
      </c>
      <c r="W174" s="199"/>
      <c r="X174" s="285" t="s">
        <v>252</v>
      </c>
      <c r="Y174" s="285" t="s">
        <v>231</v>
      </c>
      <c r="Z174" s="286" t="s">
        <v>1869</v>
      </c>
      <c r="AA174" s="240" t="s">
        <v>1870</v>
      </c>
      <c r="AB174" s="287" t="s">
        <v>1194</v>
      </c>
      <c r="AC174" s="288">
        <v>1</v>
      </c>
      <c r="AD174" s="289">
        <v>55.18</v>
      </c>
      <c r="AE174" s="290">
        <f>ROUND(AD174*AC174,2)</f>
        <v>55.18</v>
      </c>
      <c r="AF174" s="227"/>
      <c r="AG174" s="374"/>
      <c r="AH174" s="477"/>
      <c r="AR174" s="129" t="s">
        <v>235</v>
      </c>
      <c r="AT174" s="129" t="s">
        <v>231</v>
      </c>
      <c r="AU174" s="129" t="s">
        <v>76</v>
      </c>
      <c r="AY174" s="13" t="s">
        <v>228</v>
      </c>
      <c r="BE174" s="130">
        <f>IF(N174="základná",J174,0)</f>
        <v>0</v>
      </c>
      <c r="BF174" s="130">
        <f>IF(N174="znížená",J174,0)</f>
        <v>55.18</v>
      </c>
      <c r="BG174" s="130">
        <f>IF(N174="zákl. prenesená",J174,0)</f>
        <v>0</v>
      </c>
      <c r="BH174" s="130">
        <f>IF(N174="zníž. prenesená",J174,0)</f>
        <v>0</v>
      </c>
      <c r="BI174" s="130">
        <f>IF(N174="nulová",J174,0)</f>
        <v>0</v>
      </c>
      <c r="BJ174" s="13" t="s">
        <v>76</v>
      </c>
      <c r="BK174" s="130">
        <f>ROUND(I174*H174,2)</f>
        <v>55.18</v>
      </c>
      <c r="BL174" s="13" t="s">
        <v>235</v>
      </c>
      <c r="BM174" s="129" t="s">
        <v>255</v>
      </c>
    </row>
    <row r="175" spans="2:65" s="11" customFormat="1" ht="24.45" customHeight="1" x14ac:dyDescent="0.25">
      <c r="B175" s="106"/>
      <c r="C175" s="292"/>
      <c r="D175" s="489" t="s">
        <v>57</v>
      </c>
      <c r="E175" s="490" t="s">
        <v>1215</v>
      </c>
      <c r="F175" s="490" t="s">
        <v>1871</v>
      </c>
      <c r="G175" s="292"/>
      <c r="H175" s="292"/>
      <c r="I175" s="292"/>
      <c r="J175" s="491">
        <f>BK175</f>
        <v>164.53</v>
      </c>
      <c r="L175" s="106"/>
      <c r="M175" s="110"/>
      <c r="N175" s="111"/>
      <c r="O175" s="111"/>
      <c r="P175" s="112">
        <f>SUM(P176:P178)</f>
        <v>0</v>
      </c>
      <c r="Q175" s="111"/>
      <c r="R175" s="112">
        <f>SUM(R176:R178)</f>
        <v>0</v>
      </c>
      <c r="S175" s="111"/>
      <c r="T175" s="113">
        <f>SUM(T176:T178)</f>
        <v>0</v>
      </c>
      <c r="W175" s="195"/>
      <c r="X175" s="347"/>
      <c r="Y175" s="506" t="s">
        <v>57</v>
      </c>
      <c r="Z175" s="507" t="s">
        <v>1215</v>
      </c>
      <c r="AA175" s="507" t="s">
        <v>1871</v>
      </c>
      <c r="AB175" s="347"/>
      <c r="AC175" s="347"/>
      <c r="AD175" s="347"/>
      <c r="AE175" s="510">
        <f>SUM(AE176:AE178)</f>
        <v>164.53</v>
      </c>
      <c r="AF175" s="227"/>
      <c r="AG175" s="374"/>
      <c r="AH175" s="477"/>
      <c r="AR175" s="107" t="s">
        <v>63</v>
      </c>
      <c r="AT175" s="114" t="s">
        <v>57</v>
      </c>
      <c r="AU175" s="114" t="s">
        <v>63</v>
      </c>
      <c r="AY175" s="107" t="s">
        <v>228</v>
      </c>
      <c r="BK175" s="115">
        <f>SUM(BK176:BK178)</f>
        <v>164.53</v>
      </c>
    </row>
    <row r="176" spans="2:65" s="1" customFormat="1" ht="24" customHeight="1" x14ac:dyDescent="0.2">
      <c r="B176" s="118"/>
      <c r="C176" s="285" t="s">
        <v>244</v>
      </c>
      <c r="D176" s="285" t="s">
        <v>231</v>
      </c>
      <c r="E176" s="286" t="s">
        <v>1872</v>
      </c>
      <c r="F176" s="240" t="s">
        <v>1873</v>
      </c>
      <c r="G176" s="287" t="s">
        <v>1194</v>
      </c>
      <c r="H176" s="288">
        <v>1</v>
      </c>
      <c r="I176" s="289">
        <v>29.91</v>
      </c>
      <c r="J176" s="289">
        <f>ROUND(I176*H176,2)</f>
        <v>29.91</v>
      </c>
      <c r="K176" s="121" t="s">
        <v>1</v>
      </c>
      <c r="L176" s="463"/>
      <c r="M176" s="125" t="s">
        <v>1</v>
      </c>
      <c r="N176" s="126" t="s">
        <v>32</v>
      </c>
      <c r="O176" s="127">
        <v>0</v>
      </c>
      <c r="P176" s="127">
        <f>O176*H176</f>
        <v>0</v>
      </c>
      <c r="Q176" s="127">
        <v>0</v>
      </c>
      <c r="R176" s="127">
        <f>Q176*H176</f>
        <v>0</v>
      </c>
      <c r="S176" s="127">
        <v>0</v>
      </c>
      <c r="T176" s="128">
        <f>S176*H176</f>
        <v>0</v>
      </c>
      <c r="W176" s="199"/>
      <c r="X176" s="285" t="s">
        <v>244</v>
      </c>
      <c r="Y176" s="285" t="s">
        <v>231</v>
      </c>
      <c r="Z176" s="286" t="s">
        <v>1872</v>
      </c>
      <c r="AA176" s="240" t="s">
        <v>1873</v>
      </c>
      <c r="AB176" s="287" t="s">
        <v>1194</v>
      </c>
      <c r="AC176" s="288">
        <v>1</v>
      </c>
      <c r="AD176" s="289">
        <v>29.91</v>
      </c>
      <c r="AE176" s="290">
        <f>ROUND(AD176*AC176,2)</f>
        <v>29.91</v>
      </c>
      <c r="AF176" s="227"/>
      <c r="AG176" s="374"/>
      <c r="AH176" s="477"/>
      <c r="AR176" s="129" t="s">
        <v>235</v>
      </c>
      <c r="AT176" s="129" t="s">
        <v>231</v>
      </c>
      <c r="AU176" s="129" t="s">
        <v>76</v>
      </c>
      <c r="AY176" s="13" t="s">
        <v>228</v>
      </c>
      <c r="BE176" s="130">
        <f>IF(N176="základná",J176,0)</f>
        <v>0</v>
      </c>
      <c r="BF176" s="130">
        <f>IF(N176="znížená",J176,0)</f>
        <v>29.91</v>
      </c>
      <c r="BG176" s="130">
        <f>IF(N176="zákl. prenesená",J176,0)</f>
        <v>0</v>
      </c>
      <c r="BH176" s="130">
        <f>IF(N176="zníž. prenesená",J176,0)</f>
        <v>0</v>
      </c>
      <c r="BI176" s="130">
        <f>IF(N176="nulová",J176,0)</f>
        <v>0</v>
      </c>
      <c r="BJ176" s="13" t="s">
        <v>76</v>
      </c>
      <c r="BK176" s="130">
        <f>ROUND(I176*H176,2)</f>
        <v>29.91</v>
      </c>
      <c r="BL176" s="13" t="s">
        <v>235</v>
      </c>
      <c r="BM176" s="129" t="s">
        <v>258</v>
      </c>
    </row>
    <row r="177" spans="2:65" s="1" customFormat="1" ht="24" customHeight="1" x14ac:dyDescent="0.2">
      <c r="B177" s="118"/>
      <c r="C177" s="285" t="s">
        <v>259</v>
      </c>
      <c r="D177" s="285" t="s">
        <v>231</v>
      </c>
      <c r="E177" s="286" t="s">
        <v>1874</v>
      </c>
      <c r="F177" s="240" t="s">
        <v>1875</v>
      </c>
      <c r="G177" s="287" t="s">
        <v>1194</v>
      </c>
      <c r="H177" s="288">
        <v>1</v>
      </c>
      <c r="I177" s="289">
        <v>79.44</v>
      </c>
      <c r="J177" s="289">
        <f>ROUND(I177*H177,2)</f>
        <v>79.44</v>
      </c>
      <c r="K177" s="121" t="s">
        <v>1</v>
      </c>
      <c r="L177" s="463"/>
      <c r="M177" s="125" t="s">
        <v>1</v>
      </c>
      <c r="N177" s="126" t="s">
        <v>32</v>
      </c>
      <c r="O177" s="127">
        <v>0</v>
      </c>
      <c r="P177" s="127">
        <f>O177*H177</f>
        <v>0</v>
      </c>
      <c r="Q177" s="127">
        <v>0</v>
      </c>
      <c r="R177" s="127">
        <f>Q177*H177</f>
        <v>0</v>
      </c>
      <c r="S177" s="127">
        <v>0</v>
      </c>
      <c r="T177" s="128">
        <f>S177*H177</f>
        <v>0</v>
      </c>
      <c r="W177" s="199"/>
      <c r="X177" s="285" t="s">
        <v>259</v>
      </c>
      <c r="Y177" s="285" t="s">
        <v>231</v>
      </c>
      <c r="Z177" s="286" t="s">
        <v>1874</v>
      </c>
      <c r="AA177" s="240" t="s">
        <v>1875</v>
      </c>
      <c r="AB177" s="287" t="s">
        <v>1194</v>
      </c>
      <c r="AC177" s="288">
        <v>1</v>
      </c>
      <c r="AD177" s="289">
        <v>79.44</v>
      </c>
      <c r="AE177" s="290">
        <f>ROUND(AD177*AC177,2)</f>
        <v>79.44</v>
      </c>
      <c r="AF177" s="227"/>
      <c r="AG177" s="374"/>
      <c r="AH177" s="477"/>
      <c r="AR177" s="129" t="s">
        <v>235</v>
      </c>
      <c r="AT177" s="129" t="s">
        <v>231</v>
      </c>
      <c r="AU177" s="129" t="s">
        <v>76</v>
      </c>
      <c r="AY177" s="13" t="s">
        <v>228</v>
      </c>
      <c r="BE177" s="130">
        <f>IF(N177="základná",J177,0)</f>
        <v>0</v>
      </c>
      <c r="BF177" s="130">
        <f>IF(N177="znížená",J177,0)</f>
        <v>79.44</v>
      </c>
      <c r="BG177" s="130">
        <f>IF(N177="zákl. prenesená",J177,0)</f>
        <v>0</v>
      </c>
      <c r="BH177" s="130">
        <f>IF(N177="zníž. prenesená",J177,0)</f>
        <v>0</v>
      </c>
      <c r="BI177" s="130">
        <f>IF(N177="nulová",J177,0)</f>
        <v>0</v>
      </c>
      <c r="BJ177" s="13" t="s">
        <v>76</v>
      </c>
      <c r="BK177" s="130">
        <f>ROUND(I177*H177,2)</f>
        <v>79.44</v>
      </c>
      <c r="BL177" s="13" t="s">
        <v>235</v>
      </c>
      <c r="BM177" s="129" t="s">
        <v>262</v>
      </c>
    </row>
    <row r="178" spans="2:65" s="1" customFormat="1" ht="16.5" customHeight="1" x14ac:dyDescent="0.2">
      <c r="B178" s="118"/>
      <c r="C178" s="285" t="s">
        <v>248</v>
      </c>
      <c r="D178" s="285" t="s">
        <v>231</v>
      </c>
      <c r="E178" s="286" t="s">
        <v>1869</v>
      </c>
      <c r="F178" s="240" t="s">
        <v>1870</v>
      </c>
      <c r="G178" s="287" t="s">
        <v>1194</v>
      </c>
      <c r="H178" s="288">
        <v>1</v>
      </c>
      <c r="I178" s="289">
        <v>55.18</v>
      </c>
      <c r="J178" s="289">
        <f>ROUND(I178*H178,2)</f>
        <v>55.18</v>
      </c>
      <c r="K178" s="121" t="s">
        <v>1</v>
      </c>
      <c r="L178" s="463"/>
      <c r="M178" s="125" t="s">
        <v>1</v>
      </c>
      <c r="N178" s="126" t="s">
        <v>32</v>
      </c>
      <c r="O178" s="127">
        <v>0</v>
      </c>
      <c r="P178" s="127">
        <f>O178*H178</f>
        <v>0</v>
      </c>
      <c r="Q178" s="127">
        <v>0</v>
      </c>
      <c r="R178" s="127">
        <f>Q178*H178</f>
        <v>0</v>
      </c>
      <c r="S178" s="127">
        <v>0</v>
      </c>
      <c r="T178" s="128">
        <f>S178*H178</f>
        <v>0</v>
      </c>
      <c r="W178" s="199"/>
      <c r="X178" s="285" t="s">
        <v>248</v>
      </c>
      <c r="Y178" s="285" t="s">
        <v>231</v>
      </c>
      <c r="Z178" s="286" t="s">
        <v>1869</v>
      </c>
      <c r="AA178" s="240" t="s">
        <v>1870</v>
      </c>
      <c r="AB178" s="287" t="s">
        <v>1194</v>
      </c>
      <c r="AC178" s="288">
        <v>1</v>
      </c>
      <c r="AD178" s="289">
        <v>55.18</v>
      </c>
      <c r="AE178" s="290">
        <f>ROUND(AD178*AC178,2)</f>
        <v>55.18</v>
      </c>
      <c r="AF178" s="227"/>
      <c r="AG178" s="374"/>
      <c r="AH178" s="477"/>
      <c r="AR178" s="129" t="s">
        <v>235</v>
      </c>
      <c r="AT178" s="129" t="s">
        <v>231</v>
      </c>
      <c r="AU178" s="129" t="s">
        <v>76</v>
      </c>
      <c r="AY178" s="13" t="s">
        <v>228</v>
      </c>
      <c r="BE178" s="130">
        <f>IF(N178="základná",J178,0)</f>
        <v>0</v>
      </c>
      <c r="BF178" s="130">
        <f>IF(N178="znížená",J178,0)</f>
        <v>55.18</v>
      </c>
      <c r="BG178" s="130">
        <f>IF(N178="zákl. prenesená",J178,0)</f>
        <v>0</v>
      </c>
      <c r="BH178" s="130">
        <f>IF(N178="zníž. prenesená",J178,0)</f>
        <v>0</v>
      </c>
      <c r="BI178" s="130">
        <f>IF(N178="nulová",J178,0)</f>
        <v>0</v>
      </c>
      <c r="BJ178" s="13" t="s">
        <v>76</v>
      </c>
      <c r="BK178" s="130">
        <f>ROUND(I178*H178,2)</f>
        <v>55.18</v>
      </c>
      <c r="BL178" s="13" t="s">
        <v>235</v>
      </c>
      <c r="BM178" s="129" t="s">
        <v>7</v>
      </c>
    </row>
    <row r="179" spans="2:65" s="11" customFormat="1" ht="22.95" customHeight="1" x14ac:dyDescent="0.25">
      <c r="B179" s="106"/>
      <c r="C179" s="292"/>
      <c r="D179" s="489" t="s">
        <v>57</v>
      </c>
      <c r="E179" s="490" t="s">
        <v>1227</v>
      </c>
      <c r="F179" s="490" t="s">
        <v>1876</v>
      </c>
      <c r="G179" s="292"/>
      <c r="H179" s="292"/>
      <c r="I179" s="292"/>
      <c r="J179" s="491">
        <f>BK179</f>
        <v>738.52</v>
      </c>
      <c r="L179" s="106"/>
      <c r="M179" s="110"/>
      <c r="N179" s="111"/>
      <c r="O179" s="111"/>
      <c r="P179" s="112">
        <f>SUM(P180:P189)</f>
        <v>0</v>
      </c>
      <c r="Q179" s="111"/>
      <c r="R179" s="112">
        <f>SUM(R180:R189)</f>
        <v>0</v>
      </c>
      <c r="S179" s="111"/>
      <c r="T179" s="113">
        <f>SUM(T180:T189)</f>
        <v>0</v>
      </c>
      <c r="W179" s="195"/>
      <c r="X179" s="347"/>
      <c r="Y179" s="506" t="s">
        <v>57</v>
      </c>
      <c r="Z179" s="507" t="s">
        <v>1227</v>
      </c>
      <c r="AA179" s="507" t="s">
        <v>1876</v>
      </c>
      <c r="AB179" s="347"/>
      <c r="AC179" s="347"/>
      <c r="AD179" s="347"/>
      <c r="AE179" s="510">
        <f>SUM(AE180:AE188)</f>
        <v>738.52</v>
      </c>
      <c r="AF179" s="227"/>
      <c r="AG179" s="374"/>
      <c r="AH179" s="477"/>
      <c r="AR179" s="107" t="s">
        <v>63</v>
      </c>
      <c r="AT179" s="114" t="s">
        <v>57</v>
      </c>
      <c r="AU179" s="114" t="s">
        <v>63</v>
      </c>
      <c r="AY179" s="107" t="s">
        <v>228</v>
      </c>
      <c r="BK179" s="115">
        <f>SUM(BK180:BK189)</f>
        <v>738.52</v>
      </c>
    </row>
    <row r="180" spans="2:65" s="1" customFormat="1" ht="24" customHeight="1" x14ac:dyDescent="0.2">
      <c r="B180" s="118"/>
      <c r="C180" s="285" t="s">
        <v>265</v>
      </c>
      <c r="D180" s="285" t="s">
        <v>231</v>
      </c>
      <c r="E180" s="286" t="s">
        <v>1877</v>
      </c>
      <c r="F180" s="240" t="s">
        <v>1878</v>
      </c>
      <c r="G180" s="287" t="s">
        <v>1194</v>
      </c>
      <c r="H180" s="288">
        <v>1</v>
      </c>
      <c r="I180" s="289">
        <v>32.450000000000003</v>
      </c>
      <c r="J180" s="289">
        <f t="shared" ref="J180:J188" si="0">ROUND(I180*H180,2)</f>
        <v>32.450000000000003</v>
      </c>
      <c r="K180" s="121" t="s">
        <v>1</v>
      </c>
      <c r="L180" s="463"/>
      <c r="M180" s="125" t="s">
        <v>1</v>
      </c>
      <c r="N180" s="126" t="s">
        <v>32</v>
      </c>
      <c r="O180" s="127">
        <v>0</v>
      </c>
      <c r="P180" s="127">
        <f t="shared" ref="P180:P188" si="1">O180*H180</f>
        <v>0</v>
      </c>
      <c r="Q180" s="127">
        <v>0</v>
      </c>
      <c r="R180" s="127">
        <f t="shared" ref="R180:R188" si="2">Q180*H180</f>
        <v>0</v>
      </c>
      <c r="S180" s="127">
        <v>0</v>
      </c>
      <c r="T180" s="128">
        <f t="shared" ref="T180:T188" si="3">S180*H180</f>
        <v>0</v>
      </c>
      <c r="W180" s="199"/>
      <c r="X180" s="285" t="s">
        <v>265</v>
      </c>
      <c r="Y180" s="285" t="s">
        <v>231</v>
      </c>
      <c r="Z180" s="286" t="s">
        <v>1877</v>
      </c>
      <c r="AA180" s="240" t="s">
        <v>1878</v>
      </c>
      <c r="AB180" s="287" t="s">
        <v>1194</v>
      </c>
      <c r="AC180" s="288">
        <v>1</v>
      </c>
      <c r="AD180" s="289">
        <v>32.450000000000003</v>
      </c>
      <c r="AE180" s="290">
        <f t="shared" ref="AE180:AE188" si="4">ROUND(AD180*AC180,2)</f>
        <v>32.450000000000003</v>
      </c>
      <c r="AF180" s="227"/>
      <c r="AG180" s="374"/>
      <c r="AH180" s="477"/>
      <c r="AR180" s="129" t="s">
        <v>235</v>
      </c>
      <c r="AT180" s="129" t="s">
        <v>231</v>
      </c>
      <c r="AU180" s="129" t="s">
        <v>76</v>
      </c>
      <c r="AY180" s="13" t="s">
        <v>228</v>
      </c>
      <c r="BE180" s="130">
        <f t="shared" ref="BE180:BE188" si="5">IF(N180="základná",J180,0)</f>
        <v>0</v>
      </c>
      <c r="BF180" s="130">
        <f t="shared" ref="BF180:BF188" si="6">IF(N180="znížená",J180,0)</f>
        <v>32.450000000000003</v>
      </c>
      <c r="BG180" s="130">
        <f t="shared" ref="BG180:BG188" si="7">IF(N180="zákl. prenesená",J180,0)</f>
        <v>0</v>
      </c>
      <c r="BH180" s="130">
        <f t="shared" ref="BH180:BH188" si="8">IF(N180="zníž. prenesená",J180,0)</f>
        <v>0</v>
      </c>
      <c r="BI180" s="130">
        <f t="shared" ref="BI180:BI188" si="9">IF(N180="nulová",J180,0)</f>
        <v>0</v>
      </c>
      <c r="BJ180" s="13" t="s">
        <v>76</v>
      </c>
      <c r="BK180" s="130">
        <f t="shared" ref="BK180:BK188" si="10">ROUND(I180*H180,2)</f>
        <v>32.450000000000003</v>
      </c>
      <c r="BL180" s="13" t="s">
        <v>235</v>
      </c>
      <c r="BM180" s="129" t="s">
        <v>268</v>
      </c>
    </row>
    <row r="181" spans="2:65" s="1" customFormat="1" ht="24" customHeight="1" x14ac:dyDescent="0.2">
      <c r="B181" s="118"/>
      <c r="C181" s="285" t="s">
        <v>251</v>
      </c>
      <c r="D181" s="285" t="s">
        <v>231</v>
      </c>
      <c r="E181" s="286" t="s">
        <v>1879</v>
      </c>
      <c r="F181" s="240" t="s">
        <v>1880</v>
      </c>
      <c r="G181" s="287" t="s">
        <v>1194</v>
      </c>
      <c r="H181" s="288">
        <v>1</v>
      </c>
      <c r="I181" s="289">
        <v>46.88</v>
      </c>
      <c r="J181" s="289">
        <f t="shared" si="0"/>
        <v>46.88</v>
      </c>
      <c r="K181" s="121" t="s">
        <v>1</v>
      </c>
      <c r="L181" s="463"/>
      <c r="M181" s="125" t="s">
        <v>1</v>
      </c>
      <c r="N181" s="126" t="s">
        <v>32</v>
      </c>
      <c r="O181" s="127">
        <v>0</v>
      </c>
      <c r="P181" s="127">
        <f t="shared" si="1"/>
        <v>0</v>
      </c>
      <c r="Q181" s="127">
        <v>0</v>
      </c>
      <c r="R181" s="127">
        <f t="shared" si="2"/>
        <v>0</v>
      </c>
      <c r="S181" s="127">
        <v>0</v>
      </c>
      <c r="T181" s="128">
        <f t="shared" si="3"/>
        <v>0</v>
      </c>
      <c r="W181" s="199"/>
      <c r="X181" s="285" t="s">
        <v>251</v>
      </c>
      <c r="Y181" s="285" t="s">
        <v>231</v>
      </c>
      <c r="Z181" s="286" t="s">
        <v>1879</v>
      </c>
      <c r="AA181" s="240" t="s">
        <v>1880</v>
      </c>
      <c r="AB181" s="287" t="s">
        <v>1194</v>
      </c>
      <c r="AC181" s="288">
        <v>1</v>
      </c>
      <c r="AD181" s="289">
        <v>46.88</v>
      </c>
      <c r="AE181" s="290">
        <f t="shared" si="4"/>
        <v>46.88</v>
      </c>
      <c r="AF181" s="227"/>
      <c r="AG181" s="374"/>
      <c r="AH181" s="477"/>
      <c r="AR181" s="129" t="s">
        <v>235</v>
      </c>
      <c r="AT181" s="129" t="s">
        <v>231</v>
      </c>
      <c r="AU181" s="129" t="s">
        <v>76</v>
      </c>
      <c r="AY181" s="13" t="s">
        <v>228</v>
      </c>
      <c r="BE181" s="130">
        <f t="shared" si="5"/>
        <v>0</v>
      </c>
      <c r="BF181" s="130">
        <f t="shared" si="6"/>
        <v>46.88</v>
      </c>
      <c r="BG181" s="130">
        <f t="shared" si="7"/>
        <v>0</v>
      </c>
      <c r="BH181" s="130">
        <f t="shared" si="8"/>
        <v>0</v>
      </c>
      <c r="BI181" s="130">
        <f t="shared" si="9"/>
        <v>0</v>
      </c>
      <c r="BJ181" s="13" t="s">
        <v>76</v>
      </c>
      <c r="BK181" s="130">
        <f t="shared" si="10"/>
        <v>46.88</v>
      </c>
      <c r="BL181" s="13" t="s">
        <v>235</v>
      </c>
      <c r="BM181" s="129" t="s">
        <v>272</v>
      </c>
    </row>
    <row r="182" spans="2:65" s="1" customFormat="1" ht="24" customHeight="1" x14ac:dyDescent="0.2">
      <c r="B182" s="118"/>
      <c r="C182" s="285" t="s">
        <v>273</v>
      </c>
      <c r="D182" s="285" t="s">
        <v>231</v>
      </c>
      <c r="E182" s="286" t="s">
        <v>1881</v>
      </c>
      <c r="F182" s="240" t="s">
        <v>1882</v>
      </c>
      <c r="G182" s="287" t="s">
        <v>1194</v>
      </c>
      <c r="H182" s="288">
        <v>1</v>
      </c>
      <c r="I182" s="289">
        <v>21.32</v>
      </c>
      <c r="J182" s="289">
        <f t="shared" si="0"/>
        <v>21.32</v>
      </c>
      <c r="K182" s="121" t="s">
        <v>1</v>
      </c>
      <c r="L182" s="463"/>
      <c r="M182" s="125" t="s">
        <v>1</v>
      </c>
      <c r="N182" s="126" t="s">
        <v>32</v>
      </c>
      <c r="O182" s="127">
        <v>0</v>
      </c>
      <c r="P182" s="127">
        <f t="shared" si="1"/>
        <v>0</v>
      </c>
      <c r="Q182" s="127">
        <v>0</v>
      </c>
      <c r="R182" s="127">
        <f t="shared" si="2"/>
        <v>0</v>
      </c>
      <c r="S182" s="127">
        <v>0</v>
      </c>
      <c r="T182" s="128">
        <f t="shared" si="3"/>
        <v>0</v>
      </c>
      <c r="W182" s="199"/>
      <c r="X182" s="285" t="s">
        <v>273</v>
      </c>
      <c r="Y182" s="285" t="s">
        <v>231</v>
      </c>
      <c r="Z182" s="286" t="s">
        <v>1881</v>
      </c>
      <c r="AA182" s="240" t="s">
        <v>1882</v>
      </c>
      <c r="AB182" s="287" t="s">
        <v>1194</v>
      </c>
      <c r="AC182" s="288">
        <v>1</v>
      </c>
      <c r="AD182" s="289">
        <v>21.32</v>
      </c>
      <c r="AE182" s="290">
        <f t="shared" si="4"/>
        <v>21.32</v>
      </c>
      <c r="AF182" s="227"/>
      <c r="AG182" s="374"/>
      <c r="AH182" s="477"/>
      <c r="AR182" s="129" t="s">
        <v>235</v>
      </c>
      <c r="AT182" s="129" t="s">
        <v>231</v>
      </c>
      <c r="AU182" s="129" t="s">
        <v>76</v>
      </c>
      <c r="AY182" s="13" t="s">
        <v>228</v>
      </c>
      <c r="BE182" s="130">
        <f t="shared" si="5"/>
        <v>0</v>
      </c>
      <c r="BF182" s="130">
        <f t="shared" si="6"/>
        <v>21.32</v>
      </c>
      <c r="BG182" s="130">
        <f t="shared" si="7"/>
        <v>0</v>
      </c>
      <c r="BH182" s="130">
        <f t="shared" si="8"/>
        <v>0</v>
      </c>
      <c r="BI182" s="130">
        <f t="shared" si="9"/>
        <v>0</v>
      </c>
      <c r="BJ182" s="13" t="s">
        <v>76</v>
      </c>
      <c r="BK182" s="130">
        <f t="shared" si="10"/>
        <v>21.32</v>
      </c>
      <c r="BL182" s="13" t="s">
        <v>235</v>
      </c>
      <c r="BM182" s="129" t="s">
        <v>276</v>
      </c>
    </row>
    <row r="183" spans="2:65" s="1" customFormat="1" ht="24" customHeight="1" x14ac:dyDescent="0.2">
      <c r="B183" s="118"/>
      <c r="C183" s="285" t="s">
        <v>255</v>
      </c>
      <c r="D183" s="285" t="s">
        <v>231</v>
      </c>
      <c r="E183" s="286" t="s">
        <v>1883</v>
      </c>
      <c r="F183" s="240" t="s">
        <v>1884</v>
      </c>
      <c r="G183" s="287" t="s">
        <v>1194</v>
      </c>
      <c r="H183" s="288">
        <v>1</v>
      </c>
      <c r="I183" s="289">
        <v>30.89</v>
      </c>
      <c r="J183" s="289">
        <f t="shared" si="0"/>
        <v>30.89</v>
      </c>
      <c r="K183" s="121" t="s">
        <v>1</v>
      </c>
      <c r="L183" s="463"/>
      <c r="M183" s="125" t="s">
        <v>1</v>
      </c>
      <c r="N183" s="126" t="s">
        <v>32</v>
      </c>
      <c r="O183" s="127">
        <v>0</v>
      </c>
      <c r="P183" s="127">
        <f t="shared" si="1"/>
        <v>0</v>
      </c>
      <c r="Q183" s="127">
        <v>0</v>
      </c>
      <c r="R183" s="127">
        <f t="shared" si="2"/>
        <v>0</v>
      </c>
      <c r="S183" s="127">
        <v>0</v>
      </c>
      <c r="T183" s="128">
        <f t="shared" si="3"/>
        <v>0</v>
      </c>
      <c r="W183" s="199"/>
      <c r="X183" s="285" t="s">
        <v>255</v>
      </c>
      <c r="Y183" s="285" t="s">
        <v>231</v>
      </c>
      <c r="Z183" s="286" t="s">
        <v>1883</v>
      </c>
      <c r="AA183" s="240" t="s">
        <v>1884</v>
      </c>
      <c r="AB183" s="287" t="s">
        <v>1194</v>
      </c>
      <c r="AC183" s="288">
        <v>1</v>
      </c>
      <c r="AD183" s="289">
        <v>30.89</v>
      </c>
      <c r="AE183" s="290">
        <f t="shared" si="4"/>
        <v>30.89</v>
      </c>
      <c r="AF183" s="227"/>
      <c r="AG183" s="374"/>
      <c r="AH183" s="477"/>
      <c r="AR183" s="129" t="s">
        <v>235</v>
      </c>
      <c r="AT183" s="129" t="s">
        <v>231</v>
      </c>
      <c r="AU183" s="129" t="s">
        <v>76</v>
      </c>
      <c r="AY183" s="13" t="s">
        <v>228</v>
      </c>
      <c r="BE183" s="130">
        <f t="shared" si="5"/>
        <v>0</v>
      </c>
      <c r="BF183" s="130">
        <f t="shared" si="6"/>
        <v>30.89</v>
      </c>
      <c r="BG183" s="130">
        <f t="shared" si="7"/>
        <v>0</v>
      </c>
      <c r="BH183" s="130">
        <f t="shared" si="8"/>
        <v>0</v>
      </c>
      <c r="BI183" s="130">
        <f t="shared" si="9"/>
        <v>0</v>
      </c>
      <c r="BJ183" s="13" t="s">
        <v>76</v>
      </c>
      <c r="BK183" s="130">
        <f t="shared" si="10"/>
        <v>30.89</v>
      </c>
      <c r="BL183" s="13" t="s">
        <v>235</v>
      </c>
      <c r="BM183" s="129" t="s">
        <v>280</v>
      </c>
    </row>
    <row r="184" spans="2:65" s="1" customFormat="1" ht="24" customHeight="1" x14ac:dyDescent="0.2">
      <c r="B184" s="118"/>
      <c r="C184" s="285" t="s">
        <v>281</v>
      </c>
      <c r="D184" s="285" t="s">
        <v>231</v>
      </c>
      <c r="E184" s="286" t="s">
        <v>1885</v>
      </c>
      <c r="F184" s="240" t="s">
        <v>1886</v>
      </c>
      <c r="G184" s="287" t="s">
        <v>1194</v>
      </c>
      <c r="H184" s="288">
        <v>1</v>
      </c>
      <c r="I184" s="289">
        <v>43.25</v>
      </c>
      <c r="J184" s="289">
        <f t="shared" si="0"/>
        <v>43.25</v>
      </c>
      <c r="K184" s="121" t="s">
        <v>1</v>
      </c>
      <c r="L184" s="463"/>
      <c r="M184" s="125" t="s">
        <v>1</v>
      </c>
      <c r="N184" s="126" t="s">
        <v>32</v>
      </c>
      <c r="O184" s="127">
        <v>0</v>
      </c>
      <c r="P184" s="127">
        <f t="shared" si="1"/>
        <v>0</v>
      </c>
      <c r="Q184" s="127">
        <v>0</v>
      </c>
      <c r="R184" s="127">
        <f t="shared" si="2"/>
        <v>0</v>
      </c>
      <c r="S184" s="127">
        <v>0</v>
      </c>
      <c r="T184" s="128">
        <f t="shared" si="3"/>
        <v>0</v>
      </c>
      <c r="W184" s="199"/>
      <c r="X184" s="285" t="s">
        <v>281</v>
      </c>
      <c r="Y184" s="285" t="s">
        <v>231</v>
      </c>
      <c r="Z184" s="286" t="s">
        <v>1885</v>
      </c>
      <c r="AA184" s="240" t="s">
        <v>1886</v>
      </c>
      <c r="AB184" s="287" t="s">
        <v>1194</v>
      </c>
      <c r="AC184" s="288">
        <v>1</v>
      </c>
      <c r="AD184" s="289">
        <v>43.25</v>
      </c>
      <c r="AE184" s="290">
        <f t="shared" si="4"/>
        <v>43.25</v>
      </c>
      <c r="AF184" s="227"/>
      <c r="AG184" s="374"/>
      <c r="AH184" s="477"/>
      <c r="AR184" s="129" t="s">
        <v>235</v>
      </c>
      <c r="AT184" s="129" t="s">
        <v>231</v>
      </c>
      <c r="AU184" s="129" t="s">
        <v>76</v>
      </c>
      <c r="AY184" s="13" t="s">
        <v>228</v>
      </c>
      <c r="BE184" s="130">
        <f t="shared" si="5"/>
        <v>0</v>
      </c>
      <c r="BF184" s="130">
        <f t="shared" si="6"/>
        <v>43.25</v>
      </c>
      <c r="BG184" s="130">
        <f t="shared" si="7"/>
        <v>0</v>
      </c>
      <c r="BH184" s="130">
        <f t="shared" si="8"/>
        <v>0</v>
      </c>
      <c r="BI184" s="130">
        <f t="shared" si="9"/>
        <v>0</v>
      </c>
      <c r="BJ184" s="13" t="s">
        <v>76</v>
      </c>
      <c r="BK184" s="130">
        <f t="shared" si="10"/>
        <v>43.25</v>
      </c>
      <c r="BL184" s="13" t="s">
        <v>235</v>
      </c>
      <c r="BM184" s="129" t="s">
        <v>285</v>
      </c>
    </row>
    <row r="185" spans="2:65" s="1" customFormat="1" ht="24" customHeight="1" x14ac:dyDescent="0.2">
      <c r="B185" s="118"/>
      <c r="C185" s="285" t="s">
        <v>258</v>
      </c>
      <c r="D185" s="285" t="s">
        <v>231</v>
      </c>
      <c r="E185" s="286" t="s">
        <v>1887</v>
      </c>
      <c r="F185" s="240" t="s">
        <v>1888</v>
      </c>
      <c r="G185" s="287" t="s">
        <v>1194</v>
      </c>
      <c r="H185" s="288">
        <v>1</v>
      </c>
      <c r="I185" s="289">
        <v>39.99</v>
      </c>
      <c r="J185" s="289">
        <f t="shared" si="0"/>
        <v>39.99</v>
      </c>
      <c r="K185" s="121" t="s">
        <v>1</v>
      </c>
      <c r="L185" s="463"/>
      <c r="M185" s="125" t="s">
        <v>1</v>
      </c>
      <c r="N185" s="126" t="s">
        <v>32</v>
      </c>
      <c r="O185" s="127">
        <v>0</v>
      </c>
      <c r="P185" s="127">
        <f t="shared" si="1"/>
        <v>0</v>
      </c>
      <c r="Q185" s="127">
        <v>0</v>
      </c>
      <c r="R185" s="127">
        <f t="shared" si="2"/>
        <v>0</v>
      </c>
      <c r="S185" s="127">
        <v>0</v>
      </c>
      <c r="T185" s="128">
        <f t="shared" si="3"/>
        <v>0</v>
      </c>
      <c r="W185" s="199"/>
      <c r="X185" s="285" t="s">
        <v>258</v>
      </c>
      <c r="Y185" s="285" t="s">
        <v>231</v>
      </c>
      <c r="Z185" s="286" t="s">
        <v>1887</v>
      </c>
      <c r="AA185" s="240" t="s">
        <v>1888</v>
      </c>
      <c r="AB185" s="287" t="s">
        <v>1194</v>
      </c>
      <c r="AC185" s="288">
        <v>1</v>
      </c>
      <c r="AD185" s="289">
        <v>39.99</v>
      </c>
      <c r="AE185" s="290">
        <f t="shared" si="4"/>
        <v>39.99</v>
      </c>
      <c r="AF185" s="227"/>
      <c r="AG185" s="374"/>
      <c r="AH185" s="477"/>
      <c r="AR185" s="129" t="s">
        <v>235</v>
      </c>
      <c r="AT185" s="129" t="s">
        <v>231</v>
      </c>
      <c r="AU185" s="129" t="s">
        <v>76</v>
      </c>
      <c r="AY185" s="13" t="s">
        <v>228</v>
      </c>
      <c r="BE185" s="130">
        <f t="shared" si="5"/>
        <v>0</v>
      </c>
      <c r="BF185" s="130">
        <f t="shared" si="6"/>
        <v>39.99</v>
      </c>
      <c r="BG185" s="130">
        <f t="shared" si="7"/>
        <v>0</v>
      </c>
      <c r="BH185" s="130">
        <f t="shared" si="8"/>
        <v>0</v>
      </c>
      <c r="BI185" s="130">
        <f t="shared" si="9"/>
        <v>0</v>
      </c>
      <c r="BJ185" s="13" t="s">
        <v>76</v>
      </c>
      <c r="BK185" s="130">
        <f t="shared" si="10"/>
        <v>39.99</v>
      </c>
      <c r="BL185" s="13" t="s">
        <v>235</v>
      </c>
      <c r="BM185" s="129" t="s">
        <v>288</v>
      </c>
    </row>
    <row r="186" spans="2:65" s="1" customFormat="1" ht="24" customHeight="1" x14ac:dyDescent="0.2">
      <c r="B186" s="118"/>
      <c r="C186" s="285" t="s">
        <v>289</v>
      </c>
      <c r="D186" s="285" t="s">
        <v>231</v>
      </c>
      <c r="E186" s="286" t="s">
        <v>1889</v>
      </c>
      <c r="F186" s="240" t="s">
        <v>1890</v>
      </c>
      <c r="G186" s="287" t="s">
        <v>1194</v>
      </c>
      <c r="H186" s="288">
        <v>1</v>
      </c>
      <c r="I186" s="289">
        <v>18.27</v>
      </c>
      <c r="J186" s="289">
        <f t="shared" si="0"/>
        <v>18.27</v>
      </c>
      <c r="K186" s="121" t="s">
        <v>1</v>
      </c>
      <c r="L186" s="463"/>
      <c r="M186" s="125" t="s">
        <v>1</v>
      </c>
      <c r="N186" s="126" t="s">
        <v>32</v>
      </c>
      <c r="O186" s="127">
        <v>0</v>
      </c>
      <c r="P186" s="127">
        <f t="shared" si="1"/>
        <v>0</v>
      </c>
      <c r="Q186" s="127">
        <v>0</v>
      </c>
      <c r="R186" s="127">
        <f t="shared" si="2"/>
        <v>0</v>
      </c>
      <c r="S186" s="127">
        <v>0</v>
      </c>
      <c r="T186" s="128">
        <f t="shared" si="3"/>
        <v>0</v>
      </c>
      <c r="W186" s="199"/>
      <c r="X186" s="285" t="s">
        <v>289</v>
      </c>
      <c r="Y186" s="285" t="s">
        <v>231</v>
      </c>
      <c r="Z186" s="286" t="s">
        <v>1889</v>
      </c>
      <c r="AA186" s="240" t="s">
        <v>1890</v>
      </c>
      <c r="AB186" s="287" t="s">
        <v>1194</v>
      </c>
      <c r="AC186" s="288">
        <v>1</v>
      </c>
      <c r="AD186" s="289">
        <v>18.27</v>
      </c>
      <c r="AE186" s="290">
        <f t="shared" si="4"/>
        <v>18.27</v>
      </c>
      <c r="AF186" s="227"/>
      <c r="AG186" s="374"/>
      <c r="AH186" s="477"/>
      <c r="AR186" s="129" t="s">
        <v>235</v>
      </c>
      <c r="AT186" s="129" t="s">
        <v>231</v>
      </c>
      <c r="AU186" s="129" t="s">
        <v>76</v>
      </c>
      <c r="AY186" s="13" t="s">
        <v>228</v>
      </c>
      <c r="BE186" s="130">
        <f t="shared" si="5"/>
        <v>0</v>
      </c>
      <c r="BF186" s="130">
        <f t="shared" si="6"/>
        <v>18.27</v>
      </c>
      <c r="BG186" s="130">
        <f t="shared" si="7"/>
        <v>0</v>
      </c>
      <c r="BH186" s="130">
        <f t="shared" si="8"/>
        <v>0</v>
      </c>
      <c r="BI186" s="130">
        <f t="shared" si="9"/>
        <v>0</v>
      </c>
      <c r="BJ186" s="13" t="s">
        <v>76</v>
      </c>
      <c r="BK186" s="130">
        <f t="shared" si="10"/>
        <v>18.27</v>
      </c>
      <c r="BL186" s="13" t="s">
        <v>235</v>
      </c>
      <c r="BM186" s="129" t="s">
        <v>293</v>
      </c>
    </row>
    <row r="187" spans="2:65" s="1" customFormat="1" ht="24" customHeight="1" x14ac:dyDescent="0.2">
      <c r="B187" s="118"/>
      <c r="C187" s="285" t="s">
        <v>262</v>
      </c>
      <c r="D187" s="285" t="s">
        <v>231</v>
      </c>
      <c r="E187" s="286" t="s">
        <v>1891</v>
      </c>
      <c r="F187" s="240" t="s">
        <v>1892</v>
      </c>
      <c r="G187" s="287" t="s">
        <v>292</v>
      </c>
      <c r="H187" s="288">
        <v>9</v>
      </c>
      <c r="I187" s="289">
        <v>4.8899999999999997</v>
      </c>
      <c r="J187" s="289">
        <f t="shared" si="0"/>
        <v>44.01</v>
      </c>
      <c r="K187" s="121" t="s">
        <v>1</v>
      </c>
      <c r="L187" s="463"/>
      <c r="M187" s="125" t="s">
        <v>1</v>
      </c>
      <c r="N187" s="126" t="s">
        <v>32</v>
      </c>
      <c r="O187" s="127">
        <v>0</v>
      </c>
      <c r="P187" s="127">
        <f t="shared" si="1"/>
        <v>0</v>
      </c>
      <c r="Q187" s="127">
        <v>0</v>
      </c>
      <c r="R187" s="127">
        <f t="shared" si="2"/>
        <v>0</v>
      </c>
      <c r="S187" s="127">
        <v>0</v>
      </c>
      <c r="T187" s="128">
        <f t="shared" si="3"/>
        <v>0</v>
      </c>
      <c r="W187" s="199"/>
      <c r="X187" s="285" t="s">
        <v>262</v>
      </c>
      <c r="Y187" s="285" t="s">
        <v>231</v>
      </c>
      <c r="Z187" s="286" t="s">
        <v>1891</v>
      </c>
      <c r="AA187" s="240" t="s">
        <v>1892</v>
      </c>
      <c r="AB187" s="287" t="s">
        <v>292</v>
      </c>
      <c r="AC187" s="288">
        <v>9</v>
      </c>
      <c r="AD187" s="289">
        <v>4.8899999999999997</v>
      </c>
      <c r="AE187" s="290">
        <f t="shared" si="4"/>
        <v>44.01</v>
      </c>
      <c r="AF187" s="227"/>
      <c r="AG187" s="374"/>
      <c r="AH187" s="477"/>
      <c r="AR187" s="129" t="s">
        <v>235</v>
      </c>
      <c r="AT187" s="129" t="s">
        <v>231</v>
      </c>
      <c r="AU187" s="129" t="s">
        <v>76</v>
      </c>
      <c r="AY187" s="13" t="s">
        <v>228</v>
      </c>
      <c r="BE187" s="130">
        <f t="shared" si="5"/>
        <v>0</v>
      </c>
      <c r="BF187" s="130">
        <f t="shared" si="6"/>
        <v>44.01</v>
      </c>
      <c r="BG187" s="130">
        <f t="shared" si="7"/>
        <v>0</v>
      </c>
      <c r="BH187" s="130">
        <f t="shared" si="8"/>
        <v>0</v>
      </c>
      <c r="BI187" s="130">
        <f t="shared" si="9"/>
        <v>0</v>
      </c>
      <c r="BJ187" s="13" t="s">
        <v>76</v>
      </c>
      <c r="BK187" s="130">
        <f t="shared" si="10"/>
        <v>44.01</v>
      </c>
      <c r="BL187" s="13" t="s">
        <v>235</v>
      </c>
      <c r="BM187" s="129" t="s">
        <v>296</v>
      </c>
    </row>
    <row r="188" spans="2:65" s="1" customFormat="1" ht="26.55" customHeight="1" x14ac:dyDescent="0.2">
      <c r="B188" s="118"/>
      <c r="C188" s="285" t="s">
        <v>297</v>
      </c>
      <c r="D188" s="285" t="s">
        <v>231</v>
      </c>
      <c r="E188" s="286" t="s">
        <v>1893</v>
      </c>
      <c r="F188" s="240" t="s">
        <v>1894</v>
      </c>
      <c r="G188" s="287" t="s">
        <v>1194</v>
      </c>
      <c r="H188" s="288">
        <v>3</v>
      </c>
      <c r="I188" s="289">
        <v>153.82</v>
      </c>
      <c r="J188" s="289">
        <f t="shared" si="0"/>
        <v>461.46</v>
      </c>
      <c r="K188" s="121" t="s">
        <v>1</v>
      </c>
      <c r="L188" s="463"/>
      <c r="M188" s="125" t="s">
        <v>1</v>
      </c>
      <c r="N188" s="126" t="s">
        <v>32</v>
      </c>
      <c r="O188" s="127">
        <v>0</v>
      </c>
      <c r="P188" s="127">
        <f t="shared" si="1"/>
        <v>0</v>
      </c>
      <c r="Q188" s="127">
        <v>0</v>
      </c>
      <c r="R188" s="127">
        <f t="shared" si="2"/>
        <v>0</v>
      </c>
      <c r="S188" s="127">
        <v>0</v>
      </c>
      <c r="T188" s="128">
        <f t="shared" si="3"/>
        <v>0</v>
      </c>
      <c r="W188" s="199"/>
      <c r="X188" s="285" t="s">
        <v>297</v>
      </c>
      <c r="Y188" s="285" t="s">
        <v>231</v>
      </c>
      <c r="Z188" s="286" t="s">
        <v>1893</v>
      </c>
      <c r="AA188" s="240" t="s">
        <v>1894</v>
      </c>
      <c r="AB188" s="287" t="s">
        <v>1194</v>
      </c>
      <c r="AC188" s="288">
        <v>3</v>
      </c>
      <c r="AD188" s="289">
        <v>153.82</v>
      </c>
      <c r="AE188" s="290">
        <f t="shared" si="4"/>
        <v>461.46</v>
      </c>
      <c r="AF188" s="227"/>
      <c r="AG188" s="374"/>
      <c r="AH188" s="477"/>
      <c r="AR188" s="129" t="s">
        <v>235</v>
      </c>
      <c r="AT188" s="129" t="s">
        <v>231</v>
      </c>
      <c r="AU188" s="129" t="s">
        <v>76</v>
      </c>
      <c r="AY188" s="13" t="s">
        <v>228</v>
      </c>
      <c r="BE188" s="130">
        <f t="shared" si="5"/>
        <v>0</v>
      </c>
      <c r="BF188" s="130">
        <f t="shared" si="6"/>
        <v>461.46</v>
      </c>
      <c r="BG188" s="130">
        <f t="shared" si="7"/>
        <v>0</v>
      </c>
      <c r="BH188" s="130">
        <f t="shared" si="8"/>
        <v>0</v>
      </c>
      <c r="BI188" s="130">
        <f t="shared" si="9"/>
        <v>0</v>
      </c>
      <c r="BJ188" s="13" t="s">
        <v>76</v>
      </c>
      <c r="BK188" s="130">
        <f t="shared" si="10"/>
        <v>461.46</v>
      </c>
      <c r="BL188" s="13" t="s">
        <v>235</v>
      </c>
      <c r="BM188" s="129" t="s">
        <v>300</v>
      </c>
    </row>
    <row r="189" spans="2:65" s="1" customFormat="1" ht="19.2" x14ac:dyDescent="0.2">
      <c r="B189" s="24"/>
      <c r="C189" s="407"/>
      <c r="D189" s="492" t="s">
        <v>1259</v>
      </c>
      <c r="E189" s="407"/>
      <c r="F189" s="428" t="s">
        <v>1895</v>
      </c>
      <c r="G189" s="407"/>
      <c r="H189" s="407"/>
      <c r="I189" s="407"/>
      <c r="J189" s="407"/>
      <c r="L189" s="24"/>
      <c r="M189" s="146"/>
      <c r="N189" s="42"/>
      <c r="O189" s="42"/>
      <c r="P189" s="42"/>
      <c r="Q189" s="42"/>
      <c r="R189" s="42"/>
      <c r="S189" s="42"/>
      <c r="T189" s="43"/>
      <c r="W189" s="158"/>
      <c r="X189" s="427"/>
      <c r="Y189" s="511" t="s">
        <v>1259</v>
      </c>
      <c r="Z189" s="427"/>
      <c r="AA189" s="505" t="s">
        <v>1895</v>
      </c>
      <c r="AB189" s="427"/>
      <c r="AC189" s="427"/>
      <c r="AD189" s="427"/>
      <c r="AE189" s="512"/>
      <c r="AF189" s="227"/>
      <c r="AG189" s="374"/>
      <c r="AH189" s="477"/>
      <c r="AT189" s="13" t="s">
        <v>1259</v>
      </c>
      <c r="AU189" s="13" t="s">
        <v>76</v>
      </c>
    </row>
    <row r="190" spans="2:65" s="11" customFormat="1" ht="22.95" customHeight="1" x14ac:dyDescent="0.25">
      <c r="B190" s="106"/>
      <c r="C190" s="292"/>
      <c r="D190" s="489" t="s">
        <v>57</v>
      </c>
      <c r="E190" s="490" t="s">
        <v>1240</v>
      </c>
      <c r="F190" s="490" t="s">
        <v>1896</v>
      </c>
      <c r="G190" s="292"/>
      <c r="H190" s="292"/>
      <c r="I190" s="292"/>
      <c r="J190" s="491">
        <f>BK190</f>
        <v>820.78</v>
      </c>
      <c r="L190" s="106"/>
      <c r="M190" s="110"/>
      <c r="N190" s="111"/>
      <c r="O190" s="111"/>
      <c r="P190" s="112">
        <f>SUM(P191:P202)</f>
        <v>0</v>
      </c>
      <c r="Q190" s="111"/>
      <c r="R190" s="112">
        <f>SUM(R191:R202)</f>
        <v>0</v>
      </c>
      <c r="S190" s="111"/>
      <c r="T190" s="113">
        <f>SUM(T191:T202)</f>
        <v>0</v>
      </c>
      <c r="W190" s="195"/>
      <c r="X190" s="347"/>
      <c r="Y190" s="506" t="s">
        <v>57</v>
      </c>
      <c r="Z190" s="507" t="s">
        <v>1240</v>
      </c>
      <c r="AA190" s="507" t="s">
        <v>1896</v>
      </c>
      <c r="AB190" s="347"/>
      <c r="AC190" s="347"/>
      <c r="AD190" s="347"/>
      <c r="AE190" s="510">
        <f>SUM(AE191:AE201)</f>
        <v>871.86</v>
      </c>
      <c r="AF190" s="227"/>
      <c r="AG190" s="374"/>
      <c r="AH190" s="477"/>
      <c r="AR190" s="107" t="s">
        <v>63</v>
      </c>
      <c r="AT190" s="114" t="s">
        <v>57</v>
      </c>
      <c r="AU190" s="114" t="s">
        <v>63</v>
      </c>
      <c r="AY190" s="107" t="s">
        <v>228</v>
      </c>
      <c r="BK190" s="115">
        <f>SUM(BK191:BK202)</f>
        <v>820.78</v>
      </c>
    </row>
    <row r="191" spans="2:65" s="1" customFormat="1" ht="24" customHeight="1" x14ac:dyDescent="0.2">
      <c r="B191" s="118"/>
      <c r="C191" s="285" t="s">
        <v>7</v>
      </c>
      <c r="D191" s="285" t="s">
        <v>231</v>
      </c>
      <c r="E191" s="286" t="s">
        <v>1897</v>
      </c>
      <c r="F191" s="240" t="s">
        <v>1898</v>
      </c>
      <c r="G191" s="287" t="s">
        <v>1194</v>
      </c>
      <c r="H191" s="288">
        <v>1</v>
      </c>
      <c r="I191" s="289">
        <v>61.27</v>
      </c>
      <c r="J191" s="289">
        <f t="shared" ref="J191:J201" si="11">ROUND(I191*H191,2)</f>
        <v>61.27</v>
      </c>
      <c r="K191" s="121" t="s">
        <v>1</v>
      </c>
      <c r="L191" s="463"/>
      <c r="M191" s="125" t="s">
        <v>1</v>
      </c>
      <c r="N191" s="126" t="s">
        <v>32</v>
      </c>
      <c r="O191" s="127">
        <v>0</v>
      </c>
      <c r="P191" s="127">
        <f t="shared" ref="P191:P199" si="12">O191*H191</f>
        <v>0</v>
      </c>
      <c r="Q191" s="127">
        <v>0</v>
      </c>
      <c r="R191" s="127">
        <f t="shared" ref="R191:R199" si="13">Q191*H191</f>
        <v>0</v>
      </c>
      <c r="S191" s="127">
        <v>0</v>
      </c>
      <c r="T191" s="128">
        <f t="shared" ref="T191:T199" si="14">S191*H191</f>
        <v>0</v>
      </c>
      <c r="W191" s="199"/>
      <c r="X191" s="285" t="s">
        <v>7</v>
      </c>
      <c r="Y191" s="285" t="s">
        <v>231</v>
      </c>
      <c r="Z191" s="286" t="s">
        <v>1897</v>
      </c>
      <c r="AA191" s="240" t="s">
        <v>1898</v>
      </c>
      <c r="AB191" s="287" t="s">
        <v>1194</v>
      </c>
      <c r="AC191" s="288">
        <v>1</v>
      </c>
      <c r="AD191" s="289">
        <v>61.27</v>
      </c>
      <c r="AE191" s="290">
        <f t="shared" ref="AE191:AE199" si="15">ROUND(AD191*AC191,2)</f>
        <v>61.27</v>
      </c>
      <c r="AF191" s="227"/>
      <c r="AG191" s="374"/>
      <c r="AH191" s="477"/>
      <c r="AR191" s="129" t="s">
        <v>235</v>
      </c>
      <c r="AT191" s="129" t="s">
        <v>231</v>
      </c>
      <c r="AU191" s="129" t="s">
        <v>76</v>
      </c>
      <c r="AY191" s="13" t="s">
        <v>228</v>
      </c>
      <c r="BE191" s="130">
        <f t="shared" ref="BE191:BE201" si="16">IF(N191="základná",J191,0)</f>
        <v>0</v>
      </c>
      <c r="BF191" s="130">
        <f t="shared" ref="BF191:BF201" si="17">IF(N191="znížená",J191,0)</f>
        <v>61.27</v>
      </c>
      <c r="BG191" s="130">
        <f t="shared" ref="BG191:BG201" si="18">IF(N191="zákl. prenesená",J191,0)</f>
        <v>0</v>
      </c>
      <c r="BH191" s="130">
        <f t="shared" ref="BH191:BH201" si="19">IF(N191="zníž. prenesená",J191,0)</f>
        <v>0</v>
      </c>
      <c r="BI191" s="130">
        <f t="shared" ref="BI191:BI201" si="20">IF(N191="nulová",J191,0)</f>
        <v>0</v>
      </c>
      <c r="BJ191" s="13" t="s">
        <v>76</v>
      </c>
      <c r="BK191" s="130">
        <f t="shared" ref="BK191:BK201" si="21">ROUND(I191*H191,2)</f>
        <v>61.27</v>
      </c>
      <c r="BL191" s="13" t="s">
        <v>235</v>
      </c>
      <c r="BM191" s="129" t="s">
        <v>303</v>
      </c>
    </row>
    <row r="192" spans="2:65" s="1" customFormat="1" ht="24" customHeight="1" x14ac:dyDescent="0.2">
      <c r="B192" s="118"/>
      <c r="C192" s="285" t="s">
        <v>305</v>
      </c>
      <c r="D192" s="285" t="s">
        <v>231</v>
      </c>
      <c r="E192" s="286" t="s">
        <v>1899</v>
      </c>
      <c r="F192" s="240" t="s">
        <v>1900</v>
      </c>
      <c r="G192" s="287" t="s">
        <v>1194</v>
      </c>
      <c r="H192" s="288">
        <v>1</v>
      </c>
      <c r="I192" s="289">
        <v>29.91</v>
      </c>
      <c r="J192" s="289">
        <f t="shared" si="11"/>
        <v>29.91</v>
      </c>
      <c r="K192" s="121" t="s">
        <v>1</v>
      </c>
      <c r="L192" s="463"/>
      <c r="M192" s="125" t="s">
        <v>1</v>
      </c>
      <c r="N192" s="126" t="s">
        <v>32</v>
      </c>
      <c r="O192" s="127">
        <v>0</v>
      </c>
      <c r="P192" s="127">
        <f t="shared" si="12"/>
        <v>0</v>
      </c>
      <c r="Q192" s="127">
        <v>0</v>
      </c>
      <c r="R192" s="127">
        <f t="shared" si="13"/>
        <v>0</v>
      </c>
      <c r="S192" s="127">
        <v>0</v>
      </c>
      <c r="T192" s="128">
        <f t="shared" si="14"/>
        <v>0</v>
      </c>
      <c r="W192" s="199"/>
      <c r="X192" s="285" t="s">
        <v>305</v>
      </c>
      <c r="Y192" s="285" t="s">
        <v>231</v>
      </c>
      <c r="Z192" s="286" t="s">
        <v>1899</v>
      </c>
      <c r="AA192" s="240" t="s">
        <v>1900</v>
      </c>
      <c r="AB192" s="287" t="s">
        <v>1194</v>
      </c>
      <c r="AC192" s="288">
        <v>1</v>
      </c>
      <c r="AD192" s="289">
        <v>29.91</v>
      </c>
      <c r="AE192" s="290">
        <f t="shared" si="15"/>
        <v>29.91</v>
      </c>
      <c r="AF192" s="227"/>
      <c r="AG192" s="374"/>
      <c r="AH192" s="477"/>
      <c r="AR192" s="129" t="s">
        <v>235</v>
      </c>
      <c r="AT192" s="129" t="s">
        <v>231</v>
      </c>
      <c r="AU192" s="129" t="s">
        <v>76</v>
      </c>
      <c r="AY192" s="13" t="s">
        <v>228</v>
      </c>
      <c r="BE192" s="130">
        <f t="shared" si="16"/>
        <v>0</v>
      </c>
      <c r="BF192" s="130">
        <f t="shared" si="17"/>
        <v>29.91</v>
      </c>
      <c r="BG192" s="130">
        <f t="shared" si="18"/>
        <v>0</v>
      </c>
      <c r="BH192" s="130">
        <f t="shared" si="19"/>
        <v>0</v>
      </c>
      <c r="BI192" s="130">
        <f t="shared" si="20"/>
        <v>0</v>
      </c>
      <c r="BJ192" s="13" t="s">
        <v>76</v>
      </c>
      <c r="BK192" s="130">
        <f t="shared" si="21"/>
        <v>29.91</v>
      </c>
      <c r="BL192" s="13" t="s">
        <v>235</v>
      </c>
      <c r="BM192" s="129" t="s">
        <v>308</v>
      </c>
    </row>
    <row r="193" spans="2:65" s="1" customFormat="1" ht="24" customHeight="1" x14ac:dyDescent="0.2">
      <c r="B193" s="118"/>
      <c r="C193" s="285" t="s">
        <v>268</v>
      </c>
      <c r="D193" s="285" t="s">
        <v>231</v>
      </c>
      <c r="E193" s="286" t="s">
        <v>1901</v>
      </c>
      <c r="F193" s="240" t="s">
        <v>1902</v>
      </c>
      <c r="G193" s="287" t="s">
        <v>1194</v>
      </c>
      <c r="H193" s="288">
        <v>1</v>
      </c>
      <c r="I193" s="289">
        <v>55.71</v>
      </c>
      <c r="J193" s="289">
        <f t="shared" si="11"/>
        <v>55.71</v>
      </c>
      <c r="K193" s="121" t="s">
        <v>1</v>
      </c>
      <c r="L193" s="463"/>
      <c r="M193" s="125" t="s">
        <v>1</v>
      </c>
      <c r="N193" s="126" t="s">
        <v>32</v>
      </c>
      <c r="O193" s="127">
        <v>0</v>
      </c>
      <c r="P193" s="127">
        <f t="shared" si="12"/>
        <v>0</v>
      </c>
      <c r="Q193" s="127">
        <v>0</v>
      </c>
      <c r="R193" s="127">
        <f t="shared" si="13"/>
        <v>0</v>
      </c>
      <c r="S193" s="127">
        <v>0</v>
      </c>
      <c r="T193" s="128">
        <f t="shared" si="14"/>
        <v>0</v>
      </c>
      <c r="W193" s="199"/>
      <c r="X193" s="285" t="s">
        <v>268</v>
      </c>
      <c r="Y193" s="285" t="s">
        <v>231</v>
      </c>
      <c r="Z193" s="286" t="s">
        <v>1901</v>
      </c>
      <c r="AA193" s="240" t="s">
        <v>1902</v>
      </c>
      <c r="AB193" s="287" t="s">
        <v>1194</v>
      </c>
      <c r="AC193" s="288">
        <v>1</v>
      </c>
      <c r="AD193" s="289">
        <v>55.71</v>
      </c>
      <c r="AE193" s="290">
        <f t="shared" si="15"/>
        <v>55.71</v>
      </c>
      <c r="AF193" s="227"/>
      <c r="AG193" s="374"/>
      <c r="AH193" s="477"/>
      <c r="AR193" s="129" t="s">
        <v>235</v>
      </c>
      <c r="AT193" s="129" t="s">
        <v>231</v>
      </c>
      <c r="AU193" s="129" t="s">
        <v>76</v>
      </c>
      <c r="AY193" s="13" t="s">
        <v>228</v>
      </c>
      <c r="BE193" s="130">
        <f t="shared" si="16"/>
        <v>0</v>
      </c>
      <c r="BF193" s="130">
        <f t="shared" si="17"/>
        <v>55.71</v>
      </c>
      <c r="BG193" s="130">
        <f t="shared" si="18"/>
        <v>0</v>
      </c>
      <c r="BH193" s="130">
        <f t="shared" si="19"/>
        <v>0</v>
      </c>
      <c r="BI193" s="130">
        <f t="shared" si="20"/>
        <v>0</v>
      </c>
      <c r="BJ193" s="13" t="s">
        <v>76</v>
      </c>
      <c r="BK193" s="130">
        <f t="shared" si="21"/>
        <v>55.71</v>
      </c>
      <c r="BL193" s="13" t="s">
        <v>235</v>
      </c>
      <c r="BM193" s="129" t="s">
        <v>312</v>
      </c>
    </row>
    <row r="194" spans="2:65" s="1" customFormat="1" ht="24" customHeight="1" x14ac:dyDescent="0.2">
      <c r="B194" s="118"/>
      <c r="C194" s="285" t="s">
        <v>313</v>
      </c>
      <c r="D194" s="285" t="s">
        <v>231</v>
      </c>
      <c r="E194" s="286" t="s">
        <v>1903</v>
      </c>
      <c r="F194" s="240" t="s">
        <v>1904</v>
      </c>
      <c r="G194" s="287" t="s">
        <v>1194</v>
      </c>
      <c r="H194" s="288">
        <v>1</v>
      </c>
      <c r="I194" s="289">
        <v>37.5</v>
      </c>
      <c r="J194" s="289">
        <f t="shared" si="11"/>
        <v>37.5</v>
      </c>
      <c r="K194" s="121" t="s">
        <v>1</v>
      </c>
      <c r="L194" s="463"/>
      <c r="M194" s="125" t="s">
        <v>1</v>
      </c>
      <c r="N194" s="126" t="s">
        <v>32</v>
      </c>
      <c r="O194" s="127">
        <v>0</v>
      </c>
      <c r="P194" s="127">
        <f t="shared" si="12"/>
        <v>0</v>
      </c>
      <c r="Q194" s="127">
        <v>0</v>
      </c>
      <c r="R194" s="127">
        <f t="shared" si="13"/>
        <v>0</v>
      </c>
      <c r="S194" s="127">
        <v>0</v>
      </c>
      <c r="T194" s="128">
        <f t="shared" si="14"/>
        <v>0</v>
      </c>
      <c r="W194" s="199"/>
      <c r="X194" s="285" t="s">
        <v>313</v>
      </c>
      <c r="Y194" s="285" t="s">
        <v>231</v>
      </c>
      <c r="Z194" s="286" t="s">
        <v>1903</v>
      </c>
      <c r="AA194" s="240" t="s">
        <v>1904</v>
      </c>
      <c r="AB194" s="287" t="s">
        <v>1194</v>
      </c>
      <c r="AC194" s="288">
        <v>1</v>
      </c>
      <c r="AD194" s="289">
        <v>37.5</v>
      </c>
      <c r="AE194" s="290">
        <f t="shared" si="15"/>
        <v>37.5</v>
      </c>
      <c r="AF194" s="227"/>
      <c r="AG194" s="374"/>
      <c r="AH194" s="477"/>
      <c r="AR194" s="129" t="s">
        <v>235</v>
      </c>
      <c r="AT194" s="129" t="s">
        <v>231</v>
      </c>
      <c r="AU194" s="129" t="s">
        <v>76</v>
      </c>
      <c r="AY194" s="13" t="s">
        <v>228</v>
      </c>
      <c r="BE194" s="130">
        <f t="shared" si="16"/>
        <v>0</v>
      </c>
      <c r="BF194" s="130">
        <f t="shared" si="17"/>
        <v>37.5</v>
      </c>
      <c r="BG194" s="130">
        <f t="shared" si="18"/>
        <v>0</v>
      </c>
      <c r="BH194" s="130">
        <f t="shared" si="19"/>
        <v>0</v>
      </c>
      <c r="BI194" s="130">
        <f t="shared" si="20"/>
        <v>0</v>
      </c>
      <c r="BJ194" s="13" t="s">
        <v>76</v>
      </c>
      <c r="BK194" s="130">
        <f t="shared" si="21"/>
        <v>37.5</v>
      </c>
      <c r="BL194" s="13" t="s">
        <v>235</v>
      </c>
      <c r="BM194" s="129" t="s">
        <v>316</v>
      </c>
    </row>
    <row r="195" spans="2:65" s="1" customFormat="1" ht="24" customHeight="1" x14ac:dyDescent="0.2">
      <c r="B195" s="118"/>
      <c r="C195" s="285" t="s">
        <v>272</v>
      </c>
      <c r="D195" s="285" t="s">
        <v>231</v>
      </c>
      <c r="E195" s="286" t="s">
        <v>1905</v>
      </c>
      <c r="F195" s="240" t="s">
        <v>1906</v>
      </c>
      <c r="G195" s="287" t="s">
        <v>1194</v>
      </c>
      <c r="H195" s="288">
        <v>1</v>
      </c>
      <c r="I195" s="289">
        <v>56.26</v>
      </c>
      <c r="J195" s="289">
        <f t="shared" si="11"/>
        <v>56.26</v>
      </c>
      <c r="K195" s="121" t="s">
        <v>1</v>
      </c>
      <c r="L195" s="463"/>
      <c r="M195" s="125" t="s">
        <v>1</v>
      </c>
      <c r="N195" s="126" t="s">
        <v>32</v>
      </c>
      <c r="O195" s="127">
        <v>0</v>
      </c>
      <c r="P195" s="127">
        <f t="shared" si="12"/>
        <v>0</v>
      </c>
      <c r="Q195" s="127">
        <v>0</v>
      </c>
      <c r="R195" s="127">
        <f t="shared" si="13"/>
        <v>0</v>
      </c>
      <c r="S195" s="127">
        <v>0</v>
      </c>
      <c r="T195" s="128">
        <f t="shared" si="14"/>
        <v>0</v>
      </c>
      <c r="W195" s="199"/>
      <c r="X195" s="285" t="s">
        <v>272</v>
      </c>
      <c r="Y195" s="285" t="s">
        <v>231</v>
      </c>
      <c r="Z195" s="286" t="s">
        <v>1905</v>
      </c>
      <c r="AA195" s="240" t="s">
        <v>1906</v>
      </c>
      <c r="AB195" s="287" t="s">
        <v>1194</v>
      </c>
      <c r="AC195" s="288">
        <v>1</v>
      </c>
      <c r="AD195" s="289">
        <v>56.26</v>
      </c>
      <c r="AE195" s="290">
        <f t="shared" si="15"/>
        <v>56.26</v>
      </c>
      <c r="AF195" s="227"/>
      <c r="AG195" s="374"/>
      <c r="AH195" s="477"/>
      <c r="AR195" s="129" t="s">
        <v>235</v>
      </c>
      <c r="AT195" s="129" t="s">
        <v>231</v>
      </c>
      <c r="AU195" s="129" t="s">
        <v>76</v>
      </c>
      <c r="AY195" s="13" t="s">
        <v>228</v>
      </c>
      <c r="BE195" s="130">
        <f t="shared" si="16"/>
        <v>0</v>
      </c>
      <c r="BF195" s="130">
        <f t="shared" si="17"/>
        <v>56.26</v>
      </c>
      <c r="BG195" s="130">
        <f t="shared" si="18"/>
        <v>0</v>
      </c>
      <c r="BH195" s="130">
        <f t="shared" si="19"/>
        <v>0</v>
      </c>
      <c r="BI195" s="130">
        <f t="shared" si="20"/>
        <v>0</v>
      </c>
      <c r="BJ195" s="13" t="s">
        <v>76</v>
      </c>
      <c r="BK195" s="130">
        <f t="shared" si="21"/>
        <v>56.26</v>
      </c>
      <c r="BL195" s="13" t="s">
        <v>235</v>
      </c>
      <c r="BM195" s="129" t="s">
        <v>319</v>
      </c>
    </row>
    <row r="196" spans="2:65" s="1" customFormat="1" ht="24" customHeight="1" x14ac:dyDescent="0.2">
      <c r="B196" s="118"/>
      <c r="C196" s="285" t="s">
        <v>320</v>
      </c>
      <c r="D196" s="285" t="s">
        <v>231</v>
      </c>
      <c r="E196" s="286" t="s">
        <v>1907</v>
      </c>
      <c r="F196" s="240" t="s">
        <v>1908</v>
      </c>
      <c r="G196" s="287" t="s">
        <v>1194</v>
      </c>
      <c r="H196" s="288">
        <v>1</v>
      </c>
      <c r="I196" s="289">
        <v>30.89</v>
      </c>
      <c r="J196" s="289">
        <f t="shared" si="11"/>
        <v>30.89</v>
      </c>
      <c r="K196" s="121" t="s">
        <v>1</v>
      </c>
      <c r="L196" s="463"/>
      <c r="M196" s="125" t="s">
        <v>1</v>
      </c>
      <c r="N196" s="126" t="s">
        <v>32</v>
      </c>
      <c r="O196" s="127">
        <v>0</v>
      </c>
      <c r="P196" s="127">
        <f t="shared" si="12"/>
        <v>0</v>
      </c>
      <c r="Q196" s="127">
        <v>0</v>
      </c>
      <c r="R196" s="127">
        <f t="shared" si="13"/>
        <v>0</v>
      </c>
      <c r="S196" s="127">
        <v>0</v>
      </c>
      <c r="T196" s="128">
        <f t="shared" si="14"/>
        <v>0</v>
      </c>
      <c r="W196" s="199"/>
      <c r="X196" s="285" t="s">
        <v>320</v>
      </c>
      <c r="Y196" s="285" t="s">
        <v>231</v>
      </c>
      <c r="Z196" s="286" t="s">
        <v>1907</v>
      </c>
      <c r="AA196" s="240" t="s">
        <v>1908</v>
      </c>
      <c r="AB196" s="287" t="s">
        <v>1194</v>
      </c>
      <c r="AC196" s="288">
        <v>1</v>
      </c>
      <c r="AD196" s="289">
        <v>30.89</v>
      </c>
      <c r="AE196" s="290">
        <f t="shared" si="15"/>
        <v>30.89</v>
      </c>
      <c r="AF196" s="227"/>
      <c r="AG196" s="374"/>
      <c r="AH196" s="477"/>
      <c r="AR196" s="129" t="s">
        <v>235</v>
      </c>
      <c r="AT196" s="129" t="s">
        <v>231</v>
      </c>
      <c r="AU196" s="129" t="s">
        <v>76</v>
      </c>
      <c r="AY196" s="13" t="s">
        <v>228</v>
      </c>
      <c r="BE196" s="130">
        <f t="shared" si="16"/>
        <v>0</v>
      </c>
      <c r="BF196" s="130">
        <f t="shared" si="17"/>
        <v>30.89</v>
      </c>
      <c r="BG196" s="130">
        <f t="shared" si="18"/>
        <v>0</v>
      </c>
      <c r="BH196" s="130">
        <f t="shared" si="19"/>
        <v>0</v>
      </c>
      <c r="BI196" s="130">
        <f t="shared" si="20"/>
        <v>0</v>
      </c>
      <c r="BJ196" s="13" t="s">
        <v>76</v>
      </c>
      <c r="BK196" s="130">
        <f t="shared" si="21"/>
        <v>30.89</v>
      </c>
      <c r="BL196" s="13" t="s">
        <v>235</v>
      </c>
      <c r="BM196" s="129" t="s">
        <v>323</v>
      </c>
    </row>
    <row r="197" spans="2:65" s="1" customFormat="1" ht="24" customHeight="1" x14ac:dyDescent="0.2">
      <c r="B197" s="118"/>
      <c r="C197" s="285" t="s">
        <v>276</v>
      </c>
      <c r="D197" s="285" t="s">
        <v>231</v>
      </c>
      <c r="E197" s="286" t="s">
        <v>1909</v>
      </c>
      <c r="F197" s="240" t="s">
        <v>1910</v>
      </c>
      <c r="G197" s="287" t="s">
        <v>1194</v>
      </c>
      <c r="H197" s="288">
        <v>1</v>
      </c>
      <c r="I197" s="289">
        <v>39.99</v>
      </c>
      <c r="J197" s="289">
        <f t="shared" si="11"/>
        <v>39.99</v>
      </c>
      <c r="K197" s="121" t="s">
        <v>1</v>
      </c>
      <c r="L197" s="463"/>
      <c r="M197" s="125" t="s">
        <v>1</v>
      </c>
      <c r="N197" s="126" t="s">
        <v>32</v>
      </c>
      <c r="O197" s="127">
        <v>0</v>
      </c>
      <c r="P197" s="127">
        <f t="shared" si="12"/>
        <v>0</v>
      </c>
      <c r="Q197" s="127">
        <v>0</v>
      </c>
      <c r="R197" s="127">
        <f t="shared" si="13"/>
        <v>0</v>
      </c>
      <c r="S197" s="127">
        <v>0</v>
      </c>
      <c r="T197" s="128">
        <f t="shared" si="14"/>
        <v>0</v>
      </c>
      <c r="W197" s="199"/>
      <c r="X197" s="285" t="s">
        <v>276</v>
      </c>
      <c r="Y197" s="285" t="s">
        <v>231</v>
      </c>
      <c r="Z197" s="286" t="s">
        <v>1909</v>
      </c>
      <c r="AA197" s="240" t="s">
        <v>1910</v>
      </c>
      <c r="AB197" s="287" t="s">
        <v>1194</v>
      </c>
      <c r="AC197" s="288">
        <v>1</v>
      </c>
      <c r="AD197" s="289">
        <v>39.99</v>
      </c>
      <c r="AE197" s="290">
        <f t="shared" si="15"/>
        <v>39.99</v>
      </c>
      <c r="AF197" s="227"/>
      <c r="AG197" s="374"/>
      <c r="AH197" s="477"/>
      <c r="AR197" s="129" t="s">
        <v>235</v>
      </c>
      <c r="AT197" s="129" t="s">
        <v>231</v>
      </c>
      <c r="AU197" s="129" t="s">
        <v>76</v>
      </c>
      <c r="AY197" s="13" t="s">
        <v>228</v>
      </c>
      <c r="BE197" s="130">
        <f t="shared" si="16"/>
        <v>0</v>
      </c>
      <c r="BF197" s="130">
        <f t="shared" si="17"/>
        <v>39.99</v>
      </c>
      <c r="BG197" s="130">
        <f t="shared" si="18"/>
        <v>0</v>
      </c>
      <c r="BH197" s="130">
        <f t="shared" si="19"/>
        <v>0</v>
      </c>
      <c r="BI197" s="130">
        <f t="shared" si="20"/>
        <v>0</v>
      </c>
      <c r="BJ197" s="13" t="s">
        <v>76</v>
      </c>
      <c r="BK197" s="130">
        <f t="shared" si="21"/>
        <v>39.99</v>
      </c>
      <c r="BL197" s="13" t="s">
        <v>235</v>
      </c>
      <c r="BM197" s="129" t="s">
        <v>326</v>
      </c>
    </row>
    <row r="198" spans="2:65" s="1" customFormat="1" ht="24" customHeight="1" x14ac:dyDescent="0.2">
      <c r="B198" s="118"/>
      <c r="C198" s="285" t="s">
        <v>327</v>
      </c>
      <c r="D198" s="285" t="s">
        <v>231</v>
      </c>
      <c r="E198" s="286" t="s">
        <v>1889</v>
      </c>
      <c r="F198" s="240" t="s">
        <v>1890</v>
      </c>
      <c r="G198" s="287" t="s">
        <v>1194</v>
      </c>
      <c r="H198" s="288">
        <v>3</v>
      </c>
      <c r="I198" s="289">
        <v>18.27</v>
      </c>
      <c r="J198" s="289">
        <f t="shared" si="11"/>
        <v>54.81</v>
      </c>
      <c r="K198" s="121" t="s">
        <v>1</v>
      </c>
      <c r="L198" s="463"/>
      <c r="M198" s="125" t="s">
        <v>1</v>
      </c>
      <c r="N198" s="126" t="s">
        <v>32</v>
      </c>
      <c r="O198" s="127">
        <v>0</v>
      </c>
      <c r="P198" s="127">
        <f t="shared" si="12"/>
        <v>0</v>
      </c>
      <c r="Q198" s="127">
        <v>0</v>
      </c>
      <c r="R198" s="127">
        <f t="shared" si="13"/>
        <v>0</v>
      </c>
      <c r="S198" s="127">
        <v>0</v>
      </c>
      <c r="T198" s="128">
        <f t="shared" si="14"/>
        <v>0</v>
      </c>
      <c r="W198" s="199"/>
      <c r="X198" s="285" t="s">
        <v>327</v>
      </c>
      <c r="Y198" s="285" t="s">
        <v>231</v>
      </c>
      <c r="Z198" s="286" t="s">
        <v>1889</v>
      </c>
      <c r="AA198" s="240" t="s">
        <v>1890</v>
      </c>
      <c r="AB198" s="287" t="s">
        <v>1194</v>
      </c>
      <c r="AC198" s="288">
        <v>3</v>
      </c>
      <c r="AD198" s="289">
        <v>18.27</v>
      </c>
      <c r="AE198" s="290">
        <f t="shared" si="15"/>
        <v>54.81</v>
      </c>
      <c r="AF198" s="227"/>
      <c r="AG198" s="374"/>
      <c r="AH198" s="477"/>
      <c r="AR198" s="129" t="s">
        <v>235</v>
      </c>
      <c r="AT198" s="129" t="s">
        <v>231</v>
      </c>
      <c r="AU198" s="129" t="s">
        <v>76</v>
      </c>
      <c r="AY198" s="13" t="s">
        <v>228</v>
      </c>
      <c r="BE198" s="130">
        <f t="shared" si="16"/>
        <v>0</v>
      </c>
      <c r="BF198" s="130">
        <f t="shared" si="17"/>
        <v>54.81</v>
      </c>
      <c r="BG198" s="130">
        <f t="shared" si="18"/>
        <v>0</v>
      </c>
      <c r="BH198" s="130">
        <f t="shared" si="19"/>
        <v>0</v>
      </c>
      <c r="BI198" s="130">
        <f t="shared" si="20"/>
        <v>0</v>
      </c>
      <c r="BJ198" s="13" t="s">
        <v>76</v>
      </c>
      <c r="BK198" s="130">
        <f t="shared" si="21"/>
        <v>54.81</v>
      </c>
      <c r="BL198" s="13" t="s">
        <v>235</v>
      </c>
      <c r="BM198" s="129" t="s">
        <v>330</v>
      </c>
    </row>
    <row r="199" spans="2:65" s="1" customFormat="1" ht="24" customHeight="1" x14ac:dyDescent="0.2">
      <c r="B199" s="118"/>
      <c r="C199" s="285" t="s">
        <v>280</v>
      </c>
      <c r="D199" s="285" t="s">
        <v>231</v>
      </c>
      <c r="E199" s="286" t="s">
        <v>1891</v>
      </c>
      <c r="F199" s="240" t="s">
        <v>1892</v>
      </c>
      <c r="G199" s="287" t="s">
        <v>292</v>
      </c>
      <c r="H199" s="288">
        <v>9</v>
      </c>
      <c r="I199" s="289">
        <v>4.8899999999999997</v>
      </c>
      <c r="J199" s="289">
        <f t="shared" si="11"/>
        <v>44.01</v>
      </c>
      <c r="K199" s="121" t="s">
        <v>1</v>
      </c>
      <c r="L199" s="463"/>
      <c r="M199" s="125" t="s">
        <v>1</v>
      </c>
      <c r="N199" s="126" t="s">
        <v>32</v>
      </c>
      <c r="O199" s="127">
        <v>0</v>
      </c>
      <c r="P199" s="127">
        <f t="shared" si="12"/>
        <v>0</v>
      </c>
      <c r="Q199" s="127">
        <v>0</v>
      </c>
      <c r="R199" s="127">
        <f t="shared" si="13"/>
        <v>0</v>
      </c>
      <c r="S199" s="127">
        <v>0</v>
      </c>
      <c r="T199" s="128">
        <f t="shared" si="14"/>
        <v>0</v>
      </c>
      <c r="W199" s="199"/>
      <c r="X199" s="285" t="s">
        <v>280</v>
      </c>
      <c r="Y199" s="285" t="s">
        <v>231</v>
      </c>
      <c r="Z199" s="286" t="s">
        <v>1891</v>
      </c>
      <c r="AA199" s="240" t="s">
        <v>1892</v>
      </c>
      <c r="AB199" s="287" t="s">
        <v>292</v>
      </c>
      <c r="AC199" s="288">
        <v>9</v>
      </c>
      <c r="AD199" s="289">
        <v>4.8899999999999997</v>
      </c>
      <c r="AE199" s="290">
        <f t="shared" si="15"/>
        <v>44.01</v>
      </c>
      <c r="AF199" s="227"/>
      <c r="AG199" s="374"/>
      <c r="AH199" s="477"/>
      <c r="AR199" s="129" t="s">
        <v>235</v>
      </c>
      <c r="AT199" s="129" t="s">
        <v>231</v>
      </c>
      <c r="AU199" s="129" t="s">
        <v>76</v>
      </c>
      <c r="AY199" s="13" t="s">
        <v>228</v>
      </c>
      <c r="BE199" s="130">
        <f t="shared" si="16"/>
        <v>0</v>
      </c>
      <c r="BF199" s="130">
        <f t="shared" si="17"/>
        <v>44.01</v>
      </c>
      <c r="BG199" s="130">
        <f t="shared" si="18"/>
        <v>0</v>
      </c>
      <c r="BH199" s="130">
        <f t="shared" si="19"/>
        <v>0</v>
      </c>
      <c r="BI199" s="130">
        <f t="shared" si="20"/>
        <v>0</v>
      </c>
      <c r="BJ199" s="13" t="s">
        <v>76</v>
      </c>
      <c r="BK199" s="130">
        <f t="shared" si="21"/>
        <v>44.01</v>
      </c>
      <c r="BL199" s="13" t="s">
        <v>235</v>
      </c>
      <c r="BM199" s="129" t="s">
        <v>333</v>
      </c>
    </row>
    <row r="200" spans="2:65" s="421" customFormat="1" ht="24" customHeight="1" x14ac:dyDescent="0.2">
      <c r="B200" s="118"/>
      <c r="C200" s="1234" t="s">
        <v>5205</v>
      </c>
      <c r="D200" s="1235"/>
      <c r="E200" s="1235"/>
      <c r="F200" s="1235"/>
      <c r="G200" s="1235"/>
      <c r="H200" s="1235"/>
      <c r="I200" s="1235"/>
      <c r="J200" s="1236"/>
      <c r="K200" s="121"/>
      <c r="L200" s="24"/>
      <c r="M200" s="125"/>
      <c r="N200" s="126"/>
      <c r="O200" s="127"/>
      <c r="P200" s="127"/>
      <c r="Q200" s="127"/>
      <c r="R200" s="127"/>
      <c r="S200" s="127"/>
      <c r="T200" s="128"/>
      <c r="V200" s="470"/>
      <c r="W200" s="199"/>
      <c r="X200" s="341" t="s">
        <v>6123</v>
      </c>
      <c r="Y200" s="341" t="s">
        <v>231</v>
      </c>
      <c r="Z200" s="342" t="s">
        <v>6085</v>
      </c>
      <c r="AA200" s="343" t="s">
        <v>6086</v>
      </c>
      <c r="AB200" s="344" t="s">
        <v>1194</v>
      </c>
      <c r="AC200" s="345">
        <v>4</v>
      </c>
      <c r="AD200" s="346">
        <v>12.77</v>
      </c>
      <c r="AE200" s="355">
        <f t="shared" ref="AE200:AE201" si="22">ROUND(AD200*AC200,2)</f>
        <v>51.08</v>
      </c>
      <c r="AF200" s="227">
        <v>6</v>
      </c>
      <c r="AG200" s="374"/>
      <c r="AH200" s="477"/>
      <c r="AR200" s="129"/>
      <c r="AT200" s="129"/>
      <c r="AU200" s="129"/>
      <c r="AY200" s="13"/>
      <c r="BE200" s="130"/>
      <c r="BF200" s="130"/>
      <c r="BG200" s="130"/>
      <c r="BH200" s="130"/>
      <c r="BI200" s="130"/>
      <c r="BJ200" s="13"/>
      <c r="BK200" s="130"/>
      <c r="BL200" s="13"/>
      <c r="BM200" s="129"/>
    </row>
    <row r="201" spans="2:65" s="1" customFormat="1" ht="42.45" customHeight="1" x14ac:dyDescent="0.2">
      <c r="B201" s="118"/>
      <c r="C201" s="285" t="s">
        <v>334</v>
      </c>
      <c r="D201" s="285" t="s">
        <v>231</v>
      </c>
      <c r="E201" s="286" t="s">
        <v>1911</v>
      </c>
      <c r="F201" s="240" t="s">
        <v>1894</v>
      </c>
      <c r="G201" s="287" t="s">
        <v>1194</v>
      </c>
      <c r="H201" s="288">
        <v>3</v>
      </c>
      <c r="I201" s="289">
        <v>136.81</v>
      </c>
      <c r="J201" s="289">
        <f t="shared" si="11"/>
        <v>410.43</v>
      </c>
      <c r="K201" s="240" t="s">
        <v>1</v>
      </c>
      <c r="L201" s="493"/>
      <c r="M201" s="448"/>
      <c r="N201" s="449"/>
      <c r="O201" s="450"/>
      <c r="P201" s="450"/>
      <c r="Q201" s="450"/>
      <c r="R201" s="450"/>
      <c r="S201" s="450"/>
      <c r="T201" s="451"/>
      <c r="U201" s="407"/>
      <c r="V201" s="494"/>
      <c r="W201" s="199"/>
      <c r="X201" s="285" t="s">
        <v>334</v>
      </c>
      <c r="Y201" s="285" t="s">
        <v>231</v>
      </c>
      <c r="Z201" s="286" t="s">
        <v>1911</v>
      </c>
      <c r="AA201" s="240" t="s">
        <v>1894</v>
      </c>
      <c r="AB201" s="287" t="s">
        <v>1194</v>
      </c>
      <c r="AC201" s="288">
        <v>3</v>
      </c>
      <c r="AD201" s="289">
        <v>136.81</v>
      </c>
      <c r="AE201" s="290">
        <f t="shared" si="22"/>
        <v>410.43</v>
      </c>
      <c r="AF201" s="227"/>
      <c r="AG201" s="374"/>
      <c r="AH201" s="477"/>
      <c r="AR201" s="129" t="s">
        <v>235</v>
      </c>
      <c r="AT201" s="129" t="s">
        <v>231</v>
      </c>
      <c r="AU201" s="129" t="s">
        <v>76</v>
      </c>
      <c r="AY201" s="13" t="s">
        <v>228</v>
      </c>
      <c r="BE201" s="130">
        <f t="shared" si="16"/>
        <v>0</v>
      </c>
      <c r="BF201" s="130">
        <f t="shared" si="17"/>
        <v>0</v>
      </c>
      <c r="BG201" s="130">
        <f t="shared" si="18"/>
        <v>0</v>
      </c>
      <c r="BH201" s="130">
        <f t="shared" si="19"/>
        <v>0</v>
      </c>
      <c r="BI201" s="130">
        <f t="shared" si="20"/>
        <v>0</v>
      </c>
      <c r="BJ201" s="13" t="s">
        <v>76</v>
      </c>
      <c r="BK201" s="130">
        <f t="shared" si="21"/>
        <v>410.43</v>
      </c>
      <c r="BL201" s="13" t="s">
        <v>235</v>
      </c>
      <c r="BM201" s="129" t="s">
        <v>337</v>
      </c>
    </row>
    <row r="202" spans="2:65" s="1" customFormat="1" ht="19.2" x14ac:dyDescent="0.2">
      <c r="B202" s="24"/>
      <c r="C202" s="407"/>
      <c r="D202" s="492" t="s">
        <v>1259</v>
      </c>
      <c r="E202" s="407"/>
      <c r="F202" s="428" t="s">
        <v>1912</v>
      </c>
      <c r="G202" s="407"/>
      <c r="H202" s="407"/>
      <c r="I202" s="407"/>
      <c r="J202" s="407"/>
      <c r="K202" s="407"/>
      <c r="L202" s="447"/>
      <c r="M202" s="495"/>
      <c r="N202" s="427"/>
      <c r="O202" s="427"/>
      <c r="P202" s="427"/>
      <c r="Q202" s="427"/>
      <c r="R202" s="427"/>
      <c r="S202" s="427"/>
      <c r="T202" s="496"/>
      <c r="U202" s="407"/>
      <c r="V202" s="407"/>
      <c r="W202" s="158"/>
      <c r="X202" s="427"/>
      <c r="Y202" s="511" t="s">
        <v>1259</v>
      </c>
      <c r="Z202" s="427"/>
      <c r="AA202" s="505" t="s">
        <v>1912</v>
      </c>
      <c r="AB202" s="427"/>
      <c r="AC202" s="427"/>
      <c r="AD202" s="427"/>
      <c r="AE202" s="512"/>
      <c r="AF202" s="227"/>
      <c r="AG202" s="374"/>
      <c r="AH202" s="477"/>
      <c r="AT202" s="13" t="s">
        <v>1259</v>
      </c>
      <c r="AU202" s="13" t="s">
        <v>76</v>
      </c>
    </row>
    <row r="203" spans="2:65" s="11" customFormat="1" ht="22.95" customHeight="1" x14ac:dyDescent="0.25">
      <c r="B203" s="106"/>
      <c r="C203" s="292"/>
      <c r="D203" s="489" t="s">
        <v>57</v>
      </c>
      <c r="E203" s="490" t="s">
        <v>1247</v>
      </c>
      <c r="F203" s="490" t="s">
        <v>1913</v>
      </c>
      <c r="G203" s="292"/>
      <c r="H203" s="292"/>
      <c r="I203" s="292"/>
      <c r="J203" s="491">
        <f>BK203</f>
        <v>142.97999999999999</v>
      </c>
      <c r="K203" s="292"/>
      <c r="L203" s="497"/>
      <c r="M203" s="498"/>
      <c r="N203" s="347"/>
      <c r="O203" s="347"/>
      <c r="P203" s="499"/>
      <c r="Q203" s="347"/>
      <c r="R203" s="499"/>
      <c r="S203" s="347"/>
      <c r="T203" s="500"/>
      <c r="U203" s="292"/>
      <c r="V203" s="292"/>
      <c r="W203" s="195"/>
      <c r="X203" s="347"/>
      <c r="Y203" s="506" t="s">
        <v>57</v>
      </c>
      <c r="Z203" s="507" t="s">
        <v>1247</v>
      </c>
      <c r="AA203" s="507" t="s">
        <v>1913</v>
      </c>
      <c r="AB203" s="347"/>
      <c r="AC203" s="347"/>
      <c r="AD203" s="347"/>
      <c r="AE203" s="510">
        <f>AE204</f>
        <v>142.97999999999999</v>
      </c>
      <c r="AF203" s="227"/>
      <c r="AG203" s="374"/>
      <c r="AH203" s="477"/>
      <c r="AR203" s="107" t="s">
        <v>63</v>
      </c>
      <c r="AT203" s="114" t="s">
        <v>57</v>
      </c>
      <c r="AU203" s="114" t="s">
        <v>63</v>
      </c>
      <c r="AY203" s="107" t="s">
        <v>228</v>
      </c>
      <c r="BK203" s="115">
        <f>BK204</f>
        <v>142.97999999999999</v>
      </c>
    </row>
    <row r="204" spans="2:65" s="1" customFormat="1" ht="16.5" customHeight="1" x14ac:dyDescent="0.2">
      <c r="B204" s="118"/>
      <c r="C204" s="285" t="s">
        <v>285</v>
      </c>
      <c r="D204" s="285" t="s">
        <v>231</v>
      </c>
      <c r="E204" s="286" t="s">
        <v>1914</v>
      </c>
      <c r="F204" s="240" t="s">
        <v>1915</v>
      </c>
      <c r="G204" s="287" t="s">
        <v>1194</v>
      </c>
      <c r="H204" s="288">
        <v>2</v>
      </c>
      <c r="I204" s="289">
        <v>71.489999999999995</v>
      </c>
      <c r="J204" s="289">
        <f>ROUND(I204*H204,2)</f>
        <v>142.97999999999999</v>
      </c>
      <c r="K204" s="240" t="s">
        <v>1</v>
      </c>
      <c r="L204" s="493"/>
      <c r="M204" s="448"/>
      <c r="N204" s="449"/>
      <c r="O204" s="450"/>
      <c r="P204" s="450"/>
      <c r="Q204" s="450"/>
      <c r="R204" s="450"/>
      <c r="S204" s="450"/>
      <c r="T204" s="451"/>
      <c r="U204" s="407"/>
      <c r="V204" s="494"/>
      <c r="W204" s="199"/>
      <c r="X204" s="285" t="s">
        <v>285</v>
      </c>
      <c r="Y204" s="285" t="s">
        <v>231</v>
      </c>
      <c r="Z204" s="286" t="s">
        <v>1914</v>
      </c>
      <c r="AA204" s="240" t="s">
        <v>1915</v>
      </c>
      <c r="AB204" s="287" t="s">
        <v>1194</v>
      </c>
      <c r="AC204" s="288">
        <v>2</v>
      </c>
      <c r="AD204" s="289">
        <v>71.489999999999995</v>
      </c>
      <c r="AE204" s="290">
        <f>ROUND(AD204*AC204,2)</f>
        <v>142.97999999999999</v>
      </c>
      <c r="AF204" s="227"/>
      <c r="AG204" s="374"/>
      <c r="AH204" s="477"/>
      <c r="AR204" s="129" t="s">
        <v>235</v>
      </c>
      <c r="AT204" s="129" t="s">
        <v>231</v>
      </c>
      <c r="AU204" s="129" t="s">
        <v>76</v>
      </c>
      <c r="AY204" s="13" t="s">
        <v>228</v>
      </c>
      <c r="BE204" s="130">
        <f>IF(N204="základná",J204,0)</f>
        <v>0</v>
      </c>
      <c r="BF204" s="130">
        <f>IF(N204="znížená",J204,0)</f>
        <v>0</v>
      </c>
      <c r="BG204" s="130">
        <f>IF(N204="zákl. prenesená",J204,0)</f>
        <v>0</v>
      </c>
      <c r="BH204" s="130">
        <f>IF(N204="zníž. prenesená",J204,0)</f>
        <v>0</v>
      </c>
      <c r="BI204" s="130">
        <f>IF(N204="nulová",J204,0)</f>
        <v>0</v>
      </c>
      <c r="BJ204" s="13" t="s">
        <v>76</v>
      </c>
      <c r="BK204" s="130">
        <f>ROUND(I204*H204,2)</f>
        <v>142.97999999999999</v>
      </c>
      <c r="BL204" s="13" t="s">
        <v>235</v>
      </c>
      <c r="BM204" s="129" t="s">
        <v>340</v>
      </c>
    </row>
    <row r="205" spans="2:65" s="11" customFormat="1" ht="25.95" customHeight="1" x14ac:dyDescent="0.25">
      <c r="B205" s="106"/>
      <c r="C205" s="292"/>
      <c r="D205" s="489" t="s">
        <v>57</v>
      </c>
      <c r="E205" s="501" t="s">
        <v>1252</v>
      </c>
      <c r="F205" s="501" t="s">
        <v>1916</v>
      </c>
      <c r="G205" s="292"/>
      <c r="H205" s="292"/>
      <c r="I205" s="292"/>
      <c r="J205" s="502">
        <f>BK205</f>
        <v>11345.91</v>
      </c>
      <c r="K205" s="292"/>
      <c r="L205" s="497"/>
      <c r="M205" s="498"/>
      <c r="N205" s="347"/>
      <c r="O205" s="347"/>
      <c r="P205" s="499"/>
      <c r="Q205" s="347"/>
      <c r="R205" s="499"/>
      <c r="S205" s="347"/>
      <c r="T205" s="500"/>
      <c r="U205" s="292"/>
      <c r="V205" s="292"/>
      <c r="W205" s="195"/>
      <c r="X205" s="347"/>
      <c r="Y205" s="506" t="s">
        <v>57</v>
      </c>
      <c r="Z205" s="429" t="s">
        <v>1252</v>
      </c>
      <c r="AA205" s="429" t="s">
        <v>1916</v>
      </c>
      <c r="AB205" s="347"/>
      <c r="AC205" s="347"/>
      <c r="AD205" s="347"/>
      <c r="AE205" s="513">
        <f>AE206+AE208+AE214+AE221+AE246+AE272</f>
        <v>11345.91</v>
      </c>
      <c r="AF205" s="227"/>
      <c r="AG205" s="374"/>
      <c r="AH205" s="477"/>
      <c r="AR205" s="107" t="s">
        <v>63</v>
      </c>
      <c r="AT205" s="114" t="s">
        <v>57</v>
      </c>
      <c r="AU205" s="114" t="s">
        <v>58</v>
      </c>
      <c r="AY205" s="107" t="s">
        <v>228</v>
      </c>
      <c r="BK205" s="115">
        <f>BK206+BK207+BK208+BK214+BK221+BK246+BK272</f>
        <v>11345.91</v>
      </c>
    </row>
    <row r="206" spans="2:65" s="1" customFormat="1" ht="16.5" customHeight="1" x14ac:dyDescent="0.2">
      <c r="B206" s="118"/>
      <c r="C206" s="285" t="s">
        <v>341</v>
      </c>
      <c r="D206" s="285" t="s">
        <v>231</v>
      </c>
      <c r="E206" s="286" t="s">
        <v>1917</v>
      </c>
      <c r="F206" s="240" t="s">
        <v>1918</v>
      </c>
      <c r="G206" s="287" t="s">
        <v>1194</v>
      </c>
      <c r="H206" s="288">
        <v>1</v>
      </c>
      <c r="I206" s="289">
        <v>7857.8</v>
      </c>
      <c r="J206" s="289">
        <f>ROUND(I206*H206,2)</f>
        <v>7857.8</v>
      </c>
      <c r="K206" s="240" t="s">
        <v>1</v>
      </c>
      <c r="L206" s="493"/>
      <c r="M206" s="448"/>
      <c r="N206" s="449"/>
      <c r="O206" s="450"/>
      <c r="P206" s="450"/>
      <c r="Q206" s="450"/>
      <c r="R206" s="450"/>
      <c r="S206" s="450"/>
      <c r="T206" s="451"/>
      <c r="U206" s="407"/>
      <c r="V206" s="494"/>
      <c r="W206" s="199"/>
      <c r="X206" s="285" t="s">
        <v>341</v>
      </c>
      <c r="Y206" s="285" t="s">
        <v>231</v>
      </c>
      <c r="Z206" s="286" t="s">
        <v>1917</v>
      </c>
      <c r="AA206" s="240" t="s">
        <v>1918</v>
      </c>
      <c r="AB206" s="287" t="s">
        <v>1194</v>
      </c>
      <c r="AC206" s="288">
        <v>1</v>
      </c>
      <c r="AD206" s="289">
        <v>7857.8</v>
      </c>
      <c r="AE206" s="290">
        <f>ROUND(AD206*AC206,2)</f>
        <v>7857.8</v>
      </c>
      <c r="AF206" s="227"/>
      <c r="AG206" s="374"/>
      <c r="AH206" s="477"/>
      <c r="AR206" s="129" t="s">
        <v>235</v>
      </c>
      <c r="AT206" s="129" t="s">
        <v>231</v>
      </c>
      <c r="AU206" s="129" t="s">
        <v>63</v>
      </c>
      <c r="AY206" s="13" t="s">
        <v>228</v>
      </c>
      <c r="BE206" s="130">
        <f>IF(N206="základná",J206,0)</f>
        <v>0</v>
      </c>
      <c r="BF206" s="130">
        <f>IF(N206="znížená",J206,0)</f>
        <v>0</v>
      </c>
      <c r="BG206" s="130">
        <f>IF(N206="zákl. prenesená",J206,0)</f>
        <v>0</v>
      </c>
      <c r="BH206" s="130">
        <f>IF(N206="zníž. prenesená",J206,0)</f>
        <v>0</v>
      </c>
      <c r="BI206" s="130">
        <f>IF(N206="nulová",J206,0)</f>
        <v>0</v>
      </c>
      <c r="BJ206" s="13" t="s">
        <v>76</v>
      </c>
      <c r="BK206" s="130">
        <f>ROUND(I206*H206,2)</f>
        <v>7857.8</v>
      </c>
      <c r="BL206" s="13" t="s">
        <v>235</v>
      </c>
      <c r="BM206" s="129" t="s">
        <v>344</v>
      </c>
    </row>
    <row r="207" spans="2:65" s="1" customFormat="1" ht="76.2" customHeight="1" x14ac:dyDescent="0.2">
      <c r="B207" s="24"/>
      <c r="C207" s="407"/>
      <c r="D207" s="492" t="s">
        <v>1259</v>
      </c>
      <c r="E207" s="407"/>
      <c r="F207" s="503" t="s">
        <v>1919</v>
      </c>
      <c r="G207" s="407"/>
      <c r="H207" s="407"/>
      <c r="I207" s="407"/>
      <c r="J207" s="407"/>
      <c r="K207" s="407"/>
      <c r="L207" s="447"/>
      <c r="M207" s="495"/>
      <c r="N207" s="427"/>
      <c r="O207" s="427"/>
      <c r="P207" s="427"/>
      <c r="Q207" s="427"/>
      <c r="R207" s="427"/>
      <c r="S207" s="427"/>
      <c r="T207" s="496"/>
      <c r="U207" s="407"/>
      <c r="V207" s="407"/>
      <c r="W207" s="158"/>
      <c r="X207" s="427"/>
      <c r="Y207" s="511" t="s">
        <v>1259</v>
      </c>
      <c r="Z207" s="427"/>
      <c r="AA207" s="514" t="s">
        <v>1919</v>
      </c>
      <c r="AB207" s="427"/>
      <c r="AC207" s="427"/>
      <c r="AD207" s="427"/>
      <c r="AE207" s="512"/>
      <c r="AF207" s="227"/>
      <c r="AG207" s="374"/>
      <c r="AH207" s="477"/>
      <c r="AT207" s="13" t="s">
        <v>1259</v>
      </c>
      <c r="AU207" s="13" t="s">
        <v>63</v>
      </c>
    </row>
    <row r="208" spans="2:65" s="11" customFormat="1" ht="22.95" customHeight="1" x14ac:dyDescent="0.25">
      <c r="B208" s="106"/>
      <c r="D208" s="107" t="s">
        <v>57</v>
      </c>
      <c r="E208" s="116" t="s">
        <v>1211</v>
      </c>
      <c r="F208" s="116" t="s">
        <v>1860</v>
      </c>
      <c r="J208" s="117">
        <f>BK208</f>
        <v>284.58000000000004</v>
      </c>
      <c r="L208" s="106"/>
      <c r="M208" s="110"/>
      <c r="N208" s="111"/>
      <c r="O208" s="111"/>
      <c r="P208" s="112"/>
      <c r="Q208" s="111"/>
      <c r="R208" s="112"/>
      <c r="S208" s="111"/>
      <c r="T208" s="113"/>
      <c r="W208" s="195"/>
      <c r="X208" s="111"/>
      <c r="Y208" s="196" t="s">
        <v>57</v>
      </c>
      <c r="Z208" s="201" t="s">
        <v>1211</v>
      </c>
      <c r="AA208" s="201" t="s">
        <v>1860</v>
      </c>
      <c r="AB208" s="111"/>
      <c r="AC208" s="111"/>
      <c r="AD208" s="111"/>
      <c r="AE208" s="202">
        <f>SUM(AE209:AE213)</f>
        <v>284.58000000000004</v>
      </c>
      <c r="AF208" s="227"/>
      <c r="AG208" s="374"/>
      <c r="AH208" s="477"/>
      <c r="AR208" s="107" t="s">
        <v>63</v>
      </c>
      <c r="AT208" s="114" t="s">
        <v>57</v>
      </c>
      <c r="AU208" s="114" t="s">
        <v>63</v>
      </c>
      <c r="AY208" s="107" t="s">
        <v>228</v>
      </c>
      <c r="BK208" s="115">
        <f>SUM(BK209:BK213)</f>
        <v>284.58000000000004</v>
      </c>
    </row>
    <row r="209" spans="2:65" s="1" customFormat="1" ht="24" customHeight="1" x14ac:dyDescent="0.2">
      <c r="B209" s="118"/>
      <c r="C209" s="285" t="s">
        <v>288</v>
      </c>
      <c r="D209" s="285" t="s">
        <v>231</v>
      </c>
      <c r="E209" s="286" t="s">
        <v>1920</v>
      </c>
      <c r="F209" s="240" t="s">
        <v>1921</v>
      </c>
      <c r="G209" s="287" t="s">
        <v>1194</v>
      </c>
      <c r="H209" s="288">
        <v>1</v>
      </c>
      <c r="I209" s="289">
        <v>36.700000000000003</v>
      </c>
      <c r="J209" s="289">
        <f>ROUND(I209*H209,2)</f>
        <v>36.700000000000003</v>
      </c>
      <c r="K209" s="121" t="s">
        <v>1</v>
      </c>
      <c r="L209" s="465"/>
      <c r="M209" s="125"/>
      <c r="N209" s="126"/>
      <c r="O209" s="127"/>
      <c r="P209" s="127"/>
      <c r="Q209" s="127"/>
      <c r="R209" s="127"/>
      <c r="S209" s="127"/>
      <c r="T209" s="128"/>
      <c r="W209" s="199"/>
      <c r="X209" s="285" t="s">
        <v>288</v>
      </c>
      <c r="Y209" s="285" t="s">
        <v>231</v>
      </c>
      <c r="Z209" s="286" t="s">
        <v>1920</v>
      </c>
      <c r="AA209" s="240" t="s">
        <v>1921</v>
      </c>
      <c r="AB209" s="287" t="s">
        <v>1194</v>
      </c>
      <c r="AC209" s="288">
        <v>1</v>
      </c>
      <c r="AD209" s="289">
        <v>36.700000000000003</v>
      </c>
      <c r="AE209" s="290">
        <f>ROUND(AD209*AC209,2)</f>
        <v>36.700000000000003</v>
      </c>
      <c r="AF209" s="227"/>
      <c r="AG209" s="374"/>
      <c r="AH209" s="477"/>
      <c r="AR209" s="129" t="s">
        <v>235</v>
      </c>
      <c r="AT209" s="129" t="s">
        <v>231</v>
      </c>
      <c r="AU209" s="129" t="s">
        <v>76</v>
      </c>
      <c r="AY209" s="13" t="s">
        <v>228</v>
      </c>
      <c r="BE209" s="130">
        <f>IF(N209="základná",J209,0)</f>
        <v>0</v>
      </c>
      <c r="BF209" s="130">
        <f>IF(N209="znížená",J209,0)</f>
        <v>0</v>
      </c>
      <c r="BG209" s="130">
        <f>IF(N209="zákl. prenesená",J209,0)</f>
        <v>0</v>
      </c>
      <c r="BH209" s="130">
        <f>IF(N209="zníž. prenesená",J209,0)</f>
        <v>0</v>
      </c>
      <c r="BI209" s="130">
        <f>IF(N209="nulová",J209,0)</f>
        <v>0</v>
      </c>
      <c r="BJ209" s="13" t="s">
        <v>76</v>
      </c>
      <c r="BK209" s="130">
        <f>ROUND(I209*H209,2)</f>
        <v>36.700000000000003</v>
      </c>
      <c r="BL209" s="13" t="s">
        <v>235</v>
      </c>
      <c r="BM209" s="129" t="s">
        <v>347</v>
      </c>
    </row>
    <row r="210" spans="2:65" s="1" customFormat="1" ht="24" customHeight="1" x14ac:dyDescent="0.2">
      <c r="B210" s="118"/>
      <c r="C210" s="285" t="s">
        <v>348</v>
      </c>
      <c r="D210" s="285" t="s">
        <v>231</v>
      </c>
      <c r="E210" s="286" t="s">
        <v>1922</v>
      </c>
      <c r="F210" s="240" t="s">
        <v>1923</v>
      </c>
      <c r="G210" s="287" t="s">
        <v>1194</v>
      </c>
      <c r="H210" s="288">
        <v>1</v>
      </c>
      <c r="I210" s="289">
        <v>41.38</v>
      </c>
      <c r="J210" s="289">
        <f>ROUND(I210*H210,2)</f>
        <v>41.38</v>
      </c>
      <c r="K210" s="121" t="s">
        <v>1</v>
      </c>
      <c r="L210" s="465"/>
      <c r="M210" s="125"/>
      <c r="N210" s="126"/>
      <c r="O210" s="127"/>
      <c r="P210" s="127"/>
      <c r="Q210" s="127"/>
      <c r="R210" s="127"/>
      <c r="S210" s="127"/>
      <c r="T210" s="128"/>
      <c r="W210" s="199"/>
      <c r="X210" s="285" t="s">
        <v>348</v>
      </c>
      <c r="Y210" s="285" t="s">
        <v>231</v>
      </c>
      <c r="Z210" s="286" t="s">
        <v>1922</v>
      </c>
      <c r="AA210" s="240" t="s">
        <v>1923</v>
      </c>
      <c r="AB210" s="287" t="s">
        <v>1194</v>
      </c>
      <c r="AC210" s="288">
        <v>1</v>
      </c>
      <c r="AD210" s="289">
        <v>41.38</v>
      </c>
      <c r="AE210" s="290">
        <f>ROUND(AD210*AC210,2)</f>
        <v>41.38</v>
      </c>
      <c r="AF210" s="227"/>
      <c r="AG210" s="374"/>
      <c r="AH210" s="477"/>
      <c r="AR210" s="129" t="s">
        <v>235</v>
      </c>
      <c r="AT210" s="129" t="s">
        <v>231</v>
      </c>
      <c r="AU210" s="129" t="s">
        <v>76</v>
      </c>
      <c r="AY210" s="13" t="s">
        <v>228</v>
      </c>
      <c r="BE210" s="130">
        <f>IF(N210="základná",J210,0)</f>
        <v>0</v>
      </c>
      <c r="BF210" s="130">
        <f>IF(N210="znížená",J210,0)</f>
        <v>0</v>
      </c>
      <c r="BG210" s="130">
        <f>IF(N210="zákl. prenesená",J210,0)</f>
        <v>0</v>
      </c>
      <c r="BH210" s="130">
        <f>IF(N210="zníž. prenesená",J210,0)</f>
        <v>0</v>
      </c>
      <c r="BI210" s="130">
        <f>IF(N210="nulová",J210,0)</f>
        <v>0</v>
      </c>
      <c r="BJ210" s="13" t="s">
        <v>76</v>
      </c>
      <c r="BK210" s="130">
        <f>ROUND(I210*H210,2)</f>
        <v>41.38</v>
      </c>
      <c r="BL210" s="13" t="s">
        <v>235</v>
      </c>
      <c r="BM210" s="129" t="s">
        <v>351</v>
      </c>
    </row>
    <row r="211" spans="2:65" s="1" customFormat="1" ht="24" customHeight="1" x14ac:dyDescent="0.2">
      <c r="B211" s="118"/>
      <c r="C211" s="285" t="s">
        <v>293</v>
      </c>
      <c r="D211" s="285" t="s">
        <v>231</v>
      </c>
      <c r="E211" s="286" t="s">
        <v>1924</v>
      </c>
      <c r="F211" s="240" t="s">
        <v>1925</v>
      </c>
      <c r="G211" s="287" t="s">
        <v>1194</v>
      </c>
      <c r="H211" s="288">
        <v>1</v>
      </c>
      <c r="I211" s="289">
        <v>85.51</v>
      </c>
      <c r="J211" s="289">
        <f>ROUND(I211*H211,2)</f>
        <v>85.51</v>
      </c>
      <c r="K211" s="121" t="s">
        <v>1</v>
      </c>
      <c r="L211" s="465"/>
      <c r="M211" s="125"/>
      <c r="N211" s="126"/>
      <c r="O211" s="127"/>
      <c r="P211" s="127"/>
      <c r="Q211" s="127"/>
      <c r="R211" s="127"/>
      <c r="S211" s="127"/>
      <c r="T211" s="128"/>
      <c r="W211" s="199"/>
      <c r="X211" s="285" t="s">
        <v>293</v>
      </c>
      <c r="Y211" s="285" t="s">
        <v>231</v>
      </c>
      <c r="Z211" s="286" t="s">
        <v>1924</v>
      </c>
      <c r="AA211" s="240" t="s">
        <v>1925</v>
      </c>
      <c r="AB211" s="287" t="s">
        <v>1194</v>
      </c>
      <c r="AC211" s="288">
        <v>1</v>
      </c>
      <c r="AD211" s="289">
        <v>85.51</v>
      </c>
      <c r="AE211" s="290">
        <f>ROUND(AD211*AC211,2)</f>
        <v>85.51</v>
      </c>
      <c r="AF211" s="227"/>
      <c r="AG211" s="374"/>
      <c r="AH211" s="477"/>
      <c r="AR211" s="129" t="s">
        <v>235</v>
      </c>
      <c r="AT211" s="129" t="s">
        <v>231</v>
      </c>
      <c r="AU211" s="129" t="s">
        <v>76</v>
      </c>
      <c r="AY211" s="13" t="s">
        <v>228</v>
      </c>
      <c r="BE211" s="130">
        <f>IF(N211="základná",J211,0)</f>
        <v>0</v>
      </c>
      <c r="BF211" s="130">
        <f>IF(N211="znížená",J211,0)</f>
        <v>0</v>
      </c>
      <c r="BG211" s="130">
        <f>IF(N211="zákl. prenesená",J211,0)</f>
        <v>0</v>
      </c>
      <c r="BH211" s="130">
        <f>IF(N211="zníž. prenesená",J211,0)</f>
        <v>0</v>
      </c>
      <c r="BI211" s="130">
        <f>IF(N211="nulová",J211,0)</f>
        <v>0</v>
      </c>
      <c r="BJ211" s="13" t="s">
        <v>76</v>
      </c>
      <c r="BK211" s="130">
        <f>ROUND(I211*H211,2)</f>
        <v>85.51</v>
      </c>
      <c r="BL211" s="13" t="s">
        <v>235</v>
      </c>
      <c r="BM211" s="129" t="s">
        <v>354</v>
      </c>
    </row>
    <row r="212" spans="2:65" s="1" customFormat="1" ht="24" customHeight="1" x14ac:dyDescent="0.2">
      <c r="B212" s="118"/>
      <c r="C212" s="285" t="s">
        <v>355</v>
      </c>
      <c r="D212" s="285" t="s">
        <v>231</v>
      </c>
      <c r="E212" s="286" t="s">
        <v>1926</v>
      </c>
      <c r="F212" s="240" t="s">
        <v>1927</v>
      </c>
      <c r="G212" s="287" t="s">
        <v>1194</v>
      </c>
      <c r="H212" s="288">
        <v>1</v>
      </c>
      <c r="I212" s="289">
        <v>43.36</v>
      </c>
      <c r="J212" s="289">
        <f>ROUND(I212*H212,2)</f>
        <v>43.36</v>
      </c>
      <c r="K212" s="121" t="s">
        <v>1</v>
      </c>
      <c r="L212" s="465"/>
      <c r="M212" s="125"/>
      <c r="N212" s="126"/>
      <c r="O212" s="127"/>
      <c r="P212" s="127"/>
      <c r="Q212" s="127"/>
      <c r="R212" s="127"/>
      <c r="S212" s="127"/>
      <c r="T212" s="128"/>
      <c r="W212" s="199"/>
      <c r="X212" s="285" t="s">
        <v>355</v>
      </c>
      <c r="Y212" s="285" t="s">
        <v>231</v>
      </c>
      <c r="Z212" s="286" t="s">
        <v>1926</v>
      </c>
      <c r="AA212" s="240" t="s">
        <v>1927</v>
      </c>
      <c r="AB212" s="287" t="s">
        <v>1194</v>
      </c>
      <c r="AC212" s="288">
        <v>1</v>
      </c>
      <c r="AD212" s="289">
        <v>43.36</v>
      </c>
      <c r="AE212" s="290">
        <f>ROUND(AD212*AC212,2)</f>
        <v>43.36</v>
      </c>
      <c r="AF212" s="227"/>
      <c r="AG212" s="374"/>
      <c r="AH212" s="477"/>
      <c r="AR212" s="129" t="s">
        <v>235</v>
      </c>
      <c r="AT212" s="129" t="s">
        <v>231</v>
      </c>
      <c r="AU212" s="129" t="s">
        <v>76</v>
      </c>
      <c r="AY212" s="13" t="s">
        <v>228</v>
      </c>
      <c r="BE212" s="130">
        <f>IF(N212="základná",J212,0)</f>
        <v>0</v>
      </c>
      <c r="BF212" s="130">
        <f>IF(N212="znížená",J212,0)</f>
        <v>0</v>
      </c>
      <c r="BG212" s="130">
        <f>IF(N212="zákl. prenesená",J212,0)</f>
        <v>0</v>
      </c>
      <c r="BH212" s="130">
        <f>IF(N212="zníž. prenesená",J212,0)</f>
        <v>0</v>
      </c>
      <c r="BI212" s="130">
        <f>IF(N212="nulová",J212,0)</f>
        <v>0</v>
      </c>
      <c r="BJ212" s="13" t="s">
        <v>76</v>
      </c>
      <c r="BK212" s="130">
        <f>ROUND(I212*H212,2)</f>
        <v>43.36</v>
      </c>
      <c r="BL212" s="13" t="s">
        <v>235</v>
      </c>
      <c r="BM212" s="129" t="s">
        <v>358</v>
      </c>
    </row>
    <row r="213" spans="2:65" s="1" customFormat="1" ht="16.5" customHeight="1" x14ac:dyDescent="0.2">
      <c r="B213" s="118"/>
      <c r="C213" s="285" t="s">
        <v>296</v>
      </c>
      <c r="D213" s="285" t="s">
        <v>231</v>
      </c>
      <c r="E213" s="286" t="s">
        <v>1928</v>
      </c>
      <c r="F213" s="240" t="s">
        <v>1929</v>
      </c>
      <c r="G213" s="287" t="s">
        <v>1194</v>
      </c>
      <c r="H213" s="288">
        <v>1</v>
      </c>
      <c r="I213" s="289">
        <v>77.63</v>
      </c>
      <c r="J213" s="289">
        <f>ROUND(I213*H213,2)</f>
        <v>77.63</v>
      </c>
      <c r="K213" s="121" t="s">
        <v>1</v>
      </c>
      <c r="L213" s="465"/>
      <c r="M213" s="125"/>
      <c r="N213" s="126"/>
      <c r="O213" s="127"/>
      <c r="P213" s="127"/>
      <c r="Q213" s="127"/>
      <c r="R213" s="127"/>
      <c r="S213" s="127"/>
      <c r="T213" s="128"/>
      <c r="V213" s="464"/>
      <c r="W213" s="199"/>
      <c r="X213" s="285" t="s">
        <v>296</v>
      </c>
      <c r="Y213" s="285" t="s">
        <v>231</v>
      </c>
      <c r="Z213" s="286" t="s">
        <v>1928</v>
      </c>
      <c r="AA213" s="240" t="s">
        <v>1929</v>
      </c>
      <c r="AB213" s="287" t="s">
        <v>1194</v>
      </c>
      <c r="AC213" s="288">
        <v>1</v>
      </c>
      <c r="AD213" s="289">
        <v>77.63</v>
      </c>
      <c r="AE213" s="290">
        <f>ROUND(AD213*AC213,2)</f>
        <v>77.63</v>
      </c>
      <c r="AF213" s="227"/>
      <c r="AG213" s="374"/>
      <c r="AH213" s="477"/>
      <c r="AR213" s="129" t="s">
        <v>235</v>
      </c>
      <c r="AT213" s="129" t="s">
        <v>231</v>
      </c>
      <c r="AU213" s="129" t="s">
        <v>76</v>
      </c>
      <c r="AY213" s="13" t="s">
        <v>228</v>
      </c>
      <c r="BE213" s="130">
        <f>IF(N213="základná",J213,0)</f>
        <v>0</v>
      </c>
      <c r="BF213" s="130">
        <f>IF(N213="znížená",J213,0)</f>
        <v>0</v>
      </c>
      <c r="BG213" s="130">
        <f>IF(N213="zákl. prenesená",J213,0)</f>
        <v>0</v>
      </c>
      <c r="BH213" s="130">
        <f>IF(N213="zníž. prenesená",J213,0)</f>
        <v>0</v>
      </c>
      <c r="BI213" s="130">
        <f>IF(N213="nulová",J213,0)</f>
        <v>0</v>
      </c>
      <c r="BJ213" s="13" t="s">
        <v>76</v>
      </c>
      <c r="BK213" s="130">
        <f>ROUND(I213*H213,2)</f>
        <v>77.63</v>
      </c>
      <c r="BL213" s="13" t="s">
        <v>235</v>
      </c>
      <c r="BM213" s="129" t="s">
        <v>361</v>
      </c>
    </row>
    <row r="214" spans="2:65" s="11" customFormat="1" ht="22.95" customHeight="1" x14ac:dyDescent="0.25">
      <c r="B214" s="106"/>
      <c r="C214" s="292"/>
      <c r="D214" s="489" t="s">
        <v>57</v>
      </c>
      <c r="E214" s="490" t="s">
        <v>1269</v>
      </c>
      <c r="F214" s="490" t="s">
        <v>1930</v>
      </c>
      <c r="G214" s="292"/>
      <c r="H214" s="292"/>
      <c r="I214" s="292"/>
      <c r="J214" s="491">
        <f>BK214</f>
        <v>292.5</v>
      </c>
      <c r="L214" s="106"/>
      <c r="M214" s="110"/>
      <c r="N214" s="111"/>
      <c r="O214" s="111"/>
      <c r="P214" s="112"/>
      <c r="Q214" s="111"/>
      <c r="R214" s="112"/>
      <c r="S214" s="111"/>
      <c r="T214" s="113"/>
      <c r="W214" s="195"/>
      <c r="X214" s="347"/>
      <c r="Y214" s="506" t="s">
        <v>57</v>
      </c>
      <c r="Z214" s="507" t="s">
        <v>1269</v>
      </c>
      <c r="AA214" s="507" t="s">
        <v>1930</v>
      </c>
      <c r="AB214" s="347"/>
      <c r="AC214" s="347"/>
      <c r="AD214" s="347"/>
      <c r="AE214" s="510">
        <f>SUM(AE215:AE220)</f>
        <v>292.5</v>
      </c>
      <c r="AF214" s="227"/>
      <c r="AG214" s="374"/>
      <c r="AH214" s="477"/>
      <c r="AR214" s="107" t="s">
        <v>63</v>
      </c>
      <c r="AT214" s="114" t="s">
        <v>57</v>
      </c>
      <c r="AU214" s="114" t="s">
        <v>63</v>
      </c>
      <c r="AY214" s="107" t="s">
        <v>228</v>
      </c>
      <c r="BK214" s="115">
        <f>SUM(BK215:BK220)</f>
        <v>292.5</v>
      </c>
    </row>
    <row r="215" spans="2:65" s="1" customFormat="1" ht="24" customHeight="1" x14ac:dyDescent="0.2">
      <c r="B215" s="118"/>
      <c r="C215" s="285" t="s">
        <v>362</v>
      </c>
      <c r="D215" s="285" t="s">
        <v>231</v>
      </c>
      <c r="E215" s="286" t="s">
        <v>1931</v>
      </c>
      <c r="F215" s="240" t="s">
        <v>1932</v>
      </c>
      <c r="G215" s="287" t="s">
        <v>1194</v>
      </c>
      <c r="H215" s="288">
        <v>1</v>
      </c>
      <c r="I215" s="289">
        <v>32.450000000000003</v>
      </c>
      <c r="J215" s="289">
        <f t="shared" ref="J215:J220" si="23">ROUND(I215*H215,2)</f>
        <v>32.450000000000003</v>
      </c>
      <c r="K215" s="121" t="s">
        <v>1</v>
      </c>
      <c r="L215" s="465"/>
      <c r="M215" s="125"/>
      <c r="N215" s="126"/>
      <c r="O215" s="127"/>
      <c r="P215" s="127"/>
      <c r="Q215" s="127"/>
      <c r="R215" s="127"/>
      <c r="S215" s="127"/>
      <c r="T215" s="128"/>
      <c r="W215" s="199"/>
      <c r="X215" s="285" t="s">
        <v>362</v>
      </c>
      <c r="Y215" s="285" t="s">
        <v>231</v>
      </c>
      <c r="Z215" s="286" t="s">
        <v>1931</v>
      </c>
      <c r="AA215" s="240" t="s">
        <v>1932</v>
      </c>
      <c r="AB215" s="287" t="s">
        <v>1194</v>
      </c>
      <c r="AC215" s="288">
        <v>1</v>
      </c>
      <c r="AD215" s="289">
        <v>32.450000000000003</v>
      </c>
      <c r="AE215" s="290">
        <f t="shared" ref="AE215:AE220" si="24">ROUND(AD215*AC215,2)</f>
        <v>32.450000000000003</v>
      </c>
      <c r="AF215" s="227"/>
      <c r="AG215" s="374"/>
      <c r="AH215" s="477"/>
      <c r="AR215" s="129" t="s">
        <v>235</v>
      </c>
      <c r="AT215" s="129" t="s">
        <v>231</v>
      </c>
      <c r="AU215" s="129" t="s">
        <v>76</v>
      </c>
      <c r="AY215" s="13" t="s">
        <v>228</v>
      </c>
      <c r="BE215" s="130">
        <f t="shared" ref="BE215:BE220" si="25">IF(N215="základná",J215,0)</f>
        <v>0</v>
      </c>
      <c r="BF215" s="130">
        <f t="shared" ref="BF215:BF220" si="26">IF(N215="znížená",J215,0)</f>
        <v>0</v>
      </c>
      <c r="BG215" s="130">
        <f t="shared" ref="BG215:BG220" si="27">IF(N215="zákl. prenesená",J215,0)</f>
        <v>0</v>
      </c>
      <c r="BH215" s="130">
        <f t="shared" ref="BH215:BH220" si="28">IF(N215="zníž. prenesená",J215,0)</f>
        <v>0</v>
      </c>
      <c r="BI215" s="130">
        <f t="shared" ref="BI215:BI220" si="29">IF(N215="nulová",J215,0)</f>
        <v>0</v>
      </c>
      <c r="BJ215" s="13" t="s">
        <v>76</v>
      </c>
      <c r="BK215" s="130">
        <f t="shared" ref="BK215:BK220" si="30">ROUND(I215*H215,2)</f>
        <v>32.450000000000003</v>
      </c>
      <c r="BL215" s="13" t="s">
        <v>235</v>
      </c>
      <c r="BM215" s="129" t="s">
        <v>365</v>
      </c>
    </row>
    <row r="216" spans="2:65" s="1" customFormat="1" ht="24" customHeight="1" x14ac:dyDescent="0.2">
      <c r="B216" s="118"/>
      <c r="C216" s="285" t="s">
        <v>300</v>
      </c>
      <c r="D216" s="285" t="s">
        <v>231</v>
      </c>
      <c r="E216" s="286" t="s">
        <v>1933</v>
      </c>
      <c r="F216" s="240" t="s">
        <v>1934</v>
      </c>
      <c r="G216" s="287" t="s">
        <v>1194</v>
      </c>
      <c r="H216" s="288">
        <v>1</v>
      </c>
      <c r="I216" s="289">
        <v>41.38</v>
      </c>
      <c r="J216" s="289">
        <f t="shared" si="23"/>
        <v>41.38</v>
      </c>
      <c r="K216" s="121" t="s">
        <v>1</v>
      </c>
      <c r="L216" s="465"/>
      <c r="M216" s="125"/>
      <c r="N216" s="126"/>
      <c r="O216" s="127"/>
      <c r="P216" s="127"/>
      <c r="Q216" s="127"/>
      <c r="R216" s="127"/>
      <c r="S216" s="127"/>
      <c r="T216" s="128"/>
      <c r="W216" s="199"/>
      <c r="X216" s="285" t="s">
        <v>300</v>
      </c>
      <c r="Y216" s="285" t="s">
        <v>231</v>
      </c>
      <c r="Z216" s="286" t="s">
        <v>1933</v>
      </c>
      <c r="AA216" s="240" t="s">
        <v>1934</v>
      </c>
      <c r="AB216" s="287" t="s">
        <v>1194</v>
      </c>
      <c r="AC216" s="288">
        <v>1</v>
      </c>
      <c r="AD216" s="289">
        <v>41.38</v>
      </c>
      <c r="AE216" s="290">
        <f t="shared" si="24"/>
        <v>41.38</v>
      </c>
      <c r="AF216" s="227"/>
      <c r="AG216" s="374"/>
      <c r="AH216" s="477"/>
      <c r="AR216" s="129" t="s">
        <v>235</v>
      </c>
      <c r="AT216" s="129" t="s">
        <v>231</v>
      </c>
      <c r="AU216" s="129" t="s">
        <v>76</v>
      </c>
      <c r="AY216" s="13" t="s">
        <v>228</v>
      </c>
      <c r="BE216" s="130">
        <f t="shared" si="25"/>
        <v>0</v>
      </c>
      <c r="BF216" s="130">
        <f t="shared" si="26"/>
        <v>0</v>
      </c>
      <c r="BG216" s="130">
        <f t="shared" si="27"/>
        <v>0</v>
      </c>
      <c r="BH216" s="130">
        <f t="shared" si="28"/>
        <v>0</v>
      </c>
      <c r="BI216" s="130">
        <f t="shared" si="29"/>
        <v>0</v>
      </c>
      <c r="BJ216" s="13" t="s">
        <v>76</v>
      </c>
      <c r="BK216" s="130">
        <f t="shared" si="30"/>
        <v>41.38</v>
      </c>
      <c r="BL216" s="13" t="s">
        <v>235</v>
      </c>
      <c r="BM216" s="129" t="s">
        <v>368</v>
      </c>
    </row>
    <row r="217" spans="2:65" s="1" customFormat="1" ht="24" customHeight="1" x14ac:dyDescent="0.2">
      <c r="B217" s="118"/>
      <c r="C217" s="285" t="s">
        <v>369</v>
      </c>
      <c r="D217" s="285" t="s">
        <v>231</v>
      </c>
      <c r="E217" s="286" t="s">
        <v>1935</v>
      </c>
      <c r="F217" s="240" t="s">
        <v>1936</v>
      </c>
      <c r="G217" s="287" t="s">
        <v>1194</v>
      </c>
      <c r="H217" s="288">
        <v>1</v>
      </c>
      <c r="I217" s="289">
        <v>39.22</v>
      </c>
      <c r="J217" s="289">
        <f t="shared" si="23"/>
        <v>39.22</v>
      </c>
      <c r="K217" s="121" t="s">
        <v>1</v>
      </c>
      <c r="L217" s="465"/>
      <c r="M217" s="125"/>
      <c r="N217" s="126"/>
      <c r="O217" s="127"/>
      <c r="P217" s="127"/>
      <c r="Q217" s="127"/>
      <c r="R217" s="127"/>
      <c r="S217" s="127"/>
      <c r="T217" s="128"/>
      <c r="W217" s="199"/>
      <c r="X217" s="285" t="s">
        <v>369</v>
      </c>
      <c r="Y217" s="285" t="s">
        <v>231</v>
      </c>
      <c r="Z217" s="286" t="s">
        <v>1935</v>
      </c>
      <c r="AA217" s="240" t="s">
        <v>1936</v>
      </c>
      <c r="AB217" s="287" t="s">
        <v>1194</v>
      </c>
      <c r="AC217" s="288">
        <v>1</v>
      </c>
      <c r="AD217" s="289">
        <v>39.22</v>
      </c>
      <c r="AE217" s="290">
        <f t="shared" si="24"/>
        <v>39.22</v>
      </c>
      <c r="AF217" s="227"/>
      <c r="AG217" s="374"/>
      <c r="AH217" s="477"/>
      <c r="AR217" s="129" t="s">
        <v>235</v>
      </c>
      <c r="AT217" s="129" t="s">
        <v>231</v>
      </c>
      <c r="AU217" s="129" t="s">
        <v>76</v>
      </c>
      <c r="AY217" s="13" t="s">
        <v>228</v>
      </c>
      <c r="BE217" s="130">
        <f t="shared" si="25"/>
        <v>0</v>
      </c>
      <c r="BF217" s="130">
        <f t="shared" si="26"/>
        <v>0</v>
      </c>
      <c r="BG217" s="130">
        <f t="shared" si="27"/>
        <v>0</v>
      </c>
      <c r="BH217" s="130">
        <f t="shared" si="28"/>
        <v>0</v>
      </c>
      <c r="BI217" s="130">
        <f t="shared" si="29"/>
        <v>0</v>
      </c>
      <c r="BJ217" s="13" t="s">
        <v>76</v>
      </c>
      <c r="BK217" s="130">
        <f t="shared" si="30"/>
        <v>39.22</v>
      </c>
      <c r="BL217" s="13" t="s">
        <v>235</v>
      </c>
      <c r="BM217" s="129" t="s">
        <v>372</v>
      </c>
    </row>
    <row r="218" spans="2:65" s="1" customFormat="1" ht="24" customHeight="1" x14ac:dyDescent="0.2">
      <c r="B218" s="118"/>
      <c r="C218" s="285" t="s">
        <v>303</v>
      </c>
      <c r="D218" s="285" t="s">
        <v>231</v>
      </c>
      <c r="E218" s="286" t="s">
        <v>1937</v>
      </c>
      <c r="F218" s="240" t="s">
        <v>1938</v>
      </c>
      <c r="G218" s="287" t="s">
        <v>1194</v>
      </c>
      <c r="H218" s="288">
        <v>1</v>
      </c>
      <c r="I218" s="289">
        <v>54.88</v>
      </c>
      <c r="J218" s="289">
        <f t="shared" si="23"/>
        <v>54.88</v>
      </c>
      <c r="K218" s="121" t="s">
        <v>1</v>
      </c>
      <c r="L218" s="465"/>
      <c r="M218" s="125" t="s">
        <v>1</v>
      </c>
      <c r="N218" s="126" t="s">
        <v>32</v>
      </c>
      <c r="O218" s="127">
        <v>0</v>
      </c>
      <c r="P218" s="127">
        <f t="shared" ref="P218:P220" si="31">O218*H218</f>
        <v>0</v>
      </c>
      <c r="Q218" s="127">
        <v>0</v>
      </c>
      <c r="R218" s="127">
        <f t="shared" ref="R218:R220" si="32">Q218*H218</f>
        <v>0</v>
      </c>
      <c r="S218" s="127">
        <v>0</v>
      </c>
      <c r="T218" s="128">
        <f t="shared" ref="T218:T220" si="33">S218*H218</f>
        <v>0</v>
      </c>
      <c r="W218" s="199"/>
      <c r="X218" s="285" t="s">
        <v>303</v>
      </c>
      <c r="Y218" s="285" t="s">
        <v>231</v>
      </c>
      <c r="Z218" s="286" t="s">
        <v>1937</v>
      </c>
      <c r="AA218" s="240" t="s">
        <v>1938</v>
      </c>
      <c r="AB218" s="287" t="s">
        <v>1194</v>
      </c>
      <c r="AC218" s="288">
        <v>1</v>
      </c>
      <c r="AD218" s="289">
        <v>54.88</v>
      </c>
      <c r="AE218" s="290">
        <f t="shared" si="24"/>
        <v>54.88</v>
      </c>
      <c r="AF218" s="227"/>
      <c r="AG218" s="374"/>
      <c r="AH218" s="477"/>
      <c r="AR218" s="129" t="s">
        <v>235</v>
      </c>
      <c r="AT218" s="129" t="s">
        <v>231</v>
      </c>
      <c r="AU218" s="129" t="s">
        <v>76</v>
      </c>
      <c r="AY218" s="13" t="s">
        <v>228</v>
      </c>
      <c r="BE218" s="130">
        <f t="shared" si="25"/>
        <v>0</v>
      </c>
      <c r="BF218" s="130">
        <f t="shared" si="26"/>
        <v>54.88</v>
      </c>
      <c r="BG218" s="130">
        <f t="shared" si="27"/>
        <v>0</v>
      </c>
      <c r="BH218" s="130">
        <f t="shared" si="28"/>
        <v>0</v>
      </c>
      <c r="BI218" s="130">
        <f t="shared" si="29"/>
        <v>0</v>
      </c>
      <c r="BJ218" s="13" t="s">
        <v>76</v>
      </c>
      <c r="BK218" s="130">
        <f t="shared" si="30"/>
        <v>54.88</v>
      </c>
      <c r="BL218" s="13" t="s">
        <v>235</v>
      </c>
      <c r="BM218" s="129" t="s">
        <v>375</v>
      </c>
    </row>
    <row r="219" spans="2:65" s="1" customFormat="1" ht="24" customHeight="1" x14ac:dyDescent="0.2">
      <c r="B219" s="118"/>
      <c r="C219" s="285" t="s">
        <v>376</v>
      </c>
      <c r="D219" s="285" t="s">
        <v>231</v>
      </c>
      <c r="E219" s="286" t="s">
        <v>1939</v>
      </c>
      <c r="F219" s="240" t="s">
        <v>1940</v>
      </c>
      <c r="G219" s="287" t="s">
        <v>1194</v>
      </c>
      <c r="H219" s="288">
        <v>1</v>
      </c>
      <c r="I219" s="289">
        <v>43.36</v>
      </c>
      <c r="J219" s="289">
        <f t="shared" si="23"/>
        <v>43.36</v>
      </c>
      <c r="K219" s="121" t="s">
        <v>1</v>
      </c>
      <c r="L219" s="465"/>
      <c r="M219" s="125" t="s">
        <v>1</v>
      </c>
      <c r="N219" s="126" t="s">
        <v>32</v>
      </c>
      <c r="O219" s="127">
        <v>0</v>
      </c>
      <c r="P219" s="127">
        <f t="shared" si="31"/>
        <v>0</v>
      </c>
      <c r="Q219" s="127">
        <v>0</v>
      </c>
      <c r="R219" s="127">
        <f t="shared" si="32"/>
        <v>0</v>
      </c>
      <c r="S219" s="127">
        <v>0</v>
      </c>
      <c r="T219" s="128">
        <f t="shared" si="33"/>
        <v>0</v>
      </c>
      <c r="W219" s="199"/>
      <c r="X219" s="285" t="s">
        <v>376</v>
      </c>
      <c r="Y219" s="285" t="s">
        <v>231</v>
      </c>
      <c r="Z219" s="286" t="s">
        <v>1939</v>
      </c>
      <c r="AA219" s="240" t="s">
        <v>1940</v>
      </c>
      <c r="AB219" s="287" t="s">
        <v>1194</v>
      </c>
      <c r="AC219" s="288">
        <v>1</v>
      </c>
      <c r="AD219" s="289">
        <v>43.36</v>
      </c>
      <c r="AE219" s="290">
        <f t="shared" si="24"/>
        <v>43.36</v>
      </c>
      <c r="AF219" s="227"/>
      <c r="AG219" s="374"/>
      <c r="AH219" s="477"/>
      <c r="AR219" s="129" t="s">
        <v>235</v>
      </c>
      <c r="AT219" s="129" t="s">
        <v>231</v>
      </c>
      <c r="AU219" s="129" t="s">
        <v>76</v>
      </c>
      <c r="AY219" s="13" t="s">
        <v>228</v>
      </c>
      <c r="BE219" s="130">
        <f t="shared" si="25"/>
        <v>0</v>
      </c>
      <c r="BF219" s="130">
        <f t="shared" si="26"/>
        <v>43.36</v>
      </c>
      <c r="BG219" s="130">
        <f t="shared" si="27"/>
        <v>0</v>
      </c>
      <c r="BH219" s="130">
        <f t="shared" si="28"/>
        <v>0</v>
      </c>
      <c r="BI219" s="130">
        <f t="shared" si="29"/>
        <v>0</v>
      </c>
      <c r="BJ219" s="13" t="s">
        <v>76</v>
      </c>
      <c r="BK219" s="130">
        <f t="shared" si="30"/>
        <v>43.36</v>
      </c>
      <c r="BL219" s="13" t="s">
        <v>235</v>
      </c>
      <c r="BM219" s="129" t="s">
        <v>379</v>
      </c>
    </row>
    <row r="220" spans="2:65" s="1" customFormat="1" ht="16.5" customHeight="1" x14ac:dyDescent="0.2">
      <c r="B220" s="118"/>
      <c r="C220" s="285" t="s">
        <v>308</v>
      </c>
      <c r="D220" s="285" t="s">
        <v>231</v>
      </c>
      <c r="E220" s="286" t="s">
        <v>1941</v>
      </c>
      <c r="F220" s="240" t="s">
        <v>1942</v>
      </c>
      <c r="G220" s="287" t="s">
        <v>1194</v>
      </c>
      <c r="H220" s="288">
        <v>1</v>
      </c>
      <c r="I220" s="289">
        <v>81.209999999999994</v>
      </c>
      <c r="J220" s="289">
        <f t="shared" si="23"/>
        <v>81.209999999999994</v>
      </c>
      <c r="K220" s="121" t="s">
        <v>1</v>
      </c>
      <c r="L220" s="465"/>
      <c r="M220" s="125" t="s">
        <v>1</v>
      </c>
      <c r="N220" s="126" t="s">
        <v>32</v>
      </c>
      <c r="O220" s="127">
        <v>0</v>
      </c>
      <c r="P220" s="127">
        <f t="shared" si="31"/>
        <v>0</v>
      </c>
      <c r="Q220" s="127">
        <v>0</v>
      </c>
      <c r="R220" s="127">
        <f t="shared" si="32"/>
        <v>0</v>
      </c>
      <c r="S220" s="127">
        <v>0</v>
      </c>
      <c r="T220" s="128">
        <f t="shared" si="33"/>
        <v>0</v>
      </c>
      <c r="W220" s="199"/>
      <c r="X220" s="285" t="s">
        <v>308</v>
      </c>
      <c r="Y220" s="285" t="s">
        <v>231</v>
      </c>
      <c r="Z220" s="286" t="s">
        <v>1941</v>
      </c>
      <c r="AA220" s="240" t="s">
        <v>1942</v>
      </c>
      <c r="AB220" s="287" t="s">
        <v>1194</v>
      </c>
      <c r="AC220" s="288">
        <v>1</v>
      </c>
      <c r="AD220" s="289">
        <v>81.209999999999994</v>
      </c>
      <c r="AE220" s="290">
        <f t="shared" si="24"/>
        <v>81.209999999999994</v>
      </c>
      <c r="AF220" s="227"/>
      <c r="AG220" s="374"/>
      <c r="AH220" s="477"/>
      <c r="AR220" s="129" t="s">
        <v>235</v>
      </c>
      <c r="AT220" s="129" t="s">
        <v>231</v>
      </c>
      <c r="AU220" s="129" t="s">
        <v>76</v>
      </c>
      <c r="AY220" s="13" t="s">
        <v>228</v>
      </c>
      <c r="BE220" s="130">
        <f t="shared" si="25"/>
        <v>0</v>
      </c>
      <c r="BF220" s="130">
        <f t="shared" si="26"/>
        <v>81.209999999999994</v>
      </c>
      <c r="BG220" s="130">
        <f t="shared" si="27"/>
        <v>0</v>
      </c>
      <c r="BH220" s="130">
        <f t="shared" si="28"/>
        <v>0</v>
      </c>
      <c r="BI220" s="130">
        <f t="shared" si="29"/>
        <v>0</v>
      </c>
      <c r="BJ220" s="13" t="s">
        <v>76</v>
      </c>
      <c r="BK220" s="130">
        <f t="shared" si="30"/>
        <v>81.209999999999994</v>
      </c>
      <c r="BL220" s="13" t="s">
        <v>235</v>
      </c>
      <c r="BM220" s="129" t="s">
        <v>382</v>
      </c>
    </row>
    <row r="221" spans="2:65" s="11" customFormat="1" ht="22.95" customHeight="1" x14ac:dyDescent="0.25">
      <c r="B221" s="106"/>
      <c r="C221" s="292"/>
      <c r="D221" s="489" t="s">
        <v>57</v>
      </c>
      <c r="E221" s="490" t="s">
        <v>1943</v>
      </c>
      <c r="F221" s="490" t="s">
        <v>1944</v>
      </c>
      <c r="G221" s="292"/>
      <c r="H221" s="292"/>
      <c r="I221" s="292"/>
      <c r="J221" s="491">
        <f>BK221</f>
        <v>1595.6399999999999</v>
      </c>
      <c r="L221" s="106"/>
      <c r="M221" s="110"/>
      <c r="N221" s="111"/>
      <c r="O221" s="111"/>
      <c r="P221" s="112">
        <f>SUM(P222:P245)</f>
        <v>0</v>
      </c>
      <c r="Q221" s="111"/>
      <c r="R221" s="112">
        <f>SUM(R222:R245)</f>
        <v>0</v>
      </c>
      <c r="S221" s="111"/>
      <c r="T221" s="113">
        <f>SUM(T222:T245)</f>
        <v>0</v>
      </c>
      <c r="W221" s="195"/>
      <c r="X221" s="347"/>
      <c r="Y221" s="506" t="s">
        <v>57</v>
      </c>
      <c r="Z221" s="507" t="s">
        <v>1943</v>
      </c>
      <c r="AA221" s="507" t="s">
        <v>1944</v>
      </c>
      <c r="AB221" s="347"/>
      <c r="AC221" s="347"/>
      <c r="AD221" s="347"/>
      <c r="AE221" s="510">
        <f>SUM(AE222:AE244)</f>
        <v>1595.6399999999999</v>
      </c>
      <c r="AF221" s="227"/>
      <c r="AG221" s="374"/>
      <c r="AH221" s="477"/>
      <c r="AR221" s="107" t="s">
        <v>63</v>
      </c>
      <c r="AT221" s="114" t="s">
        <v>57</v>
      </c>
      <c r="AU221" s="114" t="s">
        <v>63</v>
      </c>
      <c r="AY221" s="107" t="s">
        <v>228</v>
      </c>
      <c r="BK221" s="115">
        <f>SUM(BK222:BK245)</f>
        <v>1595.6399999999999</v>
      </c>
    </row>
    <row r="222" spans="2:65" s="1" customFormat="1" ht="24" customHeight="1" x14ac:dyDescent="0.2">
      <c r="B222" s="118"/>
      <c r="C222" s="285" t="s">
        <v>383</v>
      </c>
      <c r="D222" s="285" t="s">
        <v>231</v>
      </c>
      <c r="E222" s="286" t="s">
        <v>1945</v>
      </c>
      <c r="F222" s="240" t="s">
        <v>1946</v>
      </c>
      <c r="G222" s="287" t="s">
        <v>1194</v>
      </c>
      <c r="H222" s="288">
        <v>1</v>
      </c>
      <c r="I222" s="289">
        <v>36.700000000000003</v>
      </c>
      <c r="J222" s="289">
        <f t="shared" ref="J222:J244" si="34">ROUND(I222*H222,2)</f>
        <v>36.700000000000003</v>
      </c>
      <c r="K222" s="121" t="s">
        <v>1</v>
      </c>
      <c r="L222" s="465"/>
      <c r="M222" s="125" t="s">
        <v>1</v>
      </c>
      <c r="N222" s="126" t="s">
        <v>32</v>
      </c>
      <c r="O222" s="127">
        <v>0</v>
      </c>
      <c r="P222" s="127">
        <f t="shared" ref="P222:P244" si="35">O222*H222</f>
        <v>0</v>
      </c>
      <c r="Q222" s="127">
        <v>0</v>
      </c>
      <c r="R222" s="127">
        <f t="shared" ref="R222:R244" si="36">Q222*H222</f>
        <v>0</v>
      </c>
      <c r="S222" s="127">
        <v>0</v>
      </c>
      <c r="T222" s="128">
        <f t="shared" ref="T222:T244" si="37">S222*H222</f>
        <v>0</v>
      </c>
      <c r="W222" s="199"/>
      <c r="X222" s="285" t="s">
        <v>383</v>
      </c>
      <c r="Y222" s="285" t="s">
        <v>231</v>
      </c>
      <c r="Z222" s="286" t="s">
        <v>1945</v>
      </c>
      <c r="AA222" s="240" t="s">
        <v>1946</v>
      </c>
      <c r="AB222" s="287" t="s">
        <v>1194</v>
      </c>
      <c r="AC222" s="288">
        <v>1</v>
      </c>
      <c r="AD222" s="289">
        <v>36.700000000000003</v>
      </c>
      <c r="AE222" s="290">
        <f t="shared" ref="AE222:AE244" si="38">ROUND(AD222*AC222,2)</f>
        <v>36.700000000000003</v>
      </c>
      <c r="AF222" s="227"/>
      <c r="AG222" s="374"/>
      <c r="AH222" s="477"/>
      <c r="AR222" s="129" t="s">
        <v>235</v>
      </c>
      <c r="AT222" s="129" t="s">
        <v>231</v>
      </c>
      <c r="AU222" s="129" t="s">
        <v>76</v>
      </c>
      <c r="AY222" s="13" t="s">
        <v>228</v>
      </c>
      <c r="BE222" s="130">
        <f t="shared" ref="BE222:BE244" si="39">IF(N222="základná",J222,0)</f>
        <v>0</v>
      </c>
      <c r="BF222" s="130">
        <f t="shared" ref="BF222:BF244" si="40">IF(N222="znížená",J222,0)</f>
        <v>36.700000000000003</v>
      </c>
      <c r="BG222" s="130">
        <f t="shared" ref="BG222:BG244" si="41">IF(N222="zákl. prenesená",J222,0)</f>
        <v>0</v>
      </c>
      <c r="BH222" s="130">
        <f t="shared" ref="BH222:BH244" si="42">IF(N222="zníž. prenesená",J222,0)</f>
        <v>0</v>
      </c>
      <c r="BI222" s="130">
        <f t="shared" ref="BI222:BI244" si="43">IF(N222="nulová",J222,0)</f>
        <v>0</v>
      </c>
      <c r="BJ222" s="13" t="s">
        <v>76</v>
      </c>
      <c r="BK222" s="130">
        <f t="shared" ref="BK222:BK244" si="44">ROUND(I222*H222,2)</f>
        <v>36.700000000000003</v>
      </c>
      <c r="BL222" s="13" t="s">
        <v>235</v>
      </c>
      <c r="BM222" s="129" t="s">
        <v>386</v>
      </c>
    </row>
    <row r="223" spans="2:65" s="1" customFormat="1" ht="24" customHeight="1" x14ac:dyDescent="0.2">
      <c r="B223" s="118"/>
      <c r="C223" s="285" t="s">
        <v>312</v>
      </c>
      <c r="D223" s="285" t="s">
        <v>231</v>
      </c>
      <c r="E223" s="286" t="s">
        <v>1947</v>
      </c>
      <c r="F223" s="240" t="s">
        <v>1948</v>
      </c>
      <c r="G223" s="287" t="s">
        <v>1194</v>
      </c>
      <c r="H223" s="288">
        <v>1</v>
      </c>
      <c r="I223" s="289">
        <v>78.400000000000006</v>
      </c>
      <c r="J223" s="289">
        <f t="shared" si="34"/>
        <v>78.400000000000006</v>
      </c>
      <c r="K223" s="121" t="s">
        <v>1</v>
      </c>
      <c r="L223" s="465"/>
      <c r="M223" s="125" t="s">
        <v>1</v>
      </c>
      <c r="N223" s="126" t="s">
        <v>32</v>
      </c>
      <c r="O223" s="127">
        <v>0</v>
      </c>
      <c r="P223" s="127">
        <f t="shared" si="35"/>
        <v>0</v>
      </c>
      <c r="Q223" s="127">
        <v>0</v>
      </c>
      <c r="R223" s="127">
        <f t="shared" si="36"/>
        <v>0</v>
      </c>
      <c r="S223" s="127">
        <v>0</v>
      </c>
      <c r="T223" s="128">
        <f t="shared" si="37"/>
        <v>0</v>
      </c>
      <c r="W223" s="199"/>
      <c r="X223" s="285" t="s">
        <v>312</v>
      </c>
      <c r="Y223" s="285" t="s">
        <v>231</v>
      </c>
      <c r="Z223" s="286" t="s">
        <v>1947</v>
      </c>
      <c r="AA223" s="240" t="s">
        <v>1948</v>
      </c>
      <c r="AB223" s="287" t="s">
        <v>1194</v>
      </c>
      <c r="AC223" s="288">
        <v>1</v>
      </c>
      <c r="AD223" s="289">
        <v>78.400000000000006</v>
      </c>
      <c r="AE223" s="290">
        <f t="shared" si="38"/>
        <v>78.400000000000006</v>
      </c>
      <c r="AF223" s="227"/>
      <c r="AG223" s="374"/>
      <c r="AH223" s="477"/>
      <c r="AR223" s="129" t="s">
        <v>235</v>
      </c>
      <c r="AT223" s="129" t="s">
        <v>231</v>
      </c>
      <c r="AU223" s="129" t="s">
        <v>76</v>
      </c>
      <c r="AY223" s="13" t="s">
        <v>228</v>
      </c>
      <c r="BE223" s="130">
        <f t="shared" si="39"/>
        <v>0</v>
      </c>
      <c r="BF223" s="130">
        <f t="shared" si="40"/>
        <v>78.400000000000006</v>
      </c>
      <c r="BG223" s="130">
        <f t="shared" si="41"/>
        <v>0</v>
      </c>
      <c r="BH223" s="130">
        <f t="shared" si="42"/>
        <v>0</v>
      </c>
      <c r="BI223" s="130">
        <f t="shared" si="43"/>
        <v>0</v>
      </c>
      <c r="BJ223" s="13" t="s">
        <v>76</v>
      </c>
      <c r="BK223" s="130">
        <f t="shared" si="44"/>
        <v>78.400000000000006</v>
      </c>
      <c r="BL223" s="13" t="s">
        <v>235</v>
      </c>
      <c r="BM223" s="129" t="s">
        <v>389</v>
      </c>
    </row>
    <row r="224" spans="2:65" s="1" customFormat="1" ht="24" customHeight="1" x14ac:dyDescent="0.2">
      <c r="B224" s="118"/>
      <c r="C224" s="285" t="s">
        <v>390</v>
      </c>
      <c r="D224" s="285" t="s">
        <v>231</v>
      </c>
      <c r="E224" s="286" t="s">
        <v>1949</v>
      </c>
      <c r="F224" s="240" t="s">
        <v>1950</v>
      </c>
      <c r="G224" s="287" t="s">
        <v>1194</v>
      </c>
      <c r="H224" s="288">
        <v>1</v>
      </c>
      <c r="I224" s="289">
        <v>44.76</v>
      </c>
      <c r="J224" s="289">
        <f t="shared" si="34"/>
        <v>44.76</v>
      </c>
      <c r="K224" s="121" t="s">
        <v>1</v>
      </c>
      <c r="L224" s="465"/>
      <c r="M224" s="125" t="s">
        <v>1</v>
      </c>
      <c r="N224" s="126" t="s">
        <v>32</v>
      </c>
      <c r="O224" s="127">
        <v>0</v>
      </c>
      <c r="P224" s="127">
        <f t="shared" si="35"/>
        <v>0</v>
      </c>
      <c r="Q224" s="127">
        <v>0</v>
      </c>
      <c r="R224" s="127">
        <f t="shared" si="36"/>
        <v>0</v>
      </c>
      <c r="S224" s="127">
        <v>0</v>
      </c>
      <c r="T224" s="128">
        <f t="shared" si="37"/>
        <v>0</v>
      </c>
      <c r="W224" s="199"/>
      <c r="X224" s="285" t="s">
        <v>390</v>
      </c>
      <c r="Y224" s="285" t="s">
        <v>231</v>
      </c>
      <c r="Z224" s="286" t="s">
        <v>1949</v>
      </c>
      <c r="AA224" s="240" t="s">
        <v>1950</v>
      </c>
      <c r="AB224" s="287" t="s">
        <v>1194</v>
      </c>
      <c r="AC224" s="288">
        <v>1</v>
      </c>
      <c r="AD224" s="289">
        <v>44.76</v>
      </c>
      <c r="AE224" s="290">
        <f t="shared" si="38"/>
        <v>44.76</v>
      </c>
      <c r="AF224" s="227"/>
      <c r="AG224" s="374"/>
      <c r="AH224" s="477"/>
      <c r="AR224" s="129" t="s">
        <v>235</v>
      </c>
      <c r="AT224" s="129" t="s">
        <v>231</v>
      </c>
      <c r="AU224" s="129" t="s">
        <v>76</v>
      </c>
      <c r="AY224" s="13" t="s">
        <v>228</v>
      </c>
      <c r="BE224" s="130">
        <f t="shared" si="39"/>
        <v>0</v>
      </c>
      <c r="BF224" s="130">
        <f t="shared" si="40"/>
        <v>44.76</v>
      </c>
      <c r="BG224" s="130">
        <f t="shared" si="41"/>
        <v>0</v>
      </c>
      <c r="BH224" s="130">
        <f t="shared" si="42"/>
        <v>0</v>
      </c>
      <c r="BI224" s="130">
        <f t="shared" si="43"/>
        <v>0</v>
      </c>
      <c r="BJ224" s="13" t="s">
        <v>76</v>
      </c>
      <c r="BK224" s="130">
        <f t="shared" si="44"/>
        <v>44.76</v>
      </c>
      <c r="BL224" s="13" t="s">
        <v>235</v>
      </c>
      <c r="BM224" s="129" t="s">
        <v>393</v>
      </c>
    </row>
    <row r="225" spans="2:65" s="1" customFormat="1" ht="24" customHeight="1" x14ac:dyDescent="0.2">
      <c r="B225" s="118"/>
      <c r="C225" s="285" t="s">
        <v>316</v>
      </c>
      <c r="D225" s="285" t="s">
        <v>231</v>
      </c>
      <c r="E225" s="286" t="s">
        <v>1951</v>
      </c>
      <c r="F225" s="240" t="s">
        <v>1952</v>
      </c>
      <c r="G225" s="287" t="s">
        <v>1194</v>
      </c>
      <c r="H225" s="288">
        <v>1</v>
      </c>
      <c r="I225" s="289">
        <v>22.83</v>
      </c>
      <c r="J225" s="289">
        <f t="shared" si="34"/>
        <v>22.83</v>
      </c>
      <c r="K225" s="121" t="s">
        <v>1</v>
      </c>
      <c r="L225" s="465"/>
      <c r="M225" s="125" t="s">
        <v>1</v>
      </c>
      <c r="N225" s="126" t="s">
        <v>32</v>
      </c>
      <c r="O225" s="127">
        <v>0</v>
      </c>
      <c r="P225" s="127">
        <f t="shared" si="35"/>
        <v>0</v>
      </c>
      <c r="Q225" s="127">
        <v>0</v>
      </c>
      <c r="R225" s="127">
        <f t="shared" si="36"/>
        <v>0</v>
      </c>
      <c r="S225" s="127">
        <v>0</v>
      </c>
      <c r="T225" s="128">
        <f t="shared" si="37"/>
        <v>0</v>
      </c>
      <c r="W225" s="199"/>
      <c r="X225" s="285" t="s">
        <v>316</v>
      </c>
      <c r="Y225" s="285" t="s">
        <v>231</v>
      </c>
      <c r="Z225" s="286" t="s">
        <v>1951</v>
      </c>
      <c r="AA225" s="240" t="s">
        <v>1952</v>
      </c>
      <c r="AB225" s="287" t="s">
        <v>1194</v>
      </c>
      <c r="AC225" s="288">
        <v>1</v>
      </c>
      <c r="AD225" s="289">
        <v>22.83</v>
      </c>
      <c r="AE225" s="290">
        <f t="shared" si="38"/>
        <v>22.83</v>
      </c>
      <c r="AF225" s="227"/>
      <c r="AG225" s="374"/>
      <c r="AH225" s="477"/>
      <c r="AR225" s="129" t="s">
        <v>235</v>
      </c>
      <c r="AT225" s="129" t="s">
        <v>231</v>
      </c>
      <c r="AU225" s="129" t="s">
        <v>76</v>
      </c>
      <c r="AY225" s="13" t="s">
        <v>228</v>
      </c>
      <c r="BE225" s="130">
        <f t="shared" si="39"/>
        <v>0</v>
      </c>
      <c r="BF225" s="130">
        <f t="shared" si="40"/>
        <v>22.83</v>
      </c>
      <c r="BG225" s="130">
        <f t="shared" si="41"/>
        <v>0</v>
      </c>
      <c r="BH225" s="130">
        <f t="shared" si="42"/>
        <v>0</v>
      </c>
      <c r="BI225" s="130">
        <f t="shared" si="43"/>
        <v>0</v>
      </c>
      <c r="BJ225" s="13" t="s">
        <v>76</v>
      </c>
      <c r="BK225" s="130">
        <f t="shared" si="44"/>
        <v>22.83</v>
      </c>
      <c r="BL225" s="13" t="s">
        <v>235</v>
      </c>
      <c r="BM225" s="129" t="s">
        <v>396</v>
      </c>
    </row>
    <row r="226" spans="2:65" s="1" customFormat="1" ht="24" customHeight="1" x14ac:dyDescent="0.2">
      <c r="B226" s="118"/>
      <c r="C226" s="285" t="s">
        <v>397</v>
      </c>
      <c r="D226" s="285" t="s">
        <v>231</v>
      </c>
      <c r="E226" s="286" t="s">
        <v>1953</v>
      </c>
      <c r="F226" s="240" t="s">
        <v>1954</v>
      </c>
      <c r="G226" s="287" t="s">
        <v>1194</v>
      </c>
      <c r="H226" s="288">
        <v>1</v>
      </c>
      <c r="I226" s="289">
        <v>61.79</v>
      </c>
      <c r="J226" s="289">
        <f t="shared" si="34"/>
        <v>61.79</v>
      </c>
      <c r="K226" s="121" t="s">
        <v>1</v>
      </c>
      <c r="L226" s="465"/>
      <c r="M226" s="125" t="s">
        <v>1</v>
      </c>
      <c r="N226" s="126" t="s">
        <v>32</v>
      </c>
      <c r="O226" s="127">
        <v>0</v>
      </c>
      <c r="P226" s="127">
        <f t="shared" si="35"/>
        <v>0</v>
      </c>
      <c r="Q226" s="127">
        <v>0</v>
      </c>
      <c r="R226" s="127">
        <f t="shared" si="36"/>
        <v>0</v>
      </c>
      <c r="S226" s="127">
        <v>0</v>
      </c>
      <c r="T226" s="128">
        <f t="shared" si="37"/>
        <v>0</v>
      </c>
      <c r="W226" s="199"/>
      <c r="X226" s="285" t="s">
        <v>397</v>
      </c>
      <c r="Y226" s="285" t="s">
        <v>231</v>
      </c>
      <c r="Z226" s="286" t="s">
        <v>1953</v>
      </c>
      <c r="AA226" s="240" t="s">
        <v>1954</v>
      </c>
      <c r="AB226" s="287" t="s">
        <v>1194</v>
      </c>
      <c r="AC226" s="288">
        <v>1</v>
      </c>
      <c r="AD226" s="289">
        <v>61.79</v>
      </c>
      <c r="AE226" s="290">
        <f t="shared" si="38"/>
        <v>61.79</v>
      </c>
      <c r="AF226" s="227"/>
      <c r="AG226" s="374"/>
      <c r="AH226" s="477"/>
      <c r="AR226" s="129" t="s">
        <v>235</v>
      </c>
      <c r="AT226" s="129" t="s">
        <v>231</v>
      </c>
      <c r="AU226" s="129" t="s">
        <v>76</v>
      </c>
      <c r="AY226" s="13" t="s">
        <v>228</v>
      </c>
      <c r="BE226" s="130">
        <f t="shared" si="39"/>
        <v>0</v>
      </c>
      <c r="BF226" s="130">
        <f t="shared" si="40"/>
        <v>61.79</v>
      </c>
      <c r="BG226" s="130">
        <f t="shared" si="41"/>
        <v>0</v>
      </c>
      <c r="BH226" s="130">
        <f t="shared" si="42"/>
        <v>0</v>
      </c>
      <c r="BI226" s="130">
        <f t="shared" si="43"/>
        <v>0</v>
      </c>
      <c r="BJ226" s="13" t="s">
        <v>76</v>
      </c>
      <c r="BK226" s="130">
        <f t="shared" si="44"/>
        <v>61.79</v>
      </c>
      <c r="BL226" s="13" t="s">
        <v>235</v>
      </c>
      <c r="BM226" s="129" t="s">
        <v>400</v>
      </c>
    </row>
    <row r="227" spans="2:65" s="1" customFormat="1" ht="24" customHeight="1" x14ac:dyDescent="0.2">
      <c r="B227" s="118"/>
      <c r="C227" s="285" t="s">
        <v>319</v>
      </c>
      <c r="D227" s="285" t="s">
        <v>231</v>
      </c>
      <c r="E227" s="286" t="s">
        <v>1955</v>
      </c>
      <c r="F227" s="240" t="s">
        <v>1956</v>
      </c>
      <c r="G227" s="287" t="s">
        <v>1194</v>
      </c>
      <c r="H227" s="288">
        <v>1</v>
      </c>
      <c r="I227" s="289">
        <v>42.8</v>
      </c>
      <c r="J227" s="289">
        <f t="shared" si="34"/>
        <v>42.8</v>
      </c>
      <c r="K227" s="121" t="s">
        <v>1</v>
      </c>
      <c r="L227" s="465"/>
      <c r="M227" s="125" t="s">
        <v>1</v>
      </c>
      <c r="N227" s="126" t="s">
        <v>32</v>
      </c>
      <c r="O227" s="127">
        <v>0</v>
      </c>
      <c r="P227" s="127">
        <f t="shared" si="35"/>
        <v>0</v>
      </c>
      <c r="Q227" s="127">
        <v>0</v>
      </c>
      <c r="R227" s="127">
        <f t="shared" si="36"/>
        <v>0</v>
      </c>
      <c r="S227" s="127">
        <v>0</v>
      </c>
      <c r="T227" s="128">
        <f t="shared" si="37"/>
        <v>0</v>
      </c>
      <c r="W227" s="199"/>
      <c r="X227" s="285" t="s">
        <v>319</v>
      </c>
      <c r="Y227" s="285" t="s">
        <v>231</v>
      </c>
      <c r="Z227" s="286" t="s">
        <v>1955</v>
      </c>
      <c r="AA227" s="240" t="s">
        <v>1956</v>
      </c>
      <c r="AB227" s="287" t="s">
        <v>1194</v>
      </c>
      <c r="AC227" s="288">
        <v>1</v>
      </c>
      <c r="AD227" s="289">
        <v>42.8</v>
      </c>
      <c r="AE227" s="290">
        <f t="shared" si="38"/>
        <v>42.8</v>
      </c>
      <c r="AF227" s="227"/>
      <c r="AG227" s="374"/>
      <c r="AH227" s="477"/>
      <c r="AR227" s="129" t="s">
        <v>235</v>
      </c>
      <c r="AT227" s="129" t="s">
        <v>231</v>
      </c>
      <c r="AU227" s="129" t="s">
        <v>76</v>
      </c>
      <c r="AY227" s="13" t="s">
        <v>228</v>
      </c>
      <c r="BE227" s="130">
        <f t="shared" si="39"/>
        <v>0</v>
      </c>
      <c r="BF227" s="130">
        <f t="shared" si="40"/>
        <v>42.8</v>
      </c>
      <c r="BG227" s="130">
        <f t="shared" si="41"/>
        <v>0</v>
      </c>
      <c r="BH227" s="130">
        <f t="shared" si="42"/>
        <v>0</v>
      </c>
      <c r="BI227" s="130">
        <f t="shared" si="43"/>
        <v>0</v>
      </c>
      <c r="BJ227" s="13" t="s">
        <v>76</v>
      </c>
      <c r="BK227" s="130">
        <f t="shared" si="44"/>
        <v>42.8</v>
      </c>
      <c r="BL227" s="13" t="s">
        <v>235</v>
      </c>
      <c r="BM227" s="129" t="s">
        <v>404</v>
      </c>
    </row>
    <row r="228" spans="2:65" s="1" customFormat="1" ht="24" customHeight="1" x14ac:dyDescent="0.2">
      <c r="B228" s="118"/>
      <c r="C228" s="285" t="s">
        <v>407</v>
      </c>
      <c r="D228" s="285" t="s">
        <v>231</v>
      </c>
      <c r="E228" s="286" t="s">
        <v>1957</v>
      </c>
      <c r="F228" s="240" t="s">
        <v>1958</v>
      </c>
      <c r="G228" s="287" t="s">
        <v>1194</v>
      </c>
      <c r="H228" s="288">
        <v>1</v>
      </c>
      <c r="I228" s="289">
        <v>26.13</v>
      </c>
      <c r="J228" s="289">
        <f t="shared" si="34"/>
        <v>26.13</v>
      </c>
      <c r="K228" s="121" t="s">
        <v>1</v>
      </c>
      <c r="L228" s="465"/>
      <c r="M228" s="125" t="s">
        <v>1</v>
      </c>
      <c r="N228" s="126" t="s">
        <v>32</v>
      </c>
      <c r="O228" s="127">
        <v>0</v>
      </c>
      <c r="P228" s="127">
        <f t="shared" si="35"/>
        <v>0</v>
      </c>
      <c r="Q228" s="127">
        <v>0</v>
      </c>
      <c r="R228" s="127">
        <f t="shared" si="36"/>
        <v>0</v>
      </c>
      <c r="S228" s="127">
        <v>0</v>
      </c>
      <c r="T228" s="128">
        <f t="shared" si="37"/>
        <v>0</v>
      </c>
      <c r="W228" s="199"/>
      <c r="X228" s="285" t="s">
        <v>407</v>
      </c>
      <c r="Y228" s="285" t="s">
        <v>231</v>
      </c>
      <c r="Z228" s="286" t="s">
        <v>1957</v>
      </c>
      <c r="AA228" s="240" t="s">
        <v>1958</v>
      </c>
      <c r="AB228" s="287" t="s">
        <v>1194</v>
      </c>
      <c r="AC228" s="288">
        <v>1</v>
      </c>
      <c r="AD228" s="289">
        <v>26.13</v>
      </c>
      <c r="AE228" s="290">
        <f t="shared" si="38"/>
        <v>26.13</v>
      </c>
      <c r="AF228" s="227"/>
      <c r="AG228" s="374"/>
      <c r="AH228" s="477"/>
      <c r="AR228" s="129" t="s">
        <v>235</v>
      </c>
      <c r="AT228" s="129" t="s">
        <v>231</v>
      </c>
      <c r="AU228" s="129" t="s">
        <v>76</v>
      </c>
      <c r="AY228" s="13" t="s">
        <v>228</v>
      </c>
      <c r="BE228" s="130">
        <f t="shared" si="39"/>
        <v>0</v>
      </c>
      <c r="BF228" s="130">
        <f t="shared" si="40"/>
        <v>26.13</v>
      </c>
      <c r="BG228" s="130">
        <f t="shared" si="41"/>
        <v>0</v>
      </c>
      <c r="BH228" s="130">
        <f t="shared" si="42"/>
        <v>0</v>
      </c>
      <c r="BI228" s="130">
        <f t="shared" si="43"/>
        <v>0</v>
      </c>
      <c r="BJ228" s="13" t="s">
        <v>76</v>
      </c>
      <c r="BK228" s="130">
        <f t="shared" si="44"/>
        <v>26.13</v>
      </c>
      <c r="BL228" s="13" t="s">
        <v>235</v>
      </c>
      <c r="BM228" s="129" t="s">
        <v>410</v>
      </c>
    </row>
    <row r="229" spans="2:65" s="1" customFormat="1" ht="24" customHeight="1" x14ac:dyDescent="0.2">
      <c r="B229" s="118"/>
      <c r="C229" s="285" t="s">
        <v>323</v>
      </c>
      <c r="D229" s="285" t="s">
        <v>231</v>
      </c>
      <c r="E229" s="286" t="s">
        <v>1959</v>
      </c>
      <c r="F229" s="240" t="s">
        <v>1960</v>
      </c>
      <c r="G229" s="287" t="s">
        <v>1194</v>
      </c>
      <c r="H229" s="288">
        <v>1</v>
      </c>
      <c r="I229" s="289">
        <v>17.48</v>
      </c>
      <c r="J229" s="289">
        <f t="shared" si="34"/>
        <v>17.48</v>
      </c>
      <c r="K229" s="121" t="s">
        <v>1</v>
      </c>
      <c r="L229" s="465"/>
      <c r="M229" s="125" t="s">
        <v>1</v>
      </c>
      <c r="N229" s="126" t="s">
        <v>32</v>
      </c>
      <c r="O229" s="127">
        <v>0</v>
      </c>
      <c r="P229" s="127">
        <f t="shared" si="35"/>
        <v>0</v>
      </c>
      <c r="Q229" s="127">
        <v>0</v>
      </c>
      <c r="R229" s="127">
        <f t="shared" si="36"/>
        <v>0</v>
      </c>
      <c r="S229" s="127">
        <v>0</v>
      </c>
      <c r="T229" s="128">
        <f t="shared" si="37"/>
        <v>0</v>
      </c>
      <c r="W229" s="199"/>
      <c r="X229" s="285" t="s">
        <v>323</v>
      </c>
      <c r="Y229" s="285" t="s">
        <v>231</v>
      </c>
      <c r="Z229" s="286" t="s">
        <v>1959</v>
      </c>
      <c r="AA229" s="240" t="s">
        <v>1960</v>
      </c>
      <c r="AB229" s="287" t="s">
        <v>1194</v>
      </c>
      <c r="AC229" s="288">
        <v>1</v>
      </c>
      <c r="AD229" s="289">
        <v>17.48</v>
      </c>
      <c r="AE229" s="290">
        <f t="shared" si="38"/>
        <v>17.48</v>
      </c>
      <c r="AF229" s="227"/>
      <c r="AG229" s="374"/>
      <c r="AH229" s="477"/>
      <c r="AR229" s="129" t="s">
        <v>235</v>
      </c>
      <c r="AT229" s="129" t="s">
        <v>231</v>
      </c>
      <c r="AU229" s="129" t="s">
        <v>76</v>
      </c>
      <c r="AY229" s="13" t="s">
        <v>228</v>
      </c>
      <c r="BE229" s="130">
        <f t="shared" si="39"/>
        <v>0</v>
      </c>
      <c r="BF229" s="130">
        <f t="shared" si="40"/>
        <v>17.48</v>
      </c>
      <c r="BG229" s="130">
        <f t="shared" si="41"/>
        <v>0</v>
      </c>
      <c r="BH229" s="130">
        <f t="shared" si="42"/>
        <v>0</v>
      </c>
      <c r="BI229" s="130">
        <f t="shared" si="43"/>
        <v>0</v>
      </c>
      <c r="BJ229" s="13" t="s">
        <v>76</v>
      </c>
      <c r="BK229" s="130">
        <f t="shared" si="44"/>
        <v>17.48</v>
      </c>
      <c r="BL229" s="13" t="s">
        <v>235</v>
      </c>
      <c r="BM229" s="129" t="s">
        <v>414</v>
      </c>
    </row>
    <row r="230" spans="2:65" s="1" customFormat="1" ht="24" customHeight="1" x14ac:dyDescent="0.2">
      <c r="B230" s="118"/>
      <c r="C230" s="285" t="s">
        <v>415</v>
      </c>
      <c r="D230" s="285" t="s">
        <v>231</v>
      </c>
      <c r="E230" s="286" t="s">
        <v>1961</v>
      </c>
      <c r="F230" s="240" t="s">
        <v>1962</v>
      </c>
      <c r="G230" s="287" t="s">
        <v>1194</v>
      </c>
      <c r="H230" s="288">
        <v>1</v>
      </c>
      <c r="I230" s="289">
        <v>25.2</v>
      </c>
      <c r="J230" s="289">
        <f t="shared" si="34"/>
        <v>25.2</v>
      </c>
      <c r="K230" s="121" t="s">
        <v>1</v>
      </c>
      <c r="L230" s="465"/>
      <c r="M230" s="125" t="s">
        <v>1</v>
      </c>
      <c r="N230" s="126" t="s">
        <v>32</v>
      </c>
      <c r="O230" s="127">
        <v>0</v>
      </c>
      <c r="P230" s="127">
        <f t="shared" si="35"/>
        <v>0</v>
      </c>
      <c r="Q230" s="127">
        <v>0</v>
      </c>
      <c r="R230" s="127">
        <f t="shared" si="36"/>
        <v>0</v>
      </c>
      <c r="S230" s="127">
        <v>0</v>
      </c>
      <c r="T230" s="128">
        <f t="shared" si="37"/>
        <v>0</v>
      </c>
      <c r="W230" s="199"/>
      <c r="X230" s="285" t="s">
        <v>415</v>
      </c>
      <c r="Y230" s="285" t="s">
        <v>231</v>
      </c>
      <c r="Z230" s="286" t="s">
        <v>1961</v>
      </c>
      <c r="AA230" s="240" t="s">
        <v>1962</v>
      </c>
      <c r="AB230" s="287" t="s">
        <v>1194</v>
      </c>
      <c r="AC230" s="288">
        <v>1</v>
      </c>
      <c r="AD230" s="289">
        <v>25.2</v>
      </c>
      <c r="AE230" s="290">
        <f t="shared" si="38"/>
        <v>25.2</v>
      </c>
      <c r="AF230" s="227"/>
      <c r="AG230" s="374"/>
      <c r="AH230" s="477"/>
      <c r="AR230" s="129" t="s">
        <v>235</v>
      </c>
      <c r="AT230" s="129" t="s">
        <v>231</v>
      </c>
      <c r="AU230" s="129" t="s">
        <v>76</v>
      </c>
      <c r="AY230" s="13" t="s">
        <v>228</v>
      </c>
      <c r="BE230" s="130">
        <f t="shared" si="39"/>
        <v>0</v>
      </c>
      <c r="BF230" s="130">
        <f t="shared" si="40"/>
        <v>25.2</v>
      </c>
      <c r="BG230" s="130">
        <f t="shared" si="41"/>
        <v>0</v>
      </c>
      <c r="BH230" s="130">
        <f t="shared" si="42"/>
        <v>0</v>
      </c>
      <c r="BI230" s="130">
        <f t="shared" si="43"/>
        <v>0</v>
      </c>
      <c r="BJ230" s="13" t="s">
        <v>76</v>
      </c>
      <c r="BK230" s="130">
        <f t="shared" si="44"/>
        <v>25.2</v>
      </c>
      <c r="BL230" s="13" t="s">
        <v>235</v>
      </c>
      <c r="BM230" s="129" t="s">
        <v>418</v>
      </c>
    </row>
    <row r="231" spans="2:65" s="1" customFormat="1" ht="24" customHeight="1" x14ac:dyDescent="0.2">
      <c r="B231" s="118"/>
      <c r="C231" s="285" t="s">
        <v>326</v>
      </c>
      <c r="D231" s="285" t="s">
        <v>231</v>
      </c>
      <c r="E231" s="286" t="s">
        <v>1963</v>
      </c>
      <c r="F231" s="240" t="s">
        <v>1964</v>
      </c>
      <c r="G231" s="287" t="s">
        <v>1194</v>
      </c>
      <c r="H231" s="288">
        <v>2</v>
      </c>
      <c r="I231" s="289">
        <v>43.54</v>
      </c>
      <c r="J231" s="289">
        <f t="shared" si="34"/>
        <v>87.08</v>
      </c>
      <c r="K231" s="121" t="s">
        <v>1</v>
      </c>
      <c r="L231" s="465"/>
      <c r="M231" s="125" t="s">
        <v>1</v>
      </c>
      <c r="N231" s="126" t="s">
        <v>32</v>
      </c>
      <c r="O231" s="127">
        <v>0</v>
      </c>
      <c r="P231" s="127">
        <f t="shared" si="35"/>
        <v>0</v>
      </c>
      <c r="Q231" s="127">
        <v>0</v>
      </c>
      <c r="R231" s="127">
        <f t="shared" si="36"/>
        <v>0</v>
      </c>
      <c r="S231" s="127">
        <v>0</v>
      </c>
      <c r="T231" s="128">
        <f t="shared" si="37"/>
        <v>0</v>
      </c>
      <c r="W231" s="199"/>
      <c r="X231" s="285" t="s">
        <v>326</v>
      </c>
      <c r="Y231" s="285" t="s">
        <v>231</v>
      </c>
      <c r="Z231" s="286" t="s">
        <v>1963</v>
      </c>
      <c r="AA231" s="240" t="s">
        <v>1964</v>
      </c>
      <c r="AB231" s="287" t="s">
        <v>1194</v>
      </c>
      <c r="AC231" s="288">
        <v>2</v>
      </c>
      <c r="AD231" s="289">
        <v>43.54</v>
      </c>
      <c r="AE231" s="290">
        <f t="shared" si="38"/>
        <v>87.08</v>
      </c>
      <c r="AF231" s="227"/>
      <c r="AG231" s="374"/>
      <c r="AH231" s="477"/>
      <c r="AR231" s="129" t="s">
        <v>235</v>
      </c>
      <c r="AT231" s="129" t="s">
        <v>231</v>
      </c>
      <c r="AU231" s="129" t="s">
        <v>76</v>
      </c>
      <c r="AY231" s="13" t="s">
        <v>228</v>
      </c>
      <c r="BE231" s="130">
        <f t="shared" si="39"/>
        <v>0</v>
      </c>
      <c r="BF231" s="130">
        <f t="shared" si="40"/>
        <v>87.08</v>
      </c>
      <c r="BG231" s="130">
        <f t="shared" si="41"/>
        <v>0</v>
      </c>
      <c r="BH231" s="130">
        <f t="shared" si="42"/>
        <v>0</v>
      </c>
      <c r="BI231" s="130">
        <f t="shared" si="43"/>
        <v>0</v>
      </c>
      <c r="BJ231" s="13" t="s">
        <v>76</v>
      </c>
      <c r="BK231" s="130">
        <f t="shared" si="44"/>
        <v>87.08</v>
      </c>
      <c r="BL231" s="13" t="s">
        <v>235</v>
      </c>
      <c r="BM231" s="129" t="s">
        <v>421</v>
      </c>
    </row>
    <row r="232" spans="2:65" s="1" customFormat="1" ht="24" customHeight="1" x14ac:dyDescent="0.2">
      <c r="B232" s="118"/>
      <c r="C232" s="285" t="s">
        <v>422</v>
      </c>
      <c r="D232" s="285" t="s">
        <v>231</v>
      </c>
      <c r="E232" s="286" t="s">
        <v>1965</v>
      </c>
      <c r="F232" s="240" t="s">
        <v>1966</v>
      </c>
      <c r="G232" s="287" t="s">
        <v>1194</v>
      </c>
      <c r="H232" s="288">
        <v>1</v>
      </c>
      <c r="I232" s="289">
        <v>51.31</v>
      </c>
      <c r="J232" s="289">
        <f t="shared" si="34"/>
        <v>51.31</v>
      </c>
      <c r="K232" s="121" t="s">
        <v>1</v>
      </c>
      <c r="L232" s="465"/>
      <c r="M232" s="125" t="s">
        <v>1</v>
      </c>
      <c r="N232" s="126" t="s">
        <v>32</v>
      </c>
      <c r="O232" s="127">
        <v>0</v>
      </c>
      <c r="P232" s="127">
        <f t="shared" si="35"/>
        <v>0</v>
      </c>
      <c r="Q232" s="127">
        <v>0</v>
      </c>
      <c r="R232" s="127">
        <f t="shared" si="36"/>
        <v>0</v>
      </c>
      <c r="S232" s="127">
        <v>0</v>
      </c>
      <c r="T232" s="128">
        <f t="shared" si="37"/>
        <v>0</v>
      </c>
      <c r="W232" s="199"/>
      <c r="X232" s="285" t="s">
        <v>422</v>
      </c>
      <c r="Y232" s="285" t="s">
        <v>231</v>
      </c>
      <c r="Z232" s="286" t="s">
        <v>1965</v>
      </c>
      <c r="AA232" s="240" t="s">
        <v>1966</v>
      </c>
      <c r="AB232" s="287" t="s">
        <v>1194</v>
      </c>
      <c r="AC232" s="288">
        <v>1</v>
      </c>
      <c r="AD232" s="289">
        <v>51.31</v>
      </c>
      <c r="AE232" s="290">
        <f t="shared" si="38"/>
        <v>51.31</v>
      </c>
      <c r="AF232" s="227"/>
      <c r="AG232" s="374"/>
      <c r="AH232" s="477"/>
      <c r="AR232" s="129" t="s">
        <v>235</v>
      </c>
      <c r="AT232" s="129" t="s">
        <v>231</v>
      </c>
      <c r="AU232" s="129" t="s">
        <v>76</v>
      </c>
      <c r="AY232" s="13" t="s">
        <v>228</v>
      </c>
      <c r="BE232" s="130">
        <f t="shared" si="39"/>
        <v>0</v>
      </c>
      <c r="BF232" s="130">
        <f t="shared" si="40"/>
        <v>51.31</v>
      </c>
      <c r="BG232" s="130">
        <f t="shared" si="41"/>
        <v>0</v>
      </c>
      <c r="BH232" s="130">
        <f t="shared" si="42"/>
        <v>0</v>
      </c>
      <c r="BI232" s="130">
        <f t="shared" si="43"/>
        <v>0</v>
      </c>
      <c r="BJ232" s="13" t="s">
        <v>76</v>
      </c>
      <c r="BK232" s="130">
        <f t="shared" si="44"/>
        <v>51.31</v>
      </c>
      <c r="BL232" s="13" t="s">
        <v>235</v>
      </c>
      <c r="BM232" s="129" t="s">
        <v>425</v>
      </c>
    </row>
    <row r="233" spans="2:65" s="1" customFormat="1" ht="24" customHeight="1" x14ac:dyDescent="0.2">
      <c r="B233" s="118"/>
      <c r="C233" s="285" t="s">
        <v>330</v>
      </c>
      <c r="D233" s="285" t="s">
        <v>231</v>
      </c>
      <c r="E233" s="286" t="s">
        <v>1967</v>
      </c>
      <c r="F233" s="240" t="s">
        <v>1968</v>
      </c>
      <c r="G233" s="287" t="s">
        <v>1194</v>
      </c>
      <c r="H233" s="288">
        <v>1</v>
      </c>
      <c r="I233" s="289">
        <v>26.13</v>
      </c>
      <c r="J233" s="289">
        <f t="shared" si="34"/>
        <v>26.13</v>
      </c>
      <c r="K233" s="121" t="s">
        <v>1</v>
      </c>
      <c r="L233" s="465"/>
      <c r="M233" s="125" t="s">
        <v>1</v>
      </c>
      <c r="N233" s="126" t="s">
        <v>32</v>
      </c>
      <c r="O233" s="127">
        <v>0</v>
      </c>
      <c r="P233" s="127">
        <f t="shared" si="35"/>
        <v>0</v>
      </c>
      <c r="Q233" s="127">
        <v>0</v>
      </c>
      <c r="R233" s="127">
        <f t="shared" si="36"/>
        <v>0</v>
      </c>
      <c r="S233" s="127">
        <v>0</v>
      </c>
      <c r="T233" s="128">
        <f t="shared" si="37"/>
        <v>0</v>
      </c>
      <c r="W233" s="199"/>
      <c r="X233" s="285" t="s">
        <v>330</v>
      </c>
      <c r="Y233" s="285" t="s">
        <v>231</v>
      </c>
      <c r="Z233" s="286" t="s">
        <v>1967</v>
      </c>
      <c r="AA233" s="240" t="s">
        <v>1968</v>
      </c>
      <c r="AB233" s="287" t="s">
        <v>1194</v>
      </c>
      <c r="AC233" s="288">
        <v>1</v>
      </c>
      <c r="AD233" s="289">
        <v>26.13</v>
      </c>
      <c r="AE233" s="290">
        <f t="shared" si="38"/>
        <v>26.13</v>
      </c>
      <c r="AF233" s="227"/>
      <c r="AG233" s="374"/>
      <c r="AH233" s="477"/>
      <c r="AR233" s="129" t="s">
        <v>235</v>
      </c>
      <c r="AT233" s="129" t="s">
        <v>231</v>
      </c>
      <c r="AU233" s="129" t="s">
        <v>76</v>
      </c>
      <c r="AY233" s="13" t="s">
        <v>228</v>
      </c>
      <c r="BE233" s="130">
        <f t="shared" si="39"/>
        <v>0</v>
      </c>
      <c r="BF233" s="130">
        <f t="shared" si="40"/>
        <v>26.13</v>
      </c>
      <c r="BG233" s="130">
        <f t="shared" si="41"/>
        <v>0</v>
      </c>
      <c r="BH233" s="130">
        <f t="shared" si="42"/>
        <v>0</v>
      </c>
      <c r="BI233" s="130">
        <f t="shared" si="43"/>
        <v>0</v>
      </c>
      <c r="BJ233" s="13" t="s">
        <v>76</v>
      </c>
      <c r="BK233" s="130">
        <f t="shared" si="44"/>
        <v>26.13</v>
      </c>
      <c r="BL233" s="13" t="s">
        <v>235</v>
      </c>
      <c r="BM233" s="129" t="s">
        <v>428</v>
      </c>
    </row>
    <row r="234" spans="2:65" s="1" customFormat="1" ht="24" customHeight="1" x14ac:dyDescent="0.2">
      <c r="B234" s="118"/>
      <c r="C234" s="285" t="s">
        <v>429</v>
      </c>
      <c r="D234" s="285" t="s">
        <v>231</v>
      </c>
      <c r="E234" s="286" t="s">
        <v>1969</v>
      </c>
      <c r="F234" s="240" t="s">
        <v>1970</v>
      </c>
      <c r="G234" s="287" t="s">
        <v>1194</v>
      </c>
      <c r="H234" s="288">
        <v>1</v>
      </c>
      <c r="I234" s="289">
        <v>37.79</v>
      </c>
      <c r="J234" s="289">
        <f t="shared" si="34"/>
        <v>37.79</v>
      </c>
      <c r="K234" s="121" t="s">
        <v>1</v>
      </c>
      <c r="L234" s="465"/>
      <c r="M234" s="125" t="s">
        <v>1</v>
      </c>
      <c r="N234" s="126" t="s">
        <v>32</v>
      </c>
      <c r="O234" s="127">
        <v>0</v>
      </c>
      <c r="P234" s="127">
        <f t="shared" si="35"/>
        <v>0</v>
      </c>
      <c r="Q234" s="127">
        <v>0</v>
      </c>
      <c r="R234" s="127">
        <f t="shared" si="36"/>
        <v>0</v>
      </c>
      <c r="S234" s="127">
        <v>0</v>
      </c>
      <c r="T234" s="128">
        <f t="shared" si="37"/>
        <v>0</v>
      </c>
      <c r="W234" s="199"/>
      <c r="X234" s="285" t="s">
        <v>429</v>
      </c>
      <c r="Y234" s="285" t="s">
        <v>231</v>
      </c>
      <c r="Z234" s="286" t="s">
        <v>1969</v>
      </c>
      <c r="AA234" s="240" t="s">
        <v>1970</v>
      </c>
      <c r="AB234" s="287" t="s">
        <v>1194</v>
      </c>
      <c r="AC234" s="288">
        <v>1</v>
      </c>
      <c r="AD234" s="289">
        <v>37.79</v>
      </c>
      <c r="AE234" s="290">
        <f t="shared" si="38"/>
        <v>37.79</v>
      </c>
      <c r="AF234" s="227"/>
      <c r="AG234" s="374"/>
      <c r="AH234" s="477"/>
      <c r="AR234" s="129" t="s">
        <v>235</v>
      </c>
      <c r="AT234" s="129" t="s">
        <v>231</v>
      </c>
      <c r="AU234" s="129" t="s">
        <v>76</v>
      </c>
      <c r="AY234" s="13" t="s">
        <v>228</v>
      </c>
      <c r="BE234" s="130">
        <f t="shared" si="39"/>
        <v>0</v>
      </c>
      <c r="BF234" s="130">
        <f t="shared" si="40"/>
        <v>37.79</v>
      </c>
      <c r="BG234" s="130">
        <f t="shared" si="41"/>
        <v>0</v>
      </c>
      <c r="BH234" s="130">
        <f t="shared" si="42"/>
        <v>0</v>
      </c>
      <c r="BI234" s="130">
        <f t="shared" si="43"/>
        <v>0</v>
      </c>
      <c r="BJ234" s="13" t="s">
        <v>76</v>
      </c>
      <c r="BK234" s="130">
        <f t="shared" si="44"/>
        <v>37.79</v>
      </c>
      <c r="BL234" s="13" t="s">
        <v>235</v>
      </c>
      <c r="BM234" s="129" t="s">
        <v>432</v>
      </c>
    </row>
    <row r="235" spans="2:65" s="1" customFormat="1" ht="24" customHeight="1" x14ac:dyDescent="0.2">
      <c r="B235" s="118"/>
      <c r="C235" s="285" t="s">
        <v>333</v>
      </c>
      <c r="D235" s="285" t="s">
        <v>231</v>
      </c>
      <c r="E235" s="286" t="s">
        <v>1971</v>
      </c>
      <c r="F235" s="240" t="s">
        <v>1972</v>
      </c>
      <c r="G235" s="287" t="s">
        <v>1194</v>
      </c>
      <c r="H235" s="288">
        <v>1</v>
      </c>
      <c r="I235" s="289">
        <v>20.149999999999999</v>
      </c>
      <c r="J235" s="289">
        <f t="shared" si="34"/>
        <v>20.149999999999999</v>
      </c>
      <c r="K235" s="121" t="s">
        <v>1</v>
      </c>
      <c r="L235" s="465"/>
      <c r="M235" s="125" t="s">
        <v>1</v>
      </c>
      <c r="N235" s="126" t="s">
        <v>32</v>
      </c>
      <c r="O235" s="127">
        <v>0</v>
      </c>
      <c r="P235" s="127">
        <f t="shared" si="35"/>
        <v>0</v>
      </c>
      <c r="Q235" s="127">
        <v>0</v>
      </c>
      <c r="R235" s="127">
        <f t="shared" si="36"/>
        <v>0</v>
      </c>
      <c r="S235" s="127">
        <v>0</v>
      </c>
      <c r="T235" s="128">
        <f t="shared" si="37"/>
        <v>0</v>
      </c>
      <c r="W235" s="199"/>
      <c r="X235" s="285" t="s">
        <v>333</v>
      </c>
      <c r="Y235" s="285" t="s">
        <v>231</v>
      </c>
      <c r="Z235" s="286" t="s">
        <v>1971</v>
      </c>
      <c r="AA235" s="240" t="s">
        <v>1972</v>
      </c>
      <c r="AB235" s="287" t="s">
        <v>1194</v>
      </c>
      <c r="AC235" s="288">
        <v>1</v>
      </c>
      <c r="AD235" s="289">
        <v>20.149999999999999</v>
      </c>
      <c r="AE235" s="290">
        <f t="shared" si="38"/>
        <v>20.149999999999999</v>
      </c>
      <c r="AF235" s="227"/>
      <c r="AG235" s="374"/>
      <c r="AH235" s="477"/>
      <c r="AR235" s="129" t="s">
        <v>235</v>
      </c>
      <c r="AT235" s="129" t="s">
        <v>231</v>
      </c>
      <c r="AU235" s="129" t="s">
        <v>76</v>
      </c>
      <c r="AY235" s="13" t="s">
        <v>228</v>
      </c>
      <c r="BE235" s="130">
        <f t="shared" si="39"/>
        <v>0</v>
      </c>
      <c r="BF235" s="130">
        <f t="shared" si="40"/>
        <v>20.149999999999999</v>
      </c>
      <c r="BG235" s="130">
        <f t="shared" si="41"/>
        <v>0</v>
      </c>
      <c r="BH235" s="130">
        <f t="shared" si="42"/>
        <v>0</v>
      </c>
      <c r="BI235" s="130">
        <f t="shared" si="43"/>
        <v>0</v>
      </c>
      <c r="BJ235" s="13" t="s">
        <v>76</v>
      </c>
      <c r="BK235" s="130">
        <f t="shared" si="44"/>
        <v>20.149999999999999</v>
      </c>
      <c r="BL235" s="13" t="s">
        <v>235</v>
      </c>
      <c r="BM235" s="129" t="s">
        <v>435</v>
      </c>
    </row>
    <row r="236" spans="2:65" s="1" customFormat="1" ht="24" customHeight="1" x14ac:dyDescent="0.2">
      <c r="B236" s="118"/>
      <c r="C236" s="285" t="s">
        <v>438</v>
      </c>
      <c r="D236" s="285" t="s">
        <v>231</v>
      </c>
      <c r="E236" s="286" t="s">
        <v>1973</v>
      </c>
      <c r="F236" s="240" t="s">
        <v>1974</v>
      </c>
      <c r="G236" s="287" t="s">
        <v>1194</v>
      </c>
      <c r="H236" s="288">
        <v>1</v>
      </c>
      <c r="I236" s="289">
        <v>20.149999999999999</v>
      </c>
      <c r="J236" s="289">
        <f t="shared" si="34"/>
        <v>20.149999999999999</v>
      </c>
      <c r="K236" s="121" t="s">
        <v>1</v>
      </c>
      <c r="L236" s="465"/>
      <c r="M236" s="125" t="s">
        <v>1</v>
      </c>
      <c r="N236" s="126" t="s">
        <v>32</v>
      </c>
      <c r="O236" s="127">
        <v>0</v>
      </c>
      <c r="P236" s="127">
        <f t="shared" si="35"/>
        <v>0</v>
      </c>
      <c r="Q236" s="127">
        <v>0</v>
      </c>
      <c r="R236" s="127">
        <f t="shared" si="36"/>
        <v>0</v>
      </c>
      <c r="S236" s="127">
        <v>0</v>
      </c>
      <c r="T236" s="128">
        <f t="shared" si="37"/>
        <v>0</v>
      </c>
      <c r="W236" s="199"/>
      <c r="X236" s="285" t="s">
        <v>438</v>
      </c>
      <c r="Y236" s="285" t="s">
        <v>231</v>
      </c>
      <c r="Z236" s="286" t="s">
        <v>1973</v>
      </c>
      <c r="AA236" s="240" t="s">
        <v>1974</v>
      </c>
      <c r="AB236" s="287" t="s">
        <v>1194</v>
      </c>
      <c r="AC236" s="288">
        <v>1</v>
      </c>
      <c r="AD236" s="289">
        <v>20.149999999999999</v>
      </c>
      <c r="AE236" s="290">
        <f t="shared" si="38"/>
        <v>20.149999999999999</v>
      </c>
      <c r="AF236" s="227"/>
      <c r="AG236" s="374"/>
      <c r="AH236" s="477"/>
      <c r="AR236" s="129" t="s">
        <v>235</v>
      </c>
      <c r="AT236" s="129" t="s">
        <v>231</v>
      </c>
      <c r="AU236" s="129" t="s">
        <v>76</v>
      </c>
      <c r="AY236" s="13" t="s">
        <v>228</v>
      </c>
      <c r="BE236" s="130">
        <f t="shared" si="39"/>
        <v>0</v>
      </c>
      <c r="BF236" s="130">
        <f t="shared" si="40"/>
        <v>20.149999999999999</v>
      </c>
      <c r="BG236" s="130">
        <f t="shared" si="41"/>
        <v>0</v>
      </c>
      <c r="BH236" s="130">
        <f t="shared" si="42"/>
        <v>0</v>
      </c>
      <c r="BI236" s="130">
        <f t="shared" si="43"/>
        <v>0</v>
      </c>
      <c r="BJ236" s="13" t="s">
        <v>76</v>
      </c>
      <c r="BK236" s="130">
        <f t="shared" si="44"/>
        <v>20.149999999999999</v>
      </c>
      <c r="BL236" s="13" t="s">
        <v>235</v>
      </c>
      <c r="BM236" s="129" t="s">
        <v>441</v>
      </c>
    </row>
    <row r="237" spans="2:65" s="1" customFormat="1" ht="24" customHeight="1" x14ac:dyDescent="0.2">
      <c r="B237" s="118"/>
      <c r="C237" s="285" t="s">
        <v>337</v>
      </c>
      <c r="D237" s="285" t="s">
        <v>231</v>
      </c>
      <c r="E237" s="286" t="s">
        <v>1975</v>
      </c>
      <c r="F237" s="240" t="s">
        <v>1976</v>
      </c>
      <c r="G237" s="287" t="s">
        <v>1194</v>
      </c>
      <c r="H237" s="288">
        <v>1</v>
      </c>
      <c r="I237" s="289">
        <v>35.979999999999997</v>
      </c>
      <c r="J237" s="289">
        <f t="shared" si="34"/>
        <v>35.979999999999997</v>
      </c>
      <c r="K237" s="121" t="s">
        <v>1</v>
      </c>
      <c r="L237" s="465"/>
      <c r="M237" s="125" t="s">
        <v>1</v>
      </c>
      <c r="N237" s="126" t="s">
        <v>32</v>
      </c>
      <c r="O237" s="127">
        <v>0</v>
      </c>
      <c r="P237" s="127">
        <f t="shared" si="35"/>
        <v>0</v>
      </c>
      <c r="Q237" s="127">
        <v>0</v>
      </c>
      <c r="R237" s="127">
        <f t="shared" si="36"/>
        <v>0</v>
      </c>
      <c r="S237" s="127">
        <v>0</v>
      </c>
      <c r="T237" s="128">
        <f t="shared" si="37"/>
        <v>0</v>
      </c>
      <c r="W237" s="199"/>
      <c r="X237" s="285" t="s">
        <v>337</v>
      </c>
      <c r="Y237" s="285" t="s">
        <v>231</v>
      </c>
      <c r="Z237" s="286" t="s">
        <v>1975</v>
      </c>
      <c r="AA237" s="240" t="s">
        <v>1976</v>
      </c>
      <c r="AB237" s="287" t="s">
        <v>1194</v>
      </c>
      <c r="AC237" s="288">
        <v>1</v>
      </c>
      <c r="AD237" s="289">
        <v>35.979999999999997</v>
      </c>
      <c r="AE237" s="290">
        <f t="shared" si="38"/>
        <v>35.979999999999997</v>
      </c>
      <c r="AF237" s="227"/>
      <c r="AG237" s="374"/>
      <c r="AH237" s="477"/>
      <c r="AR237" s="129" t="s">
        <v>235</v>
      </c>
      <c r="AT237" s="129" t="s">
        <v>231</v>
      </c>
      <c r="AU237" s="129" t="s">
        <v>76</v>
      </c>
      <c r="AY237" s="13" t="s">
        <v>228</v>
      </c>
      <c r="BE237" s="130">
        <f t="shared" si="39"/>
        <v>0</v>
      </c>
      <c r="BF237" s="130">
        <f t="shared" si="40"/>
        <v>35.979999999999997</v>
      </c>
      <c r="BG237" s="130">
        <f t="shared" si="41"/>
        <v>0</v>
      </c>
      <c r="BH237" s="130">
        <f t="shared" si="42"/>
        <v>0</v>
      </c>
      <c r="BI237" s="130">
        <f t="shared" si="43"/>
        <v>0</v>
      </c>
      <c r="BJ237" s="13" t="s">
        <v>76</v>
      </c>
      <c r="BK237" s="130">
        <f t="shared" si="44"/>
        <v>35.979999999999997</v>
      </c>
      <c r="BL237" s="13" t="s">
        <v>235</v>
      </c>
      <c r="BM237" s="129" t="s">
        <v>444</v>
      </c>
    </row>
    <row r="238" spans="2:65" s="1" customFormat="1" ht="24" customHeight="1" x14ac:dyDescent="0.2">
      <c r="B238" s="118"/>
      <c r="C238" s="285" t="s">
        <v>445</v>
      </c>
      <c r="D238" s="285" t="s">
        <v>231</v>
      </c>
      <c r="E238" s="286" t="s">
        <v>1977</v>
      </c>
      <c r="F238" s="240" t="s">
        <v>1978</v>
      </c>
      <c r="G238" s="287" t="s">
        <v>1194</v>
      </c>
      <c r="H238" s="288">
        <v>1</v>
      </c>
      <c r="I238" s="289">
        <v>21.52</v>
      </c>
      <c r="J238" s="289">
        <f t="shared" si="34"/>
        <v>21.52</v>
      </c>
      <c r="K238" s="121" t="s">
        <v>1</v>
      </c>
      <c r="L238" s="465"/>
      <c r="M238" s="125" t="s">
        <v>1</v>
      </c>
      <c r="N238" s="126" t="s">
        <v>32</v>
      </c>
      <c r="O238" s="127">
        <v>0</v>
      </c>
      <c r="P238" s="127">
        <f t="shared" si="35"/>
        <v>0</v>
      </c>
      <c r="Q238" s="127">
        <v>0</v>
      </c>
      <c r="R238" s="127">
        <f t="shared" si="36"/>
        <v>0</v>
      </c>
      <c r="S238" s="127">
        <v>0</v>
      </c>
      <c r="T238" s="128">
        <f t="shared" si="37"/>
        <v>0</v>
      </c>
      <c r="W238" s="199"/>
      <c r="X238" s="285" t="s">
        <v>445</v>
      </c>
      <c r="Y238" s="285" t="s">
        <v>231</v>
      </c>
      <c r="Z238" s="286" t="s">
        <v>1977</v>
      </c>
      <c r="AA238" s="240" t="s">
        <v>1978</v>
      </c>
      <c r="AB238" s="287" t="s">
        <v>1194</v>
      </c>
      <c r="AC238" s="288">
        <v>1</v>
      </c>
      <c r="AD238" s="289">
        <v>21.52</v>
      </c>
      <c r="AE238" s="290">
        <f t="shared" si="38"/>
        <v>21.52</v>
      </c>
      <c r="AF238" s="227"/>
      <c r="AG238" s="374"/>
      <c r="AH238" s="477"/>
      <c r="AR238" s="129" t="s">
        <v>235</v>
      </c>
      <c r="AT238" s="129" t="s">
        <v>231</v>
      </c>
      <c r="AU238" s="129" t="s">
        <v>76</v>
      </c>
      <c r="AY238" s="13" t="s">
        <v>228</v>
      </c>
      <c r="BE238" s="130">
        <f t="shared" si="39"/>
        <v>0</v>
      </c>
      <c r="BF238" s="130">
        <f t="shared" si="40"/>
        <v>21.52</v>
      </c>
      <c r="BG238" s="130">
        <f t="shared" si="41"/>
        <v>0</v>
      </c>
      <c r="BH238" s="130">
        <f t="shared" si="42"/>
        <v>0</v>
      </c>
      <c r="BI238" s="130">
        <f t="shared" si="43"/>
        <v>0</v>
      </c>
      <c r="BJ238" s="13" t="s">
        <v>76</v>
      </c>
      <c r="BK238" s="130">
        <f t="shared" si="44"/>
        <v>21.52</v>
      </c>
      <c r="BL238" s="13" t="s">
        <v>235</v>
      </c>
      <c r="BM238" s="129" t="s">
        <v>448</v>
      </c>
    </row>
    <row r="239" spans="2:65" s="1" customFormat="1" ht="24" customHeight="1" x14ac:dyDescent="0.2">
      <c r="B239" s="118"/>
      <c r="C239" s="285" t="s">
        <v>340</v>
      </c>
      <c r="D239" s="285" t="s">
        <v>231</v>
      </c>
      <c r="E239" s="286" t="s">
        <v>1979</v>
      </c>
      <c r="F239" s="240" t="s">
        <v>1980</v>
      </c>
      <c r="G239" s="287" t="s">
        <v>1194</v>
      </c>
      <c r="H239" s="288">
        <v>1</v>
      </c>
      <c r="I239" s="289">
        <v>26.13</v>
      </c>
      <c r="J239" s="289">
        <f t="shared" si="34"/>
        <v>26.13</v>
      </c>
      <c r="K239" s="121" t="s">
        <v>1</v>
      </c>
      <c r="L239" s="465"/>
      <c r="M239" s="125" t="s">
        <v>1</v>
      </c>
      <c r="N239" s="126" t="s">
        <v>32</v>
      </c>
      <c r="O239" s="127">
        <v>0</v>
      </c>
      <c r="P239" s="127">
        <f t="shared" si="35"/>
        <v>0</v>
      </c>
      <c r="Q239" s="127">
        <v>0</v>
      </c>
      <c r="R239" s="127">
        <f t="shared" si="36"/>
        <v>0</v>
      </c>
      <c r="S239" s="127">
        <v>0</v>
      </c>
      <c r="T239" s="128">
        <f t="shared" si="37"/>
        <v>0</v>
      </c>
      <c r="W239" s="199"/>
      <c r="X239" s="285" t="s">
        <v>340</v>
      </c>
      <c r="Y239" s="285" t="s">
        <v>231</v>
      </c>
      <c r="Z239" s="286" t="s">
        <v>1979</v>
      </c>
      <c r="AA239" s="240" t="s">
        <v>1980</v>
      </c>
      <c r="AB239" s="287" t="s">
        <v>1194</v>
      </c>
      <c r="AC239" s="288">
        <v>1</v>
      </c>
      <c r="AD239" s="289">
        <v>26.13</v>
      </c>
      <c r="AE239" s="290">
        <f t="shared" si="38"/>
        <v>26.13</v>
      </c>
      <c r="AF239" s="227"/>
      <c r="AG239" s="374"/>
      <c r="AH239" s="477"/>
      <c r="AR239" s="129" t="s">
        <v>235</v>
      </c>
      <c r="AT239" s="129" t="s">
        <v>231</v>
      </c>
      <c r="AU239" s="129" t="s">
        <v>76</v>
      </c>
      <c r="AY239" s="13" t="s">
        <v>228</v>
      </c>
      <c r="BE239" s="130">
        <f t="shared" si="39"/>
        <v>0</v>
      </c>
      <c r="BF239" s="130">
        <f t="shared" si="40"/>
        <v>26.13</v>
      </c>
      <c r="BG239" s="130">
        <f t="shared" si="41"/>
        <v>0</v>
      </c>
      <c r="BH239" s="130">
        <f t="shared" si="42"/>
        <v>0</v>
      </c>
      <c r="BI239" s="130">
        <f t="shared" si="43"/>
        <v>0</v>
      </c>
      <c r="BJ239" s="13" t="s">
        <v>76</v>
      </c>
      <c r="BK239" s="130">
        <f t="shared" si="44"/>
        <v>26.13</v>
      </c>
      <c r="BL239" s="13" t="s">
        <v>235</v>
      </c>
      <c r="BM239" s="129" t="s">
        <v>451</v>
      </c>
    </row>
    <row r="240" spans="2:65" s="1" customFormat="1" ht="24" customHeight="1" x14ac:dyDescent="0.2">
      <c r="B240" s="118"/>
      <c r="C240" s="285" t="s">
        <v>452</v>
      </c>
      <c r="D240" s="285" t="s">
        <v>231</v>
      </c>
      <c r="E240" s="286" t="s">
        <v>1981</v>
      </c>
      <c r="F240" s="240" t="s">
        <v>1982</v>
      </c>
      <c r="G240" s="287" t="s">
        <v>1194</v>
      </c>
      <c r="H240" s="288">
        <v>1</v>
      </c>
      <c r="I240" s="289">
        <v>31.67</v>
      </c>
      <c r="J240" s="289">
        <f t="shared" si="34"/>
        <v>31.67</v>
      </c>
      <c r="K240" s="121" t="s">
        <v>1</v>
      </c>
      <c r="L240" s="465"/>
      <c r="M240" s="125" t="s">
        <v>1</v>
      </c>
      <c r="N240" s="126" t="s">
        <v>32</v>
      </c>
      <c r="O240" s="127">
        <v>0</v>
      </c>
      <c r="P240" s="127">
        <f t="shared" si="35"/>
        <v>0</v>
      </c>
      <c r="Q240" s="127">
        <v>0</v>
      </c>
      <c r="R240" s="127">
        <f t="shared" si="36"/>
        <v>0</v>
      </c>
      <c r="S240" s="127">
        <v>0</v>
      </c>
      <c r="T240" s="128">
        <f t="shared" si="37"/>
        <v>0</v>
      </c>
      <c r="W240" s="199"/>
      <c r="X240" s="285" t="s">
        <v>452</v>
      </c>
      <c r="Y240" s="285" t="s">
        <v>231</v>
      </c>
      <c r="Z240" s="286" t="s">
        <v>1981</v>
      </c>
      <c r="AA240" s="240" t="s">
        <v>1982</v>
      </c>
      <c r="AB240" s="287" t="s">
        <v>1194</v>
      </c>
      <c r="AC240" s="288">
        <v>1</v>
      </c>
      <c r="AD240" s="289">
        <v>31.67</v>
      </c>
      <c r="AE240" s="290">
        <f t="shared" si="38"/>
        <v>31.67</v>
      </c>
      <c r="AF240" s="227"/>
      <c r="AG240" s="374"/>
      <c r="AH240" s="477"/>
      <c r="AR240" s="129" t="s">
        <v>235</v>
      </c>
      <c r="AT240" s="129" t="s">
        <v>231</v>
      </c>
      <c r="AU240" s="129" t="s">
        <v>76</v>
      </c>
      <c r="AY240" s="13" t="s">
        <v>228</v>
      </c>
      <c r="BE240" s="130">
        <f t="shared" si="39"/>
        <v>0</v>
      </c>
      <c r="BF240" s="130">
        <f t="shared" si="40"/>
        <v>31.67</v>
      </c>
      <c r="BG240" s="130">
        <f t="shared" si="41"/>
        <v>0</v>
      </c>
      <c r="BH240" s="130">
        <f t="shared" si="42"/>
        <v>0</v>
      </c>
      <c r="BI240" s="130">
        <f t="shared" si="43"/>
        <v>0</v>
      </c>
      <c r="BJ240" s="13" t="s">
        <v>76</v>
      </c>
      <c r="BK240" s="130">
        <f t="shared" si="44"/>
        <v>31.67</v>
      </c>
      <c r="BL240" s="13" t="s">
        <v>235</v>
      </c>
      <c r="BM240" s="129" t="s">
        <v>455</v>
      </c>
    </row>
    <row r="241" spans="2:65" s="1" customFormat="1" ht="24" customHeight="1" x14ac:dyDescent="0.2">
      <c r="B241" s="118"/>
      <c r="C241" s="285" t="s">
        <v>344</v>
      </c>
      <c r="D241" s="285" t="s">
        <v>231</v>
      </c>
      <c r="E241" s="286" t="s">
        <v>1983</v>
      </c>
      <c r="F241" s="240" t="s">
        <v>1984</v>
      </c>
      <c r="G241" s="287" t="s">
        <v>1194</v>
      </c>
      <c r="H241" s="288">
        <v>1</v>
      </c>
      <c r="I241" s="289">
        <v>18.27</v>
      </c>
      <c r="J241" s="289">
        <f t="shared" si="34"/>
        <v>18.27</v>
      </c>
      <c r="K241" s="121" t="s">
        <v>1</v>
      </c>
      <c r="L241" s="465"/>
      <c r="M241" s="125" t="s">
        <v>1</v>
      </c>
      <c r="N241" s="126" t="s">
        <v>32</v>
      </c>
      <c r="O241" s="127">
        <v>0</v>
      </c>
      <c r="P241" s="127">
        <f t="shared" si="35"/>
        <v>0</v>
      </c>
      <c r="Q241" s="127">
        <v>0</v>
      </c>
      <c r="R241" s="127">
        <f t="shared" si="36"/>
        <v>0</v>
      </c>
      <c r="S241" s="127">
        <v>0</v>
      </c>
      <c r="T241" s="128">
        <f t="shared" si="37"/>
        <v>0</v>
      </c>
      <c r="W241" s="199"/>
      <c r="X241" s="285" t="s">
        <v>344</v>
      </c>
      <c r="Y241" s="285" t="s">
        <v>231</v>
      </c>
      <c r="Z241" s="286" t="s">
        <v>1983</v>
      </c>
      <c r="AA241" s="240" t="s">
        <v>1984</v>
      </c>
      <c r="AB241" s="287" t="s">
        <v>1194</v>
      </c>
      <c r="AC241" s="288">
        <v>1</v>
      </c>
      <c r="AD241" s="289">
        <v>18.27</v>
      </c>
      <c r="AE241" s="290">
        <f t="shared" si="38"/>
        <v>18.27</v>
      </c>
      <c r="AF241" s="227"/>
      <c r="AG241" s="374"/>
      <c r="AH241" s="477"/>
      <c r="AR241" s="129" t="s">
        <v>235</v>
      </c>
      <c r="AT241" s="129" t="s">
        <v>231</v>
      </c>
      <c r="AU241" s="129" t="s">
        <v>76</v>
      </c>
      <c r="AY241" s="13" t="s">
        <v>228</v>
      </c>
      <c r="BE241" s="130">
        <f t="shared" si="39"/>
        <v>0</v>
      </c>
      <c r="BF241" s="130">
        <f t="shared" si="40"/>
        <v>18.27</v>
      </c>
      <c r="BG241" s="130">
        <f t="shared" si="41"/>
        <v>0</v>
      </c>
      <c r="BH241" s="130">
        <f t="shared" si="42"/>
        <v>0</v>
      </c>
      <c r="BI241" s="130">
        <f t="shared" si="43"/>
        <v>0</v>
      </c>
      <c r="BJ241" s="13" t="s">
        <v>76</v>
      </c>
      <c r="BK241" s="130">
        <f t="shared" si="44"/>
        <v>18.27</v>
      </c>
      <c r="BL241" s="13" t="s">
        <v>235</v>
      </c>
      <c r="BM241" s="129" t="s">
        <v>458</v>
      </c>
    </row>
    <row r="242" spans="2:65" s="1" customFormat="1" ht="16.5" customHeight="1" x14ac:dyDescent="0.2">
      <c r="B242" s="118"/>
      <c r="C242" s="285" t="s">
        <v>459</v>
      </c>
      <c r="D242" s="285" t="s">
        <v>231</v>
      </c>
      <c r="E242" s="286" t="s">
        <v>1985</v>
      </c>
      <c r="F242" s="240" t="s">
        <v>1986</v>
      </c>
      <c r="G242" s="287" t="s">
        <v>292</v>
      </c>
      <c r="H242" s="288">
        <v>5</v>
      </c>
      <c r="I242" s="289">
        <v>10.07</v>
      </c>
      <c r="J242" s="289">
        <f t="shared" si="34"/>
        <v>50.35</v>
      </c>
      <c r="K242" s="121" t="s">
        <v>1</v>
      </c>
      <c r="L242" s="465"/>
      <c r="M242" s="125" t="s">
        <v>1</v>
      </c>
      <c r="N242" s="126" t="s">
        <v>32</v>
      </c>
      <c r="O242" s="127">
        <v>0</v>
      </c>
      <c r="P242" s="127">
        <f t="shared" si="35"/>
        <v>0</v>
      </c>
      <c r="Q242" s="127">
        <v>0</v>
      </c>
      <c r="R242" s="127">
        <f t="shared" si="36"/>
        <v>0</v>
      </c>
      <c r="S242" s="127">
        <v>0</v>
      </c>
      <c r="T242" s="128">
        <f t="shared" si="37"/>
        <v>0</v>
      </c>
      <c r="W242" s="199"/>
      <c r="X242" s="285" t="s">
        <v>459</v>
      </c>
      <c r="Y242" s="285" t="s">
        <v>231</v>
      </c>
      <c r="Z242" s="286" t="s">
        <v>1985</v>
      </c>
      <c r="AA242" s="240" t="s">
        <v>1986</v>
      </c>
      <c r="AB242" s="287" t="s">
        <v>292</v>
      </c>
      <c r="AC242" s="288">
        <v>5</v>
      </c>
      <c r="AD242" s="289">
        <v>10.07</v>
      </c>
      <c r="AE242" s="290">
        <f t="shared" si="38"/>
        <v>50.35</v>
      </c>
      <c r="AF242" s="227"/>
      <c r="AG242" s="374"/>
      <c r="AH242" s="477"/>
      <c r="AR242" s="129" t="s">
        <v>235</v>
      </c>
      <c r="AT242" s="129" t="s">
        <v>231</v>
      </c>
      <c r="AU242" s="129" t="s">
        <v>76</v>
      </c>
      <c r="AY242" s="13" t="s">
        <v>228</v>
      </c>
      <c r="BE242" s="130">
        <f t="shared" si="39"/>
        <v>0</v>
      </c>
      <c r="BF242" s="130">
        <f t="shared" si="40"/>
        <v>50.35</v>
      </c>
      <c r="BG242" s="130">
        <f t="shared" si="41"/>
        <v>0</v>
      </c>
      <c r="BH242" s="130">
        <f t="shared" si="42"/>
        <v>0</v>
      </c>
      <c r="BI242" s="130">
        <f t="shared" si="43"/>
        <v>0</v>
      </c>
      <c r="BJ242" s="13" t="s">
        <v>76</v>
      </c>
      <c r="BK242" s="130">
        <f t="shared" si="44"/>
        <v>50.35</v>
      </c>
      <c r="BL242" s="13" t="s">
        <v>235</v>
      </c>
      <c r="BM242" s="129" t="s">
        <v>462</v>
      </c>
    </row>
    <row r="243" spans="2:65" s="1" customFormat="1" ht="24" customHeight="1" x14ac:dyDescent="0.2">
      <c r="B243" s="118"/>
      <c r="C243" s="285" t="s">
        <v>347</v>
      </c>
      <c r="D243" s="285" t="s">
        <v>231</v>
      </c>
      <c r="E243" s="286" t="s">
        <v>1987</v>
      </c>
      <c r="F243" s="240" t="s">
        <v>1988</v>
      </c>
      <c r="G243" s="287" t="s">
        <v>292</v>
      </c>
      <c r="H243" s="288">
        <v>9</v>
      </c>
      <c r="I243" s="289">
        <v>4.88</v>
      </c>
      <c r="J243" s="289">
        <f t="shared" si="34"/>
        <v>43.92</v>
      </c>
      <c r="K243" s="121" t="s">
        <v>1</v>
      </c>
      <c r="L243" s="465"/>
      <c r="M243" s="125" t="s">
        <v>1</v>
      </c>
      <c r="N243" s="126" t="s">
        <v>32</v>
      </c>
      <c r="O243" s="127">
        <v>0</v>
      </c>
      <c r="P243" s="127">
        <f t="shared" si="35"/>
        <v>0</v>
      </c>
      <c r="Q243" s="127">
        <v>0</v>
      </c>
      <c r="R243" s="127">
        <f t="shared" si="36"/>
        <v>0</v>
      </c>
      <c r="S243" s="127">
        <v>0</v>
      </c>
      <c r="T243" s="128">
        <f t="shared" si="37"/>
        <v>0</v>
      </c>
      <c r="W243" s="199"/>
      <c r="X243" s="285" t="s">
        <v>347</v>
      </c>
      <c r="Y243" s="285" t="s">
        <v>231</v>
      </c>
      <c r="Z243" s="286" t="s">
        <v>1987</v>
      </c>
      <c r="AA243" s="240" t="s">
        <v>1988</v>
      </c>
      <c r="AB243" s="287" t="s">
        <v>292</v>
      </c>
      <c r="AC243" s="288">
        <v>9</v>
      </c>
      <c r="AD243" s="289">
        <v>4.88</v>
      </c>
      <c r="AE243" s="290">
        <f t="shared" si="38"/>
        <v>43.92</v>
      </c>
      <c r="AF243" s="227"/>
      <c r="AG243" s="374"/>
      <c r="AH243" s="477"/>
      <c r="AR243" s="129" t="s">
        <v>235</v>
      </c>
      <c r="AT243" s="129" t="s">
        <v>231</v>
      </c>
      <c r="AU243" s="129" t="s">
        <v>76</v>
      </c>
      <c r="AY243" s="13" t="s">
        <v>228</v>
      </c>
      <c r="BE243" s="130">
        <f t="shared" si="39"/>
        <v>0</v>
      </c>
      <c r="BF243" s="130">
        <f t="shared" si="40"/>
        <v>43.92</v>
      </c>
      <c r="BG243" s="130">
        <f t="shared" si="41"/>
        <v>0</v>
      </c>
      <c r="BH243" s="130">
        <f t="shared" si="42"/>
        <v>0</v>
      </c>
      <c r="BI243" s="130">
        <f t="shared" si="43"/>
        <v>0</v>
      </c>
      <c r="BJ243" s="13" t="s">
        <v>76</v>
      </c>
      <c r="BK243" s="130">
        <f t="shared" si="44"/>
        <v>43.92</v>
      </c>
      <c r="BL243" s="13" t="s">
        <v>235</v>
      </c>
      <c r="BM243" s="129" t="s">
        <v>465</v>
      </c>
    </row>
    <row r="244" spans="2:65" s="1" customFormat="1" ht="24" customHeight="1" x14ac:dyDescent="0.2">
      <c r="B244" s="118"/>
      <c r="C244" s="285" t="s">
        <v>466</v>
      </c>
      <c r="D244" s="285" t="s">
        <v>231</v>
      </c>
      <c r="E244" s="286" t="s">
        <v>1893</v>
      </c>
      <c r="F244" s="240" t="s">
        <v>1894</v>
      </c>
      <c r="G244" s="287" t="s">
        <v>1194</v>
      </c>
      <c r="H244" s="288">
        <v>5</v>
      </c>
      <c r="I244" s="289">
        <v>153.82</v>
      </c>
      <c r="J244" s="289">
        <f t="shared" si="34"/>
        <v>769.1</v>
      </c>
      <c r="K244" s="121" t="s">
        <v>1</v>
      </c>
      <c r="L244" s="465"/>
      <c r="M244" s="125" t="s">
        <v>1</v>
      </c>
      <c r="N244" s="126" t="s">
        <v>32</v>
      </c>
      <c r="O244" s="127">
        <v>0</v>
      </c>
      <c r="P244" s="127">
        <f t="shared" si="35"/>
        <v>0</v>
      </c>
      <c r="Q244" s="127">
        <v>0</v>
      </c>
      <c r="R244" s="127">
        <f t="shared" si="36"/>
        <v>0</v>
      </c>
      <c r="S244" s="127">
        <v>0</v>
      </c>
      <c r="T244" s="128">
        <f t="shared" si="37"/>
        <v>0</v>
      </c>
      <c r="W244" s="199"/>
      <c r="X244" s="285" t="s">
        <v>466</v>
      </c>
      <c r="Y244" s="285" t="s">
        <v>231</v>
      </c>
      <c r="Z244" s="286" t="s">
        <v>1893</v>
      </c>
      <c r="AA244" s="240" t="s">
        <v>1894</v>
      </c>
      <c r="AB244" s="287" t="s">
        <v>1194</v>
      </c>
      <c r="AC244" s="288">
        <v>5</v>
      </c>
      <c r="AD244" s="289">
        <v>153.82</v>
      </c>
      <c r="AE244" s="290">
        <f t="shared" si="38"/>
        <v>769.1</v>
      </c>
      <c r="AF244" s="227"/>
      <c r="AG244" s="374"/>
      <c r="AH244" s="477"/>
      <c r="AR244" s="129" t="s">
        <v>235</v>
      </c>
      <c r="AT244" s="129" t="s">
        <v>231</v>
      </c>
      <c r="AU244" s="129" t="s">
        <v>76</v>
      </c>
      <c r="AY244" s="13" t="s">
        <v>228</v>
      </c>
      <c r="BE244" s="130">
        <f t="shared" si="39"/>
        <v>0</v>
      </c>
      <c r="BF244" s="130">
        <f t="shared" si="40"/>
        <v>769.1</v>
      </c>
      <c r="BG244" s="130">
        <f t="shared" si="41"/>
        <v>0</v>
      </c>
      <c r="BH244" s="130">
        <f t="shared" si="42"/>
        <v>0</v>
      </c>
      <c r="BI244" s="130">
        <f t="shared" si="43"/>
        <v>0</v>
      </c>
      <c r="BJ244" s="13" t="s">
        <v>76</v>
      </c>
      <c r="BK244" s="130">
        <f t="shared" si="44"/>
        <v>769.1</v>
      </c>
      <c r="BL244" s="13" t="s">
        <v>235</v>
      </c>
      <c r="BM244" s="129" t="s">
        <v>469</v>
      </c>
    </row>
    <row r="245" spans="2:65" s="421" customFormat="1" ht="27" customHeight="1" x14ac:dyDescent="0.2">
      <c r="B245" s="24"/>
      <c r="C245" s="407"/>
      <c r="D245" s="492" t="s">
        <v>1259</v>
      </c>
      <c r="E245" s="407"/>
      <c r="F245" s="428" t="s">
        <v>1895</v>
      </c>
      <c r="G245" s="407"/>
      <c r="H245" s="407"/>
      <c r="I245" s="407"/>
      <c r="J245" s="407"/>
      <c r="L245" s="24"/>
      <c r="M245" s="146"/>
      <c r="N245" s="419"/>
      <c r="O245" s="419"/>
      <c r="P245" s="419"/>
      <c r="Q245" s="419"/>
      <c r="R245" s="419"/>
      <c r="S245" s="419"/>
      <c r="T245" s="43"/>
      <c r="W245" s="158"/>
      <c r="X245" s="427"/>
      <c r="Y245" s="511" t="s">
        <v>1259</v>
      </c>
      <c r="Z245" s="427"/>
      <c r="AA245" s="505" t="s">
        <v>1895</v>
      </c>
      <c r="AB245" s="427"/>
      <c r="AC245" s="427"/>
      <c r="AD245" s="427"/>
      <c r="AE245" s="512"/>
      <c r="AF245" s="227"/>
      <c r="AG245" s="374"/>
      <c r="AH245" s="477"/>
      <c r="AT245" s="13" t="s">
        <v>1259</v>
      </c>
      <c r="AU245" s="13" t="s">
        <v>76</v>
      </c>
    </row>
    <row r="246" spans="2:65" s="11" customFormat="1" ht="22.95" customHeight="1" x14ac:dyDescent="0.25">
      <c r="B246" s="106"/>
      <c r="C246" s="292"/>
      <c r="D246" s="489" t="s">
        <v>57</v>
      </c>
      <c r="E246" s="490" t="s">
        <v>1240</v>
      </c>
      <c r="F246" s="490" t="s">
        <v>1896</v>
      </c>
      <c r="G246" s="292"/>
      <c r="H246" s="292"/>
      <c r="I246" s="292"/>
      <c r="J246" s="491">
        <f>BK246</f>
        <v>1107.46</v>
      </c>
      <c r="L246" s="106"/>
      <c r="M246" s="110"/>
      <c r="N246" s="111"/>
      <c r="O246" s="111"/>
      <c r="P246" s="112">
        <f>SUM(P247:P271)</f>
        <v>0</v>
      </c>
      <c r="Q246" s="111"/>
      <c r="R246" s="112">
        <f>SUM(R247:R271)</f>
        <v>0</v>
      </c>
      <c r="S246" s="111"/>
      <c r="T246" s="113">
        <f>SUM(T247:T271)</f>
        <v>0</v>
      </c>
      <c r="W246" s="195"/>
      <c r="X246" s="347"/>
      <c r="Y246" s="506" t="s">
        <v>57</v>
      </c>
      <c r="Z246" s="507" t="s">
        <v>1240</v>
      </c>
      <c r="AA246" s="507" t="s">
        <v>1896</v>
      </c>
      <c r="AB246" s="347"/>
      <c r="AC246" s="347"/>
      <c r="AD246" s="347"/>
      <c r="AE246" s="510">
        <f>SUM(AE247:AE270)</f>
        <v>1107.46</v>
      </c>
      <c r="AF246" s="227"/>
      <c r="AG246" s="374"/>
      <c r="AH246" s="477"/>
      <c r="AR246" s="107" t="s">
        <v>63</v>
      </c>
      <c r="AT246" s="114" t="s">
        <v>57</v>
      </c>
      <c r="AU246" s="114" t="s">
        <v>63</v>
      </c>
      <c r="AY246" s="107" t="s">
        <v>228</v>
      </c>
      <c r="BK246" s="115">
        <f>SUM(BK247:BK271)</f>
        <v>1107.46</v>
      </c>
    </row>
    <row r="247" spans="2:65" s="1" customFormat="1" ht="24" customHeight="1" x14ac:dyDescent="0.2">
      <c r="B247" s="118"/>
      <c r="C247" s="285" t="s">
        <v>351</v>
      </c>
      <c r="D247" s="285" t="s">
        <v>231</v>
      </c>
      <c r="E247" s="286" t="s">
        <v>1989</v>
      </c>
      <c r="F247" s="240" t="s">
        <v>1990</v>
      </c>
      <c r="G247" s="287" t="s">
        <v>1194</v>
      </c>
      <c r="H247" s="288">
        <v>1</v>
      </c>
      <c r="I247" s="289">
        <v>61.27</v>
      </c>
      <c r="J247" s="289">
        <f>ROUND(I247*H247,2)</f>
        <v>61.27</v>
      </c>
      <c r="K247" s="121" t="s">
        <v>1</v>
      </c>
      <c r="L247" s="465"/>
      <c r="M247" s="125" t="s">
        <v>1</v>
      </c>
      <c r="N247" s="126" t="s">
        <v>32</v>
      </c>
      <c r="O247" s="127">
        <v>0</v>
      </c>
      <c r="P247" s="127">
        <f>O247*H247</f>
        <v>0</v>
      </c>
      <c r="Q247" s="127">
        <v>0</v>
      </c>
      <c r="R247" s="127">
        <f>Q247*H247</f>
        <v>0</v>
      </c>
      <c r="S247" s="127">
        <v>0</v>
      </c>
      <c r="T247" s="128">
        <f>S247*H247</f>
        <v>0</v>
      </c>
      <c r="V247" s="464"/>
      <c r="W247" s="199"/>
      <c r="X247" s="285" t="s">
        <v>351</v>
      </c>
      <c r="Y247" s="285" t="s">
        <v>231</v>
      </c>
      <c r="Z247" s="286" t="s">
        <v>1989</v>
      </c>
      <c r="AA247" s="240" t="s">
        <v>1990</v>
      </c>
      <c r="AB247" s="287" t="s">
        <v>1194</v>
      </c>
      <c r="AC247" s="288">
        <v>1</v>
      </c>
      <c r="AD247" s="289">
        <v>61.27</v>
      </c>
      <c r="AE247" s="290">
        <f>ROUND(AD247*AC247,2)</f>
        <v>61.27</v>
      </c>
      <c r="AF247" s="227"/>
      <c r="AG247" s="374"/>
      <c r="AH247" s="477"/>
      <c r="AR247" s="129" t="s">
        <v>235</v>
      </c>
      <c r="AT247" s="129" t="s">
        <v>231</v>
      </c>
      <c r="AU247" s="129" t="s">
        <v>76</v>
      </c>
      <c r="AY247" s="13" t="s">
        <v>228</v>
      </c>
      <c r="BE247" s="130">
        <f>IF(N247="základná",J247,0)</f>
        <v>0</v>
      </c>
      <c r="BF247" s="130">
        <f>IF(N247="znížená",J247,0)</f>
        <v>61.27</v>
      </c>
      <c r="BG247" s="130">
        <f>IF(N247="zákl. prenesená",J247,0)</f>
        <v>0</v>
      </c>
      <c r="BH247" s="130">
        <f>IF(N247="zníž. prenesená",J247,0)</f>
        <v>0</v>
      </c>
      <c r="BI247" s="130">
        <f>IF(N247="nulová",J247,0)</f>
        <v>0</v>
      </c>
      <c r="BJ247" s="13" t="s">
        <v>76</v>
      </c>
      <c r="BK247" s="130">
        <f>ROUND(I247*H247,2)</f>
        <v>61.27</v>
      </c>
      <c r="BL247" s="13" t="s">
        <v>235</v>
      </c>
      <c r="BM247" s="129" t="s">
        <v>472</v>
      </c>
    </row>
    <row r="248" spans="2:65" s="1" customFormat="1" ht="19.2" x14ac:dyDescent="0.2">
      <c r="B248" s="24"/>
      <c r="C248" s="407"/>
      <c r="D248" s="492" t="s">
        <v>1259</v>
      </c>
      <c r="E248" s="407"/>
      <c r="F248" s="428" t="s">
        <v>1991</v>
      </c>
      <c r="G248" s="407"/>
      <c r="H248" s="407"/>
      <c r="I248" s="407"/>
      <c r="J248" s="407"/>
      <c r="L248" s="24"/>
      <c r="M248" s="146"/>
      <c r="N248" s="42"/>
      <c r="O248" s="42"/>
      <c r="P248" s="42"/>
      <c r="Q248" s="42"/>
      <c r="R248" s="42"/>
      <c r="S248" s="42"/>
      <c r="T248" s="43"/>
      <c r="W248" s="158"/>
      <c r="X248" s="427"/>
      <c r="Y248" s="511" t="s">
        <v>1259</v>
      </c>
      <c r="Z248" s="427"/>
      <c r="AA248" s="505" t="s">
        <v>1991</v>
      </c>
      <c r="AB248" s="427"/>
      <c r="AC248" s="427"/>
      <c r="AD248" s="427"/>
      <c r="AE248" s="512"/>
      <c r="AF248" s="227"/>
      <c r="AG248" s="374"/>
      <c r="AH248" s="477"/>
      <c r="AT248" s="13" t="s">
        <v>1259</v>
      </c>
      <c r="AU248" s="13" t="s">
        <v>76</v>
      </c>
    </row>
    <row r="249" spans="2:65" s="1" customFormat="1" ht="24" customHeight="1" x14ac:dyDescent="0.2">
      <c r="B249" s="118"/>
      <c r="C249" s="285" t="s">
        <v>473</v>
      </c>
      <c r="D249" s="285" t="s">
        <v>231</v>
      </c>
      <c r="E249" s="286" t="s">
        <v>1992</v>
      </c>
      <c r="F249" s="240" t="s">
        <v>1993</v>
      </c>
      <c r="G249" s="287" t="s">
        <v>1194</v>
      </c>
      <c r="H249" s="288">
        <v>1</v>
      </c>
      <c r="I249" s="289">
        <v>42.8</v>
      </c>
      <c r="J249" s="289">
        <f t="shared" ref="J249:J270" si="45">ROUND(I249*H249,2)</f>
        <v>42.8</v>
      </c>
      <c r="K249" s="121" t="s">
        <v>1</v>
      </c>
      <c r="L249" s="465"/>
      <c r="M249" s="125" t="s">
        <v>1</v>
      </c>
      <c r="N249" s="126" t="s">
        <v>32</v>
      </c>
      <c r="O249" s="127">
        <v>0</v>
      </c>
      <c r="P249" s="127">
        <f t="shared" ref="P249:P268" si="46">O249*H249</f>
        <v>0</v>
      </c>
      <c r="Q249" s="127">
        <v>0</v>
      </c>
      <c r="R249" s="127">
        <f t="shared" ref="R249:R268" si="47">Q249*H249</f>
        <v>0</v>
      </c>
      <c r="S249" s="127">
        <v>0</v>
      </c>
      <c r="T249" s="128">
        <f t="shared" ref="T249:T268" si="48">S249*H249</f>
        <v>0</v>
      </c>
      <c r="W249" s="199"/>
      <c r="X249" s="285" t="s">
        <v>473</v>
      </c>
      <c r="Y249" s="285" t="s">
        <v>231</v>
      </c>
      <c r="Z249" s="286" t="s">
        <v>1992</v>
      </c>
      <c r="AA249" s="240" t="s">
        <v>1993</v>
      </c>
      <c r="AB249" s="287" t="s">
        <v>1194</v>
      </c>
      <c r="AC249" s="288">
        <v>1</v>
      </c>
      <c r="AD249" s="289">
        <v>42.8</v>
      </c>
      <c r="AE249" s="290">
        <f t="shared" ref="AE249:AE269" si="49">ROUND(AD249*AC249,2)</f>
        <v>42.8</v>
      </c>
      <c r="AF249" s="227"/>
      <c r="AG249" s="374"/>
      <c r="AH249" s="477"/>
      <c r="AR249" s="129" t="s">
        <v>235</v>
      </c>
      <c r="AT249" s="129" t="s">
        <v>231</v>
      </c>
      <c r="AU249" s="129" t="s">
        <v>76</v>
      </c>
      <c r="AY249" s="13" t="s">
        <v>228</v>
      </c>
      <c r="BE249" s="130">
        <f t="shared" ref="BE249:BE270" si="50">IF(N249="základná",J249,0)</f>
        <v>0</v>
      </c>
      <c r="BF249" s="130">
        <f t="shared" ref="BF249:BF270" si="51">IF(N249="znížená",J249,0)</f>
        <v>42.8</v>
      </c>
      <c r="BG249" s="130">
        <f t="shared" ref="BG249:BG270" si="52">IF(N249="zákl. prenesená",J249,0)</f>
        <v>0</v>
      </c>
      <c r="BH249" s="130">
        <f t="shared" ref="BH249:BH270" si="53">IF(N249="zníž. prenesená",J249,0)</f>
        <v>0</v>
      </c>
      <c r="BI249" s="130">
        <f t="shared" ref="BI249:BI270" si="54">IF(N249="nulová",J249,0)</f>
        <v>0</v>
      </c>
      <c r="BJ249" s="13" t="s">
        <v>76</v>
      </c>
      <c r="BK249" s="130">
        <f t="shared" ref="BK249:BK270" si="55">ROUND(I249*H249,2)</f>
        <v>42.8</v>
      </c>
      <c r="BL249" s="13" t="s">
        <v>235</v>
      </c>
      <c r="BM249" s="129" t="s">
        <v>476</v>
      </c>
    </row>
    <row r="250" spans="2:65" s="1" customFormat="1" ht="24" customHeight="1" x14ac:dyDescent="0.2">
      <c r="B250" s="118"/>
      <c r="C250" s="285" t="s">
        <v>354</v>
      </c>
      <c r="D250" s="285" t="s">
        <v>231</v>
      </c>
      <c r="E250" s="286" t="s">
        <v>1994</v>
      </c>
      <c r="F250" s="240" t="s">
        <v>1995</v>
      </c>
      <c r="G250" s="287" t="s">
        <v>1194</v>
      </c>
      <c r="H250" s="288">
        <v>1</v>
      </c>
      <c r="I250" s="289">
        <v>29.91</v>
      </c>
      <c r="J250" s="289">
        <f t="shared" si="45"/>
        <v>29.91</v>
      </c>
      <c r="K250" s="121" t="s">
        <v>1</v>
      </c>
      <c r="L250" s="465"/>
      <c r="M250" s="125" t="s">
        <v>1</v>
      </c>
      <c r="N250" s="126" t="s">
        <v>32</v>
      </c>
      <c r="O250" s="127">
        <v>0</v>
      </c>
      <c r="P250" s="127">
        <f t="shared" si="46"/>
        <v>0</v>
      </c>
      <c r="Q250" s="127">
        <v>0</v>
      </c>
      <c r="R250" s="127">
        <f t="shared" si="47"/>
        <v>0</v>
      </c>
      <c r="S250" s="127">
        <v>0</v>
      </c>
      <c r="T250" s="128">
        <f t="shared" si="48"/>
        <v>0</v>
      </c>
      <c r="W250" s="199"/>
      <c r="X250" s="285" t="s">
        <v>354</v>
      </c>
      <c r="Y250" s="285" t="s">
        <v>231</v>
      </c>
      <c r="Z250" s="286" t="s">
        <v>1994</v>
      </c>
      <c r="AA250" s="240" t="s">
        <v>1995</v>
      </c>
      <c r="AB250" s="287" t="s">
        <v>1194</v>
      </c>
      <c r="AC250" s="288">
        <v>1</v>
      </c>
      <c r="AD250" s="289">
        <v>29.91</v>
      </c>
      <c r="AE250" s="290">
        <f t="shared" si="49"/>
        <v>29.91</v>
      </c>
      <c r="AF250" s="227"/>
      <c r="AG250" s="374"/>
      <c r="AH250" s="477"/>
      <c r="AR250" s="129" t="s">
        <v>235</v>
      </c>
      <c r="AT250" s="129" t="s">
        <v>231</v>
      </c>
      <c r="AU250" s="129" t="s">
        <v>76</v>
      </c>
      <c r="AY250" s="13" t="s">
        <v>228</v>
      </c>
      <c r="BE250" s="130">
        <f t="shared" si="50"/>
        <v>0</v>
      </c>
      <c r="BF250" s="130">
        <f t="shared" si="51"/>
        <v>29.91</v>
      </c>
      <c r="BG250" s="130">
        <f t="shared" si="52"/>
        <v>0</v>
      </c>
      <c r="BH250" s="130">
        <f t="shared" si="53"/>
        <v>0</v>
      </c>
      <c r="BI250" s="130">
        <f t="shared" si="54"/>
        <v>0</v>
      </c>
      <c r="BJ250" s="13" t="s">
        <v>76</v>
      </c>
      <c r="BK250" s="130">
        <f t="shared" si="55"/>
        <v>29.91</v>
      </c>
      <c r="BL250" s="13" t="s">
        <v>235</v>
      </c>
      <c r="BM250" s="129" t="s">
        <v>479</v>
      </c>
    </row>
    <row r="251" spans="2:65" s="1" customFormat="1" ht="24" customHeight="1" x14ac:dyDescent="0.2">
      <c r="B251" s="118"/>
      <c r="C251" s="285" t="s">
        <v>480</v>
      </c>
      <c r="D251" s="285" t="s">
        <v>231</v>
      </c>
      <c r="E251" s="286" t="s">
        <v>1996</v>
      </c>
      <c r="F251" s="240" t="s">
        <v>1997</v>
      </c>
      <c r="G251" s="287" t="s">
        <v>1194</v>
      </c>
      <c r="H251" s="288">
        <v>1</v>
      </c>
      <c r="I251" s="289">
        <v>37.79</v>
      </c>
      <c r="J251" s="289">
        <f t="shared" si="45"/>
        <v>37.79</v>
      </c>
      <c r="K251" s="121" t="s">
        <v>1</v>
      </c>
      <c r="L251" s="465"/>
      <c r="M251" s="125" t="s">
        <v>1</v>
      </c>
      <c r="N251" s="126" t="s">
        <v>32</v>
      </c>
      <c r="O251" s="127">
        <v>0</v>
      </c>
      <c r="P251" s="127">
        <f t="shared" si="46"/>
        <v>0</v>
      </c>
      <c r="Q251" s="127">
        <v>0</v>
      </c>
      <c r="R251" s="127">
        <f t="shared" si="47"/>
        <v>0</v>
      </c>
      <c r="S251" s="127">
        <v>0</v>
      </c>
      <c r="T251" s="128">
        <f t="shared" si="48"/>
        <v>0</v>
      </c>
      <c r="W251" s="199"/>
      <c r="X251" s="285" t="s">
        <v>480</v>
      </c>
      <c r="Y251" s="285" t="s">
        <v>231</v>
      </c>
      <c r="Z251" s="286" t="s">
        <v>1996</v>
      </c>
      <c r="AA251" s="240" t="s">
        <v>1997</v>
      </c>
      <c r="AB251" s="287" t="s">
        <v>1194</v>
      </c>
      <c r="AC251" s="288">
        <v>1</v>
      </c>
      <c r="AD251" s="289">
        <v>37.79</v>
      </c>
      <c r="AE251" s="290">
        <f t="shared" si="49"/>
        <v>37.79</v>
      </c>
      <c r="AF251" s="227"/>
      <c r="AG251" s="374"/>
      <c r="AH251" s="477"/>
      <c r="AR251" s="129" t="s">
        <v>235</v>
      </c>
      <c r="AT251" s="129" t="s">
        <v>231</v>
      </c>
      <c r="AU251" s="129" t="s">
        <v>76</v>
      </c>
      <c r="AY251" s="13" t="s">
        <v>228</v>
      </c>
      <c r="BE251" s="130">
        <f t="shared" si="50"/>
        <v>0</v>
      </c>
      <c r="BF251" s="130">
        <f t="shared" si="51"/>
        <v>37.79</v>
      </c>
      <c r="BG251" s="130">
        <f t="shared" si="52"/>
        <v>0</v>
      </c>
      <c r="BH251" s="130">
        <f t="shared" si="53"/>
        <v>0</v>
      </c>
      <c r="BI251" s="130">
        <f t="shared" si="54"/>
        <v>0</v>
      </c>
      <c r="BJ251" s="13" t="s">
        <v>76</v>
      </c>
      <c r="BK251" s="130">
        <f t="shared" si="55"/>
        <v>37.79</v>
      </c>
      <c r="BL251" s="13" t="s">
        <v>235</v>
      </c>
      <c r="BM251" s="129" t="s">
        <v>483</v>
      </c>
    </row>
    <row r="252" spans="2:65" s="1" customFormat="1" ht="24" customHeight="1" x14ac:dyDescent="0.2">
      <c r="B252" s="118"/>
      <c r="C252" s="285" t="s">
        <v>358</v>
      </c>
      <c r="D252" s="285" t="s">
        <v>231</v>
      </c>
      <c r="E252" s="286" t="s">
        <v>1998</v>
      </c>
      <c r="F252" s="240" t="s">
        <v>1999</v>
      </c>
      <c r="G252" s="287" t="s">
        <v>1194</v>
      </c>
      <c r="H252" s="288">
        <v>1</v>
      </c>
      <c r="I252" s="289">
        <v>18.27</v>
      </c>
      <c r="J252" s="289">
        <f t="shared" si="45"/>
        <v>18.27</v>
      </c>
      <c r="K252" s="121" t="s">
        <v>1</v>
      </c>
      <c r="L252" s="465"/>
      <c r="M252" s="125" t="s">
        <v>1</v>
      </c>
      <c r="N252" s="126" t="s">
        <v>32</v>
      </c>
      <c r="O252" s="127">
        <v>0</v>
      </c>
      <c r="P252" s="127">
        <f t="shared" si="46"/>
        <v>0</v>
      </c>
      <c r="Q252" s="127">
        <v>0</v>
      </c>
      <c r="R252" s="127">
        <f t="shared" si="47"/>
        <v>0</v>
      </c>
      <c r="S252" s="127">
        <v>0</v>
      </c>
      <c r="T252" s="128">
        <f t="shared" si="48"/>
        <v>0</v>
      </c>
      <c r="W252" s="199"/>
      <c r="X252" s="285" t="s">
        <v>358</v>
      </c>
      <c r="Y252" s="285" t="s">
        <v>231</v>
      </c>
      <c r="Z252" s="286" t="s">
        <v>1998</v>
      </c>
      <c r="AA252" s="240" t="s">
        <v>1999</v>
      </c>
      <c r="AB252" s="287" t="s">
        <v>1194</v>
      </c>
      <c r="AC252" s="288">
        <v>1</v>
      </c>
      <c r="AD252" s="289">
        <v>18.27</v>
      </c>
      <c r="AE252" s="290">
        <f t="shared" si="49"/>
        <v>18.27</v>
      </c>
      <c r="AF252" s="227"/>
      <c r="AG252" s="374"/>
      <c r="AH252" s="477"/>
      <c r="AR252" s="129" t="s">
        <v>235</v>
      </c>
      <c r="AT252" s="129" t="s">
        <v>231</v>
      </c>
      <c r="AU252" s="129" t="s">
        <v>76</v>
      </c>
      <c r="AY252" s="13" t="s">
        <v>228</v>
      </c>
      <c r="BE252" s="130">
        <f t="shared" si="50"/>
        <v>0</v>
      </c>
      <c r="BF252" s="130">
        <f t="shared" si="51"/>
        <v>18.27</v>
      </c>
      <c r="BG252" s="130">
        <f t="shared" si="52"/>
        <v>0</v>
      </c>
      <c r="BH252" s="130">
        <f t="shared" si="53"/>
        <v>0</v>
      </c>
      <c r="BI252" s="130">
        <f t="shared" si="54"/>
        <v>0</v>
      </c>
      <c r="BJ252" s="13" t="s">
        <v>76</v>
      </c>
      <c r="BK252" s="130">
        <f t="shared" si="55"/>
        <v>18.27</v>
      </c>
      <c r="BL252" s="13" t="s">
        <v>235</v>
      </c>
      <c r="BM252" s="129" t="s">
        <v>486</v>
      </c>
    </row>
    <row r="253" spans="2:65" s="1" customFormat="1" ht="24" customHeight="1" x14ac:dyDescent="0.2">
      <c r="B253" s="118"/>
      <c r="C253" s="285" t="s">
        <v>487</v>
      </c>
      <c r="D253" s="285" t="s">
        <v>231</v>
      </c>
      <c r="E253" s="286" t="s">
        <v>2000</v>
      </c>
      <c r="F253" s="240" t="s">
        <v>2001</v>
      </c>
      <c r="G253" s="287" t="s">
        <v>1194</v>
      </c>
      <c r="H253" s="288">
        <v>1</v>
      </c>
      <c r="I253" s="289">
        <v>39.19</v>
      </c>
      <c r="J253" s="289">
        <f t="shared" si="45"/>
        <v>39.19</v>
      </c>
      <c r="K253" s="121" t="s">
        <v>1</v>
      </c>
      <c r="L253" s="465"/>
      <c r="M253" s="125" t="s">
        <v>1</v>
      </c>
      <c r="N253" s="126" t="s">
        <v>32</v>
      </c>
      <c r="O253" s="127">
        <v>0</v>
      </c>
      <c r="P253" s="127">
        <f t="shared" si="46"/>
        <v>0</v>
      </c>
      <c r="Q253" s="127">
        <v>0</v>
      </c>
      <c r="R253" s="127">
        <f t="shared" si="47"/>
        <v>0</v>
      </c>
      <c r="S253" s="127">
        <v>0</v>
      </c>
      <c r="T253" s="128">
        <f t="shared" si="48"/>
        <v>0</v>
      </c>
      <c r="W253" s="199"/>
      <c r="X253" s="285" t="s">
        <v>487</v>
      </c>
      <c r="Y253" s="285" t="s">
        <v>231</v>
      </c>
      <c r="Z253" s="286" t="s">
        <v>2000</v>
      </c>
      <c r="AA253" s="240" t="s">
        <v>2001</v>
      </c>
      <c r="AB253" s="287" t="s">
        <v>1194</v>
      </c>
      <c r="AC253" s="288">
        <v>1</v>
      </c>
      <c r="AD253" s="289">
        <v>39.19</v>
      </c>
      <c r="AE253" s="290">
        <f t="shared" si="49"/>
        <v>39.19</v>
      </c>
      <c r="AF253" s="227"/>
      <c r="AG253" s="374"/>
      <c r="AH253" s="477"/>
      <c r="AR253" s="129" t="s">
        <v>235</v>
      </c>
      <c r="AT253" s="129" t="s">
        <v>231</v>
      </c>
      <c r="AU253" s="129" t="s">
        <v>76</v>
      </c>
      <c r="AY253" s="13" t="s">
        <v>228</v>
      </c>
      <c r="BE253" s="130">
        <f t="shared" si="50"/>
        <v>0</v>
      </c>
      <c r="BF253" s="130">
        <f t="shared" si="51"/>
        <v>39.19</v>
      </c>
      <c r="BG253" s="130">
        <f t="shared" si="52"/>
        <v>0</v>
      </c>
      <c r="BH253" s="130">
        <f t="shared" si="53"/>
        <v>0</v>
      </c>
      <c r="BI253" s="130">
        <f t="shared" si="54"/>
        <v>0</v>
      </c>
      <c r="BJ253" s="13" t="s">
        <v>76</v>
      </c>
      <c r="BK253" s="130">
        <f t="shared" si="55"/>
        <v>39.19</v>
      </c>
      <c r="BL253" s="13" t="s">
        <v>235</v>
      </c>
      <c r="BM253" s="129" t="s">
        <v>490</v>
      </c>
    </row>
    <row r="254" spans="2:65" s="1" customFormat="1" ht="24" customHeight="1" x14ac:dyDescent="0.2">
      <c r="B254" s="118"/>
      <c r="C254" s="285" t="s">
        <v>361</v>
      </c>
      <c r="D254" s="285" t="s">
        <v>231</v>
      </c>
      <c r="E254" s="286" t="s">
        <v>2002</v>
      </c>
      <c r="F254" s="240" t="s">
        <v>2003</v>
      </c>
      <c r="G254" s="287" t="s">
        <v>1194</v>
      </c>
      <c r="H254" s="288">
        <v>1</v>
      </c>
      <c r="I254" s="289">
        <v>36.57</v>
      </c>
      <c r="J254" s="289">
        <f t="shared" si="45"/>
        <v>36.57</v>
      </c>
      <c r="K254" s="121" t="s">
        <v>1</v>
      </c>
      <c r="L254" s="465"/>
      <c r="M254" s="125" t="s">
        <v>1</v>
      </c>
      <c r="N254" s="126" t="s">
        <v>32</v>
      </c>
      <c r="O254" s="127">
        <v>0</v>
      </c>
      <c r="P254" s="127">
        <f t="shared" si="46"/>
        <v>0</v>
      </c>
      <c r="Q254" s="127">
        <v>0</v>
      </c>
      <c r="R254" s="127">
        <f t="shared" si="47"/>
        <v>0</v>
      </c>
      <c r="S254" s="127">
        <v>0</v>
      </c>
      <c r="T254" s="128">
        <f t="shared" si="48"/>
        <v>0</v>
      </c>
      <c r="W254" s="199"/>
      <c r="X254" s="285" t="s">
        <v>361</v>
      </c>
      <c r="Y254" s="285" t="s">
        <v>231</v>
      </c>
      <c r="Z254" s="286" t="s">
        <v>2002</v>
      </c>
      <c r="AA254" s="240" t="s">
        <v>2003</v>
      </c>
      <c r="AB254" s="287" t="s">
        <v>1194</v>
      </c>
      <c r="AC254" s="288">
        <v>1</v>
      </c>
      <c r="AD254" s="289">
        <v>36.57</v>
      </c>
      <c r="AE254" s="290">
        <f t="shared" si="49"/>
        <v>36.57</v>
      </c>
      <c r="AF254" s="227"/>
      <c r="AG254" s="374"/>
      <c r="AH254" s="477"/>
      <c r="AR254" s="129" t="s">
        <v>235</v>
      </c>
      <c r="AT254" s="129" t="s">
        <v>231</v>
      </c>
      <c r="AU254" s="129" t="s">
        <v>76</v>
      </c>
      <c r="AY254" s="13" t="s">
        <v>228</v>
      </c>
      <c r="BE254" s="130">
        <f t="shared" si="50"/>
        <v>0</v>
      </c>
      <c r="BF254" s="130">
        <f t="shared" si="51"/>
        <v>36.57</v>
      </c>
      <c r="BG254" s="130">
        <f t="shared" si="52"/>
        <v>0</v>
      </c>
      <c r="BH254" s="130">
        <f t="shared" si="53"/>
        <v>0</v>
      </c>
      <c r="BI254" s="130">
        <f t="shared" si="54"/>
        <v>0</v>
      </c>
      <c r="BJ254" s="13" t="s">
        <v>76</v>
      </c>
      <c r="BK254" s="130">
        <f t="shared" si="55"/>
        <v>36.57</v>
      </c>
      <c r="BL254" s="13" t="s">
        <v>235</v>
      </c>
      <c r="BM254" s="129" t="s">
        <v>493</v>
      </c>
    </row>
    <row r="255" spans="2:65" s="1" customFormat="1" ht="24" customHeight="1" x14ac:dyDescent="0.2">
      <c r="B255" s="118"/>
      <c r="C255" s="285" t="s">
        <v>494</v>
      </c>
      <c r="D255" s="285" t="s">
        <v>231</v>
      </c>
      <c r="E255" s="286" t="s">
        <v>2004</v>
      </c>
      <c r="F255" s="240" t="s">
        <v>2005</v>
      </c>
      <c r="G255" s="287" t="s">
        <v>1194</v>
      </c>
      <c r="H255" s="288">
        <v>1</v>
      </c>
      <c r="I255" s="289">
        <v>37.79</v>
      </c>
      <c r="J255" s="289">
        <f t="shared" si="45"/>
        <v>37.79</v>
      </c>
      <c r="K255" s="121" t="s">
        <v>1</v>
      </c>
      <c r="L255" s="465"/>
      <c r="M255" s="125" t="s">
        <v>1</v>
      </c>
      <c r="N255" s="126" t="s">
        <v>32</v>
      </c>
      <c r="O255" s="127">
        <v>0</v>
      </c>
      <c r="P255" s="127">
        <f t="shared" si="46"/>
        <v>0</v>
      </c>
      <c r="Q255" s="127">
        <v>0</v>
      </c>
      <c r="R255" s="127">
        <f t="shared" si="47"/>
        <v>0</v>
      </c>
      <c r="S255" s="127">
        <v>0</v>
      </c>
      <c r="T255" s="128">
        <f t="shared" si="48"/>
        <v>0</v>
      </c>
      <c r="W255" s="199"/>
      <c r="X255" s="285" t="s">
        <v>494</v>
      </c>
      <c r="Y255" s="285" t="s">
        <v>231</v>
      </c>
      <c r="Z255" s="286" t="s">
        <v>2004</v>
      </c>
      <c r="AA255" s="240" t="s">
        <v>2005</v>
      </c>
      <c r="AB255" s="287" t="s">
        <v>1194</v>
      </c>
      <c r="AC255" s="288">
        <v>1</v>
      </c>
      <c r="AD255" s="289">
        <v>37.79</v>
      </c>
      <c r="AE255" s="290">
        <f t="shared" si="49"/>
        <v>37.79</v>
      </c>
      <c r="AF255" s="227"/>
      <c r="AG255" s="374"/>
      <c r="AH255" s="477"/>
      <c r="AR255" s="129" t="s">
        <v>235</v>
      </c>
      <c r="AT255" s="129" t="s">
        <v>231</v>
      </c>
      <c r="AU255" s="129" t="s">
        <v>76</v>
      </c>
      <c r="AY255" s="13" t="s">
        <v>228</v>
      </c>
      <c r="BE255" s="130">
        <f t="shared" si="50"/>
        <v>0</v>
      </c>
      <c r="BF255" s="130">
        <f t="shared" si="51"/>
        <v>37.79</v>
      </c>
      <c r="BG255" s="130">
        <f t="shared" si="52"/>
        <v>0</v>
      </c>
      <c r="BH255" s="130">
        <f t="shared" si="53"/>
        <v>0</v>
      </c>
      <c r="BI255" s="130">
        <f t="shared" si="54"/>
        <v>0</v>
      </c>
      <c r="BJ255" s="13" t="s">
        <v>76</v>
      </c>
      <c r="BK255" s="130">
        <f t="shared" si="55"/>
        <v>37.79</v>
      </c>
      <c r="BL255" s="13" t="s">
        <v>235</v>
      </c>
      <c r="BM255" s="129" t="s">
        <v>497</v>
      </c>
    </row>
    <row r="256" spans="2:65" s="1" customFormat="1" ht="24" customHeight="1" x14ac:dyDescent="0.2">
      <c r="B256" s="118"/>
      <c r="C256" s="285" t="s">
        <v>365</v>
      </c>
      <c r="D256" s="285" t="s">
        <v>231</v>
      </c>
      <c r="E256" s="286" t="s">
        <v>2006</v>
      </c>
      <c r="F256" s="240" t="s">
        <v>2007</v>
      </c>
      <c r="G256" s="287" t="s">
        <v>1194</v>
      </c>
      <c r="H256" s="288">
        <v>1</v>
      </c>
      <c r="I256" s="289">
        <v>26.13</v>
      </c>
      <c r="J256" s="289">
        <f t="shared" si="45"/>
        <v>26.13</v>
      </c>
      <c r="K256" s="121" t="s">
        <v>1</v>
      </c>
      <c r="L256" s="465"/>
      <c r="M256" s="125" t="s">
        <v>1</v>
      </c>
      <c r="N256" s="126" t="s">
        <v>32</v>
      </c>
      <c r="O256" s="127">
        <v>0</v>
      </c>
      <c r="P256" s="127">
        <f t="shared" si="46"/>
        <v>0</v>
      </c>
      <c r="Q256" s="127">
        <v>0</v>
      </c>
      <c r="R256" s="127">
        <f t="shared" si="47"/>
        <v>0</v>
      </c>
      <c r="S256" s="127">
        <v>0</v>
      </c>
      <c r="T256" s="128">
        <f t="shared" si="48"/>
        <v>0</v>
      </c>
      <c r="W256" s="199"/>
      <c r="X256" s="285" t="s">
        <v>365</v>
      </c>
      <c r="Y256" s="285" t="s">
        <v>231</v>
      </c>
      <c r="Z256" s="286" t="s">
        <v>2006</v>
      </c>
      <c r="AA256" s="240" t="s">
        <v>2007</v>
      </c>
      <c r="AB256" s="287" t="s">
        <v>1194</v>
      </c>
      <c r="AC256" s="288">
        <v>1</v>
      </c>
      <c r="AD256" s="289">
        <v>26.13</v>
      </c>
      <c r="AE256" s="290">
        <f t="shared" si="49"/>
        <v>26.13</v>
      </c>
      <c r="AF256" s="227"/>
      <c r="AG256" s="374"/>
      <c r="AH256" s="477"/>
      <c r="AR256" s="129" t="s">
        <v>235</v>
      </c>
      <c r="AT256" s="129" t="s">
        <v>231</v>
      </c>
      <c r="AU256" s="129" t="s">
        <v>76</v>
      </c>
      <c r="AY256" s="13" t="s">
        <v>228</v>
      </c>
      <c r="BE256" s="130">
        <f t="shared" si="50"/>
        <v>0</v>
      </c>
      <c r="BF256" s="130">
        <f t="shared" si="51"/>
        <v>26.13</v>
      </c>
      <c r="BG256" s="130">
        <f t="shared" si="52"/>
        <v>0</v>
      </c>
      <c r="BH256" s="130">
        <f t="shared" si="53"/>
        <v>0</v>
      </c>
      <c r="BI256" s="130">
        <f t="shared" si="54"/>
        <v>0</v>
      </c>
      <c r="BJ256" s="13" t="s">
        <v>76</v>
      </c>
      <c r="BK256" s="130">
        <f t="shared" si="55"/>
        <v>26.13</v>
      </c>
      <c r="BL256" s="13" t="s">
        <v>235</v>
      </c>
      <c r="BM256" s="129" t="s">
        <v>500</v>
      </c>
    </row>
    <row r="257" spans="2:65" s="1" customFormat="1" ht="24" customHeight="1" x14ac:dyDescent="0.2">
      <c r="B257" s="118"/>
      <c r="C257" s="285" t="s">
        <v>501</v>
      </c>
      <c r="D257" s="285" t="s">
        <v>231</v>
      </c>
      <c r="E257" s="286" t="s">
        <v>2008</v>
      </c>
      <c r="F257" s="240" t="s">
        <v>2009</v>
      </c>
      <c r="G257" s="287" t="s">
        <v>1194</v>
      </c>
      <c r="H257" s="288">
        <v>1</v>
      </c>
      <c r="I257" s="289">
        <v>25.2</v>
      </c>
      <c r="J257" s="289">
        <f t="shared" si="45"/>
        <v>25.2</v>
      </c>
      <c r="K257" s="121" t="s">
        <v>1</v>
      </c>
      <c r="L257" s="465"/>
      <c r="M257" s="125" t="s">
        <v>1</v>
      </c>
      <c r="N257" s="126" t="s">
        <v>32</v>
      </c>
      <c r="O257" s="127">
        <v>0</v>
      </c>
      <c r="P257" s="127">
        <f t="shared" si="46"/>
        <v>0</v>
      </c>
      <c r="Q257" s="127">
        <v>0</v>
      </c>
      <c r="R257" s="127">
        <f t="shared" si="47"/>
        <v>0</v>
      </c>
      <c r="S257" s="127">
        <v>0</v>
      </c>
      <c r="T257" s="128">
        <f t="shared" si="48"/>
        <v>0</v>
      </c>
      <c r="W257" s="199"/>
      <c r="X257" s="285" t="s">
        <v>501</v>
      </c>
      <c r="Y257" s="285" t="s">
        <v>231</v>
      </c>
      <c r="Z257" s="286" t="s">
        <v>2008</v>
      </c>
      <c r="AA257" s="240" t="s">
        <v>2009</v>
      </c>
      <c r="AB257" s="287" t="s">
        <v>1194</v>
      </c>
      <c r="AC257" s="288">
        <v>1</v>
      </c>
      <c r="AD257" s="289">
        <v>25.2</v>
      </c>
      <c r="AE257" s="290">
        <f t="shared" si="49"/>
        <v>25.2</v>
      </c>
      <c r="AF257" s="227"/>
      <c r="AG257" s="374"/>
      <c r="AH257" s="477"/>
      <c r="AR257" s="129" t="s">
        <v>235</v>
      </c>
      <c r="AT257" s="129" t="s">
        <v>231</v>
      </c>
      <c r="AU257" s="129" t="s">
        <v>76</v>
      </c>
      <c r="AY257" s="13" t="s">
        <v>228</v>
      </c>
      <c r="BE257" s="130">
        <f t="shared" si="50"/>
        <v>0</v>
      </c>
      <c r="BF257" s="130">
        <f t="shared" si="51"/>
        <v>25.2</v>
      </c>
      <c r="BG257" s="130">
        <f t="shared" si="52"/>
        <v>0</v>
      </c>
      <c r="BH257" s="130">
        <f t="shared" si="53"/>
        <v>0</v>
      </c>
      <c r="BI257" s="130">
        <f t="shared" si="54"/>
        <v>0</v>
      </c>
      <c r="BJ257" s="13" t="s">
        <v>76</v>
      </c>
      <c r="BK257" s="130">
        <f t="shared" si="55"/>
        <v>25.2</v>
      </c>
      <c r="BL257" s="13" t="s">
        <v>235</v>
      </c>
      <c r="BM257" s="129" t="s">
        <v>504</v>
      </c>
    </row>
    <row r="258" spans="2:65" s="1" customFormat="1" ht="24" customHeight="1" x14ac:dyDescent="0.2">
      <c r="B258" s="118"/>
      <c r="C258" s="285" t="s">
        <v>368</v>
      </c>
      <c r="D258" s="285" t="s">
        <v>231</v>
      </c>
      <c r="E258" s="286" t="s">
        <v>2010</v>
      </c>
      <c r="F258" s="240" t="s">
        <v>2011</v>
      </c>
      <c r="G258" s="287" t="s">
        <v>1194</v>
      </c>
      <c r="H258" s="288">
        <v>1</v>
      </c>
      <c r="I258" s="289">
        <v>20.66</v>
      </c>
      <c r="J258" s="289">
        <f t="shared" si="45"/>
        <v>20.66</v>
      </c>
      <c r="K258" s="121" t="s">
        <v>1</v>
      </c>
      <c r="L258" s="465"/>
      <c r="M258" s="125" t="s">
        <v>1</v>
      </c>
      <c r="N258" s="126" t="s">
        <v>32</v>
      </c>
      <c r="O258" s="127">
        <v>0</v>
      </c>
      <c r="P258" s="127">
        <f t="shared" si="46"/>
        <v>0</v>
      </c>
      <c r="Q258" s="127">
        <v>0</v>
      </c>
      <c r="R258" s="127">
        <f t="shared" si="47"/>
        <v>0</v>
      </c>
      <c r="S258" s="127">
        <v>0</v>
      </c>
      <c r="T258" s="128">
        <f t="shared" si="48"/>
        <v>0</v>
      </c>
      <c r="W258" s="199"/>
      <c r="X258" s="285" t="s">
        <v>368</v>
      </c>
      <c r="Y258" s="285" t="s">
        <v>231</v>
      </c>
      <c r="Z258" s="286" t="s">
        <v>2010</v>
      </c>
      <c r="AA258" s="240" t="s">
        <v>2011</v>
      </c>
      <c r="AB258" s="287" t="s">
        <v>1194</v>
      </c>
      <c r="AC258" s="288">
        <v>1</v>
      </c>
      <c r="AD258" s="289">
        <v>20.66</v>
      </c>
      <c r="AE258" s="290">
        <f t="shared" si="49"/>
        <v>20.66</v>
      </c>
      <c r="AF258" s="227"/>
      <c r="AG258" s="374"/>
      <c r="AH258" s="477"/>
      <c r="AR258" s="129" t="s">
        <v>235</v>
      </c>
      <c r="AT258" s="129" t="s">
        <v>231</v>
      </c>
      <c r="AU258" s="129" t="s">
        <v>76</v>
      </c>
      <c r="AY258" s="13" t="s">
        <v>228</v>
      </c>
      <c r="BE258" s="130">
        <f t="shared" si="50"/>
        <v>0</v>
      </c>
      <c r="BF258" s="130">
        <f t="shared" si="51"/>
        <v>20.66</v>
      </c>
      <c r="BG258" s="130">
        <f t="shared" si="52"/>
        <v>0</v>
      </c>
      <c r="BH258" s="130">
        <f t="shared" si="53"/>
        <v>0</v>
      </c>
      <c r="BI258" s="130">
        <f t="shared" si="54"/>
        <v>0</v>
      </c>
      <c r="BJ258" s="13" t="s">
        <v>76</v>
      </c>
      <c r="BK258" s="130">
        <f t="shared" si="55"/>
        <v>20.66</v>
      </c>
      <c r="BL258" s="13" t="s">
        <v>235</v>
      </c>
      <c r="BM258" s="129" t="s">
        <v>507</v>
      </c>
    </row>
    <row r="259" spans="2:65" s="1" customFormat="1" ht="24" customHeight="1" x14ac:dyDescent="0.2">
      <c r="B259" s="118"/>
      <c r="C259" s="285" t="s">
        <v>508</v>
      </c>
      <c r="D259" s="285" t="s">
        <v>231</v>
      </c>
      <c r="E259" s="286" t="s">
        <v>2012</v>
      </c>
      <c r="F259" s="240" t="s">
        <v>2013</v>
      </c>
      <c r="G259" s="287" t="s">
        <v>1194</v>
      </c>
      <c r="H259" s="288">
        <v>1</v>
      </c>
      <c r="I259" s="289">
        <v>18.27</v>
      </c>
      <c r="J259" s="289">
        <f t="shared" si="45"/>
        <v>18.27</v>
      </c>
      <c r="K259" s="121" t="s">
        <v>1</v>
      </c>
      <c r="L259" s="465"/>
      <c r="M259" s="125" t="s">
        <v>1</v>
      </c>
      <c r="N259" s="126" t="s">
        <v>32</v>
      </c>
      <c r="O259" s="127">
        <v>0</v>
      </c>
      <c r="P259" s="127">
        <f t="shared" si="46"/>
        <v>0</v>
      </c>
      <c r="Q259" s="127">
        <v>0</v>
      </c>
      <c r="R259" s="127">
        <f t="shared" si="47"/>
        <v>0</v>
      </c>
      <c r="S259" s="127">
        <v>0</v>
      </c>
      <c r="T259" s="128">
        <f t="shared" si="48"/>
        <v>0</v>
      </c>
      <c r="W259" s="199"/>
      <c r="X259" s="285" t="s">
        <v>508</v>
      </c>
      <c r="Y259" s="285" t="s">
        <v>231</v>
      </c>
      <c r="Z259" s="286" t="s">
        <v>2012</v>
      </c>
      <c r="AA259" s="240" t="s">
        <v>2013</v>
      </c>
      <c r="AB259" s="287" t="s">
        <v>1194</v>
      </c>
      <c r="AC259" s="288">
        <v>1</v>
      </c>
      <c r="AD259" s="289">
        <v>18.27</v>
      </c>
      <c r="AE259" s="290">
        <f t="shared" si="49"/>
        <v>18.27</v>
      </c>
      <c r="AF259" s="227"/>
      <c r="AG259" s="374"/>
      <c r="AH259" s="477"/>
      <c r="AR259" s="129" t="s">
        <v>235</v>
      </c>
      <c r="AT259" s="129" t="s">
        <v>231</v>
      </c>
      <c r="AU259" s="129" t="s">
        <v>76</v>
      </c>
      <c r="AY259" s="13" t="s">
        <v>228</v>
      </c>
      <c r="BE259" s="130">
        <f t="shared" si="50"/>
        <v>0</v>
      </c>
      <c r="BF259" s="130">
        <f t="shared" si="51"/>
        <v>18.27</v>
      </c>
      <c r="BG259" s="130">
        <f t="shared" si="52"/>
        <v>0</v>
      </c>
      <c r="BH259" s="130">
        <f t="shared" si="53"/>
        <v>0</v>
      </c>
      <c r="BI259" s="130">
        <f t="shared" si="54"/>
        <v>0</v>
      </c>
      <c r="BJ259" s="13" t="s">
        <v>76</v>
      </c>
      <c r="BK259" s="130">
        <f t="shared" si="55"/>
        <v>18.27</v>
      </c>
      <c r="BL259" s="13" t="s">
        <v>235</v>
      </c>
      <c r="BM259" s="129" t="s">
        <v>511</v>
      </c>
    </row>
    <row r="260" spans="2:65" s="1" customFormat="1" ht="16.5" customHeight="1" x14ac:dyDescent="0.2">
      <c r="B260" s="118"/>
      <c r="C260" s="285" t="s">
        <v>372</v>
      </c>
      <c r="D260" s="285" t="s">
        <v>231</v>
      </c>
      <c r="E260" s="286" t="s">
        <v>2014</v>
      </c>
      <c r="F260" s="240" t="s">
        <v>2015</v>
      </c>
      <c r="G260" s="287" t="s">
        <v>292</v>
      </c>
      <c r="H260" s="288">
        <v>4</v>
      </c>
      <c r="I260" s="289">
        <v>5.3</v>
      </c>
      <c r="J260" s="289">
        <f t="shared" si="45"/>
        <v>21.2</v>
      </c>
      <c r="K260" s="121" t="s">
        <v>1</v>
      </c>
      <c r="L260" s="465"/>
      <c r="M260" s="125" t="s">
        <v>1</v>
      </c>
      <c r="N260" s="126" t="s">
        <v>32</v>
      </c>
      <c r="O260" s="127">
        <v>0</v>
      </c>
      <c r="P260" s="127">
        <f t="shared" si="46"/>
        <v>0</v>
      </c>
      <c r="Q260" s="127">
        <v>0</v>
      </c>
      <c r="R260" s="127">
        <f t="shared" si="47"/>
        <v>0</v>
      </c>
      <c r="S260" s="127">
        <v>0</v>
      </c>
      <c r="T260" s="128">
        <f t="shared" si="48"/>
        <v>0</v>
      </c>
      <c r="W260" s="199"/>
      <c r="X260" s="285" t="s">
        <v>372</v>
      </c>
      <c r="Y260" s="285" t="s">
        <v>231</v>
      </c>
      <c r="Z260" s="286" t="s">
        <v>2014</v>
      </c>
      <c r="AA260" s="240" t="s">
        <v>2015</v>
      </c>
      <c r="AB260" s="287" t="s">
        <v>292</v>
      </c>
      <c r="AC260" s="288">
        <v>4</v>
      </c>
      <c r="AD260" s="289">
        <v>5.3</v>
      </c>
      <c r="AE260" s="290">
        <f t="shared" si="49"/>
        <v>21.2</v>
      </c>
      <c r="AF260" s="227"/>
      <c r="AG260" s="374"/>
      <c r="AH260" s="477"/>
      <c r="AR260" s="129" t="s">
        <v>235</v>
      </c>
      <c r="AT260" s="129" t="s">
        <v>231</v>
      </c>
      <c r="AU260" s="129" t="s">
        <v>76</v>
      </c>
      <c r="AY260" s="13" t="s">
        <v>228</v>
      </c>
      <c r="BE260" s="130">
        <f t="shared" si="50"/>
        <v>0</v>
      </c>
      <c r="BF260" s="130">
        <f t="shared" si="51"/>
        <v>21.2</v>
      </c>
      <c r="BG260" s="130">
        <f t="shared" si="52"/>
        <v>0</v>
      </c>
      <c r="BH260" s="130">
        <f t="shared" si="53"/>
        <v>0</v>
      </c>
      <c r="BI260" s="130">
        <f t="shared" si="54"/>
        <v>0</v>
      </c>
      <c r="BJ260" s="13" t="s">
        <v>76</v>
      </c>
      <c r="BK260" s="130">
        <f t="shared" si="55"/>
        <v>21.2</v>
      </c>
      <c r="BL260" s="13" t="s">
        <v>235</v>
      </c>
      <c r="BM260" s="129" t="s">
        <v>514</v>
      </c>
    </row>
    <row r="261" spans="2:65" s="1" customFormat="1" ht="16.5" customHeight="1" x14ac:dyDescent="0.2">
      <c r="B261" s="118"/>
      <c r="C261" s="285" t="s">
        <v>515</v>
      </c>
      <c r="D261" s="285" t="s">
        <v>231</v>
      </c>
      <c r="E261" s="286" t="s">
        <v>2016</v>
      </c>
      <c r="F261" s="240" t="s">
        <v>2017</v>
      </c>
      <c r="G261" s="287" t="s">
        <v>1194</v>
      </c>
      <c r="H261" s="288">
        <v>4</v>
      </c>
      <c r="I261" s="289">
        <v>7.28</v>
      </c>
      <c r="J261" s="289">
        <f t="shared" si="45"/>
        <v>29.12</v>
      </c>
      <c r="K261" s="121" t="s">
        <v>1</v>
      </c>
      <c r="L261" s="465"/>
      <c r="M261" s="125" t="s">
        <v>1</v>
      </c>
      <c r="N261" s="126" t="s">
        <v>32</v>
      </c>
      <c r="O261" s="127">
        <v>0</v>
      </c>
      <c r="P261" s="127">
        <f t="shared" si="46"/>
        <v>0</v>
      </c>
      <c r="Q261" s="127">
        <v>0</v>
      </c>
      <c r="R261" s="127">
        <f t="shared" si="47"/>
        <v>0</v>
      </c>
      <c r="S261" s="127">
        <v>0</v>
      </c>
      <c r="T261" s="128">
        <f t="shared" si="48"/>
        <v>0</v>
      </c>
      <c r="W261" s="199"/>
      <c r="X261" s="285" t="s">
        <v>515</v>
      </c>
      <c r="Y261" s="285" t="s">
        <v>231</v>
      </c>
      <c r="Z261" s="286" t="s">
        <v>2016</v>
      </c>
      <c r="AA261" s="240" t="s">
        <v>2017</v>
      </c>
      <c r="AB261" s="287" t="s">
        <v>1194</v>
      </c>
      <c r="AC261" s="288">
        <v>4</v>
      </c>
      <c r="AD261" s="289">
        <v>7.28</v>
      </c>
      <c r="AE261" s="290">
        <f t="shared" si="49"/>
        <v>29.12</v>
      </c>
      <c r="AF261" s="227"/>
      <c r="AG261" s="374"/>
      <c r="AH261" s="477"/>
      <c r="AR261" s="129" t="s">
        <v>235</v>
      </c>
      <c r="AT261" s="129" t="s">
        <v>231</v>
      </c>
      <c r="AU261" s="129" t="s">
        <v>76</v>
      </c>
      <c r="AY261" s="13" t="s">
        <v>228</v>
      </c>
      <c r="BE261" s="130">
        <f t="shared" si="50"/>
        <v>0</v>
      </c>
      <c r="BF261" s="130">
        <f t="shared" si="51"/>
        <v>29.12</v>
      </c>
      <c r="BG261" s="130">
        <f t="shared" si="52"/>
        <v>0</v>
      </c>
      <c r="BH261" s="130">
        <f t="shared" si="53"/>
        <v>0</v>
      </c>
      <c r="BI261" s="130">
        <f t="shared" si="54"/>
        <v>0</v>
      </c>
      <c r="BJ261" s="13" t="s">
        <v>76</v>
      </c>
      <c r="BK261" s="130">
        <f t="shared" si="55"/>
        <v>29.12</v>
      </c>
      <c r="BL261" s="13" t="s">
        <v>235</v>
      </c>
      <c r="BM261" s="129" t="s">
        <v>518</v>
      </c>
    </row>
    <row r="262" spans="2:65" s="1" customFormat="1" ht="24" customHeight="1" x14ac:dyDescent="0.2">
      <c r="B262" s="118"/>
      <c r="C262" s="285" t="s">
        <v>375</v>
      </c>
      <c r="D262" s="285" t="s">
        <v>231</v>
      </c>
      <c r="E262" s="286" t="s">
        <v>2018</v>
      </c>
      <c r="F262" s="240" t="s">
        <v>2019</v>
      </c>
      <c r="G262" s="287" t="s">
        <v>292</v>
      </c>
      <c r="H262" s="288">
        <v>2</v>
      </c>
      <c r="I262" s="289">
        <v>4.9400000000000004</v>
      </c>
      <c r="J262" s="289">
        <f t="shared" si="45"/>
        <v>9.8800000000000008</v>
      </c>
      <c r="K262" s="121" t="s">
        <v>1</v>
      </c>
      <c r="L262" s="465"/>
      <c r="M262" s="125" t="s">
        <v>1</v>
      </c>
      <c r="N262" s="126" t="s">
        <v>32</v>
      </c>
      <c r="O262" s="127">
        <v>0</v>
      </c>
      <c r="P262" s="127">
        <f t="shared" si="46"/>
        <v>0</v>
      </c>
      <c r="Q262" s="127">
        <v>0</v>
      </c>
      <c r="R262" s="127">
        <f t="shared" si="47"/>
        <v>0</v>
      </c>
      <c r="S262" s="127">
        <v>0</v>
      </c>
      <c r="T262" s="128">
        <f t="shared" si="48"/>
        <v>0</v>
      </c>
      <c r="W262" s="199"/>
      <c r="X262" s="285" t="s">
        <v>375</v>
      </c>
      <c r="Y262" s="285" t="s">
        <v>231</v>
      </c>
      <c r="Z262" s="286" t="s">
        <v>2018</v>
      </c>
      <c r="AA262" s="240" t="s">
        <v>2019</v>
      </c>
      <c r="AB262" s="287" t="s">
        <v>292</v>
      </c>
      <c r="AC262" s="288">
        <v>2</v>
      </c>
      <c r="AD262" s="289">
        <v>4.9400000000000004</v>
      </c>
      <c r="AE262" s="290">
        <f t="shared" si="49"/>
        <v>9.8800000000000008</v>
      </c>
      <c r="AF262" s="227"/>
      <c r="AG262" s="374"/>
      <c r="AH262" s="477"/>
      <c r="AR262" s="129" t="s">
        <v>235</v>
      </c>
      <c r="AT262" s="129" t="s">
        <v>231</v>
      </c>
      <c r="AU262" s="129" t="s">
        <v>76</v>
      </c>
      <c r="AY262" s="13" t="s">
        <v>228</v>
      </c>
      <c r="BE262" s="130">
        <f t="shared" si="50"/>
        <v>0</v>
      </c>
      <c r="BF262" s="130">
        <f t="shared" si="51"/>
        <v>9.8800000000000008</v>
      </c>
      <c r="BG262" s="130">
        <f t="shared" si="52"/>
        <v>0</v>
      </c>
      <c r="BH262" s="130">
        <f t="shared" si="53"/>
        <v>0</v>
      </c>
      <c r="BI262" s="130">
        <f t="shared" si="54"/>
        <v>0</v>
      </c>
      <c r="BJ262" s="13" t="s">
        <v>76</v>
      </c>
      <c r="BK262" s="130">
        <f t="shared" si="55"/>
        <v>9.8800000000000008</v>
      </c>
      <c r="BL262" s="13" t="s">
        <v>235</v>
      </c>
      <c r="BM262" s="129" t="s">
        <v>521</v>
      </c>
    </row>
    <row r="263" spans="2:65" s="1" customFormat="1" ht="16.5" customHeight="1" x14ac:dyDescent="0.2">
      <c r="B263" s="118"/>
      <c r="C263" s="285" t="s">
        <v>522</v>
      </c>
      <c r="D263" s="285" t="s">
        <v>231</v>
      </c>
      <c r="E263" s="286" t="s">
        <v>2020</v>
      </c>
      <c r="F263" s="240" t="s">
        <v>2021</v>
      </c>
      <c r="G263" s="287" t="s">
        <v>1194</v>
      </c>
      <c r="H263" s="288">
        <v>2</v>
      </c>
      <c r="I263" s="289">
        <v>5.31</v>
      </c>
      <c r="J263" s="289">
        <f t="shared" si="45"/>
        <v>10.62</v>
      </c>
      <c r="K263" s="121" t="s">
        <v>1</v>
      </c>
      <c r="L263" s="465"/>
      <c r="M263" s="125" t="s">
        <v>1</v>
      </c>
      <c r="N263" s="126" t="s">
        <v>32</v>
      </c>
      <c r="O263" s="127">
        <v>0</v>
      </c>
      <c r="P263" s="127">
        <f t="shared" si="46"/>
        <v>0</v>
      </c>
      <c r="Q263" s="127">
        <v>0</v>
      </c>
      <c r="R263" s="127">
        <f t="shared" si="47"/>
        <v>0</v>
      </c>
      <c r="S263" s="127">
        <v>0</v>
      </c>
      <c r="T263" s="128">
        <f t="shared" si="48"/>
        <v>0</v>
      </c>
      <c r="W263" s="199"/>
      <c r="X263" s="285" t="s">
        <v>522</v>
      </c>
      <c r="Y263" s="285" t="s">
        <v>231</v>
      </c>
      <c r="Z263" s="286" t="s">
        <v>2020</v>
      </c>
      <c r="AA263" s="240" t="s">
        <v>2021</v>
      </c>
      <c r="AB263" s="287" t="s">
        <v>1194</v>
      </c>
      <c r="AC263" s="288">
        <v>2</v>
      </c>
      <c r="AD263" s="289">
        <v>5.31</v>
      </c>
      <c r="AE263" s="290">
        <f t="shared" si="49"/>
        <v>10.62</v>
      </c>
      <c r="AF263" s="227"/>
      <c r="AG263" s="374"/>
      <c r="AH263" s="477"/>
      <c r="AR263" s="129" t="s">
        <v>235</v>
      </c>
      <c r="AT263" s="129" t="s">
        <v>231</v>
      </c>
      <c r="AU263" s="129" t="s">
        <v>76</v>
      </c>
      <c r="AY263" s="13" t="s">
        <v>228</v>
      </c>
      <c r="BE263" s="130">
        <f t="shared" si="50"/>
        <v>0</v>
      </c>
      <c r="BF263" s="130">
        <f t="shared" si="51"/>
        <v>10.62</v>
      </c>
      <c r="BG263" s="130">
        <f t="shared" si="52"/>
        <v>0</v>
      </c>
      <c r="BH263" s="130">
        <f t="shared" si="53"/>
        <v>0</v>
      </c>
      <c r="BI263" s="130">
        <f t="shared" si="54"/>
        <v>0</v>
      </c>
      <c r="BJ263" s="13" t="s">
        <v>76</v>
      </c>
      <c r="BK263" s="130">
        <f t="shared" si="55"/>
        <v>10.62</v>
      </c>
      <c r="BL263" s="13" t="s">
        <v>235</v>
      </c>
      <c r="BM263" s="129" t="s">
        <v>525</v>
      </c>
    </row>
    <row r="264" spans="2:65" s="1" customFormat="1" ht="16.5" customHeight="1" x14ac:dyDescent="0.2">
      <c r="B264" s="118"/>
      <c r="C264" s="285" t="s">
        <v>379</v>
      </c>
      <c r="D264" s="285" t="s">
        <v>231</v>
      </c>
      <c r="E264" s="286" t="s">
        <v>2022</v>
      </c>
      <c r="F264" s="240" t="s">
        <v>2023</v>
      </c>
      <c r="G264" s="287" t="s">
        <v>292</v>
      </c>
      <c r="H264" s="288">
        <v>2.5</v>
      </c>
      <c r="I264" s="289">
        <v>6.59</v>
      </c>
      <c r="J264" s="289">
        <f t="shared" si="45"/>
        <v>16.48</v>
      </c>
      <c r="K264" s="121" t="s">
        <v>1</v>
      </c>
      <c r="L264" s="465"/>
      <c r="M264" s="125" t="s">
        <v>1</v>
      </c>
      <c r="N264" s="126" t="s">
        <v>32</v>
      </c>
      <c r="O264" s="127">
        <v>0</v>
      </c>
      <c r="P264" s="127">
        <f t="shared" si="46"/>
        <v>0</v>
      </c>
      <c r="Q264" s="127">
        <v>0</v>
      </c>
      <c r="R264" s="127">
        <f t="shared" si="47"/>
        <v>0</v>
      </c>
      <c r="S264" s="127">
        <v>0</v>
      </c>
      <c r="T264" s="128">
        <f t="shared" si="48"/>
        <v>0</v>
      </c>
      <c r="W264" s="199"/>
      <c r="X264" s="285" t="s">
        <v>379</v>
      </c>
      <c r="Y264" s="285" t="s">
        <v>231</v>
      </c>
      <c r="Z264" s="286" t="s">
        <v>2022</v>
      </c>
      <c r="AA264" s="240" t="s">
        <v>2023</v>
      </c>
      <c r="AB264" s="287" t="s">
        <v>292</v>
      </c>
      <c r="AC264" s="288">
        <v>2.5</v>
      </c>
      <c r="AD264" s="289">
        <v>6.59</v>
      </c>
      <c r="AE264" s="290">
        <f t="shared" si="49"/>
        <v>16.48</v>
      </c>
      <c r="AF264" s="227"/>
      <c r="AG264" s="374"/>
      <c r="AH264" s="477"/>
      <c r="AR264" s="129" t="s">
        <v>235</v>
      </c>
      <c r="AT264" s="129" t="s">
        <v>231</v>
      </c>
      <c r="AU264" s="129" t="s">
        <v>76</v>
      </c>
      <c r="AY264" s="13" t="s">
        <v>228</v>
      </c>
      <c r="BE264" s="130">
        <f t="shared" si="50"/>
        <v>0</v>
      </c>
      <c r="BF264" s="130">
        <f t="shared" si="51"/>
        <v>16.48</v>
      </c>
      <c r="BG264" s="130">
        <f t="shared" si="52"/>
        <v>0</v>
      </c>
      <c r="BH264" s="130">
        <f t="shared" si="53"/>
        <v>0</v>
      </c>
      <c r="BI264" s="130">
        <f t="shared" si="54"/>
        <v>0</v>
      </c>
      <c r="BJ264" s="13" t="s">
        <v>76</v>
      </c>
      <c r="BK264" s="130">
        <f t="shared" si="55"/>
        <v>16.48</v>
      </c>
      <c r="BL264" s="13" t="s">
        <v>235</v>
      </c>
      <c r="BM264" s="129" t="s">
        <v>528</v>
      </c>
    </row>
    <row r="265" spans="2:65" s="1" customFormat="1" ht="16.5" customHeight="1" x14ac:dyDescent="0.2">
      <c r="B265" s="118"/>
      <c r="C265" s="285" t="s">
        <v>529</v>
      </c>
      <c r="D265" s="285" t="s">
        <v>231</v>
      </c>
      <c r="E265" s="286" t="s">
        <v>2024</v>
      </c>
      <c r="F265" s="240" t="s">
        <v>2025</v>
      </c>
      <c r="G265" s="287" t="s">
        <v>1194</v>
      </c>
      <c r="H265" s="288">
        <v>1</v>
      </c>
      <c r="I265" s="289">
        <v>6.41</v>
      </c>
      <c r="J265" s="289">
        <f t="shared" si="45"/>
        <v>6.41</v>
      </c>
      <c r="K265" s="121" t="s">
        <v>1</v>
      </c>
      <c r="L265" s="465"/>
      <c r="M265" s="125" t="s">
        <v>1</v>
      </c>
      <c r="N265" s="126" t="s">
        <v>32</v>
      </c>
      <c r="O265" s="127">
        <v>0</v>
      </c>
      <c r="P265" s="127">
        <f t="shared" si="46"/>
        <v>0</v>
      </c>
      <c r="Q265" s="127">
        <v>0</v>
      </c>
      <c r="R265" s="127">
        <f t="shared" si="47"/>
        <v>0</v>
      </c>
      <c r="S265" s="127">
        <v>0</v>
      </c>
      <c r="T265" s="128">
        <f t="shared" si="48"/>
        <v>0</v>
      </c>
      <c r="W265" s="199"/>
      <c r="X265" s="285" t="s">
        <v>529</v>
      </c>
      <c r="Y265" s="285" t="s">
        <v>231</v>
      </c>
      <c r="Z265" s="286" t="s">
        <v>2024</v>
      </c>
      <c r="AA265" s="240" t="s">
        <v>2025</v>
      </c>
      <c r="AB265" s="287" t="s">
        <v>1194</v>
      </c>
      <c r="AC265" s="288">
        <v>1</v>
      </c>
      <c r="AD265" s="289">
        <v>6.41</v>
      </c>
      <c r="AE265" s="290">
        <f t="shared" si="49"/>
        <v>6.41</v>
      </c>
      <c r="AF265" s="227"/>
      <c r="AG265" s="374"/>
      <c r="AH265" s="477"/>
      <c r="AR265" s="129" t="s">
        <v>235</v>
      </c>
      <c r="AT265" s="129" t="s">
        <v>231</v>
      </c>
      <c r="AU265" s="129" t="s">
        <v>76</v>
      </c>
      <c r="AY265" s="13" t="s">
        <v>228</v>
      </c>
      <c r="BE265" s="130">
        <f t="shared" si="50"/>
        <v>0</v>
      </c>
      <c r="BF265" s="130">
        <f t="shared" si="51"/>
        <v>6.41</v>
      </c>
      <c r="BG265" s="130">
        <f t="shared" si="52"/>
        <v>0</v>
      </c>
      <c r="BH265" s="130">
        <f t="shared" si="53"/>
        <v>0</v>
      </c>
      <c r="BI265" s="130">
        <f t="shared" si="54"/>
        <v>0</v>
      </c>
      <c r="BJ265" s="13" t="s">
        <v>76</v>
      </c>
      <c r="BK265" s="130">
        <f t="shared" si="55"/>
        <v>6.41</v>
      </c>
      <c r="BL265" s="13" t="s">
        <v>235</v>
      </c>
      <c r="BM265" s="129" t="s">
        <v>532</v>
      </c>
    </row>
    <row r="266" spans="2:65" s="1" customFormat="1" ht="16.5" customHeight="1" x14ac:dyDescent="0.2">
      <c r="B266" s="118"/>
      <c r="C266" s="285" t="s">
        <v>382</v>
      </c>
      <c r="D266" s="285" t="s">
        <v>231</v>
      </c>
      <c r="E266" s="286" t="s">
        <v>2026</v>
      </c>
      <c r="F266" s="240" t="s">
        <v>2027</v>
      </c>
      <c r="G266" s="287" t="s">
        <v>1194</v>
      </c>
      <c r="H266" s="288">
        <v>1</v>
      </c>
      <c r="I266" s="289">
        <v>10.45</v>
      </c>
      <c r="J266" s="289">
        <f t="shared" si="45"/>
        <v>10.45</v>
      </c>
      <c r="K266" s="121" t="s">
        <v>1</v>
      </c>
      <c r="L266" s="465"/>
      <c r="M266" s="125" t="s">
        <v>1</v>
      </c>
      <c r="N266" s="126" t="s">
        <v>32</v>
      </c>
      <c r="O266" s="127">
        <v>0</v>
      </c>
      <c r="P266" s="127">
        <f t="shared" si="46"/>
        <v>0</v>
      </c>
      <c r="Q266" s="127">
        <v>0</v>
      </c>
      <c r="R266" s="127">
        <f t="shared" si="47"/>
        <v>0</v>
      </c>
      <c r="S266" s="127">
        <v>0</v>
      </c>
      <c r="T266" s="128">
        <f t="shared" si="48"/>
        <v>0</v>
      </c>
      <c r="W266" s="199"/>
      <c r="X266" s="285" t="s">
        <v>382</v>
      </c>
      <c r="Y266" s="285" t="s">
        <v>231</v>
      </c>
      <c r="Z266" s="286" t="s">
        <v>2026</v>
      </c>
      <c r="AA266" s="240" t="s">
        <v>2027</v>
      </c>
      <c r="AB266" s="287" t="s">
        <v>1194</v>
      </c>
      <c r="AC266" s="288">
        <v>1</v>
      </c>
      <c r="AD266" s="289">
        <v>10.45</v>
      </c>
      <c r="AE266" s="290">
        <f t="shared" si="49"/>
        <v>10.45</v>
      </c>
      <c r="AF266" s="227"/>
      <c r="AG266" s="374"/>
      <c r="AH266" s="477"/>
      <c r="AR266" s="129" t="s">
        <v>235</v>
      </c>
      <c r="AT266" s="129" t="s">
        <v>231</v>
      </c>
      <c r="AU266" s="129" t="s">
        <v>76</v>
      </c>
      <c r="AY266" s="13" t="s">
        <v>228</v>
      </c>
      <c r="BE266" s="130">
        <f t="shared" si="50"/>
        <v>0</v>
      </c>
      <c r="BF266" s="130">
        <f t="shared" si="51"/>
        <v>10.45</v>
      </c>
      <c r="BG266" s="130">
        <f t="shared" si="52"/>
        <v>0</v>
      </c>
      <c r="BH266" s="130">
        <f t="shared" si="53"/>
        <v>0</v>
      </c>
      <c r="BI266" s="130">
        <f t="shared" si="54"/>
        <v>0</v>
      </c>
      <c r="BJ266" s="13" t="s">
        <v>76</v>
      </c>
      <c r="BK266" s="130">
        <f t="shared" si="55"/>
        <v>10.45</v>
      </c>
      <c r="BL266" s="13" t="s">
        <v>235</v>
      </c>
      <c r="BM266" s="129" t="s">
        <v>535</v>
      </c>
    </row>
    <row r="267" spans="2:65" s="1" customFormat="1" ht="16.5" customHeight="1" x14ac:dyDescent="0.2">
      <c r="B267" s="118"/>
      <c r="C267" s="285" t="s">
        <v>536</v>
      </c>
      <c r="D267" s="285" t="s">
        <v>231</v>
      </c>
      <c r="E267" s="286" t="s">
        <v>2028</v>
      </c>
      <c r="F267" s="240" t="s">
        <v>2029</v>
      </c>
      <c r="G267" s="287" t="s">
        <v>1194</v>
      </c>
      <c r="H267" s="288">
        <v>1</v>
      </c>
      <c r="I267" s="289">
        <v>10.19</v>
      </c>
      <c r="J267" s="289">
        <f t="shared" si="45"/>
        <v>10.19</v>
      </c>
      <c r="K267" s="121" t="s">
        <v>1</v>
      </c>
      <c r="L267" s="465"/>
      <c r="M267" s="125" t="s">
        <v>1</v>
      </c>
      <c r="N267" s="126" t="s">
        <v>32</v>
      </c>
      <c r="O267" s="127">
        <v>0</v>
      </c>
      <c r="P267" s="127">
        <f t="shared" si="46"/>
        <v>0</v>
      </c>
      <c r="Q267" s="127">
        <v>0</v>
      </c>
      <c r="R267" s="127">
        <f t="shared" si="47"/>
        <v>0</v>
      </c>
      <c r="S267" s="127">
        <v>0</v>
      </c>
      <c r="T267" s="128">
        <f t="shared" si="48"/>
        <v>0</v>
      </c>
      <c r="W267" s="199"/>
      <c r="X267" s="285" t="s">
        <v>536</v>
      </c>
      <c r="Y267" s="285" t="s">
        <v>231</v>
      </c>
      <c r="Z267" s="286" t="s">
        <v>2028</v>
      </c>
      <c r="AA267" s="240" t="s">
        <v>2029</v>
      </c>
      <c r="AB267" s="287" t="s">
        <v>1194</v>
      </c>
      <c r="AC267" s="288">
        <v>1</v>
      </c>
      <c r="AD267" s="289">
        <v>10.19</v>
      </c>
      <c r="AE267" s="290">
        <f t="shared" si="49"/>
        <v>10.19</v>
      </c>
      <c r="AF267" s="227"/>
      <c r="AG267" s="374"/>
      <c r="AH267" s="477"/>
      <c r="AR267" s="129" t="s">
        <v>235</v>
      </c>
      <c r="AT267" s="129" t="s">
        <v>231</v>
      </c>
      <c r="AU267" s="129" t="s">
        <v>76</v>
      </c>
      <c r="AY267" s="13" t="s">
        <v>228</v>
      </c>
      <c r="BE267" s="130">
        <f t="shared" si="50"/>
        <v>0</v>
      </c>
      <c r="BF267" s="130">
        <f t="shared" si="51"/>
        <v>10.19</v>
      </c>
      <c r="BG267" s="130">
        <f t="shared" si="52"/>
        <v>0</v>
      </c>
      <c r="BH267" s="130">
        <f t="shared" si="53"/>
        <v>0</v>
      </c>
      <c r="BI267" s="130">
        <f t="shared" si="54"/>
        <v>0</v>
      </c>
      <c r="BJ267" s="13" t="s">
        <v>76</v>
      </c>
      <c r="BK267" s="130">
        <f t="shared" si="55"/>
        <v>10.19</v>
      </c>
      <c r="BL267" s="13" t="s">
        <v>235</v>
      </c>
      <c r="BM267" s="129" t="s">
        <v>539</v>
      </c>
    </row>
    <row r="268" spans="2:65" s="1" customFormat="1" ht="16.5" customHeight="1" x14ac:dyDescent="0.2">
      <c r="B268" s="118"/>
      <c r="C268" s="285" t="s">
        <v>386</v>
      </c>
      <c r="D268" s="285" t="s">
        <v>231</v>
      </c>
      <c r="E268" s="286" t="s">
        <v>2030</v>
      </c>
      <c r="F268" s="240" t="s">
        <v>2031</v>
      </c>
      <c r="G268" s="287" t="s">
        <v>292</v>
      </c>
      <c r="H268" s="288">
        <v>2</v>
      </c>
      <c r="I268" s="289">
        <v>11.34</v>
      </c>
      <c r="J268" s="289">
        <f t="shared" si="45"/>
        <v>22.68</v>
      </c>
      <c r="K268" s="121" t="s">
        <v>1</v>
      </c>
      <c r="L268" s="465"/>
      <c r="M268" s="125" t="s">
        <v>1</v>
      </c>
      <c r="N268" s="126" t="s">
        <v>32</v>
      </c>
      <c r="O268" s="127">
        <v>0</v>
      </c>
      <c r="P268" s="127">
        <f t="shared" si="46"/>
        <v>0</v>
      </c>
      <c r="Q268" s="127">
        <v>0</v>
      </c>
      <c r="R268" s="127">
        <f t="shared" si="47"/>
        <v>0</v>
      </c>
      <c r="S268" s="127">
        <v>0</v>
      </c>
      <c r="T268" s="128">
        <f t="shared" si="48"/>
        <v>0</v>
      </c>
      <c r="W268" s="199"/>
      <c r="X268" s="285" t="s">
        <v>386</v>
      </c>
      <c r="Y268" s="285" t="s">
        <v>231</v>
      </c>
      <c r="Z268" s="286" t="s">
        <v>2030</v>
      </c>
      <c r="AA268" s="240" t="s">
        <v>2031</v>
      </c>
      <c r="AB268" s="287" t="s">
        <v>292</v>
      </c>
      <c r="AC268" s="288">
        <v>2</v>
      </c>
      <c r="AD268" s="289">
        <v>11.34</v>
      </c>
      <c r="AE268" s="290">
        <f t="shared" si="49"/>
        <v>22.68</v>
      </c>
      <c r="AF268" s="227"/>
      <c r="AG268" s="374"/>
      <c r="AH268" s="477"/>
      <c r="AR268" s="129" t="s">
        <v>235</v>
      </c>
      <c r="AT268" s="129" t="s">
        <v>231</v>
      </c>
      <c r="AU268" s="129" t="s">
        <v>76</v>
      </c>
      <c r="AY268" s="13" t="s">
        <v>228</v>
      </c>
      <c r="BE268" s="130">
        <f t="shared" si="50"/>
        <v>0</v>
      </c>
      <c r="BF268" s="130">
        <f t="shared" si="51"/>
        <v>22.68</v>
      </c>
      <c r="BG268" s="130">
        <f t="shared" si="52"/>
        <v>0</v>
      </c>
      <c r="BH268" s="130">
        <f t="shared" si="53"/>
        <v>0</v>
      </c>
      <c r="BI268" s="130">
        <f t="shared" si="54"/>
        <v>0</v>
      </c>
      <c r="BJ268" s="13" t="s">
        <v>76</v>
      </c>
      <c r="BK268" s="130">
        <f t="shared" si="55"/>
        <v>22.68</v>
      </c>
      <c r="BL268" s="13" t="s">
        <v>235</v>
      </c>
      <c r="BM268" s="129" t="s">
        <v>542</v>
      </c>
    </row>
    <row r="269" spans="2:65" s="1" customFormat="1" ht="24" customHeight="1" x14ac:dyDescent="0.2">
      <c r="B269" s="118"/>
      <c r="C269" s="285" t="s">
        <v>543</v>
      </c>
      <c r="D269" s="285" t="s">
        <v>231</v>
      </c>
      <c r="E269" s="286" t="s">
        <v>1891</v>
      </c>
      <c r="F269" s="240" t="s">
        <v>1892</v>
      </c>
      <c r="G269" s="287" t="s">
        <v>292</v>
      </c>
      <c r="H269" s="288">
        <v>6</v>
      </c>
      <c r="I269" s="289">
        <v>4.8899999999999997</v>
      </c>
      <c r="J269" s="289">
        <f t="shared" si="45"/>
        <v>29.34</v>
      </c>
      <c r="K269" s="121" t="s">
        <v>1</v>
      </c>
      <c r="L269" s="465"/>
      <c r="M269" s="125"/>
      <c r="N269" s="126"/>
      <c r="O269" s="127"/>
      <c r="P269" s="127"/>
      <c r="Q269" s="127"/>
      <c r="R269" s="127"/>
      <c r="S269" s="127"/>
      <c r="T269" s="128"/>
      <c r="W269" s="199"/>
      <c r="X269" s="285" t="s">
        <v>543</v>
      </c>
      <c r="Y269" s="285" t="s">
        <v>231</v>
      </c>
      <c r="Z269" s="286" t="s">
        <v>1891</v>
      </c>
      <c r="AA269" s="240" t="s">
        <v>1892</v>
      </c>
      <c r="AB269" s="287" t="s">
        <v>292</v>
      </c>
      <c r="AC269" s="288">
        <v>6</v>
      </c>
      <c r="AD269" s="289">
        <v>4.8899999999999997</v>
      </c>
      <c r="AE269" s="290">
        <f t="shared" si="49"/>
        <v>29.34</v>
      </c>
      <c r="AF269" s="227"/>
      <c r="AG269" s="374"/>
      <c r="AH269" s="477"/>
      <c r="AR269" s="129" t="s">
        <v>235</v>
      </c>
      <c r="AT269" s="129" t="s">
        <v>231</v>
      </c>
      <c r="AU269" s="129" t="s">
        <v>76</v>
      </c>
      <c r="AY269" s="13" t="s">
        <v>228</v>
      </c>
      <c r="BE269" s="130">
        <f t="shared" si="50"/>
        <v>0</v>
      </c>
      <c r="BF269" s="130">
        <f t="shared" si="51"/>
        <v>0</v>
      </c>
      <c r="BG269" s="130">
        <f t="shared" si="52"/>
        <v>0</v>
      </c>
      <c r="BH269" s="130">
        <f t="shared" si="53"/>
        <v>0</v>
      </c>
      <c r="BI269" s="130">
        <f t="shared" si="54"/>
        <v>0</v>
      </c>
      <c r="BJ269" s="13" t="s">
        <v>76</v>
      </c>
      <c r="BK269" s="130">
        <f t="shared" si="55"/>
        <v>29.34</v>
      </c>
      <c r="BL269" s="13" t="s">
        <v>235</v>
      </c>
      <c r="BM269" s="129" t="s">
        <v>546</v>
      </c>
    </row>
    <row r="270" spans="2:65" s="1" customFormat="1" ht="37.200000000000003" customHeight="1" x14ac:dyDescent="0.2">
      <c r="B270" s="118"/>
      <c r="C270" s="119" t="s">
        <v>389</v>
      </c>
      <c r="D270" s="119" t="s">
        <v>231</v>
      </c>
      <c r="E270" s="120" t="s">
        <v>2032</v>
      </c>
      <c r="F270" s="240" t="s">
        <v>1894</v>
      </c>
      <c r="G270" s="122" t="s">
        <v>1194</v>
      </c>
      <c r="H270" s="123">
        <v>4</v>
      </c>
      <c r="I270" s="124">
        <v>136.81</v>
      </c>
      <c r="J270" s="124">
        <f t="shared" si="45"/>
        <v>547.24</v>
      </c>
      <c r="K270" s="121" t="s">
        <v>1</v>
      </c>
      <c r="L270" s="465"/>
      <c r="M270" s="125"/>
      <c r="N270" s="126"/>
      <c r="O270" s="127"/>
      <c r="P270" s="127"/>
      <c r="Q270" s="127"/>
      <c r="R270" s="127"/>
      <c r="S270" s="127"/>
      <c r="T270" s="128"/>
      <c r="V270" s="464"/>
      <c r="W270" s="199"/>
      <c r="X270" s="119" t="s">
        <v>389</v>
      </c>
      <c r="Y270" s="119" t="s">
        <v>231</v>
      </c>
      <c r="Z270" s="120" t="s">
        <v>2032</v>
      </c>
      <c r="AA270" s="504" t="s">
        <v>6088</v>
      </c>
      <c r="AB270" s="287" t="s">
        <v>1194</v>
      </c>
      <c r="AC270" s="123">
        <v>4</v>
      </c>
      <c r="AD270" s="124">
        <v>136.81</v>
      </c>
      <c r="AE270" s="200">
        <f t="shared" ref="AE270" si="56">ROUND(AD270*AC270,2)</f>
        <v>547.24</v>
      </c>
      <c r="AF270" s="227"/>
      <c r="AG270" s="374"/>
      <c r="AH270" s="477"/>
      <c r="AR270" s="129" t="s">
        <v>235</v>
      </c>
      <c r="AT270" s="129" t="s">
        <v>231</v>
      </c>
      <c r="AU270" s="129" t="s">
        <v>76</v>
      </c>
      <c r="AY270" s="13" t="s">
        <v>228</v>
      </c>
      <c r="BE270" s="130">
        <f t="shared" si="50"/>
        <v>0</v>
      </c>
      <c r="BF270" s="130">
        <f t="shared" si="51"/>
        <v>0</v>
      </c>
      <c r="BG270" s="130">
        <f t="shared" si="52"/>
        <v>0</v>
      </c>
      <c r="BH270" s="130">
        <f t="shared" si="53"/>
        <v>0</v>
      </c>
      <c r="BI270" s="130">
        <f t="shared" si="54"/>
        <v>0</v>
      </c>
      <c r="BJ270" s="13" t="s">
        <v>76</v>
      </c>
      <c r="BK270" s="130">
        <f t="shared" si="55"/>
        <v>547.24</v>
      </c>
      <c r="BL270" s="13" t="s">
        <v>235</v>
      </c>
      <c r="BM270" s="129" t="s">
        <v>549</v>
      </c>
    </row>
    <row r="271" spans="2:65" s="1" customFormat="1" ht="19.2" x14ac:dyDescent="0.2">
      <c r="B271" s="24"/>
      <c r="D271" s="144" t="s">
        <v>1259</v>
      </c>
      <c r="F271" s="428" t="s">
        <v>2033</v>
      </c>
      <c r="L271" s="24"/>
      <c r="M271" s="146"/>
      <c r="N271" s="42"/>
      <c r="O271" s="42"/>
      <c r="P271" s="42"/>
      <c r="Q271" s="42"/>
      <c r="R271" s="42"/>
      <c r="S271" s="42"/>
      <c r="T271" s="43"/>
      <c r="W271" s="158"/>
      <c r="X271" s="475"/>
      <c r="Y271" s="203" t="s">
        <v>1259</v>
      </c>
      <c r="Z271" s="475"/>
      <c r="AA271" s="505" t="s">
        <v>6087</v>
      </c>
      <c r="AB271" s="427"/>
      <c r="AC271" s="475"/>
      <c r="AD271" s="475"/>
      <c r="AE271" s="159"/>
      <c r="AF271" s="227"/>
      <c r="AG271" s="374"/>
      <c r="AH271" s="477"/>
      <c r="AT271" s="13" t="s">
        <v>1259</v>
      </c>
      <c r="AU271" s="13" t="s">
        <v>76</v>
      </c>
    </row>
    <row r="272" spans="2:65" s="11" customFormat="1" ht="22.95" customHeight="1" x14ac:dyDescent="0.25">
      <c r="B272" s="106"/>
      <c r="D272" s="107" t="s">
        <v>57</v>
      </c>
      <c r="E272" s="116" t="s">
        <v>1247</v>
      </c>
      <c r="F272" s="490" t="s">
        <v>1913</v>
      </c>
      <c r="J272" s="117">
        <f>BK272</f>
        <v>207.93</v>
      </c>
      <c r="L272" s="106"/>
      <c r="M272" s="110"/>
      <c r="N272" s="111"/>
      <c r="O272" s="111"/>
      <c r="P272" s="112"/>
      <c r="Q272" s="111"/>
      <c r="R272" s="112"/>
      <c r="S272" s="111"/>
      <c r="T272" s="113"/>
      <c r="W272" s="195"/>
      <c r="X272" s="111"/>
      <c r="Y272" s="196" t="s">
        <v>57</v>
      </c>
      <c r="Z272" s="201" t="s">
        <v>1247</v>
      </c>
      <c r="AA272" s="201" t="s">
        <v>1913</v>
      </c>
      <c r="AB272" s="111"/>
      <c r="AC272" s="111"/>
      <c r="AD272" s="111"/>
      <c r="AE272" s="202">
        <f>SUM(AE273:AE274)</f>
        <v>207.93</v>
      </c>
      <c r="AF272" s="227"/>
      <c r="AG272" s="374"/>
      <c r="AH272" s="477"/>
      <c r="AR272" s="107" t="s">
        <v>63</v>
      </c>
      <c r="AT272" s="114" t="s">
        <v>57</v>
      </c>
      <c r="AU272" s="114" t="s">
        <v>63</v>
      </c>
      <c r="AY272" s="107" t="s">
        <v>228</v>
      </c>
      <c r="BK272" s="115">
        <f>SUM(BK273:BK274)</f>
        <v>207.93</v>
      </c>
    </row>
    <row r="273" spans="2:65" s="1" customFormat="1" ht="16.5" customHeight="1" x14ac:dyDescent="0.2">
      <c r="B273" s="118"/>
      <c r="C273" s="119" t="s">
        <v>552</v>
      </c>
      <c r="D273" s="119" t="s">
        <v>231</v>
      </c>
      <c r="E273" s="120" t="s">
        <v>1914</v>
      </c>
      <c r="F273" s="240" t="s">
        <v>1915</v>
      </c>
      <c r="G273" s="122" t="s">
        <v>1194</v>
      </c>
      <c r="H273" s="123">
        <v>1</v>
      </c>
      <c r="I273" s="124">
        <v>71.489999999999995</v>
      </c>
      <c r="J273" s="124">
        <f>ROUND(I273*H273,2)</f>
        <v>71.489999999999995</v>
      </c>
      <c r="K273" s="121" t="s">
        <v>1</v>
      </c>
      <c r="L273" s="465"/>
      <c r="M273" s="125"/>
      <c r="N273" s="126"/>
      <c r="O273" s="127"/>
      <c r="P273" s="127"/>
      <c r="Q273" s="127"/>
      <c r="R273" s="127"/>
      <c r="S273" s="127"/>
      <c r="T273" s="128"/>
      <c r="V273" s="464"/>
      <c r="W273" s="199"/>
      <c r="X273" s="119" t="s">
        <v>552</v>
      </c>
      <c r="Y273" s="119" t="s">
        <v>231</v>
      </c>
      <c r="Z273" s="120" t="s">
        <v>1914</v>
      </c>
      <c r="AA273" s="121" t="s">
        <v>1915</v>
      </c>
      <c r="AB273" s="122" t="s">
        <v>1194</v>
      </c>
      <c r="AC273" s="123">
        <v>1</v>
      </c>
      <c r="AD273" s="124">
        <v>71.489999999999995</v>
      </c>
      <c r="AE273" s="200">
        <f>ROUND(AD273*AC273,2)</f>
        <v>71.489999999999995</v>
      </c>
      <c r="AF273" s="227"/>
      <c r="AG273" s="374"/>
      <c r="AH273" s="477"/>
      <c r="AR273" s="129" t="s">
        <v>235</v>
      </c>
      <c r="AT273" s="129" t="s">
        <v>231</v>
      </c>
      <c r="AU273" s="129" t="s">
        <v>76</v>
      </c>
      <c r="AY273" s="13" t="s">
        <v>228</v>
      </c>
      <c r="BE273" s="130">
        <f>IF(N273="základná",J273,0)</f>
        <v>0</v>
      </c>
      <c r="BF273" s="130">
        <f>IF(N273="znížená",J273,0)</f>
        <v>0</v>
      </c>
      <c r="BG273" s="130">
        <f>IF(N273="zákl. prenesená",J273,0)</f>
        <v>0</v>
      </c>
      <c r="BH273" s="130">
        <f>IF(N273="zníž. prenesená",J273,0)</f>
        <v>0</v>
      </c>
      <c r="BI273" s="130">
        <f>IF(N273="nulová",J273,0)</f>
        <v>0</v>
      </c>
      <c r="BJ273" s="13" t="s">
        <v>76</v>
      </c>
      <c r="BK273" s="130">
        <f>ROUND(I273*H273,2)</f>
        <v>71.489999999999995</v>
      </c>
      <c r="BL273" s="13" t="s">
        <v>235</v>
      </c>
      <c r="BM273" s="129" t="s">
        <v>555</v>
      </c>
    </row>
    <row r="274" spans="2:65" s="1" customFormat="1" ht="16.5" customHeight="1" x14ac:dyDescent="0.2">
      <c r="B274" s="118"/>
      <c r="C274" s="119" t="s">
        <v>393</v>
      </c>
      <c r="D274" s="119" t="s">
        <v>231</v>
      </c>
      <c r="E274" s="120" t="s">
        <v>2034</v>
      </c>
      <c r="F274" s="240" t="s">
        <v>2035</v>
      </c>
      <c r="G274" s="122" t="s">
        <v>1194</v>
      </c>
      <c r="H274" s="123">
        <v>2</v>
      </c>
      <c r="I274" s="124">
        <v>68.22</v>
      </c>
      <c r="J274" s="124">
        <f>ROUND(I274*H274,2)</f>
        <v>136.44</v>
      </c>
      <c r="K274" s="121" t="s">
        <v>1</v>
      </c>
      <c r="L274" s="465"/>
      <c r="M274" s="125"/>
      <c r="N274" s="126"/>
      <c r="O274" s="127"/>
      <c r="P274" s="127"/>
      <c r="Q274" s="127"/>
      <c r="R274" s="127"/>
      <c r="S274" s="127"/>
      <c r="T274" s="128"/>
      <c r="V274" s="464"/>
      <c r="W274" s="199"/>
      <c r="X274" s="119" t="s">
        <v>393</v>
      </c>
      <c r="Y274" s="119" t="s">
        <v>231</v>
      </c>
      <c r="Z274" s="120" t="s">
        <v>2034</v>
      </c>
      <c r="AA274" s="121" t="s">
        <v>2035</v>
      </c>
      <c r="AB274" s="122" t="s">
        <v>1194</v>
      </c>
      <c r="AC274" s="123">
        <v>2</v>
      </c>
      <c r="AD274" s="124">
        <v>68.22</v>
      </c>
      <c r="AE274" s="200">
        <f>ROUND(AD274*AC274,2)</f>
        <v>136.44</v>
      </c>
      <c r="AF274" s="227"/>
      <c r="AG274" s="374"/>
      <c r="AH274" s="477"/>
      <c r="AR274" s="129" t="s">
        <v>235</v>
      </c>
      <c r="AT274" s="129" t="s">
        <v>231</v>
      </c>
      <c r="AU274" s="129" t="s">
        <v>76</v>
      </c>
      <c r="AY274" s="13" t="s">
        <v>228</v>
      </c>
      <c r="BE274" s="130">
        <f>IF(N274="základná",J274,0)</f>
        <v>0</v>
      </c>
      <c r="BF274" s="130">
        <f>IF(N274="znížená",J274,0)</f>
        <v>0</v>
      </c>
      <c r="BG274" s="130">
        <f>IF(N274="zákl. prenesená",J274,0)</f>
        <v>0</v>
      </c>
      <c r="BH274" s="130">
        <f>IF(N274="zníž. prenesená",J274,0)</f>
        <v>0</v>
      </c>
      <c r="BI274" s="130">
        <f>IF(N274="nulová",J274,0)</f>
        <v>0</v>
      </c>
      <c r="BJ274" s="13" t="s">
        <v>76</v>
      </c>
      <c r="BK274" s="130">
        <f>ROUND(I274*H274,2)</f>
        <v>136.44</v>
      </c>
      <c r="BL274" s="13" t="s">
        <v>235</v>
      </c>
      <c r="BM274" s="129" t="s">
        <v>562</v>
      </c>
    </row>
    <row r="275" spans="2:65" s="11" customFormat="1" ht="25.95" customHeight="1" x14ac:dyDescent="0.25">
      <c r="B275" s="106"/>
      <c r="D275" s="107" t="s">
        <v>57</v>
      </c>
      <c r="E275" s="108" t="s">
        <v>2036</v>
      </c>
      <c r="F275" s="501" t="s">
        <v>2037</v>
      </c>
      <c r="J275" s="109">
        <f>BK275</f>
        <v>12959.84</v>
      </c>
      <c r="L275" s="106"/>
      <c r="M275" s="110"/>
      <c r="N275" s="111"/>
      <c r="O275" s="111"/>
      <c r="P275" s="112"/>
      <c r="Q275" s="111"/>
      <c r="R275" s="112"/>
      <c r="S275" s="111"/>
      <c r="T275" s="113"/>
      <c r="W275" s="195"/>
      <c r="X275" s="111"/>
      <c r="Y275" s="196" t="s">
        <v>57</v>
      </c>
      <c r="Z275" s="197" t="s">
        <v>2036</v>
      </c>
      <c r="AA275" s="429" t="s">
        <v>6089</v>
      </c>
      <c r="AB275" s="347"/>
      <c r="AC275" s="111"/>
      <c r="AD275" s="111"/>
      <c r="AE275" s="198">
        <f>AE276+AE278+AE279+AE287+AE291+AE295+AE319</f>
        <v>12840.71</v>
      </c>
      <c r="AF275" s="227"/>
      <c r="AG275" s="374"/>
      <c r="AH275" s="477"/>
      <c r="AR275" s="107" t="s">
        <v>63</v>
      </c>
      <c r="AT275" s="114" t="s">
        <v>57</v>
      </c>
      <c r="AU275" s="114" t="s">
        <v>58</v>
      </c>
      <c r="AY275" s="107" t="s">
        <v>228</v>
      </c>
      <c r="BK275" s="115">
        <f>BK276+SUM(BK277:BK279)+BK287+BK291+BK295+BK319</f>
        <v>12959.84</v>
      </c>
    </row>
    <row r="276" spans="2:65" s="1" customFormat="1" ht="26.55" customHeight="1" x14ac:dyDescent="0.2">
      <c r="B276" s="118"/>
      <c r="C276" s="119" t="s">
        <v>563</v>
      </c>
      <c r="D276" s="119" t="s">
        <v>231</v>
      </c>
      <c r="E276" s="120" t="s">
        <v>2038</v>
      </c>
      <c r="F276" s="240" t="s">
        <v>2039</v>
      </c>
      <c r="G276" s="122" t="s">
        <v>1194</v>
      </c>
      <c r="H276" s="123">
        <v>1</v>
      </c>
      <c r="I276" s="124">
        <v>4279.16</v>
      </c>
      <c r="J276" s="124">
        <f>ROUND(I276*H276,2)</f>
        <v>4279.16</v>
      </c>
      <c r="K276" s="121" t="s">
        <v>1</v>
      </c>
      <c r="L276" s="465"/>
      <c r="M276" s="125"/>
      <c r="N276" s="126"/>
      <c r="O276" s="127"/>
      <c r="P276" s="127"/>
      <c r="Q276" s="127"/>
      <c r="R276" s="127"/>
      <c r="S276" s="127"/>
      <c r="T276" s="128"/>
      <c r="V276" s="464"/>
      <c r="W276" s="199"/>
      <c r="X276" s="119" t="s">
        <v>563</v>
      </c>
      <c r="Y276" s="119" t="s">
        <v>231</v>
      </c>
      <c r="Z276" s="120" t="s">
        <v>2038</v>
      </c>
      <c r="AA276" s="240" t="s">
        <v>2039</v>
      </c>
      <c r="AB276" s="122" t="s">
        <v>1194</v>
      </c>
      <c r="AC276" s="123">
        <v>1</v>
      </c>
      <c r="AD276" s="124">
        <v>4279.16</v>
      </c>
      <c r="AE276" s="200">
        <f>ROUND(AD276*AC276,2)</f>
        <v>4279.16</v>
      </c>
      <c r="AF276" s="227"/>
      <c r="AG276" s="374"/>
      <c r="AH276" s="477"/>
      <c r="AR276" s="129" t="s">
        <v>235</v>
      </c>
      <c r="AT276" s="129" t="s">
        <v>231</v>
      </c>
      <c r="AU276" s="129" t="s">
        <v>63</v>
      </c>
      <c r="AY276" s="13" t="s">
        <v>228</v>
      </c>
      <c r="BE276" s="130">
        <f>IF(N276="základná",J276,0)</f>
        <v>0</v>
      </c>
      <c r="BF276" s="130">
        <f>IF(N276="znížená",J276,0)</f>
        <v>0</v>
      </c>
      <c r="BG276" s="130">
        <f>IF(N276="zákl. prenesená",J276,0)</f>
        <v>0</v>
      </c>
      <c r="BH276" s="130">
        <f>IF(N276="zníž. prenesená",J276,0)</f>
        <v>0</v>
      </c>
      <c r="BI276" s="130">
        <f>IF(N276="nulová",J276,0)</f>
        <v>0</v>
      </c>
      <c r="BJ276" s="13" t="s">
        <v>76</v>
      </c>
      <c r="BK276" s="130">
        <f>ROUND(I276*H276,2)</f>
        <v>4279.16</v>
      </c>
      <c r="BL276" s="13" t="s">
        <v>235</v>
      </c>
      <c r="BM276" s="129" t="s">
        <v>567</v>
      </c>
    </row>
    <row r="277" spans="2:65" s="1" customFormat="1" ht="132.6" x14ac:dyDescent="0.2">
      <c r="B277" s="24"/>
      <c r="D277" s="144" t="s">
        <v>1259</v>
      </c>
      <c r="F277" s="503" t="s">
        <v>2040</v>
      </c>
      <c r="L277" s="24"/>
      <c r="M277" s="146"/>
      <c r="N277" s="42"/>
      <c r="O277" s="42"/>
      <c r="P277" s="42"/>
      <c r="Q277" s="42"/>
      <c r="R277" s="42"/>
      <c r="S277" s="42"/>
      <c r="T277" s="43"/>
      <c r="W277" s="158"/>
      <c r="X277" s="475"/>
      <c r="Y277" s="203" t="s">
        <v>1259</v>
      </c>
      <c r="Z277" s="475"/>
      <c r="AA277" s="514" t="s">
        <v>2040</v>
      </c>
      <c r="AB277" s="475"/>
      <c r="AC277" s="475"/>
      <c r="AD277" s="475"/>
      <c r="AE277" s="159"/>
      <c r="AF277" s="227"/>
      <c r="AG277" s="374"/>
      <c r="AH277" s="477"/>
      <c r="AT277" s="13" t="s">
        <v>1259</v>
      </c>
      <c r="AU277" s="13" t="s">
        <v>63</v>
      </c>
    </row>
    <row r="278" spans="2:65" s="1" customFormat="1" ht="48.45" customHeight="1" x14ac:dyDescent="0.2">
      <c r="B278" s="118"/>
      <c r="C278" s="119" t="s">
        <v>396</v>
      </c>
      <c r="D278" s="119" t="s">
        <v>231</v>
      </c>
      <c r="E278" s="120" t="s">
        <v>2041</v>
      </c>
      <c r="F278" s="240" t="s">
        <v>2042</v>
      </c>
      <c r="G278" s="122" t="s">
        <v>1194</v>
      </c>
      <c r="H278" s="123">
        <v>1</v>
      </c>
      <c r="I278" s="124">
        <v>2686.31</v>
      </c>
      <c r="J278" s="124">
        <f>ROUND(I278*H278,2)</f>
        <v>2686.31</v>
      </c>
      <c r="K278" s="121" t="s">
        <v>1</v>
      </c>
      <c r="L278" s="465"/>
      <c r="M278" s="125"/>
      <c r="N278" s="126"/>
      <c r="O278" s="127"/>
      <c r="P278" s="127"/>
      <c r="Q278" s="127"/>
      <c r="R278" s="127"/>
      <c r="S278" s="127"/>
      <c r="T278" s="128"/>
      <c r="U278" s="461"/>
      <c r="V278" s="464"/>
      <c r="W278" s="199"/>
      <c r="X278" s="119" t="s">
        <v>396</v>
      </c>
      <c r="Y278" s="119" t="s">
        <v>231</v>
      </c>
      <c r="Z278" s="120" t="s">
        <v>2041</v>
      </c>
      <c r="AA278" s="240" t="s">
        <v>2042</v>
      </c>
      <c r="AB278" s="122" t="s">
        <v>1194</v>
      </c>
      <c r="AC278" s="123">
        <v>1</v>
      </c>
      <c r="AD278" s="124">
        <v>2686.31</v>
      </c>
      <c r="AE278" s="200">
        <f>ROUND(AD278*AC278,2)</f>
        <v>2686.31</v>
      </c>
      <c r="AF278" s="227"/>
      <c r="AG278" s="374"/>
      <c r="AH278" s="477"/>
      <c r="AR278" s="129" t="s">
        <v>235</v>
      </c>
      <c r="AT278" s="129" t="s">
        <v>231</v>
      </c>
      <c r="AU278" s="129" t="s">
        <v>63</v>
      </c>
      <c r="AY278" s="13" t="s">
        <v>228</v>
      </c>
      <c r="BE278" s="130">
        <f>IF(N278="základná",J278,0)</f>
        <v>0</v>
      </c>
      <c r="BF278" s="130">
        <f>IF(N278="znížená",J278,0)</f>
        <v>0</v>
      </c>
      <c r="BG278" s="130">
        <f>IF(N278="zákl. prenesená",J278,0)</f>
        <v>0</v>
      </c>
      <c r="BH278" s="130">
        <f>IF(N278="zníž. prenesená",J278,0)</f>
        <v>0</v>
      </c>
      <c r="BI278" s="130">
        <f>IF(N278="nulová",J278,0)</f>
        <v>0</v>
      </c>
      <c r="BJ278" s="13" t="s">
        <v>76</v>
      </c>
      <c r="BK278" s="130">
        <f>ROUND(I278*H278,2)</f>
        <v>2686.31</v>
      </c>
      <c r="BL278" s="13" t="s">
        <v>235</v>
      </c>
      <c r="BM278" s="129" t="s">
        <v>571</v>
      </c>
    </row>
    <row r="279" spans="2:65" s="11" customFormat="1" ht="22.95" customHeight="1" x14ac:dyDescent="0.25">
      <c r="B279" s="106"/>
      <c r="D279" s="107" t="s">
        <v>57</v>
      </c>
      <c r="E279" s="116" t="s">
        <v>2043</v>
      </c>
      <c r="F279" s="490" t="s">
        <v>2044</v>
      </c>
      <c r="J279" s="117">
        <f>BK279</f>
        <v>3164.7500000000005</v>
      </c>
      <c r="L279" s="106"/>
      <c r="M279" s="110"/>
      <c r="N279" s="111"/>
      <c r="O279" s="111"/>
      <c r="P279" s="112"/>
      <c r="Q279" s="111"/>
      <c r="R279" s="112"/>
      <c r="S279" s="111"/>
      <c r="T279" s="113"/>
      <c r="W279" s="195"/>
      <c r="X279" s="111"/>
      <c r="Y279" s="196" t="s">
        <v>57</v>
      </c>
      <c r="Z279" s="201" t="s">
        <v>2043</v>
      </c>
      <c r="AA279" s="201" t="s">
        <v>2044</v>
      </c>
      <c r="AB279" s="111"/>
      <c r="AC279" s="111"/>
      <c r="AD279" s="111"/>
      <c r="AE279" s="202">
        <f>SUM(AE280:AE285)</f>
        <v>3045.6200000000003</v>
      </c>
      <c r="AF279" s="227"/>
      <c r="AG279" s="374"/>
      <c r="AH279" s="477"/>
      <c r="AR279" s="107" t="s">
        <v>63</v>
      </c>
      <c r="AT279" s="114" t="s">
        <v>57</v>
      </c>
      <c r="AU279" s="114" t="s">
        <v>63</v>
      </c>
      <c r="AY279" s="107" t="s">
        <v>228</v>
      </c>
      <c r="BK279" s="115">
        <f>SUM(BK280:BK286)</f>
        <v>3164.7500000000005</v>
      </c>
    </row>
    <row r="280" spans="2:65" s="1" customFormat="1" ht="16.5" customHeight="1" x14ac:dyDescent="0.2">
      <c r="B280" s="118"/>
      <c r="C280" s="205" t="s">
        <v>574</v>
      </c>
      <c r="D280" s="119" t="s">
        <v>231</v>
      </c>
      <c r="E280" s="120" t="s">
        <v>2045</v>
      </c>
      <c r="F280" s="240" t="s">
        <v>2046</v>
      </c>
      <c r="G280" s="122" t="s">
        <v>1194</v>
      </c>
      <c r="H280" s="206">
        <v>1</v>
      </c>
      <c r="I280" s="124">
        <v>2299.13</v>
      </c>
      <c r="J280" s="124">
        <f>ROUND(I280*H280,2)</f>
        <v>2299.13</v>
      </c>
      <c r="K280" s="121" t="s">
        <v>1</v>
      </c>
      <c r="L280" s="469"/>
      <c r="M280" s="125"/>
      <c r="N280" s="126"/>
      <c r="O280" s="127"/>
      <c r="P280" s="127"/>
      <c r="Q280" s="127"/>
      <c r="R280" s="127"/>
      <c r="S280" s="127"/>
      <c r="T280" s="128"/>
      <c r="W280" s="199"/>
      <c r="X280" s="205" t="s">
        <v>574</v>
      </c>
      <c r="Y280" s="119" t="s">
        <v>231</v>
      </c>
      <c r="Z280" s="120" t="s">
        <v>2045</v>
      </c>
      <c r="AA280" s="121" t="s">
        <v>2046</v>
      </c>
      <c r="AB280" s="122" t="s">
        <v>1194</v>
      </c>
      <c r="AC280" s="206">
        <v>0</v>
      </c>
      <c r="AD280" s="124">
        <v>2299.13</v>
      </c>
      <c r="AE280" s="200">
        <f>ROUND(AD280*AC280,2)</f>
        <v>0</v>
      </c>
      <c r="AF280" s="227">
        <v>6</v>
      </c>
      <c r="AG280" s="374"/>
      <c r="AH280" s="477"/>
      <c r="AR280" s="129" t="s">
        <v>235</v>
      </c>
      <c r="AT280" s="129" t="s">
        <v>231</v>
      </c>
      <c r="AU280" s="129" t="s">
        <v>76</v>
      </c>
      <c r="AY280" s="13" t="s">
        <v>228</v>
      </c>
      <c r="BE280" s="130">
        <f>IF(N280="základná",J280,0)</f>
        <v>0</v>
      </c>
      <c r="BF280" s="130">
        <f>IF(N280="znížená",J280,0)</f>
        <v>0</v>
      </c>
      <c r="BG280" s="130">
        <f>IF(N280="zákl. prenesená",J280,0)</f>
        <v>0</v>
      </c>
      <c r="BH280" s="130">
        <f>IF(N280="zníž. prenesená",J280,0)</f>
        <v>0</v>
      </c>
      <c r="BI280" s="130">
        <f>IF(N280="nulová",J280,0)</f>
        <v>0</v>
      </c>
      <c r="BJ280" s="13" t="s">
        <v>76</v>
      </c>
      <c r="BK280" s="130">
        <f>ROUND(I280*H280,2)</f>
        <v>2299.13</v>
      </c>
      <c r="BL280" s="13" t="s">
        <v>235</v>
      </c>
      <c r="BM280" s="129" t="s">
        <v>577</v>
      </c>
    </row>
    <row r="281" spans="2:65" s="1" customFormat="1" ht="28.8" x14ac:dyDescent="0.2">
      <c r="B281" s="24"/>
      <c r="D281" s="144" t="s">
        <v>1259</v>
      </c>
      <c r="F281" s="428" t="s">
        <v>2047</v>
      </c>
      <c r="L281" s="24"/>
      <c r="M281" s="146"/>
      <c r="N281" s="42"/>
      <c r="O281" s="42"/>
      <c r="P281" s="42"/>
      <c r="Q281" s="42"/>
      <c r="R281" s="42"/>
      <c r="S281" s="42"/>
      <c r="T281" s="43"/>
      <c r="W281" s="158"/>
      <c r="X281" s="475"/>
      <c r="Y281" s="203" t="s">
        <v>1259</v>
      </c>
      <c r="Z281" s="475"/>
      <c r="AA281" s="204" t="s">
        <v>2047</v>
      </c>
      <c r="AB281" s="475"/>
      <c r="AC281" s="475"/>
      <c r="AD281" s="475"/>
      <c r="AE281" s="159"/>
      <c r="AF281" s="227"/>
      <c r="AG281" s="374"/>
      <c r="AH281" s="477"/>
      <c r="AT281" s="13" t="s">
        <v>1259</v>
      </c>
      <c r="AU281" s="13" t="s">
        <v>76</v>
      </c>
    </row>
    <row r="282" spans="2:65" s="421" customFormat="1" ht="52.2" customHeight="1" x14ac:dyDescent="0.2">
      <c r="B282" s="24"/>
      <c r="C282" s="1234" t="s">
        <v>5205</v>
      </c>
      <c r="D282" s="1235"/>
      <c r="E282" s="1235"/>
      <c r="F282" s="1235"/>
      <c r="G282" s="1235"/>
      <c r="H282" s="1235"/>
      <c r="I282" s="1235"/>
      <c r="J282" s="1236"/>
      <c r="L282" s="24"/>
      <c r="M282" s="146"/>
      <c r="N282" s="419"/>
      <c r="O282" s="419"/>
      <c r="P282" s="419"/>
      <c r="Q282" s="419"/>
      <c r="R282" s="419"/>
      <c r="S282" s="419"/>
      <c r="T282" s="43"/>
      <c r="V282" s="470"/>
      <c r="W282" s="158"/>
      <c r="X282" s="341" t="s">
        <v>5943</v>
      </c>
      <c r="Y282" s="341" t="s">
        <v>231</v>
      </c>
      <c r="Z282" s="342" t="s">
        <v>6090</v>
      </c>
      <c r="AA282" s="343" t="s">
        <v>6091</v>
      </c>
      <c r="AB282" s="344" t="s">
        <v>1194</v>
      </c>
      <c r="AC282" s="345">
        <v>1</v>
      </c>
      <c r="AD282" s="346">
        <v>2180</v>
      </c>
      <c r="AE282" s="355">
        <f>ROUND(AD282*AC282,2)</f>
        <v>2180</v>
      </c>
      <c r="AF282" s="227">
        <v>6</v>
      </c>
      <c r="AG282" s="374"/>
      <c r="AH282" s="477"/>
      <c r="AT282" s="13"/>
      <c r="AU282" s="13"/>
    </row>
    <row r="283" spans="2:65" s="421" customFormat="1" ht="27.45" customHeight="1" x14ac:dyDescent="0.2">
      <c r="B283" s="24"/>
      <c r="C283" s="1234" t="s">
        <v>5205</v>
      </c>
      <c r="D283" s="1235"/>
      <c r="E283" s="1235"/>
      <c r="F283" s="1235"/>
      <c r="G283" s="1235"/>
      <c r="H283" s="1235"/>
      <c r="I283" s="1235"/>
      <c r="J283" s="1236"/>
      <c r="L283" s="24"/>
      <c r="M283" s="146"/>
      <c r="N283" s="419"/>
      <c r="O283" s="419"/>
      <c r="P283" s="419"/>
      <c r="Q283" s="419"/>
      <c r="R283" s="419"/>
      <c r="S283" s="419"/>
      <c r="T283" s="43"/>
      <c r="V283" s="470"/>
      <c r="W283" s="158"/>
      <c r="X283" s="341" t="s">
        <v>5944</v>
      </c>
      <c r="Y283" s="341" t="s">
        <v>231</v>
      </c>
      <c r="Z283" s="342" t="s">
        <v>6092</v>
      </c>
      <c r="AA283" s="343" t="s">
        <v>6093</v>
      </c>
      <c r="AB283" s="344" t="s">
        <v>1194</v>
      </c>
      <c r="AC283" s="345">
        <v>2</v>
      </c>
      <c r="AD283" s="346">
        <v>0</v>
      </c>
      <c r="AE283" s="355">
        <f>ROUND(AD283*AC283,2)</f>
        <v>0</v>
      </c>
      <c r="AF283" s="227">
        <v>6</v>
      </c>
      <c r="AG283" s="374"/>
      <c r="AH283" s="477"/>
      <c r="AT283" s="13"/>
      <c r="AU283" s="13"/>
    </row>
    <row r="284" spans="2:65" s="1" customFormat="1" ht="16.5" customHeight="1" x14ac:dyDescent="0.2">
      <c r="B284" s="118"/>
      <c r="C284" s="285" t="s">
        <v>400</v>
      </c>
      <c r="D284" s="285" t="s">
        <v>231</v>
      </c>
      <c r="E284" s="286" t="s">
        <v>2048</v>
      </c>
      <c r="F284" s="240" t="s">
        <v>2049</v>
      </c>
      <c r="G284" s="287" t="s">
        <v>1194</v>
      </c>
      <c r="H284" s="288">
        <v>1</v>
      </c>
      <c r="I284" s="289">
        <v>406.82</v>
      </c>
      <c r="J284" s="289">
        <f>ROUND(I284*H284,2)</f>
        <v>406.82</v>
      </c>
      <c r="K284" s="121" t="s">
        <v>1</v>
      </c>
      <c r="L284" s="465"/>
      <c r="M284" s="125"/>
      <c r="N284" s="126"/>
      <c r="O284" s="127"/>
      <c r="P284" s="127"/>
      <c r="Q284" s="127"/>
      <c r="R284" s="127"/>
      <c r="S284" s="127"/>
      <c r="T284" s="128"/>
      <c r="U284" s="461"/>
      <c r="V284" s="464"/>
      <c r="W284" s="199"/>
      <c r="X284" s="285" t="s">
        <v>400</v>
      </c>
      <c r="Y284" s="285" t="s">
        <v>231</v>
      </c>
      <c r="Z284" s="286" t="s">
        <v>2048</v>
      </c>
      <c r="AA284" s="240" t="s">
        <v>2049</v>
      </c>
      <c r="AB284" s="287" t="s">
        <v>1194</v>
      </c>
      <c r="AC284" s="288">
        <v>1</v>
      </c>
      <c r="AD284" s="289">
        <v>406.82</v>
      </c>
      <c r="AE284" s="290">
        <f>ROUND(AD284*AC284,2)</f>
        <v>406.82</v>
      </c>
      <c r="AF284" s="227"/>
      <c r="AG284" s="374"/>
      <c r="AH284" s="477"/>
      <c r="AR284" s="129" t="s">
        <v>235</v>
      </c>
      <c r="AT284" s="129" t="s">
        <v>231</v>
      </c>
      <c r="AU284" s="129" t="s">
        <v>76</v>
      </c>
      <c r="AY284" s="13" t="s">
        <v>228</v>
      </c>
      <c r="BE284" s="130">
        <f>IF(N284="základná",J284,0)</f>
        <v>0</v>
      </c>
      <c r="BF284" s="130">
        <f>IF(N284="znížená",J284,0)</f>
        <v>0</v>
      </c>
      <c r="BG284" s="130">
        <f>IF(N284="zákl. prenesená",J284,0)</f>
        <v>0</v>
      </c>
      <c r="BH284" s="130">
        <f>IF(N284="zníž. prenesená",J284,0)</f>
        <v>0</v>
      </c>
      <c r="BI284" s="130">
        <f>IF(N284="nulová",J284,0)</f>
        <v>0</v>
      </c>
      <c r="BJ284" s="13" t="s">
        <v>76</v>
      </c>
      <c r="BK284" s="130">
        <f>ROUND(I284*H284,2)</f>
        <v>406.82</v>
      </c>
      <c r="BL284" s="13" t="s">
        <v>235</v>
      </c>
      <c r="BM284" s="129" t="s">
        <v>580</v>
      </c>
    </row>
    <row r="285" spans="2:65" s="1" customFormat="1" ht="24" customHeight="1" x14ac:dyDescent="0.2">
      <c r="B285" s="118"/>
      <c r="C285" s="285" t="s">
        <v>405</v>
      </c>
      <c r="D285" s="285" t="s">
        <v>231</v>
      </c>
      <c r="E285" s="286" t="s">
        <v>2050</v>
      </c>
      <c r="F285" s="240" t="s">
        <v>2051</v>
      </c>
      <c r="G285" s="287" t="s">
        <v>292</v>
      </c>
      <c r="H285" s="288">
        <v>20</v>
      </c>
      <c r="I285" s="289">
        <v>22.94</v>
      </c>
      <c r="J285" s="289">
        <f>ROUND(I285*H285,2)</f>
        <v>458.8</v>
      </c>
      <c r="K285" s="121" t="s">
        <v>1</v>
      </c>
      <c r="L285" s="465"/>
      <c r="M285" s="125"/>
      <c r="N285" s="126"/>
      <c r="O285" s="127"/>
      <c r="P285" s="127"/>
      <c r="Q285" s="127"/>
      <c r="R285" s="127"/>
      <c r="S285" s="127"/>
      <c r="T285" s="128"/>
      <c r="U285" s="461"/>
      <c r="V285" s="464"/>
      <c r="W285" s="199"/>
      <c r="X285" s="285" t="s">
        <v>405</v>
      </c>
      <c r="Y285" s="285" t="s">
        <v>231</v>
      </c>
      <c r="Z285" s="286" t="s">
        <v>2050</v>
      </c>
      <c r="AA285" s="240" t="s">
        <v>2051</v>
      </c>
      <c r="AB285" s="287" t="s">
        <v>292</v>
      </c>
      <c r="AC285" s="288">
        <v>20</v>
      </c>
      <c r="AD285" s="289">
        <v>22.94</v>
      </c>
      <c r="AE285" s="290">
        <f>ROUND(AD285*AC285,2)</f>
        <v>458.8</v>
      </c>
      <c r="AF285" s="227"/>
      <c r="AG285" s="374"/>
      <c r="AH285" s="477"/>
      <c r="AR285" s="129" t="s">
        <v>235</v>
      </c>
      <c r="AT285" s="129" t="s">
        <v>231</v>
      </c>
      <c r="AU285" s="129" t="s">
        <v>76</v>
      </c>
      <c r="AY285" s="13" t="s">
        <v>228</v>
      </c>
      <c r="BE285" s="130">
        <f>IF(N285="základná",J285,0)</f>
        <v>0</v>
      </c>
      <c r="BF285" s="130">
        <f>IF(N285="znížená",J285,0)</f>
        <v>0</v>
      </c>
      <c r="BG285" s="130">
        <f>IF(N285="zákl. prenesená",J285,0)</f>
        <v>0</v>
      </c>
      <c r="BH285" s="130">
        <f>IF(N285="zníž. prenesená",J285,0)</f>
        <v>0</v>
      </c>
      <c r="BI285" s="130">
        <f>IF(N285="nulová",J285,0)</f>
        <v>0</v>
      </c>
      <c r="BJ285" s="13" t="s">
        <v>76</v>
      </c>
      <c r="BK285" s="130">
        <f>ROUND(I285*H285,2)</f>
        <v>458.8</v>
      </c>
      <c r="BL285" s="13" t="s">
        <v>235</v>
      </c>
      <c r="BM285" s="129" t="s">
        <v>585</v>
      </c>
    </row>
    <row r="286" spans="2:65" s="1" customFormat="1" ht="19.2" x14ac:dyDescent="0.2">
      <c r="B286" s="24"/>
      <c r="C286" s="407"/>
      <c r="D286" s="492" t="s">
        <v>1259</v>
      </c>
      <c r="E286" s="407"/>
      <c r="F286" s="428" t="s">
        <v>2052</v>
      </c>
      <c r="G286" s="407"/>
      <c r="H286" s="407"/>
      <c r="I286" s="407"/>
      <c r="J286" s="407"/>
      <c r="L286" s="24"/>
      <c r="M286" s="146"/>
      <c r="N286" s="42"/>
      <c r="O286" s="42"/>
      <c r="P286" s="42"/>
      <c r="Q286" s="42"/>
      <c r="R286" s="42"/>
      <c r="S286" s="42"/>
      <c r="T286" s="43"/>
      <c r="W286" s="158"/>
      <c r="X286" s="427"/>
      <c r="Y286" s="511" t="s">
        <v>1259</v>
      </c>
      <c r="Z286" s="427"/>
      <c r="AA286" s="505" t="s">
        <v>2052</v>
      </c>
      <c r="AB286" s="427"/>
      <c r="AC286" s="427"/>
      <c r="AD286" s="427"/>
      <c r="AE286" s="512"/>
      <c r="AF286" s="227"/>
      <c r="AG286" s="374"/>
      <c r="AH286" s="477"/>
      <c r="AT286" s="13" t="s">
        <v>1259</v>
      </c>
      <c r="AU286" s="13" t="s">
        <v>76</v>
      </c>
    </row>
    <row r="287" spans="2:65" s="11" customFormat="1" ht="22.95" customHeight="1" x14ac:dyDescent="0.25">
      <c r="B287" s="106"/>
      <c r="C287" s="292"/>
      <c r="D287" s="489" t="s">
        <v>57</v>
      </c>
      <c r="E287" s="490" t="s">
        <v>1211</v>
      </c>
      <c r="F287" s="490" t="s">
        <v>1860</v>
      </c>
      <c r="G287" s="292"/>
      <c r="H287" s="292"/>
      <c r="I287" s="292"/>
      <c r="J287" s="491">
        <f>BK287</f>
        <v>90.859999999999985</v>
      </c>
      <c r="L287" s="106"/>
      <c r="M287" s="110"/>
      <c r="N287" s="111"/>
      <c r="O287" s="111"/>
      <c r="P287" s="112"/>
      <c r="Q287" s="111"/>
      <c r="R287" s="112"/>
      <c r="S287" s="111"/>
      <c r="T287" s="113"/>
      <c r="W287" s="195"/>
      <c r="X287" s="347"/>
      <c r="Y287" s="506" t="s">
        <v>57</v>
      </c>
      <c r="Z287" s="507" t="s">
        <v>1211</v>
      </c>
      <c r="AA287" s="507" t="s">
        <v>1860</v>
      </c>
      <c r="AB287" s="347"/>
      <c r="AC287" s="347"/>
      <c r="AD287" s="347"/>
      <c r="AE287" s="510">
        <f>SUM(AE288:AE290)</f>
        <v>90.859999999999985</v>
      </c>
      <c r="AF287" s="227"/>
      <c r="AG287" s="374"/>
      <c r="AH287" s="477"/>
      <c r="AR287" s="107" t="s">
        <v>63</v>
      </c>
      <c r="AT287" s="114" t="s">
        <v>57</v>
      </c>
      <c r="AU287" s="114" t="s">
        <v>63</v>
      </c>
      <c r="AY287" s="107" t="s">
        <v>228</v>
      </c>
      <c r="BK287" s="115">
        <f>SUM(BK288:BK290)</f>
        <v>90.859999999999985</v>
      </c>
    </row>
    <row r="288" spans="2:65" s="1" customFormat="1" ht="16.5" customHeight="1" x14ac:dyDescent="0.2">
      <c r="B288" s="118"/>
      <c r="C288" s="285" t="s">
        <v>404</v>
      </c>
      <c r="D288" s="285" t="s">
        <v>231</v>
      </c>
      <c r="E288" s="286" t="s">
        <v>2053</v>
      </c>
      <c r="F288" s="240" t="s">
        <v>2054</v>
      </c>
      <c r="G288" s="287" t="s">
        <v>292</v>
      </c>
      <c r="H288" s="288">
        <v>1</v>
      </c>
      <c r="I288" s="289">
        <v>14.66</v>
      </c>
      <c r="J288" s="289">
        <f>ROUND(I288*H288,2)</f>
        <v>14.66</v>
      </c>
      <c r="K288" s="121" t="s">
        <v>1</v>
      </c>
      <c r="L288" s="465"/>
      <c r="M288" s="125"/>
      <c r="N288" s="126"/>
      <c r="O288" s="127"/>
      <c r="P288" s="127"/>
      <c r="Q288" s="127"/>
      <c r="R288" s="127"/>
      <c r="S288" s="127"/>
      <c r="T288" s="128"/>
      <c r="W288" s="199"/>
      <c r="X288" s="285" t="s">
        <v>404</v>
      </c>
      <c r="Y288" s="285" t="s">
        <v>231</v>
      </c>
      <c r="Z288" s="286" t="s">
        <v>2053</v>
      </c>
      <c r="AA288" s="240" t="s">
        <v>2054</v>
      </c>
      <c r="AB288" s="287" t="s">
        <v>292</v>
      </c>
      <c r="AC288" s="288">
        <v>1</v>
      </c>
      <c r="AD288" s="289">
        <v>14.66</v>
      </c>
      <c r="AE288" s="290">
        <f>ROUND(AD288*AC288,2)</f>
        <v>14.66</v>
      </c>
      <c r="AF288" s="227"/>
      <c r="AG288" s="374"/>
      <c r="AH288" s="477"/>
      <c r="AR288" s="129" t="s">
        <v>235</v>
      </c>
      <c r="AT288" s="129" t="s">
        <v>231</v>
      </c>
      <c r="AU288" s="129" t="s">
        <v>76</v>
      </c>
      <c r="AY288" s="13" t="s">
        <v>228</v>
      </c>
      <c r="BE288" s="130">
        <f>IF(N288="základná",J288,0)</f>
        <v>0</v>
      </c>
      <c r="BF288" s="130">
        <f>IF(N288="znížená",J288,0)</f>
        <v>0</v>
      </c>
      <c r="BG288" s="130">
        <f>IF(N288="zákl. prenesená",J288,0)</f>
        <v>0</v>
      </c>
      <c r="BH288" s="130">
        <f>IF(N288="zníž. prenesená",J288,0)</f>
        <v>0</v>
      </c>
      <c r="BI288" s="130">
        <f>IF(N288="nulová",J288,0)</f>
        <v>0</v>
      </c>
      <c r="BJ288" s="13" t="s">
        <v>76</v>
      </c>
      <c r="BK288" s="130">
        <f>ROUND(I288*H288,2)</f>
        <v>14.66</v>
      </c>
      <c r="BL288" s="13" t="s">
        <v>235</v>
      </c>
      <c r="BM288" s="129" t="s">
        <v>588</v>
      </c>
    </row>
    <row r="289" spans="2:65" s="1" customFormat="1" ht="16.5" customHeight="1" x14ac:dyDescent="0.2">
      <c r="B289" s="118"/>
      <c r="C289" s="285" t="s">
        <v>436</v>
      </c>
      <c r="D289" s="285" t="s">
        <v>231</v>
      </c>
      <c r="E289" s="286" t="s">
        <v>2055</v>
      </c>
      <c r="F289" s="240" t="s">
        <v>2056</v>
      </c>
      <c r="G289" s="287" t="s">
        <v>1194</v>
      </c>
      <c r="H289" s="288">
        <v>2</v>
      </c>
      <c r="I289" s="289">
        <v>16.86</v>
      </c>
      <c r="J289" s="289">
        <f>ROUND(I289*H289,2)</f>
        <v>33.72</v>
      </c>
      <c r="K289" s="121" t="s">
        <v>1</v>
      </c>
      <c r="L289" s="465"/>
      <c r="M289" s="125"/>
      <c r="N289" s="126"/>
      <c r="O289" s="127"/>
      <c r="P289" s="127"/>
      <c r="Q289" s="127"/>
      <c r="R289" s="127"/>
      <c r="S289" s="127"/>
      <c r="T289" s="128"/>
      <c r="W289" s="199"/>
      <c r="X289" s="285" t="s">
        <v>436</v>
      </c>
      <c r="Y289" s="285" t="s">
        <v>231</v>
      </c>
      <c r="Z289" s="286" t="s">
        <v>2055</v>
      </c>
      <c r="AA289" s="240" t="s">
        <v>2056</v>
      </c>
      <c r="AB289" s="287" t="s">
        <v>1194</v>
      </c>
      <c r="AC289" s="288">
        <v>2</v>
      </c>
      <c r="AD289" s="289">
        <v>16.86</v>
      </c>
      <c r="AE289" s="290">
        <f>ROUND(AD289*AC289,2)</f>
        <v>33.72</v>
      </c>
      <c r="AF289" s="227"/>
      <c r="AG289" s="374"/>
      <c r="AH289" s="477"/>
      <c r="AR289" s="129" t="s">
        <v>235</v>
      </c>
      <c r="AT289" s="129" t="s">
        <v>231</v>
      </c>
      <c r="AU289" s="129" t="s">
        <v>76</v>
      </c>
      <c r="AY289" s="13" t="s">
        <v>228</v>
      </c>
      <c r="BE289" s="130">
        <f>IF(N289="základná",J289,0)</f>
        <v>0</v>
      </c>
      <c r="BF289" s="130">
        <f>IF(N289="znížená",J289,0)</f>
        <v>0</v>
      </c>
      <c r="BG289" s="130">
        <f>IF(N289="zákl. prenesená",J289,0)</f>
        <v>0</v>
      </c>
      <c r="BH289" s="130">
        <f>IF(N289="zníž. prenesená",J289,0)</f>
        <v>0</v>
      </c>
      <c r="BI289" s="130">
        <f>IF(N289="nulová",J289,0)</f>
        <v>0</v>
      </c>
      <c r="BJ289" s="13" t="s">
        <v>76</v>
      </c>
      <c r="BK289" s="130">
        <f>ROUND(I289*H289,2)</f>
        <v>33.72</v>
      </c>
      <c r="BL289" s="13" t="s">
        <v>235</v>
      </c>
      <c r="BM289" s="129" t="s">
        <v>591</v>
      </c>
    </row>
    <row r="290" spans="2:65" s="1" customFormat="1" ht="16.5" customHeight="1" x14ac:dyDescent="0.2">
      <c r="B290" s="118"/>
      <c r="C290" s="285" t="s">
        <v>410</v>
      </c>
      <c r="D290" s="285" t="s">
        <v>231</v>
      </c>
      <c r="E290" s="286" t="s">
        <v>2057</v>
      </c>
      <c r="F290" s="240" t="s">
        <v>2058</v>
      </c>
      <c r="G290" s="287" t="s">
        <v>1194</v>
      </c>
      <c r="H290" s="288">
        <v>1</v>
      </c>
      <c r="I290" s="289">
        <v>42.48</v>
      </c>
      <c r="J290" s="289">
        <f>ROUND(I290*H290,2)</f>
        <v>42.48</v>
      </c>
      <c r="K290" s="121" t="s">
        <v>1</v>
      </c>
      <c r="L290" s="465"/>
      <c r="M290" s="125"/>
      <c r="N290" s="126"/>
      <c r="O290" s="127"/>
      <c r="P290" s="127"/>
      <c r="Q290" s="127"/>
      <c r="R290" s="127"/>
      <c r="S290" s="127"/>
      <c r="T290" s="128"/>
      <c r="W290" s="199"/>
      <c r="X290" s="285" t="s">
        <v>410</v>
      </c>
      <c r="Y290" s="285" t="s">
        <v>231</v>
      </c>
      <c r="Z290" s="286" t="s">
        <v>2057</v>
      </c>
      <c r="AA290" s="240" t="s">
        <v>2058</v>
      </c>
      <c r="AB290" s="287" t="s">
        <v>1194</v>
      </c>
      <c r="AC290" s="288">
        <v>1</v>
      </c>
      <c r="AD290" s="289">
        <v>42.48</v>
      </c>
      <c r="AE290" s="290">
        <f>ROUND(AD290*AC290,2)</f>
        <v>42.48</v>
      </c>
      <c r="AF290" s="227"/>
      <c r="AG290" s="374"/>
      <c r="AH290" s="477"/>
      <c r="AR290" s="129" t="s">
        <v>235</v>
      </c>
      <c r="AT290" s="129" t="s">
        <v>231</v>
      </c>
      <c r="AU290" s="129" t="s">
        <v>76</v>
      </c>
      <c r="AY290" s="13" t="s">
        <v>228</v>
      </c>
      <c r="BE290" s="130">
        <f>IF(N290="základná",J290,0)</f>
        <v>0</v>
      </c>
      <c r="BF290" s="130">
        <f>IF(N290="znížená",J290,0)</f>
        <v>0</v>
      </c>
      <c r="BG290" s="130">
        <f>IF(N290="zákl. prenesená",J290,0)</f>
        <v>0</v>
      </c>
      <c r="BH290" s="130">
        <f>IF(N290="zníž. prenesená",J290,0)</f>
        <v>0</v>
      </c>
      <c r="BI290" s="130">
        <f>IF(N290="nulová",J290,0)</f>
        <v>0</v>
      </c>
      <c r="BJ290" s="13" t="s">
        <v>76</v>
      </c>
      <c r="BK290" s="130">
        <f>ROUND(I290*H290,2)</f>
        <v>42.48</v>
      </c>
      <c r="BL290" s="13" t="s">
        <v>235</v>
      </c>
      <c r="BM290" s="129" t="s">
        <v>594</v>
      </c>
    </row>
    <row r="291" spans="2:65" s="11" customFormat="1" ht="22.95" customHeight="1" x14ac:dyDescent="0.25">
      <c r="B291" s="106"/>
      <c r="C291" s="292"/>
      <c r="D291" s="489" t="s">
        <v>57</v>
      </c>
      <c r="E291" s="490" t="s">
        <v>1269</v>
      </c>
      <c r="F291" s="490" t="s">
        <v>1930</v>
      </c>
      <c r="G291" s="292"/>
      <c r="H291" s="292"/>
      <c r="I291" s="292"/>
      <c r="J291" s="491">
        <f>BK291</f>
        <v>149.92000000000002</v>
      </c>
      <c r="L291" s="106"/>
      <c r="M291" s="110"/>
      <c r="N291" s="111"/>
      <c r="O291" s="111"/>
      <c r="P291" s="112"/>
      <c r="Q291" s="111"/>
      <c r="R291" s="112"/>
      <c r="S291" s="111"/>
      <c r="T291" s="113"/>
      <c r="W291" s="195"/>
      <c r="X291" s="347"/>
      <c r="Y291" s="506" t="s">
        <v>57</v>
      </c>
      <c r="Z291" s="507" t="s">
        <v>1269</v>
      </c>
      <c r="AA291" s="507" t="s">
        <v>1930</v>
      </c>
      <c r="AB291" s="347"/>
      <c r="AC291" s="347"/>
      <c r="AD291" s="347"/>
      <c r="AE291" s="510">
        <f>SUM(AE292:AE294)</f>
        <v>149.92000000000002</v>
      </c>
      <c r="AF291" s="227"/>
      <c r="AG291" s="374"/>
      <c r="AH291" s="477"/>
      <c r="AR291" s="107" t="s">
        <v>63</v>
      </c>
      <c r="AT291" s="114" t="s">
        <v>57</v>
      </c>
      <c r="AU291" s="114" t="s">
        <v>63</v>
      </c>
      <c r="AY291" s="107" t="s">
        <v>228</v>
      </c>
      <c r="BK291" s="115">
        <f>SUM(BK292:BK294)</f>
        <v>149.92000000000002</v>
      </c>
    </row>
    <row r="292" spans="2:65" s="1" customFormat="1" ht="24" customHeight="1" x14ac:dyDescent="0.2">
      <c r="B292" s="118"/>
      <c r="C292" s="285" t="s">
        <v>595</v>
      </c>
      <c r="D292" s="285" t="s">
        <v>231</v>
      </c>
      <c r="E292" s="286" t="s">
        <v>2059</v>
      </c>
      <c r="F292" s="240" t="s">
        <v>2060</v>
      </c>
      <c r="G292" s="287" t="s">
        <v>1194</v>
      </c>
      <c r="H292" s="288">
        <v>1</v>
      </c>
      <c r="I292" s="289">
        <v>40.229999999999997</v>
      </c>
      <c r="J292" s="289">
        <f>ROUND(I292*H292,2)</f>
        <v>40.229999999999997</v>
      </c>
      <c r="K292" s="121" t="s">
        <v>1</v>
      </c>
      <c r="L292" s="465"/>
      <c r="M292" s="125"/>
      <c r="N292" s="126"/>
      <c r="O292" s="127"/>
      <c r="P292" s="127"/>
      <c r="Q292" s="127"/>
      <c r="R292" s="127"/>
      <c r="S292" s="127"/>
      <c r="T292" s="128"/>
      <c r="W292" s="199"/>
      <c r="X292" s="285" t="s">
        <v>595</v>
      </c>
      <c r="Y292" s="285" t="s">
        <v>231</v>
      </c>
      <c r="Z292" s="286" t="s">
        <v>2059</v>
      </c>
      <c r="AA292" s="240" t="s">
        <v>2060</v>
      </c>
      <c r="AB292" s="287" t="s">
        <v>1194</v>
      </c>
      <c r="AC292" s="288">
        <v>1</v>
      </c>
      <c r="AD292" s="289">
        <v>40.229999999999997</v>
      </c>
      <c r="AE292" s="290">
        <f>ROUND(AD292*AC292,2)</f>
        <v>40.229999999999997</v>
      </c>
      <c r="AF292" s="227"/>
      <c r="AG292" s="374"/>
      <c r="AH292" s="477"/>
      <c r="AR292" s="129" t="s">
        <v>235</v>
      </c>
      <c r="AT292" s="129" t="s">
        <v>231</v>
      </c>
      <c r="AU292" s="129" t="s">
        <v>76</v>
      </c>
      <c r="AY292" s="13" t="s">
        <v>228</v>
      </c>
      <c r="BE292" s="130">
        <f>IF(N292="základná",J292,0)</f>
        <v>0</v>
      </c>
      <c r="BF292" s="130">
        <f>IF(N292="znížená",J292,0)</f>
        <v>0</v>
      </c>
      <c r="BG292" s="130">
        <f>IF(N292="zákl. prenesená",J292,0)</f>
        <v>0</v>
      </c>
      <c r="BH292" s="130">
        <f>IF(N292="zníž. prenesená",J292,0)</f>
        <v>0</v>
      </c>
      <c r="BI292" s="130">
        <f>IF(N292="nulová",J292,0)</f>
        <v>0</v>
      </c>
      <c r="BJ292" s="13" t="s">
        <v>76</v>
      </c>
      <c r="BK292" s="130">
        <f>ROUND(I292*H292,2)</f>
        <v>40.229999999999997</v>
      </c>
      <c r="BL292" s="13" t="s">
        <v>235</v>
      </c>
      <c r="BM292" s="129" t="s">
        <v>598</v>
      </c>
    </row>
    <row r="293" spans="2:65" s="1" customFormat="1" ht="24" customHeight="1" x14ac:dyDescent="0.2">
      <c r="B293" s="118"/>
      <c r="C293" s="285" t="s">
        <v>414</v>
      </c>
      <c r="D293" s="285" t="s">
        <v>231</v>
      </c>
      <c r="E293" s="286" t="s">
        <v>2061</v>
      </c>
      <c r="F293" s="240" t="s">
        <v>2062</v>
      </c>
      <c r="G293" s="287" t="s">
        <v>1194</v>
      </c>
      <c r="H293" s="288">
        <v>1</v>
      </c>
      <c r="I293" s="289">
        <v>34.82</v>
      </c>
      <c r="J293" s="289">
        <f>ROUND(I293*H293,2)</f>
        <v>34.82</v>
      </c>
      <c r="K293" s="121" t="s">
        <v>1</v>
      </c>
      <c r="L293" s="465"/>
      <c r="M293" s="125"/>
      <c r="N293" s="126"/>
      <c r="O293" s="127"/>
      <c r="P293" s="127"/>
      <c r="Q293" s="127"/>
      <c r="R293" s="127"/>
      <c r="S293" s="127"/>
      <c r="T293" s="128"/>
      <c r="W293" s="199"/>
      <c r="X293" s="285" t="s">
        <v>414</v>
      </c>
      <c r="Y293" s="285" t="s">
        <v>231</v>
      </c>
      <c r="Z293" s="286" t="s">
        <v>2061</v>
      </c>
      <c r="AA293" s="240" t="s">
        <v>2062</v>
      </c>
      <c r="AB293" s="287" t="s">
        <v>1194</v>
      </c>
      <c r="AC293" s="288">
        <v>1</v>
      </c>
      <c r="AD293" s="289">
        <v>34.82</v>
      </c>
      <c r="AE293" s="290">
        <f>ROUND(AD293*AC293,2)</f>
        <v>34.82</v>
      </c>
      <c r="AF293" s="227"/>
      <c r="AG293" s="374"/>
      <c r="AH293" s="477"/>
      <c r="AR293" s="129" t="s">
        <v>235</v>
      </c>
      <c r="AT293" s="129" t="s">
        <v>231</v>
      </c>
      <c r="AU293" s="129" t="s">
        <v>76</v>
      </c>
      <c r="AY293" s="13" t="s">
        <v>228</v>
      </c>
      <c r="BE293" s="130">
        <f>IF(N293="základná",J293,0)</f>
        <v>0</v>
      </c>
      <c r="BF293" s="130">
        <f>IF(N293="znížená",J293,0)</f>
        <v>0</v>
      </c>
      <c r="BG293" s="130">
        <f>IF(N293="zákl. prenesená",J293,0)</f>
        <v>0</v>
      </c>
      <c r="BH293" s="130">
        <f>IF(N293="zníž. prenesená",J293,0)</f>
        <v>0</v>
      </c>
      <c r="BI293" s="130">
        <f>IF(N293="nulová",J293,0)</f>
        <v>0</v>
      </c>
      <c r="BJ293" s="13" t="s">
        <v>76</v>
      </c>
      <c r="BK293" s="130">
        <f>ROUND(I293*H293,2)</f>
        <v>34.82</v>
      </c>
      <c r="BL293" s="13" t="s">
        <v>235</v>
      </c>
      <c r="BM293" s="129" t="s">
        <v>601</v>
      </c>
    </row>
    <row r="294" spans="2:65" s="1" customFormat="1" ht="16.5" customHeight="1" x14ac:dyDescent="0.2">
      <c r="B294" s="118"/>
      <c r="C294" s="285" t="s">
        <v>602</v>
      </c>
      <c r="D294" s="285" t="s">
        <v>231</v>
      </c>
      <c r="E294" s="286" t="s">
        <v>2063</v>
      </c>
      <c r="F294" s="240" t="s">
        <v>2064</v>
      </c>
      <c r="G294" s="287" t="s">
        <v>1194</v>
      </c>
      <c r="H294" s="288">
        <v>1</v>
      </c>
      <c r="I294" s="289">
        <v>74.87</v>
      </c>
      <c r="J294" s="289">
        <f>ROUND(I294*H294,2)</f>
        <v>74.87</v>
      </c>
      <c r="K294" s="121" t="s">
        <v>1</v>
      </c>
      <c r="L294" s="465"/>
      <c r="M294" s="125"/>
      <c r="N294" s="126"/>
      <c r="O294" s="127"/>
      <c r="P294" s="127"/>
      <c r="Q294" s="127"/>
      <c r="R294" s="127"/>
      <c r="S294" s="127"/>
      <c r="T294" s="128"/>
      <c r="W294" s="199"/>
      <c r="X294" s="285" t="s">
        <v>602</v>
      </c>
      <c r="Y294" s="285" t="s">
        <v>231</v>
      </c>
      <c r="Z294" s="286" t="s">
        <v>2063</v>
      </c>
      <c r="AA294" s="240" t="s">
        <v>2064</v>
      </c>
      <c r="AB294" s="287" t="s">
        <v>1194</v>
      </c>
      <c r="AC294" s="288">
        <v>1</v>
      </c>
      <c r="AD294" s="289">
        <v>74.87</v>
      </c>
      <c r="AE294" s="290">
        <f>ROUND(AD294*AC294,2)</f>
        <v>74.87</v>
      </c>
      <c r="AF294" s="227"/>
      <c r="AG294" s="374"/>
      <c r="AH294" s="477"/>
      <c r="AR294" s="129" t="s">
        <v>235</v>
      </c>
      <c r="AT294" s="129" t="s">
        <v>231</v>
      </c>
      <c r="AU294" s="129" t="s">
        <v>76</v>
      </c>
      <c r="AY294" s="13" t="s">
        <v>228</v>
      </c>
      <c r="BE294" s="130">
        <f>IF(N294="základná",J294,0)</f>
        <v>0</v>
      </c>
      <c r="BF294" s="130">
        <f>IF(N294="znížená",J294,0)</f>
        <v>0</v>
      </c>
      <c r="BG294" s="130">
        <f>IF(N294="zákl. prenesená",J294,0)</f>
        <v>0</v>
      </c>
      <c r="BH294" s="130">
        <f>IF(N294="zníž. prenesená",J294,0)</f>
        <v>0</v>
      </c>
      <c r="BI294" s="130">
        <f>IF(N294="nulová",J294,0)</f>
        <v>0</v>
      </c>
      <c r="BJ294" s="13" t="s">
        <v>76</v>
      </c>
      <c r="BK294" s="130">
        <f>ROUND(I294*H294,2)</f>
        <v>74.87</v>
      </c>
      <c r="BL294" s="13" t="s">
        <v>235</v>
      </c>
      <c r="BM294" s="129" t="s">
        <v>605</v>
      </c>
    </row>
    <row r="295" spans="2:65" s="11" customFormat="1" ht="22.95" customHeight="1" x14ac:dyDescent="0.25">
      <c r="B295" s="106"/>
      <c r="C295" s="292"/>
      <c r="D295" s="489" t="s">
        <v>57</v>
      </c>
      <c r="E295" s="490" t="s">
        <v>2065</v>
      </c>
      <c r="F295" s="490" t="s">
        <v>2066</v>
      </c>
      <c r="G295" s="292"/>
      <c r="H295" s="292"/>
      <c r="I295" s="292"/>
      <c r="J295" s="491">
        <f>BK295</f>
        <v>1413.04</v>
      </c>
      <c r="L295" s="106"/>
      <c r="M295" s="110"/>
      <c r="N295" s="111"/>
      <c r="O295" s="111"/>
      <c r="P295" s="112"/>
      <c r="Q295" s="111"/>
      <c r="R295" s="112"/>
      <c r="S295" s="111"/>
      <c r="T295" s="113"/>
      <c r="W295" s="195"/>
      <c r="X295" s="347"/>
      <c r="Y295" s="506" t="s">
        <v>57</v>
      </c>
      <c r="Z295" s="507" t="s">
        <v>2065</v>
      </c>
      <c r="AA295" s="507" t="s">
        <v>2066</v>
      </c>
      <c r="AB295" s="347"/>
      <c r="AC295" s="347"/>
      <c r="AD295" s="347"/>
      <c r="AE295" s="510">
        <f>SUM(AE296:AE318)</f>
        <v>1413.04</v>
      </c>
      <c r="AF295" s="227"/>
      <c r="AG295" s="374"/>
      <c r="AH295" s="477"/>
      <c r="AR295" s="107" t="s">
        <v>63</v>
      </c>
      <c r="AT295" s="114" t="s">
        <v>57</v>
      </c>
      <c r="AU295" s="114" t="s">
        <v>63</v>
      </c>
      <c r="AY295" s="107" t="s">
        <v>228</v>
      </c>
      <c r="BK295" s="115">
        <f>SUM(BK296:BK318)</f>
        <v>1413.04</v>
      </c>
    </row>
    <row r="296" spans="2:65" s="1" customFormat="1" ht="24" customHeight="1" x14ac:dyDescent="0.2">
      <c r="B296" s="118"/>
      <c r="C296" s="285" t="s">
        <v>418</v>
      </c>
      <c r="D296" s="285" t="s">
        <v>231</v>
      </c>
      <c r="E296" s="286" t="s">
        <v>2067</v>
      </c>
      <c r="F296" s="240" t="s">
        <v>2068</v>
      </c>
      <c r="G296" s="287" t="s">
        <v>1194</v>
      </c>
      <c r="H296" s="288">
        <v>1</v>
      </c>
      <c r="I296" s="289">
        <v>102.65</v>
      </c>
      <c r="J296" s="289">
        <f t="shared" ref="J296:J305" si="57">ROUND(I296*H296,2)</f>
        <v>102.65</v>
      </c>
      <c r="K296" s="121" t="s">
        <v>1</v>
      </c>
      <c r="L296" s="465"/>
      <c r="M296" s="125"/>
      <c r="N296" s="126"/>
      <c r="O296" s="127"/>
      <c r="P296" s="127"/>
      <c r="Q296" s="127"/>
      <c r="R296" s="127"/>
      <c r="S296" s="127"/>
      <c r="T296" s="128"/>
      <c r="W296" s="199"/>
      <c r="X296" s="285" t="s">
        <v>418</v>
      </c>
      <c r="Y296" s="285" t="s">
        <v>231</v>
      </c>
      <c r="Z296" s="286" t="s">
        <v>2067</v>
      </c>
      <c r="AA296" s="240" t="s">
        <v>2068</v>
      </c>
      <c r="AB296" s="287" t="s">
        <v>1194</v>
      </c>
      <c r="AC296" s="288">
        <v>1</v>
      </c>
      <c r="AD296" s="289">
        <v>102.65</v>
      </c>
      <c r="AE296" s="290">
        <f t="shared" ref="AE296:AE305" si="58">ROUND(AD296*AC296,2)</f>
        <v>102.65</v>
      </c>
      <c r="AF296" s="227"/>
      <c r="AG296" s="374"/>
      <c r="AH296" s="477"/>
      <c r="AR296" s="129" t="s">
        <v>235</v>
      </c>
      <c r="AT296" s="129" t="s">
        <v>231</v>
      </c>
      <c r="AU296" s="129" t="s">
        <v>76</v>
      </c>
      <c r="AY296" s="13" t="s">
        <v>228</v>
      </c>
      <c r="BE296" s="130">
        <f t="shared" ref="BE296:BE305" si="59">IF(N296="základná",J296,0)</f>
        <v>0</v>
      </c>
      <c r="BF296" s="130">
        <f t="shared" ref="BF296:BF305" si="60">IF(N296="znížená",J296,0)</f>
        <v>0</v>
      </c>
      <c r="BG296" s="130">
        <f t="shared" ref="BG296:BG305" si="61">IF(N296="zákl. prenesená",J296,0)</f>
        <v>0</v>
      </c>
      <c r="BH296" s="130">
        <f t="shared" ref="BH296:BH305" si="62">IF(N296="zníž. prenesená",J296,0)</f>
        <v>0</v>
      </c>
      <c r="BI296" s="130">
        <f t="shared" ref="BI296:BI305" si="63">IF(N296="nulová",J296,0)</f>
        <v>0</v>
      </c>
      <c r="BJ296" s="13" t="s">
        <v>76</v>
      </c>
      <c r="BK296" s="130">
        <f t="shared" ref="BK296:BK305" si="64">ROUND(I296*H296,2)</f>
        <v>102.65</v>
      </c>
      <c r="BL296" s="13" t="s">
        <v>235</v>
      </c>
      <c r="BM296" s="129" t="s">
        <v>610</v>
      </c>
    </row>
    <row r="297" spans="2:65" s="1" customFormat="1" ht="16.5" customHeight="1" x14ac:dyDescent="0.2">
      <c r="B297" s="118"/>
      <c r="C297" s="285" t="s">
        <v>613</v>
      </c>
      <c r="D297" s="285" t="s">
        <v>231</v>
      </c>
      <c r="E297" s="286" t="s">
        <v>2069</v>
      </c>
      <c r="F297" s="240" t="s">
        <v>2070</v>
      </c>
      <c r="G297" s="287" t="s">
        <v>1194</v>
      </c>
      <c r="H297" s="288">
        <v>1</v>
      </c>
      <c r="I297" s="289">
        <v>169.78</v>
      </c>
      <c r="J297" s="289">
        <f t="shared" si="57"/>
        <v>169.78</v>
      </c>
      <c r="K297" s="121" t="s">
        <v>1</v>
      </c>
      <c r="L297" s="465"/>
      <c r="M297" s="125"/>
      <c r="N297" s="126"/>
      <c r="O297" s="127"/>
      <c r="P297" s="127"/>
      <c r="Q297" s="127"/>
      <c r="R297" s="127"/>
      <c r="S297" s="127"/>
      <c r="T297" s="128"/>
      <c r="W297" s="199"/>
      <c r="X297" s="285" t="s">
        <v>613</v>
      </c>
      <c r="Y297" s="285" t="s">
        <v>231</v>
      </c>
      <c r="Z297" s="286" t="s">
        <v>2069</v>
      </c>
      <c r="AA297" s="240" t="s">
        <v>2070</v>
      </c>
      <c r="AB297" s="287" t="s">
        <v>1194</v>
      </c>
      <c r="AC297" s="288">
        <v>1</v>
      </c>
      <c r="AD297" s="289">
        <v>169.78</v>
      </c>
      <c r="AE297" s="290">
        <f t="shared" si="58"/>
        <v>169.78</v>
      </c>
      <c r="AF297" s="227"/>
      <c r="AG297" s="374"/>
      <c r="AH297" s="477"/>
      <c r="AR297" s="129" t="s">
        <v>235</v>
      </c>
      <c r="AT297" s="129" t="s">
        <v>231</v>
      </c>
      <c r="AU297" s="129" t="s">
        <v>76</v>
      </c>
      <c r="AY297" s="13" t="s">
        <v>228</v>
      </c>
      <c r="BE297" s="130">
        <f t="shared" si="59"/>
        <v>0</v>
      </c>
      <c r="BF297" s="130">
        <f t="shared" si="60"/>
        <v>0</v>
      </c>
      <c r="BG297" s="130">
        <f t="shared" si="61"/>
        <v>0</v>
      </c>
      <c r="BH297" s="130">
        <f t="shared" si="62"/>
        <v>0</v>
      </c>
      <c r="BI297" s="130">
        <f t="shared" si="63"/>
        <v>0</v>
      </c>
      <c r="BJ297" s="13" t="s">
        <v>76</v>
      </c>
      <c r="BK297" s="130">
        <f t="shared" si="64"/>
        <v>169.78</v>
      </c>
      <c r="BL297" s="13" t="s">
        <v>235</v>
      </c>
      <c r="BM297" s="129" t="s">
        <v>616</v>
      </c>
    </row>
    <row r="298" spans="2:65" s="1" customFormat="1" ht="24" customHeight="1" x14ac:dyDescent="0.2">
      <c r="B298" s="118"/>
      <c r="C298" s="285" t="s">
        <v>421</v>
      </c>
      <c r="D298" s="285" t="s">
        <v>231</v>
      </c>
      <c r="E298" s="286" t="s">
        <v>2071</v>
      </c>
      <c r="F298" s="240" t="s">
        <v>2072</v>
      </c>
      <c r="G298" s="287" t="s">
        <v>1194</v>
      </c>
      <c r="H298" s="288">
        <v>1</v>
      </c>
      <c r="I298" s="289">
        <v>54.88</v>
      </c>
      <c r="J298" s="289">
        <f t="shared" si="57"/>
        <v>54.88</v>
      </c>
      <c r="K298" s="121" t="s">
        <v>1</v>
      </c>
      <c r="L298" s="465"/>
      <c r="M298" s="125"/>
      <c r="N298" s="126"/>
      <c r="O298" s="127"/>
      <c r="P298" s="127"/>
      <c r="Q298" s="127"/>
      <c r="R298" s="127"/>
      <c r="S298" s="127"/>
      <c r="T298" s="128"/>
      <c r="W298" s="199"/>
      <c r="X298" s="285" t="s">
        <v>421</v>
      </c>
      <c r="Y298" s="285" t="s">
        <v>231</v>
      </c>
      <c r="Z298" s="286" t="s">
        <v>2071</v>
      </c>
      <c r="AA298" s="240" t="s">
        <v>2072</v>
      </c>
      <c r="AB298" s="287" t="s">
        <v>1194</v>
      </c>
      <c r="AC298" s="288">
        <v>1</v>
      </c>
      <c r="AD298" s="289">
        <v>54.88</v>
      </c>
      <c r="AE298" s="290">
        <f t="shared" si="58"/>
        <v>54.88</v>
      </c>
      <c r="AF298" s="227"/>
      <c r="AG298" s="374"/>
      <c r="AH298" s="477"/>
      <c r="AR298" s="129" t="s">
        <v>235</v>
      </c>
      <c r="AT298" s="129" t="s">
        <v>231</v>
      </c>
      <c r="AU298" s="129" t="s">
        <v>76</v>
      </c>
      <c r="AY298" s="13" t="s">
        <v>228</v>
      </c>
      <c r="BE298" s="130">
        <f t="shared" si="59"/>
        <v>0</v>
      </c>
      <c r="BF298" s="130">
        <f t="shared" si="60"/>
        <v>0</v>
      </c>
      <c r="BG298" s="130">
        <f t="shared" si="61"/>
        <v>0</v>
      </c>
      <c r="BH298" s="130">
        <f t="shared" si="62"/>
        <v>0</v>
      </c>
      <c r="BI298" s="130">
        <f t="shared" si="63"/>
        <v>0</v>
      </c>
      <c r="BJ298" s="13" t="s">
        <v>76</v>
      </c>
      <c r="BK298" s="130">
        <f t="shared" si="64"/>
        <v>54.88</v>
      </c>
      <c r="BL298" s="13" t="s">
        <v>235</v>
      </c>
      <c r="BM298" s="129" t="s">
        <v>619</v>
      </c>
    </row>
    <row r="299" spans="2:65" s="1" customFormat="1" ht="24" customHeight="1" x14ac:dyDescent="0.2">
      <c r="B299" s="118"/>
      <c r="C299" s="285" t="s">
        <v>620</v>
      </c>
      <c r="D299" s="285" t="s">
        <v>231</v>
      </c>
      <c r="E299" s="286" t="s">
        <v>2073</v>
      </c>
      <c r="F299" s="240" t="s">
        <v>2074</v>
      </c>
      <c r="G299" s="287" t="s">
        <v>1194</v>
      </c>
      <c r="H299" s="288">
        <v>1</v>
      </c>
      <c r="I299" s="289">
        <v>69.81</v>
      </c>
      <c r="J299" s="289">
        <f t="shared" si="57"/>
        <v>69.81</v>
      </c>
      <c r="K299" s="121" t="s">
        <v>1</v>
      </c>
      <c r="L299" s="465"/>
      <c r="M299" s="125"/>
      <c r="N299" s="126"/>
      <c r="O299" s="127"/>
      <c r="P299" s="127"/>
      <c r="Q299" s="127"/>
      <c r="R299" s="127"/>
      <c r="S299" s="127"/>
      <c r="T299" s="128"/>
      <c r="W299" s="199"/>
      <c r="X299" s="285" t="s">
        <v>620</v>
      </c>
      <c r="Y299" s="285" t="s">
        <v>231</v>
      </c>
      <c r="Z299" s="286" t="s">
        <v>2073</v>
      </c>
      <c r="AA299" s="240" t="s">
        <v>2074</v>
      </c>
      <c r="AB299" s="287" t="s">
        <v>1194</v>
      </c>
      <c r="AC299" s="288">
        <v>1</v>
      </c>
      <c r="AD299" s="289">
        <v>69.81</v>
      </c>
      <c r="AE299" s="290">
        <f t="shared" si="58"/>
        <v>69.81</v>
      </c>
      <c r="AF299" s="227"/>
      <c r="AG299" s="374"/>
      <c r="AH299" s="477"/>
      <c r="AR299" s="129" t="s">
        <v>235</v>
      </c>
      <c r="AT299" s="129" t="s">
        <v>231</v>
      </c>
      <c r="AU299" s="129" t="s">
        <v>76</v>
      </c>
      <c r="AY299" s="13" t="s">
        <v>228</v>
      </c>
      <c r="BE299" s="130">
        <f t="shared" si="59"/>
        <v>0</v>
      </c>
      <c r="BF299" s="130">
        <f t="shared" si="60"/>
        <v>0</v>
      </c>
      <c r="BG299" s="130">
        <f t="shared" si="61"/>
        <v>0</v>
      </c>
      <c r="BH299" s="130">
        <f t="shared" si="62"/>
        <v>0</v>
      </c>
      <c r="BI299" s="130">
        <f t="shared" si="63"/>
        <v>0</v>
      </c>
      <c r="BJ299" s="13" t="s">
        <v>76</v>
      </c>
      <c r="BK299" s="130">
        <f t="shared" si="64"/>
        <v>69.81</v>
      </c>
      <c r="BL299" s="13" t="s">
        <v>235</v>
      </c>
      <c r="BM299" s="129" t="s">
        <v>623</v>
      </c>
    </row>
    <row r="300" spans="2:65" s="1" customFormat="1" ht="24" customHeight="1" x14ac:dyDescent="0.2">
      <c r="B300" s="118"/>
      <c r="C300" s="285" t="s">
        <v>425</v>
      </c>
      <c r="D300" s="285" t="s">
        <v>231</v>
      </c>
      <c r="E300" s="286" t="s">
        <v>2075</v>
      </c>
      <c r="F300" s="240" t="s">
        <v>2076</v>
      </c>
      <c r="G300" s="287" t="s">
        <v>1194</v>
      </c>
      <c r="H300" s="288">
        <v>1</v>
      </c>
      <c r="I300" s="289">
        <v>56.26</v>
      </c>
      <c r="J300" s="289">
        <f t="shared" si="57"/>
        <v>56.26</v>
      </c>
      <c r="K300" s="121" t="s">
        <v>1</v>
      </c>
      <c r="L300" s="465"/>
      <c r="M300" s="125"/>
      <c r="N300" s="126"/>
      <c r="O300" s="127"/>
      <c r="P300" s="127"/>
      <c r="Q300" s="127"/>
      <c r="R300" s="127"/>
      <c r="S300" s="127"/>
      <c r="T300" s="128"/>
      <c r="W300" s="199"/>
      <c r="X300" s="285" t="s">
        <v>425</v>
      </c>
      <c r="Y300" s="285" t="s">
        <v>231</v>
      </c>
      <c r="Z300" s="286" t="s">
        <v>2075</v>
      </c>
      <c r="AA300" s="240" t="s">
        <v>2076</v>
      </c>
      <c r="AB300" s="287" t="s">
        <v>1194</v>
      </c>
      <c r="AC300" s="288">
        <v>1</v>
      </c>
      <c r="AD300" s="289">
        <v>56.26</v>
      </c>
      <c r="AE300" s="290">
        <f t="shared" si="58"/>
        <v>56.26</v>
      </c>
      <c r="AF300" s="227"/>
      <c r="AG300" s="374"/>
      <c r="AH300" s="477"/>
      <c r="AR300" s="129" t="s">
        <v>235</v>
      </c>
      <c r="AT300" s="129" t="s">
        <v>231</v>
      </c>
      <c r="AU300" s="129" t="s">
        <v>76</v>
      </c>
      <c r="AY300" s="13" t="s">
        <v>228</v>
      </c>
      <c r="BE300" s="130">
        <f t="shared" si="59"/>
        <v>0</v>
      </c>
      <c r="BF300" s="130">
        <f t="shared" si="60"/>
        <v>0</v>
      </c>
      <c r="BG300" s="130">
        <f t="shared" si="61"/>
        <v>0</v>
      </c>
      <c r="BH300" s="130">
        <f t="shared" si="62"/>
        <v>0</v>
      </c>
      <c r="BI300" s="130">
        <f t="shared" si="63"/>
        <v>0</v>
      </c>
      <c r="BJ300" s="13" t="s">
        <v>76</v>
      </c>
      <c r="BK300" s="130">
        <f t="shared" si="64"/>
        <v>56.26</v>
      </c>
      <c r="BL300" s="13" t="s">
        <v>235</v>
      </c>
      <c r="BM300" s="129" t="s">
        <v>626</v>
      </c>
    </row>
    <row r="301" spans="2:65" s="1" customFormat="1" ht="24" customHeight="1" x14ac:dyDescent="0.2">
      <c r="B301" s="118"/>
      <c r="C301" s="285" t="s">
        <v>627</v>
      </c>
      <c r="D301" s="285" t="s">
        <v>231</v>
      </c>
      <c r="E301" s="286" t="s">
        <v>2077</v>
      </c>
      <c r="F301" s="240" t="s">
        <v>2078</v>
      </c>
      <c r="G301" s="287" t="s">
        <v>1194</v>
      </c>
      <c r="H301" s="288">
        <v>1</v>
      </c>
      <c r="I301" s="289">
        <v>43.25</v>
      </c>
      <c r="J301" s="289">
        <f t="shared" si="57"/>
        <v>43.25</v>
      </c>
      <c r="K301" s="121" t="s">
        <v>1</v>
      </c>
      <c r="L301" s="465"/>
      <c r="M301" s="125"/>
      <c r="N301" s="126"/>
      <c r="O301" s="127"/>
      <c r="P301" s="127"/>
      <c r="Q301" s="127"/>
      <c r="R301" s="127"/>
      <c r="S301" s="127"/>
      <c r="T301" s="128"/>
      <c r="W301" s="199"/>
      <c r="X301" s="285" t="s">
        <v>627</v>
      </c>
      <c r="Y301" s="285" t="s">
        <v>231</v>
      </c>
      <c r="Z301" s="286" t="s">
        <v>2077</v>
      </c>
      <c r="AA301" s="240" t="s">
        <v>2078</v>
      </c>
      <c r="AB301" s="287" t="s">
        <v>1194</v>
      </c>
      <c r="AC301" s="288">
        <v>1</v>
      </c>
      <c r="AD301" s="289">
        <v>43.25</v>
      </c>
      <c r="AE301" s="290">
        <f t="shared" si="58"/>
        <v>43.25</v>
      </c>
      <c r="AF301" s="227"/>
      <c r="AG301" s="374"/>
      <c r="AH301" s="477"/>
      <c r="AR301" s="129" t="s">
        <v>235</v>
      </c>
      <c r="AT301" s="129" t="s">
        <v>231</v>
      </c>
      <c r="AU301" s="129" t="s">
        <v>76</v>
      </c>
      <c r="AY301" s="13" t="s">
        <v>228</v>
      </c>
      <c r="BE301" s="130">
        <f t="shared" si="59"/>
        <v>0</v>
      </c>
      <c r="BF301" s="130">
        <f t="shared" si="60"/>
        <v>0</v>
      </c>
      <c r="BG301" s="130">
        <f t="shared" si="61"/>
        <v>0</v>
      </c>
      <c r="BH301" s="130">
        <f t="shared" si="62"/>
        <v>0</v>
      </c>
      <c r="BI301" s="130">
        <f t="shared" si="63"/>
        <v>0</v>
      </c>
      <c r="BJ301" s="13" t="s">
        <v>76</v>
      </c>
      <c r="BK301" s="130">
        <f t="shared" si="64"/>
        <v>43.25</v>
      </c>
      <c r="BL301" s="13" t="s">
        <v>235</v>
      </c>
      <c r="BM301" s="129" t="s">
        <v>630</v>
      </c>
    </row>
    <row r="302" spans="2:65" s="1" customFormat="1" ht="24" customHeight="1" x14ac:dyDescent="0.2">
      <c r="B302" s="118"/>
      <c r="C302" s="285" t="s">
        <v>428</v>
      </c>
      <c r="D302" s="285" t="s">
        <v>231</v>
      </c>
      <c r="E302" s="286" t="s">
        <v>2079</v>
      </c>
      <c r="F302" s="240" t="s">
        <v>2080</v>
      </c>
      <c r="G302" s="287" t="s">
        <v>1194</v>
      </c>
      <c r="H302" s="288">
        <v>1</v>
      </c>
      <c r="I302" s="289">
        <v>63.87</v>
      </c>
      <c r="J302" s="289">
        <f t="shared" si="57"/>
        <v>63.87</v>
      </c>
      <c r="K302" s="121" t="s">
        <v>1</v>
      </c>
      <c r="L302" s="465"/>
      <c r="M302" s="125"/>
      <c r="N302" s="126"/>
      <c r="O302" s="127"/>
      <c r="P302" s="127"/>
      <c r="Q302" s="127"/>
      <c r="R302" s="127"/>
      <c r="S302" s="127"/>
      <c r="T302" s="128"/>
      <c r="W302" s="199"/>
      <c r="X302" s="285" t="s">
        <v>428</v>
      </c>
      <c r="Y302" s="285" t="s">
        <v>231</v>
      </c>
      <c r="Z302" s="286" t="s">
        <v>2079</v>
      </c>
      <c r="AA302" s="240" t="s">
        <v>2080</v>
      </c>
      <c r="AB302" s="287" t="s">
        <v>1194</v>
      </c>
      <c r="AC302" s="288">
        <v>1</v>
      </c>
      <c r="AD302" s="289">
        <v>63.87</v>
      </c>
      <c r="AE302" s="290">
        <f t="shared" si="58"/>
        <v>63.87</v>
      </c>
      <c r="AF302" s="227"/>
      <c r="AG302" s="374"/>
      <c r="AH302" s="477"/>
      <c r="AR302" s="129" t="s">
        <v>235</v>
      </c>
      <c r="AT302" s="129" t="s">
        <v>231</v>
      </c>
      <c r="AU302" s="129" t="s">
        <v>76</v>
      </c>
      <c r="AY302" s="13" t="s">
        <v>228</v>
      </c>
      <c r="BE302" s="130">
        <f t="shared" si="59"/>
        <v>0</v>
      </c>
      <c r="BF302" s="130">
        <f t="shared" si="60"/>
        <v>0</v>
      </c>
      <c r="BG302" s="130">
        <f t="shared" si="61"/>
        <v>0</v>
      </c>
      <c r="BH302" s="130">
        <f t="shared" si="62"/>
        <v>0</v>
      </c>
      <c r="BI302" s="130">
        <f t="shared" si="63"/>
        <v>0</v>
      </c>
      <c r="BJ302" s="13" t="s">
        <v>76</v>
      </c>
      <c r="BK302" s="130">
        <f t="shared" si="64"/>
        <v>63.87</v>
      </c>
      <c r="BL302" s="13" t="s">
        <v>235</v>
      </c>
      <c r="BM302" s="129" t="s">
        <v>635</v>
      </c>
    </row>
    <row r="303" spans="2:65" s="1" customFormat="1" ht="24" customHeight="1" x14ac:dyDescent="0.2">
      <c r="B303" s="118"/>
      <c r="C303" s="285" t="s">
        <v>636</v>
      </c>
      <c r="D303" s="285" t="s">
        <v>231</v>
      </c>
      <c r="E303" s="286" t="s">
        <v>2081</v>
      </c>
      <c r="F303" s="240" t="s">
        <v>2082</v>
      </c>
      <c r="G303" s="287" t="s">
        <v>1194</v>
      </c>
      <c r="H303" s="288">
        <v>2</v>
      </c>
      <c r="I303" s="289">
        <v>46.34</v>
      </c>
      <c r="J303" s="289">
        <f t="shared" si="57"/>
        <v>92.68</v>
      </c>
      <c r="K303" s="121" t="s">
        <v>1</v>
      </c>
      <c r="L303" s="465"/>
      <c r="M303" s="125"/>
      <c r="N303" s="126"/>
      <c r="O303" s="127"/>
      <c r="P303" s="127"/>
      <c r="Q303" s="127"/>
      <c r="R303" s="127"/>
      <c r="S303" s="127"/>
      <c r="T303" s="128"/>
      <c r="W303" s="199"/>
      <c r="X303" s="285" t="s">
        <v>636</v>
      </c>
      <c r="Y303" s="285" t="s">
        <v>231</v>
      </c>
      <c r="Z303" s="286" t="s">
        <v>2081</v>
      </c>
      <c r="AA303" s="240" t="s">
        <v>2082</v>
      </c>
      <c r="AB303" s="287" t="s">
        <v>1194</v>
      </c>
      <c r="AC303" s="288">
        <v>2</v>
      </c>
      <c r="AD303" s="289">
        <v>46.34</v>
      </c>
      <c r="AE303" s="290">
        <f t="shared" si="58"/>
        <v>92.68</v>
      </c>
      <c r="AF303" s="227"/>
      <c r="AG303" s="374"/>
      <c r="AH303" s="477"/>
      <c r="AR303" s="129" t="s">
        <v>235</v>
      </c>
      <c r="AT303" s="129" t="s">
        <v>231</v>
      </c>
      <c r="AU303" s="129" t="s">
        <v>76</v>
      </c>
      <c r="AY303" s="13" t="s">
        <v>228</v>
      </c>
      <c r="BE303" s="130">
        <f t="shared" si="59"/>
        <v>0</v>
      </c>
      <c r="BF303" s="130">
        <f t="shared" si="60"/>
        <v>0</v>
      </c>
      <c r="BG303" s="130">
        <f t="shared" si="61"/>
        <v>0</v>
      </c>
      <c r="BH303" s="130">
        <f t="shared" si="62"/>
        <v>0</v>
      </c>
      <c r="BI303" s="130">
        <f t="shared" si="63"/>
        <v>0</v>
      </c>
      <c r="BJ303" s="13" t="s">
        <v>76</v>
      </c>
      <c r="BK303" s="130">
        <f t="shared" si="64"/>
        <v>92.68</v>
      </c>
      <c r="BL303" s="13" t="s">
        <v>235</v>
      </c>
      <c r="BM303" s="129" t="s">
        <v>639</v>
      </c>
    </row>
    <row r="304" spans="2:65" s="1" customFormat="1" ht="24" customHeight="1" x14ac:dyDescent="0.2">
      <c r="B304" s="118"/>
      <c r="C304" s="285" t="s">
        <v>432</v>
      </c>
      <c r="D304" s="285" t="s">
        <v>231</v>
      </c>
      <c r="E304" s="286" t="s">
        <v>2083</v>
      </c>
      <c r="F304" s="240" t="s">
        <v>2084</v>
      </c>
      <c r="G304" s="287" t="s">
        <v>1194</v>
      </c>
      <c r="H304" s="288">
        <v>1</v>
      </c>
      <c r="I304" s="289">
        <v>37.229999999999997</v>
      </c>
      <c r="J304" s="289">
        <f t="shared" si="57"/>
        <v>37.229999999999997</v>
      </c>
      <c r="K304" s="121" t="s">
        <v>1</v>
      </c>
      <c r="L304" s="465"/>
      <c r="M304" s="125"/>
      <c r="N304" s="126"/>
      <c r="O304" s="127"/>
      <c r="P304" s="127"/>
      <c r="Q304" s="127"/>
      <c r="R304" s="127"/>
      <c r="S304" s="127"/>
      <c r="T304" s="128"/>
      <c r="W304" s="199"/>
      <c r="X304" s="285" t="s">
        <v>432</v>
      </c>
      <c r="Y304" s="285" t="s">
        <v>231</v>
      </c>
      <c r="Z304" s="286" t="s">
        <v>2083</v>
      </c>
      <c r="AA304" s="240" t="s">
        <v>2084</v>
      </c>
      <c r="AB304" s="287" t="s">
        <v>1194</v>
      </c>
      <c r="AC304" s="288">
        <v>1</v>
      </c>
      <c r="AD304" s="289">
        <v>37.229999999999997</v>
      </c>
      <c r="AE304" s="290">
        <f t="shared" si="58"/>
        <v>37.229999999999997</v>
      </c>
      <c r="AF304" s="227"/>
      <c r="AG304" s="374"/>
      <c r="AH304" s="477"/>
      <c r="AR304" s="129" t="s">
        <v>235</v>
      </c>
      <c r="AT304" s="129" t="s">
        <v>231</v>
      </c>
      <c r="AU304" s="129" t="s">
        <v>76</v>
      </c>
      <c r="AY304" s="13" t="s">
        <v>228</v>
      </c>
      <c r="BE304" s="130">
        <f t="shared" si="59"/>
        <v>0</v>
      </c>
      <c r="BF304" s="130">
        <f t="shared" si="60"/>
        <v>0</v>
      </c>
      <c r="BG304" s="130">
        <f t="shared" si="61"/>
        <v>0</v>
      </c>
      <c r="BH304" s="130">
        <f t="shared" si="62"/>
        <v>0</v>
      </c>
      <c r="BI304" s="130">
        <f t="shared" si="63"/>
        <v>0</v>
      </c>
      <c r="BJ304" s="13" t="s">
        <v>76</v>
      </c>
      <c r="BK304" s="130">
        <f t="shared" si="64"/>
        <v>37.229999999999997</v>
      </c>
      <c r="BL304" s="13" t="s">
        <v>235</v>
      </c>
      <c r="BM304" s="129" t="s">
        <v>642</v>
      </c>
    </row>
    <row r="305" spans="2:65" s="1" customFormat="1" ht="24" customHeight="1" x14ac:dyDescent="0.2">
      <c r="B305" s="118"/>
      <c r="C305" s="285" t="s">
        <v>643</v>
      </c>
      <c r="D305" s="285" t="s">
        <v>231</v>
      </c>
      <c r="E305" s="286" t="s">
        <v>2085</v>
      </c>
      <c r="F305" s="240" t="s">
        <v>2086</v>
      </c>
      <c r="G305" s="287" t="s">
        <v>1194</v>
      </c>
      <c r="H305" s="288">
        <v>1</v>
      </c>
      <c r="I305" s="289">
        <v>47.56</v>
      </c>
      <c r="J305" s="289">
        <f t="shared" si="57"/>
        <v>47.56</v>
      </c>
      <c r="K305" s="121" t="s">
        <v>1</v>
      </c>
      <c r="L305" s="465"/>
      <c r="M305" s="125"/>
      <c r="N305" s="126"/>
      <c r="O305" s="127"/>
      <c r="P305" s="127"/>
      <c r="Q305" s="127"/>
      <c r="R305" s="127"/>
      <c r="S305" s="127"/>
      <c r="T305" s="128"/>
      <c r="W305" s="199"/>
      <c r="X305" s="285" t="s">
        <v>643</v>
      </c>
      <c r="Y305" s="285" t="s">
        <v>231</v>
      </c>
      <c r="Z305" s="286" t="s">
        <v>2085</v>
      </c>
      <c r="AA305" s="240" t="s">
        <v>2086</v>
      </c>
      <c r="AB305" s="287" t="s">
        <v>1194</v>
      </c>
      <c r="AC305" s="288">
        <v>1</v>
      </c>
      <c r="AD305" s="289">
        <v>47.56</v>
      </c>
      <c r="AE305" s="290">
        <f t="shared" si="58"/>
        <v>47.56</v>
      </c>
      <c r="AF305" s="227"/>
      <c r="AG305" s="374"/>
      <c r="AH305" s="477"/>
      <c r="AR305" s="129" t="s">
        <v>235</v>
      </c>
      <c r="AT305" s="129" t="s">
        <v>231</v>
      </c>
      <c r="AU305" s="129" t="s">
        <v>76</v>
      </c>
      <c r="AY305" s="13" t="s">
        <v>228</v>
      </c>
      <c r="BE305" s="130">
        <f t="shared" si="59"/>
        <v>0</v>
      </c>
      <c r="BF305" s="130">
        <f t="shared" si="60"/>
        <v>0</v>
      </c>
      <c r="BG305" s="130">
        <f t="shared" si="61"/>
        <v>0</v>
      </c>
      <c r="BH305" s="130">
        <f t="shared" si="62"/>
        <v>0</v>
      </c>
      <c r="BI305" s="130">
        <f t="shared" si="63"/>
        <v>0</v>
      </c>
      <c r="BJ305" s="13" t="s">
        <v>76</v>
      </c>
      <c r="BK305" s="130">
        <f t="shared" si="64"/>
        <v>47.56</v>
      </c>
      <c r="BL305" s="13" t="s">
        <v>235</v>
      </c>
      <c r="BM305" s="129" t="s">
        <v>646</v>
      </c>
    </row>
    <row r="306" spans="2:65" s="1" customFormat="1" ht="19.2" x14ac:dyDescent="0.2">
      <c r="B306" s="24"/>
      <c r="C306" s="407"/>
      <c r="D306" s="492" t="s">
        <v>1259</v>
      </c>
      <c r="E306" s="407"/>
      <c r="F306" s="428" t="s">
        <v>2087</v>
      </c>
      <c r="G306" s="407"/>
      <c r="H306" s="407"/>
      <c r="I306" s="407"/>
      <c r="J306" s="407"/>
      <c r="L306" s="24"/>
      <c r="M306" s="146"/>
      <c r="N306" s="42"/>
      <c r="O306" s="42"/>
      <c r="P306" s="42"/>
      <c r="Q306" s="42"/>
      <c r="R306" s="42"/>
      <c r="S306" s="42"/>
      <c r="T306" s="43"/>
      <c r="W306" s="158"/>
      <c r="X306" s="427"/>
      <c r="Y306" s="511" t="s">
        <v>1259</v>
      </c>
      <c r="Z306" s="427"/>
      <c r="AA306" s="505" t="s">
        <v>2087</v>
      </c>
      <c r="AB306" s="427"/>
      <c r="AC306" s="427"/>
      <c r="AD306" s="427"/>
      <c r="AE306" s="512"/>
      <c r="AF306" s="227"/>
      <c r="AG306" s="374"/>
      <c r="AH306" s="477"/>
      <c r="AT306" s="13" t="s">
        <v>1259</v>
      </c>
      <c r="AU306" s="13" t="s">
        <v>76</v>
      </c>
    </row>
    <row r="307" spans="2:65" s="1" customFormat="1" ht="24" customHeight="1" x14ac:dyDescent="0.2">
      <c r="B307" s="118"/>
      <c r="C307" s="285" t="s">
        <v>435</v>
      </c>
      <c r="D307" s="285" t="s">
        <v>231</v>
      </c>
      <c r="E307" s="286" t="s">
        <v>2088</v>
      </c>
      <c r="F307" s="240" t="s">
        <v>2089</v>
      </c>
      <c r="G307" s="287" t="s">
        <v>1194</v>
      </c>
      <c r="H307" s="288">
        <v>1</v>
      </c>
      <c r="I307" s="289">
        <v>39.22</v>
      </c>
      <c r="J307" s="289">
        <f t="shared" ref="J307:J318" si="65">ROUND(I307*H307,2)</f>
        <v>39.22</v>
      </c>
      <c r="K307" s="121" t="s">
        <v>1</v>
      </c>
      <c r="L307" s="465"/>
      <c r="M307" s="125"/>
      <c r="N307" s="126"/>
      <c r="O307" s="127"/>
      <c r="P307" s="127"/>
      <c r="Q307" s="127"/>
      <c r="R307" s="127"/>
      <c r="S307" s="127"/>
      <c r="T307" s="128"/>
      <c r="W307" s="199"/>
      <c r="X307" s="285" t="s">
        <v>435</v>
      </c>
      <c r="Y307" s="285" t="s">
        <v>231</v>
      </c>
      <c r="Z307" s="286" t="s">
        <v>2088</v>
      </c>
      <c r="AA307" s="240" t="s">
        <v>2089</v>
      </c>
      <c r="AB307" s="287" t="s">
        <v>1194</v>
      </c>
      <c r="AC307" s="288">
        <v>1</v>
      </c>
      <c r="AD307" s="289">
        <v>39.22</v>
      </c>
      <c r="AE307" s="290">
        <f t="shared" ref="AE307:AE318" si="66">ROUND(AD307*AC307,2)</f>
        <v>39.22</v>
      </c>
      <c r="AF307" s="227"/>
      <c r="AG307" s="374"/>
      <c r="AH307" s="477"/>
      <c r="AR307" s="129" t="s">
        <v>235</v>
      </c>
      <c r="AT307" s="129" t="s">
        <v>231</v>
      </c>
      <c r="AU307" s="129" t="s">
        <v>76</v>
      </c>
      <c r="AY307" s="13" t="s">
        <v>228</v>
      </c>
      <c r="BE307" s="130">
        <f t="shared" ref="BE307:BE318" si="67">IF(N307="základná",J307,0)</f>
        <v>0</v>
      </c>
      <c r="BF307" s="130">
        <f t="shared" ref="BF307:BF318" si="68">IF(N307="znížená",J307,0)</f>
        <v>0</v>
      </c>
      <c r="BG307" s="130">
        <f t="shared" ref="BG307:BG318" si="69">IF(N307="zákl. prenesená",J307,0)</f>
        <v>0</v>
      </c>
      <c r="BH307" s="130">
        <f t="shared" ref="BH307:BH318" si="70">IF(N307="zníž. prenesená",J307,0)</f>
        <v>0</v>
      </c>
      <c r="BI307" s="130">
        <f t="shared" ref="BI307:BI318" si="71">IF(N307="nulová",J307,0)</f>
        <v>0</v>
      </c>
      <c r="BJ307" s="13" t="s">
        <v>76</v>
      </c>
      <c r="BK307" s="130">
        <f t="shared" ref="BK307:BK318" si="72">ROUND(I307*H307,2)</f>
        <v>39.22</v>
      </c>
      <c r="BL307" s="13" t="s">
        <v>235</v>
      </c>
      <c r="BM307" s="129" t="s">
        <v>649</v>
      </c>
    </row>
    <row r="308" spans="2:65" s="1" customFormat="1" ht="24" customHeight="1" x14ac:dyDescent="0.2">
      <c r="B308" s="118"/>
      <c r="C308" s="285" t="s">
        <v>650</v>
      </c>
      <c r="D308" s="285" t="s">
        <v>231</v>
      </c>
      <c r="E308" s="286" t="s">
        <v>2090</v>
      </c>
      <c r="F308" s="240" t="s">
        <v>2091</v>
      </c>
      <c r="G308" s="287" t="s">
        <v>1194</v>
      </c>
      <c r="H308" s="288">
        <v>1</v>
      </c>
      <c r="I308" s="289">
        <v>28.53</v>
      </c>
      <c r="J308" s="289">
        <f t="shared" si="65"/>
        <v>28.53</v>
      </c>
      <c r="K308" s="121" t="s">
        <v>1</v>
      </c>
      <c r="L308" s="465"/>
      <c r="M308" s="125"/>
      <c r="N308" s="126"/>
      <c r="O308" s="127"/>
      <c r="P308" s="127"/>
      <c r="Q308" s="127"/>
      <c r="R308" s="127"/>
      <c r="S308" s="127"/>
      <c r="T308" s="128"/>
      <c r="W308" s="199"/>
      <c r="X308" s="285" t="s">
        <v>650</v>
      </c>
      <c r="Y308" s="285" t="s">
        <v>231</v>
      </c>
      <c r="Z308" s="286" t="s">
        <v>2090</v>
      </c>
      <c r="AA308" s="240" t="s">
        <v>2091</v>
      </c>
      <c r="AB308" s="287" t="s">
        <v>1194</v>
      </c>
      <c r="AC308" s="288">
        <v>1</v>
      </c>
      <c r="AD308" s="289">
        <v>28.53</v>
      </c>
      <c r="AE308" s="290">
        <f t="shared" si="66"/>
        <v>28.53</v>
      </c>
      <c r="AF308" s="227"/>
      <c r="AG308" s="374"/>
      <c r="AH308" s="477"/>
      <c r="AR308" s="129" t="s">
        <v>235</v>
      </c>
      <c r="AT308" s="129" t="s">
        <v>231</v>
      </c>
      <c r="AU308" s="129" t="s">
        <v>76</v>
      </c>
      <c r="AY308" s="13" t="s">
        <v>228</v>
      </c>
      <c r="BE308" s="130">
        <f t="shared" si="67"/>
        <v>0</v>
      </c>
      <c r="BF308" s="130">
        <f t="shared" si="68"/>
        <v>0</v>
      </c>
      <c r="BG308" s="130">
        <f t="shared" si="69"/>
        <v>0</v>
      </c>
      <c r="BH308" s="130">
        <f t="shared" si="70"/>
        <v>0</v>
      </c>
      <c r="BI308" s="130">
        <f t="shared" si="71"/>
        <v>0</v>
      </c>
      <c r="BJ308" s="13" t="s">
        <v>76</v>
      </c>
      <c r="BK308" s="130">
        <f t="shared" si="72"/>
        <v>28.53</v>
      </c>
      <c r="BL308" s="13" t="s">
        <v>235</v>
      </c>
      <c r="BM308" s="129" t="s">
        <v>653</v>
      </c>
    </row>
    <row r="309" spans="2:65" s="1" customFormat="1" ht="24" customHeight="1" x14ac:dyDescent="0.2">
      <c r="B309" s="118"/>
      <c r="C309" s="285" t="s">
        <v>441</v>
      </c>
      <c r="D309" s="285" t="s">
        <v>231</v>
      </c>
      <c r="E309" s="286" t="s">
        <v>2092</v>
      </c>
      <c r="F309" s="240" t="s">
        <v>2093</v>
      </c>
      <c r="G309" s="287" t="s">
        <v>1194</v>
      </c>
      <c r="H309" s="288">
        <v>1</v>
      </c>
      <c r="I309" s="289">
        <v>36.57</v>
      </c>
      <c r="J309" s="289">
        <f t="shared" si="65"/>
        <v>36.57</v>
      </c>
      <c r="K309" s="121" t="s">
        <v>1</v>
      </c>
      <c r="L309" s="465"/>
      <c r="M309" s="125"/>
      <c r="N309" s="126"/>
      <c r="O309" s="127"/>
      <c r="P309" s="127"/>
      <c r="Q309" s="127"/>
      <c r="R309" s="127"/>
      <c r="S309" s="127"/>
      <c r="T309" s="128"/>
      <c r="W309" s="199"/>
      <c r="X309" s="285" t="s">
        <v>441</v>
      </c>
      <c r="Y309" s="285" t="s">
        <v>231</v>
      </c>
      <c r="Z309" s="286" t="s">
        <v>2092</v>
      </c>
      <c r="AA309" s="240" t="s">
        <v>2093</v>
      </c>
      <c r="AB309" s="287" t="s">
        <v>1194</v>
      </c>
      <c r="AC309" s="288">
        <v>1</v>
      </c>
      <c r="AD309" s="289">
        <v>36.57</v>
      </c>
      <c r="AE309" s="290">
        <f t="shared" si="66"/>
        <v>36.57</v>
      </c>
      <c r="AF309" s="227"/>
      <c r="AG309" s="374"/>
      <c r="AH309" s="477"/>
      <c r="AR309" s="129" t="s">
        <v>235</v>
      </c>
      <c r="AT309" s="129" t="s">
        <v>231</v>
      </c>
      <c r="AU309" s="129" t="s">
        <v>76</v>
      </c>
      <c r="AY309" s="13" t="s">
        <v>228</v>
      </c>
      <c r="BE309" s="130">
        <f t="shared" si="67"/>
        <v>0</v>
      </c>
      <c r="BF309" s="130">
        <f t="shared" si="68"/>
        <v>0</v>
      </c>
      <c r="BG309" s="130">
        <f t="shared" si="69"/>
        <v>0</v>
      </c>
      <c r="BH309" s="130">
        <f t="shared" si="70"/>
        <v>0</v>
      </c>
      <c r="BI309" s="130">
        <f t="shared" si="71"/>
        <v>0</v>
      </c>
      <c r="BJ309" s="13" t="s">
        <v>76</v>
      </c>
      <c r="BK309" s="130">
        <f t="shared" si="72"/>
        <v>36.57</v>
      </c>
      <c r="BL309" s="13" t="s">
        <v>235</v>
      </c>
      <c r="BM309" s="129" t="s">
        <v>656</v>
      </c>
    </row>
    <row r="310" spans="2:65" s="1" customFormat="1" ht="24" customHeight="1" x14ac:dyDescent="0.2">
      <c r="B310" s="118"/>
      <c r="C310" s="285" t="s">
        <v>657</v>
      </c>
      <c r="D310" s="285" t="s">
        <v>231</v>
      </c>
      <c r="E310" s="286" t="s">
        <v>2094</v>
      </c>
      <c r="F310" s="240" t="s">
        <v>2095</v>
      </c>
      <c r="G310" s="287" t="s">
        <v>1194</v>
      </c>
      <c r="H310" s="288">
        <v>1</v>
      </c>
      <c r="I310" s="289">
        <v>25.2</v>
      </c>
      <c r="J310" s="289">
        <f t="shared" si="65"/>
        <v>25.2</v>
      </c>
      <c r="K310" s="121" t="s">
        <v>1</v>
      </c>
      <c r="L310" s="465"/>
      <c r="M310" s="125"/>
      <c r="N310" s="126"/>
      <c r="O310" s="127"/>
      <c r="P310" s="127"/>
      <c r="Q310" s="127"/>
      <c r="R310" s="127"/>
      <c r="S310" s="127"/>
      <c r="T310" s="128"/>
      <c r="W310" s="199"/>
      <c r="X310" s="285" t="s">
        <v>657</v>
      </c>
      <c r="Y310" s="285" t="s">
        <v>231</v>
      </c>
      <c r="Z310" s="286" t="s">
        <v>2094</v>
      </c>
      <c r="AA310" s="240" t="s">
        <v>2095</v>
      </c>
      <c r="AB310" s="287" t="s">
        <v>1194</v>
      </c>
      <c r="AC310" s="288">
        <v>1</v>
      </c>
      <c r="AD310" s="289">
        <v>25.2</v>
      </c>
      <c r="AE310" s="290">
        <f t="shared" si="66"/>
        <v>25.2</v>
      </c>
      <c r="AF310" s="227"/>
      <c r="AG310" s="374"/>
      <c r="AH310" s="477"/>
      <c r="AR310" s="129" t="s">
        <v>235</v>
      </c>
      <c r="AT310" s="129" t="s">
        <v>231</v>
      </c>
      <c r="AU310" s="129" t="s">
        <v>76</v>
      </c>
      <c r="AY310" s="13" t="s">
        <v>228</v>
      </c>
      <c r="BE310" s="130">
        <f t="shared" si="67"/>
        <v>0</v>
      </c>
      <c r="BF310" s="130">
        <f t="shared" si="68"/>
        <v>0</v>
      </c>
      <c r="BG310" s="130">
        <f t="shared" si="69"/>
        <v>0</v>
      </c>
      <c r="BH310" s="130">
        <f t="shared" si="70"/>
        <v>0</v>
      </c>
      <c r="BI310" s="130">
        <f t="shared" si="71"/>
        <v>0</v>
      </c>
      <c r="BJ310" s="13" t="s">
        <v>76</v>
      </c>
      <c r="BK310" s="130">
        <f t="shared" si="72"/>
        <v>25.2</v>
      </c>
      <c r="BL310" s="13" t="s">
        <v>235</v>
      </c>
      <c r="BM310" s="129" t="s">
        <v>660</v>
      </c>
    </row>
    <row r="311" spans="2:65" s="1" customFormat="1" ht="24" customHeight="1" x14ac:dyDescent="0.2">
      <c r="B311" s="118"/>
      <c r="C311" s="285" t="s">
        <v>444</v>
      </c>
      <c r="D311" s="285" t="s">
        <v>231</v>
      </c>
      <c r="E311" s="286" t="s">
        <v>2096</v>
      </c>
      <c r="F311" s="240" t="s">
        <v>2097</v>
      </c>
      <c r="G311" s="287" t="s">
        <v>1194</v>
      </c>
      <c r="H311" s="288">
        <v>3</v>
      </c>
      <c r="I311" s="289">
        <v>18.27</v>
      </c>
      <c r="J311" s="289">
        <f t="shared" si="65"/>
        <v>54.81</v>
      </c>
      <c r="K311" s="121" t="s">
        <v>1</v>
      </c>
      <c r="L311" s="465"/>
      <c r="M311" s="125"/>
      <c r="N311" s="126"/>
      <c r="O311" s="127"/>
      <c r="P311" s="127"/>
      <c r="Q311" s="127"/>
      <c r="R311" s="127"/>
      <c r="S311" s="127"/>
      <c r="T311" s="128"/>
      <c r="W311" s="199"/>
      <c r="X311" s="285" t="s">
        <v>444</v>
      </c>
      <c r="Y311" s="285" t="s">
        <v>231</v>
      </c>
      <c r="Z311" s="286" t="s">
        <v>2096</v>
      </c>
      <c r="AA311" s="240" t="s">
        <v>2097</v>
      </c>
      <c r="AB311" s="287" t="s">
        <v>1194</v>
      </c>
      <c r="AC311" s="288">
        <v>3</v>
      </c>
      <c r="AD311" s="289">
        <v>18.27</v>
      </c>
      <c r="AE311" s="290">
        <f t="shared" si="66"/>
        <v>54.81</v>
      </c>
      <c r="AF311" s="227"/>
      <c r="AG311" s="374"/>
      <c r="AH311" s="477"/>
      <c r="AR311" s="129" t="s">
        <v>235</v>
      </c>
      <c r="AT311" s="129" t="s">
        <v>231</v>
      </c>
      <c r="AU311" s="129" t="s">
        <v>76</v>
      </c>
      <c r="AY311" s="13" t="s">
        <v>228</v>
      </c>
      <c r="BE311" s="130">
        <f t="shared" si="67"/>
        <v>0</v>
      </c>
      <c r="BF311" s="130">
        <f t="shared" si="68"/>
        <v>0</v>
      </c>
      <c r="BG311" s="130">
        <f t="shared" si="69"/>
        <v>0</v>
      </c>
      <c r="BH311" s="130">
        <f t="shared" si="70"/>
        <v>0</v>
      </c>
      <c r="BI311" s="130">
        <f t="shared" si="71"/>
        <v>0</v>
      </c>
      <c r="BJ311" s="13" t="s">
        <v>76</v>
      </c>
      <c r="BK311" s="130">
        <f t="shared" si="72"/>
        <v>54.81</v>
      </c>
      <c r="BL311" s="13" t="s">
        <v>235</v>
      </c>
      <c r="BM311" s="129" t="s">
        <v>663</v>
      </c>
    </row>
    <row r="312" spans="2:65" s="1" customFormat="1" ht="24" customHeight="1" x14ac:dyDescent="0.2">
      <c r="B312" s="118"/>
      <c r="C312" s="285" t="s">
        <v>664</v>
      </c>
      <c r="D312" s="285" t="s">
        <v>231</v>
      </c>
      <c r="E312" s="286" t="s">
        <v>1889</v>
      </c>
      <c r="F312" s="240" t="s">
        <v>1890</v>
      </c>
      <c r="G312" s="287" t="s">
        <v>1194</v>
      </c>
      <c r="H312" s="288">
        <v>1</v>
      </c>
      <c r="I312" s="289">
        <v>18.27</v>
      </c>
      <c r="J312" s="289">
        <f t="shared" si="65"/>
        <v>18.27</v>
      </c>
      <c r="K312" s="121" t="s">
        <v>1</v>
      </c>
      <c r="L312" s="465"/>
      <c r="M312" s="125"/>
      <c r="N312" s="126"/>
      <c r="O312" s="127"/>
      <c r="P312" s="127"/>
      <c r="Q312" s="127"/>
      <c r="R312" s="127"/>
      <c r="S312" s="127"/>
      <c r="T312" s="128"/>
      <c r="W312" s="199"/>
      <c r="X312" s="285" t="s">
        <v>664</v>
      </c>
      <c r="Y312" s="285" t="s">
        <v>231</v>
      </c>
      <c r="Z312" s="286" t="s">
        <v>1889</v>
      </c>
      <c r="AA312" s="240" t="s">
        <v>1890</v>
      </c>
      <c r="AB312" s="287" t="s">
        <v>1194</v>
      </c>
      <c r="AC312" s="288">
        <v>1</v>
      </c>
      <c r="AD312" s="289">
        <v>18.27</v>
      </c>
      <c r="AE312" s="290">
        <f t="shared" si="66"/>
        <v>18.27</v>
      </c>
      <c r="AF312" s="227"/>
      <c r="AG312" s="374"/>
      <c r="AH312" s="477"/>
      <c r="AR312" s="129" t="s">
        <v>235</v>
      </c>
      <c r="AT312" s="129" t="s">
        <v>231</v>
      </c>
      <c r="AU312" s="129" t="s">
        <v>76</v>
      </c>
      <c r="AY312" s="13" t="s">
        <v>228</v>
      </c>
      <c r="BE312" s="130">
        <f t="shared" si="67"/>
        <v>0</v>
      </c>
      <c r="BF312" s="130">
        <f t="shared" si="68"/>
        <v>0</v>
      </c>
      <c r="BG312" s="130">
        <f t="shared" si="69"/>
        <v>0</v>
      </c>
      <c r="BH312" s="130">
        <f t="shared" si="70"/>
        <v>0</v>
      </c>
      <c r="BI312" s="130">
        <f t="shared" si="71"/>
        <v>0</v>
      </c>
      <c r="BJ312" s="13" t="s">
        <v>76</v>
      </c>
      <c r="BK312" s="130">
        <f t="shared" si="72"/>
        <v>18.27</v>
      </c>
      <c r="BL312" s="13" t="s">
        <v>235</v>
      </c>
      <c r="BM312" s="129" t="s">
        <v>667</v>
      </c>
    </row>
    <row r="313" spans="2:65" s="1" customFormat="1" ht="16.5" customHeight="1" x14ac:dyDescent="0.2">
      <c r="B313" s="118"/>
      <c r="C313" s="285" t="s">
        <v>448</v>
      </c>
      <c r="D313" s="285" t="s">
        <v>231</v>
      </c>
      <c r="E313" s="286" t="s">
        <v>2030</v>
      </c>
      <c r="F313" s="240" t="s">
        <v>2031</v>
      </c>
      <c r="G313" s="287" t="s">
        <v>292</v>
      </c>
      <c r="H313" s="288">
        <v>20</v>
      </c>
      <c r="I313" s="289">
        <v>11.34</v>
      </c>
      <c r="J313" s="289">
        <f t="shared" si="65"/>
        <v>226.8</v>
      </c>
      <c r="K313" s="121" t="s">
        <v>1</v>
      </c>
      <c r="L313" s="465"/>
      <c r="M313" s="125"/>
      <c r="N313" s="126"/>
      <c r="O313" s="127"/>
      <c r="P313" s="127"/>
      <c r="Q313" s="127"/>
      <c r="R313" s="127"/>
      <c r="S313" s="127"/>
      <c r="T313" s="128"/>
      <c r="W313" s="199"/>
      <c r="X313" s="285" t="s">
        <v>448</v>
      </c>
      <c r="Y313" s="285" t="s">
        <v>231</v>
      </c>
      <c r="Z313" s="286" t="s">
        <v>2030</v>
      </c>
      <c r="AA313" s="240" t="s">
        <v>2031</v>
      </c>
      <c r="AB313" s="287" t="s">
        <v>292</v>
      </c>
      <c r="AC313" s="288">
        <v>20</v>
      </c>
      <c r="AD313" s="289">
        <v>11.34</v>
      </c>
      <c r="AE313" s="290">
        <f t="shared" si="66"/>
        <v>226.8</v>
      </c>
      <c r="AF313" s="227"/>
      <c r="AG313" s="374"/>
      <c r="AH313" s="477"/>
      <c r="AR313" s="129" t="s">
        <v>235</v>
      </c>
      <c r="AT313" s="129" t="s">
        <v>231</v>
      </c>
      <c r="AU313" s="129" t="s">
        <v>76</v>
      </c>
      <c r="AY313" s="13" t="s">
        <v>228</v>
      </c>
      <c r="BE313" s="130">
        <f t="shared" si="67"/>
        <v>0</v>
      </c>
      <c r="BF313" s="130">
        <f t="shared" si="68"/>
        <v>0</v>
      </c>
      <c r="BG313" s="130">
        <f t="shared" si="69"/>
        <v>0</v>
      </c>
      <c r="BH313" s="130">
        <f t="shared" si="70"/>
        <v>0</v>
      </c>
      <c r="BI313" s="130">
        <f t="shared" si="71"/>
        <v>0</v>
      </c>
      <c r="BJ313" s="13" t="s">
        <v>76</v>
      </c>
      <c r="BK313" s="130">
        <f t="shared" si="72"/>
        <v>226.8</v>
      </c>
      <c r="BL313" s="13" t="s">
        <v>235</v>
      </c>
      <c r="BM313" s="129" t="s">
        <v>670</v>
      </c>
    </row>
    <row r="314" spans="2:65" s="1" customFormat="1" ht="16.5" customHeight="1" x14ac:dyDescent="0.2">
      <c r="B314" s="118"/>
      <c r="C314" s="285" t="s">
        <v>671</v>
      </c>
      <c r="D314" s="285" t="s">
        <v>231</v>
      </c>
      <c r="E314" s="286" t="s">
        <v>2098</v>
      </c>
      <c r="F314" s="240" t="s">
        <v>2099</v>
      </c>
      <c r="G314" s="287" t="s">
        <v>1194</v>
      </c>
      <c r="H314" s="288">
        <v>4</v>
      </c>
      <c r="I314" s="289">
        <v>6.77</v>
      </c>
      <c r="J314" s="289">
        <f t="shared" si="65"/>
        <v>27.08</v>
      </c>
      <c r="K314" s="121" t="s">
        <v>1</v>
      </c>
      <c r="L314" s="465"/>
      <c r="M314" s="125"/>
      <c r="N314" s="126"/>
      <c r="O314" s="127"/>
      <c r="P314" s="127"/>
      <c r="Q314" s="127"/>
      <c r="R314" s="127"/>
      <c r="S314" s="127"/>
      <c r="T314" s="128"/>
      <c r="W314" s="199"/>
      <c r="X314" s="285" t="s">
        <v>671</v>
      </c>
      <c r="Y314" s="285" t="s">
        <v>231</v>
      </c>
      <c r="Z314" s="286" t="s">
        <v>2098</v>
      </c>
      <c r="AA314" s="240" t="s">
        <v>2099</v>
      </c>
      <c r="AB314" s="287" t="s">
        <v>1194</v>
      </c>
      <c r="AC314" s="288">
        <v>4</v>
      </c>
      <c r="AD314" s="289">
        <v>6.77</v>
      </c>
      <c r="AE314" s="290">
        <f t="shared" si="66"/>
        <v>27.08</v>
      </c>
      <c r="AF314" s="227"/>
      <c r="AG314" s="374"/>
      <c r="AH314" s="477"/>
      <c r="AR314" s="129" t="s">
        <v>235</v>
      </c>
      <c r="AT314" s="129" t="s">
        <v>231</v>
      </c>
      <c r="AU314" s="129" t="s">
        <v>76</v>
      </c>
      <c r="AY314" s="13" t="s">
        <v>228</v>
      </c>
      <c r="BE314" s="130">
        <f t="shared" si="67"/>
        <v>0</v>
      </c>
      <c r="BF314" s="130">
        <f t="shared" si="68"/>
        <v>0</v>
      </c>
      <c r="BG314" s="130">
        <f t="shared" si="69"/>
        <v>0</v>
      </c>
      <c r="BH314" s="130">
        <f t="shared" si="70"/>
        <v>0</v>
      </c>
      <c r="BI314" s="130">
        <f t="shared" si="71"/>
        <v>0</v>
      </c>
      <c r="BJ314" s="13" t="s">
        <v>76</v>
      </c>
      <c r="BK314" s="130">
        <f t="shared" si="72"/>
        <v>27.08</v>
      </c>
      <c r="BL314" s="13" t="s">
        <v>235</v>
      </c>
      <c r="BM314" s="129" t="s">
        <v>674</v>
      </c>
    </row>
    <row r="315" spans="2:65" s="1" customFormat="1" ht="26.55" customHeight="1" x14ac:dyDescent="0.2">
      <c r="B315" s="118"/>
      <c r="C315" s="285" t="s">
        <v>451</v>
      </c>
      <c r="D315" s="285" t="s">
        <v>231</v>
      </c>
      <c r="E315" s="286" t="s">
        <v>2100</v>
      </c>
      <c r="F315" s="240" t="s">
        <v>2101</v>
      </c>
      <c r="G315" s="287" t="s">
        <v>1194</v>
      </c>
      <c r="H315" s="288">
        <v>2</v>
      </c>
      <c r="I315" s="289">
        <v>20.57</v>
      </c>
      <c r="J315" s="289">
        <f t="shared" si="65"/>
        <v>41.14</v>
      </c>
      <c r="K315" s="121" t="s">
        <v>1</v>
      </c>
      <c r="L315" s="465"/>
      <c r="M315" s="125"/>
      <c r="N315" s="126"/>
      <c r="O315" s="127"/>
      <c r="P315" s="127"/>
      <c r="Q315" s="127"/>
      <c r="R315" s="127"/>
      <c r="S315" s="127"/>
      <c r="T315" s="128"/>
      <c r="W315" s="199"/>
      <c r="X315" s="285" t="s">
        <v>451</v>
      </c>
      <c r="Y315" s="285" t="s">
        <v>231</v>
      </c>
      <c r="Z315" s="286" t="s">
        <v>2100</v>
      </c>
      <c r="AA315" s="240" t="s">
        <v>2101</v>
      </c>
      <c r="AB315" s="287" t="s">
        <v>1194</v>
      </c>
      <c r="AC315" s="288">
        <v>2</v>
      </c>
      <c r="AD315" s="289">
        <v>20.57</v>
      </c>
      <c r="AE315" s="290">
        <f t="shared" si="66"/>
        <v>41.14</v>
      </c>
      <c r="AF315" s="227"/>
      <c r="AG315" s="374"/>
      <c r="AH315" s="477"/>
      <c r="AR315" s="129" t="s">
        <v>235</v>
      </c>
      <c r="AT315" s="129" t="s">
        <v>231</v>
      </c>
      <c r="AU315" s="129" t="s">
        <v>76</v>
      </c>
      <c r="AY315" s="13" t="s">
        <v>228</v>
      </c>
      <c r="BE315" s="130">
        <f t="shared" si="67"/>
        <v>0</v>
      </c>
      <c r="BF315" s="130">
        <f t="shared" si="68"/>
        <v>0</v>
      </c>
      <c r="BG315" s="130">
        <f t="shared" si="69"/>
        <v>0</v>
      </c>
      <c r="BH315" s="130">
        <f t="shared" si="70"/>
        <v>0</v>
      </c>
      <c r="BI315" s="130">
        <f t="shared" si="71"/>
        <v>0</v>
      </c>
      <c r="BJ315" s="13" t="s">
        <v>76</v>
      </c>
      <c r="BK315" s="130">
        <f t="shared" si="72"/>
        <v>41.14</v>
      </c>
      <c r="BL315" s="13" t="s">
        <v>235</v>
      </c>
      <c r="BM315" s="129" t="s">
        <v>677</v>
      </c>
    </row>
    <row r="316" spans="2:65" s="1" customFormat="1" ht="16.5" customHeight="1" x14ac:dyDescent="0.2">
      <c r="B316" s="118"/>
      <c r="C316" s="285" t="s">
        <v>678</v>
      </c>
      <c r="D316" s="285" t="s">
        <v>231</v>
      </c>
      <c r="E316" s="286" t="s">
        <v>2102</v>
      </c>
      <c r="F316" s="240" t="s">
        <v>2103</v>
      </c>
      <c r="G316" s="287" t="s">
        <v>1194</v>
      </c>
      <c r="H316" s="288">
        <v>4</v>
      </c>
      <c r="I316" s="289">
        <v>12.76</v>
      </c>
      <c r="J316" s="289">
        <f t="shared" si="65"/>
        <v>51.04</v>
      </c>
      <c r="K316" s="121" t="s">
        <v>1</v>
      </c>
      <c r="L316" s="465"/>
      <c r="M316" s="125"/>
      <c r="N316" s="126"/>
      <c r="O316" s="127"/>
      <c r="P316" s="127"/>
      <c r="Q316" s="127"/>
      <c r="R316" s="127"/>
      <c r="S316" s="127"/>
      <c r="T316" s="128"/>
      <c r="W316" s="199"/>
      <c r="X316" s="285" t="s">
        <v>678</v>
      </c>
      <c r="Y316" s="285" t="s">
        <v>231</v>
      </c>
      <c r="Z316" s="286" t="s">
        <v>2102</v>
      </c>
      <c r="AA316" s="240" t="s">
        <v>2103</v>
      </c>
      <c r="AB316" s="287" t="s">
        <v>1194</v>
      </c>
      <c r="AC316" s="288">
        <v>4</v>
      </c>
      <c r="AD316" s="289">
        <v>12.76</v>
      </c>
      <c r="AE316" s="290">
        <f t="shared" si="66"/>
        <v>51.04</v>
      </c>
      <c r="AF316" s="227"/>
      <c r="AG316" s="374"/>
      <c r="AH316" s="477"/>
      <c r="AR316" s="129" t="s">
        <v>235</v>
      </c>
      <c r="AT316" s="129" t="s">
        <v>231</v>
      </c>
      <c r="AU316" s="129" t="s">
        <v>76</v>
      </c>
      <c r="AY316" s="13" t="s">
        <v>228</v>
      </c>
      <c r="BE316" s="130">
        <f t="shared" si="67"/>
        <v>0</v>
      </c>
      <c r="BF316" s="130">
        <f t="shared" si="68"/>
        <v>0</v>
      </c>
      <c r="BG316" s="130">
        <f t="shared" si="69"/>
        <v>0</v>
      </c>
      <c r="BH316" s="130">
        <f t="shared" si="70"/>
        <v>0</v>
      </c>
      <c r="BI316" s="130">
        <f t="shared" si="71"/>
        <v>0</v>
      </c>
      <c r="BJ316" s="13" t="s">
        <v>76</v>
      </c>
      <c r="BK316" s="130">
        <f t="shared" si="72"/>
        <v>51.04</v>
      </c>
      <c r="BL316" s="13" t="s">
        <v>235</v>
      </c>
      <c r="BM316" s="129" t="s">
        <v>681</v>
      </c>
    </row>
    <row r="317" spans="2:65" s="1" customFormat="1" ht="16.5" customHeight="1" x14ac:dyDescent="0.2">
      <c r="B317" s="118"/>
      <c r="C317" s="285" t="s">
        <v>455</v>
      </c>
      <c r="D317" s="285" t="s">
        <v>231</v>
      </c>
      <c r="E317" s="286" t="s">
        <v>2104</v>
      </c>
      <c r="F317" s="240" t="s">
        <v>2105</v>
      </c>
      <c r="G317" s="287" t="s">
        <v>1194</v>
      </c>
      <c r="H317" s="288">
        <v>6</v>
      </c>
      <c r="I317" s="289">
        <v>12.77</v>
      </c>
      <c r="J317" s="289">
        <f t="shared" si="65"/>
        <v>76.62</v>
      </c>
      <c r="K317" s="121" t="s">
        <v>1</v>
      </c>
      <c r="L317" s="465"/>
      <c r="M317" s="125"/>
      <c r="N317" s="126"/>
      <c r="O317" s="127"/>
      <c r="P317" s="127"/>
      <c r="Q317" s="127"/>
      <c r="R317" s="127"/>
      <c r="S317" s="127"/>
      <c r="T317" s="128"/>
      <c r="W317" s="199"/>
      <c r="X317" s="285" t="s">
        <v>455</v>
      </c>
      <c r="Y317" s="285" t="s">
        <v>231</v>
      </c>
      <c r="Z317" s="286" t="s">
        <v>2104</v>
      </c>
      <c r="AA317" s="240" t="s">
        <v>2105</v>
      </c>
      <c r="AB317" s="287" t="s">
        <v>1194</v>
      </c>
      <c r="AC317" s="288">
        <v>6</v>
      </c>
      <c r="AD317" s="289">
        <v>12.77</v>
      </c>
      <c r="AE317" s="290">
        <f t="shared" si="66"/>
        <v>76.62</v>
      </c>
      <c r="AF317" s="227"/>
      <c r="AG317" s="374"/>
      <c r="AH317" s="477"/>
      <c r="AR317" s="129" t="s">
        <v>235</v>
      </c>
      <c r="AT317" s="129" t="s">
        <v>231</v>
      </c>
      <c r="AU317" s="129" t="s">
        <v>76</v>
      </c>
      <c r="AY317" s="13" t="s">
        <v>228</v>
      </c>
      <c r="BE317" s="130">
        <f t="shared" si="67"/>
        <v>0</v>
      </c>
      <c r="BF317" s="130">
        <f t="shared" si="68"/>
        <v>0</v>
      </c>
      <c r="BG317" s="130">
        <f t="shared" si="69"/>
        <v>0</v>
      </c>
      <c r="BH317" s="130">
        <f t="shared" si="70"/>
        <v>0</v>
      </c>
      <c r="BI317" s="130">
        <f t="shared" si="71"/>
        <v>0</v>
      </c>
      <c r="BJ317" s="13" t="s">
        <v>76</v>
      </c>
      <c r="BK317" s="130">
        <f t="shared" si="72"/>
        <v>76.62</v>
      </c>
      <c r="BL317" s="13" t="s">
        <v>235</v>
      </c>
      <c r="BM317" s="129" t="s">
        <v>684</v>
      </c>
    </row>
    <row r="318" spans="2:65" s="1" customFormat="1" ht="16.5" customHeight="1" x14ac:dyDescent="0.2">
      <c r="B318" s="118"/>
      <c r="C318" s="285" t="s">
        <v>685</v>
      </c>
      <c r="D318" s="285" t="s">
        <v>231</v>
      </c>
      <c r="E318" s="286" t="s">
        <v>2106</v>
      </c>
      <c r="F318" s="240" t="s">
        <v>2107</v>
      </c>
      <c r="G318" s="287" t="s">
        <v>1194</v>
      </c>
      <c r="H318" s="288">
        <v>1</v>
      </c>
      <c r="I318" s="289">
        <v>49.79</v>
      </c>
      <c r="J318" s="289">
        <f t="shared" si="65"/>
        <v>49.79</v>
      </c>
      <c r="K318" s="121" t="s">
        <v>1</v>
      </c>
      <c r="L318" s="465"/>
      <c r="M318" s="125"/>
      <c r="N318" s="126"/>
      <c r="O318" s="127"/>
      <c r="P318" s="127"/>
      <c r="Q318" s="127"/>
      <c r="R318" s="127"/>
      <c r="S318" s="127"/>
      <c r="T318" s="128"/>
      <c r="W318" s="199"/>
      <c r="X318" s="285" t="s">
        <v>685</v>
      </c>
      <c r="Y318" s="285" t="s">
        <v>231</v>
      </c>
      <c r="Z318" s="286" t="s">
        <v>2106</v>
      </c>
      <c r="AA318" s="240" t="s">
        <v>2107</v>
      </c>
      <c r="AB318" s="287" t="s">
        <v>1194</v>
      </c>
      <c r="AC318" s="288">
        <v>1</v>
      </c>
      <c r="AD318" s="289">
        <v>49.79</v>
      </c>
      <c r="AE318" s="290">
        <f t="shared" si="66"/>
        <v>49.79</v>
      </c>
      <c r="AF318" s="227"/>
      <c r="AG318" s="374"/>
      <c r="AH318" s="477"/>
      <c r="AR318" s="129" t="s">
        <v>235</v>
      </c>
      <c r="AT318" s="129" t="s">
        <v>231</v>
      </c>
      <c r="AU318" s="129" t="s">
        <v>76</v>
      </c>
      <c r="AY318" s="13" t="s">
        <v>228</v>
      </c>
      <c r="BE318" s="130">
        <f t="shared" si="67"/>
        <v>0</v>
      </c>
      <c r="BF318" s="130">
        <f t="shared" si="68"/>
        <v>0</v>
      </c>
      <c r="BG318" s="130">
        <f t="shared" si="69"/>
        <v>0</v>
      </c>
      <c r="BH318" s="130">
        <f t="shared" si="70"/>
        <v>0</v>
      </c>
      <c r="BI318" s="130">
        <f t="shared" si="71"/>
        <v>0</v>
      </c>
      <c r="BJ318" s="13" t="s">
        <v>76</v>
      </c>
      <c r="BK318" s="130">
        <f t="shared" si="72"/>
        <v>49.79</v>
      </c>
      <c r="BL318" s="13" t="s">
        <v>235</v>
      </c>
      <c r="BM318" s="129" t="s">
        <v>688</v>
      </c>
    </row>
    <row r="319" spans="2:65" s="11" customFormat="1" ht="22.95" customHeight="1" x14ac:dyDescent="0.25">
      <c r="B319" s="106"/>
      <c r="C319" s="292"/>
      <c r="D319" s="489" t="s">
        <v>57</v>
      </c>
      <c r="E319" s="490" t="s">
        <v>2108</v>
      </c>
      <c r="F319" s="490" t="s">
        <v>2109</v>
      </c>
      <c r="G319" s="292"/>
      <c r="H319" s="292"/>
      <c r="I319" s="292"/>
      <c r="J319" s="491">
        <f>BK319</f>
        <v>1175.8</v>
      </c>
      <c r="L319" s="106"/>
      <c r="M319" s="110"/>
      <c r="N319" s="111"/>
      <c r="O319" s="111"/>
      <c r="P319" s="112"/>
      <c r="Q319" s="111"/>
      <c r="R319" s="112"/>
      <c r="S319" s="111"/>
      <c r="T319" s="113"/>
      <c r="W319" s="195"/>
      <c r="X319" s="347"/>
      <c r="Y319" s="506" t="s">
        <v>57</v>
      </c>
      <c r="Z319" s="507" t="s">
        <v>2108</v>
      </c>
      <c r="AA319" s="507" t="s">
        <v>2109</v>
      </c>
      <c r="AB319" s="347"/>
      <c r="AC319" s="347"/>
      <c r="AD319" s="347"/>
      <c r="AE319" s="510">
        <f>SUM(AE320:AE352)</f>
        <v>1175.8</v>
      </c>
      <c r="AF319" s="227"/>
      <c r="AG319" s="374"/>
      <c r="AH319" s="477"/>
      <c r="AR319" s="107" t="s">
        <v>63</v>
      </c>
      <c r="AT319" s="114" t="s">
        <v>57</v>
      </c>
      <c r="AU319" s="114" t="s">
        <v>63</v>
      </c>
      <c r="AY319" s="107" t="s">
        <v>228</v>
      </c>
      <c r="BK319" s="115">
        <f>SUM(BK320:BK352)</f>
        <v>1175.8</v>
      </c>
    </row>
    <row r="320" spans="2:65" s="1" customFormat="1" ht="24" customHeight="1" x14ac:dyDescent="0.2">
      <c r="B320" s="118"/>
      <c r="C320" s="285" t="s">
        <v>458</v>
      </c>
      <c r="D320" s="285" t="s">
        <v>231</v>
      </c>
      <c r="E320" s="286" t="s">
        <v>2110</v>
      </c>
      <c r="F320" s="240" t="s">
        <v>2111</v>
      </c>
      <c r="G320" s="287" t="s">
        <v>1194</v>
      </c>
      <c r="H320" s="288">
        <v>1</v>
      </c>
      <c r="I320" s="289">
        <v>33.93</v>
      </c>
      <c r="J320" s="289">
        <f t="shared" ref="J320:J331" si="73">ROUND(I320*H320,2)</f>
        <v>33.93</v>
      </c>
      <c r="K320" s="121" t="s">
        <v>1</v>
      </c>
      <c r="L320" s="465"/>
      <c r="M320" s="125"/>
      <c r="N320" s="126"/>
      <c r="O320" s="127"/>
      <c r="P320" s="127"/>
      <c r="Q320" s="127"/>
      <c r="R320" s="127"/>
      <c r="S320" s="127"/>
      <c r="T320" s="128"/>
      <c r="W320" s="199"/>
      <c r="X320" s="285" t="s">
        <v>458</v>
      </c>
      <c r="Y320" s="285" t="s">
        <v>231</v>
      </c>
      <c r="Z320" s="286" t="s">
        <v>2110</v>
      </c>
      <c r="AA320" s="240" t="s">
        <v>2111</v>
      </c>
      <c r="AB320" s="287" t="s">
        <v>1194</v>
      </c>
      <c r="AC320" s="288">
        <v>1</v>
      </c>
      <c r="AD320" s="289">
        <v>33.93</v>
      </c>
      <c r="AE320" s="290">
        <f t="shared" ref="AE320:AE331" si="74">ROUND(AD320*AC320,2)</f>
        <v>33.93</v>
      </c>
      <c r="AF320" s="227"/>
      <c r="AG320" s="374"/>
      <c r="AH320" s="477"/>
      <c r="AR320" s="129" t="s">
        <v>235</v>
      </c>
      <c r="AT320" s="129" t="s">
        <v>231</v>
      </c>
      <c r="AU320" s="129" t="s">
        <v>76</v>
      </c>
      <c r="AY320" s="13" t="s">
        <v>228</v>
      </c>
      <c r="BE320" s="130">
        <f t="shared" ref="BE320:BE331" si="75">IF(N320="základná",J320,0)</f>
        <v>0</v>
      </c>
      <c r="BF320" s="130">
        <f t="shared" ref="BF320:BF331" si="76">IF(N320="znížená",J320,0)</f>
        <v>0</v>
      </c>
      <c r="BG320" s="130">
        <f t="shared" ref="BG320:BG331" si="77">IF(N320="zákl. prenesená",J320,0)</f>
        <v>0</v>
      </c>
      <c r="BH320" s="130">
        <f t="shared" ref="BH320:BH331" si="78">IF(N320="zníž. prenesená",J320,0)</f>
        <v>0</v>
      </c>
      <c r="BI320" s="130">
        <f t="shared" ref="BI320:BI331" si="79">IF(N320="nulová",J320,0)</f>
        <v>0</v>
      </c>
      <c r="BJ320" s="13" t="s">
        <v>76</v>
      </c>
      <c r="BK320" s="130">
        <f t="shared" ref="BK320:BK331" si="80">ROUND(I320*H320,2)</f>
        <v>33.93</v>
      </c>
      <c r="BL320" s="13" t="s">
        <v>235</v>
      </c>
      <c r="BM320" s="129" t="s">
        <v>691</v>
      </c>
    </row>
    <row r="321" spans="2:65" s="1" customFormat="1" ht="16.5" customHeight="1" x14ac:dyDescent="0.2">
      <c r="B321" s="118"/>
      <c r="C321" s="285" t="s">
        <v>692</v>
      </c>
      <c r="D321" s="285" t="s">
        <v>231</v>
      </c>
      <c r="E321" s="286" t="s">
        <v>2069</v>
      </c>
      <c r="F321" s="240" t="s">
        <v>2070</v>
      </c>
      <c r="G321" s="287" t="s">
        <v>1194</v>
      </c>
      <c r="H321" s="288">
        <v>1</v>
      </c>
      <c r="I321" s="289">
        <v>169.78</v>
      </c>
      <c r="J321" s="289">
        <f t="shared" si="73"/>
        <v>169.78</v>
      </c>
      <c r="K321" s="121" t="s">
        <v>1</v>
      </c>
      <c r="L321" s="465"/>
      <c r="M321" s="125"/>
      <c r="N321" s="126"/>
      <c r="O321" s="127"/>
      <c r="P321" s="127"/>
      <c r="Q321" s="127"/>
      <c r="R321" s="127"/>
      <c r="S321" s="127"/>
      <c r="T321" s="128"/>
      <c r="W321" s="199"/>
      <c r="X321" s="285" t="s">
        <v>692</v>
      </c>
      <c r="Y321" s="285" t="s">
        <v>231</v>
      </c>
      <c r="Z321" s="286" t="s">
        <v>2069</v>
      </c>
      <c r="AA321" s="240" t="s">
        <v>2070</v>
      </c>
      <c r="AB321" s="287" t="s">
        <v>1194</v>
      </c>
      <c r="AC321" s="288">
        <v>1</v>
      </c>
      <c r="AD321" s="289">
        <v>169.78</v>
      </c>
      <c r="AE321" s="290">
        <f t="shared" si="74"/>
        <v>169.78</v>
      </c>
      <c r="AF321" s="227"/>
      <c r="AG321" s="374"/>
      <c r="AH321" s="477"/>
      <c r="AR321" s="129" t="s">
        <v>235</v>
      </c>
      <c r="AT321" s="129" t="s">
        <v>231</v>
      </c>
      <c r="AU321" s="129" t="s">
        <v>76</v>
      </c>
      <c r="AY321" s="13" t="s">
        <v>228</v>
      </c>
      <c r="BE321" s="130">
        <f t="shared" si="75"/>
        <v>0</v>
      </c>
      <c r="BF321" s="130">
        <f t="shared" si="76"/>
        <v>0</v>
      </c>
      <c r="BG321" s="130">
        <f t="shared" si="77"/>
        <v>0</v>
      </c>
      <c r="BH321" s="130">
        <f t="shared" si="78"/>
        <v>0</v>
      </c>
      <c r="BI321" s="130">
        <f t="shared" si="79"/>
        <v>0</v>
      </c>
      <c r="BJ321" s="13" t="s">
        <v>76</v>
      </c>
      <c r="BK321" s="130">
        <f t="shared" si="80"/>
        <v>169.78</v>
      </c>
      <c r="BL321" s="13" t="s">
        <v>235</v>
      </c>
      <c r="BM321" s="129" t="s">
        <v>695</v>
      </c>
    </row>
    <row r="322" spans="2:65" s="1" customFormat="1" ht="24" customHeight="1" x14ac:dyDescent="0.2">
      <c r="B322" s="118"/>
      <c r="C322" s="285" t="s">
        <v>462</v>
      </c>
      <c r="D322" s="285" t="s">
        <v>231</v>
      </c>
      <c r="E322" s="286" t="s">
        <v>2112</v>
      </c>
      <c r="F322" s="240" t="s">
        <v>2113</v>
      </c>
      <c r="G322" s="287" t="s">
        <v>1194</v>
      </c>
      <c r="H322" s="288">
        <v>1</v>
      </c>
      <c r="I322" s="289">
        <v>32.450000000000003</v>
      </c>
      <c r="J322" s="289">
        <f t="shared" si="73"/>
        <v>32.450000000000003</v>
      </c>
      <c r="K322" s="121" t="s">
        <v>1</v>
      </c>
      <c r="L322" s="465"/>
      <c r="M322" s="125"/>
      <c r="N322" s="126"/>
      <c r="O322" s="127"/>
      <c r="P322" s="127"/>
      <c r="Q322" s="127"/>
      <c r="R322" s="127"/>
      <c r="S322" s="127"/>
      <c r="T322" s="128"/>
      <c r="W322" s="199"/>
      <c r="X322" s="285" t="s">
        <v>462</v>
      </c>
      <c r="Y322" s="285" t="s">
        <v>231</v>
      </c>
      <c r="Z322" s="286" t="s">
        <v>2112</v>
      </c>
      <c r="AA322" s="240" t="s">
        <v>2113</v>
      </c>
      <c r="AB322" s="287" t="s">
        <v>1194</v>
      </c>
      <c r="AC322" s="288">
        <v>1</v>
      </c>
      <c r="AD322" s="289">
        <v>32.450000000000003</v>
      </c>
      <c r="AE322" s="290">
        <f t="shared" si="74"/>
        <v>32.450000000000003</v>
      </c>
      <c r="AF322" s="227"/>
      <c r="AG322" s="374"/>
      <c r="AH322" s="477"/>
      <c r="AR322" s="129" t="s">
        <v>235</v>
      </c>
      <c r="AT322" s="129" t="s">
        <v>231</v>
      </c>
      <c r="AU322" s="129" t="s">
        <v>76</v>
      </c>
      <c r="AY322" s="13" t="s">
        <v>228</v>
      </c>
      <c r="BE322" s="130">
        <f t="shared" si="75"/>
        <v>0</v>
      </c>
      <c r="BF322" s="130">
        <f t="shared" si="76"/>
        <v>0</v>
      </c>
      <c r="BG322" s="130">
        <f t="shared" si="77"/>
        <v>0</v>
      </c>
      <c r="BH322" s="130">
        <f t="shared" si="78"/>
        <v>0</v>
      </c>
      <c r="BI322" s="130">
        <f t="shared" si="79"/>
        <v>0</v>
      </c>
      <c r="BJ322" s="13" t="s">
        <v>76</v>
      </c>
      <c r="BK322" s="130">
        <f t="shared" si="80"/>
        <v>32.450000000000003</v>
      </c>
      <c r="BL322" s="13" t="s">
        <v>235</v>
      </c>
      <c r="BM322" s="129" t="s">
        <v>698</v>
      </c>
    </row>
    <row r="323" spans="2:65" s="1" customFormat="1" ht="24" customHeight="1" x14ac:dyDescent="0.2">
      <c r="B323" s="118"/>
      <c r="C323" s="285" t="s">
        <v>699</v>
      </c>
      <c r="D323" s="285" t="s">
        <v>231</v>
      </c>
      <c r="E323" s="286" t="s">
        <v>2114</v>
      </c>
      <c r="F323" s="240" t="s">
        <v>2115</v>
      </c>
      <c r="G323" s="287" t="s">
        <v>1194</v>
      </c>
      <c r="H323" s="288">
        <v>1</v>
      </c>
      <c r="I323" s="289">
        <v>59.83</v>
      </c>
      <c r="J323" s="289">
        <f t="shared" si="73"/>
        <v>59.83</v>
      </c>
      <c r="K323" s="121" t="s">
        <v>1</v>
      </c>
      <c r="L323" s="465"/>
      <c r="M323" s="125"/>
      <c r="N323" s="126"/>
      <c r="O323" s="127"/>
      <c r="P323" s="127"/>
      <c r="Q323" s="127"/>
      <c r="R323" s="127"/>
      <c r="S323" s="127"/>
      <c r="T323" s="128"/>
      <c r="W323" s="199"/>
      <c r="X323" s="285" t="s">
        <v>699</v>
      </c>
      <c r="Y323" s="285" t="s">
        <v>231</v>
      </c>
      <c r="Z323" s="286" t="s">
        <v>2114</v>
      </c>
      <c r="AA323" s="240" t="s">
        <v>2115</v>
      </c>
      <c r="AB323" s="287" t="s">
        <v>1194</v>
      </c>
      <c r="AC323" s="288">
        <v>1</v>
      </c>
      <c r="AD323" s="289">
        <v>59.83</v>
      </c>
      <c r="AE323" s="290">
        <f t="shared" si="74"/>
        <v>59.83</v>
      </c>
      <c r="AF323" s="227"/>
      <c r="AG323" s="374"/>
      <c r="AH323" s="477"/>
      <c r="AR323" s="129" t="s">
        <v>235</v>
      </c>
      <c r="AT323" s="129" t="s">
        <v>231</v>
      </c>
      <c r="AU323" s="129" t="s">
        <v>76</v>
      </c>
      <c r="AY323" s="13" t="s">
        <v>228</v>
      </c>
      <c r="BE323" s="130">
        <f t="shared" si="75"/>
        <v>0</v>
      </c>
      <c r="BF323" s="130">
        <f t="shared" si="76"/>
        <v>0</v>
      </c>
      <c r="BG323" s="130">
        <f t="shared" si="77"/>
        <v>0</v>
      </c>
      <c r="BH323" s="130">
        <f t="shared" si="78"/>
        <v>0</v>
      </c>
      <c r="BI323" s="130">
        <f t="shared" si="79"/>
        <v>0</v>
      </c>
      <c r="BJ323" s="13" t="s">
        <v>76</v>
      </c>
      <c r="BK323" s="130">
        <f t="shared" si="80"/>
        <v>59.83</v>
      </c>
      <c r="BL323" s="13" t="s">
        <v>235</v>
      </c>
      <c r="BM323" s="129" t="s">
        <v>702</v>
      </c>
    </row>
    <row r="324" spans="2:65" s="1" customFormat="1" ht="24" customHeight="1" x14ac:dyDescent="0.2">
      <c r="B324" s="118"/>
      <c r="C324" s="285" t="s">
        <v>465</v>
      </c>
      <c r="D324" s="285" t="s">
        <v>231</v>
      </c>
      <c r="E324" s="286" t="s">
        <v>2116</v>
      </c>
      <c r="F324" s="240" t="s">
        <v>2117</v>
      </c>
      <c r="G324" s="287" t="s">
        <v>1194</v>
      </c>
      <c r="H324" s="288">
        <v>1</v>
      </c>
      <c r="I324" s="289">
        <v>28.35</v>
      </c>
      <c r="J324" s="289">
        <f t="shared" si="73"/>
        <v>28.35</v>
      </c>
      <c r="K324" s="121" t="s">
        <v>1</v>
      </c>
      <c r="L324" s="465"/>
      <c r="M324" s="125"/>
      <c r="N324" s="126"/>
      <c r="O324" s="127"/>
      <c r="P324" s="127"/>
      <c r="Q324" s="127"/>
      <c r="R324" s="127"/>
      <c r="S324" s="127"/>
      <c r="T324" s="128"/>
      <c r="W324" s="199"/>
      <c r="X324" s="285" t="s">
        <v>465</v>
      </c>
      <c r="Y324" s="285" t="s">
        <v>231</v>
      </c>
      <c r="Z324" s="286" t="s">
        <v>2116</v>
      </c>
      <c r="AA324" s="240" t="s">
        <v>2117</v>
      </c>
      <c r="AB324" s="287" t="s">
        <v>1194</v>
      </c>
      <c r="AC324" s="288">
        <v>1</v>
      </c>
      <c r="AD324" s="289">
        <v>28.35</v>
      </c>
      <c r="AE324" s="290">
        <f t="shared" si="74"/>
        <v>28.35</v>
      </c>
      <c r="AF324" s="227"/>
      <c r="AG324" s="374"/>
      <c r="AH324" s="477"/>
      <c r="AR324" s="129" t="s">
        <v>235</v>
      </c>
      <c r="AT324" s="129" t="s">
        <v>231</v>
      </c>
      <c r="AU324" s="129" t="s">
        <v>76</v>
      </c>
      <c r="AY324" s="13" t="s">
        <v>228</v>
      </c>
      <c r="BE324" s="130">
        <f t="shared" si="75"/>
        <v>0</v>
      </c>
      <c r="BF324" s="130">
        <f t="shared" si="76"/>
        <v>0</v>
      </c>
      <c r="BG324" s="130">
        <f t="shared" si="77"/>
        <v>0</v>
      </c>
      <c r="BH324" s="130">
        <f t="shared" si="78"/>
        <v>0</v>
      </c>
      <c r="BI324" s="130">
        <f t="shared" si="79"/>
        <v>0</v>
      </c>
      <c r="BJ324" s="13" t="s">
        <v>76</v>
      </c>
      <c r="BK324" s="130">
        <f t="shared" si="80"/>
        <v>28.35</v>
      </c>
      <c r="BL324" s="13" t="s">
        <v>235</v>
      </c>
      <c r="BM324" s="129" t="s">
        <v>705</v>
      </c>
    </row>
    <row r="325" spans="2:65" s="1" customFormat="1" ht="24" customHeight="1" x14ac:dyDescent="0.2">
      <c r="B325" s="118"/>
      <c r="C325" s="285" t="s">
        <v>706</v>
      </c>
      <c r="D325" s="285" t="s">
        <v>231</v>
      </c>
      <c r="E325" s="286" t="s">
        <v>2118</v>
      </c>
      <c r="F325" s="240" t="s">
        <v>2119</v>
      </c>
      <c r="G325" s="287" t="s">
        <v>1194</v>
      </c>
      <c r="H325" s="288">
        <v>1</v>
      </c>
      <c r="I325" s="289">
        <v>53.15</v>
      </c>
      <c r="J325" s="289">
        <f t="shared" si="73"/>
        <v>53.15</v>
      </c>
      <c r="K325" s="121" t="s">
        <v>1</v>
      </c>
      <c r="L325" s="465"/>
      <c r="M325" s="125"/>
      <c r="N325" s="126"/>
      <c r="O325" s="127"/>
      <c r="P325" s="127"/>
      <c r="Q325" s="127"/>
      <c r="R325" s="127"/>
      <c r="S325" s="127"/>
      <c r="T325" s="128"/>
      <c r="W325" s="199"/>
      <c r="X325" s="285" t="s">
        <v>706</v>
      </c>
      <c r="Y325" s="285" t="s">
        <v>231</v>
      </c>
      <c r="Z325" s="286" t="s">
        <v>2118</v>
      </c>
      <c r="AA325" s="240" t="s">
        <v>2119</v>
      </c>
      <c r="AB325" s="287" t="s">
        <v>1194</v>
      </c>
      <c r="AC325" s="288">
        <v>1</v>
      </c>
      <c r="AD325" s="289">
        <v>53.15</v>
      </c>
      <c r="AE325" s="290">
        <f t="shared" si="74"/>
        <v>53.15</v>
      </c>
      <c r="AF325" s="227"/>
      <c r="AG325" s="374"/>
      <c r="AH325" s="477"/>
      <c r="AR325" s="129" t="s">
        <v>235</v>
      </c>
      <c r="AT325" s="129" t="s">
        <v>231</v>
      </c>
      <c r="AU325" s="129" t="s">
        <v>76</v>
      </c>
      <c r="AY325" s="13" t="s">
        <v>228</v>
      </c>
      <c r="BE325" s="130">
        <f t="shared" si="75"/>
        <v>0</v>
      </c>
      <c r="BF325" s="130">
        <f t="shared" si="76"/>
        <v>0</v>
      </c>
      <c r="BG325" s="130">
        <f t="shared" si="77"/>
        <v>0</v>
      </c>
      <c r="BH325" s="130">
        <f t="shared" si="78"/>
        <v>0</v>
      </c>
      <c r="BI325" s="130">
        <f t="shared" si="79"/>
        <v>0</v>
      </c>
      <c r="BJ325" s="13" t="s">
        <v>76</v>
      </c>
      <c r="BK325" s="130">
        <f t="shared" si="80"/>
        <v>53.15</v>
      </c>
      <c r="BL325" s="13" t="s">
        <v>235</v>
      </c>
      <c r="BM325" s="129" t="s">
        <v>709</v>
      </c>
    </row>
    <row r="326" spans="2:65" s="1" customFormat="1" ht="24" customHeight="1" x14ac:dyDescent="0.2">
      <c r="B326" s="118"/>
      <c r="C326" s="285" t="s">
        <v>469</v>
      </c>
      <c r="D326" s="285" t="s">
        <v>231</v>
      </c>
      <c r="E326" s="286" t="s">
        <v>2120</v>
      </c>
      <c r="F326" s="240" t="s">
        <v>2121</v>
      </c>
      <c r="G326" s="287" t="s">
        <v>1194</v>
      </c>
      <c r="H326" s="288">
        <v>1</v>
      </c>
      <c r="I326" s="289">
        <v>37.07</v>
      </c>
      <c r="J326" s="289">
        <f t="shared" si="73"/>
        <v>37.07</v>
      </c>
      <c r="K326" s="121" t="s">
        <v>1</v>
      </c>
      <c r="L326" s="465"/>
      <c r="M326" s="125"/>
      <c r="N326" s="126"/>
      <c r="O326" s="127"/>
      <c r="P326" s="127"/>
      <c r="Q326" s="127"/>
      <c r="R326" s="127"/>
      <c r="S326" s="127"/>
      <c r="T326" s="128"/>
      <c r="W326" s="199"/>
      <c r="X326" s="285" t="s">
        <v>469</v>
      </c>
      <c r="Y326" s="285" t="s">
        <v>231</v>
      </c>
      <c r="Z326" s="286" t="s">
        <v>2120</v>
      </c>
      <c r="AA326" s="240" t="s">
        <v>2121</v>
      </c>
      <c r="AB326" s="287" t="s">
        <v>1194</v>
      </c>
      <c r="AC326" s="288">
        <v>1</v>
      </c>
      <c r="AD326" s="289">
        <v>37.07</v>
      </c>
      <c r="AE326" s="290">
        <f t="shared" si="74"/>
        <v>37.07</v>
      </c>
      <c r="AF326" s="227"/>
      <c r="AG326" s="374"/>
      <c r="AH326" s="477"/>
      <c r="AR326" s="129" t="s">
        <v>235</v>
      </c>
      <c r="AT326" s="129" t="s">
        <v>231</v>
      </c>
      <c r="AU326" s="129" t="s">
        <v>76</v>
      </c>
      <c r="AY326" s="13" t="s">
        <v>228</v>
      </c>
      <c r="BE326" s="130">
        <f t="shared" si="75"/>
        <v>0</v>
      </c>
      <c r="BF326" s="130">
        <f t="shared" si="76"/>
        <v>0</v>
      </c>
      <c r="BG326" s="130">
        <f t="shared" si="77"/>
        <v>0</v>
      </c>
      <c r="BH326" s="130">
        <f t="shared" si="78"/>
        <v>0</v>
      </c>
      <c r="BI326" s="130">
        <f t="shared" si="79"/>
        <v>0</v>
      </c>
      <c r="BJ326" s="13" t="s">
        <v>76</v>
      </c>
      <c r="BK326" s="130">
        <f t="shared" si="80"/>
        <v>37.07</v>
      </c>
      <c r="BL326" s="13" t="s">
        <v>235</v>
      </c>
      <c r="BM326" s="129" t="s">
        <v>712</v>
      </c>
    </row>
    <row r="327" spans="2:65" s="1" customFormat="1" ht="24" customHeight="1" x14ac:dyDescent="0.2">
      <c r="B327" s="118"/>
      <c r="C327" s="285" t="s">
        <v>713</v>
      </c>
      <c r="D327" s="285" t="s">
        <v>231</v>
      </c>
      <c r="E327" s="286" t="s">
        <v>2122</v>
      </c>
      <c r="F327" s="240" t="s">
        <v>2123</v>
      </c>
      <c r="G327" s="287" t="s">
        <v>1194</v>
      </c>
      <c r="H327" s="288">
        <v>1</v>
      </c>
      <c r="I327" s="289">
        <v>26.38</v>
      </c>
      <c r="J327" s="289">
        <f t="shared" si="73"/>
        <v>26.38</v>
      </c>
      <c r="K327" s="121" t="s">
        <v>1</v>
      </c>
      <c r="L327" s="465"/>
      <c r="M327" s="125"/>
      <c r="N327" s="126"/>
      <c r="O327" s="127"/>
      <c r="P327" s="127"/>
      <c r="Q327" s="127"/>
      <c r="R327" s="127"/>
      <c r="S327" s="127"/>
      <c r="T327" s="128"/>
      <c r="W327" s="199"/>
      <c r="X327" s="285" t="s">
        <v>713</v>
      </c>
      <c r="Y327" s="285" t="s">
        <v>231</v>
      </c>
      <c r="Z327" s="286" t="s">
        <v>2122</v>
      </c>
      <c r="AA327" s="240" t="s">
        <v>2123</v>
      </c>
      <c r="AB327" s="287" t="s">
        <v>1194</v>
      </c>
      <c r="AC327" s="288">
        <v>1</v>
      </c>
      <c r="AD327" s="289">
        <v>26.38</v>
      </c>
      <c r="AE327" s="290">
        <f t="shared" si="74"/>
        <v>26.38</v>
      </c>
      <c r="AF327" s="227"/>
      <c r="AG327" s="374"/>
      <c r="AH327" s="477"/>
      <c r="AR327" s="129" t="s">
        <v>235</v>
      </c>
      <c r="AT327" s="129" t="s">
        <v>231</v>
      </c>
      <c r="AU327" s="129" t="s">
        <v>76</v>
      </c>
      <c r="AY327" s="13" t="s">
        <v>228</v>
      </c>
      <c r="BE327" s="130">
        <f t="shared" si="75"/>
        <v>0</v>
      </c>
      <c r="BF327" s="130">
        <f t="shared" si="76"/>
        <v>0</v>
      </c>
      <c r="BG327" s="130">
        <f t="shared" si="77"/>
        <v>0</v>
      </c>
      <c r="BH327" s="130">
        <f t="shared" si="78"/>
        <v>0</v>
      </c>
      <c r="BI327" s="130">
        <f t="shared" si="79"/>
        <v>0</v>
      </c>
      <c r="BJ327" s="13" t="s">
        <v>76</v>
      </c>
      <c r="BK327" s="130">
        <f t="shared" si="80"/>
        <v>26.38</v>
      </c>
      <c r="BL327" s="13" t="s">
        <v>235</v>
      </c>
      <c r="BM327" s="129" t="s">
        <v>716</v>
      </c>
    </row>
    <row r="328" spans="2:65" s="1" customFormat="1" ht="24" customHeight="1" x14ac:dyDescent="0.2">
      <c r="B328" s="118"/>
      <c r="C328" s="285" t="s">
        <v>472</v>
      </c>
      <c r="D328" s="285" t="s">
        <v>231</v>
      </c>
      <c r="E328" s="286" t="s">
        <v>2124</v>
      </c>
      <c r="F328" s="240" t="s">
        <v>2125</v>
      </c>
      <c r="G328" s="287" t="s">
        <v>1194</v>
      </c>
      <c r="H328" s="288">
        <v>1</v>
      </c>
      <c r="I328" s="289">
        <v>57.27</v>
      </c>
      <c r="J328" s="289">
        <f t="shared" si="73"/>
        <v>57.27</v>
      </c>
      <c r="K328" s="121" t="s">
        <v>1</v>
      </c>
      <c r="L328" s="465"/>
      <c r="M328" s="125"/>
      <c r="N328" s="126"/>
      <c r="O328" s="127"/>
      <c r="P328" s="127"/>
      <c r="Q328" s="127"/>
      <c r="R328" s="127"/>
      <c r="S328" s="127"/>
      <c r="T328" s="128"/>
      <c r="W328" s="199"/>
      <c r="X328" s="285" t="s">
        <v>472</v>
      </c>
      <c r="Y328" s="285" t="s">
        <v>231</v>
      </c>
      <c r="Z328" s="286" t="s">
        <v>2124</v>
      </c>
      <c r="AA328" s="240" t="s">
        <v>2125</v>
      </c>
      <c r="AB328" s="287" t="s">
        <v>1194</v>
      </c>
      <c r="AC328" s="288">
        <v>1</v>
      </c>
      <c r="AD328" s="289">
        <v>57.27</v>
      </c>
      <c r="AE328" s="290">
        <f t="shared" si="74"/>
        <v>57.27</v>
      </c>
      <c r="AF328" s="227"/>
      <c r="AG328" s="374"/>
      <c r="AH328" s="477"/>
      <c r="AR328" s="129" t="s">
        <v>235</v>
      </c>
      <c r="AT328" s="129" t="s">
        <v>231</v>
      </c>
      <c r="AU328" s="129" t="s">
        <v>76</v>
      </c>
      <c r="AY328" s="13" t="s">
        <v>228</v>
      </c>
      <c r="BE328" s="130">
        <f t="shared" si="75"/>
        <v>0</v>
      </c>
      <c r="BF328" s="130">
        <f t="shared" si="76"/>
        <v>0</v>
      </c>
      <c r="BG328" s="130">
        <f t="shared" si="77"/>
        <v>0</v>
      </c>
      <c r="BH328" s="130">
        <f t="shared" si="78"/>
        <v>0</v>
      </c>
      <c r="BI328" s="130">
        <f t="shared" si="79"/>
        <v>0</v>
      </c>
      <c r="BJ328" s="13" t="s">
        <v>76</v>
      </c>
      <c r="BK328" s="130">
        <f t="shared" si="80"/>
        <v>57.27</v>
      </c>
      <c r="BL328" s="13" t="s">
        <v>235</v>
      </c>
      <c r="BM328" s="129" t="s">
        <v>721</v>
      </c>
    </row>
    <row r="329" spans="2:65" s="1" customFormat="1" ht="24" customHeight="1" x14ac:dyDescent="0.2">
      <c r="B329" s="118"/>
      <c r="C329" s="285" t="s">
        <v>722</v>
      </c>
      <c r="D329" s="285" t="s">
        <v>231</v>
      </c>
      <c r="E329" s="286" t="s">
        <v>2126</v>
      </c>
      <c r="F329" s="240" t="s">
        <v>2127</v>
      </c>
      <c r="G329" s="287" t="s">
        <v>1194</v>
      </c>
      <c r="H329" s="288">
        <v>1</v>
      </c>
      <c r="I329" s="289">
        <v>34.82</v>
      </c>
      <c r="J329" s="289">
        <f t="shared" si="73"/>
        <v>34.82</v>
      </c>
      <c r="K329" s="121" t="s">
        <v>1</v>
      </c>
      <c r="L329" s="465"/>
      <c r="M329" s="125"/>
      <c r="N329" s="126"/>
      <c r="O329" s="127"/>
      <c r="P329" s="127"/>
      <c r="Q329" s="127"/>
      <c r="R329" s="127"/>
      <c r="S329" s="127"/>
      <c r="T329" s="128"/>
      <c r="W329" s="199"/>
      <c r="X329" s="285" t="s">
        <v>722</v>
      </c>
      <c r="Y329" s="285" t="s">
        <v>231</v>
      </c>
      <c r="Z329" s="286" t="s">
        <v>2126</v>
      </c>
      <c r="AA329" s="240" t="s">
        <v>2127</v>
      </c>
      <c r="AB329" s="287" t="s">
        <v>1194</v>
      </c>
      <c r="AC329" s="288">
        <v>1</v>
      </c>
      <c r="AD329" s="289">
        <v>34.82</v>
      </c>
      <c r="AE329" s="290">
        <f t="shared" si="74"/>
        <v>34.82</v>
      </c>
      <c r="AF329" s="227"/>
      <c r="AG329" s="374"/>
      <c r="AH329" s="477"/>
      <c r="AR329" s="129" t="s">
        <v>235</v>
      </c>
      <c r="AT329" s="129" t="s">
        <v>231</v>
      </c>
      <c r="AU329" s="129" t="s">
        <v>76</v>
      </c>
      <c r="AY329" s="13" t="s">
        <v>228</v>
      </c>
      <c r="BE329" s="130">
        <f t="shared" si="75"/>
        <v>0</v>
      </c>
      <c r="BF329" s="130">
        <f t="shared" si="76"/>
        <v>0</v>
      </c>
      <c r="BG329" s="130">
        <f t="shared" si="77"/>
        <v>0</v>
      </c>
      <c r="BH329" s="130">
        <f t="shared" si="78"/>
        <v>0</v>
      </c>
      <c r="BI329" s="130">
        <f t="shared" si="79"/>
        <v>0</v>
      </c>
      <c r="BJ329" s="13" t="s">
        <v>76</v>
      </c>
      <c r="BK329" s="130">
        <f t="shared" si="80"/>
        <v>34.82</v>
      </c>
      <c r="BL329" s="13" t="s">
        <v>235</v>
      </c>
      <c r="BM329" s="129" t="s">
        <v>725</v>
      </c>
    </row>
    <row r="330" spans="2:65" s="1" customFormat="1" ht="24" customHeight="1" x14ac:dyDescent="0.2">
      <c r="B330" s="118"/>
      <c r="C330" s="285" t="s">
        <v>476</v>
      </c>
      <c r="D330" s="285" t="s">
        <v>231</v>
      </c>
      <c r="E330" s="286" t="s">
        <v>2128</v>
      </c>
      <c r="F330" s="240" t="s">
        <v>2129</v>
      </c>
      <c r="G330" s="287" t="s">
        <v>1194</v>
      </c>
      <c r="H330" s="288">
        <v>1</v>
      </c>
      <c r="I330" s="289">
        <v>32.979999999999997</v>
      </c>
      <c r="J330" s="289">
        <f t="shared" si="73"/>
        <v>32.979999999999997</v>
      </c>
      <c r="K330" s="121" t="s">
        <v>1</v>
      </c>
      <c r="L330" s="465"/>
      <c r="M330" s="125"/>
      <c r="N330" s="126"/>
      <c r="O330" s="127"/>
      <c r="P330" s="127"/>
      <c r="Q330" s="127"/>
      <c r="R330" s="127"/>
      <c r="S330" s="127"/>
      <c r="T330" s="128"/>
      <c r="W330" s="199"/>
      <c r="X330" s="285" t="s">
        <v>476</v>
      </c>
      <c r="Y330" s="285" t="s">
        <v>231</v>
      </c>
      <c r="Z330" s="286" t="s">
        <v>2128</v>
      </c>
      <c r="AA330" s="240" t="s">
        <v>2129</v>
      </c>
      <c r="AB330" s="287" t="s">
        <v>1194</v>
      </c>
      <c r="AC330" s="288">
        <v>1</v>
      </c>
      <c r="AD330" s="289">
        <v>32.979999999999997</v>
      </c>
      <c r="AE330" s="290">
        <f t="shared" si="74"/>
        <v>32.979999999999997</v>
      </c>
      <c r="AF330" s="227"/>
      <c r="AG330" s="374"/>
      <c r="AH330" s="477"/>
      <c r="AR330" s="129" t="s">
        <v>235</v>
      </c>
      <c r="AT330" s="129" t="s">
        <v>231</v>
      </c>
      <c r="AU330" s="129" t="s">
        <v>76</v>
      </c>
      <c r="AY330" s="13" t="s">
        <v>228</v>
      </c>
      <c r="BE330" s="130">
        <f t="shared" si="75"/>
        <v>0</v>
      </c>
      <c r="BF330" s="130">
        <f t="shared" si="76"/>
        <v>0</v>
      </c>
      <c r="BG330" s="130">
        <f t="shared" si="77"/>
        <v>0</v>
      </c>
      <c r="BH330" s="130">
        <f t="shared" si="78"/>
        <v>0</v>
      </c>
      <c r="BI330" s="130">
        <f t="shared" si="79"/>
        <v>0</v>
      </c>
      <c r="BJ330" s="13" t="s">
        <v>76</v>
      </c>
      <c r="BK330" s="130">
        <f t="shared" si="80"/>
        <v>32.979999999999997</v>
      </c>
      <c r="BL330" s="13" t="s">
        <v>235</v>
      </c>
      <c r="BM330" s="129" t="s">
        <v>728</v>
      </c>
    </row>
    <row r="331" spans="2:65" s="1" customFormat="1" ht="24" customHeight="1" x14ac:dyDescent="0.2">
      <c r="B331" s="118"/>
      <c r="C331" s="285" t="s">
        <v>729</v>
      </c>
      <c r="D331" s="285" t="s">
        <v>231</v>
      </c>
      <c r="E331" s="286" t="s">
        <v>2130</v>
      </c>
      <c r="F331" s="240" t="s">
        <v>2131</v>
      </c>
      <c r="G331" s="287" t="s">
        <v>1194</v>
      </c>
      <c r="H331" s="288">
        <v>1</v>
      </c>
      <c r="I331" s="289">
        <v>47.56</v>
      </c>
      <c r="J331" s="289">
        <f t="shared" si="73"/>
        <v>47.56</v>
      </c>
      <c r="K331" s="121" t="s">
        <v>1</v>
      </c>
      <c r="L331" s="465"/>
      <c r="M331" s="125"/>
      <c r="N331" s="126"/>
      <c r="O331" s="127"/>
      <c r="P331" s="127"/>
      <c r="Q331" s="127"/>
      <c r="R331" s="127"/>
      <c r="S331" s="127"/>
      <c r="T331" s="128"/>
      <c r="W331" s="199"/>
      <c r="X331" s="285" t="s">
        <v>729</v>
      </c>
      <c r="Y331" s="285" t="s">
        <v>231</v>
      </c>
      <c r="Z331" s="286" t="s">
        <v>2130</v>
      </c>
      <c r="AA331" s="240" t="s">
        <v>2131</v>
      </c>
      <c r="AB331" s="287" t="s">
        <v>1194</v>
      </c>
      <c r="AC331" s="288">
        <v>1</v>
      </c>
      <c r="AD331" s="289">
        <v>47.56</v>
      </c>
      <c r="AE331" s="290">
        <f t="shared" si="74"/>
        <v>47.56</v>
      </c>
      <c r="AF331" s="227"/>
      <c r="AG331" s="374"/>
      <c r="AH331" s="477"/>
      <c r="AR331" s="129" t="s">
        <v>235</v>
      </c>
      <c r="AT331" s="129" t="s">
        <v>231</v>
      </c>
      <c r="AU331" s="129" t="s">
        <v>76</v>
      </c>
      <c r="AY331" s="13" t="s">
        <v>228</v>
      </c>
      <c r="BE331" s="130">
        <f t="shared" si="75"/>
        <v>0</v>
      </c>
      <c r="BF331" s="130">
        <f t="shared" si="76"/>
        <v>0</v>
      </c>
      <c r="BG331" s="130">
        <f t="shared" si="77"/>
        <v>0</v>
      </c>
      <c r="BH331" s="130">
        <f t="shared" si="78"/>
        <v>0</v>
      </c>
      <c r="BI331" s="130">
        <f t="shared" si="79"/>
        <v>0</v>
      </c>
      <c r="BJ331" s="13" t="s">
        <v>76</v>
      </c>
      <c r="BK331" s="130">
        <f t="shared" si="80"/>
        <v>47.56</v>
      </c>
      <c r="BL331" s="13" t="s">
        <v>235</v>
      </c>
      <c r="BM331" s="129" t="s">
        <v>732</v>
      </c>
    </row>
    <row r="332" spans="2:65" s="1" customFormat="1" ht="19.2" x14ac:dyDescent="0.2">
      <c r="B332" s="24"/>
      <c r="C332" s="407"/>
      <c r="D332" s="492" t="s">
        <v>1259</v>
      </c>
      <c r="E332" s="407"/>
      <c r="F332" s="428" t="s">
        <v>2087</v>
      </c>
      <c r="G332" s="407"/>
      <c r="H332" s="407"/>
      <c r="I332" s="407"/>
      <c r="J332" s="407"/>
      <c r="L332" s="24"/>
      <c r="M332" s="146"/>
      <c r="N332" s="42"/>
      <c r="O332" s="42"/>
      <c r="P332" s="42"/>
      <c r="Q332" s="42"/>
      <c r="R332" s="42"/>
      <c r="S332" s="42"/>
      <c r="T332" s="43"/>
      <c r="W332" s="158"/>
      <c r="X332" s="427"/>
      <c r="Y332" s="511" t="s">
        <v>1259</v>
      </c>
      <c r="Z332" s="427"/>
      <c r="AA332" s="505" t="s">
        <v>2087</v>
      </c>
      <c r="AB332" s="427"/>
      <c r="AC332" s="427"/>
      <c r="AD332" s="427"/>
      <c r="AE332" s="512"/>
      <c r="AF332" s="227"/>
      <c r="AG332" s="374"/>
      <c r="AH332" s="477"/>
      <c r="AT332" s="13" t="s">
        <v>1259</v>
      </c>
      <c r="AU332" s="13" t="s">
        <v>76</v>
      </c>
    </row>
    <row r="333" spans="2:65" s="1" customFormat="1" ht="24" customHeight="1" x14ac:dyDescent="0.2">
      <c r="B333" s="118"/>
      <c r="C333" s="285" t="s">
        <v>479</v>
      </c>
      <c r="D333" s="285" t="s">
        <v>231</v>
      </c>
      <c r="E333" s="286" t="s">
        <v>2132</v>
      </c>
      <c r="F333" s="240" t="s">
        <v>2133</v>
      </c>
      <c r="G333" s="287" t="s">
        <v>1194</v>
      </c>
      <c r="H333" s="288">
        <v>1</v>
      </c>
      <c r="I333" s="289">
        <v>4.41</v>
      </c>
      <c r="J333" s="289">
        <f t="shared" ref="J333:J352" si="81">ROUND(I333*H333,2)</f>
        <v>4.41</v>
      </c>
      <c r="K333" s="121" t="s">
        <v>1</v>
      </c>
      <c r="L333" s="465"/>
      <c r="M333" s="125"/>
      <c r="N333" s="126"/>
      <c r="O333" s="127"/>
      <c r="P333" s="127"/>
      <c r="Q333" s="127"/>
      <c r="R333" s="127"/>
      <c r="S333" s="127"/>
      <c r="T333" s="128"/>
      <c r="W333" s="199"/>
      <c r="X333" s="285" t="s">
        <v>479</v>
      </c>
      <c r="Y333" s="285" t="s">
        <v>231</v>
      </c>
      <c r="Z333" s="286" t="s">
        <v>2132</v>
      </c>
      <c r="AA333" s="240" t="s">
        <v>2133</v>
      </c>
      <c r="AB333" s="287" t="s">
        <v>1194</v>
      </c>
      <c r="AC333" s="288">
        <v>1</v>
      </c>
      <c r="AD333" s="289">
        <v>4.41</v>
      </c>
      <c r="AE333" s="290">
        <f t="shared" ref="AE333:AE352" si="82">ROUND(AD333*AC333,2)</f>
        <v>4.41</v>
      </c>
      <c r="AF333" s="227"/>
      <c r="AG333" s="374"/>
      <c r="AH333" s="477"/>
      <c r="AR333" s="129" t="s">
        <v>235</v>
      </c>
      <c r="AT333" s="129" t="s">
        <v>231</v>
      </c>
      <c r="AU333" s="129" t="s">
        <v>76</v>
      </c>
      <c r="AY333" s="13" t="s">
        <v>228</v>
      </c>
      <c r="BE333" s="130">
        <f t="shared" ref="BE333:BE352" si="83">IF(N333="základná",J333,0)</f>
        <v>0</v>
      </c>
      <c r="BF333" s="130">
        <f t="shared" ref="BF333:BF352" si="84">IF(N333="znížená",J333,0)</f>
        <v>0</v>
      </c>
      <c r="BG333" s="130">
        <f t="shared" ref="BG333:BG352" si="85">IF(N333="zákl. prenesená",J333,0)</f>
        <v>0</v>
      </c>
      <c r="BH333" s="130">
        <f t="shared" ref="BH333:BH352" si="86">IF(N333="zníž. prenesená",J333,0)</f>
        <v>0</v>
      </c>
      <c r="BI333" s="130">
        <f t="shared" ref="BI333:BI352" si="87">IF(N333="nulová",J333,0)</f>
        <v>0</v>
      </c>
      <c r="BJ333" s="13" t="s">
        <v>76</v>
      </c>
      <c r="BK333" s="130">
        <f t="shared" ref="BK333:BK352" si="88">ROUND(I333*H333,2)</f>
        <v>4.41</v>
      </c>
      <c r="BL333" s="13" t="s">
        <v>235</v>
      </c>
      <c r="BM333" s="129" t="s">
        <v>735</v>
      </c>
    </row>
    <row r="334" spans="2:65" s="1" customFormat="1" ht="24" customHeight="1" x14ac:dyDescent="0.2">
      <c r="B334" s="118"/>
      <c r="C334" s="285" t="s">
        <v>736</v>
      </c>
      <c r="D334" s="285" t="s">
        <v>231</v>
      </c>
      <c r="E334" s="286" t="s">
        <v>2134</v>
      </c>
      <c r="F334" s="240" t="s">
        <v>2135</v>
      </c>
      <c r="G334" s="287" t="s">
        <v>1194</v>
      </c>
      <c r="H334" s="288">
        <v>1</v>
      </c>
      <c r="I334" s="289">
        <v>25.2</v>
      </c>
      <c r="J334" s="289">
        <f t="shared" si="81"/>
        <v>25.2</v>
      </c>
      <c r="K334" s="121" t="s">
        <v>1</v>
      </c>
      <c r="L334" s="465"/>
      <c r="M334" s="125"/>
      <c r="N334" s="126"/>
      <c r="O334" s="127"/>
      <c r="P334" s="127"/>
      <c r="Q334" s="127"/>
      <c r="R334" s="127"/>
      <c r="S334" s="127"/>
      <c r="T334" s="128"/>
      <c r="W334" s="199"/>
      <c r="X334" s="285" t="s">
        <v>736</v>
      </c>
      <c r="Y334" s="285" t="s">
        <v>231</v>
      </c>
      <c r="Z334" s="286" t="s">
        <v>2134</v>
      </c>
      <c r="AA334" s="240" t="s">
        <v>2135</v>
      </c>
      <c r="AB334" s="287" t="s">
        <v>1194</v>
      </c>
      <c r="AC334" s="288">
        <v>1</v>
      </c>
      <c r="AD334" s="289">
        <v>25.2</v>
      </c>
      <c r="AE334" s="290">
        <f t="shared" si="82"/>
        <v>25.2</v>
      </c>
      <c r="AF334" s="227"/>
      <c r="AG334" s="374"/>
      <c r="AH334" s="477"/>
      <c r="AR334" s="129" t="s">
        <v>235</v>
      </c>
      <c r="AT334" s="129" t="s">
        <v>231</v>
      </c>
      <c r="AU334" s="129" t="s">
        <v>76</v>
      </c>
      <c r="AY334" s="13" t="s">
        <v>228</v>
      </c>
      <c r="BE334" s="130">
        <f t="shared" si="83"/>
        <v>0</v>
      </c>
      <c r="BF334" s="130">
        <f t="shared" si="84"/>
        <v>0</v>
      </c>
      <c r="BG334" s="130">
        <f t="shared" si="85"/>
        <v>0</v>
      </c>
      <c r="BH334" s="130">
        <f t="shared" si="86"/>
        <v>0</v>
      </c>
      <c r="BI334" s="130">
        <f t="shared" si="87"/>
        <v>0</v>
      </c>
      <c r="BJ334" s="13" t="s">
        <v>76</v>
      </c>
      <c r="BK334" s="130">
        <f t="shared" si="88"/>
        <v>25.2</v>
      </c>
      <c r="BL334" s="13" t="s">
        <v>235</v>
      </c>
      <c r="BM334" s="129" t="s">
        <v>739</v>
      </c>
    </row>
    <row r="335" spans="2:65" s="1" customFormat="1" ht="24" customHeight="1" x14ac:dyDescent="0.2">
      <c r="B335" s="118"/>
      <c r="C335" s="285" t="s">
        <v>483</v>
      </c>
      <c r="D335" s="285" t="s">
        <v>231</v>
      </c>
      <c r="E335" s="286" t="s">
        <v>2136</v>
      </c>
      <c r="F335" s="240" t="s">
        <v>2137</v>
      </c>
      <c r="G335" s="287" t="s">
        <v>1194</v>
      </c>
      <c r="H335" s="288">
        <v>1</v>
      </c>
      <c r="I335" s="289">
        <v>26.13</v>
      </c>
      <c r="J335" s="289">
        <f t="shared" si="81"/>
        <v>26.13</v>
      </c>
      <c r="K335" s="121" t="s">
        <v>1</v>
      </c>
      <c r="L335" s="465"/>
      <c r="M335" s="125"/>
      <c r="N335" s="126"/>
      <c r="O335" s="127"/>
      <c r="P335" s="127"/>
      <c r="Q335" s="127"/>
      <c r="R335" s="127"/>
      <c r="S335" s="127"/>
      <c r="T335" s="128"/>
      <c r="W335" s="199"/>
      <c r="X335" s="285" t="s">
        <v>483</v>
      </c>
      <c r="Y335" s="285" t="s">
        <v>231</v>
      </c>
      <c r="Z335" s="286" t="s">
        <v>2136</v>
      </c>
      <c r="AA335" s="240" t="s">
        <v>2137</v>
      </c>
      <c r="AB335" s="287" t="s">
        <v>1194</v>
      </c>
      <c r="AC335" s="288">
        <v>1</v>
      </c>
      <c r="AD335" s="289">
        <v>26.13</v>
      </c>
      <c r="AE335" s="290">
        <f t="shared" si="82"/>
        <v>26.13</v>
      </c>
      <c r="AF335" s="227"/>
      <c r="AG335" s="374"/>
      <c r="AH335" s="477"/>
      <c r="AR335" s="129" t="s">
        <v>235</v>
      </c>
      <c r="AT335" s="129" t="s">
        <v>231</v>
      </c>
      <c r="AU335" s="129" t="s">
        <v>76</v>
      </c>
      <c r="AY335" s="13" t="s">
        <v>228</v>
      </c>
      <c r="BE335" s="130">
        <f t="shared" si="83"/>
        <v>0</v>
      </c>
      <c r="BF335" s="130">
        <f t="shared" si="84"/>
        <v>0</v>
      </c>
      <c r="BG335" s="130">
        <f t="shared" si="85"/>
        <v>0</v>
      </c>
      <c r="BH335" s="130">
        <f t="shared" si="86"/>
        <v>0</v>
      </c>
      <c r="BI335" s="130">
        <f t="shared" si="87"/>
        <v>0</v>
      </c>
      <c r="BJ335" s="13" t="s">
        <v>76</v>
      </c>
      <c r="BK335" s="130">
        <f t="shared" si="88"/>
        <v>26.13</v>
      </c>
      <c r="BL335" s="13" t="s">
        <v>235</v>
      </c>
      <c r="BM335" s="129" t="s">
        <v>742</v>
      </c>
    </row>
    <row r="336" spans="2:65" s="1" customFormat="1" ht="24" customHeight="1" x14ac:dyDescent="0.2">
      <c r="B336" s="118"/>
      <c r="C336" s="285" t="s">
        <v>743</v>
      </c>
      <c r="D336" s="285" t="s">
        <v>231</v>
      </c>
      <c r="E336" s="286" t="s">
        <v>2092</v>
      </c>
      <c r="F336" s="240" t="s">
        <v>2093</v>
      </c>
      <c r="G336" s="287" t="s">
        <v>1194</v>
      </c>
      <c r="H336" s="288">
        <v>1</v>
      </c>
      <c r="I336" s="289">
        <v>36.57</v>
      </c>
      <c r="J336" s="289">
        <f t="shared" si="81"/>
        <v>36.57</v>
      </c>
      <c r="K336" s="121" t="s">
        <v>1</v>
      </c>
      <c r="L336" s="465"/>
      <c r="M336" s="125"/>
      <c r="N336" s="126"/>
      <c r="O336" s="127"/>
      <c r="P336" s="127"/>
      <c r="Q336" s="127"/>
      <c r="R336" s="127"/>
      <c r="S336" s="127"/>
      <c r="T336" s="128"/>
      <c r="W336" s="199"/>
      <c r="X336" s="285" t="s">
        <v>743</v>
      </c>
      <c r="Y336" s="285" t="s">
        <v>231</v>
      </c>
      <c r="Z336" s="286" t="s">
        <v>2092</v>
      </c>
      <c r="AA336" s="240" t="s">
        <v>2093</v>
      </c>
      <c r="AB336" s="287" t="s">
        <v>1194</v>
      </c>
      <c r="AC336" s="288">
        <v>1</v>
      </c>
      <c r="AD336" s="289">
        <v>36.57</v>
      </c>
      <c r="AE336" s="290">
        <f t="shared" si="82"/>
        <v>36.57</v>
      </c>
      <c r="AF336" s="227"/>
      <c r="AG336" s="374"/>
      <c r="AH336" s="477"/>
      <c r="AR336" s="129" t="s">
        <v>235</v>
      </c>
      <c r="AT336" s="129" t="s">
        <v>231</v>
      </c>
      <c r="AU336" s="129" t="s">
        <v>76</v>
      </c>
      <c r="AY336" s="13" t="s">
        <v>228</v>
      </c>
      <c r="BE336" s="130">
        <f t="shared" si="83"/>
        <v>0</v>
      </c>
      <c r="BF336" s="130">
        <f t="shared" si="84"/>
        <v>0</v>
      </c>
      <c r="BG336" s="130">
        <f t="shared" si="85"/>
        <v>0</v>
      </c>
      <c r="BH336" s="130">
        <f t="shared" si="86"/>
        <v>0</v>
      </c>
      <c r="BI336" s="130">
        <f t="shared" si="87"/>
        <v>0</v>
      </c>
      <c r="BJ336" s="13" t="s">
        <v>76</v>
      </c>
      <c r="BK336" s="130">
        <f t="shared" si="88"/>
        <v>36.57</v>
      </c>
      <c r="BL336" s="13" t="s">
        <v>235</v>
      </c>
      <c r="BM336" s="129" t="s">
        <v>746</v>
      </c>
    </row>
    <row r="337" spans="2:65" s="1" customFormat="1" ht="24" customHeight="1" x14ac:dyDescent="0.2">
      <c r="B337" s="118"/>
      <c r="C337" s="285" t="s">
        <v>486</v>
      </c>
      <c r="D337" s="285" t="s">
        <v>231</v>
      </c>
      <c r="E337" s="286" t="s">
        <v>2138</v>
      </c>
      <c r="F337" s="240" t="s">
        <v>2139</v>
      </c>
      <c r="G337" s="287" t="s">
        <v>1194</v>
      </c>
      <c r="H337" s="288">
        <v>1</v>
      </c>
      <c r="I337" s="289">
        <v>25.2</v>
      </c>
      <c r="J337" s="289">
        <f t="shared" si="81"/>
        <v>25.2</v>
      </c>
      <c r="K337" s="121" t="s">
        <v>1</v>
      </c>
      <c r="L337" s="465"/>
      <c r="M337" s="125"/>
      <c r="N337" s="126"/>
      <c r="O337" s="127"/>
      <c r="P337" s="127"/>
      <c r="Q337" s="127"/>
      <c r="R337" s="127"/>
      <c r="S337" s="127"/>
      <c r="T337" s="128"/>
      <c r="W337" s="199"/>
      <c r="X337" s="285" t="s">
        <v>486</v>
      </c>
      <c r="Y337" s="285" t="s">
        <v>231</v>
      </c>
      <c r="Z337" s="286" t="s">
        <v>2138</v>
      </c>
      <c r="AA337" s="240" t="s">
        <v>2139</v>
      </c>
      <c r="AB337" s="287" t="s">
        <v>1194</v>
      </c>
      <c r="AC337" s="288">
        <v>1</v>
      </c>
      <c r="AD337" s="289">
        <v>25.2</v>
      </c>
      <c r="AE337" s="290">
        <f t="shared" si="82"/>
        <v>25.2</v>
      </c>
      <c r="AF337" s="227"/>
      <c r="AG337" s="374"/>
      <c r="AH337" s="477"/>
      <c r="AR337" s="129" t="s">
        <v>235</v>
      </c>
      <c r="AT337" s="129" t="s">
        <v>231</v>
      </c>
      <c r="AU337" s="129" t="s">
        <v>76</v>
      </c>
      <c r="AY337" s="13" t="s">
        <v>228</v>
      </c>
      <c r="BE337" s="130">
        <f t="shared" si="83"/>
        <v>0</v>
      </c>
      <c r="BF337" s="130">
        <f t="shared" si="84"/>
        <v>0</v>
      </c>
      <c r="BG337" s="130">
        <f t="shared" si="85"/>
        <v>0</v>
      </c>
      <c r="BH337" s="130">
        <f t="shared" si="86"/>
        <v>0</v>
      </c>
      <c r="BI337" s="130">
        <f t="shared" si="87"/>
        <v>0</v>
      </c>
      <c r="BJ337" s="13" t="s">
        <v>76</v>
      </c>
      <c r="BK337" s="130">
        <f t="shared" si="88"/>
        <v>25.2</v>
      </c>
      <c r="BL337" s="13" t="s">
        <v>235</v>
      </c>
      <c r="BM337" s="129" t="s">
        <v>749</v>
      </c>
    </row>
    <row r="338" spans="2:65" s="1" customFormat="1" ht="24" customHeight="1" x14ac:dyDescent="0.2">
      <c r="B338" s="118"/>
      <c r="C338" s="285" t="s">
        <v>750</v>
      </c>
      <c r="D338" s="285" t="s">
        <v>231</v>
      </c>
      <c r="E338" s="286" t="s">
        <v>2096</v>
      </c>
      <c r="F338" s="240" t="s">
        <v>2097</v>
      </c>
      <c r="G338" s="287" t="s">
        <v>1194</v>
      </c>
      <c r="H338" s="288">
        <v>2</v>
      </c>
      <c r="I338" s="289">
        <v>18.27</v>
      </c>
      <c r="J338" s="289">
        <f t="shared" si="81"/>
        <v>36.54</v>
      </c>
      <c r="K338" s="121" t="s">
        <v>1</v>
      </c>
      <c r="L338" s="465"/>
      <c r="M338" s="125"/>
      <c r="N338" s="126"/>
      <c r="O338" s="127"/>
      <c r="P338" s="127"/>
      <c r="Q338" s="127"/>
      <c r="R338" s="127"/>
      <c r="S338" s="127"/>
      <c r="T338" s="128"/>
      <c r="W338" s="199"/>
      <c r="X338" s="285" t="s">
        <v>750</v>
      </c>
      <c r="Y338" s="285" t="s">
        <v>231</v>
      </c>
      <c r="Z338" s="286" t="s">
        <v>2096</v>
      </c>
      <c r="AA338" s="240" t="s">
        <v>2097</v>
      </c>
      <c r="AB338" s="287" t="s">
        <v>1194</v>
      </c>
      <c r="AC338" s="288">
        <v>2</v>
      </c>
      <c r="AD338" s="289">
        <v>18.27</v>
      </c>
      <c r="AE338" s="290">
        <f t="shared" si="82"/>
        <v>36.54</v>
      </c>
      <c r="AF338" s="227"/>
      <c r="AG338" s="374"/>
      <c r="AH338" s="477"/>
      <c r="AR338" s="129" t="s">
        <v>235</v>
      </c>
      <c r="AT338" s="129" t="s">
        <v>231</v>
      </c>
      <c r="AU338" s="129" t="s">
        <v>76</v>
      </c>
      <c r="AY338" s="13" t="s">
        <v>228</v>
      </c>
      <c r="BE338" s="130">
        <f t="shared" si="83"/>
        <v>0</v>
      </c>
      <c r="BF338" s="130">
        <f t="shared" si="84"/>
        <v>0</v>
      </c>
      <c r="BG338" s="130">
        <f t="shared" si="85"/>
        <v>0</v>
      </c>
      <c r="BH338" s="130">
        <f t="shared" si="86"/>
        <v>0</v>
      </c>
      <c r="BI338" s="130">
        <f t="shared" si="87"/>
        <v>0</v>
      </c>
      <c r="BJ338" s="13" t="s">
        <v>76</v>
      </c>
      <c r="BK338" s="130">
        <f t="shared" si="88"/>
        <v>36.54</v>
      </c>
      <c r="BL338" s="13" t="s">
        <v>235</v>
      </c>
      <c r="BM338" s="129" t="s">
        <v>753</v>
      </c>
    </row>
    <row r="339" spans="2:65" s="1" customFormat="1" ht="24" customHeight="1" x14ac:dyDescent="0.2">
      <c r="B339" s="118"/>
      <c r="C339" s="285" t="s">
        <v>490</v>
      </c>
      <c r="D339" s="285" t="s">
        <v>231</v>
      </c>
      <c r="E339" s="286" t="s">
        <v>2140</v>
      </c>
      <c r="F339" s="240" t="s">
        <v>2141</v>
      </c>
      <c r="G339" s="287" t="s">
        <v>1194</v>
      </c>
      <c r="H339" s="288">
        <v>1</v>
      </c>
      <c r="I339" s="289">
        <v>18.27</v>
      </c>
      <c r="J339" s="289">
        <f t="shared" si="81"/>
        <v>18.27</v>
      </c>
      <c r="K339" s="121" t="s">
        <v>1</v>
      </c>
      <c r="L339" s="465"/>
      <c r="M339" s="125"/>
      <c r="N339" s="126"/>
      <c r="O339" s="127"/>
      <c r="P339" s="127"/>
      <c r="Q339" s="127"/>
      <c r="R339" s="127"/>
      <c r="S339" s="127"/>
      <c r="T339" s="128"/>
      <c r="W339" s="199"/>
      <c r="X339" s="285" t="s">
        <v>490</v>
      </c>
      <c r="Y339" s="285" t="s">
        <v>231</v>
      </c>
      <c r="Z339" s="286" t="s">
        <v>2140</v>
      </c>
      <c r="AA339" s="240" t="s">
        <v>2141</v>
      </c>
      <c r="AB339" s="287" t="s">
        <v>1194</v>
      </c>
      <c r="AC339" s="288">
        <v>1</v>
      </c>
      <c r="AD339" s="289">
        <v>18.27</v>
      </c>
      <c r="AE339" s="290">
        <f t="shared" si="82"/>
        <v>18.27</v>
      </c>
      <c r="AF339" s="227"/>
      <c r="AG339" s="374"/>
      <c r="AH339" s="477"/>
      <c r="AR339" s="129" t="s">
        <v>235</v>
      </c>
      <c r="AT339" s="129" t="s">
        <v>231</v>
      </c>
      <c r="AU339" s="129" t="s">
        <v>76</v>
      </c>
      <c r="AY339" s="13" t="s">
        <v>228</v>
      </c>
      <c r="BE339" s="130">
        <f t="shared" si="83"/>
        <v>0</v>
      </c>
      <c r="BF339" s="130">
        <f t="shared" si="84"/>
        <v>0</v>
      </c>
      <c r="BG339" s="130">
        <f t="shared" si="85"/>
        <v>0</v>
      </c>
      <c r="BH339" s="130">
        <f t="shared" si="86"/>
        <v>0</v>
      </c>
      <c r="BI339" s="130">
        <f t="shared" si="87"/>
        <v>0</v>
      </c>
      <c r="BJ339" s="13" t="s">
        <v>76</v>
      </c>
      <c r="BK339" s="130">
        <f t="shared" si="88"/>
        <v>18.27</v>
      </c>
      <c r="BL339" s="13" t="s">
        <v>235</v>
      </c>
      <c r="BM339" s="129" t="s">
        <v>756</v>
      </c>
    </row>
    <row r="340" spans="2:65" s="1" customFormat="1" ht="24" customHeight="1" x14ac:dyDescent="0.2">
      <c r="B340" s="118"/>
      <c r="C340" s="285" t="s">
        <v>757</v>
      </c>
      <c r="D340" s="285" t="s">
        <v>231</v>
      </c>
      <c r="E340" s="286" t="s">
        <v>1889</v>
      </c>
      <c r="F340" s="240" t="s">
        <v>1890</v>
      </c>
      <c r="G340" s="287" t="s">
        <v>1194</v>
      </c>
      <c r="H340" s="288">
        <v>2</v>
      </c>
      <c r="I340" s="289">
        <v>18.27</v>
      </c>
      <c r="J340" s="289">
        <f t="shared" si="81"/>
        <v>36.54</v>
      </c>
      <c r="K340" s="121" t="s">
        <v>1</v>
      </c>
      <c r="L340" s="465"/>
      <c r="M340" s="125"/>
      <c r="N340" s="126"/>
      <c r="O340" s="127"/>
      <c r="P340" s="127"/>
      <c r="Q340" s="127"/>
      <c r="R340" s="127"/>
      <c r="S340" s="127"/>
      <c r="T340" s="128"/>
      <c r="W340" s="199"/>
      <c r="X340" s="285" t="s">
        <v>757</v>
      </c>
      <c r="Y340" s="285" t="s">
        <v>231</v>
      </c>
      <c r="Z340" s="286" t="s">
        <v>1889</v>
      </c>
      <c r="AA340" s="240" t="s">
        <v>1890</v>
      </c>
      <c r="AB340" s="287" t="s">
        <v>1194</v>
      </c>
      <c r="AC340" s="288">
        <v>2</v>
      </c>
      <c r="AD340" s="289">
        <v>18.27</v>
      </c>
      <c r="AE340" s="290">
        <f t="shared" si="82"/>
        <v>36.54</v>
      </c>
      <c r="AF340" s="227"/>
      <c r="AG340" s="374"/>
      <c r="AH340" s="477"/>
      <c r="AR340" s="129" t="s">
        <v>235</v>
      </c>
      <c r="AT340" s="129" t="s">
        <v>231</v>
      </c>
      <c r="AU340" s="129" t="s">
        <v>76</v>
      </c>
      <c r="AY340" s="13" t="s">
        <v>228</v>
      </c>
      <c r="BE340" s="130">
        <f t="shared" si="83"/>
        <v>0</v>
      </c>
      <c r="BF340" s="130">
        <f t="shared" si="84"/>
        <v>0</v>
      </c>
      <c r="BG340" s="130">
        <f t="shared" si="85"/>
        <v>0</v>
      </c>
      <c r="BH340" s="130">
        <f t="shared" si="86"/>
        <v>0</v>
      </c>
      <c r="BI340" s="130">
        <f t="shared" si="87"/>
        <v>0</v>
      </c>
      <c r="BJ340" s="13" t="s">
        <v>76</v>
      </c>
      <c r="BK340" s="130">
        <f t="shared" si="88"/>
        <v>36.54</v>
      </c>
      <c r="BL340" s="13" t="s">
        <v>235</v>
      </c>
      <c r="BM340" s="129" t="s">
        <v>760</v>
      </c>
    </row>
    <row r="341" spans="2:65" s="1" customFormat="1" ht="16.5" customHeight="1" x14ac:dyDescent="0.2">
      <c r="B341" s="118"/>
      <c r="C341" s="285" t="s">
        <v>493</v>
      </c>
      <c r="D341" s="285" t="s">
        <v>231</v>
      </c>
      <c r="E341" s="286" t="s">
        <v>2142</v>
      </c>
      <c r="F341" s="240" t="s">
        <v>2143</v>
      </c>
      <c r="G341" s="287" t="s">
        <v>1194</v>
      </c>
      <c r="H341" s="288">
        <v>1</v>
      </c>
      <c r="I341" s="289">
        <v>35.92</v>
      </c>
      <c r="J341" s="289">
        <f t="shared" si="81"/>
        <v>35.92</v>
      </c>
      <c r="K341" s="121" t="s">
        <v>1</v>
      </c>
      <c r="L341" s="465"/>
      <c r="M341" s="125"/>
      <c r="N341" s="126"/>
      <c r="O341" s="127"/>
      <c r="P341" s="127"/>
      <c r="Q341" s="127"/>
      <c r="R341" s="127"/>
      <c r="S341" s="127"/>
      <c r="T341" s="128"/>
      <c r="W341" s="199"/>
      <c r="X341" s="285" t="s">
        <v>493</v>
      </c>
      <c r="Y341" s="285" t="s">
        <v>231</v>
      </c>
      <c r="Z341" s="286" t="s">
        <v>2142</v>
      </c>
      <c r="AA341" s="240" t="s">
        <v>2143</v>
      </c>
      <c r="AB341" s="287" t="s">
        <v>1194</v>
      </c>
      <c r="AC341" s="288">
        <v>1</v>
      </c>
      <c r="AD341" s="289">
        <v>35.92</v>
      </c>
      <c r="AE341" s="290">
        <f t="shared" si="82"/>
        <v>35.92</v>
      </c>
      <c r="AF341" s="227"/>
      <c r="AG341" s="374"/>
      <c r="AH341" s="477"/>
      <c r="AR341" s="129" t="s">
        <v>235</v>
      </c>
      <c r="AT341" s="129" t="s">
        <v>231</v>
      </c>
      <c r="AU341" s="129" t="s">
        <v>76</v>
      </c>
      <c r="AY341" s="13" t="s">
        <v>228</v>
      </c>
      <c r="BE341" s="130">
        <f t="shared" si="83"/>
        <v>0</v>
      </c>
      <c r="BF341" s="130">
        <f t="shared" si="84"/>
        <v>0</v>
      </c>
      <c r="BG341" s="130">
        <f t="shared" si="85"/>
        <v>0</v>
      </c>
      <c r="BH341" s="130">
        <f t="shared" si="86"/>
        <v>0</v>
      </c>
      <c r="BI341" s="130">
        <f t="shared" si="87"/>
        <v>0</v>
      </c>
      <c r="BJ341" s="13" t="s">
        <v>76</v>
      </c>
      <c r="BK341" s="130">
        <f t="shared" si="88"/>
        <v>35.92</v>
      </c>
      <c r="BL341" s="13" t="s">
        <v>235</v>
      </c>
      <c r="BM341" s="129" t="s">
        <v>763</v>
      </c>
    </row>
    <row r="342" spans="2:65" s="1" customFormat="1" ht="16.5" customHeight="1" x14ac:dyDescent="0.2">
      <c r="B342" s="118"/>
      <c r="C342" s="285" t="s">
        <v>764</v>
      </c>
      <c r="D342" s="285" t="s">
        <v>231</v>
      </c>
      <c r="E342" s="286" t="s">
        <v>2030</v>
      </c>
      <c r="F342" s="240" t="s">
        <v>2031</v>
      </c>
      <c r="G342" s="287" t="s">
        <v>292</v>
      </c>
      <c r="H342" s="288">
        <v>12</v>
      </c>
      <c r="I342" s="289">
        <v>11.34</v>
      </c>
      <c r="J342" s="289">
        <f t="shared" si="81"/>
        <v>136.08000000000001</v>
      </c>
      <c r="K342" s="121" t="s">
        <v>1</v>
      </c>
      <c r="L342" s="465"/>
      <c r="M342" s="125"/>
      <c r="N342" s="126"/>
      <c r="O342" s="127"/>
      <c r="P342" s="127"/>
      <c r="Q342" s="127"/>
      <c r="R342" s="127"/>
      <c r="S342" s="127"/>
      <c r="T342" s="128"/>
      <c r="W342" s="199"/>
      <c r="X342" s="285" t="s">
        <v>764</v>
      </c>
      <c r="Y342" s="285" t="s">
        <v>231</v>
      </c>
      <c r="Z342" s="286" t="s">
        <v>2030</v>
      </c>
      <c r="AA342" s="240" t="s">
        <v>2031</v>
      </c>
      <c r="AB342" s="287" t="s">
        <v>292</v>
      </c>
      <c r="AC342" s="288">
        <v>12</v>
      </c>
      <c r="AD342" s="289">
        <v>11.34</v>
      </c>
      <c r="AE342" s="290">
        <f t="shared" si="82"/>
        <v>136.08000000000001</v>
      </c>
      <c r="AF342" s="227"/>
      <c r="AG342" s="374"/>
      <c r="AH342" s="477"/>
      <c r="AR342" s="129" t="s">
        <v>235</v>
      </c>
      <c r="AT342" s="129" t="s">
        <v>231</v>
      </c>
      <c r="AU342" s="129" t="s">
        <v>76</v>
      </c>
      <c r="AY342" s="13" t="s">
        <v>228</v>
      </c>
      <c r="BE342" s="130">
        <f t="shared" si="83"/>
        <v>0</v>
      </c>
      <c r="BF342" s="130">
        <f t="shared" si="84"/>
        <v>0</v>
      </c>
      <c r="BG342" s="130">
        <f t="shared" si="85"/>
        <v>0</v>
      </c>
      <c r="BH342" s="130">
        <f t="shared" si="86"/>
        <v>0</v>
      </c>
      <c r="BI342" s="130">
        <f t="shared" si="87"/>
        <v>0</v>
      </c>
      <c r="BJ342" s="13" t="s">
        <v>76</v>
      </c>
      <c r="BK342" s="130">
        <f t="shared" si="88"/>
        <v>136.08000000000001</v>
      </c>
      <c r="BL342" s="13" t="s">
        <v>235</v>
      </c>
      <c r="BM342" s="129" t="s">
        <v>767</v>
      </c>
    </row>
    <row r="343" spans="2:65" s="1" customFormat="1" ht="16.5" customHeight="1" x14ac:dyDescent="0.2">
      <c r="B343" s="118"/>
      <c r="C343" s="285" t="s">
        <v>497</v>
      </c>
      <c r="D343" s="285" t="s">
        <v>231</v>
      </c>
      <c r="E343" s="286" t="s">
        <v>2102</v>
      </c>
      <c r="F343" s="240" t="s">
        <v>2103</v>
      </c>
      <c r="G343" s="287" t="s">
        <v>1194</v>
      </c>
      <c r="H343" s="288">
        <v>4</v>
      </c>
      <c r="I343" s="289">
        <v>12.76</v>
      </c>
      <c r="J343" s="289">
        <f t="shared" si="81"/>
        <v>51.04</v>
      </c>
      <c r="K343" s="121" t="s">
        <v>1</v>
      </c>
      <c r="L343" s="465"/>
      <c r="M343" s="125"/>
      <c r="N343" s="126"/>
      <c r="O343" s="127"/>
      <c r="P343" s="127"/>
      <c r="Q343" s="127"/>
      <c r="R343" s="127"/>
      <c r="S343" s="127"/>
      <c r="T343" s="128"/>
      <c r="W343" s="199"/>
      <c r="X343" s="285" t="s">
        <v>497</v>
      </c>
      <c r="Y343" s="285" t="s">
        <v>231</v>
      </c>
      <c r="Z343" s="286" t="s">
        <v>2102</v>
      </c>
      <c r="AA343" s="240" t="s">
        <v>2103</v>
      </c>
      <c r="AB343" s="287" t="s">
        <v>1194</v>
      </c>
      <c r="AC343" s="288">
        <v>4</v>
      </c>
      <c r="AD343" s="289">
        <v>12.76</v>
      </c>
      <c r="AE343" s="290">
        <f t="shared" si="82"/>
        <v>51.04</v>
      </c>
      <c r="AF343" s="227"/>
      <c r="AG343" s="374"/>
      <c r="AH343" s="477"/>
      <c r="AR343" s="129" t="s">
        <v>235</v>
      </c>
      <c r="AT343" s="129" t="s">
        <v>231</v>
      </c>
      <c r="AU343" s="129" t="s">
        <v>76</v>
      </c>
      <c r="AY343" s="13" t="s">
        <v>228</v>
      </c>
      <c r="BE343" s="130">
        <f t="shared" si="83"/>
        <v>0</v>
      </c>
      <c r="BF343" s="130">
        <f t="shared" si="84"/>
        <v>0</v>
      </c>
      <c r="BG343" s="130">
        <f t="shared" si="85"/>
        <v>0</v>
      </c>
      <c r="BH343" s="130">
        <f t="shared" si="86"/>
        <v>0</v>
      </c>
      <c r="BI343" s="130">
        <f t="shared" si="87"/>
        <v>0</v>
      </c>
      <c r="BJ343" s="13" t="s">
        <v>76</v>
      </c>
      <c r="BK343" s="130">
        <f t="shared" si="88"/>
        <v>51.04</v>
      </c>
      <c r="BL343" s="13" t="s">
        <v>235</v>
      </c>
      <c r="BM343" s="129" t="s">
        <v>770</v>
      </c>
    </row>
    <row r="344" spans="2:65" s="1" customFormat="1" ht="27.45" customHeight="1" x14ac:dyDescent="0.2">
      <c r="B344" s="118"/>
      <c r="C344" s="285" t="s">
        <v>771</v>
      </c>
      <c r="D344" s="285" t="s">
        <v>231</v>
      </c>
      <c r="E344" s="286" t="s">
        <v>2100</v>
      </c>
      <c r="F344" s="240" t="s">
        <v>2101</v>
      </c>
      <c r="G344" s="287" t="s">
        <v>1194</v>
      </c>
      <c r="H344" s="288">
        <v>1</v>
      </c>
      <c r="I344" s="289">
        <v>20.57</v>
      </c>
      <c r="J344" s="289">
        <f t="shared" si="81"/>
        <v>20.57</v>
      </c>
      <c r="K344" s="121" t="s">
        <v>1</v>
      </c>
      <c r="L344" s="465"/>
      <c r="M344" s="125"/>
      <c r="N344" s="126"/>
      <c r="O344" s="127"/>
      <c r="P344" s="127"/>
      <c r="Q344" s="127"/>
      <c r="R344" s="127"/>
      <c r="S344" s="127"/>
      <c r="T344" s="128"/>
      <c r="W344" s="199"/>
      <c r="X344" s="285" t="s">
        <v>771</v>
      </c>
      <c r="Y344" s="285" t="s">
        <v>231</v>
      </c>
      <c r="Z344" s="286" t="s">
        <v>2100</v>
      </c>
      <c r="AA344" s="240" t="s">
        <v>2101</v>
      </c>
      <c r="AB344" s="287" t="s">
        <v>1194</v>
      </c>
      <c r="AC344" s="288">
        <v>1</v>
      </c>
      <c r="AD344" s="289">
        <v>20.57</v>
      </c>
      <c r="AE344" s="290">
        <f t="shared" si="82"/>
        <v>20.57</v>
      </c>
      <c r="AF344" s="227"/>
      <c r="AG344" s="374"/>
      <c r="AH344" s="477"/>
      <c r="AR344" s="129" t="s">
        <v>235</v>
      </c>
      <c r="AT344" s="129" t="s">
        <v>231</v>
      </c>
      <c r="AU344" s="129" t="s">
        <v>76</v>
      </c>
      <c r="AY344" s="13" t="s">
        <v>228</v>
      </c>
      <c r="BE344" s="130">
        <f t="shared" si="83"/>
        <v>0</v>
      </c>
      <c r="BF344" s="130">
        <f t="shared" si="84"/>
        <v>0</v>
      </c>
      <c r="BG344" s="130">
        <f t="shared" si="85"/>
        <v>0</v>
      </c>
      <c r="BH344" s="130">
        <f t="shared" si="86"/>
        <v>0</v>
      </c>
      <c r="BI344" s="130">
        <f t="shared" si="87"/>
        <v>0</v>
      </c>
      <c r="BJ344" s="13" t="s">
        <v>76</v>
      </c>
      <c r="BK344" s="130">
        <f t="shared" si="88"/>
        <v>20.57</v>
      </c>
      <c r="BL344" s="13" t="s">
        <v>235</v>
      </c>
      <c r="BM344" s="129" t="s">
        <v>774</v>
      </c>
    </row>
    <row r="345" spans="2:65" s="1" customFormat="1" ht="16.5" customHeight="1" x14ac:dyDescent="0.2">
      <c r="B345" s="118"/>
      <c r="C345" s="285" t="s">
        <v>500</v>
      </c>
      <c r="D345" s="285" t="s">
        <v>231</v>
      </c>
      <c r="E345" s="286" t="s">
        <v>2144</v>
      </c>
      <c r="F345" s="240" t="s">
        <v>2145</v>
      </c>
      <c r="G345" s="287" t="s">
        <v>1194</v>
      </c>
      <c r="H345" s="288">
        <v>3</v>
      </c>
      <c r="I345" s="289">
        <v>12.77</v>
      </c>
      <c r="J345" s="289">
        <f t="shared" si="81"/>
        <v>38.31</v>
      </c>
      <c r="K345" s="121" t="s">
        <v>1</v>
      </c>
      <c r="L345" s="465"/>
      <c r="M345" s="125"/>
      <c r="N345" s="126"/>
      <c r="O345" s="127"/>
      <c r="P345" s="127"/>
      <c r="Q345" s="127"/>
      <c r="R345" s="127"/>
      <c r="S345" s="127"/>
      <c r="T345" s="128"/>
      <c r="W345" s="199"/>
      <c r="X345" s="285" t="s">
        <v>500</v>
      </c>
      <c r="Y345" s="285" t="s">
        <v>231</v>
      </c>
      <c r="Z345" s="286" t="s">
        <v>2144</v>
      </c>
      <c r="AA345" s="240" t="s">
        <v>2145</v>
      </c>
      <c r="AB345" s="287" t="s">
        <v>1194</v>
      </c>
      <c r="AC345" s="288">
        <v>3</v>
      </c>
      <c r="AD345" s="289">
        <v>12.77</v>
      </c>
      <c r="AE345" s="290">
        <f t="shared" si="82"/>
        <v>38.31</v>
      </c>
      <c r="AF345" s="227"/>
      <c r="AG345" s="374"/>
      <c r="AH345" s="477"/>
      <c r="AR345" s="129" t="s">
        <v>235</v>
      </c>
      <c r="AT345" s="129" t="s">
        <v>231</v>
      </c>
      <c r="AU345" s="129" t="s">
        <v>76</v>
      </c>
      <c r="AY345" s="13" t="s">
        <v>228</v>
      </c>
      <c r="BE345" s="130">
        <f t="shared" si="83"/>
        <v>0</v>
      </c>
      <c r="BF345" s="130">
        <f t="shared" si="84"/>
        <v>0</v>
      </c>
      <c r="BG345" s="130">
        <f t="shared" si="85"/>
        <v>0</v>
      </c>
      <c r="BH345" s="130">
        <f t="shared" si="86"/>
        <v>0</v>
      </c>
      <c r="BI345" s="130">
        <f t="shared" si="87"/>
        <v>0</v>
      </c>
      <c r="BJ345" s="13" t="s">
        <v>76</v>
      </c>
      <c r="BK345" s="130">
        <f t="shared" si="88"/>
        <v>38.31</v>
      </c>
      <c r="BL345" s="13" t="s">
        <v>235</v>
      </c>
      <c r="BM345" s="129" t="s">
        <v>777</v>
      </c>
    </row>
    <row r="346" spans="2:65" s="1" customFormat="1" ht="16.5" customHeight="1" x14ac:dyDescent="0.2">
      <c r="B346" s="118"/>
      <c r="C346" s="285" t="s">
        <v>778</v>
      </c>
      <c r="D346" s="285" t="s">
        <v>231</v>
      </c>
      <c r="E346" s="286" t="s">
        <v>2014</v>
      </c>
      <c r="F346" s="240" t="s">
        <v>2015</v>
      </c>
      <c r="G346" s="287" t="s">
        <v>292</v>
      </c>
      <c r="H346" s="288">
        <v>2</v>
      </c>
      <c r="I346" s="289">
        <v>5.3</v>
      </c>
      <c r="J346" s="289">
        <f t="shared" si="81"/>
        <v>10.6</v>
      </c>
      <c r="K346" s="121" t="s">
        <v>1</v>
      </c>
      <c r="L346" s="465"/>
      <c r="M346" s="125"/>
      <c r="N346" s="126"/>
      <c r="O346" s="127"/>
      <c r="P346" s="127"/>
      <c r="Q346" s="127"/>
      <c r="R346" s="127"/>
      <c r="S346" s="127"/>
      <c r="T346" s="128"/>
      <c r="W346" s="199"/>
      <c r="X346" s="285" t="s">
        <v>778</v>
      </c>
      <c r="Y346" s="285" t="s">
        <v>231</v>
      </c>
      <c r="Z346" s="286" t="s">
        <v>2014</v>
      </c>
      <c r="AA346" s="240" t="s">
        <v>2015</v>
      </c>
      <c r="AB346" s="287" t="s">
        <v>292</v>
      </c>
      <c r="AC346" s="288">
        <v>2</v>
      </c>
      <c r="AD346" s="289">
        <v>5.3</v>
      </c>
      <c r="AE346" s="290">
        <f t="shared" si="82"/>
        <v>10.6</v>
      </c>
      <c r="AF346" s="227"/>
      <c r="AG346" s="374"/>
      <c r="AH346" s="477"/>
      <c r="AR346" s="129" t="s">
        <v>235</v>
      </c>
      <c r="AT346" s="129" t="s">
        <v>231</v>
      </c>
      <c r="AU346" s="129" t="s">
        <v>76</v>
      </c>
      <c r="AY346" s="13" t="s">
        <v>228</v>
      </c>
      <c r="BE346" s="130">
        <f t="shared" si="83"/>
        <v>0</v>
      </c>
      <c r="BF346" s="130">
        <f t="shared" si="84"/>
        <v>0</v>
      </c>
      <c r="BG346" s="130">
        <f t="shared" si="85"/>
        <v>0</v>
      </c>
      <c r="BH346" s="130">
        <f t="shared" si="86"/>
        <v>0</v>
      </c>
      <c r="BI346" s="130">
        <f t="shared" si="87"/>
        <v>0</v>
      </c>
      <c r="BJ346" s="13" t="s">
        <v>76</v>
      </c>
      <c r="BK346" s="130">
        <f t="shared" si="88"/>
        <v>10.6</v>
      </c>
      <c r="BL346" s="13" t="s">
        <v>235</v>
      </c>
      <c r="BM346" s="129" t="s">
        <v>781</v>
      </c>
    </row>
    <row r="347" spans="2:65" s="1" customFormat="1" ht="16.5" customHeight="1" x14ac:dyDescent="0.2">
      <c r="B347" s="118"/>
      <c r="C347" s="285" t="s">
        <v>504</v>
      </c>
      <c r="D347" s="285" t="s">
        <v>231</v>
      </c>
      <c r="E347" s="286" t="s">
        <v>2146</v>
      </c>
      <c r="F347" s="240" t="s">
        <v>2147</v>
      </c>
      <c r="G347" s="287" t="s">
        <v>1194</v>
      </c>
      <c r="H347" s="288">
        <v>1</v>
      </c>
      <c r="I347" s="289">
        <v>7.28</v>
      </c>
      <c r="J347" s="289">
        <f t="shared" si="81"/>
        <v>7.28</v>
      </c>
      <c r="K347" s="121" t="s">
        <v>1</v>
      </c>
      <c r="L347" s="465"/>
      <c r="M347" s="125"/>
      <c r="N347" s="126"/>
      <c r="O347" s="127"/>
      <c r="P347" s="127"/>
      <c r="Q347" s="127"/>
      <c r="R347" s="127"/>
      <c r="S347" s="127"/>
      <c r="T347" s="128"/>
      <c r="W347" s="199"/>
      <c r="X347" s="285" t="s">
        <v>504</v>
      </c>
      <c r="Y347" s="285" t="s">
        <v>231</v>
      </c>
      <c r="Z347" s="286" t="s">
        <v>2146</v>
      </c>
      <c r="AA347" s="240" t="s">
        <v>2147</v>
      </c>
      <c r="AB347" s="287" t="s">
        <v>1194</v>
      </c>
      <c r="AC347" s="288">
        <v>1</v>
      </c>
      <c r="AD347" s="289">
        <v>7.28</v>
      </c>
      <c r="AE347" s="290">
        <f t="shared" si="82"/>
        <v>7.28</v>
      </c>
      <c r="AF347" s="227"/>
      <c r="AG347" s="374"/>
      <c r="AH347" s="477"/>
      <c r="AR347" s="129" t="s">
        <v>235</v>
      </c>
      <c r="AT347" s="129" t="s">
        <v>231</v>
      </c>
      <c r="AU347" s="129" t="s">
        <v>76</v>
      </c>
      <c r="AY347" s="13" t="s">
        <v>228</v>
      </c>
      <c r="BE347" s="130">
        <f t="shared" si="83"/>
        <v>0</v>
      </c>
      <c r="BF347" s="130">
        <f t="shared" si="84"/>
        <v>0</v>
      </c>
      <c r="BG347" s="130">
        <f t="shared" si="85"/>
        <v>0</v>
      </c>
      <c r="BH347" s="130">
        <f t="shared" si="86"/>
        <v>0</v>
      </c>
      <c r="BI347" s="130">
        <f t="shared" si="87"/>
        <v>0</v>
      </c>
      <c r="BJ347" s="13" t="s">
        <v>76</v>
      </c>
      <c r="BK347" s="130">
        <f t="shared" si="88"/>
        <v>7.28</v>
      </c>
      <c r="BL347" s="13" t="s">
        <v>235</v>
      </c>
      <c r="BM347" s="129" t="s">
        <v>784</v>
      </c>
    </row>
    <row r="348" spans="2:65" s="1" customFormat="1" ht="16.5" customHeight="1" x14ac:dyDescent="0.2">
      <c r="B348" s="118"/>
      <c r="C348" s="285" t="s">
        <v>787</v>
      </c>
      <c r="D348" s="285" t="s">
        <v>231</v>
      </c>
      <c r="E348" s="286" t="s">
        <v>2020</v>
      </c>
      <c r="F348" s="240" t="s">
        <v>2021</v>
      </c>
      <c r="G348" s="287" t="s">
        <v>1194</v>
      </c>
      <c r="H348" s="288">
        <v>1</v>
      </c>
      <c r="I348" s="289">
        <v>5.31</v>
      </c>
      <c r="J348" s="289">
        <f t="shared" si="81"/>
        <v>5.31</v>
      </c>
      <c r="K348" s="121" t="s">
        <v>1</v>
      </c>
      <c r="L348" s="465"/>
      <c r="M348" s="125"/>
      <c r="N348" s="126"/>
      <c r="O348" s="127"/>
      <c r="P348" s="127"/>
      <c r="Q348" s="127"/>
      <c r="R348" s="127"/>
      <c r="S348" s="127"/>
      <c r="T348" s="128"/>
      <c r="W348" s="199"/>
      <c r="X348" s="285" t="s">
        <v>787</v>
      </c>
      <c r="Y348" s="285" t="s">
        <v>231</v>
      </c>
      <c r="Z348" s="286" t="s">
        <v>2020</v>
      </c>
      <c r="AA348" s="240" t="s">
        <v>2021</v>
      </c>
      <c r="AB348" s="287" t="s">
        <v>1194</v>
      </c>
      <c r="AC348" s="288">
        <v>1</v>
      </c>
      <c r="AD348" s="289">
        <v>5.31</v>
      </c>
      <c r="AE348" s="290">
        <f t="shared" si="82"/>
        <v>5.31</v>
      </c>
      <c r="AF348" s="227"/>
      <c r="AG348" s="374"/>
      <c r="AH348" s="477"/>
      <c r="AR348" s="129" t="s">
        <v>235</v>
      </c>
      <c r="AT348" s="129" t="s">
        <v>231</v>
      </c>
      <c r="AU348" s="129" t="s">
        <v>76</v>
      </c>
      <c r="AY348" s="13" t="s">
        <v>228</v>
      </c>
      <c r="BE348" s="130">
        <f t="shared" si="83"/>
        <v>0</v>
      </c>
      <c r="BF348" s="130">
        <f t="shared" si="84"/>
        <v>0</v>
      </c>
      <c r="BG348" s="130">
        <f t="shared" si="85"/>
        <v>0</v>
      </c>
      <c r="BH348" s="130">
        <f t="shared" si="86"/>
        <v>0</v>
      </c>
      <c r="BI348" s="130">
        <f t="shared" si="87"/>
        <v>0</v>
      </c>
      <c r="BJ348" s="13" t="s">
        <v>76</v>
      </c>
      <c r="BK348" s="130">
        <f t="shared" si="88"/>
        <v>5.31</v>
      </c>
      <c r="BL348" s="13" t="s">
        <v>235</v>
      </c>
      <c r="BM348" s="129" t="s">
        <v>790</v>
      </c>
    </row>
    <row r="349" spans="2:65" s="1" customFormat="1" ht="25.2" customHeight="1" x14ac:dyDescent="0.2">
      <c r="B349" s="118"/>
      <c r="C349" s="285" t="s">
        <v>507</v>
      </c>
      <c r="D349" s="285" t="s">
        <v>231</v>
      </c>
      <c r="E349" s="286" t="s">
        <v>2148</v>
      </c>
      <c r="F349" s="240" t="s">
        <v>2149</v>
      </c>
      <c r="G349" s="287" t="s">
        <v>1194</v>
      </c>
      <c r="H349" s="288">
        <v>1</v>
      </c>
      <c r="I349" s="289">
        <v>19.43</v>
      </c>
      <c r="J349" s="289">
        <f t="shared" si="81"/>
        <v>19.43</v>
      </c>
      <c r="K349" s="121" t="s">
        <v>1</v>
      </c>
      <c r="L349" s="465"/>
      <c r="M349" s="125"/>
      <c r="N349" s="126"/>
      <c r="O349" s="127"/>
      <c r="P349" s="127"/>
      <c r="Q349" s="127"/>
      <c r="R349" s="127"/>
      <c r="S349" s="127"/>
      <c r="T349" s="128"/>
      <c r="W349" s="199"/>
      <c r="X349" s="285" t="s">
        <v>507</v>
      </c>
      <c r="Y349" s="285" t="s">
        <v>231</v>
      </c>
      <c r="Z349" s="286" t="s">
        <v>2148</v>
      </c>
      <c r="AA349" s="240" t="s">
        <v>2149</v>
      </c>
      <c r="AB349" s="287" t="s">
        <v>1194</v>
      </c>
      <c r="AC349" s="288">
        <v>1</v>
      </c>
      <c r="AD349" s="289">
        <v>19.43</v>
      </c>
      <c r="AE349" s="290">
        <f t="shared" si="82"/>
        <v>19.43</v>
      </c>
      <c r="AF349" s="227"/>
      <c r="AG349" s="374"/>
      <c r="AH349" s="477"/>
      <c r="AR349" s="129" t="s">
        <v>235</v>
      </c>
      <c r="AT349" s="129" t="s">
        <v>231</v>
      </c>
      <c r="AU349" s="129" t="s">
        <v>76</v>
      </c>
      <c r="AY349" s="13" t="s">
        <v>228</v>
      </c>
      <c r="BE349" s="130">
        <f t="shared" si="83"/>
        <v>0</v>
      </c>
      <c r="BF349" s="130">
        <f t="shared" si="84"/>
        <v>0</v>
      </c>
      <c r="BG349" s="130">
        <f t="shared" si="85"/>
        <v>0</v>
      </c>
      <c r="BH349" s="130">
        <f t="shared" si="86"/>
        <v>0</v>
      </c>
      <c r="BI349" s="130">
        <f t="shared" si="87"/>
        <v>0</v>
      </c>
      <c r="BJ349" s="13" t="s">
        <v>76</v>
      </c>
      <c r="BK349" s="130">
        <f t="shared" si="88"/>
        <v>19.43</v>
      </c>
      <c r="BL349" s="13" t="s">
        <v>235</v>
      </c>
      <c r="BM349" s="129" t="s">
        <v>793</v>
      </c>
    </row>
    <row r="350" spans="2:65" s="1" customFormat="1" ht="16.5" customHeight="1" x14ac:dyDescent="0.2">
      <c r="B350" s="118"/>
      <c r="C350" s="285" t="s">
        <v>794</v>
      </c>
      <c r="D350" s="285" t="s">
        <v>231</v>
      </c>
      <c r="E350" s="286" t="s">
        <v>2150</v>
      </c>
      <c r="F350" s="240" t="s">
        <v>2151</v>
      </c>
      <c r="G350" s="287" t="s">
        <v>292</v>
      </c>
      <c r="H350" s="288">
        <v>1</v>
      </c>
      <c r="I350" s="289">
        <v>8.19</v>
      </c>
      <c r="J350" s="289">
        <f t="shared" si="81"/>
        <v>8.19</v>
      </c>
      <c r="K350" s="121" t="s">
        <v>1</v>
      </c>
      <c r="L350" s="465"/>
      <c r="M350" s="125"/>
      <c r="N350" s="126"/>
      <c r="O350" s="127"/>
      <c r="P350" s="127"/>
      <c r="Q350" s="127"/>
      <c r="R350" s="127"/>
      <c r="S350" s="127"/>
      <c r="T350" s="128"/>
      <c r="W350" s="199"/>
      <c r="X350" s="285" t="s">
        <v>794</v>
      </c>
      <c r="Y350" s="285" t="s">
        <v>231</v>
      </c>
      <c r="Z350" s="286" t="s">
        <v>2150</v>
      </c>
      <c r="AA350" s="240" t="s">
        <v>2151</v>
      </c>
      <c r="AB350" s="287" t="s">
        <v>292</v>
      </c>
      <c r="AC350" s="288">
        <v>1</v>
      </c>
      <c r="AD350" s="289">
        <v>8.19</v>
      </c>
      <c r="AE350" s="290">
        <f t="shared" si="82"/>
        <v>8.19</v>
      </c>
      <c r="AF350" s="227"/>
      <c r="AG350" s="374"/>
      <c r="AH350" s="477"/>
      <c r="AR350" s="129" t="s">
        <v>235</v>
      </c>
      <c r="AT350" s="129" t="s">
        <v>231</v>
      </c>
      <c r="AU350" s="129" t="s">
        <v>76</v>
      </c>
      <c r="AY350" s="13" t="s">
        <v>228</v>
      </c>
      <c r="BE350" s="130">
        <f t="shared" si="83"/>
        <v>0</v>
      </c>
      <c r="BF350" s="130">
        <f t="shared" si="84"/>
        <v>0</v>
      </c>
      <c r="BG350" s="130">
        <f t="shared" si="85"/>
        <v>0</v>
      </c>
      <c r="BH350" s="130">
        <f t="shared" si="86"/>
        <v>0</v>
      </c>
      <c r="BI350" s="130">
        <f t="shared" si="87"/>
        <v>0</v>
      </c>
      <c r="BJ350" s="13" t="s">
        <v>76</v>
      </c>
      <c r="BK350" s="130">
        <f t="shared" si="88"/>
        <v>8.19</v>
      </c>
      <c r="BL350" s="13" t="s">
        <v>235</v>
      </c>
      <c r="BM350" s="129" t="s">
        <v>797</v>
      </c>
    </row>
    <row r="351" spans="2:65" s="1" customFormat="1" ht="16.5" customHeight="1" x14ac:dyDescent="0.2">
      <c r="B351" s="118"/>
      <c r="C351" s="285" t="s">
        <v>511</v>
      </c>
      <c r="D351" s="285" t="s">
        <v>231</v>
      </c>
      <c r="E351" s="286" t="s">
        <v>2152</v>
      </c>
      <c r="F351" s="240" t="s">
        <v>2153</v>
      </c>
      <c r="G351" s="287" t="s">
        <v>1194</v>
      </c>
      <c r="H351" s="288">
        <v>1</v>
      </c>
      <c r="I351" s="289">
        <v>10.45</v>
      </c>
      <c r="J351" s="289">
        <f t="shared" si="81"/>
        <v>10.45</v>
      </c>
      <c r="K351" s="121" t="s">
        <v>1</v>
      </c>
      <c r="L351" s="465"/>
      <c r="M351" s="125"/>
      <c r="N351" s="126"/>
      <c r="O351" s="127"/>
      <c r="P351" s="127"/>
      <c r="Q351" s="127"/>
      <c r="R351" s="127"/>
      <c r="S351" s="127"/>
      <c r="T351" s="128"/>
      <c r="W351" s="199"/>
      <c r="X351" s="285" t="s">
        <v>511</v>
      </c>
      <c r="Y351" s="285" t="s">
        <v>231</v>
      </c>
      <c r="Z351" s="286" t="s">
        <v>2152</v>
      </c>
      <c r="AA351" s="240" t="s">
        <v>2153</v>
      </c>
      <c r="AB351" s="287" t="s">
        <v>1194</v>
      </c>
      <c r="AC351" s="288">
        <v>1</v>
      </c>
      <c r="AD351" s="289">
        <v>10.45</v>
      </c>
      <c r="AE351" s="290">
        <f t="shared" si="82"/>
        <v>10.45</v>
      </c>
      <c r="AF351" s="227"/>
      <c r="AG351" s="374"/>
      <c r="AH351" s="477"/>
      <c r="AR351" s="129" t="s">
        <v>235</v>
      </c>
      <c r="AT351" s="129" t="s">
        <v>231</v>
      </c>
      <c r="AU351" s="129" t="s">
        <v>76</v>
      </c>
      <c r="AY351" s="13" t="s">
        <v>228</v>
      </c>
      <c r="BE351" s="130">
        <f t="shared" si="83"/>
        <v>0</v>
      </c>
      <c r="BF351" s="130">
        <f t="shared" si="84"/>
        <v>0</v>
      </c>
      <c r="BG351" s="130">
        <f t="shared" si="85"/>
        <v>0</v>
      </c>
      <c r="BH351" s="130">
        <f t="shared" si="86"/>
        <v>0</v>
      </c>
      <c r="BI351" s="130">
        <f t="shared" si="87"/>
        <v>0</v>
      </c>
      <c r="BJ351" s="13" t="s">
        <v>76</v>
      </c>
      <c r="BK351" s="130">
        <f t="shared" si="88"/>
        <v>10.45</v>
      </c>
      <c r="BL351" s="13" t="s">
        <v>235</v>
      </c>
      <c r="BM351" s="129" t="s">
        <v>800</v>
      </c>
    </row>
    <row r="352" spans="2:65" s="1" customFormat="1" ht="16.5" customHeight="1" x14ac:dyDescent="0.2">
      <c r="B352" s="118"/>
      <c r="C352" s="285" t="s">
        <v>801</v>
      </c>
      <c r="D352" s="285" t="s">
        <v>231</v>
      </c>
      <c r="E352" s="286" t="s">
        <v>2028</v>
      </c>
      <c r="F352" s="240" t="s">
        <v>2029</v>
      </c>
      <c r="G352" s="287" t="s">
        <v>1194</v>
      </c>
      <c r="H352" s="288">
        <v>1</v>
      </c>
      <c r="I352" s="289">
        <v>10.19</v>
      </c>
      <c r="J352" s="289">
        <f t="shared" si="81"/>
        <v>10.19</v>
      </c>
      <c r="K352" s="121" t="s">
        <v>1</v>
      </c>
      <c r="L352" s="465"/>
      <c r="M352" s="125"/>
      <c r="N352" s="126"/>
      <c r="O352" s="127"/>
      <c r="P352" s="127"/>
      <c r="Q352" s="127"/>
      <c r="R352" s="127"/>
      <c r="S352" s="127"/>
      <c r="T352" s="128"/>
      <c r="W352" s="199"/>
      <c r="X352" s="285" t="s">
        <v>801</v>
      </c>
      <c r="Y352" s="285" t="s">
        <v>231</v>
      </c>
      <c r="Z352" s="286" t="s">
        <v>2028</v>
      </c>
      <c r="AA352" s="240" t="s">
        <v>2029</v>
      </c>
      <c r="AB352" s="287" t="s">
        <v>1194</v>
      </c>
      <c r="AC352" s="288">
        <v>1</v>
      </c>
      <c r="AD352" s="289">
        <v>10.19</v>
      </c>
      <c r="AE352" s="290">
        <f t="shared" si="82"/>
        <v>10.19</v>
      </c>
      <c r="AF352" s="227"/>
      <c r="AG352" s="374"/>
      <c r="AH352" s="477"/>
      <c r="AR352" s="129" t="s">
        <v>235</v>
      </c>
      <c r="AT352" s="129" t="s">
        <v>231</v>
      </c>
      <c r="AU352" s="129" t="s">
        <v>76</v>
      </c>
      <c r="AY352" s="13" t="s">
        <v>228</v>
      </c>
      <c r="BE352" s="130">
        <f t="shared" si="83"/>
        <v>0</v>
      </c>
      <c r="BF352" s="130">
        <f t="shared" si="84"/>
        <v>0</v>
      </c>
      <c r="BG352" s="130">
        <f t="shared" si="85"/>
        <v>0</v>
      </c>
      <c r="BH352" s="130">
        <f t="shared" si="86"/>
        <v>0</v>
      </c>
      <c r="BI352" s="130">
        <f t="shared" si="87"/>
        <v>0</v>
      </c>
      <c r="BJ352" s="13" t="s">
        <v>76</v>
      </c>
      <c r="BK352" s="130">
        <f t="shared" si="88"/>
        <v>10.19</v>
      </c>
      <c r="BL352" s="13" t="s">
        <v>235</v>
      </c>
      <c r="BM352" s="129" t="s">
        <v>804</v>
      </c>
    </row>
    <row r="353" spans="2:65" s="11" customFormat="1" ht="25.95" customHeight="1" x14ac:dyDescent="0.25">
      <c r="B353" s="106"/>
      <c r="D353" s="107" t="s">
        <v>57</v>
      </c>
      <c r="E353" s="108" t="s">
        <v>2154</v>
      </c>
      <c r="F353" s="108" t="s">
        <v>2155</v>
      </c>
      <c r="J353" s="109">
        <f>BK353</f>
        <v>10401.800000000001</v>
      </c>
      <c r="L353" s="106"/>
      <c r="M353" s="110"/>
      <c r="N353" s="111"/>
      <c r="O353" s="111"/>
      <c r="P353" s="112"/>
      <c r="Q353" s="111"/>
      <c r="R353" s="112"/>
      <c r="S353" s="111"/>
      <c r="T353" s="113"/>
      <c r="W353" s="195"/>
      <c r="X353" s="111"/>
      <c r="Y353" s="196" t="s">
        <v>57</v>
      </c>
      <c r="Z353" s="197" t="s">
        <v>2154</v>
      </c>
      <c r="AA353" s="508" t="s">
        <v>6094</v>
      </c>
      <c r="AB353" s="111"/>
      <c r="AC353" s="111"/>
      <c r="AD353" s="111"/>
      <c r="AE353" s="198">
        <f>AE354+AE356+AE357+AE362+AE367+AE371+AE385</f>
        <v>10401.800000000001</v>
      </c>
      <c r="AF353" s="227"/>
      <c r="AG353" s="374"/>
      <c r="AH353" s="477"/>
      <c r="AR353" s="107" t="s">
        <v>63</v>
      </c>
      <c r="AT353" s="114" t="s">
        <v>57</v>
      </c>
      <c r="AU353" s="114" t="s">
        <v>58</v>
      </c>
      <c r="AY353" s="107" t="s">
        <v>228</v>
      </c>
      <c r="BK353" s="115">
        <f>BK354+SUM(BK355:BK357)+BK362+BK367+BK371+BK385</f>
        <v>10401.800000000001</v>
      </c>
    </row>
    <row r="354" spans="2:65" s="1" customFormat="1" ht="16.5" customHeight="1" x14ac:dyDescent="0.2">
      <c r="B354" s="118"/>
      <c r="C354" s="119" t="s">
        <v>514</v>
      </c>
      <c r="D354" s="119" t="s">
        <v>231</v>
      </c>
      <c r="E354" s="286" t="s">
        <v>2156</v>
      </c>
      <c r="F354" s="240" t="s">
        <v>2157</v>
      </c>
      <c r="G354" s="287" t="s">
        <v>1194</v>
      </c>
      <c r="H354" s="288">
        <v>1</v>
      </c>
      <c r="I354" s="124">
        <v>3659.24</v>
      </c>
      <c r="J354" s="124">
        <f>ROUND(I354*H354,2)</f>
        <v>3659.24</v>
      </c>
      <c r="K354" s="121" t="s">
        <v>1</v>
      </c>
      <c r="L354" s="465"/>
      <c r="M354" s="125"/>
      <c r="N354" s="126"/>
      <c r="O354" s="127"/>
      <c r="P354" s="127"/>
      <c r="Q354" s="127"/>
      <c r="R354" s="127"/>
      <c r="S354" s="127"/>
      <c r="T354" s="128"/>
      <c r="V354" s="464"/>
      <c r="W354" s="199"/>
      <c r="X354" s="119" t="s">
        <v>514</v>
      </c>
      <c r="Y354" s="119" t="s">
        <v>231</v>
      </c>
      <c r="Z354" s="286" t="s">
        <v>2156</v>
      </c>
      <c r="AA354" s="240" t="s">
        <v>2157</v>
      </c>
      <c r="AB354" s="287" t="s">
        <v>1194</v>
      </c>
      <c r="AC354" s="288">
        <v>1</v>
      </c>
      <c r="AD354" s="124">
        <v>3659.24</v>
      </c>
      <c r="AE354" s="200">
        <f>ROUND(AD354*AC354,2)</f>
        <v>3659.24</v>
      </c>
      <c r="AF354" s="227"/>
      <c r="AG354" s="374"/>
      <c r="AH354" s="477"/>
      <c r="AR354" s="129" t="s">
        <v>235</v>
      </c>
      <c r="AT354" s="129" t="s">
        <v>231</v>
      </c>
      <c r="AU354" s="129" t="s">
        <v>63</v>
      </c>
      <c r="AY354" s="13" t="s">
        <v>228</v>
      </c>
      <c r="BE354" s="130">
        <f>IF(N354="základná",J354,0)</f>
        <v>0</v>
      </c>
      <c r="BF354" s="130">
        <f>IF(N354="znížená",J354,0)</f>
        <v>0</v>
      </c>
      <c r="BG354" s="130">
        <f>IF(N354="zákl. prenesená",J354,0)</f>
        <v>0</v>
      </c>
      <c r="BH354" s="130">
        <f>IF(N354="zníž. prenesená",J354,0)</f>
        <v>0</v>
      </c>
      <c r="BI354" s="130">
        <f>IF(N354="nulová",J354,0)</f>
        <v>0</v>
      </c>
      <c r="BJ354" s="13" t="s">
        <v>76</v>
      </c>
      <c r="BK354" s="130">
        <f>ROUND(I354*H354,2)</f>
        <v>3659.24</v>
      </c>
      <c r="BL354" s="13" t="s">
        <v>235</v>
      </c>
      <c r="BM354" s="129" t="s">
        <v>807</v>
      </c>
    </row>
    <row r="355" spans="2:65" s="1" customFormat="1" ht="132.6" x14ac:dyDescent="0.2">
      <c r="B355" s="24"/>
      <c r="D355" s="144" t="s">
        <v>1259</v>
      </c>
      <c r="E355" s="407"/>
      <c r="F355" s="503" t="s">
        <v>2158</v>
      </c>
      <c r="G355" s="407"/>
      <c r="H355" s="407"/>
      <c r="L355" s="24"/>
      <c r="M355" s="146"/>
      <c r="N355" s="42"/>
      <c r="O355" s="42"/>
      <c r="P355" s="42"/>
      <c r="Q355" s="42"/>
      <c r="R355" s="42"/>
      <c r="S355" s="42"/>
      <c r="T355" s="43"/>
      <c r="W355" s="158"/>
      <c r="X355" s="475"/>
      <c r="Y355" s="203" t="s">
        <v>1259</v>
      </c>
      <c r="Z355" s="427"/>
      <c r="AA355" s="514" t="s">
        <v>2158</v>
      </c>
      <c r="AB355" s="427"/>
      <c r="AC355" s="427"/>
      <c r="AD355" s="475"/>
      <c r="AE355" s="159"/>
      <c r="AF355" s="227"/>
      <c r="AG355" s="374"/>
      <c r="AH355" s="477"/>
      <c r="AT355" s="13" t="s">
        <v>1259</v>
      </c>
      <c r="AU355" s="13" t="s">
        <v>63</v>
      </c>
    </row>
    <row r="356" spans="2:65" s="1" customFormat="1" ht="51.45" customHeight="1" x14ac:dyDescent="0.2">
      <c r="B356" s="118"/>
      <c r="C356" s="119" t="s">
        <v>808</v>
      </c>
      <c r="D356" s="119" t="s">
        <v>231</v>
      </c>
      <c r="E356" s="286" t="s">
        <v>2159</v>
      </c>
      <c r="F356" s="240" t="s">
        <v>2042</v>
      </c>
      <c r="G356" s="287" t="s">
        <v>1194</v>
      </c>
      <c r="H356" s="288">
        <v>1</v>
      </c>
      <c r="I356" s="124">
        <v>2617.4299999999998</v>
      </c>
      <c r="J356" s="124">
        <f>ROUND(I356*H356,2)</f>
        <v>2617.4299999999998</v>
      </c>
      <c r="K356" s="121" t="s">
        <v>1</v>
      </c>
      <c r="L356" s="465"/>
      <c r="M356" s="125"/>
      <c r="N356" s="126"/>
      <c r="O356" s="127"/>
      <c r="P356" s="127"/>
      <c r="Q356" s="127"/>
      <c r="R356" s="127"/>
      <c r="S356" s="127"/>
      <c r="T356" s="128"/>
      <c r="U356" s="461"/>
      <c r="V356" s="464"/>
      <c r="W356" s="199"/>
      <c r="X356" s="119" t="s">
        <v>808</v>
      </c>
      <c r="Y356" s="119" t="s">
        <v>231</v>
      </c>
      <c r="Z356" s="286" t="s">
        <v>2159</v>
      </c>
      <c r="AA356" s="240" t="s">
        <v>2042</v>
      </c>
      <c r="AB356" s="287" t="s">
        <v>1194</v>
      </c>
      <c r="AC356" s="288">
        <v>1</v>
      </c>
      <c r="AD356" s="124">
        <v>2617.4299999999998</v>
      </c>
      <c r="AE356" s="200">
        <f>ROUND(AD356*AC356,2)</f>
        <v>2617.4299999999998</v>
      </c>
      <c r="AF356" s="227"/>
      <c r="AG356" s="374"/>
      <c r="AH356" s="477"/>
      <c r="AR356" s="129" t="s">
        <v>235</v>
      </c>
      <c r="AT356" s="129" t="s">
        <v>231</v>
      </c>
      <c r="AU356" s="129" t="s">
        <v>63</v>
      </c>
      <c r="AY356" s="13" t="s">
        <v>228</v>
      </c>
      <c r="BE356" s="130">
        <f>IF(N356="základná",J356,0)</f>
        <v>0</v>
      </c>
      <c r="BF356" s="130">
        <f>IF(N356="znížená",J356,0)</f>
        <v>0</v>
      </c>
      <c r="BG356" s="130">
        <f>IF(N356="zákl. prenesená",J356,0)</f>
        <v>0</v>
      </c>
      <c r="BH356" s="130">
        <f>IF(N356="zníž. prenesená",J356,0)</f>
        <v>0</v>
      </c>
      <c r="BI356" s="130">
        <f>IF(N356="nulová",J356,0)</f>
        <v>0</v>
      </c>
      <c r="BJ356" s="13" t="s">
        <v>76</v>
      </c>
      <c r="BK356" s="130">
        <f>ROUND(I356*H356,2)</f>
        <v>2617.4299999999998</v>
      </c>
      <c r="BL356" s="13" t="s">
        <v>235</v>
      </c>
      <c r="BM356" s="129" t="s">
        <v>811</v>
      </c>
    </row>
    <row r="357" spans="2:65" s="11" customFormat="1" ht="22.95" customHeight="1" x14ac:dyDescent="0.25">
      <c r="B357" s="106"/>
      <c r="D357" s="107" t="s">
        <v>57</v>
      </c>
      <c r="E357" s="116" t="s">
        <v>2043</v>
      </c>
      <c r="F357" s="116" t="s">
        <v>2044</v>
      </c>
      <c r="J357" s="117">
        <f>BK357</f>
        <v>2935.3500000000004</v>
      </c>
      <c r="L357" s="106"/>
      <c r="M357" s="110"/>
      <c r="N357" s="111"/>
      <c r="O357" s="111"/>
      <c r="P357" s="112"/>
      <c r="Q357" s="111"/>
      <c r="R357" s="112"/>
      <c r="S357" s="111"/>
      <c r="T357" s="113"/>
      <c r="W357" s="195"/>
      <c r="X357" s="111"/>
      <c r="Y357" s="196" t="s">
        <v>57</v>
      </c>
      <c r="Z357" s="201" t="s">
        <v>2043</v>
      </c>
      <c r="AA357" s="201" t="s">
        <v>2044</v>
      </c>
      <c r="AB357" s="111"/>
      <c r="AC357" s="111"/>
      <c r="AD357" s="111"/>
      <c r="AE357" s="202">
        <f>SUM(AE358:AE361)</f>
        <v>2935.3500000000004</v>
      </c>
      <c r="AF357" s="227"/>
      <c r="AG357" s="374"/>
      <c r="AH357" s="477"/>
      <c r="AR357" s="107" t="s">
        <v>63</v>
      </c>
      <c r="AT357" s="114" t="s">
        <v>57</v>
      </c>
      <c r="AU357" s="114" t="s">
        <v>63</v>
      </c>
      <c r="AY357" s="107" t="s">
        <v>228</v>
      </c>
      <c r="BK357" s="115">
        <f>SUM(BK358:BK361)</f>
        <v>2935.3500000000004</v>
      </c>
    </row>
    <row r="358" spans="2:65" s="1" customFormat="1" ht="16.5" customHeight="1" x14ac:dyDescent="0.2">
      <c r="B358" s="118"/>
      <c r="C358" s="119" t="s">
        <v>518</v>
      </c>
      <c r="D358" s="119" t="s">
        <v>231</v>
      </c>
      <c r="E358" s="120" t="s">
        <v>2160</v>
      </c>
      <c r="F358" s="423" t="s">
        <v>2161</v>
      </c>
      <c r="G358" s="122" t="s">
        <v>1194</v>
      </c>
      <c r="H358" s="123">
        <v>1</v>
      </c>
      <c r="I358" s="124">
        <v>2299.13</v>
      </c>
      <c r="J358" s="124">
        <f>ROUND(I358*H358,2)</f>
        <v>2299.13</v>
      </c>
      <c r="K358" s="121" t="s">
        <v>1</v>
      </c>
      <c r="L358" s="469"/>
      <c r="M358" s="125"/>
      <c r="N358" s="126"/>
      <c r="O358" s="127"/>
      <c r="P358" s="127"/>
      <c r="Q358" s="127"/>
      <c r="R358" s="127"/>
      <c r="S358" s="127"/>
      <c r="T358" s="128"/>
      <c r="W358" s="199"/>
      <c r="X358" s="119" t="s">
        <v>518</v>
      </c>
      <c r="Y358" s="119" t="s">
        <v>231</v>
      </c>
      <c r="Z358" s="120" t="s">
        <v>2160</v>
      </c>
      <c r="AA358" s="423" t="s">
        <v>6095</v>
      </c>
      <c r="AB358" s="122" t="s">
        <v>1194</v>
      </c>
      <c r="AC358" s="123">
        <v>1</v>
      </c>
      <c r="AD358" s="124">
        <v>2299.13</v>
      </c>
      <c r="AE358" s="200">
        <f>ROUND(AD358*AC358,2)</f>
        <v>2299.13</v>
      </c>
      <c r="AF358" s="227"/>
      <c r="AG358" s="374"/>
      <c r="AH358" s="477"/>
      <c r="AR358" s="129" t="s">
        <v>235</v>
      </c>
      <c r="AT358" s="129" t="s">
        <v>231</v>
      </c>
      <c r="AU358" s="129" t="s">
        <v>76</v>
      </c>
      <c r="AY358" s="13" t="s">
        <v>228</v>
      </c>
      <c r="BE358" s="130">
        <f>IF(N358="základná",J358,0)</f>
        <v>0</v>
      </c>
      <c r="BF358" s="130">
        <f>IF(N358="znížená",J358,0)</f>
        <v>0</v>
      </c>
      <c r="BG358" s="130">
        <f>IF(N358="zákl. prenesená",J358,0)</f>
        <v>0</v>
      </c>
      <c r="BH358" s="130">
        <f>IF(N358="zníž. prenesená",J358,0)</f>
        <v>0</v>
      </c>
      <c r="BI358" s="130">
        <f>IF(N358="nulová",J358,0)</f>
        <v>0</v>
      </c>
      <c r="BJ358" s="13" t="s">
        <v>76</v>
      </c>
      <c r="BK358" s="130">
        <f>ROUND(I358*H358,2)</f>
        <v>2299.13</v>
      </c>
      <c r="BL358" s="13" t="s">
        <v>235</v>
      </c>
      <c r="BM358" s="129" t="s">
        <v>814</v>
      </c>
    </row>
    <row r="359" spans="2:65" s="1" customFormat="1" ht="49.95" customHeight="1" x14ac:dyDescent="0.2">
      <c r="B359" s="24"/>
      <c r="D359" s="144" t="s">
        <v>1259</v>
      </c>
      <c r="F359" s="466" t="s">
        <v>2162</v>
      </c>
      <c r="L359" s="24"/>
      <c r="M359" s="146"/>
      <c r="N359" s="42"/>
      <c r="O359" s="42"/>
      <c r="P359" s="42"/>
      <c r="Q359" s="42"/>
      <c r="R359" s="42"/>
      <c r="S359" s="42"/>
      <c r="T359" s="43"/>
      <c r="V359" s="470"/>
      <c r="W359" s="158"/>
      <c r="X359" s="475"/>
      <c r="Y359" s="203" t="s">
        <v>1259</v>
      </c>
      <c r="Z359" s="475"/>
      <c r="AA359" s="468" t="s">
        <v>6096</v>
      </c>
      <c r="AB359" s="475"/>
      <c r="AC359" s="475"/>
      <c r="AD359" s="475"/>
      <c r="AE359" s="159"/>
      <c r="AF359" s="227"/>
      <c r="AG359" s="374"/>
      <c r="AH359" s="477"/>
      <c r="AT359" s="13" t="s">
        <v>1259</v>
      </c>
      <c r="AU359" s="13" t="s">
        <v>76</v>
      </c>
    </row>
    <row r="360" spans="2:65" s="1" customFormat="1" ht="16.5" customHeight="1" x14ac:dyDescent="0.2">
      <c r="B360" s="118"/>
      <c r="C360" s="285" t="s">
        <v>815</v>
      </c>
      <c r="D360" s="285" t="s">
        <v>231</v>
      </c>
      <c r="E360" s="286" t="s">
        <v>2048</v>
      </c>
      <c r="F360" s="240" t="s">
        <v>2049</v>
      </c>
      <c r="G360" s="287" t="s">
        <v>1194</v>
      </c>
      <c r="H360" s="288">
        <v>1</v>
      </c>
      <c r="I360" s="289">
        <v>406.82</v>
      </c>
      <c r="J360" s="289">
        <f>ROUND(I360*H360,2)</f>
        <v>406.82</v>
      </c>
      <c r="K360" s="121" t="s">
        <v>1</v>
      </c>
      <c r="L360" s="465"/>
      <c r="M360" s="125"/>
      <c r="N360" s="126"/>
      <c r="O360" s="127"/>
      <c r="P360" s="127"/>
      <c r="Q360" s="127"/>
      <c r="R360" s="127"/>
      <c r="S360" s="127"/>
      <c r="T360" s="128"/>
      <c r="U360" s="461"/>
      <c r="V360" s="464"/>
      <c r="W360" s="199"/>
      <c r="X360" s="285" t="s">
        <v>815</v>
      </c>
      <c r="Y360" s="285" t="s">
        <v>231</v>
      </c>
      <c r="Z360" s="286" t="s">
        <v>2048</v>
      </c>
      <c r="AA360" s="240" t="s">
        <v>2049</v>
      </c>
      <c r="AB360" s="287" t="s">
        <v>1194</v>
      </c>
      <c r="AC360" s="288">
        <v>1</v>
      </c>
      <c r="AD360" s="289">
        <v>406.82</v>
      </c>
      <c r="AE360" s="290">
        <f>ROUND(AD360*AC360,2)</f>
        <v>406.82</v>
      </c>
      <c r="AF360" s="227"/>
      <c r="AG360" s="374"/>
      <c r="AH360" s="477"/>
      <c r="AR360" s="129" t="s">
        <v>235</v>
      </c>
      <c r="AT360" s="129" t="s">
        <v>231</v>
      </c>
      <c r="AU360" s="129" t="s">
        <v>76</v>
      </c>
      <c r="AY360" s="13" t="s">
        <v>228</v>
      </c>
      <c r="BE360" s="130">
        <f>IF(N360="základná",J360,0)</f>
        <v>0</v>
      </c>
      <c r="BF360" s="130">
        <f>IF(N360="znížená",J360,0)</f>
        <v>0</v>
      </c>
      <c r="BG360" s="130">
        <f>IF(N360="zákl. prenesená",J360,0)</f>
        <v>0</v>
      </c>
      <c r="BH360" s="130">
        <f>IF(N360="zníž. prenesená",J360,0)</f>
        <v>0</v>
      </c>
      <c r="BI360" s="130">
        <f>IF(N360="nulová",J360,0)</f>
        <v>0</v>
      </c>
      <c r="BJ360" s="13" t="s">
        <v>76</v>
      </c>
      <c r="BK360" s="130">
        <f>ROUND(I360*H360,2)</f>
        <v>406.82</v>
      </c>
      <c r="BL360" s="13" t="s">
        <v>235</v>
      </c>
      <c r="BM360" s="129" t="s">
        <v>818</v>
      </c>
    </row>
    <row r="361" spans="2:65" s="1" customFormat="1" ht="35.549999999999997" customHeight="1" x14ac:dyDescent="0.2">
      <c r="B361" s="118"/>
      <c r="C361" s="285" t="s">
        <v>521</v>
      </c>
      <c r="D361" s="285" t="s">
        <v>231</v>
      </c>
      <c r="E361" s="286" t="s">
        <v>2050</v>
      </c>
      <c r="F361" s="240" t="s">
        <v>2051</v>
      </c>
      <c r="G361" s="287" t="s">
        <v>292</v>
      </c>
      <c r="H361" s="288">
        <v>10</v>
      </c>
      <c r="I361" s="289">
        <v>22.94</v>
      </c>
      <c r="J361" s="289">
        <f>ROUND(I361*H361,2)</f>
        <v>229.4</v>
      </c>
      <c r="K361" s="121" t="s">
        <v>1</v>
      </c>
      <c r="L361" s="465"/>
      <c r="M361" s="125"/>
      <c r="N361" s="126"/>
      <c r="O361" s="127"/>
      <c r="P361" s="127"/>
      <c r="Q361" s="127"/>
      <c r="R361" s="127"/>
      <c r="S361" s="127"/>
      <c r="T361" s="128"/>
      <c r="U361" s="461"/>
      <c r="V361" s="464"/>
      <c r="W361" s="199"/>
      <c r="X361" s="285" t="s">
        <v>521</v>
      </c>
      <c r="Y361" s="285" t="s">
        <v>231</v>
      </c>
      <c r="Z361" s="286" t="s">
        <v>2050</v>
      </c>
      <c r="AA361" s="240" t="s">
        <v>2051</v>
      </c>
      <c r="AB361" s="287" t="s">
        <v>292</v>
      </c>
      <c r="AC361" s="288">
        <v>10</v>
      </c>
      <c r="AD361" s="289">
        <v>22.94</v>
      </c>
      <c r="AE361" s="290">
        <f>ROUND(AD361*AC361,2)</f>
        <v>229.4</v>
      </c>
      <c r="AF361" s="227"/>
      <c r="AG361" s="374"/>
      <c r="AH361" s="477"/>
      <c r="AR361" s="129" t="s">
        <v>235</v>
      </c>
      <c r="AT361" s="129" t="s">
        <v>231</v>
      </c>
      <c r="AU361" s="129" t="s">
        <v>76</v>
      </c>
      <c r="AY361" s="13" t="s">
        <v>228</v>
      </c>
      <c r="BE361" s="130">
        <f>IF(N361="základná",J361,0)</f>
        <v>0</v>
      </c>
      <c r="BF361" s="130">
        <f>IF(N361="znížená",J361,0)</f>
        <v>0</v>
      </c>
      <c r="BG361" s="130">
        <f>IF(N361="zákl. prenesená",J361,0)</f>
        <v>0</v>
      </c>
      <c r="BH361" s="130">
        <f>IF(N361="zníž. prenesená",J361,0)</f>
        <v>0</v>
      </c>
      <c r="BI361" s="130">
        <f>IF(N361="nulová",J361,0)</f>
        <v>0</v>
      </c>
      <c r="BJ361" s="13" t="s">
        <v>76</v>
      </c>
      <c r="BK361" s="130">
        <f>ROUND(I361*H361,2)</f>
        <v>229.4</v>
      </c>
      <c r="BL361" s="13" t="s">
        <v>235</v>
      </c>
      <c r="BM361" s="129" t="s">
        <v>821</v>
      </c>
    </row>
    <row r="362" spans="2:65" s="11" customFormat="1" ht="22.95" customHeight="1" x14ac:dyDescent="0.25">
      <c r="B362" s="106"/>
      <c r="C362" s="292"/>
      <c r="D362" s="489" t="s">
        <v>57</v>
      </c>
      <c r="E362" s="490" t="s">
        <v>1211</v>
      </c>
      <c r="F362" s="490" t="s">
        <v>1860</v>
      </c>
      <c r="G362" s="292"/>
      <c r="H362" s="292"/>
      <c r="I362" s="292"/>
      <c r="J362" s="491">
        <f>BK362</f>
        <v>177.24</v>
      </c>
      <c r="L362" s="106"/>
      <c r="M362" s="110"/>
      <c r="N362" s="111"/>
      <c r="O362" s="111"/>
      <c r="P362" s="112"/>
      <c r="Q362" s="111"/>
      <c r="R362" s="112"/>
      <c r="S362" s="111"/>
      <c r="T362" s="113"/>
      <c r="W362" s="195"/>
      <c r="X362" s="347"/>
      <c r="Y362" s="506" t="s">
        <v>57</v>
      </c>
      <c r="Z362" s="507" t="s">
        <v>1211</v>
      </c>
      <c r="AA362" s="507" t="s">
        <v>1860</v>
      </c>
      <c r="AB362" s="347"/>
      <c r="AC362" s="347"/>
      <c r="AD362" s="347"/>
      <c r="AE362" s="510">
        <f>SUM(AE363:AE366)</f>
        <v>177.24</v>
      </c>
      <c r="AF362" s="227"/>
      <c r="AG362" s="374"/>
      <c r="AH362" s="477"/>
      <c r="AR362" s="107" t="s">
        <v>63</v>
      </c>
      <c r="AT362" s="114" t="s">
        <v>57</v>
      </c>
      <c r="AU362" s="114" t="s">
        <v>63</v>
      </c>
      <c r="AY362" s="107" t="s">
        <v>228</v>
      </c>
      <c r="BK362" s="115">
        <f>SUM(BK363:BK366)</f>
        <v>177.24</v>
      </c>
    </row>
    <row r="363" spans="2:65" s="1" customFormat="1" ht="24" customHeight="1" x14ac:dyDescent="0.2">
      <c r="B363" s="118"/>
      <c r="C363" s="285" t="s">
        <v>824</v>
      </c>
      <c r="D363" s="285" t="s">
        <v>231</v>
      </c>
      <c r="E363" s="286" t="s">
        <v>2163</v>
      </c>
      <c r="F363" s="240" t="s">
        <v>2164</v>
      </c>
      <c r="G363" s="287" t="s">
        <v>1194</v>
      </c>
      <c r="H363" s="288">
        <v>1</v>
      </c>
      <c r="I363" s="289">
        <v>32.1</v>
      </c>
      <c r="J363" s="289">
        <f>ROUND(I363*H363,2)</f>
        <v>32.1</v>
      </c>
      <c r="K363" s="121" t="s">
        <v>1</v>
      </c>
      <c r="L363" s="465"/>
      <c r="M363" s="125"/>
      <c r="N363" s="126"/>
      <c r="O363" s="127"/>
      <c r="P363" s="127"/>
      <c r="Q363" s="127"/>
      <c r="R363" s="127"/>
      <c r="S363" s="127"/>
      <c r="T363" s="128"/>
      <c r="W363" s="199"/>
      <c r="X363" s="285" t="s">
        <v>824</v>
      </c>
      <c r="Y363" s="285" t="s">
        <v>231</v>
      </c>
      <c r="Z363" s="286" t="s">
        <v>2163</v>
      </c>
      <c r="AA363" s="240" t="s">
        <v>2164</v>
      </c>
      <c r="AB363" s="287" t="s">
        <v>1194</v>
      </c>
      <c r="AC363" s="288">
        <v>1</v>
      </c>
      <c r="AD363" s="289">
        <v>32.1</v>
      </c>
      <c r="AE363" s="290">
        <f>ROUND(AD363*AC363,2)</f>
        <v>32.1</v>
      </c>
      <c r="AF363" s="227"/>
      <c r="AG363" s="374"/>
      <c r="AH363" s="477"/>
      <c r="AR363" s="129" t="s">
        <v>235</v>
      </c>
      <c r="AT363" s="129" t="s">
        <v>231</v>
      </c>
      <c r="AU363" s="129" t="s">
        <v>76</v>
      </c>
      <c r="AY363" s="13" t="s">
        <v>228</v>
      </c>
      <c r="BE363" s="130">
        <f>IF(N363="základná",J363,0)</f>
        <v>0</v>
      </c>
      <c r="BF363" s="130">
        <f>IF(N363="znížená",J363,0)</f>
        <v>0</v>
      </c>
      <c r="BG363" s="130">
        <f>IF(N363="zákl. prenesená",J363,0)</f>
        <v>0</v>
      </c>
      <c r="BH363" s="130">
        <f>IF(N363="zníž. prenesená",J363,0)</f>
        <v>0</v>
      </c>
      <c r="BI363" s="130">
        <f>IF(N363="nulová",J363,0)</f>
        <v>0</v>
      </c>
      <c r="BJ363" s="13" t="s">
        <v>76</v>
      </c>
      <c r="BK363" s="130">
        <f>ROUND(I363*H363,2)</f>
        <v>32.1</v>
      </c>
      <c r="BL363" s="13" t="s">
        <v>235</v>
      </c>
      <c r="BM363" s="129" t="s">
        <v>827</v>
      </c>
    </row>
    <row r="364" spans="2:65" s="1" customFormat="1" ht="24" customHeight="1" x14ac:dyDescent="0.2">
      <c r="B364" s="118"/>
      <c r="C364" s="285" t="s">
        <v>525</v>
      </c>
      <c r="D364" s="285" t="s">
        <v>231</v>
      </c>
      <c r="E364" s="286" t="s">
        <v>2165</v>
      </c>
      <c r="F364" s="240" t="s">
        <v>2166</v>
      </c>
      <c r="G364" s="287" t="s">
        <v>1194</v>
      </c>
      <c r="H364" s="288">
        <v>1</v>
      </c>
      <c r="I364" s="289">
        <v>24.22</v>
      </c>
      <c r="J364" s="289">
        <f>ROUND(I364*H364,2)</f>
        <v>24.22</v>
      </c>
      <c r="K364" s="121" t="s">
        <v>1</v>
      </c>
      <c r="L364" s="465"/>
      <c r="M364" s="125"/>
      <c r="N364" s="126"/>
      <c r="O364" s="127"/>
      <c r="P364" s="127"/>
      <c r="Q364" s="127"/>
      <c r="R364" s="127"/>
      <c r="S364" s="127"/>
      <c r="T364" s="128"/>
      <c r="W364" s="199"/>
      <c r="X364" s="285" t="s">
        <v>525</v>
      </c>
      <c r="Y364" s="285" t="s">
        <v>231</v>
      </c>
      <c r="Z364" s="286" t="s">
        <v>2165</v>
      </c>
      <c r="AA364" s="240" t="s">
        <v>2166</v>
      </c>
      <c r="AB364" s="287" t="s">
        <v>1194</v>
      </c>
      <c r="AC364" s="288">
        <v>1</v>
      </c>
      <c r="AD364" s="289">
        <v>24.22</v>
      </c>
      <c r="AE364" s="290">
        <f>ROUND(AD364*AC364,2)</f>
        <v>24.22</v>
      </c>
      <c r="AF364" s="227"/>
      <c r="AG364" s="374"/>
      <c r="AH364" s="477"/>
      <c r="AR364" s="129" t="s">
        <v>235</v>
      </c>
      <c r="AT364" s="129" t="s">
        <v>231</v>
      </c>
      <c r="AU364" s="129" t="s">
        <v>76</v>
      </c>
      <c r="AY364" s="13" t="s">
        <v>228</v>
      </c>
      <c r="BE364" s="130">
        <f>IF(N364="základná",J364,0)</f>
        <v>0</v>
      </c>
      <c r="BF364" s="130">
        <f>IF(N364="znížená",J364,0)</f>
        <v>0</v>
      </c>
      <c r="BG364" s="130">
        <f>IF(N364="zákl. prenesená",J364,0)</f>
        <v>0</v>
      </c>
      <c r="BH364" s="130">
        <f>IF(N364="zníž. prenesená",J364,0)</f>
        <v>0</v>
      </c>
      <c r="BI364" s="130">
        <f>IF(N364="nulová",J364,0)</f>
        <v>0</v>
      </c>
      <c r="BJ364" s="13" t="s">
        <v>76</v>
      </c>
      <c r="BK364" s="130">
        <f>ROUND(I364*H364,2)</f>
        <v>24.22</v>
      </c>
      <c r="BL364" s="13" t="s">
        <v>235</v>
      </c>
      <c r="BM364" s="129" t="s">
        <v>830</v>
      </c>
    </row>
    <row r="365" spans="2:65" s="1" customFormat="1" ht="16.5" customHeight="1" x14ac:dyDescent="0.2">
      <c r="B365" s="118"/>
      <c r="C365" s="285" t="s">
        <v>831</v>
      </c>
      <c r="D365" s="285" t="s">
        <v>231</v>
      </c>
      <c r="E365" s="286" t="s">
        <v>2167</v>
      </c>
      <c r="F365" s="240" t="s">
        <v>2168</v>
      </c>
      <c r="G365" s="287" t="s">
        <v>292</v>
      </c>
      <c r="H365" s="288">
        <v>7</v>
      </c>
      <c r="I365" s="289">
        <v>12.19</v>
      </c>
      <c r="J365" s="289">
        <f>ROUND(I365*H365,2)</f>
        <v>85.33</v>
      </c>
      <c r="K365" s="121" t="s">
        <v>1</v>
      </c>
      <c r="L365" s="465"/>
      <c r="M365" s="125"/>
      <c r="N365" s="126"/>
      <c r="O365" s="127"/>
      <c r="P365" s="127"/>
      <c r="Q365" s="127"/>
      <c r="R365" s="127"/>
      <c r="S365" s="127"/>
      <c r="T365" s="128"/>
      <c r="W365" s="199"/>
      <c r="X365" s="285" t="s">
        <v>831</v>
      </c>
      <c r="Y365" s="285" t="s">
        <v>231</v>
      </c>
      <c r="Z365" s="286" t="s">
        <v>2167</v>
      </c>
      <c r="AA365" s="240" t="s">
        <v>2168</v>
      </c>
      <c r="AB365" s="287" t="s">
        <v>292</v>
      </c>
      <c r="AC365" s="288">
        <v>7</v>
      </c>
      <c r="AD365" s="289">
        <v>12.19</v>
      </c>
      <c r="AE365" s="290">
        <f>ROUND(AD365*AC365,2)</f>
        <v>85.33</v>
      </c>
      <c r="AF365" s="227"/>
      <c r="AG365" s="374"/>
      <c r="AH365" s="477"/>
      <c r="AR365" s="129" t="s">
        <v>235</v>
      </c>
      <c r="AT365" s="129" t="s">
        <v>231</v>
      </c>
      <c r="AU365" s="129" t="s">
        <v>76</v>
      </c>
      <c r="AY365" s="13" t="s">
        <v>228</v>
      </c>
      <c r="BE365" s="130">
        <f>IF(N365="základná",J365,0)</f>
        <v>0</v>
      </c>
      <c r="BF365" s="130">
        <f>IF(N365="znížená",J365,0)</f>
        <v>0</v>
      </c>
      <c r="BG365" s="130">
        <f>IF(N365="zákl. prenesená",J365,0)</f>
        <v>0</v>
      </c>
      <c r="BH365" s="130">
        <f>IF(N365="zníž. prenesená",J365,0)</f>
        <v>0</v>
      </c>
      <c r="BI365" s="130">
        <f>IF(N365="nulová",J365,0)</f>
        <v>0</v>
      </c>
      <c r="BJ365" s="13" t="s">
        <v>76</v>
      </c>
      <c r="BK365" s="130">
        <f>ROUND(I365*H365,2)</f>
        <v>85.33</v>
      </c>
      <c r="BL365" s="13" t="s">
        <v>235</v>
      </c>
      <c r="BM365" s="129" t="s">
        <v>834</v>
      </c>
    </row>
    <row r="366" spans="2:65" s="1" customFormat="1" ht="16.5" customHeight="1" x14ac:dyDescent="0.2">
      <c r="B366" s="118"/>
      <c r="C366" s="285" t="s">
        <v>528</v>
      </c>
      <c r="D366" s="285" t="s">
        <v>231</v>
      </c>
      <c r="E366" s="286" t="s">
        <v>2169</v>
      </c>
      <c r="F366" s="240" t="s">
        <v>2170</v>
      </c>
      <c r="G366" s="287" t="s">
        <v>1194</v>
      </c>
      <c r="H366" s="288">
        <v>1</v>
      </c>
      <c r="I366" s="289">
        <v>35.590000000000003</v>
      </c>
      <c r="J366" s="289">
        <f>ROUND(I366*H366,2)</f>
        <v>35.590000000000003</v>
      </c>
      <c r="K366" s="121" t="s">
        <v>1</v>
      </c>
      <c r="L366" s="465"/>
      <c r="M366" s="125"/>
      <c r="N366" s="126"/>
      <c r="O366" s="127"/>
      <c r="P366" s="127"/>
      <c r="Q366" s="127"/>
      <c r="R366" s="127"/>
      <c r="S366" s="127"/>
      <c r="T366" s="128"/>
      <c r="U366" s="461"/>
      <c r="V366" s="464"/>
      <c r="W366" s="199"/>
      <c r="X366" s="285" t="s">
        <v>528</v>
      </c>
      <c r="Y366" s="285" t="s">
        <v>231</v>
      </c>
      <c r="Z366" s="286" t="s">
        <v>2169</v>
      </c>
      <c r="AA366" s="240" t="s">
        <v>2170</v>
      </c>
      <c r="AB366" s="287" t="s">
        <v>1194</v>
      </c>
      <c r="AC366" s="288">
        <v>1</v>
      </c>
      <c r="AD366" s="289">
        <v>35.590000000000003</v>
      </c>
      <c r="AE366" s="290">
        <f>ROUND(AD366*AC366,2)</f>
        <v>35.590000000000003</v>
      </c>
      <c r="AF366" s="227"/>
      <c r="AG366" s="374"/>
      <c r="AH366" s="477"/>
      <c r="AR366" s="129" t="s">
        <v>235</v>
      </c>
      <c r="AT366" s="129" t="s">
        <v>231</v>
      </c>
      <c r="AU366" s="129" t="s">
        <v>76</v>
      </c>
      <c r="AY366" s="13" t="s">
        <v>228</v>
      </c>
      <c r="BE366" s="130">
        <f>IF(N366="základná",J366,0)</f>
        <v>0</v>
      </c>
      <c r="BF366" s="130">
        <f>IF(N366="znížená",J366,0)</f>
        <v>0</v>
      </c>
      <c r="BG366" s="130">
        <f>IF(N366="zákl. prenesená",J366,0)</f>
        <v>0</v>
      </c>
      <c r="BH366" s="130">
        <f>IF(N366="zníž. prenesená",J366,0)</f>
        <v>0</v>
      </c>
      <c r="BI366" s="130">
        <f>IF(N366="nulová",J366,0)</f>
        <v>0</v>
      </c>
      <c r="BJ366" s="13" t="s">
        <v>76</v>
      </c>
      <c r="BK366" s="130">
        <f>ROUND(I366*H366,2)</f>
        <v>35.590000000000003</v>
      </c>
      <c r="BL366" s="13" t="s">
        <v>235</v>
      </c>
      <c r="BM366" s="129" t="s">
        <v>837</v>
      </c>
    </row>
    <row r="367" spans="2:65" s="11" customFormat="1" ht="22.95" customHeight="1" x14ac:dyDescent="0.25">
      <c r="B367" s="106"/>
      <c r="C367" s="292"/>
      <c r="D367" s="489" t="s">
        <v>57</v>
      </c>
      <c r="E367" s="490" t="s">
        <v>1269</v>
      </c>
      <c r="F367" s="490" t="s">
        <v>1930</v>
      </c>
      <c r="G367" s="292"/>
      <c r="H367" s="292"/>
      <c r="I367" s="292"/>
      <c r="J367" s="491">
        <f>BK367</f>
        <v>112.52</v>
      </c>
      <c r="L367" s="106"/>
      <c r="M367" s="110"/>
      <c r="N367" s="111"/>
      <c r="O367" s="111"/>
      <c r="P367" s="112"/>
      <c r="Q367" s="111"/>
      <c r="R367" s="112"/>
      <c r="S367" s="111"/>
      <c r="T367" s="113"/>
      <c r="W367" s="195"/>
      <c r="X367" s="347"/>
      <c r="Y367" s="506" t="s">
        <v>57</v>
      </c>
      <c r="Z367" s="507" t="s">
        <v>1269</v>
      </c>
      <c r="AA367" s="507" t="s">
        <v>1930</v>
      </c>
      <c r="AB367" s="347"/>
      <c r="AC367" s="347"/>
      <c r="AD367" s="347"/>
      <c r="AE367" s="510">
        <f>SUM(AE368:AE370)</f>
        <v>112.52</v>
      </c>
      <c r="AF367" s="227"/>
      <c r="AG367" s="374"/>
      <c r="AH367" s="477"/>
      <c r="AR367" s="107" t="s">
        <v>63</v>
      </c>
      <c r="AT367" s="114" t="s">
        <v>57</v>
      </c>
      <c r="AU367" s="114" t="s">
        <v>63</v>
      </c>
      <c r="AY367" s="107" t="s">
        <v>228</v>
      </c>
      <c r="BK367" s="115">
        <f>SUM(BK368:BK370)</f>
        <v>112.52</v>
      </c>
    </row>
    <row r="368" spans="2:65" s="1" customFormat="1" ht="16.5" customHeight="1" x14ac:dyDescent="0.2">
      <c r="B368" s="118"/>
      <c r="C368" s="285" t="s">
        <v>838</v>
      </c>
      <c r="D368" s="285" t="s">
        <v>231</v>
      </c>
      <c r="E368" s="286" t="s">
        <v>2167</v>
      </c>
      <c r="F368" s="240" t="s">
        <v>2168</v>
      </c>
      <c r="G368" s="287" t="s">
        <v>292</v>
      </c>
      <c r="H368" s="288">
        <v>5</v>
      </c>
      <c r="I368" s="289">
        <v>12.19</v>
      </c>
      <c r="J368" s="289">
        <f>ROUND(I368*H368,2)</f>
        <v>60.95</v>
      </c>
      <c r="K368" s="121" t="s">
        <v>1</v>
      </c>
      <c r="L368" s="465"/>
      <c r="M368" s="125"/>
      <c r="N368" s="126"/>
      <c r="O368" s="127"/>
      <c r="P368" s="127"/>
      <c r="Q368" s="127"/>
      <c r="R368" s="127"/>
      <c r="S368" s="127"/>
      <c r="T368" s="128"/>
      <c r="U368" s="461"/>
      <c r="V368" s="464"/>
      <c r="W368" s="199"/>
      <c r="X368" s="285" t="s">
        <v>838</v>
      </c>
      <c r="Y368" s="285" t="s">
        <v>231</v>
      </c>
      <c r="Z368" s="286" t="s">
        <v>2167</v>
      </c>
      <c r="AA368" s="240" t="s">
        <v>2168</v>
      </c>
      <c r="AB368" s="287" t="s">
        <v>292</v>
      </c>
      <c r="AC368" s="288">
        <v>5</v>
      </c>
      <c r="AD368" s="289">
        <v>12.19</v>
      </c>
      <c r="AE368" s="290">
        <f>ROUND(AD368*AC368,2)</f>
        <v>60.95</v>
      </c>
      <c r="AF368" s="227"/>
      <c r="AG368" s="374"/>
      <c r="AH368" s="477"/>
      <c r="AR368" s="129" t="s">
        <v>235</v>
      </c>
      <c r="AT368" s="129" t="s">
        <v>231</v>
      </c>
      <c r="AU368" s="129" t="s">
        <v>76</v>
      </c>
      <c r="AY368" s="13" t="s">
        <v>228</v>
      </c>
      <c r="BE368" s="130">
        <f>IF(N368="základná",J368,0)</f>
        <v>0</v>
      </c>
      <c r="BF368" s="130">
        <f>IF(N368="znížená",J368,0)</f>
        <v>0</v>
      </c>
      <c r="BG368" s="130">
        <f>IF(N368="zákl. prenesená",J368,0)</f>
        <v>0</v>
      </c>
      <c r="BH368" s="130">
        <f>IF(N368="zníž. prenesená",J368,0)</f>
        <v>0</v>
      </c>
      <c r="BI368" s="130">
        <f>IF(N368="nulová",J368,0)</f>
        <v>0</v>
      </c>
      <c r="BJ368" s="13" t="s">
        <v>76</v>
      </c>
      <c r="BK368" s="130">
        <f>ROUND(I368*H368,2)</f>
        <v>60.95</v>
      </c>
      <c r="BL368" s="13" t="s">
        <v>235</v>
      </c>
      <c r="BM368" s="129" t="s">
        <v>841</v>
      </c>
    </row>
    <row r="369" spans="2:65" s="1" customFormat="1" ht="16.5" customHeight="1" x14ac:dyDescent="0.2">
      <c r="B369" s="118"/>
      <c r="C369" s="285" t="s">
        <v>532</v>
      </c>
      <c r="D369" s="285" t="s">
        <v>231</v>
      </c>
      <c r="E369" s="286" t="s">
        <v>2171</v>
      </c>
      <c r="F369" s="240" t="s">
        <v>2172</v>
      </c>
      <c r="G369" s="287" t="s">
        <v>1194</v>
      </c>
      <c r="H369" s="288">
        <v>2</v>
      </c>
      <c r="I369" s="289">
        <v>12.01</v>
      </c>
      <c r="J369" s="289">
        <f>ROUND(I369*H369,2)</f>
        <v>24.02</v>
      </c>
      <c r="K369" s="121" t="s">
        <v>1</v>
      </c>
      <c r="L369" s="465"/>
      <c r="M369" s="125"/>
      <c r="N369" s="126"/>
      <c r="O369" s="127"/>
      <c r="P369" s="127"/>
      <c r="Q369" s="127"/>
      <c r="R369" s="127"/>
      <c r="S369" s="127"/>
      <c r="T369" s="128"/>
      <c r="U369" s="461"/>
      <c r="V369" s="464"/>
      <c r="W369" s="199"/>
      <c r="X369" s="285" t="s">
        <v>532</v>
      </c>
      <c r="Y369" s="285" t="s">
        <v>231</v>
      </c>
      <c r="Z369" s="286" t="s">
        <v>2171</v>
      </c>
      <c r="AA369" s="240" t="s">
        <v>2172</v>
      </c>
      <c r="AB369" s="287" t="s">
        <v>1194</v>
      </c>
      <c r="AC369" s="288">
        <v>2</v>
      </c>
      <c r="AD369" s="289">
        <v>12.01</v>
      </c>
      <c r="AE369" s="290">
        <f>ROUND(AD369*AC369,2)</f>
        <v>24.02</v>
      </c>
      <c r="AF369" s="227"/>
      <c r="AG369" s="374"/>
      <c r="AH369" s="477"/>
      <c r="AR369" s="129" t="s">
        <v>235</v>
      </c>
      <c r="AT369" s="129" t="s">
        <v>231</v>
      </c>
      <c r="AU369" s="129" t="s">
        <v>76</v>
      </c>
      <c r="AY369" s="13" t="s">
        <v>228</v>
      </c>
      <c r="BE369" s="130">
        <f>IF(N369="základná",J369,0)</f>
        <v>0</v>
      </c>
      <c r="BF369" s="130">
        <f>IF(N369="znížená",J369,0)</f>
        <v>0</v>
      </c>
      <c r="BG369" s="130">
        <f>IF(N369="zákl. prenesená",J369,0)</f>
        <v>0</v>
      </c>
      <c r="BH369" s="130">
        <f>IF(N369="zníž. prenesená",J369,0)</f>
        <v>0</v>
      </c>
      <c r="BI369" s="130">
        <f>IF(N369="nulová",J369,0)</f>
        <v>0</v>
      </c>
      <c r="BJ369" s="13" t="s">
        <v>76</v>
      </c>
      <c r="BK369" s="130">
        <f>ROUND(I369*H369,2)</f>
        <v>24.02</v>
      </c>
      <c r="BL369" s="13" t="s">
        <v>235</v>
      </c>
      <c r="BM369" s="129" t="s">
        <v>844</v>
      </c>
    </row>
    <row r="370" spans="2:65" s="1" customFormat="1" ht="16.5" customHeight="1" x14ac:dyDescent="0.2">
      <c r="B370" s="118"/>
      <c r="C370" s="285" t="s">
        <v>845</v>
      </c>
      <c r="D370" s="285" t="s">
        <v>231</v>
      </c>
      <c r="E370" s="286" t="s">
        <v>2173</v>
      </c>
      <c r="F370" s="240" t="s">
        <v>2174</v>
      </c>
      <c r="G370" s="287" t="s">
        <v>1194</v>
      </c>
      <c r="H370" s="288">
        <v>1</v>
      </c>
      <c r="I370" s="289">
        <v>27.55</v>
      </c>
      <c r="J370" s="289">
        <f>ROUND(I370*H370,2)</f>
        <v>27.55</v>
      </c>
      <c r="K370" s="121" t="s">
        <v>1</v>
      </c>
      <c r="L370" s="465"/>
      <c r="M370" s="125"/>
      <c r="N370" s="126"/>
      <c r="O370" s="127"/>
      <c r="P370" s="127"/>
      <c r="Q370" s="127"/>
      <c r="R370" s="127"/>
      <c r="S370" s="127"/>
      <c r="T370" s="128"/>
      <c r="U370" s="461"/>
      <c r="V370" s="464"/>
      <c r="W370" s="199"/>
      <c r="X370" s="285" t="s">
        <v>845</v>
      </c>
      <c r="Y370" s="285" t="s">
        <v>231</v>
      </c>
      <c r="Z370" s="286" t="s">
        <v>2173</v>
      </c>
      <c r="AA370" s="240" t="s">
        <v>2174</v>
      </c>
      <c r="AB370" s="287" t="s">
        <v>1194</v>
      </c>
      <c r="AC370" s="288">
        <v>1</v>
      </c>
      <c r="AD370" s="289">
        <v>27.55</v>
      </c>
      <c r="AE370" s="290">
        <f>ROUND(AD370*AC370,2)</f>
        <v>27.55</v>
      </c>
      <c r="AF370" s="227"/>
      <c r="AG370" s="374"/>
      <c r="AH370" s="477"/>
      <c r="AR370" s="129" t="s">
        <v>235</v>
      </c>
      <c r="AT370" s="129" t="s">
        <v>231</v>
      </c>
      <c r="AU370" s="129" t="s">
        <v>76</v>
      </c>
      <c r="AY370" s="13" t="s">
        <v>228</v>
      </c>
      <c r="BE370" s="130">
        <f>IF(N370="základná",J370,0)</f>
        <v>0</v>
      </c>
      <c r="BF370" s="130">
        <f>IF(N370="znížená",J370,0)</f>
        <v>0</v>
      </c>
      <c r="BG370" s="130">
        <f>IF(N370="zákl. prenesená",J370,0)</f>
        <v>0</v>
      </c>
      <c r="BH370" s="130">
        <f>IF(N370="zníž. prenesená",J370,0)</f>
        <v>0</v>
      </c>
      <c r="BI370" s="130">
        <f>IF(N370="nulová",J370,0)</f>
        <v>0</v>
      </c>
      <c r="BJ370" s="13" t="s">
        <v>76</v>
      </c>
      <c r="BK370" s="130">
        <f>ROUND(I370*H370,2)</f>
        <v>27.55</v>
      </c>
      <c r="BL370" s="13" t="s">
        <v>235</v>
      </c>
      <c r="BM370" s="129" t="s">
        <v>848</v>
      </c>
    </row>
    <row r="371" spans="2:65" s="11" customFormat="1" ht="22.95" customHeight="1" x14ac:dyDescent="0.25">
      <c r="B371" s="106"/>
      <c r="C371" s="292"/>
      <c r="D371" s="489" t="s">
        <v>57</v>
      </c>
      <c r="E371" s="490" t="s">
        <v>2175</v>
      </c>
      <c r="F371" s="490" t="s">
        <v>2176</v>
      </c>
      <c r="G371" s="292"/>
      <c r="H371" s="292"/>
      <c r="I371" s="292"/>
      <c r="J371" s="491">
        <f>BK371</f>
        <v>483.9</v>
      </c>
      <c r="L371" s="106"/>
      <c r="M371" s="110"/>
      <c r="N371" s="111"/>
      <c r="O371" s="111"/>
      <c r="P371" s="112"/>
      <c r="Q371" s="111"/>
      <c r="R371" s="112"/>
      <c r="S371" s="111"/>
      <c r="T371" s="113"/>
      <c r="W371" s="195"/>
      <c r="X371" s="347"/>
      <c r="Y371" s="506" t="s">
        <v>57</v>
      </c>
      <c r="Z371" s="507" t="s">
        <v>2175</v>
      </c>
      <c r="AA371" s="507" t="s">
        <v>2176</v>
      </c>
      <c r="AB371" s="347"/>
      <c r="AC371" s="347"/>
      <c r="AD371" s="347"/>
      <c r="AE371" s="510">
        <f>SUM(AE372:AE384)</f>
        <v>483.9</v>
      </c>
      <c r="AF371" s="227"/>
      <c r="AG371" s="374"/>
      <c r="AH371" s="477"/>
      <c r="AR371" s="107" t="s">
        <v>63</v>
      </c>
      <c r="AT371" s="114" t="s">
        <v>57</v>
      </c>
      <c r="AU371" s="114" t="s">
        <v>63</v>
      </c>
      <c r="AY371" s="107" t="s">
        <v>228</v>
      </c>
      <c r="BK371" s="115">
        <f>SUM(BK372:BK384)</f>
        <v>483.9</v>
      </c>
    </row>
    <row r="372" spans="2:65" s="1" customFormat="1" ht="16.5" customHeight="1" x14ac:dyDescent="0.2">
      <c r="B372" s="118"/>
      <c r="C372" s="285" t="s">
        <v>535</v>
      </c>
      <c r="D372" s="285" t="s">
        <v>231</v>
      </c>
      <c r="E372" s="286" t="s">
        <v>2177</v>
      </c>
      <c r="F372" s="240" t="s">
        <v>2178</v>
      </c>
      <c r="G372" s="287" t="s">
        <v>1194</v>
      </c>
      <c r="H372" s="288">
        <v>1</v>
      </c>
      <c r="I372" s="289">
        <v>77.349999999999994</v>
      </c>
      <c r="J372" s="289">
        <f>ROUND(I372*H372,2)</f>
        <v>77.349999999999994</v>
      </c>
      <c r="K372" s="121" t="s">
        <v>1</v>
      </c>
      <c r="L372" s="465"/>
      <c r="M372" s="125"/>
      <c r="N372" s="126"/>
      <c r="O372" s="127"/>
      <c r="P372" s="127"/>
      <c r="Q372" s="127"/>
      <c r="R372" s="127"/>
      <c r="S372" s="127"/>
      <c r="T372" s="128"/>
      <c r="U372" s="461"/>
      <c r="V372" s="464"/>
      <c r="W372" s="199"/>
      <c r="X372" s="285" t="s">
        <v>535</v>
      </c>
      <c r="Y372" s="285" t="s">
        <v>231</v>
      </c>
      <c r="Z372" s="286" t="s">
        <v>2177</v>
      </c>
      <c r="AA372" s="240" t="s">
        <v>2178</v>
      </c>
      <c r="AB372" s="287" t="s">
        <v>1194</v>
      </c>
      <c r="AC372" s="288">
        <v>1</v>
      </c>
      <c r="AD372" s="289">
        <v>77.349999999999994</v>
      </c>
      <c r="AE372" s="290">
        <f>ROUND(AD372*AC372,2)</f>
        <v>77.349999999999994</v>
      </c>
      <c r="AF372" s="227"/>
      <c r="AG372" s="374"/>
      <c r="AH372" s="477"/>
      <c r="AR372" s="129" t="s">
        <v>235</v>
      </c>
      <c r="AT372" s="129" t="s">
        <v>231</v>
      </c>
      <c r="AU372" s="129" t="s">
        <v>76</v>
      </c>
      <c r="AY372" s="13" t="s">
        <v>228</v>
      </c>
      <c r="BE372" s="130">
        <f>IF(N372="základná",J372,0)</f>
        <v>0</v>
      </c>
      <c r="BF372" s="130">
        <f>IF(N372="znížená",J372,0)</f>
        <v>0</v>
      </c>
      <c r="BG372" s="130">
        <f>IF(N372="zákl. prenesená",J372,0)</f>
        <v>0</v>
      </c>
      <c r="BH372" s="130">
        <f>IF(N372="zníž. prenesená",J372,0)</f>
        <v>0</v>
      </c>
      <c r="BI372" s="130">
        <f>IF(N372="nulová",J372,0)</f>
        <v>0</v>
      </c>
      <c r="BJ372" s="13" t="s">
        <v>76</v>
      </c>
      <c r="BK372" s="130">
        <f>ROUND(I372*H372,2)</f>
        <v>77.349999999999994</v>
      </c>
      <c r="BL372" s="13" t="s">
        <v>235</v>
      </c>
      <c r="BM372" s="129" t="s">
        <v>851</v>
      </c>
    </row>
    <row r="373" spans="2:65" s="1" customFormat="1" ht="16.5" customHeight="1" x14ac:dyDescent="0.2">
      <c r="B373" s="118"/>
      <c r="C373" s="285" t="s">
        <v>852</v>
      </c>
      <c r="D373" s="285" t="s">
        <v>231</v>
      </c>
      <c r="E373" s="286" t="s">
        <v>2167</v>
      </c>
      <c r="F373" s="240" t="s">
        <v>2168</v>
      </c>
      <c r="G373" s="287" t="s">
        <v>292</v>
      </c>
      <c r="H373" s="288">
        <v>4</v>
      </c>
      <c r="I373" s="289">
        <v>12.19</v>
      </c>
      <c r="J373" s="289">
        <f>ROUND(I373*H373,2)</f>
        <v>48.76</v>
      </c>
      <c r="K373" s="121" t="s">
        <v>1</v>
      </c>
      <c r="L373" s="465"/>
      <c r="M373" s="125"/>
      <c r="N373" s="126"/>
      <c r="O373" s="127"/>
      <c r="P373" s="127"/>
      <c r="Q373" s="127"/>
      <c r="R373" s="127"/>
      <c r="S373" s="127"/>
      <c r="T373" s="128"/>
      <c r="U373" s="461"/>
      <c r="V373" s="464"/>
      <c r="W373" s="199"/>
      <c r="X373" s="285" t="s">
        <v>852</v>
      </c>
      <c r="Y373" s="285" t="s">
        <v>231</v>
      </c>
      <c r="Z373" s="286" t="s">
        <v>2167</v>
      </c>
      <c r="AA373" s="240" t="s">
        <v>2168</v>
      </c>
      <c r="AB373" s="287" t="s">
        <v>292</v>
      </c>
      <c r="AC373" s="288">
        <v>4</v>
      </c>
      <c r="AD373" s="289">
        <v>12.19</v>
      </c>
      <c r="AE373" s="290">
        <f>ROUND(AD373*AC373,2)</f>
        <v>48.76</v>
      </c>
      <c r="AF373" s="227"/>
      <c r="AG373" s="374"/>
      <c r="AH373" s="477"/>
      <c r="AR373" s="129" t="s">
        <v>235</v>
      </c>
      <c r="AT373" s="129" t="s">
        <v>231</v>
      </c>
      <c r="AU373" s="129" t="s">
        <v>76</v>
      </c>
      <c r="AY373" s="13" t="s">
        <v>228</v>
      </c>
      <c r="BE373" s="130">
        <f>IF(N373="základná",J373,0)</f>
        <v>0</v>
      </c>
      <c r="BF373" s="130">
        <f>IF(N373="znížená",J373,0)</f>
        <v>0</v>
      </c>
      <c r="BG373" s="130">
        <f>IF(N373="zákl. prenesená",J373,0)</f>
        <v>0</v>
      </c>
      <c r="BH373" s="130">
        <f>IF(N373="zníž. prenesená",J373,0)</f>
        <v>0</v>
      </c>
      <c r="BI373" s="130">
        <f>IF(N373="nulová",J373,0)</f>
        <v>0</v>
      </c>
      <c r="BJ373" s="13" t="s">
        <v>76</v>
      </c>
      <c r="BK373" s="130">
        <f>ROUND(I373*H373,2)</f>
        <v>48.76</v>
      </c>
      <c r="BL373" s="13" t="s">
        <v>235</v>
      </c>
      <c r="BM373" s="129" t="s">
        <v>855</v>
      </c>
    </row>
    <row r="374" spans="2:65" s="1" customFormat="1" ht="16.5" customHeight="1" x14ac:dyDescent="0.2">
      <c r="B374" s="118"/>
      <c r="C374" s="285" t="s">
        <v>539</v>
      </c>
      <c r="D374" s="285" t="s">
        <v>231</v>
      </c>
      <c r="E374" s="286" t="s">
        <v>2179</v>
      </c>
      <c r="F374" s="240" t="s">
        <v>2180</v>
      </c>
      <c r="G374" s="287" t="s">
        <v>1194</v>
      </c>
      <c r="H374" s="288">
        <v>1</v>
      </c>
      <c r="I374" s="289">
        <v>15.59</v>
      </c>
      <c r="J374" s="289">
        <f>ROUND(I374*H374,2)</f>
        <v>15.59</v>
      </c>
      <c r="K374" s="121" t="s">
        <v>1</v>
      </c>
      <c r="L374" s="465"/>
      <c r="M374" s="125"/>
      <c r="N374" s="126"/>
      <c r="O374" s="127"/>
      <c r="P374" s="127"/>
      <c r="Q374" s="127"/>
      <c r="R374" s="127"/>
      <c r="S374" s="127"/>
      <c r="T374" s="128"/>
      <c r="U374" s="461"/>
      <c r="V374" s="464"/>
      <c r="W374" s="199"/>
      <c r="X374" s="285" t="s">
        <v>539</v>
      </c>
      <c r="Y374" s="285" t="s">
        <v>231</v>
      </c>
      <c r="Z374" s="286" t="s">
        <v>2179</v>
      </c>
      <c r="AA374" s="240" t="s">
        <v>2180</v>
      </c>
      <c r="AB374" s="287" t="s">
        <v>1194</v>
      </c>
      <c r="AC374" s="288">
        <v>1</v>
      </c>
      <c r="AD374" s="289">
        <v>15.59</v>
      </c>
      <c r="AE374" s="290">
        <f>ROUND(AD374*AC374,2)</f>
        <v>15.59</v>
      </c>
      <c r="AF374" s="227"/>
      <c r="AG374" s="374"/>
      <c r="AH374" s="477"/>
      <c r="AR374" s="129" t="s">
        <v>235</v>
      </c>
      <c r="AT374" s="129" t="s">
        <v>231</v>
      </c>
      <c r="AU374" s="129" t="s">
        <v>76</v>
      </c>
      <c r="AY374" s="13" t="s">
        <v>228</v>
      </c>
      <c r="BE374" s="130">
        <f>IF(N374="základná",J374,0)</f>
        <v>0</v>
      </c>
      <c r="BF374" s="130">
        <f>IF(N374="znížená",J374,0)</f>
        <v>0</v>
      </c>
      <c r="BG374" s="130">
        <f>IF(N374="zákl. prenesená",J374,0)</f>
        <v>0</v>
      </c>
      <c r="BH374" s="130">
        <f>IF(N374="zníž. prenesená",J374,0)</f>
        <v>0</v>
      </c>
      <c r="BI374" s="130">
        <f>IF(N374="nulová",J374,0)</f>
        <v>0</v>
      </c>
      <c r="BJ374" s="13" t="s">
        <v>76</v>
      </c>
      <c r="BK374" s="130">
        <f>ROUND(I374*H374,2)</f>
        <v>15.59</v>
      </c>
      <c r="BL374" s="13" t="s">
        <v>235</v>
      </c>
      <c r="BM374" s="129" t="s">
        <v>858</v>
      </c>
    </row>
    <row r="375" spans="2:65" s="1" customFormat="1" ht="24" customHeight="1" x14ac:dyDescent="0.2">
      <c r="B375" s="118"/>
      <c r="C375" s="285" t="s">
        <v>859</v>
      </c>
      <c r="D375" s="285" t="s">
        <v>231</v>
      </c>
      <c r="E375" s="286" t="s">
        <v>2181</v>
      </c>
      <c r="F375" s="240" t="s">
        <v>2182</v>
      </c>
      <c r="G375" s="287" t="s">
        <v>1194</v>
      </c>
      <c r="H375" s="288">
        <v>1</v>
      </c>
      <c r="I375" s="289">
        <v>28.5</v>
      </c>
      <c r="J375" s="289">
        <f>ROUND(I375*H375,2)</f>
        <v>28.5</v>
      </c>
      <c r="K375" s="121" t="s">
        <v>1</v>
      </c>
      <c r="L375" s="465"/>
      <c r="M375" s="125"/>
      <c r="N375" s="126"/>
      <c r="O375" s="127"/>
      <c r="P375" s="127"/>
      <c r="Q375" s="127"/>
      <c r="R375" s="127"/>
      <c r="S375" s="127"/>
      <c r="T375" s="128"/>
      <c r="U375" s="461"/>
      <c r="V375" s="464"/>
      <c r="W375" s="199"/>
      <c r="X375" s="285" t="s">
        <v>859</v>
      </c>
      <c r="Y375" s="285" t="s">
        <v>231</v>
      </c>
      <c r="Z375" s="286" t="s">
        <v>2181</v>
      </c>
      <c r="AA375" s="240" t="s">
        <v>2182</v>
      </c>
      <c r="AB375" s="287" t="s">
        <v>1194</v>
      </c>
      <c r="AC375" s="288">
        <v>1</v>
      </c>
      <c r="AD375" s="289">
        <v>28.5</v>
      </c>
      <c r="AE375" s="290">
        <f>ROUND(AD375*AC375,2)</f>
        <v>28.5</v>
      </c>
      <c r="AF375" s="227"/>
      <c r="AG375" s="374"/>
      <c r="AH375" s="477"/>
      <c r="AR375" s="129" t="s">
        <v>235</v>
      </c>
      <c r="AT375" s="129" t="s">
        <v>231</v>
      </c>
      <c r="AU375" s="129" t="s">
        <v>76</v>
      </c>
      <c r="AY375" s="13" t="s">
        <v>228</v>
      </c>
      <c r="BE375" s="130">
        <f>IF(N375="základná",J375,0)</f>
        <v>0</v>
      </c>
      <c r="BF375" s="130">
        <f>IF(N375="znížená",J375,0)</f>
        <v>0</v>
      </c>
      <c r="BG375" s="130">
        <f>IF(N375="zákl. prenesená",J375,0)</f>
        <v>0</v>
      </c>
      <c r="BH375" s="130">
        <f>IF(N375="zníž. prenesená",J375,0)</f>
        <v>0</v>
      </c>
      <c r="BI375" s="130">
        <f>IF(N375="nulová",J375,0)</f>
        <v>0</v>
      </c>
      <c r="BJ375" s="13" t="s">
        <v>76</v>
      </c>
      <c r="BK375" s="130">
        <f>ROUND(I375*H375,2)</f>
        <v>28.5</v>
      </c>
      <c r="BL375" s="13" t="s">
        <v>235</v>
      </c>
      <c r="BM375" s="129" t="s">
        <v>862</v>
      </c>
    </row>
    <row r="376" spans="2:65" s="1" customFormat="1" ht="24" customHeight="1" x14ac:dyDescent="0.2">
      <c r="B376" s="118"/>
      <c r="C376" s="285" t="s">
        <v>542</v>
      </c>
      <c r="D376" s="285" t="s">
        <v>231</v>
      </c>
      <c r="E376" s="286" t="s">
        <v>2183</v>
      </c>
      <c r="F376" s="240" t="s">
        <v>2184</v>
      </c>
      <c r="G376" s="287" t="s">
        <v>1194</v>
      </c>
      <c r="H376" s="288">
        <v>1</v>
      </c>
      <c r="I376" s="289">
        <v>46.22</v>
      </c>
      <c r="J376" s="289">
        <f>ROUND(I376*H376,2)</f>
        <v>46.22</v>
      </c>
      <c r="K376" s="121" t="s">
        <v>1</v>
      </c>
      <c r="L376" s="465"/>
      <c r="M376" s="125"/>
      <c r="N376" s="126"/>
      <c r="O376" s="127"/>
      <c r="P376" s="127"/>
      <c r="Q376" s="127"/>
      <c r="R376" s="127"/>
      <c r="S376" s="127"/>
      <c r="T376" s="128"/>
      <c r="U376" s="461"/>
      <c r="V376" s="464"/>
      <c r="W376" s="199"/>
      <c r="X376" s="285" t="s">
        <v>542</v>
      </c>
      <c r="Y376" s="285" t="s">
        <v>231</v>
      </c>
      <c r="Z376" s="286" t="s">
        <v>2183</v>
      </c>
      <c r="AA376" s="240" t="s">
        <v>2184</v>
      </c>
      <c r="AB376" s="287" t="s">
        <v>1194</v>
      </c>
      <c r="AC376" s="288">
        <v>1</v>
      </c>
      <c r="AD376" s="289">
        <v>46.22</v>
      </c>
      <c r="AE376" s="290">
        <f>ROUND(AD376*AC376,2)</f>
        <v>46.22</v>
      </c>
      <c r="AF376" s="227"/>
      <c r="AG376" s="374"/>
      <c r="AH376" s="477"/>
      <c r="AR376" s="129" t="s">
        <v>235</v>
      </c>
      <c r="AT376" s="129" t="s">
        <v>231</v>
      </c>
      <c r="AU376" s="129" t="s">
        <v>76</v>
      </c>
      <c r="AY376" s="13" t="s">
        <v>228</v>
      </c>
      <c r="BE376" s="130">
        <f>IF(N376="základná",J376,0)</f>
        <v>0</v>
      </c>
      <c r="BF376" s="130">
        <f>IF(N376="znížená",J376,0)</f>
        <v>0</v>
      </c>
      <c r="BG376" s="130">
        <f>IF(N376="zákl. prenesená",J376,0)</f>
        <v>0</v>
      </c>
      <c r="BH376" s="130">
        <f>IF(N376="zníž. prenesená",J376,0)</f>
        <v>0</v>
      </c>
      <c r="BI376" s="130">
        <f>IF(N376="nulová",J376,0)</f>
        <v>0</v>
      </c>
      <c r="BJ376" s="13" t="s">
        <v>76</v>
      </c>
      <c r="BK376" s="130">
        <f>ROUND(I376*H376,2)</f>
        <v>46.22</v>
      </c>
      <c r="BL376" s="13" t="s">
        <v>235</v>
      </c>
      <c r="BM376" s="129" t="s">
        <v>867</v>
      </c>
    </row>
    <row r="377" spans="2:65" s="1" customFormat="1" ht="19.2" x14ac:dyDescent="0.2">
      <c r="B377" s="24"/>
      <c r="C377" s="407"/>
      <c r="D377" s="492" t="s">
        <v>1259</v>
      </c>
      <c r="E377" s="407"/>
      <c r="F377" s="428" t="s">
        <v>2185</v>
      </c>
      <c r="G377" s="407"/>
      <c r="H377" s="407"/>
      <c r="I377" s="407"/>
      <c r="J377" s="407"/>
      <c r="L377" s="24"/>
      <c r="M377" s="146"/>
      <c r="N377" s="42"/>
      <c r="O377" s="42"/>
      <c r="P377" s="42"/>
      <c r="Q377" s="42"/>
      <c r="R377" s="42"/>
      <c r="S377" s="42"/>
      <c r="T377" s="43"/>
      <c r="W377" s="158"/>
      <c r="X377" s="427"/>
      <c r="Y377" s="511" t="s">
        <v>1259</v>
      </c>
      <c r="Z377" s="427"/>
      <c r="AA377" s="505" t="s">
        <v>2185</v>
      </c>
      <c r="AB377" s="427"/>
      <c r="AC377" s="427"/>
      <c r="AD377" s="427"/>
      <c r="AE377" s="512"/>
      <c r="AF377" s="227"/>
      <c r="AG377" s="374"/>
      <c r="AH377" s="477"/>
      <c r="AT377" s="13" t="s">
        <v>1259</v>
      </c>
      <c r="AU377" s="13" t="s">
        <v>76</v>
      </c>
    </row>
    <row r="378" spans="2:65" s="1" customFormat="1" ht="24" customHeight="1" x14ac:dyDescent="0.2">
      <c r="B378" s="118"/>
      <c r="C378" s="285" t="s">
        <v>868</v>
      </c>
      <c r="D378" s="285" t="s">
        <v>231</v>
      </c>
      <c r="E378" s="286" t="s">
        <v>2186</v>
      </c>
      <c r="F378" s="240" t="s">
        <v>2187</v>
      </c>
      <c r="G378" s="287" t="s">
        <v>1194</v>
      </c>
      <c r="H378" s="288">
        <v>1</v>
      </c>
      <c r="I378" s="289">
        <v>47.02</v>
      </c>
      <c r="J378" s="289">
        <f>ROUND(I378*H378,2)</f>
        <v>47.02</v>
      </c>
      <c r="K378" s="121" t="s">
        <v>1</v>
      </c>
      <c r="L378" s="465"/>
      <c r="M378" s="125"/>
      <c r="N378" s="126"/>
      <c r="O378" s="127"/>
      <c r="P378" s="127"/>
      <c r="Q378" s="127"/>
      <c r="R378" s="127"/>
      <c r="S378" s="127"/>
      <c r="T378" s="128"/>
      <c r="W378" s="199"/>
      <c r="X378" s="285" t="s">
        <v>868</v>
      </c>
      <c r="Y378" s="285" t="s">
        <v>231</v>
      </c>
      <c r="Z378" s="286" t="s">
        <v>2186</v>
      </c>
      <c r="AA378" s="240" t="s">
        <v>2187</v>
      </c>
      <c r="AB378" s="287" t="s">
        <v>1194</v>
      </c>
      <c r="AC378" s="288">
        <v>1</v>
      </c>
      <c r="AD378" s="289">
        <v>47.02</v>
      </c>
      <c r="AE378" s="290">
        <f>ROUND(AD378*AC378,2)</f>
        <v>47.02</v>
      </c>
      <c r="AF378" s="227"/>
      <c r="AG378" s="374"/>
      <c r="AH378" s="477"/>
      <c r="AR378" s="129" t="s">
        <v>235</v>
      </c>
      <c r="AT378" s="129" t="s">
        <v>231</v>
      </c>
      <c r="AU378" s="129" t="s">
        <v>76</v>
      </c>
      <c r="AY378" s="13" t="s">
        <v>228</v>
      </c>
      <c r="BE378" s="130">
        <f>IF(N378="základná",J378,0)</f>
        <v>0</v>
      </c>
      <c r="BF378" s="130">
        <f>IF(N378="znížená",J378,0)</f>
        <v>0</v>
      </c>
      <c r="BG378" s="130">
        <f>IF(N378="zákl. prenesená",J378,0)</f>
        <v>0</v>
      </c>
      <c r="BH378" s="130">
        <f>IF(N378="zníž. prenesená",J378,0)</f>
        <v>0</v>
      </c>
      <c r="BI378" s="130">
        <f>IF(N378="nulová",J378,0)</f>
        <v>0</v>
      </c>
      <c r="BJ378" s="13" t="s">
        <v>76</v>
      </c>
      <c r="BK378" s="130">
        <f>ROUND(I378*H378,2)</f>
        <v>47.02</v>
      </c>
      <c r="BL378" s="13" t="s">
        <v>235</v>
      </c>
      <c r="BM378" s="129" t="s">
        <v>871</v>
      </c>
    </row>
    <row r="379" spans="2:65" s="1" customFormat="1" ht="24" customHeight="1" x14ac:dyDescent="0.2">
      <c r="B379" s="118"/>
      <c r="C379" s="285" t="s">
        <v>546</v>
      </c>
      <c r="D379" s="285" t="s">
        <v>231</v>
      </c>
      <c r="E379" s="286" t="s">
        <v>2188</v>
      </c>
      <c r="F379" s="240" t="s">
        <v>2189</v>
      </c>
      <c r="G379" s="287" t="s">
        <v>1194</v>
      </c>
      <c r="H379" s="288">
        <v>1</v>
      </c>
      <c r="I379" s="289">
        <v>38.19</v>
      </c>
      <c r="J379" s="289">
        <f>ROUND(I379*H379,2)</f>
        <v>38.19</v>
      </c>
      <c r="K379" s="121" t="s">
        <v>1</v>
      </c>
      <c r="L379" s="465"/>
      <c r="M379" s="125"/>
      <c r="N379" s="126"/>
      <c r="O379" s="127"/>
      <c r="P379" s="127"/>
      <c r="Q379" s="127"/>
      <c r="R379" s="127"/>
      <c r="S379" s="127"/>
      <c r="T379" s="128"/>
      <c r="U379" s="461"/>
      <c r="V379" s="464"/>
      <c r="W379" s="199"/>
      <c r="X379" s="285" t="s">
        <v>546</v>
      </c>
      <c r="Y379" s="285" t="s">
        <v>231</v>
      </c>
      <c r="Z379" s="286" t="s">
        <v>2188</v>
      </c>
      <c r="AA379" s="240" t="s">
        <v>2189</v>
      </c>
      <c r="AB379" s="287" t="s">
        <v>1194</v>
      </c>
      <c r="AC379" s="288">
        <v>1</v>
      </c>
      <c r="AD379" s="289">
        <v>38.19</v>
      </c>
      <c r="AE379" s="290">
        <f>ROUND(AD379*AC379,2)</f>
        <v>38.19</v>
      </c>
      <c r="AF379" s="227"/>
      <c r="AG379" s="374"/>
      <c r="AH379" s="477"/>
      <c r="AR379" s="129" t="s">
        <v>235</v>
      </c>
      <c r="AT379" s="129" t="s">
        <v>231</v>
      </c>
      <c r="AU379" s="129" t="s">
        <v>76</v>
      </c>
      <c r="AY379" s="13" t="s">
        <v>228</v>
      </c>
      <c r="BE379" s="130">
        <f>IF(N379="základná",J379,0)</f>
        <v>0</v>
      </c>
      <c r="BF379" s="130">
        <f>IF(N379="znížená",J379,0)</f>
        <v>0</v>
      </c>
      <c r="BG379" s="130">
        <f>IF(N379="zákl. prenesená",J379,0)</f>
        <v>0</v>
      </c>
      <c r="BH379" s="130">
        <f>IF(N379="zníž. prenesená",J379,0)</f>
        <v>0</v>
      </c>
      <c r="BI379" s="130">
        <f>IF(N379="nulová",J379,0)</f>
        <v>0</v>
      </c>
      <c r="BJ379" s="13" t="s">
        <v>76</v>
      </c>
      <c r="BK379" s="130">
        <f>ROUND(I379*H379,2)</f>
        <v>38.19</v>
      </c>
      <c r="BL379" s="13" t="s">
        <v>235</v>
      </c>
      <c r="BM379" s="129" t="s">
        <v>874</v>
      </c>
    </row>
    <row r="380" spans="2:65" s="1" customFormat="1" ht="19.2" x14ac:dyDescent="0.2">
      <c r="B380" s="24"/>
      <c r="C380" s="407"/>
      <c r="D380" s="492" t="s">
        <v>1259</v>
      </c>
      <c r="E380" s="407"/>
      <c r="F380" s="428" t="s">
        <v>2185</v>
      </c>
      <c r="G380" s="407"/>
      <c r="H380" s="407"/>
      <c r="I380" s="407"/>
      <c r="J380" s="407"/>
      <c r="L380" s="24"/>
      <c r="M380" s="146"/>
      <c r="N380" s="42"/>
      <c r="O380" s="42"/>
      <c r="P380" s="42"/>
      <c r="Q380" s="42"/>
      <c r="R380" s="42"/>
      <c r="S380" s="42"/>
      <c r="T380" s="43"/>
      <c r="W380" s="158"/>
      <c r="X380" s="427"/>
      <c r="Y380" s="511" t="s">
        <v>1259</v>
      </c>
      <c r="Z380" s="427"/>
      <c r="AA380" s="505" t="s">
        <v>2185</v>
      </c>
      <c r="AB380" s="427"/>
      <c r="AC380" s="427"/>
      <c r="AD380" s="427"/>
      <c r="AE380" s="512"/>
      <c r="AF380" s="227"/>
      <c r="AG380" s="374"/>
      <c r="AH380" s="477"/>
      <c r="AT380" s="13" t="s">
        <v>1259</v>
      </c>
      <c r="AU380" s="13" t="s">
        <v>76</v>
      </c>
    </row>
    <row r="381" spans="2:65" s="1" customFormat="1" ht="24" customHeight="1" x14ac:dyDescent="0.2">
      <c r="B381" s="118"/>
      <c r="C381" s="285" t="s">
        <v>875</v>
      </c>
      <c r="D381" s="285" t="s">
        <v>231</v>
      </c>
      <c r="E381" s="286" t="s">
        <v>2190</v>
      </c>
      <c r="F381" s="240" t="s">
        <v>2191</v>
      </c>
      <c r="G381" s="287" t="s">
        <v>1194</v>
      </c>
      <c r="H381" s="288">
        <v>1</v>
      </c>
      <c r="I381" s="289">
        <v>20.9</v>
      </c>
      <c r="J381" s="289">
        <f>ROUND(I381*H381,2)</f>
        <v>20.9</v>
      </c>
      <c r="K381" s="121" t="s">
        <v>1</v>
      </c>
      <c r="L381" s="465"/>
      <c r="M381" s="125"/>
      <c r="N381" s="126"/>
      <c r="O381" s="127"/>
      <c r="P381" s="127"/>
      <c r="Q381" s="127"/>
      <c r="R381" s="127"/>
      <c r="S381" s="127"/>
      <c r="T381" s="128"/>
      <c r="U381" s="461"/>
      <c r="V381" s="464"/>
      <c r="W381" s="199"/>
      <c r="X381" s="285" t="s">
        <v>875</v>
      </c>
      <c r="Y381" s="285" t="s">
        <v>231</v>
      </c>
      <c r="Z381" s="286" t="s">
        <v>2190</v>
      </c>
      <c r="AA381" s="240" t="s">
        <v>2191</v>
      </c>
      <c r="AB381" s="287" t="s">
        <v>1194</v>
      </c>
      <c r="AC381" s="288">
        <v>1</v>
      </c>
      <c r="AD381" s="289">
        <v>20.9</v>
      </c>
      <c r="AE381" s="290">
        <f>ROUND(AD381*AC381,2)</f>
        <v>20.9</v>
      </c>
      <c r="AF381" s="227"/>
      <c r="AG381" s="374"/>
      <c r="AH381" s="477"/>
      <c r="AR381" s="129" t="s">
        <v>235</v>
      </c>
      <c r="AT381" s="129" t="s">
        <v>231</v>
      </c>
      <c r="AU381" s="129" t="s">
        <v>76</v>
      </c>
      <c r="AY381" s="13" t="s">
        <v>228</v>
      </c>
      <c r="BE381" s="130">
        <f>IF(N381="základná",J381,0)</f>
        <v>0</v>
      </c>
      <c r="BF381" s="130">
        <f>IF(N381="znížená",J381,0)</f>
        <v>0</v>
      </c>
      <c r="BG381" s="130">
        <f>IF(N381="zákl. prenesená",J381,0)</f>
        <v>0</v>
      </c>
      <c r="BH381" s="130">
        <f>IF(N381="zníž. prenesená",J381,0)</f>
        <v>0</v>
      </c>
      <c r="BI381" s="130">
        <f>IF(N381="nulová",J381,0)</f>
        <v>0</v>
      </c>
      <c r="BJ381" s="13" t="s">
        <v>76</v>
      </c>
      <c r="BK381" s="130">
        <f>ROUND(I381*H381,2)</f>
        <v>20.9</v>
      </c>
      <c r="BL381" s="13" t="s">
        <v>235</v>
      </c>
      <c r="BM381" s="129" t="s">
        <v>878</v>
      </c>
    </row>
    <row r="382" spans="2:65" s="1" customFormat="1" ht="24" customHeight="1" x14ac:dyDescent="0.2">
      <c r="B382" s="118"/>
      <c r="C382" s="285" t="s">
        <v>549</v>
      </c>
      <c r="D382" s="285" t="s">
        <v>231</v>
      </c>
      <c r="E382" s="286" t="s">
        <v>2192</v>
      </c>
      <c r="F382" s="240" t="s">
        <v>2193</v>
      </c>
      <c r="G382" s="287" t="s">
        <v>1194</v>
      </c>
      <c r="H382" s="288">
        <v>1</v>
      </c>
      <c r="I382" s="289">
        <v>32.97</v>
      </c>
      <c r="J382" s="289">
        <f>ROUND(I382*H382,2)</f>
        <v>32.97</v>
      </c>
      <c r="K382" s="121" t="s">
        <v>1</v>
      </c>
      <c r="L382" s="465"/>
      <c r="M382" s="125"/>
      <c r="N382" s="126"/>
      <c r="O382" s="127"/>
      <c r="P382" s="127"/>
      <c r="Q382" s="127"/>
      <c r="R382" s="127"/>
      <c r="S382" s="127"/>
      <c r="T382" s="128"/>
      <c r="U382" s="461"/>
      <c r="V382" s="464"/>
      <c r="W382" s="199"/>
      <c r="X382" s="285" t="s">
        <v>549</v>
      </c>
      <c r="Y382" s="285" t="s">
        <v>231</v>
      </c>
      <c r="Z382" s="286" t="s">
        <v>2192</v>
      </c>
      <c r="AA382" s="240" t="s">
        <v>2193</v>
      </c>
      <c r="AB382" s="287" t="s">
        <v>1194</v>
      </c>
      <c r="AC382" s="288">
        <v>1</v>
      </c>
      <c r="AD382" s="289">
        <v>32.97</v>
      </c>
      <c r="AE382" s="290">
        <f>ROUND(AD382*AC382,2)</f>
        <v>32.97</v>
      </c>
      <c r="AF382" s="227"/>
      <c r="AG382" s="374"/>
      <c r="AH382" s="477"/>
      <c r="AR382" s="129" t="s">
        <v>235</v>
      </c>
      <c r="AT382" s="129" t="s">
        <v>231</v>
      </c>
      <c r="AU382" s="129" t="s">
        <v>76</v>
      </c>
      <c r="AY382" s="13" t="s">
        <v>228</v>
      </c>
      <c r="BE382" s="130">
        <f>IF(N382="základná",J382,0)</f>
        <v>0</v>
      </c>
      <c r="BF382" s="130">
        <f>IF(N382="znížená",J382,0)</f>
        <v>0</v>
      </c>
      <c r="BG382" s="130">
        <f>IF(N382="zákl. prenesená",J382,0)</f>
        <v>0</v>
      </c>
      <c r="BH382" s="130">
        <f>IF(N382="zníž. prenesená",J382,0)</f>
        <v>0</v>
      </c>
      <c r="BI382" s="130">
        <f>IF(N382="nulová",J382,0)</f>
        <v>0</v>
      </c>
      <c r="BJ382" s="13" t="s">
        <v>76</v>
      </c>
      <c r="BK382" s="130">
        <f>ROUND(I382*H382,2)</f>
        <v>32.97</v>
      </c>
      <c r="BL382" s="13" t="s">
        <v>235</v>
      </c>
      <c r="BM382" s="129" t="s">
        <v>881</v>
      </c>
    </row>
    <row r="383" spans="2:65" s="1" customFormat="1" ht="19.2" x14ac:dyDescent="0.2">
      <c r="B383" s="24"/>
      <c r="C383" s="407"/>
      <c r="D383" s="492" t="s">
        <v>1259</v>
      </c>
      <c r="E383" s="407"/>
      <c r="F383" s="428" t="s">
        <v>2185</v>
      </c>
      <c r="G383" s="407"/>
      <c r="H383" s="407"/>
      <c r="I383" s="407"/>
      <c r="J383" s="407"/>
      <c r="L383" s="24"/>
      <c r="M383" s="146"/>
      <c r="N383" s="42"/>
      <c r="O383" s="42"/>
      <c r="P383" s="42"/>
      <c r="Q383" s="42"/>
      <c r="R383" s="42"/>
      <c r="S383" s="42"/>
      <c r="T383" s="43"/>
      <c r="W383" s="158"/>
      <c r="X383" s="427"/>
      <c r="Y383" s="511" t="s">
        <v>1259</v>
      </c>
      <c r="Z383" s="427"/>
      <c r="AA383" s="505" t="s">
        <v>2185</v>
      </c>
      <c r="AB383" s="427"/>
      <c r="AC383" s="427"/>
      <c r="AD383" s="427"/>
      <c r="AE383" s="512"/>
      <c r="AF383" s="227"/>
      <c r="AG383" s="374"/>
      <c r="AH383" s="477"/>
      <c r="AT383" s="13" t="s">
        <v>1259</v>
      </c>
      <c r="AU383" s="13" t="s">
        <v>76</v>
      </c>
    </row>
    <row r="384" spans="2:65" s="1" customFormat="1" ht="16.5" customHeight="1" x14ac:dyDescent="0.2">
      <c r="B384" s="118"/>
      <c r="C384" s="285" t="s">
        <v>884</v>
      </c>
      <c r="D384" s="285" t="s">
        <v>231</v>
      </c>
      <c r="E384" s="286" t="s">
        <v>2194</v>
      </c>
      <c r="F384" s="240" t="s">
        <v>2195</v>
      </c>
      <c r="G384" s="287" t="s">
        <v>1194</v>
      </c>
      <c r="H384" s="288">
        <v>3</v>
      </c>
      <c r="I384" s="289">
        <v>42.8</v>
      </c>
      <c r="J384" s="289">
        <f>ROUND(I384*H384,2)</f>
        <v>128.4</v>
      </c>
      <c r="K384" s="121" t="s">
        <v>1</v>
      </c>
      <c r="L384" s="465"/>
      <c r="M384" s="125"/>
      <c r="N384" s="126"/>
      <c r="O384" s="127"/>
      <c r="P384" s="127"/>
      <c r="Q384" s="127"/>
      <c r="R384" s="127"/>
      <c r="S384" s="127"/>
      <c r="T384" s="128"/>
      <c r="U384" s="461"/>
      <c r="V384" s="464"/>
      <c r="W384" s="199"/>
      <c r="X384" s="285" t="s">
        <v>884</v>
      </c>
      <c r="Y384" s="285" t="s">
        <v>231</v>
      </c>
      <c r="Z384" s="286" t="s">
        <v>2194</v>
      </c>
      <c r="AA384" s="240" t="s">
        <v>2195</v>
      </c>
      <c r="AB384" s="287" t="s">
        <v>1194</v>
      </c>
      <c r="AC384" s="288">
        <v>3</v>
      </c>
      <c r="AD384" s="289">
        <v>42.8</v>
      </c>
      <c r="AE384" s="290">
        <f>ROUND(AD384*AC384,2)</f>
        <v>128.4</v>
      </c>
      <c r="AF384" s="227"/>
      <c r="AG384" s="374"/>
      <c r="AH384" s="477"/>
      <c r="AR384" s="129" t="s">
        <v>235</v>
      </c>
      <c r="AT384" s="129" t="s">
        <v>231</v>
      </c>
      <c r="AU384" s="129" t="s">
        <v>76</v>
      </c>
      <c r="AY384" s="13" t="s">
        <v>228</v>
      </c>
      <c r="BE384" s="130">
        <f>IF(N384="základná",J384,0)</f>
        <v>0</v>
      </c>
      <c r="BF384" s="130">
        <f>IF(N384="znížená",J384,0)</f>
        <v>0</v>
      </c>
      <c r="BG384" s="130">
        <f>IF(N384="zákl. prenesená",J384,0)</f>
        <v>0</v>
      </c>
      <c r="BH384" s="130">
        <f>IF(N384="zníž. prenesená",J384,0)</f>
        <v>0</v>
      </c>
      <c r="BI384" s="130">
        <f>IF(N384="nulová",J384,0)</f>
        <v>0</v>
      </c>
      <c r="BJ384" s="13" t="s">
        <v>76</v>
      </c>
      <c r="BK384" s="130">
        <f>ROUND(I384*H384,2)</f>
        <v>128.4</v>
      </c>
      <c r="BL384" s="13" t="s">
        <v>235</v>
      </c>
      <c r="BM384" s="129" t="s">
        <v>887</v>
      </c>
    </row>
    <row r="385" spans="2:65" s="11" customFormat="1" ht="22.95" customHeight="1" x14ac:dyDescent="0.25">
      <c r="B385" s="106"/>
      <c r="C385" s="292"/>
      <c r="D385" s="489" t="s">
        <v>57</v>
      </c>
      <c r="E385" s="490" t="s">
        <v>2196</v>
      </c>
      <c r="F385" s="490" t="s">
        <v>2197</v>
      </c>
      <c r="G385" s="292"/>
      <c r="H385" s="292"/>
      <c r="I385" s="292"/>
      <c r="J385" s="491">
        <f>BK385</f>
        <v>416.12</v>
      </c>
      <c r="L385" s="106"/>
      <c r="M385" s="110"/>
      <c r="N385" s="111"/>
      <c r="O385" s="111"/>
      <c r="P385" s="112"/>
      <c r="Q385" s="111"/>
      <c r="R385" s="112"/>
      <c r="S385" s="111"/>
      <c r="T385" s="113"/>
      <c r="W385" s="195"/>
      <c r="X385" s="347"/>
      <c r="Y385" s="506" t="s">
        <v>57</v>
      </c>
      <c r="Z385" s="507" t="s">
        <v>2196</v>
      </c>
      <c r="AA385" s="507" t="s">
        <v>2197</v>
      </c>
      <c r="AB385" s="347"/>
      <c r="AC385" s="347"/>
      <c r="AD385" s="347"/>
      <c r="AE385" s="510">
        <f>SUM(AE386:AE398)</f>
        <v>416.12</v>
      </c>
      <c r="AF385" s="227"/>
      <c r="AG385" s="374"/>
      <c r="AH385" s="477"/>
      <c r="AR385" s="107" t="s">
        <v>63</v>
      </c>
      <c r="AT385" s="114" t="s">
        <v>57</v>
      </c>
      <c r="AU385" s="114" t="s">
        <v>63</v>
      </c>
      <c r="AY385" s="107" t="s">
        <v>228</v>
      </c>
      <c r="BK385" s="115">
        <f>SUM(BK386:BK398)</f>
        <v>416.12</v>
      </c>
    </row>
    <row r="386" spans="2:65" s="1" customFormat="1" ht="24" customHeight="1" x14ac:dyDescent="0.2">
      <c r="B386" s="118"/>
      <c r="C386" s="285" t="s">
        <v>555</v>
      </c>
      <c r="D386" s="285" t="s">
        <v>231</v>
      </c>
      <c r="E386" s="286" t="s">
        <v>2198</v>
      </c>
      <c r="F386" s="240" t="s">
        <v>2199</v>
      </c>
      <c r="G386" s="287" t="s">
        <v>1194</v>
      </c>
      <c r="H386" s="288">
        <v>1</v>
      </c>
      <c r="I386" s="289">
        <v>25.33</v>
      </c>
      <c r="J386" s="289">
        <f>ROUND(I386*H386,2)</f>
        <v>25.33</v>
      </c>
      <c r="K386" s="121" t="s">
        <v>1</v>
      </c>
      <c r="L386" s="465"/>
      <c r="M386" s="125"/>
      <c r="N386" s="126"/>
      <c r="O386" s="127"/>
      <c r="P386" s="127"/>
      <c r="Q386" s="127"/>
      <c r="R386" s="127"/>
      <c r="S386" s="127"/>
      <c r="T386" s="128"/>
      <c r="U386" s="461"/>
      <c r="V386" s="464"/>
      <c r="W386" s="199"/>
      <c r="X386" s="285" t="s">
        <v>555</v>
      </c>
      <c r="Y386" s="285" t="s">
        <v>231</v>
      </c>
      <c r="Z386" s="286" t="s">
        <v>2198</v>
      </c>
      <c r="AA386" s="240" t="s">
        <v>2199</v>
      </c>
      <c r="AB386" s="287" t="s">
        <v>1194</v>
      </c>
      <c r="AC386" s="288">
        <v>1</v>
      </c>
      <c r="AD386" s="289">
        <v>25.33</v>
      </c>
      <c r="AE386" s="290">
        <f>ROUND(AD386*AC386,2)</f>
        <v>25.33</v>
      </c>
      <c r="AF386" s="227"/>
      <c r="AG386" s="374"/>
      <c r="AH386" s="477"/>
      <c r="AR386" s="129" t="s">
        <v>235</v>
      </c>
      <c r="AT386" s="129" t="s">
        <v>231</v>
      </c>
      <c r="AU386" s="129" t="s">
        <v>76</v>
      </c>
      <c r="AY386" s="13" t="s">
        <v>228</v>
      </c>
      <c r="BE386" s="130">
        <f>IF(N386="základná",J386,0)</f>
        <v>0</v>
      </c>
      <c r="BF386" s="130">
        <f>IF(N386="znížená",J386,0)</f>
        <v>0</v>
      </c>
      <c r="BG386" s="130">
        <f>IF(N386="zákl. prenesená",J386,0)</f>
        <v>0</v>
      </c>
      <c r="BH386" s="130">
        <f>IF(N386="zníž. prenesená",J386,0)</f>
        <v>0</v>
      </c>
      <c r="BI386" s="130">
        <f>IF(N386="nulová",J386,0)</f>
        <v>0</v>
      </c>
      <c r="BJ386" s="13" t="s">
        <v>76</v>
      </c>
      <c r="BK386" s="130">
        <f>ROUND(I386*H386,2)</f>
        <v>25.33</v>
      </c>
      <c r="BL386" s="13" t="s">
        <v>235</v>
      </c>
      <c r="BM386" s="129" t="s">
        <v>890</v>
      </c>
    </row>
    <row r="387" spans="2:65" s="1" customFormat="1" ht="16.5" customHeight="1" x14ac:dyDescent="0.2">
      <c r="B387" s="118"/>
      <c r="C387" s="285" t="s">
        <v>2200</v>
      </c>
      <c r="D387" s="285" t="s">
        <v>231</v>
      </c>
      <c r="E387" s="286" t="s">
        <v>2177</v>
      </c>
      <c r="F387" s="240" t="s">
        <v>2178</v>
      </c>
      <c r="G387" s="287" t="s">
        <v>1194</v>
      </c>
      <c r="H387" s="288">
        <v>1</v>
      </c>
      <c r="I387" s="289">
        <v>77.349999999999994</v>
      </c>
      <c r="J387" s="289">
        <f>ROUND(I387*H387,2)</f>
        <v>77.349999999999994</v>
      </c>
      <c r="K387" s="121" t="s">
        <v>1</v>
      </c>
      <c r="L387" s="465"/>
      <c r="M387" s="125"/>
      <c r="N387" s="126"/>
      <c r="O387" s="127"/>
      <c r="P387" s="127"/>
      <c r="Q387" s="127"/>
      <c r="R387" s="127"/>
      <c r="S387" s="127"/>
      <c r="T387" s="128"/>
      <c r="U387" s="461"/>
      <c r="V387" s="464"/>
      <c r="W387" s="199"/>
      <c r="X387" s="285" t="s">
        <v>2200</v>
      </c>
      <c r="Y387" s="285" t="s">
        <v>231</v>
      </c>
      <c r="Z387" s="286" t="s">
        <v>2177</v>
      </c>
      <c r="AA387" s="240" t="s">
        <v>2178</v>
      </c>
      <c r="AB387" s="287" t="s">
        <v>1194</v>
      </c>
      <c r="AC387" s="288">
        <v>1</v>
      </c>
      <c r="AD387" s="289">
        <v>77.349999999999994</v>
      </c>
      <c r="AE387" s="290">
        <f>ROUND(AD387*AC387,2)</f>
        <v>77.349999999999994</v>
      </c>
      <c r="AF387" s="227"/>
      <c r="AG387" s="374"/>
      <c r="AH387" s="477"/>
      <c r="AR387" s="129" t="s">
        <v>235</v>
      </c>
      <c r="AT387" s="129" t="s">
        <v>231</v>
      </c>
      <c r="AU387" s="129" t="s">
        <v>76</v>
      </c>
      <c r="AY387" s="13" t="s">
        <v>228</v>
      </c>
      <c r="BE387" s="130">
        <f>IF(N387="základná",J387,0)</f>
        <v>0</v>
      </c>
      <c r="BF387" s="130">
        <f>IF(N387="znížená",J387,0)</f>
        <v>0</v>
      </c>
      <c r="BG387" s="130">
        <f>IF(N387="zákl. prenesená",J387,0)</f>
        <v>0</v>
      </c>
      <c r="BH387" s="130">
        <f>IF(N387="zníž. prenesená",J387,0)</f>
        <v>0</v>
      </c>
      <c r="BI387" s="130">
        <f>IF(N387="nulová",J387,0)</f>
        <v>0</v>
      </c>
      <c r="BJ387" s="13" t="s">
        <v>76</v>
      </c>
      <c r="BK387" s="130">
        <f>ROUND(I387*H387,2)</f>
        <v>77.349999999999994</v>
      </c>
      <c r="BL387" s="13" t="s">
        <v>235</v>
      </c>
      <c r="BM387" s="129" t="s">
        <v>2201</v>
      </c>
    </row>
    <row r="388" spans="2:65" s="1" customFormat="1" ht="16.5" customHeight="1" x14ac:dyDescent="0.2">
      <c r="B388" s="118"/>
      <c r="C388" s="285" t="s">
        <v>562</v>
      </c>
      <c r="D388" s="285" t="s">
        <v>231</v>
      </c>
      <c r="E388" s="286" t="s">
        <v>2167</v>
      </c>
      <c r="F388" s="240" t="s">
        <v>2168</v>
      </c>
      <c r="G388" s="287" t="s">
        <v>292</v>
      </c>
      <c r="H388" s="288">
        <v>1</v>
      </c>
      <c r="I388" s="289">
        <v>12.19</v>
      </c>
      <c r="J388" s="289">
        <f>ROUND(I388*H388,2)</f>
        <v>12.19</v>
      </c>
      <c r="K388" s="121" t="s">
        <v>1</v>
      </c>
      <c r="L388" s="465"/>
      <c r="M388" s="125"/>
      <c r="N388" s="126"/>
      <c r="O388" s="127"/>
      <c r="P388" s="127"/>
      <c r="Q388" s="127"/>
      <c r="R388" s="127"/>
      <c r="S388" s="127"/>
      <c r="T388" s="128"/>
      <c r="U388" s="461"/>
      <c r="V388" s="464"/>
      <c r="W388" s="199"/>
      <c r="X388" s="285" t="s">
        <v>562</v>
      </c>
      <c r="Y388" s="285" t="s">
        <v>231</v>
      </c>
      <c r="Z388" s="286" t="s">
        <v>2167</v>
      </c>
      <c r="AA388" s="240" t="s">
        <v>2168</v>
      </c>
      <c r="AB388" s="287" t="s">
        <v>292</v>
      </c>
      <c r="AC388" s="288">
        <v>1</v>
      </c>
      <c r="AD388" s="289">
        <v>12.19</v>
      </c>
      <c r="AE388" s="290">
        <f>ROUND(AD388*AC388,2)</f>
        <v>12.19</v>
      </c>
      <c r="AF388" s="227"/>
      <c r="AG388" s="374"/>
      <c r="AH388" s="477"/>
      <c r="AR388" s="129" t="s">
        <v>235</v>
      </c>
      <c r="AT388" s="129" t="s">
        <v>231</v>
      </c>
      <c r="AU388" s="129" t="s">
        <v>76</v>
      </c>
      <c r="AY388" s="13" t="s">
        <v>228</v>
      </c>
      <c r="BE388" s="130">
        <f>IF(N388="základná",J388,0)</f>
        <v>0</v>
      </c>
      <c r="BF388" s="130">
        <f>IF(N388="znížená",J388,0)</f>
        <v>0</v>
      </c>
      <c r="BG388" s="130">
        <f>IF(N388="zákl. prenesená",J388,0)</f>
        <v>0</v>
      </c>
      <c r="BH388" s="130">
        <f>IF(N388="zníž. prenesená",J388,0)</f>
        <v>0</v>
      </c>
      <c r="BI388" s="130">
        <f>IF(N388="nulová",J388,0)</f>
        <v>0</v>
      </c>
      <c r="BJ388" s="13" t="s">
        <v>76</v>
      </c>
      <c r="BK388" s="130">
        <f>ROUND(I388*H388,2)</f>
        <v>12.19</v>
      </c>
      <c r="BL388" s="13" t="s">
        <v>235</v>
      </c>
      <c r="BM388" s="129" t="s">
        <v>2202</v>
      </c>
    </row>
    <row r="389" spans="2:65" s="1" customFormat="1" ht="16.5" customHeight="1" x14ac:dyDescent="0.2">
      <c r="B389" s="118"/>
      <c r="C389" s="285" t="s">
        <v>2203</v>
      </c>
      <c r="D389" s="285" t="s">
        <v>231</v>
      </c>
      <c r="E389" s="286" t="s">
        <v>2179</v>
      </c>
      <c r="F389" s="240" t="s">
        <v>2180</v>
      </c>
      <c r="G389" s="287" t="s">
        <v>1194</v>
      </c>
      <c r="H389" s="288">
        <v>1</v>
      </c>
      <c r="I389" s="289">
        <v>15.59</v>
      </c>
      <c r="J389" s="289">
        <f>ROUND(I389*H389,2)</f>
        <v>15.59</v>
      </c>
      <c r="K389" s="121" t="s">
        <v>1</v>
      </c>
      <c r="L389" s="465"/>
      <c r="M389" s="125"/>
      <c r="N389" s="126"/>
      <c r="O389" s="127"/>
      <c r="P389" s="127"/>
      <c r="Q389" s="127"/>
      <c r="R389" s="127"/>
      <c r="S389" s="127"/>
      <c r="T389" s="128"/>
      <c r="U389" s="461"/>
      <c r="V389" s="464"/>
      <c r="W389" s="199"/>
      <c r="X389" s="285" t="s">
        <v>2203</v>
      </c>
      <c r="Y389" s="285" t="s">
        <v>231</v>
      </c>
      <c r="Z389" s="286" t="s">
        <v>2179</v>
      </c>
      <c r="AA389" s="240" t="s">
        <v>2180</v>
      </c>
      <c r="AB389" s="287" t="s">
        <v>1194</v>
      </c>
      <c r="AC389" s="288">
        <v>1</v>
      </c>
      <c r="AD389" s="289">
        <v>15.59</v>
      </c>
      <c r="AE389" s="290">
        <f>ROUND(AD389*AC389,2)</f>
        <v>15.59</v>
      </c>
      <c r="AF389" s="227"/>
      <c r="AG389" s="374"/>
      <c r="AH389" s="477"/>
      <c r="AR389" s="129" t="s">
        <v>235</v>
      </c>
      <c r="AT389" s="129" t="s">
        <v>231</v>
      </c>
      <c r="AU389" s="129" t="s">
        <v>76</v>
      </c>
      <c r="AY389" s="13" t="s">
        <v>228</v>
      </c>
      <c r="BE389" s="130">
        <f>IF(N389="základná",J389,0)</f>
        <v>0</v>
      </c>
      <c r="BF389" s="130">
        <f>IF(N389="znížená",J389,0)</f>
        <v>0</v>
      </c>
      <c r="BG389" s="130">
        <f>IF(N389="zákl. prenesená",J389,0)</f>
        <v>0</v>
      </c>
      <c r="BH389" s="130">
        <f>IF(N389="zníž. prenesená",J389,0)</f>
        <v>0</v>
      </c>
      <c r="BI389" s="130">
        <f>IF(N389="nulová",J389,0)</f>
        <v>0</v>
      </c>
      <c r="BJ389" s="13" t="s">
        <v>76</v>
      </c>
      <c r="BK389" s="130">
        <f>ROUND(I389*H389,2)</f>
        <v>15.59</v>
      </c>
      <c r="BL389" s="13" t="s">
        <v>235</v>
      </c>
      <c r="BM389" s="129" t="s">
        <v>2204</v>
      </c>
    </row>
    <row r="390" spans="2:65" s="1" customFormat="1" ht="24" customHeight="1" x14ac:dyDescent="0.2">
      <c r="B390" s="118"/>
      <c r="C390" s="285" t="s">
        <v>567</v>
      </c>
      <c r="D390" s="285" t="s">
        <v>231</v>
      </c>
      <c r="E390" s="286" t="s">
        <v>2183</v>
      </c>
      <c r="F390" s="240" t="s">
        <v>2184</v>
      </c>
      <c r="G390" s="287" t="s">
        <v>1194</v>
      </c>
      <c r="H390" s="288">
        <v>1</v>
      </c>
      <c r="I390" s="289">
        <v>46.22</v>
      </c>
      <c r="J390" s="289">
        <f>ROUND(I390*H390,2)</f>
        <v>46.22</v>
      </c>
      <c r="K390" s="121" t="s">
        <v>1</v>
      </c>
      <c r="L390" s="465"/>
      <c r="M390" s="125"/>
      <c r="N390" s="126"/>
      <c r="O390" s="127"/>
      <c r="P390" s="127"/>
      <c r="Q390" s="127"/>
      <c r="R390" s="127"/>
      <c r="S390" s="127"/>
      <c r="T390" s="128"/>
      <c r="U390" s="461"/>
      <c r="V390" s="464"/>
      <c r="W390" s="199"/>
      <c r="X390" s="285" t="s">
        <v>567</v>
      </c>
      <c r="Y390" s="285" t="s">
        <v>231</v>
      </c>
      <c r="Z390" s="286" t="s">
        <v>2183</v>
      </c>
      <c r="AA390" s="240" t="s">
        <v>2184</v>
      </c>
      <c r="AB390" s="287" t="s">
        <v>1194</v>
      </c>
      <c r="AC390" s="288">
        <v>1</v>
      </c>
      <c r="AD390" s="289">
        <v>46.22</v>
      </c>
      <c r="AE390" s="290">
        <f>ROUND(AD390*AC390,2)</f>
        <v>46.22</v>
      </c>
      <c r="AF390" s="227"/>
      <c r="AG390" s="374"/>
      <c r="AH390" s="477"/>
      <c r="AR390" s="129" t="s">
        <v>235</v>
      </c>
      <c r="AT390" s="129" t="s">
        <v>231</v>
      </c>
      <c r="AU390" s="129" t="s">
        <v>76</v>
      </c>
      <c r="AY390" s="13" t="s">
        <v>228</v>
      </c>
      <c r="BE390" s="130">
        <f>IF(N390="základná",J390,0)</f>
        <v>0</v>
      </c>
      <c r="BF390" s="130">
        <f>IF(N390="znížená",J390,0)</f>
        <v>0</v>
      </c>
      <c r="BG390" s="130">
        <f>IF(N390="zákl. prenesená",J390,0)</f>
        <v>0</v>
      </c>
      <c r="BH390" s="130">
        <f>IF(N390="zníž. prenesená",J390,0)</f>
        <v>0</v>
      </c>
      <c r="BI390" s="130">
        <f>IF(N390="nulová",J390,0)</f>
        <v>0</v>
      </c>
      <c r="BJ390" s="13" t="s">
        <v>76</v>
      </c>
      <c r="BK390" s="130">
        <f>ROUND(I390*H390,2)</f>
        <v>46.22</v>
      </c>
      <c r="BL390" s="13" t="s">
        <v>235</v>
      </c>
      <c r="BM390" s="129" t="s">
        <v>2205</v>
      </c>
    </row>
    <row r="391" spans="2:65" s="1" customFormat="1" ht="19.2" x14ac:dyDescent="0.2">
      <c r="B391" s="24"/>
      <c r="C391" s="407"/>
      <c r="D391" s="492" t="s">
        <v>1259</v>
      </c>
      <c r="E391" s="407"/>
      <c r="F391" s="428" t="s">
        <v>2185</v>
      </c>
      <c r="G391" s="407"/>
      <c r="H391" s="407"/>
      <c r="I391" s="407"/>
      <c r="J391" s="407"/>
      <c r="L391" s="24"/>
      <c r="M391" s="146"/>
      <c r="N391" s="42"/>
      <c r="O391" s="42"/>
      <c r="P391" s="42"/>
      <c r="Q391" s="42"/>
      <c r="R391" s="42"/>
      <c r="S391" s="42"/>
      <c r="T391" s="43"/>
      <c r="W391" s="158"/>
      <c r="X391" s="427"/>
      <c r="Y391" s="511" t="s">
        <v>1259</v>
      </c>
      <c r="Z391" s="427"/>
      <c r="AA391" s="505" t="s">
        <v>2185</v>
      </c>
      <c r="AB391" s="427"/>
      <c r="AC391" s="427"/>
      <c r="AD391" s="427"/>
      <c r="AE391" s="512"/>
      <c r="AF391" s="227"/>
      <c r="AG391" s="374"/>
      <c r="AH391" s="477"/>
      <c r="AT391" s="13" t="s">
        <v>1259</v>
      </c>
      <c r="AU391" s="13" t="s">
        <v>76</v>
      </c>
    </row>
    <row r="392" spans="2:65" s="1" customFormat="1" ht="24" customHeight="1" x14ac:dyDescent="0.2">
      <c r="B392" s="118"/>
      <c r="C392" s="285" t="s">
        <v>2206</v>
      </c>
      <c r="D392" s="285" t="s">
        <v>231</v>
      </c>
      <c r="E392" s="286" t="s">
        <v>2186</v>
      </c>
      <c r="F392" s="240" t="s">
        <v>2187</v>
      </c>
      <c r="G392" s="287" t="s">
        <v>1194</v>
      </c>
      <c r="H392" s="288">
        <v>1</v>
      </c>
      <c r="I392" s="289">
        <v>47.02</v>
      </c>
      <c r="J392" s="289">
        <f>ROUND(I392*H392,2)</f>
        <v>47.02</v>
      </c>
      <c r="K392" s="121" t="s">
        <v>1</v>
      </c>
      <c r="L392" s="465"/>
      <c r="M392" s="125"/>
      <c r="N392" s="126"/>
      <c r="O392" s="127"/>
      <c r="P392" s="127"/>
      <c r="Q392" s="127"/>
      <c r="R392" s="127"/>
      <c r="S392" s="127"/>
      <c r="T392" s="128"/>
      <c r="U392" s="461"/>
      <c r="V392" s="464"/>
      <c r="W392" s="199"/>
      <c r="X392" s="285" t="s">
        <v>2206</v>
      </c>
      <c r="Y392" s="285" t="s">
        <v>231</v>
      </c>
      <c r="Z392" s="286" t="s">
        <v>2186</v>
      </c>
      <c r="AA392" s="240" t="s">
        <v>2187</v>
      </c>
      <c r="AB392" s="287" t="s">
        <v>1194</v>
      </c>
      <c r="AC392" s="288">
        <v>1</v>
      </c>
      <c r="AD392" s="289">
        <v>47.02</v>
      </c>
      <c r="AE392" s="290">
        <f>ROUND(AD392*AC392,2)</f>
        <v>47.02</v>
      </c>
      <c r="AF392" s="227"/>
      <c r="AG392" s="374"/>
      <c r="AH392" s="477"/>
      <c r="AR392" s="129" t="s">
        <v>235</v>
      </c>
      <c r="AT392" s="129" t="s">
        <v>231</v>
      </c>
      <c r="AU392" s="129" t="s">
        <v>76</v>
      </c>
      <c r="AY392" s="13" t="s">
        <v>228</v>
      </c>
      <c r="BE392" s="130">
        <f>IF(N392="základná",J392,0)</f>
        <v>0</v>
      </c>
      <c r="BF392" s="130">
        <f>IF(N392="znížená",J392,0)</f>
        <v>0</v>
      </c>
      <c r="BG392" s="130">
        <f>IF(N392="zákl. prenesená",J392,0)</f>
        <v>0</v>
      </c>
      <c r="BH392" s="130">
        <f>IF(N392="zníž. prenesená",J392,0)</f>
        <v>0</v>
      </c>
      <c r="BI392" s="130">
        <f>IF(N392="nulová",J392,0)</f>
        <v>0</v>
      </c>
      <c r="BJ392" s="13" t="s">
        <v>76</v>
      </c>
      <c r="BK392" s="130">
        <f>ROUND(I392*H392,2)</f>
        <v>47.02</v>
      </c>
      <c r="BL392" s="13" t="s">
        <v>235</v>
      </c>
      <c r="BM392" s="129" t="s">
        <v>2207</v>
      </c>
    </row>
    <row r="393" spans="2:65" s="1" customFormat="1" ht="24" customHeight="1" x14ac:dyDescent="0.2">
      <c r="B393" s="118"/>
      <c r="C393" s="285" t="s">
        <v>571</v>
      </c>
      <c r="D393" s="285" t="s">
        <v>231</v>
      </c>
      <c r="E393" s="286" t="s">
        <v>2188</v>
      </c>
      <c r="F393" s="240" t="s">
        <v>2189</v>
      </c>
      <c r="G393" s="287" t="s">
        <v>1194</v>
      </c>
      <c r="H393" s="288">
        <v>1</v>
      </c>
      <c r="I393" s="289">
        <v>38.19</v>
      </c>
      <c r="J393" s="289">
        <f>ROUND(I393*H393,2)</f>
        <v>38.19</v>
      </c>
      <c r="K393" s="121" t="s">
        <v>1</v>
      </c>
      <c r="L393" s="465"/>
      <c r="M393" s="125"/>
      <c r="N393" s="126"/>
      <c r="O393" s="127"/>
      <c r="P393" s="127"/>
      <c r="Q393" s="127"/>
      <c r="R393" s="127"/>
      <c r="S393" s="127"/>
      <c r="T393" s="128"/>
      <c r="U393" s="461"/>
      <c r="V393" s="464"/>
      <c r="W393" s="199"/>
      <c r="X393" s="285" t="s">
        <v>571</v>
      </c>
      <c r="Y393" s="285" t="s">
        <v>231</v>
      </c>
      <c r="Z393" s="286" t="s">
        <v>2188</v>
      </c>
      <c r="AA393" s="240" t="s">
        <v>2189</v>
      </c>
      <c r="AB393" s="287" t="s">
        <v>1194</v>
      </c>
      <c r="AC393" s="288">
        <v>1</v>
      </c>
      <c r="AD393" s="289">
        <v>38.19</v>
      </c>
      <c r="AE393" s="290">
        <f>ROUND(AD393*AC393,2)</f>
        <v>38.19</v>
      </c>
      <c r="AF393" s="227"/>
      <c r="AG393" s="374"/>
      <c r="AH393" s="477"/>
      <c r="AR393" s="129" t="s">
        <v>235</v>
      </c>
      <c r="AT393" s="129" t="s">
        <v>231</v>
      </c>
      <c r="AU393" s="129" t="s">
        <v>76</v>
      </c>
      <c r="AY393" s="13" t="s">
        <v>228</v>
      </c>
      <c r="BE393" s="130">
        <f>IF(N393="základná",J393,0)</f>
        <v>0</v>
      </c>
      <c r="BF393" s="130">
        <f>IF(N393="znížená",J393,0)</f>
        <v>0</v>
      </c>
      <c r="BG393" s="130">
        <f>IF(N393="zákl. prenesená",J393,0)</f>
        <v>0</v>
      </c>
      <c r="BH393" s="130">
        <f>IF(N393="zníž. prenesená",J393,0)</f>
        <v>0</v>
      </c>
      <c r="BI393" s="130">
        <f>IF(N393="nulová",J393,0)</f>
        <v>0</v>
      </c>
      <c r="BJ393" s="13" t="s">
        <v>76</v>
      </c>
      <c r="BK393" s="130">
        <f>ROUND(I393*H393,2)</f>
        <v>38.19</v>
      </c>
      <c r="BL393" s="13" t="s">
        <v>235</v>
      </c>
      <c r="BM393" s="129" t="s">
        <v>2208</v>
      </c>
    </row>
    <row r="394" spans="2:65" s="1" customFormat="1" ht="19.2" x14ac:dyDescent="0.2">
      <c r="B394" s="24"/>
      <c r="C394" s="407"/>
      <c r="D394" s="492" t="s">
        <v>1259</v>
      </c>
      <c r="E394" s="407"/>
      <c r="F394" s="428" t="s">
        <v>2185</v>
      </c>
      <c r="G394" s="407"/>
      <c r="H394" s="407"/>
      <c r="I394" s="407"/>
      <c r="J394" s="407"/>
      <c r="L394" s="24"/>
      <c r="M394" s="146"/>
      <c r="N394" s="42"/>
      <c r="O394" s="42"/>
      <c r="P394" s="42"/>
      <c r="Q394" s="42"/>
      <c r="R394" s="42"/>
      <c r="S394" s="42"/>
      <c r="T394" s="43"/>
      <c r="W394" s="158"/>
      <c r="X394" s="427"/>
      <c r="Y394" s="511" t="s">
        <v>1259</v>
      </c>
      <c r="Z394" s="427"/>
      <c r="AA394" s="505" t="s">
        <v>2185</v>
      </c>
      <c r="AB394" s="427"/>
      <c r="AC394" s="427"/>
      <c r="AD394" s="427"/>
      <c r="AE394" s="512"/>
      <c r="AF394" s="227"/>
      <c r="AG394" s="374"/>
      <c r="AH394" s="477"/>
      <c r="AT394" s="13" t="s">
        <v>1259</v>
      </c>
      <c r="AU394" s="13" t="s">
        <v>76</v>
      </c>
    </row>
    <row r="395" spans="2:65" s="1" customFormat="1" ht="24" customHeight="1" x14ac:dyDescent="0.2">
      <c r="B395" s="118"/>
      <c r="C395" s="285" t="s">
        <v>2209</v>
      </c>
      <c r="D395" s="285" t="s">
        <v>231</v>
      </c>
      <c r="E395" s="286" t="s">
        <v>2210</v>
      </c>
      <c r="F395" s="240" t="s">
        <v>2211</v>
      </c>
      <c r="G395" s="287" t="s">
        <v>1194</v>
      </c>
      <c r="H395" s="288">
        <v>1</v>
      </c>
      <c r="I395" s="289">
        <v>26.13</v>
      </c>
      <c r="J395" s="289">
        <f>ROUND(I395*H395,2)</f>
        <v>26.13</v>
      </c>
      <c r="K395" s="121" t="s">
        <v>1</v>
      </c>
      <c r="L395" s="465"/>
      <c r="M395" s="125"/>
      <c r="N395" s="126"/>
      <c r="O395" s="127"/>
      <c r="P395" s="127"/>
      <c r="Q395" s="127"/>
      <c r="R395" s="127"/>
      <c r="S395" s="127"/>
      <c r="T395" s="128"/>
      <c r="U395" s="461"/>
      <c r="V395" s="464"/>
      <c r="W395" s="199"/>
      <c r="X395" s="285" t="s">
        <v>2209</v>
      </c>
      <c r="Y395" s="285" t="s">
        <v>231</v>
      </c>
      <c r="Z395" s="286" t="s">
        <v>2210</v>
      </c>
      <c r="AA395" s="240" t="s">
        <v>2211</v>
      </c>
      <c r="AB395" s="287" t="s">
        <v>1194</v>
      </c>
      <c r="AC395" s="288">
        <v>1</v>
      </c>
      <c r="AD395" s="289">
        <v>26.13</v>
      </c>
      <c r="AE395" s="290">
        <f>ROUND(AD395*AC395,2)</f>
        <v>26.13</v>
      </c>
      <c r="AF395" s="227"/>
      <c r="AG395" s="374"/>
      <c r="AH395" s="477"/>
      <c r="AR395" s="129" t="s">
        <v>235</v>
      </c>
      <c r="AT395" s="129" t="s">
        <v>231</v>
      </c>
      <c r="AU395" s="129" t="s">
        <v>76</v>
      </c>
      <c r="AY395" s="13" t="s">
        <v>228</v>
      </c>
      <c r="BE395" s="130">
        <f>IF(N395="základná",J395,0)</f>
        <v>0</v>
      </c>
      <c r="BF395" s="130">
        <f>IF(N395="znížená",J395,0)</f>
        <v>0</v>
      </c>
      <c r="BG395" s="130">
        <f>IF(N395="zákl. prenesená",J395,0)</f>
        <v>0</v>
      </c>
      <c r="BH395" s="130">
        <f>IF(N395="zníž. prenesená",J395,0)</f>
        <v>0</v>
      </c>
      <c r="BI395" s="130">
        <f>IF(N395="nulová",J395,0)</f>
        <v>0</v>
      </c>
      <c r="BJ395" s="13" t="s">
        <v>76</v>
      </c>
      <c r="BK395" s="130">
        <f>ROUND(I395*H395,2)</f>
        <v>26.13</v>
      </c>
      <c r="BL395" s="13" t="s">
        <v>235</v>
      </c>
      <c r="BM395" s="129" t="s">
        <v>2212</v>
      </c>
    </row>
    <row r="396" spans="2:65" s="1" customFormat="1" ht="24" customHeight="1" x14ac:dyDescent="0.2">
      <c r="B396" s="118"/>
      <c r="C396" s="285" t="s">
        <v>577</v>
      </c>
      <c r="D396" s="285" t="s">
        <v>231</v>
      </c>
      <c r="E396" s="286" t="s">
        <v>2192</v>
      </c>
      <c r="F396" s="240" t="s">
        <v>2193</v>
      </c>
      <c r="G396" s="287" t="s">
        <v>1194</v>
      </c>
      <c r="H396" s="288">
        <v>1</v>
      </c>
      <c r="I396" s="289">
        <v>32.97</v>
      </c>
      <c r="J396" s="289">
        <f>ROUND(I396*H396,2)</f>
        <v>32.97</v>
      </c>
      <c r="K396" s="121" t="s">
        <v>1</v>
      </c>
      <c r="L396" s="465"/>
      <c r="M396" s="125"/>
      <c r="N396" s="126"/>
      <c r="O396" s="127"/>
      <c r="P396" s="127"/>
      <c r="Q396" s="127"/>
      <c r="R396" s="127"/>
      <c r="S396" s="127"/>
      <c r="T396" s="128"/>
      <c r="U396" s="461"/>
      <c r="V396" s="464"/>
      <c r="W396" s="199"/>
      <c r="X396" s="285" t="s">
        <v>577</v>
      </c>
      <c r="Y396" s="285" t="s">
        <v>231</v>
      </c>
      <c r="Z396" s="286" t="s">
        <v>2192</v>
      </c>
      <c r="AA396" s="240" t="s">
        <v>2193</v>
      </c>
      <c r="AB396" s="287" t="s">
        <v>1194</v>
      </c>
      <c r="AC396" s="288">
        <v>1</v>
      </c>
      <c r="AD396" s="289">
        <v>32.97</v>
      </c>
      <c r="AE396" s="290">
        <f>ROUND(AD396*AC396,2)</f>
        <v>32.97</v>
      </c>
      <c r="AF396" s="227"/>
      <c r="AG396" s="374"/>
      <c r="AH396" s="477"/>
      <c r="AR396" s="129" t="s">
        <v>235</v>
      </c>
      <c r="AT396" s="129" t="s">
        <v>231</v>
      </c>
      <c r="AU396" s="129" t="s">
        <v>76</v>
      </c>
      <c r="AY396" s="13" t="s">
        <v>228</v>
      </c>
      <c r="BE396" s="130">
        <f>IF(N396="základná",J396,0)</f>
        <v>0</v>
      </c>
      <c r="BF396" s="130">
        <f>IF(N396="znížená",J396,0)</f>
        <v>0</v>
      </c>
      <c r="BG396" s="130">
        <f>IF(N396="zákl. prenesená",J396,0)</f>
        <v>0</v>
      </c>
      <c r="BH396" s="130">
        <f>IF(N396="zníž. prenesená",J396,0)</f>
        <v>0</v>
      </c>
      <c r="BI396" s="130">
        <f>IF(N396="nulová",J396,0)</f>
        <v>0</v>
      </c>
      <c r="BJ396" s="13" t="s">
        <v>76</v>
      </c>
      <c r="BK396" s="130">
        <f>ROUND(I396*H396,2)</f>
        <v>32.97</v>
      </c>
      <c r="BL396" s="13" t="s">
        <v>235</v>
      </c>
      <c r="BM396" s="129" t="s">
        <v>2213</v>
      </c>
    </row>
    <row r="397" spans="2:65" s="1" customFormat="1" ht="19.2" x14ac:dyDescent="0.2">
      <c r="B397" s="24"/>
      <c r="C397" s="407"/>
      <c r="D397" s="492" t="s">
        <v>1259</v>
      </c>
      <c r="E397" s="407"/>
      <c r="F397" s="428" t="s">
        <v>2185</v>
      </c>
      <c r="G397" s="407"/>
      <c r="H397" s="407"/>
      <c r="I397" s="407"/>
      <c r="J397" s="407"/>
      <c r="L397" s="24"/>
      <c r="M397" s="146"/>
      <c r="N397" s="42"/>
      <c r="O397" s="42"/>
      <c r="P397" s="42"/>
      <c r="Q397" s="42"/>
      <c r="R397" s="42"/>
      <c r="S397" s="42"/>
      <c r="T397" s="43"/>
      <c r="W397" s="158"/>
      <c r="X397" s="427"/>
      <c r="Y397" s="511" t="s">
        <v>1259</v>
      </c>
      <c r="Z397" s="427"/>
      <c r="AA397" s="505" t="s">
        <v>2185</v>
      </c>
      <c r="AB397" s="427"/>
      <c r="AC397" s="427"/>
      <c r="AD397" s="427"/>
      <c r="AE397" s="512"/>
      <c r="AF397" s="227"/>
      <c r="AG397" s="374"/>
      <c r="AH397" s="477"/>
      <c r="AT397" s="13" t="s">
        <v>1259</v>
      </c>
      <c r="AU397" s="13" t="s">
        <v>76</v>
      </c>
    </row>
    <row r="398" spans="2:65" s="1" customFormat="1" ht="16.5" customHeight="1" x14ac:dyDescent="0.2">
      <c r="B398" s="118"/>
      <c r="C398" s="285" t="s">
        <v>2214</v>
      </c>
      <c r="D398" s="285" t="s">
        <v>231</v>
      </c>
      <c r="E398" s="286" t="s">
        <v>2215</v>
      </c>
      <c r="F398" s="240" t="s">
        <v>2216</v>
      </c>
      <c r="G398" s="287" t="s">
        <v>1194</v>
      </c>
      <c r="H398" s="288">
        <v>3</v>
      </c>
      <c r="I398" s="289">
        <v>31.71</v>
      </c>
      <c r="J398" s="289">
        <f>ROUND(I398*H398,2)</f>
        <v>95.13</v>
      </c>
      <c r="K398" s="121" t="s">
        <v>1</v>
      </c>
      <c r="L398" s="465"/>
      <c r="M398" s="125"/>
      <c r="N398" s="126"/>
      <c r="O398" s="127"/>
      <c r="P398" s="127"/>
      <c r="Q398" s="127"/>
      <c r="R398" s="127"/>
      <c r="S398" s="127"/>
      <c r="T398" s="128"/>
      <c r="U398" s="461"/>
      <c r="V398" s="464"/>
      <c r="W398" s="199"/>
      <c r="X398" s="285" t="s">
        <v>2214</v>
      </c>
      <c r="Y398" s="285" t="s">
        <v>231</v>
      </c>
      <c r="Z398" s="286" t="s">
        <v>2215</v>
      </c>
      <c r="AA398" s="240" t="s">
        <v>2216</v>
      </c>
      <c r="AB398" s="287" t="s">
        <v>1194</v>
      </c>
      <c r="AC398" s="288">
        <v>3</v>
      </c>
      <c r="AD398" s="289">
        <v>31.71</v>
      </c>
      <c r="AE398" s="290">
        <f>ROUND(AD398*AC398,2)</f>
        <v>95.13</v>
      </c>
      <c r="AF398" s="227"/>
      <c r="AG398" s="374"/>
      <c r="AH398" s="477"/>
      <c r="AR398" s="129" t="s">
        <v>235</v>
      </c>
      <c r="AT398" s="129" t="s">
        <v>231</v>
      </c>
      <c r="AU398" s="129" t="s">
        <v>76</v>
      </c>
      <c r="AY398" s="13" t="s">
        <v>228</v>
      </c>
      <c r="BE398" s="130">
        <f>IF(N398="základná",J398,0)</f>
        <v>0</v>
      </c>
      <c r="BF398" s="130">
        <f>IF(N398="znížená",J398,0)</f>
        <v>0</v>
      </c>
      <c r="BG398" s="130">
        <f>IF(N398="zákl. prenesená",J398,0)</f>
        <v>0</v>
      </c>
      <c r="BH398" s="130">
        <f>IF(N398="zníž. prenesená",J398,0)</f>
        <v>0</v>
      </c>
      <c r="BI398" s="130">
        <f>IF(N398="nulová",J398,0)</f>
        <v>0</v>
      </c>
      <c r="BJ398" s="13" t="s">
        <v>76</v>
      </c>
      <c r="BK398" s="130">
        <f>ROUND(I398*H398,2)</f>
        <v>95.13</v>
      </c>
      <c r="BL398" s="13" t="s">
        <v>235</v>
      </c>
      <c r="BM398" s="129" t="s">
        <v>2217</v>
      </c>
    </row>
    <row r="399" spans="2:65" s="11" customFormat="1" ht="25.95" customHeight="1" x14ac:dyDescent="0.25">
      <c r="B399" s="106"/>
      <c r="C399" s="292"/>
      <c r="D399" s="489" t="s">
        <v>57</v>
      </c>
      <c r="E399" s="501" t="s">
        <v>2218</v>
      </c>
      <c r="F399" s="501" t="s">
        <v>2219</v>
      </c>
      <c r="G399" s="292"/>
      <c r="H399" s="292"/>
      <c r="I399" s="292"/>
      <c r="J399" s="502">
        <f>BK399</f>
        <v>410.65</v>
      </c>
      <c r="L399" s="106"/>
      <c r="M399" s="110"/>
      <c r="N399" s="111"/>
      <c r="O399" s="111"/>
      <c r="P399" s="112">
        <f>P400+SUM(P401:P404)</f>
        <v>0</v>
      </c>
      <c r="Q399" s="111"/>
      <c r="R399" s="112">
        <f>R400+SUM(R401:R404)</f>
        <v>0</v>
      </c>
      <c r="S399" s="111"/>
      <c r="T399" s="113">
        <f>T400+SUM(T401:T404)</f>
        <v>0</v>
      </c>
      <c r="W399" s="195"/>
      <c r="X399" s="347"/>
      <c r="Y399" s="506" t="s">
        <v>57</v>
      </c>
      <c r="Z399" s="429" t="s">
        <v>2218</v>
      </c>
      <c r="AA399" s="429" t="s">
        <v>2219</v>
      </c>
      <c r="AB399" s="347"/>
      <c r="AC399" s="347"/>
      <c r="AD399" s="347"/>
      <c r="AE399" s="513">
        <f>SUM(AE400:AE402)+AE404</f>
        <v>410.65</v>
      </c>
      <c r="AF399" s="227"/>
      <c r="AG399" s="374"/>
      <c r="AH399" s="477"/>
      <c r="AR399" s="107" t="s">
        <v>63</v>
      </c>
      <c r="AT399" s="114" t="s">
        <v>57</v>
      </c>
      <c r="AU399" s="114" t="s">
        <v>58</v>
      </c>
      <c r="AY399" s="107" t="s">
        <v>228</v>
      </c>
      <c r="BK399" s="115">
        <f>BK400+SUM(BK401:BK404)</f>
        <v>410.65</v>
      </c>
    </row>
    <row r="400" spans="2:65" s="1" customFormat="1" ht="16.5" customHeight="1" x14ac:dyDescent="0.2">
      <c r="B400" s="118"/>
      <c r="C400" s="285" t="s">
        <v>580</v>
      </c>
      <c r="D400" s="285" t="s">
        <v>231</v>
      </c>
      <c r="E400" s="286" t="s">
        <v>2220</v>
      </c>
      <c r="F400" s="240" t="s">
        <v>2221</v>
      </c>
      <c r="G400" s="287" t="s">
        <v>1194</v>
      </c>
      <c r="H400" s="288">
        <v>2</v>
      </c>
      <c r="I400" s="289">
        <v>53.81</v>
      </c>
      <c r="J400" s="289">
        <f>ROUND(I400*H400,2)</f>
        <v>107.62</v>
      </c>
      <c r="K400" s="121" t="s">
        <v>1</v>
      </c>
      <c r="L400" s="465"/>
      <c r="M400" s="125"/>
      <c r="N400" s="126"/>
      <c r="O400" s="127"/>
      <c r="P400" s="127"/>
      <c r="Q400" s="127"/>
      <c r="R400" s="127"/>
      <c r="S400" s="127"/>
      <c r="T400" s="128"/>
      <c r="U400" s="461"/>
      <c r="V400" s="464"/>
      <c r="W400" s="199"/>
      <c r="X400" s="285" t="s">
        <v>580</v>
      </c>
      <c r="Y400" s="285" t="s">
        <v>231</v>
      </c>
      <c r="Z400" s="286" t="s">
        <v>2220</v>
      </c>
      <c r="AA400" s="240" t="s">
        <v>2221</v>
      </c>
      <c r="AB400" s="287" t="s">
        <v>1194</v>
      </c>
      <c r="AC400" s="288">
        <v>2</v>
      </c>
      <c r="AD400" s="289">
        <v>53.81</v>
      </c>
      <c r="AE400" s="290">
        <f>ROUND(AD400*AC400,2)</f>
        <v>107.62</v>
      </c>
      <c r="AF400" s="227"/>
      <c r="AG400" s="374"/>
      <c r="AH400" s="477"/>
      <c r="AR400" s="129" t="s">
        <v>235</v>
      </c>
      <c r="AT400" s="129" t="s">
        <v>231</v>
      </c>
      <c r="AU400" s="129" t="s">
        <v>63</v>
      </c>
      <c r="AY400" s="13" t="s">
        <v>228</v>
      </c>
      <c r="BE400" s="130">
        <f>IF(N400="základná",J400,0)</f>
        <v>0</v>
      </c>
      <c r="BF400" s="130">
        <f>IF(N400="znížená",J400,0)</f>
        <v>0</v>
      </c>
      <c r="BG400" s="130">
        <f>IF(N400="zákl. prenesená",J400,0)</f>
        <v>0</v>
      </c>
      <c r="BH400" s="130">
        <f>IF(N400="zníž. prenesená",J400,0)</f>
        <v>0</v>
      </c>
      <c r="BI400" s="130">
        <f>IF(N400="nulová",J400,0)</f>
        <v>0</v>
      </c>
      <c r="BJ400" s="13" t="s">
        <v>76</v>
      </c>
      <c r="BK400" s="130">
        <f>ROUND(I400*H400,2)</f>
        <v>107.62</v>
      </c>
      <c r="BL400" s="13" t="s">
        <v>235</v>
      </c>
      <c r="BM400" s="129" t="s">
        <v>2222</v>
      </c>
    </row>
    <row r="401" spans="2:65" s="1" customFormat="1" ht="20.399999999999999" x14ac:dyDescent="0.2">
      <c r="B401" s="24"/>
      <c r="C401" s="407"/>
      <c r="D401" s="492" t="s">
        <v>1259</v>
      </c>
      <c r="E401" s="407"/>
      <c r="F401" s="503" t="s">
        <v>2223</v>
      </c>
      <c r="G401" s="407"/>
      <c r="H401" s="407"/>
      <c r="I401" s="407"/>
      <c r="J401" s="407"/>
      <c r="L401" s="24"/>
      <c r="M401" s="146"/>
      <c r="N401" s="42"/>
      <c r="O401" s="42"/>
      <c r="P401" s="42"/>
      <c r="Q401" s="42"/>
      <c r="R401" s="42"/>
      <c r="S401" s="42"/>
      <c r="T401" s="43"/>
      <c r="W401" s="158"/>
      <c r="X401" s="427"/>
      <c r="Y401" s="511" t="s">
        <v>1259</v>
      </c>
      <c r="Z401" s="427"/>
      <c r="AA401" s="514" t="s">
        <v>2223</v>
      </c>
      <c r="AB401" s="427"/>
      <c r="AC401" s="427"/>
      <c r="AD401" s="427"/>
      <c r="AE401" s="512"/>
      <c r="AF401" s="227"/>
      <c r="AG401" s="374"/>
      <c r="AH401" s="477"/>
      <c r="AT401" s="13" t="s">
        <v>1259</v>
      </c>
      <c r="AU401" s="13" t="s">
        <v>63</v>
      </c>
    </row>
    <row r="402" spans="2:65" s="1" customFormat="1" ht="16.5" customHeight="1" x14ac:dyDescent="0.2">
      <c r="B402" s="118"/>
      <c r="C402" s="285" t="s">
        <v>2224</v>
      </c>
      <c r="D402" s="285" t="s">
        <v>231</v>
      </c>
      <c r="E402" s="286" t="s">
        <v>2225</v>
      </c>
      <c r="F402" s="240" t="s">
        <v>2226</v>
      </c>
      <c r="G402" s="287" t="s">
        <v>1194</v>
      </c>
      <c r="H402" s="288">
        <v>2</v>
      </c>
      <c r="I402" s="289">
        <v>80.22</v>
      </c>
      <c r="J402" s="289">
        <f>ROUND(I402*H402,2)</f>
        <v>160.44</v>
      </c>
      <c r="K402" s="121" t="s">
        <v>1</v>
      </c>
      <c r="L402" s="465"/>
      <c r="M402" s="125"/>
      <c r="N402" s="126"/>
      <c r="O402" s="127"/>
      <c r="P402" s="127"/>
      <c r="Q402" s="127"/>
      <c r="R402" s="127"/>
      <c r="S402" s="127"/>
      <c r="T402" s="128"/>
      <c r="U402" s="461"/>
      <c r="V402" s="464"/>
      <c r="W402" s="199"/>
      <c r="X402" s="285" t="s">
        <v>2224</v>
      </c>
      <c r="Y402" s="285" t="s">
        <v>231</v>
      </c>
      <c r="Z402" s="286" t="s">
        <v>2225</v>
      </c>
      <c r="AA402" s="240" t="s">
        <v>2226</v>
      </c>
      <c r="AB402" s="287" t="s">
        <v>1194</v>
      </c>
      <c r="AC402" s="288">
        <v>2</v>
      </c>
      <c r="AD402" s="289">
        <v>80.22</v>
      </c>
      <c r="AE402" s="290">
        <f>ROUND(AD402*AC402,2)</f>
        <v>160.44</v>
      </c>
      <c r="AF402" s="227"/>
      <c r="AG402" s="374"/>
      <c r="AH402" s="477"/>
      <c r="AR402" s="129" t="s">
        <v>235</v>
      </c>
      <c r="AT402" s="129" t="s">
        <v>231</v>
      </c>
      <c r="AU402" s="129" t="s">
        <v>63</v>
      </c>
      <c r="AY402" s="13" t="s">
        <v>228</v>
      </c>
      <c r="BE402" s="130">
        <f>IF(N402="základná",J402,0)</f>
        <v>0</v>
      </c>
      <c r="BF402" s="130">
        <f>IF(N402="znížená",J402,0)</f>
        <v>0</v>
      </c>
      <c r="BG402" s="130">
        <f>IF(N402="zákl. prenesená",J402,0)</f>
        <v>0</v>
      </c>
      <c r="BH402" s="130">
        <f>IF(N402="zníž. prenesená",J402,0)</f>
        <v>0</v>
      </c>
      <c r="BI402" s="130">
        <f>IF(N402="nulová",J402,0)</f>
        <v>0</v>
      </c>
      <c r="BJ402" s="13" t="s">
        <v>76</v>
      </c>
      <c r="BK402" s="130">
        <f>ROUND(I402*H402,2)</f>
        <v>160.44</v>
      </c>
      <c r="BL402" s="13" t="s">
        <v>235</v>
      </c>
      <c r="BM402" s="129" t="s">
        <v>2227</v>
      </c>
    </row>
    <row r="403" spans="2:65" s="1" customFormat="1" ht="19.2" x14ac:dyDescent="0.2">
      <c r="B403" s="24"/>
      <c r="C403" s="407"/>
      <c r="D403" s="492" t="s">
        <v>1259</v>
      </c>
      <c r="E403" s="407"/>
      <c r="F403" s="428" t="s">
        <v>2228</v>
      </c>
      <c r="G403" s="407"/>
      <c r="H403" s="407"/>
      <c r="I403" s="407"/>
      <c r="J403" s="407"/>
      <c r="L403" s="24"/>
      <c r="M403" s="146"/>
      <c r="N403" s="42"/>
      <c r="O403" s="42"/>
      <c r="P403" s="42"/>
      <c r="Q403" s="42"/>
      <c r="R403" s="42"/>
      <c r="S403" s="42"/>
      <c r="T403" s="43"/>
      <c r="W403" s="158"/>
      <c r="X403" s="427"/>
      <c r="Y403" s="511" t="s">
        <v>1259</v>
      </c>
      <c r="Z403" s="427"/>
      <c r="AA403" s="505" t="s">
        <v>2228</v>
      </c>
      <c r="AB403" s="427"/>
      <c r="AC403" s="427"/>
      <c r="AD403" s="427"/>
      <c r="AE403" s="512"/>
      <c r="AF403" s="227"/>
      <c r="AG403" s="374"/>
      <c r="AH403" s="477"/>
      <c r="AT403" s="13" t="s">
        <v>1259</v>
      </c>
      <c r="AU403" s="13" t="s">
        <v>63</v>
      </c>
    </row>
    <row r="404" spans="2:65" s="11" customFormat="1" ht="22.95" customHeight="1" x14ac:dyDescent="0.25">
      <c r="B404" s="106"/>
      <c r="C404" s="292"/>
      <c r="D404" s="489" t="s">
        <v>57</v>
      </c>
      <c r="E404" s="490" t="s">
        <v>2229</v>
      </c>
      <c r="F404" s="490" t="s">
        <v>2230</v>
      </c>
      <c r="G404" s="292"/>
      <c r="H404" s="292"/>
      <c r="I404" s="292"/>
      <c r="J404" s="491">
        <f>BK404</f>
        <v>142.59</v>
      </c>
      <c r="L404" s="106"/>
      <c r="M404" s="110"/>
      <c r="N404" s="111"/>
      <c r="O404" s="111"/>
      <c r="P404" s="112"/>
      <c r="Q404" s="111"/>
      <c r="R404" s="112"/>
      <c r="S404" s="111"/>
      <c r="T404" s="113"/>
      <c r="W404" s="195"/>
      <c r="X404" s="347"/>
      <c r="Y404" s="506" t="s">
        <v>57</v>
      </c>
      <c r="Z404" s="507" t="s">
        <v>2229</v>
      </c>
      <c r="AA404" s="507" t="s">
        <v>2230</v>
      </c>
      <c r="AB404" s="347"/>
      <c r="AC404" s="347"/>
      <c r="AD404" s="347"/>
      <c r="AE404" s="510">
        <f>SUM(AE405:AE411)</f>
        <v>142.59</v>
      </c>
      <c r="AF404" s="227"/>
      <c r="AG404" s="374"/>
      <c r="AH404" s="477"/>
      <c r="AR404" s="107" t="s">
        <v>63</v>
      </c>
      <c r="AT404" s="114" t="s">
        <v>57</v>
      </c>
      <c r="AU404" s="114" t="s">
        <v>63</v>
      </c>
      <c r="AY404" s="107" t="s">
        <v>228</v>
      </c>
      <c r="BK404" s="115">
        <f>SUM(BK405:BK411)</f>
        <v>142.59</v>
      </c>
    </row>
    <row r="405" spans="2:65" s="1" customFormat="1" ht="16.5" customHeight="1" x14ac:dyDescent="0.2">
      <c r="B405" s="118"/>
      <c r="C405" s="285" t="s">
        <v>585</v>
      </c>
      <c r="D405" s="285" t="s">
        <v>231</v>
      </c>
      <c r="E405" s="286" t="s">
        <v>2231</v>
      </c>
      <c r="F405" s="240" t="s">
        <v>2232</v>
      </c>
      <c r="G405" s="287" t="s">
        <v>292</v>
      </c>
      <c r="H405" s="288">
        <v>6</v>
      </c>
      <c r="I405" s="289">
        <v>5.3</v>
      </c>
      <c r="J405" s="289">
        <f t="shared" ref="J405:J411" si="89">ROUND(I405*H405,2)</f>
        <v>31.8</v>
      </c>
      <c r="K405" s="121" t="s">
        <v>1</v>
      </c>
      <c r="L405" s="465"/>
      <c r="M405" s="125"/>
      <c r="N405" s="126"/>
      <c r="O405" s="127"/>
      <c r="P405" s="127"/>
      <c r="Q405" s="127"/>
      <c r="R405" s="127"/>
      <c r="S405" s="127"/>
      <c r="T405" s="128"/>
      <c r="U405" s="461"/>
      <c r="V405" s="464"/>
      <c r="W405" s="199"/>
      <c r="X405" s="285" t="s">
        <v>585</v>
      </c>
      <c r="Y405" s="285" t="s">
        <v>231</v>
      </c>
      <c r="Z405" s="286" t="s">
        <v>2231</v>
      </c>
      <c r="AA405" s="240" t="s">
        <v>2232</v>
      </c>
      <c r="AB405" s="287" t="s">
        <v>292</v>
      </c>
      <c r="AC405" s="288">
        <v>6</v>
      </c>
      <c r="AD405" s="289">
        <v>5.3</v>
      </c>
      <c r="AE405" s="290">
        <f t="shared" ref="AE405:AE411" si="90">ROUND(AD405*AC405,2)</f>
        <v>31.8</v>
      </c>
      <c r="AF405" s="227"/>
      <c r="AG405" s="374"/>
      <c r="AH405" s="477"/>
      <c r="AR405" s="129" t="s">
        <v>235</v>
      </c>
      <c r="AT405" s="129" t="s">
        <v>231</v>
      </c>
      <c r="AU405" s="129" t="s">
        <v>76</v>
      </c>
      <c r="AY405" s="13" t="s">
        <v>228</v>
      </c>
      <c r="BE405" s="130">
        <f t="shared" ref="BE405:BE411" si="91">IF(N405="základná",J405,0)</f>
        <v>0</v>
      </c>
      <c r="BF405" s="130">
        <f t="shared" ref="BF405:BF411" si="92">IF(N405="znížená",J405,0)</f>
        <v>0</v>
      </c>
      <c r="BG405" s="130">
        <f t="shared" ref="BG405:BG411" si="93">IF(N405="zákl. prenesená",J405,0)</f>
        <v>0</v>
      </c>
      <c r="BH405" s="130">
        <f t="shared" ref="BH405:BH411" si="94">IF(N405="zníž. prenesená",J405,0)</f>
        <v>0</v>
      </c>
      <c r="BI405" s="130">
        <f t="shared" ref="BI405:BI411" si="95">IF(N405="nulová",J405,0)</f>
        <v>0</v>
      </c>
      <c r="BJ405" s="13" t="s">
        <v>76</v>
      </c>
      <c r="BK405" s="130">
        <f t="shared" ref="BK405:BK411" si="96">ROUND(I405*H405,2)</f>
        <v>31.8</v>
      </c>
      <c r="BL405" s="13" t="s">
        <v>235</v>
      </c>
      <c r="BM405" s="129" t="s">
        <v>2233</v>
      </c>
    </row>
    <row r="406" spans="2:65" s="1" customFormat="1" ht="16.5" customHeight="1" x14ac:dyDescent="0.2">
      <c r="B406" s="118"/>
      <c r="C406" s="285" t="s">
        <v>2234</v>
      </c>
      <c r="D406" s="285" t="s">
        <v>231</v>
      </c>
      <c r="E406" s="286" t="s">
        <v>2235</v>
      </c>
      <c r="F406" s="240" t="s">
        <v>2236</v>
      </c>
      <c r="G406" s="287" t="s">
        <v>292</v>
      </c>
      <c r="H406" s="288">
        <v>2.5</v>
      </c>
      <c r="I406" s="289">
        <v>7.37</v>
      </c>
      <c r="J406" s="289">
        <f t="shared" si="89"/>
        <v>18.43</v>
      </c>
      <c r="K406" s="121" t="s">
        <v>1</v>
      </c>
      <c r="L406" s="465"/>
      <c r="M406" s="125"/>
      <c r="N406" s="126"/>
      <c r="O406" s="127"/>
      <c r="P406" s="127"/>
      <c r="Q406" s="127"/>
      <c r="R406" s="127"/>
      <c r="S406" s="127"/>
      <c r="T406" s="128"/>
      <c r="U406" s="461"/>
      <c r="V406" s="464"/>
      <c r="W406" s="199"/>
      <c r="X406" s="285" t="s">
        <v>2234</v>
      </c>
      <c r="Y406" s="285" t="s">
        <v>231</v>
      </c>
      <c r="Z406" s="286" t="s">
        <v>2235</v>
      </c>
      <c r="AA406" s="240" t="s">
        <v>2236</v>
      </c>
      <c r="AB406" s="287" t="s">
        <v>292</v>
      </c>
      <c r="AC406" s="288">
        <v>2.5</v>
      </c>
      <c r="AD406" s="289">
        <v>7.37</v>
      </c>
      <c r="AE406" s="290">
        <f t="shared" si="90"/>
        <v>18.43</v>
      </c>
      <c r="AF406" s="227"/>
      <c r="AG406" s="374"/>
      <c r="AH406" s="477"/>
      <c r="AR406" s="129" t="s">
        <v>235</v>
      </c>
      <c r="AT406" s="129" t="s">
        <v>231</v>
      </c>
      <c r="AU406" s="129" t="s">
        <v>76</v>
      </c>
      <c r="AY406" s="13" t="s">
        <v>228</v>
      </c>
      <c r="BE406" s="130">
        <f t="shared" si="91"/>
        <v>0</v>
      </c>
      <c r="BF406" s="130">
        <f t="shared" si="92"/>
        <v>0</v>
      </c>
      <c r="BG406" s="130">
        <f t="shared" si="93"/>
        <v>0</v>
      </c>
      <c r="BH406" s="130">
        <f t="shared" si="94"/>
        <v>0</v>
      </c>
      <c r="BI406" s="130">
        <f t="shared" si="95"/>
        <v>0</v>
      </c>
      <c r="BJ406" s="13" t="s">
        <v>76</v>
      </c>
      <c r="BK406" s="130">
        <f t="shared" si="96"/>
        <v>18.43</v>
      </c>
      <c r="BL406" s="13" t="s">
        <v>235</v>
      </c>
      <c r="BM406" s="129" t="s">
        <v>2237</v>
      </c>
    </row>
    <row r="407" spans="2:65" s="1" customFormat="1" ht="16.95" customHeight="1" x14ac:dyDescent="0.2">
      <c r="B407" s="118"/>
      <c r="C407" s="285" t="s">
        <v>588</v>
      </c>
      <c r="D407" s="285" t="s">
        <v>231</v>
      </c>
      <c r="E407" s="286" t="s">
        <v>2146</v>
      </c>
      <c r="F407" s="240" t="s">
        <v>2147</v>
      </c>
      <c r="G407" s="287" t="s">
        <v>1194</v>
      </c>
      <c r="H407" s="288">
        <v>5</v>
      </c>
      <c r="I407" s="289">
        <v>7.28</v>
      </c>
      <c r="J407" s="289">
        <f t="shared" si="89"/>
        <v>36.4</v>
      </c>
      <c r="K407" s="121" t="s">
        <v>1</v>
      </c>
      <c r="L407" s="465"/>
      <c r="M407" s="125"/>
      <c r="N407" s="126"/>
      <c r="O407" s="127"/>
      <c r="P407" s="127"/>
      <c r="Q407" s="127"/>
      <c r="R407" s="127"/>
      <c r="S407" s="127"/>
      <c r="T407" s="128"/>
      <c r="U407" s="461"/>
      <c r="V407" s="464"/>
      <c r="W407" s="199"/>
      <c r="X407" s="285" t="s">
        <v>588</v>
      </c>
      <c r="Y407" s="285" t="s">
        <v>231</v>
      </c>
      <c r="Z407" s="286" t="s">
        <v>2146</v>
      </c>
      <c r="AA407" s="240" t="s">
        <v>2147</v>
      </c>
      <c r="AB407" s="287" t="s">
        <v>1194</v>
      </c>
      <c r="AC407" s="288">
        <v>5</v>
      </c>
      <c r="AD407" s="289">
        <v>7.28</v>
      </c>
      <c r="AE407" s="290">
        <f t="shared" si="90"/>
        <v>36.4</v>
      </c>
      <c r="AF407" s="227"/>
      <c r="AG407" s="374"/>
      <c r="AH407" s="477"/>
      <c r="AR407" s="129" t="s">
        <v>235</v>
      </c>
      <c r="AT407" s="129" t="s">
        <v>231</v>
      </c>
      <c r="AU407" s="129" t="s">
        <v>76</v>
      </c>
      <c r="AY407" s="13" t="s">
        <v>228</v>
      </c>
      <c r="BE407" s="130">
        <f t="shared" si="91"/>
        <v>0</v>
      </c>
      <c r="BF407" s="130">
        <f t="shared" si="92"/>
        <v>0</v>
      </c>
      <c r="BG407" s="130">
        <f t="shared" si="93"/>
        <v>0</v>
      </c>
      <c r="BH407" s="130">
        <f t="shared" si="94"/>
        <v>0</v>
      </c>
      <c r="BI407" s="130">
        <f t="shared" si="95"/>
        <v>0</v>
      </c>
      <c r="BJ407" s="13" t="s">
        <v>76</v>
      </c>
      <c r="BK407" s="130">
        <f t="shared" si="96"/>
        <v>36.4</v>
      </c>
      <c r="BL407" s="13" t="s">
        <v>235</v>
      </c>
      <c r="BM407" s="129" t="s">
        <v>2238</v>
      </c>
    </row>
    <row r="408" spans="2:65" s="1" customFormat="1" ht="28.2" customHeight="1" x14ac:dyDescent="0.2">
      <c r="B408" s="118"/>
      <c r="C408" s="285" t="s">
        <v>2239</v>
      </c>
      <c r="D408" s="285" t="s">
        <v>231</v>
      </c>
      <c r="E408" s="286" t="s">
        <v>2240</v>
      </c>
      <c r="F408" s="240" t="s">
        <v>2241</v>
      </c>
      <c r="G408" s="287" t="s">
        <v>1194</v>
      </c>
      <c r="H408" s="288">
        <v>2</v>
      </c>
      <c r="I408" s="289">
        <v>11.56</v>
      </c>
      <c r="J408" s="289">
        <f t="shared" si="89"/>
        <v>23.12</v>
      </c>
      <c r="K408" s="121" t="s">
        <v>1</v>
      </c>
      <c r="L408" s="465"/>
      <c r="M408" s="125"/>
      <c r="N408" s="126"/>
      <c r="O408" s="127"/>
      <c r="P408" s="127"/>
      <c r="Q408" s="127"/>
      <c r="R408" s="127"/>
      <c r="S408" s="127"/>
      <c r="T408" s="128"/>
      <c r="U408" s="461"/>
      <c r="V408" s="464"/>
      <c r="W408" s="199"/>
      <c r="X408" s="285" t="s">
        <v>2239</v>
      </c>
      <c r="Y408" s="285" t="s">
        <v>231</v>
      </c>
      <c r="Z408" s="286" t="s">
        <v>2240</v>
      </c>
      <c r="AA408" s="240" t="s">
        <v>2241</v>
      </c>
      <c r="AB408" s="287" t="s">
        <v>1194</v>
      </c>
      <c r="AC408" s="288">
        <v>2</v>
      </c>
      <c r="AD408" s="289">
        <v>11.56</v>
      </c>
      <c r="AE408" s="290">
        <f t="shared" si="90"/>
        <v>23.12</v>
      </c>
      <c r="AF408" s="227"/>
      <c r="AG408" s="374"/>
      <c r="AH408" s="477"/>
      <c r="AR408" s="129" t="s">
        <v>235</v>
      </c>
      <c r="AT408" s="129" t="s">
        <v>231</v>
      </c>
      <c r="AU408" s="129" t="s">
        <v>76</v>
      </c>
      <c r="AY408" s="13" t="s">
        <v>228</v>
      </c>
      <c r="BE408" s="130">
        <f t="shared" si="91"/>
        <v>0</v>
      </c>
      <c r="BF408" s="130">
        <f t="shared" si="92"/>
        <v>0</v>
      </c>
      <c r="BG408" s="130">
        <f t="shared" si="93"/>
        <v>0</v>
      </c>
      <c r="BH408" s="130">
        <f t="shared" si="94"/>
        <v>0</v>
      </c>
      <c r="BI408" s="130">
        <f t="shared" si="95"/>
        <v>0</v>
      </c>
      <c r="BJ408" s="13" t="s">
        <v>76</v>
      </c>
      <c r="BK408" s="130">
        <f t="shared" si="96"/>
        <v>23.12</v>
      </c>
      <c r="BL408" s="13" t="s">
        <v>235</v>
      </c>
      <c r="BM408" s="129" t="s">
        <v>2242</v>
      </c>
    </row>
    <row r="409" spans="2:65" s="1" customFormat="1" ht="28.95" customHeight="1" x14ac:dyDescent="0.2">
      <c r="B409" s="118"/>
      <c r="C409" s="285" t="s">
        <v>591</v>
      </c>
      <c r="D409" s="285" t="s">
        <v>231</v>
      </c>
      <c r="E409" s="286" t="s">
        <v>2243</v>
      </c>
      <c r="F409" s="240" t="s">
        <v>2244</v>
      </c>
      <c r="G409" s="287" t="s">
        <v>1194</v>
      </c>
      <c r="H409" s="288">
        <v>1</v>
      </c>
      <c r="I409" s="289">
        <v>13.42</v>
      </c>
      <c r="J409" s="289">
        <f t="shared" si="89"/>
        <v>13.42</v>
      </c>
      <c r="K409" s="121" t="s">
        <v>1</v>
      </c>
      <c r="L409" s="465"/>
      <c r="M409" s="125"/>
      <c r="N409" s="126"/>
      <c r="O409" s="127"/>
      <c r="P409" s="127"/>
      <c r="Q409" s="127"/>
      <c r="R409" s="127"/>
      <c r="S409" s="127"/>
      <c r="T409" s="128"/>
      <c r="U409" s="461"/>
      <c r="V409" s="464"/>
      <c r="W409" s="199"/>
      <c r="X409" s="285" t="s">
        <v>591</v>
      </c>
      <c r="Y409" s="285" t="s">
        <v>231</v>
      </c>
      <c r="Z409" s="286" t="s">
        <v>2243</v>
      </c>
      <c r="AA409" s="240" t="s">
        <v>2244</v>
      </c>
      <c r="AB409" s="287" t="s">
        <v>1194</v>
      </c>
      <c r="AC409" s="288">
        <v>1</v>
      </c>
      <c r="AD409" s="289">
        <v>13.42</v>
      </c>
      <c r="AE409" s="290">
        <f t="shared" si="90"/>
        <v>13.42</v>
      </c>
      <c r="AF409" s="227"/>
      <c r="AG409" s="374"/>
      <c r="AH409" s="477"/>
      <c r="AR409" s="129" t="s">
        <v>235</v>
      </c>
      <c r="AT409" s="129" t="s">
        <v>231</v>
      </c>
      <c r="AU409" s="129" t="s">
        <v>76</v>
      </c>
      <c r="AY409" s="13" t="s">
        <v>228</v>
      </c>
      <c r="BE409" s="130">
        <f t="shared" si="91"/>
        <v>0</v>
      </c>
      <c r="BF409" s="130">
        <f t="shared" si="92"/>
        <v>0</v>
      </c>
      <c r="BG409" s="130">
        <f t="shared" si="93"/>
        <v>0</v>
      </c>
      <c r="BH409" s="130">
        <f t="shared" si="94"/>
        <v>0</v>
      </c>
      <c r="BI409" s="130">
        <f t="shared" si="95"/>
        <v>0</v>
      </c>
      <c r="BJ409" s="13" t="s">
        <v>76</v>
      </c>
      <c r="BK409" s="130">
        <f t="shared" si="96"/>
        <v>13.42</v>
      </c>
      <c r="BL409" s="13" t="s">
        <v>235</v>
      </c>
      <c r="BM409" s="129" t="s">
        <v>2245</v>
      </c>
    </row>
    <row r="410" spans="2:65" s="1" customFormat="1" ht="16.5" customHeight="1" x14ac:dyDescent="0.2">
      <c r="B410" s="118"/>
      <c r="C410" s="285" t="s">
        <v>2246</v>
      </c>
      <c r="D410" s="285" t="s">
        <v>231</v>
      </c>
      <c r="E410" s="286" t="s">
        <v>2247</v>
      </c>
      <c r="F410" s="240" t="s">
        <v>2248</v>
      </c>
      <c r="G410" s="287" t="s">
        <v>1194</v>
      </c>
      <c r="H410" s="288">
        <v>1</v>
      </c>
      <c r="I410" s="289">
        <v>7.22</v>
      </c>
      <c r="J410" s="289">
        <f t="shared" si="89"/>
        <v>7.22</v>
      </c>
      <c r="K410" s="121" t="s">
        <v>1</v>
      </c>
      <c r="L410" s="465"/>
      <c r="M410" s="125"/>
      <c r="N410" s="126"/>
      <c r="O410" s="127"/>
      <c r="P410" s="127"/>
      <c r="Q410" s="127"/>
      <c r="R410" s="127"/>
      <c r="S410" s="127"/>
      <c r="T410" s="128"/>
      <c r="U410" s="461"/>
      <c r="V410" s="464"/>
      <c r="W410" s="199"/>
      <c r="X410" s="285" t="s">
        <v>2246</v>
      </c>
      <c r="Y410" s="285" t="s">
        <v>231</v>
      </c>
      <c r="Z410" s="286" t="s">
        <v>2247</v>
      </c>
      <c r="AA410" s="240" t="s">
        <v>2248</v>
      </c>
      <c r="AB410" s="287" t="s">
        <v>1194</v>
      </c>
      <c r="AC410" s="288">
        <v>1</v>
      </c>
      <c r="AD410" s="289">
        <v>7.22</v>
      </c>
      <c r="AE410" s="290">
        <f t="shared" si="90"/>
        <v>7.22</v>
      </c>
      <c r="AF410" s="227"/>
      <c r="AG410" s="374"/>
      <c r="AH410" s="477"/>
      <c r="AR410" s="129" t="s">
        <v>235</v>
      </c>
      <c r="AT410" s="129" t="s">
        <v>231</v>
      </c>
      <c r="AU410" s="129" t="s">
        <v>76</v>
      </c>
      <c r="AY410" s="13" t="s">
        <v>228</v>
      </c>
      <c r="BE410" s="130">
        <f t="shared" si="91"/>
        <v>0</v>
      </c>
      <c r="BF410" s="130">
        <f t="shared" si="92"/>
        <v>0</v>
      </c>
      <c r="BG410" s="130">
        <f t="shared" si="93"/>
        <v>0</v>
      </c>
      <c r="BH410" s="130">
        <f t="shared" si="94"/>
        <v>0</v>
      </c>
      <c r="BI410" s="130">
        <f t="shared" si="95"/>
        <v>0</v>
      </c>
      <c r="BJ410" s="13" t="s">
        <v>76</v>
      </c>
      <c r="BK410" s="130">
        <f t="shared" si="96"/>
        <v>7.22</v>
      </c>
      <c r="BL410" s="13" t="s">
        <v>235</v>
      </c>
      <c r="BM410" s="129" t="s">
        <v>2249</v>
      </c>
    </row>
    <row r="411" spans="2:65" s="1" customFormat="1" ht="16.5" customHeight="1" x14ac:dyDescent="0.2">
      <c r="B411" s="118"/>
      <c r="C411" s="285" t="s">
        <v>594</v>
      </c>
      <c r="D411" s="285" t="s">
        <v>231</v>
      </c>
      <c r="E411" s="286" t="s">
        <v>2250</v>
      </c>
      <c r="F411" s="240" t="s">
        <v>2251</v>
      </c>
      <c r="G411" s="287" t="s">
        <v>1194</v>
      </c>
      <c r="H411" s="288">
        <v>1</v>
      </c>
      <c r="I411" s="289">
        <v>12.2</v>
      </c>
      <c r="J411" s="289">
        <f t="shared" si="89"/>
        <v>12.2</v>
      </c>
      <c r="K411" s="121" t="s">
        <v>1</v>
      </c>
      <c r="L411" s="465"/>
      <c r="M411" s="125"/>
      <c r="N411" s="126"/>
      <c r="O411" s="127"/>
      <c r="P411" s="127"/>
      <c r="Q411" s="127"/>
      <c r="R411" s="127"/>
      <c r="S411" s="127"/>
      <c r="T411" s="128"/>
      <c r="U411" s="461"/>
      <c r="V411" s="464"/>
      <c r="W411" s="199"/>
      <c r="X411" s="285" t="s">
        <v>594</v>
      </c>
      <c r="Y411" s="285" t="s">
        <v>231</v>
      </c>
      <c r="Z411" s="286" t="s">
        <v>2250</v>
      </c>
      <c r="AA411" s="240" t="s">
        <v>2251</v>
      </c>
      <c r="AB411" s="287" t="s">
        <v>1194</v>
      </c>
      <c r="AC411" s="288">
        <v>1</v>
      </c>
      <c r="AD411" s="289">
        <v>12.2</v>
      </c>
      <c r="AE411" s="290">
        <f t="shared" si="90"/>
        <v>12.2</v>
      </c>
      <c r="AF411" s="227"/>
      <c r="AG411" s="374"/>
      <c r="AH411" s="477"/>
      <c r="AR411" s="129" t="s">
        <v>235</v>
      </c>
      <c r="AT411" s="129" t="s">
        <v>231</v>
      </c>
      <c r="AU411" s="129" t="s">
        <v>76</v>
      </c>
      <c r="AY411" s="13" t="s">
        <v>228</v>
      </c>
      <c r="BE411" s="130">
        <f t="shared" si="91"/>
        <v>0</v>
      </c>
      <c r="BF411" s="130">
        <f t="shared" si="92"/>
        <v>0</v>
      </c>
      <c r="BG411" s="130">
        <f t="shared" si="93"/>
        <v>0</v>
      </c>
      <c r="BH411" s="130">
        <f t="shared" si="94"/>
        <v>0</v>
      </c>
      <c r="BI411" s="130">
        <f t="shared" si="95"/>
        <v>0</v>
      </c>
      <c r="BJ411" s="13" t="s">
        <v>76</v>
      </c>
      <c r="BK411" s="130">
        <f t="shared" si="96"/>
        <v>12.2</v>
      </c>
      <c r="BL411" s="13" t="s">
        <v>235</v>
      </c>
      <c r="BM411" s="129" t="s">
        <v>2252</v>
      </c>
    </row>
    <row r="412" spans="2:65" s="11" customFormat="1" ht="25.95" customHeight="1" x14ac:dyDescent="0.25">
      <c r="B412" s="106"/>
      <c r="C412" s="292"/>
      <c r="D412" s="489" t="s">
        <v>57</v>
      </c>
      <c r="E412" s="501" t="s">
        <v>2253</v>
      </c>
      <c r="F412" s="501" t="s">
        <v>2254</v>
      </c>
      <c r="G412" s="292"/>
      <c r="H412" s="292"/>
      <c r="I412" s="292"/>
      <c r="J412" s="502">
        <f>BK412</f>
        <v>10910.500000000002</v>
      </c>
      <c r="L412" s="106"/>
      <c r="M412" s="110"/>
      <c r="N412" s="111"/>
      <c r="O412" s="111"/>
      <c r="P412" s="112">
        <f>P413+SUM(P414:P416)+P422+P430+P437+P463</f>
        <v>0</v>
      </c>
      <c r="Q412" s="111"/>
      <c r="R412" s="112">
        <f>R413+SUM(R414:R416)+R422+R430+R437+R463</f>
        <v>0</v>
      </c>
      <c r="S412" s="111"/>
      <c r="T412" s="113">
        <f>T413+SUM(T414:T416)+T422+T430+T437+T463</f>
        <v>0</v>
      </c>
      <c r="W412" s="195"/>
      <c r="X412" s="347"/>
      <c r="Y412" s="506" t="s">
        <v>57</v>
      </c>
      <c r="Z412" s="429" t="s">
        <v>2253</v>
      </c>
      <c r="AA412" s="429" t="s">
        <v>2254</v>
      </c>
      <c r="AB412" s="347"/>
      <c r="AC412" s="347"/>
      <c r="AD412" s="347"/>
      <c r="AE412" s="513">
        <f>AE413+AE415+AE416+AE422+AE430+AE437+AE463</f>
        <v>11045.85</v>
      </c>
      <c r="AF412" s="227"/>
      <c r="AG412" s="374"/>
      <c r="AH412" s="477"/>
      <c r="AR412" s="107" t="s">
        <v>63</v>
      </c>
      <c r="AT412" s="114" t="s">
        <v>57</v>
      </c>
      <c r="AU412" s="114" t="s">
        <v>58</v>
      </c>
      <c r="AY412" s="107" t="s">
        <v>228</v>
      </c>
      <c r="BK412" s="115">
        <f>BK413+SUM(BK414:BK416)+BK422+BK430+BK437+BK463</f>
        <v>10910.500000000002</v>
      </c>
    </row>
    <row r="413" spans="2:65" s="1" customFormat="1" ht="27.45" customHeight="1" x14ac:dyDescent="0.2">
      <c r="B413" s="118"/>
      <c r="C413" s="285" t="s">
        <v>2255</v>
      </c>
      <c r="D413" s="285" t="s">
        <v>231</v>
      </c>
      <c r="E413" s="286" t="s">
        <v>2256</v>
      </c>
      <c r="F413" s="240" t="s">
        <v>2257</v>
      </c>
      <c r="G413" s="287" t="s">
        <v>1194</v>
      </c>
      <c r="H413" s="288">
        <v>1</v>
      </c>
      <c r="I413" s="289">
        <v>4138.53</v>
      </c>
      <c r="J413" s="289">
        <f>ROUND(I413*H413,2)</f>
        <v>4138.53</v>
      </c>
      <c r="K413" s="121" t="s">
        <v>1</v>
      </c>
      <c r="L413" s="465"/>
      <c r="M413" s="125"/>
      <c r="N413" s="126"/>
      <c r="O413" s="127"/>
      <c r="P413" s="127"/>
      <c r="Q413" s="127"/>
      <c r="R413" s="127"/>
      <c r="S413" s="127"/>
      <c r="T413" s="128"/>
      <c r="U413" s="461"/>
      <c r="V413" s="464"/>
      <c r="W413" s="199"/>
      <c r="X413" s="285" t="s">
        <v>2255</v>
      </c>
      <c r="Y413" s="285" t="s">
        <v>231</v>
      </c>
      <c r="Z413" s="286" t="s">
        <v>2256</v>
      </c>
      <c r="AA413" s="240" t="s">
        <v>2257</v>
      </c>
      <c r="AB413" s="287" t="s">
        <v>1194</v>
      </c>
      <c r="AC413" s="288">
        <v>1</v>
      </c>
      <c r="AD413" s="289">
        <v>4138.53</v>
      </c>
      <c r="AE413" s="290">
        <f>ROUND(AD413*AC413,2)</f>
        <v>4138.53</v>
      </c>
      <c r="AF413" s="227"/>
      <c r="AG413" s="374"/>
      <c r="AH413" s="477"/>
      <c r="AR413" s="129" t="s">
        <v>235</v>
      </c>
      <c r="AT413" s="129" t="s">
        <v>231</v>
      </c>
      <c r="AU413" s="129" t="s">
        <v>63</v>
      </c>
      <c r="AY413" s="13" t="s">
        <v>228</v>
      </c>
      <c r="BE413" s="130">
        <f>IF(N413="základná",J413,0)</f>
        <v>0</v>
      </c>
      <c r="BF413" s="130">
        <f>IF(N413="znížená",J413,0)</f>
        <v>0</v>
      </c>
      <c r="BG413" s="130">
        <f>IF(N413="zákl. prenesená",J413,0)</f>
        <v>0</v>
      </c>
      <c r="BH413" s="130">
        <f>IF(N413="zníž. prenesená",J413,0)</f>
        <v>0</v>
      </c>
      <c r="BI413" s="130">
        <f>IF(N413="nulová",J413,0)</f>
        <v>0</v>
      </c>
      <c r="BJ413" s="13" t="s">
        <v>76</v>
      </c>
      <c r="BK413" s="130">
        <f>ROUND(I413*H413,2)</f>
        <v>4138.53</v>
      </c>
      <c r="BL413" s="13" t="s">
        <v>235</v>
      </c>
      <c r="BM413" s="129" t="s">
        <v>2258</v>
      </c>
    </row>
    <row r="414" spans="2:65" s="1" customFormat="1" ht="112.95" customHeight="1" x14ac:dyDescent="0.2">
      <c r="B414" s="24"/>
      <c r="C414" s="407"/>
      <c r="D414" s="492" t="s">
        <v>1259</v>
      </c>
      <c r="E414" s="407"/>
      <c r="F414" s="503" t="s">
        <v>2259</v>
      </c>
      <c r="G414" s="407"/>
      <c r="H414" s="407"/>
      <c r="I414" s="407"/>
      <c r="J414" s="407"/>
      <c r="L414" s="24"/>
      <c r="M414" s="146"/>
      <c r="N414" s="42"/>
      <c r="O414" s="42"/>
      <c r="P414" s="42"/>
      <c r="Q414" s="42"/>
      <c r="R414" s="42"/>
      <c r="S414" s="42"/>
      <c r="T414" s="43"/>
      <c r="W414" s="158"/>
      <c r="X414" s="427"/>
      <c r="Y414" s="511" t="s">
        <v>1259</v>
      </c>
      <c r="Z414" s="427"/>
      <c r="AA414" s="514" t="s">
        <v>2259</v>
      </c>
      <c r="AB414" s="427"/>
      <c r="AC414" s="427"/>
      <c r="AD414" s="427"/>
      <c r="AE414" s="512"/>
      <c r="AF414" s="227"/>
      <c r="AG414" s="374"/>
      <c r="AH414" s="477"/>
      <c r="AT414" s="13" t="s">
        <v>1259</v>
      </c>
      <c r="AU414" s="13" t="s">
        <v>63</v>
      </c>
    </row>
    <row r="415" spans="2:65" s="1" customFormat="1" ht="46.95" customHeight="1" x14ac:dyDescent="0.2">
      <c r="B415" s="118"/>
      <c r="C415" s="285" t="s">
        <v>598</v>
      </c>
      <c r="D415" s="285" t="s">
        <v>231</v>
      </c>
      <c r="E415" s="286" t="s">
        <v>2260</v>
      </c>
      <c r="F415" s="240" t="s">
        <v>2042</v>
      </c>
      <c r="G415" s="287" t="s">
        <v>1194</v>
      </c>
      <c r="H415" s="288">
        <v>1</v>
      </c>
      <c r="I415" s="289">
        <v>1722</v>
      </c>
      <c r="J415" s="289">
        <f>ROUND(I415*H415,2)</f>
        <v>1722</v>
      </c>
      <c r="K415" s="121" t="s">
        <v>1</v>
      </c>
      <c r="L415" s="465"/>
      <c r="M415" s="125"/>
      <c r="N415" s="126"/>
      <c r="O415" s="127"/>
      <c r="P415" s="127"/>
      <c r="Q415" s="127"/>
      <c r="R415" s="127"/>
      <c r="S415" s="127"/>
      <c r="T415" s="128"/>
      <c r="U415" s="461"/>
      <c r="V415" s="464"/>
      <c r="W415" s="199"/>
      <c r="X415" s="285" t="s">
        <v>598</v>
      </c>
      <c r="Y415" s="285" t="s">
        <v>231</v>
      </c>
      <c r="Z415" s="286" t="s">
        <v>2260</v>
      </c>
      <c r="AA415" s="240" t="s">
        <v>2042</v>
      </c>
      <c r="AB415" s="287" t="s">
        <v>1194</v>
      </c>
      <c r="AC415" s="288">
        <v>1</v>
      </c>
      <c r="AD415" s="289">
        <v>1722</v>
      </c>
      <c r="AE415" s="290">
        <f>ROUND(AD415*AC415,2)</f>
        <v>1722</v>
      </c>
      <c r="AF415" s="227"/>
      <c r="AG415" s="374"/>
      <c r="AH415" s="477"/>
      <c r="AR415" s="129" t="s">
        <v>235</v>
      </c>
      <c r="AT415" s="129" t="s">
        <v>231</v>
      </c>
      <c r="AU415" s="129" t="s">
        <v>63</v>
      </c>
      <c r="AY415" s="13" t="s">
        <v>228</v>
      </c>
      <c r="BE415" s="130">
        <f>IF(N415="základná",J415,0)</f>
        <v>0</v>
      </c>
      <c r="BF415" s="130">
        <f>IF(N415="znížená",J415,0)</f>
        <v>0</v>
      </c>
      <c r="BG415" s="130">
        <f>IF(N415="zákl. prenesená",J415,0)</f>
        <v>0</v>
      </c>
      <c r="BH415" s="130">
        <f>IF(N415="zníž. prenesená",J415,0)</f>
        <v>0</v>
      </c>
      <c r="BI415" s="130">
        <f>IF(N415="nulová",J415,0)</f>
        <v>0</v>
      </c>
      <c r="BJ415" s="13" t="s">
        <v>76</v>
      </c>
      <c r="BK415" s="130">
        <f>ROUND(I415*H415,2)</f>
        <v>1722</v>
      </c>
      <c r="BL415" s="13" t="s">
        <v>235</v>
      </c>
      <c r="BM415" s="129" t="s">
        <v>2261</v>
      </c>
    </row>
    <row r="416" spans="2:65" s="11" customFormat="1" ht="22.95" customHeight="1" x14ac:dyDescent="0.25">
      <c r="B416" s="106"/>
      <c r="C416" s="292"/>
      <c r="D416" s="489" t="s">
        <v>57</v>
      </c>
      <c r="E416" s="490" t="s">
        <v>2043</v>
      </c>
      <c r="F416" s="490" t="s">
        <v>2044</v>
      </c>
      <c r="G416" s="292"/>
      <c r="H416" s="292"/>
      <c r="I416" s="292"/>
      <c r="J416" s="491">
        <f>BK416</f>
        <v>2889.4700000000003</v>
      </c>
      <c r="L416" s="106"/>
      <c r="M416" s="110"/>
      <c r="N416" s="111"/>
      <c r="O416" s="111"/>
      <c r="P416" s="112"/>
      <c r="Q416" s="111"/>
      <c r="R416" s="112"/>
      <c r="S416" s="111"/>
      <c r="T416" s="113"/>
      <c r="W416" s="195"/>
      <c r="X416" s="347"/>
      <c r="Y416" s="506" t="s">
        <v>57</v>
      </c>
      <c r="Z416" s="507" t="s">
        <v>2043</v>
      </c>
      <c r="AA416" s="507" t="s">
        <v>2044</v>
      </c>
      <c r="AB416" s="347"/>
      <c r="AC416" s="347"/>
      <c r="AD416" s="347"/>
      <c r="AE416" s="510">
        <f>SUM(AE417:AE420)</f>
        <v>2889.4700000000003</v>
      </c>
      <c r="AF416" s="227"/>
      <c r="AG416" s="374"/>
      <c r="AH416" s="477"/>
      <c r="AR416" s="107" t="s">
        <v>63</v>
      </c>
      <c r="AT416" s="114" t="s">
        <v>57</v>
      </c>
      <c r="AU416" s="114" t="s">
        <v>63</v>
      </c>
      <c r="AY416" s="107" t="s">
        <v>228</v>
      </c>
      <c r="BK416" s="115">
        <f>SUM(BK417:BK421)</f>
        <v>2889.4700000000003</v>
      </c>
    </row>
    <row r="417" spans="2:65" s="1" customFormat="1" ht="16.5" customHeight="1" x14ac:dyDescent="0.2">
      <c r="B417" s="118"/>
      <c r="C417" s="285" t="s">
        <v>2262</v>
      </c>
      <c r="D417" s="285" t="s">
        <v>231</v>
      </c>
      <c r="E417" s="286" t="s">
        <v>2045</v>
      </c>
      <c r="F417" s="240" t="s">
        <v>2046</v>
      </c>
      <c r="G417" s="287" t="s">
        <v>1194</v>
      </c>
      <c r="H417" s="288">
        <v>1</v>
      </c>
      <c r="I417" s="289">
        <v>2299.13</v>
      </c>
      <c r="J417" s="289">
        <f>ROUND(I417*H417,2)</f>
        <v>2299.13</v>
      </c>
      <c r="K417" s="121" t="s">
        <v>1</v>
      </c>
      <c r="L417" s="465"/>
      <c r="M417" s="125"/>
      <c r="N417" s="126"/>
      <c r="O417" s="127"/>
      <c r="P417" s="127"/>
      <c r="Q417" s="127"/>
      <c r="R417" s="127"/>
      <c r="S417" s="127"/>
      <c r="T417" s="128"/>
      <c r="U417" s="461"/>
      <c r="V417" s="464"/>
      <c r="W417" s="199"/>
      <c r="X417" s="285" t="s">
        <v>2262</v>
      </c>
      <c r="Y417" s="285" t="s">
        <v>231</v>
      </c>
      <c r="Z417" s="286" t="s">
        <v>2045</v>
      </c>
      <c r="AA417" s="240" t="s">
        <v>2046</v>
      </c>
      <c r="AB417" s="287" t="s">
        <v>1194</v>
      </c>
      <c r="AC417" s="288">
        <v>1</v>
      </c>
      <c r="AD417" s="289">
        <v>2299.13</v>
      </c>
      <c r="AE417" s="290">
        <f>ROUND(AD417*AC417,2)</f>
        <v>2299.13</v>
      </c>
      <c r="AF417" s="227"/>
      <c r="AG417" s="374"/>
      <c r="AH417" s="477"/>
      <c r="AR417" s="129" t="s">
        <v>235</v>
      </c>
      <c r="AT417" s="129" t="s">
        <v>231</v>
      </c>
      <c r="AU417" s="129" t="s">
        <v>76</v>
      </c>
      <c r="AY417" s="13" t="s">
        <v>228</v>
      </c>
      <c r="BE417" s="130">
        <f>IF(N417="základná",J417,0)</f>
        <v>0</v>
      </c>
      <c r="BF417" s="130">
        <f>IF(N417="znížená",J417,0)</f>
        <v>0</v>
      </c>
      <c r="BG417" s="130">
        <f>IF(N417="zákl. prenesená",J417,0)</f>
        <v>0</v>
      </c>
      <c r="BH417" s="130">
        <f>IF(N417="zníž. prenesená",J417,0)</f>
        <v>0</v>
      </c>
      <c r="BI417" s="130">
        <f>IF(N417="nulová",J417,0)</f>
        <v>0</v>
      </c>
      <c r="BJ417" s="13" t="s">
        <v>76</v>
      </c>
      <c r="BK417" s="130">
        <f>ROUND(I417*H417,2)</f>
        <v>2299.13</v>
      </c>
      <c r="BL417" s="13" t="s">
        <v>235</v>
      </c>
      <c r="BM417" s="129" t="s">
        <v>2263</v>
      </c>
    </row>
    <row r="418" spans="2:65" s="1" customFormat="1" ht="52.2" customHeight="1" x14ac:dyDescent="0.2">
      <c r="B418" s="24"/>
      <c r="C418" s="407"/>
      <c r="D418" s="492" t="s">
        <v>1259</v>
      </c>
      <c r="E418" s="407"/>
      <c r="F418" s="503" t="s">
        <v>2047</v>
      </c>
      <c r="G418" s="407"/>
      <c r="H418" s="407"/>
      <c r="I418" s="407"/>
      <c r="J418" s="407"/>
      <c r="L418" s="24"/>
      <c r="M418" s="146"/>
      <c r="N418" s="42"/>
      <c r="O418" s="42"/>
      <c r="P418" s="42"/>
      <c r="Q418" s="42"/>
      <c r="R418" s="42"/>
      <c r="S418" s="42"/>
      <c r="T418" s="43"/>
      <c r="W418" s="158"/>
      <c r="X418" s="427"/>
      <c r="Y418" s="511" t="s">
        <v>1259</v>
      </c>
      <c r="Z418" s="427"/>
      <c r="AA418" s="514" t="s">
        <v>2047</v>
      </c>
      <c r="AB418" s="427"/>
      <c r="AC418" s="427"/>
      <c r="AD418" s="427"/>
      <c r="AE418" s="512"/>
      <c r="AF418" s="227"/>
      <c r="AG418" s="374"/>
      <c r="AH418" s="477"/>
      <c r="AT418" s="13" t="s">
        <v>1259</v>
      </c>
      <c r="AU418" s="13" t="s">
        <v>76</v>
      </c>
    </row>
    <row r="419" spans="2:65" s="1" customFormat="1" ht="16.5" customHeight="1" x14ac:dyDescent="0.2">
      <c r="B419" s="118"/>
      <c r="C419" s="285" t="s">
        <v>601</v>
      </c>
      <c r="D419" s="285" t="s">
        <v>231</v>
      </c>
      <c r="E419" s="286" t="s">
        <v>2048</v>
      </c>
      <c r="F419" s="240" t="s">
        <v>2049</v>
      </c>
      <c r="G419" s="287" t="s">
        <v>1194</v>
      </c>
      <c r="H419" s="288">
        <v>1</v>
      </c>
      <c r="I419" s="289">
        <v>406.82</v>
      </c>
      <c r="J419" s="289">
        <f>ROUND(I419*H419,2)</f>
        <v>406.82</v>
      </c>
      <c r="K419" s="121" t="s">
        <v>1</v>
      </c>
      <c r="L419" s="465"/>
      <c r="M419" s="125"/>
      <c r="N419" s="126"/>
      <c r="O419" s="127"/>
      <c r="P419" s="127"/>
      <c r="Q419" s="127"/>
      <c r="R419" s="127"/>
      <c r="S419" s="127"/>
      <c r="T419" s="128"/>
      <c r="U419" s="461"/>
      <c r="V419" s="464"/>
      <c r="W419" s="199"/>
      <c r="X419" s="285" t="s">
        <v>601</v>
      </c>
      <c r="Y419" s="285" t="s">
        <v>231</v>
      </c>
      <c r="Z419" s="286" t="s">
        <v>2048</v>
      </c>
      <c r="AA419" s="240" t="s">
        <v>2049</v>
      </c>
      <c r="AB419" s="287" t="s">
        <v>1194</v>
      </c>
      <c r="AC419" s="288">
        <v>1</v>
      </c>
      <c r="AD419" s="289">
        <v>406.82</v>
      </c>
      <c r="AE419" s="290">
        <f>ROUND(AD419*AC419,2)</f>
        <v>406.82</v>
      </c>
      <c r="AF419" s="227"/>
      <c r="AG419" s="374"/>
      <c r="AH419" s="477"/>
      <c r="AR419" s="129" t="s">
        <v>235</v>
      </c>
      <c r="AT419" s="129" t="s">
        <v>231</v>
      </c>
      <c r="AU419" s="129" t="s">
        <v>76</v>
      </c>
      <c r="AY419" s="13" t="s">
        <v>228</v>
      </c>
      <c r="BE419" s="130">
        <f>IF(N419="základná",J419,0)</f>
        <v>0</v>
      </c>
      <c r="BF419" s="130">
        <f>IF(N419="znížená",J419,0)</f>
        <v>0</v>
      </c>
      <c r="BG419" s="130">
        <f>IF(N419="zákl. prenesená",J419,0)</f>
        <v>0</v>
      </c>
      <c r="BH419" s="130">
        <f>IF(N419="zníž. prenesená",J419,0)</f>
        <v>0</v>
      </c>
      <c r="BI419" s="130">
        <f>IF(N419="nulová",J419,0)</f>
        <v>0</v>
      </c>
      <c r="BJ419" s="13" t="s">
        <v>76</v>
      </c>
      <c r="BK419" s="130">
        <f>ROUND(I419*H419,2)</f>
        <v>406.82</v>
      </c>
      <c r="BL419" s="13" t="s">
        <v>235</v>
      </c>
      <c r="BM419" s="129" t="s">
        <v>2264</v>
      </c>
    </row>
    <row r="420" spans="2:65" s="1" customFormat="1" ht="24" customHeight="1" x14ac:dyDescent="0.2">
      <c r="B420" s="118"/>
      <c r="C420" s="285" t="s">
        <v>2265</v>
      </c>
      <c r="D420" s="285" t="s">
        <v>231</v>
      </c>
      <c r="E420" s="286" t="s">
        <v>2050</v>
      </c>
      <c r="F420" s="240" t="s">
        <v>2051</v>
      </c>
      <c r="G420" s="287" t="s">
        <v>292</v>
      </c>
      <c r="H420" s="288">
        <v>8</v>
      </c>
      <c r="I420" s="289">
        <v>22.94</v>
      </c>
      <c r="J420" s="289">
        <f>ROUND(I420*H420,2)</f>
        <v>183.52</v>
      </c>
      <c r="K420" s="121" t="s">
        <v>1</v>
      </c>
      <c r="L420" s="465"/>
      <c r="M420" s="125"/>
      <c r="N420" s="126"/>
      <c r="O420" s="127"/>
      <c r="P420" s="127"/>
      <c r="Q420" s="127"/>
      <c r="R420" s="127"/>
      <c r="S420" s="127"/>
      <c r="T420" s="128"/>
      <c r="U420" s="461"/>
      <c r="V420" s="464"/>
      <c r="W420" s="199"/>
      <c r="X420" s="285" t="s">
        <v>2265</v>
      </c>
      <c r="Y420" s="285" t="s">
        <v>231</v>
      </c>
      <c r="Z420" s="286" t="s">
        <v>2050</v>
      </c>
      <c r="AA420" s="240" t="s">
        <v>2051</v>
      </c>
      <c r="AB420" s="287" t="s">
        <v>292</v>
      </c>
      <c r="AC420" s="288">
        <v>8</v>
      </c>
      <c r="AD420" s="289">
        <v>22.94</v>
      </c>
      <c r="AE420" s="290">
        <f>ROUND(AD420*AC420,2)</f>
        <v>183.52</v>
      </c>
      <c r="AF420" s="227"/>
      <c r="AG420" s="374"/>
      <c r="AH420" s="477"/>
      <c r="AR420" s="129" t="s">
        <v>235</v>
      </c>
      <c r="AT420" s="129" t="s">
        <v>231</v>
      </c>
      <c r="AU420" s="129" t="s">
        <v>76</v>
      </c>
      <c r="AY420" s="13" t="s">
        <v>228</v>
      </c>
      <c r="BE420" s="130">
        <f>IF(N420="základná",J420,0)</f>
        <v>0</v>
      </c>
      <c r="BF420" s="130">
        <f>IF(N420="znížená",J420,0)</f>
        <v>0</v>
      </c>
      <c r="BG420" s="130">
        <f>IF(N420="zákl. prenesená",J420,0)</f>
        <v>0</v>
      </c>
      <c r="BH420" s="130">
        <f>IF(N420="zníž. prenesená",J420,0)</f>
        <v>0</v>
      </c>
      <c r="BI420" s="130">
        <f>IF(N420="nulová",J420,0)</f>
        <v>0</v>
      </c>
      <c r="BJ420" s="13" t="s">
        <v>76</v>
      </c>
      <c r="BK420" s="130">
        <f>ROUND(I420*H420,2)</f>
        <v>183.52</v>
      </c>
      <c r="BL420" s="13" t="s">
        <v>235</v>
      </c>
      <c r="BM420" s="129" t="s">
        <v>2266</v>
      </c>
    </row>
    <row r="421" spans="2:65" s="1" customFormat="1" ht="19.2" x14ac:dyDescent="0.2">
      <c r="B421" s="24"/>
      <c r="D421" s="144" t="s">
        <v>1259</v>
      </c>
      <c r="F421" s="145" t="s">
        <v>2052</v>
      </c>
      <c r="L421" s="24"/>
      <c r="M421" s="146"/>
      <c r="N421" s="42"/>
      <c r="O421" s="42"/>
      <c r="P421" s="42"/>
      <c r="Q421" s="42"/>
      <c r="R421" s="42"/>
      <c r="S421" s="42"/>
      <c r="T421" s="43"/>
      <c r="W421" s="158"/>
      <c r="X421" s="475"/>
      <c r="Y421" s="203" t="s">
        <v>1259</v>
      </c>
      <c r="Z421" s="475"/>
      <c r="AA421" s="204" t="s">
        <v>2052</v>
      </c>
      <c r="AB421" s="475"/>
      <c r="AC421" s="475"/>
      <c r="AD421" s="475"/>
      <c r="AE421" s="159"/>
      <c r="AF421" s="227"/>
      <c r="AG421" s="374"/>
      <c r="AH421" s="477"/>
      <c r="AT421" s="13" t="s">
        <v>1259</v>
      </c>
      <c r="AU421" s="13" t="s">
        <v>76</v>
      </c>
    </row>
    <row r="422" spans="2:65" s="11" customFormat="1" ht="22.95" customHeight="1" x14ac:dyDescent="0.25">
      <c r="B422" s="106"/>
      <c r="D422" s="107" t="s">
        <v>57</v>
      </c>
      <c r="E422" s="116" t="s">
        <v>1211</v>
      </c>
      <c r="F422" s="116" t="s">
        <v>1860</v>
      </c>
      <c r="J422" s="117">
        <f>BK422</f>
        <v>167.85999999999999</v>
      </c>
      <c r="L422" s="106"/>
      <c r="M422" s="110"/>
      <c r="N422" s="111"/>
      <c r="O422" s="111"/>
      <c r="P422" s="112"/>
      <c r="Q422" s="111"/>
      <c r="R422" s="112"/>
      <c r="S422" s="111"/>
      <c r="T422" s="113"/>
      <c r="W422" s="195"/>
      <c r="X422" s="111"/>
      <c r="Y422" s="196" t="s">
        <v>57</v>
      </c>
      <c r="Z422" s="201" t="s">
        <v>1211</v>
      </c>
      <c r="AA422" s="201" t="s">
        <v>1860</v>
      </c>
      <c r="AB422" s="111"/>
      <c r="AC422" s="111"/>
      <c r="AD422" s="111"/>
      <c r="AE422" s="202">
        <f>SUM(AE423:AE429)</f>
        <v>144.4</v>
      </c>
      <c r="AF422" s="227"/>
      <c r="AG422" s="374"/>
      <c r="AH422" s="477"/>
      <c r="AR422" s="107" t="s">
        <v>63</v>
      </c>
      <c r="AT422" s="114" t="s">
        <v>57</v>
      </c>
      <c r="AU422" s="114" t="s">
        <v>63</v>
      </c>
      <c r="AY422" s="107" t="s">
        <v>228</v>
      </c>
      <c r="BK422" s="115">
        <f>SUM(BK423:BK426)</f>
        <v>167.85999999999999</v>
      </c>
    </row>
    <row r="423" spans="2:65" s="1" customFormat="1" ht="16.5" customHeight="1" x14ac:dyDescent="0.2">
      <c r="B423" s="118"/>
      <c r="C423" s="205" t="s">
        <v>605</v>
      </c>
      <c r="D423" s="119" t="s">
        <v>231</v>
      </c>
      <c r="E423" s="120" t="s">
        <v>2053</v>
      </c>
      <c r="F423" s="121" t="s">
        <v>2054</v>
      </c>
      <c r="G423" s="122" t="s">
        <v>292</v>
      </c>
      <c r="H423" s="206">
        <v>2</v>
      </c>
      <c r="I423" s="124">
        <v>14.66</v>
      </c>
      <c r="J423" s="124">
        <f>ROUND(I423*H423,2)</f>
        <v>29.32</v>
      </c>
      <c r="K423" s="121" t="s">
        <v>1</v>
      </c>
      <c r="L423" s="469"/>
      <c r="M423" s="125"/>
      <c r="N423" s="126"/>
      <c r="O423" s="127"/>
      <c r="P423" s="127"/>
      <c r="Q423" s="127"/>
      <c r="R423" s="127"/>
      <c r="S423" s="127"/>
      <c r="T423" s="128"/>
      <c r="W423" s="199"/>
      <c r="X423" s="205" t="s">
        <v>605</v>
      </c>
      <c r="Y423" s="119" t="s">
        <v>231</v>
      </c>
      <c r="Z423" s="120" t="s">
        <v>2053</v>
      </c>
      <c r="AA423" s="121" t="s">
        <v>2054</v>
      </c>
      <c r="AB423" s="122" t="s">
        <v>292</v>
      </c>
      <c r="AC423" s="206">
        <v>0</v>
      </c>
      <c r="AD423" s="124">
        <v>14.66</v>
      </c>
      <c r="AE423" s="200">
        <f t="shared" ref="AE423:AE429" si="97">ROUND(AD423*AC423,2)</f>
        <v>0</v>
      </c>
      <c r="AF423" s="227">
        <v>6</v>
      </c>
      <c r="AG423" s="374"/>
      <c r="AH423" s="477"/>
      <c r="AR423" s="129" t="s">
        <v>235</v>
      </c>
      <c r="AT423" s="129" t="s">
        <v>231</v>
      </c>
      <c r="AU423" s="129" t="s">
        <v>76</v>
      </c>
      <c r="AY423" s="13" t="s">
        <v>228</v>
      </c>
      <c r="BE423" s="130">
        <f>IF(N423="základná",J423,0)</f>
        <v>0</v>
      </c>
      <c r="BF423" s="130">
        <f>IF(N423="znížená",J423,0)</f>
        <v>0</v>
      </c>
      <c r="BG423" s="130">
        <f>IF(N423="zákl. prenesená",J423,0)</f>
        <v>0</v>
      </c>
      <c r="BH423" s="130">
        <f>IF(N423="zníž. prenesená",J423,0)</f>
        <v>0</v>
      </c>
      <c r="BI423" s="130">
        <f>IF(N423="nulová",J423,0)</f>
        <v>0</v>
      </c>
      <c r="BJ423" s="13" t="s">
        <v>76</v>
      </c>
      <c r="BK423" s="130">
        <f>ROUND(I423*H423,2)</f>
        <v>29.32</v>
      </c>
      <c r="BL423" s="13" t="s">
        <v>235</v>
      </c>
      <c r="BM423" s="129" t="s">
        <v>2267</v>
      </c>
    </row>
    <row r="424" spans="2:65" s="1" customFormat="1" ht="16.5" customHeight="1" x14ac:dyDescent="0.2">
      <c r="B424" s="118"/>
      <c r="C424" s="205" t="s">
        <v>2268</v>
      </c>
      <c r="D424" s="119" t="s">
        <v>231</v>
      </c>
      <c r="E424" s="120" t="s">
        <v>2055</v>
      </c>
      <c r="F424" s="121" t="s">
        <v>2056</v>
      </c>
      <c r="G424" s="122" t="s">
        <v>1194</v>
      </c>
      <c r="H424" s="206">
        <v>1</v>
      </c>
      <c r="I424" s="124">
        <v>16.86</v>
      </c>
      <c r="J424" s="124">
        <f>ROUND(I424*H424,2)</f>
        <v>16.86</v>
      </c>
      <c r="K424" s="121" t="s">
        <v>1</v>
      </c>
      <c r="L424" s="469"/>
      <c r="M424" s="125"/>
      <c r="N424" s="126"/>
      <c r="O424" s="127"/>
      <c r="P424" s="127"/>
      <c r="Q424" s="127"/>
      <c r="R424" s="127"/>
      <c r="S424" s="127"/>
      <c r="T424" s="128"/>
      <c r="W424" s="199"/>
      <c r="X424" s="205" t="s">
        <v>2268</v>
      </c>
      <c r="Y424" s="119" t="s">
        <v>231</v>
      </c>
      <c r="Z424" s="120" t="s">
        <v>2055</v>
      </c>
      <c r="AA424" s="121" t="s">
        <v>2056</v>
      </c>
      <c r="AB424" s="122" t="s">
        <v>1194</v>
      </c>
      <c r="AC424" s="206">
        <v>0</v>
      </c>
      <c r="AD424" s="124">
        <v>16.86</v>
      </c>
      <c r="AE424" s="200">
        <f t="shared" si="97"/>
        <v>0</v>
      </c>
      <c r="AF424" s="227">
        <v>6</v>
      </c>
      <c r="AG424" s="374"/>
      <c r="AH424" s="477"/>
      <c r="AR424" s="129" t="s">
        <v>235</v>
      </c>
      <c r="AT424" s="129" t="s">
        <v>231</v>
      </c>
      <c r="AU424" s="129" t="s">
        <v>76</v>
      </c>
      <c r="AY424" s="13" t="s">
        <v>228</v>
      </c>
      <c r="BE424" s="130">
        <f>IF(N424="základná",J424,0)</f>
        <v>0</v>
      </c>
      <c r="BF424" s="130">
        <f>IF(N424="znížená",J424,0)</f>
        <v>0</v>
      </c>
      <c r="BG424" s="130">
        <f>IF(N424="zákl. prenesená",J424,0)</f>
        <v>0</v>
      </c>
      <c r="BH424" s="130">
        <f>IF(N424="zníž. prenesená",J424,0)</f>
        <v>0</v>
      </c>
      <c r="BI424" s="130">
        <f>IF(N424="nulová",J424,0)</f>
        <v>0</v>
      </c>
      <c r="BJ424" s="13" t="s">
        <v>76</v>
      </c>
      <c r="BK424" s="130">
        <f>ROUND(I424*H424,2)</f>
        <v>16.86</v>
      </c>
      <c r="BL424" s="13" t="s">
        <v>235</v>
      </c>
      <c r="BM424" s="129" t="s">
        <v>2269</v>
      </c>
    </row>
    <row r="425" spans="2:65" s="1" customFormat="1" ht="16.5" customHeight="1" x14ac:dyDescent="0.2">
      <c r="B425" s="118"/>
      <c r="C425" s="205" t="s">
        <v>610</v>
      </c>
      <c r="D425" s="119" t="s">
        <v>231</v>
      </c>
      <c r="E425" s="120" t="s">
        <v>2270</v>
      </c>
      <c r="F425" s="121" t="s">
        <v>2271</v>
      </c>
      <c r="G425" s="122" t="s">
        <v>1194</v>
      </c>
      <c r="H425" s="206">
        <v>1</v>
      </c>
      <c r="I425" s="124">
        <v>102.71</v>
      </c>
      <c r="J425" s="124">
        <f>ROUND(I425*H425,2)</f>
        <v>102.71</v>
      </c>
      <c r="K425" s="121" t="s">
        <v>1</v>
      </c>
      <c r="L425" s="469"/>
      <c r="M425" s="125"/>
      <c r="N425" s="126"/>
      <c r="O425" s="127"/>
      <c r="P425" s="127"/>
      <c r="Q425" s="127"/>
      <c r="R425" s="127"/>
      <c r="S425" s="127"/>
      <c r="T425" s="128"/>
      <c r="W425" s="199"/>
      <c r="X425" s="205" t="s">
        <v>610</v>
      </c>
      <c r="Y425" s="119" t="s">
        <v>231</v>
      </c>
      <c r="Z425" s="120" t="s">
        <v>2270</v>
      </c>
      <c r="AA425" s="121" t="s">
        <v>2271</v>
      </c>
      <c r="AB425" s="122" t="s">
        <v>1194</v>
      </c>
      <c r="AC425" s="206">
        <v>0</v>
      </c>
      <c r="AD425" s="124">
        <v>102.71</v>
      </c>
      <c r="AE425" s="200">
        <f t="shared" si="97"/>
        <v>0</v>
      </c>
      <c r="AF425" s="227">
        <v>6</v>
      </c>
      <c r="AG425" s="374"/>
      <c r="AH425" s="477"/>
      <c r="AR425" s="129" t="s">
        <v>235</v>
      </c>
      <c r="AT425" s="129" t="s">
        <v>231</v>
      </c>
      <c r="AU425" s="129" t="s">
        <v>76</v>
      </c>
      <c r="AY425" s="13" t="s">
        <v>228</v>
      </c>
      <c r="BE425" s="130">
        <f>IF(N425="základná",J425,0)</f>
        <v>0</v>
      </c>
      <c r="BF425" s="130">
        <f>IF(N425="znížená",J425,0)</f>
        <v>0</v>
      </c>
      <c r="BG425" s="130">
        <f>IF(N425="zákl. prenesená",J425,0)</f>
        <v>0</v>
      </c>
      <c r="BH425" s="130">
        <f>IF(N425="zníž. prenesená",J425,0)</f>
        <v>0</v>
      </c>
      <c r="BI425" s="130">
        <f>IF(N425="nulová",J425,0)</f>
        <v>0</v>
      </c>
      <c r="BJ425" s="13" t="s">
        <v>76</v>
      </c>
      <c r="BK425" s="130">
        <f>ROUND(I425*H425,2)</f>
        <v>102.71</v>
      </c>
      <c r="BL425" s="13" t="s">
        <v>235</v>
      </c>
      <c r="BM425" s="129" t="s">
        <v>2272</v>
      </c>
    </row>
    <row r="426" spans="2:65" s="1" customFormat="1" ht="16.5" customHeight="1" x14ac:dyDescent="0.2">
      <c r="B426" s="118"/>
      <c r="C426" s="205" t="s">
        <v>2273</v>
      </c>
      <c r="D426" s="119" t="s">
        <v>231</v>
      </c>
      <c r="E426" s="120" t="s">
        <v>2274</v>
      </c>
      <c r="F426" s="121" t="s">
        <v>2275</v>
      </c>
      <c r="G426" s="122" t="s">
        <v>1194</v>
      </c>
      <c r="H426" s="206">
        <v>1</v>
      </c>
      <c r="I426" s="124">
        <v>18.97</v>
      </c>
      <c r="J426" s="124">
        <f>ROUND(I426*H426,2)</f>
        <v>18.97</v>
      </c>
      <c r="K426" s="121" t="s">
        <v>1</v>
      </c>
      <c r="L426" s="469"/>
      <c r="M426" s="125"/>
      <c r="N426" s="126"/>
      <c r="O426" s="127"/>
      <c r="P426" s="127"/>
      <c r="Q426" s="127"/>
      <c r="R426" s="127"/>
      <c r="S426" s="127"/>
      <c r="T426" s="128"/>
      <c r="W426" s="199"/>
      <c r="X426" s="205" t="s">
        <v>2273</v>
      </c>
      <c r="Y426" s="119" t="s">
        <v>231</v>
      </c>
      <c r="Z426" s="120" t="s">
        <v>2274</v>
      </c>
      <c r="AA426" s="121" t="s">
        <v>2275</v>
      </c>
      <c r="AB426" s="122" t="s">
        <v>1194</v>
      </c>
      <c r="AC426" s="206">
        <v>0</v>
      </c>
      <c r="AD426" s="124">
        <v>18.97</v>
      </c>
      <c r="AE426" s="200">
        <f t="shared" si="97"/>
        <v>0</v>
      </c>
      <c r="AF426" s="227">
        <v>6</v>
      </c>
      <c r="AG426" s="374"/>
      <c r="AH426" s="477"/>
      <c r="AR426" s="129" t="s">
        <v>235</v>
      </c>
      <c r="AT426" s="129" t="s">
        <v>231</v>
      </c>
      <c r="AU426" s="129" t="s">
        <v>76</v>
      </c>
      <c r="AY426" s="13" t="s">
        <v>228</v>
      </c>
      <c r="BE426" s="130">
        <f>IF(N426="základná",J426,0)</f>
        <v>0</v>
      </c>
      <c r="BF426" s="130">
        <f>IF(N426="znížená",J426,0)</f>
        <v>0</v>
      </c>
      <c r="BG426" s="130">
        <f>IF(N426="zákl. prenesená",J426,0)</f>
        <v>0</v>
      </c>
      <c r="BH426" s="130">
        <f>IF(N426="zníž. prenesená",J426,0)</f>
        <v>0</v>
      </c>
      <c r="BI426" s="130">
        <f>IF(N426="nulová",J426,0)</f>
        <v>0</v>
      </c>
      <c r="BJ426" s="13" t="s">
        <v>76</v>
      </c>
      <c r="BK426" s="130">
        <f>ROUND(I426*H426,2)</f>
        <v>18.97</v>
      </c>
      <c r="BL426" s="13" t="s">
        <v>235</v>
      </c>
      <c r="BM426" s="129" t="s">
        <v>2276</v>
      </c>
    </row>
    <row r="427" spans="2:65" s="424" customFormat="1" ht="22.8" x14ac:dyDescent="0.2">
      <c r="B427" s="118"/>
      <c r="C427" s="1234" t="s">
        <v>5205</v>
      </c>
      <c r="D427" s="1235"/>
      <c r="E427" s="1235"/>
      <c r="F427" s="1235"/>
      <c r="G427" s="1235"/>
      <c r="H427" s="1235"/>
      <c r="I427" s="1235"/>
      <c r="J427" s="1236"/>
      <c r="K427" s="222"/>
      <c r="L427" s="24"/>
      <c r="M427" s="125"/>
      <c r="N427" s="126"/>
      <c r="O427" s="127"/>
      <c r="P427" s="127"/>
      <c r="Q427" s="127"/>
      <c r="R427" s="127"/>
      <c r="S427" s="127"/>
      <c r="T427" s="128"/>
      <c r="V427" s="470"/>
      <c r="W427" s="199"/>
      <c r="X427" s="341" t="s">
        <v>6124</v>
      </c>
      <c r="Y427" s="341" t="s">
        <v>231</v>
      </c>
      <c r="Z427" s="342" t="s">
        <v>6097</v>
      </c>
      <c r="AA427" s="343" t="s">
        <v>6098</v>
      </c>
      <c r="AB427" s="344" t="s">
        <v>1194</v>
      </c>
      <c r="AC427" s="345">
        <v>1</v>
      </c>
      <c r="AD427" s="346">
        <v>20.2</v>
      </c>
      <c r="AE427" s="355">
        <f t="shared" si="97"/>
        <v>20.2</v>
      </c>
      <c r="AF427" s="227">
        <v>6</v>
      </c>
      <c r="AG427" s="374"/>
      <c r="AH427" s="477"/>
      <c r="AR427" s="129"/>
      <c r="AT427" s="129"/>
      <c r="AU427" s="129"/>
      <c r="AY427" s="13"/>
      <c r="BE427" s="130"/>
      <c r="BF427" s="130"/>
      <c r="BG427" s="130"/>
      <c r="BH427" s="130"/>
      <c r="BI427" s="130"/>
      <c r="BJ427" s="13"/>
      <c r="BK427" s="130"/>
      <c r="BL427" s="13"/>
      <c r="BM427" s="129"/>
    </row>
    <row r="428" spans="2:65" s="424" customFormat="1" ht="34.200000000000003" x14ac:dyDescent="0.2">
      <c r="B428" s="118"/>
      <c r="C428" s="1234" t="s">
        <v>5205</v>
      </c>
      <c r="D428" s="1235"/>
      <c r="E428" s="1235"/>
      <c r="F428" s="1235"/>
      <c r="G428" s="1235"/>
      <c r="H428" s="1235"/>
      <c r="I428" s="1235"/>
      <c r="J428" s="1236"/>
      <c r="K428" s="222"/>
      <c r="L428" s="24"/>
      <c r="M428" s="125"/>
      <c r="N428" s="126"/>
      <c r="O428" s="127"/>
      <c r="P428" s="127"/>
      <c r="Q428" s="127"/>
      <c r="R428" s="127"/>
      <c r="S428" s="127"/>
      <c r="T428" s="128"/>
      <c r="V428" s="470"/>
      <c r="W428" s="199"/>
      <c r="X428" s="341" t="s">
        <v>6125</v>
      </c>
      <c r="Y428" s="341" t="s">
        <v>231</v>
      </c>
      <c r="Z428" s="342" t="s">
        <v>6099</v>
      </c>
      <c r="AA428" s="343" t="s">
        <v>6100</v>
      </c>
      <c r="AB428" s="344" t="s">
        <v>1194</v>
      </c>
      <c r="AC428" s="345">
        <v>1</v>
      </c>
      <c r="AD428" s="346">
        <v>44</v>
      </c>
      <c r="AE428" s="355">
        <f t="shared" si="97"/>
        <v>44</v>
      </c>
      <c r="AF428" s="227">
        <v>6</v>
      </c>
      <c r="AG428" s="374"/>
      <c r="AH428" s="477"/>
      <c r="AR428" s="129"/>
      <c r="AT428" s="129"/>
      <c r="AU428" s="129"/>
      <c r="AY428" s="13"/>
      <c r="BE428" s="130"/>
      <c r="BF428" s="130"/>
      <c r="BG428" s="130"/>
      <c r="BH428" s="130"/>
      <c r="BI428" s="130"/>
      <c r="BJ428" s="13"/>
      <c r="BK428" s="130"/>
      <c r="BL428" s="13"/>
      <c r="BM428" s="129"/>
    </row>
    <row r="429" spans="2:65" s="424" customFormat="1" ht="18" customHeight="1" x14ac:dyDescent="0.2">
      <c r="B429" s="118"/>
      <c r="C429" s="1234" t="s">
        <v>5205</v>
      </c>
      <c r="D429" s="1235"/>
      <c r="E429" s="1235"/>
      <c r="F429" s="1235"/>
      <c r="G429" s="1235"/>
      <c r="H429" s="1235"/>
      <c r="I429" s="1235"/>
      <c r="J429" s="1236"/>
      <c r="K429" s="222"/>
      <c r="L429" s="24"/>
      <c r="M429" s="125"/>
      <c r="N429" s="126"/>
      <c r="O429" s="127"/>
      <c r="P429" s="127"/>
      <c r="Q429" s="127"/>
      <c r="R429" s="127"/>
      <c r="S429" s="127"/>
      <c r="T429" s="128"/>
      <c r="V429" s="470"/>
      <c r="W429" s="199"/>
      <c r="X429" s="341" t="s">
        <v>6126</v>
      </c>
      <c r="Y429" s="341" t="s">
        <v>231</v>
      </c>
      <c r="Z429" s="342" t="s">
        <v>6101</v>
      </c>
      <c r="AA429" s="343" t="s">
        <v>6102</v>
      </c>
      <c r="AB429" s="344" t="s">
        <v>1194</v>
      </c>
      <c r="AC429" s="345">
        <v>1</v>
      </c>
      <c r="AD429" s="346">
        <v>80.2</v>
      </c>
      <c r="AE429" s="355">
        <f t="shared" si="97"/>
        <v>80.2</v>
      </c>
      <c r="AF429" s="227">
        <v>6</v>
      </c>
      <c r="AG429" s="374"/>
      <c r="AH429" s="477"/>
      <c r="AR429" s="129"/>
      <c r="AT429" s="129"/>
      <c r="AU429" s="129"/>
      <c r="AY429" s="13"/>
      <c r="BE429" s="130"/>
      <c r="BF429" s="130"/>
      <c r="BG429" s="130"/>
      <c r="BH429" s="130"/>
      <c r="BI429" s="130"/>
      <c r="BJ429" s="13"/>
      <c r="BK429" s="130"/>
      <c r="BL429" s="13"/>
      <c r="BM429" s="129"/>
    </row>
    <row r="430" spans="2:65" s="11" customFormat="1" ht="22.95" customHeight="1" x14ac:dyDescent="0.25">
      <c r="B430" s="106"/>
      <c r="D430" s="107" t="s">
        <v>57</v>
      </c>
      <c r="E430" s="116" t="s">
        <v>1269</v>
      </c>
      <c r="F430" s="116" t="s">
        <v>1930</v>
      </c>
      <c r="J430" s="117">
        <f>BK430</f>
        <v>34.29</v>
      </c>
      <c r="L430" s="106"/>
      <c r="M430" s="110"/>
      <c r="N430" s="111"/>
      <c r="O430" s="111"/>
      <c r="P430" s="112"/>
      <c r="Q430" s="111"/>
      <c r="R430" s="112"/>
      <c r="S430" s="111"/>
      <c r="T430" s="113"/>
      <c r="W430" s="195"/>
      <c r="X430" s="111"/>
      <c r="Y430" s="196" t="s">
        <v>57</v>
      </c>
      <c r="Z430" s="201" t="s">
        <v>1269</v>
      </c>
      <c r="AA430" s="201" t="s">
        <v>1930</v>
      </c>
      <c r="AB430" s="111"/>
      <c r="AC430" s="111"/>
      <c r="AD430" s="111"/>
      <c r="AE430" s="202">
        <f>SUM(AE431:AE436)</f>
        <v>193.10000000000002</v>
      </c>
      <c r="AF430" s="227"/>
      <c r="AG430" s="374"/>
      <c r="AH430" s="477"/>
      <c r="AR430" s="107" t="s">
        <v>63</v>
      </c>
      <c r="AT430" s="114" t="s">
        <v>57</v>
      </c>
      <c r="AU430" s="114" t="s">
        <v>63</v>
      </c>
      <c r="AY430" s="107" t="s">
        <v>228</v>
      </c>
      <c r="BK430" s="115">
        <f>SUM(BK431:BK432)</f>
        <v>34.29</v>
      </c>
    </row>
    <row r="431" spans="2:65" s="1" customFormat="1" ht="24" customHeight="1" x14ac:dyDescent="0.2">
      <c r="B431" s="118"/>
      <c r="C431" s="205" t="s">
        <v>616</v>
      </c>
      <c r="D431" s="119" t="s">
        <v>231</v>
      </c>
      <c r="E431" s="120" t="s">
        <v>2277</v>
      </c>
      <c r="F431" s="121" t="s">
        <v>2278</v>
      </c>
      <c r="G431" s="122" t="s">
        <v>1194</v>
      </c>
      <c r="H431" s="206">
        <v>1</v>
      </c>
      <c r="I431" s="124">
        <v>21.94</v>
      </c>
      <c r="J431" s="124">
        <f>ROUND(I431*H431,2)</f>
        <v>21.94</v>
      </c>
      <c r="K431" s="121" t="s">
        <v>1</v>
      </c>
      <c r="L431" s="469"/>
      <c r="M431" s="125"/>
      <c r="N431" s="126"/>
      <c r="O431" s="127"/>
      <c r="P431" s="127"/>
      <c r="Q431" s="127"/>
      <c r="R431" s="127"/>
      <c r="S431" s="127"/>
      <c r="T431" s="128"/>
      <c r="W431" s="199"/>
      <c r="X431" s="205" t="s">
        <v>616</v>
      </c>
      <c r="Y431" s="119" t="s">
        <v>231</v>
      </c>
      <c r="Z431" s="120" t="s">
        <v>2277</v>
      </c>
      <c r="AA431" s="121" t="s">
        <v>2278</v>
      </c>
      <c r="AB431" s="122" t="s">
        <v>1194</v>
      </c>
      <c r="AC431" s="206">
        <v>0</v>
      </c>
      <c r="AD431" s="124">
        <v>21.94</v>
      </c>
      <c r="AE431" s="200">
        <f t="shared" ref="AE431:AE436" si="98">ROUND(AD431*AC431,2)</f>
        <v>0</v>
      </c>
      <c r="AF431" s="227">
        <v>6</v>
      </c>
      <c r="AG431" s="374"/>
      <c r="AH431" s="477"/>
      <c r="AR431" s="129" t="s">
        <v>235</v>
      </c>
      <c r="AT431" s="129" t="s">
        <v>231</v>
      </c>
      <c r="AU431" s="129" t="s">
        <v>76</v>
      </c>
      <c r="AY431" s="13" t="s">
        <v>228</v>
      </c>
      <c r="BE431" s="130">
        <f>IF(N431="základná",J431,0)</f>
        <v>0</v>
      </c>
      <c r="BF431" s="130">
        <f>IF(N431="znížená",J431,0)</f>
        <v>0</v>
      </c>
      <c r="BG431" s="130">
        <f>IF(N431="zákl. prenesená",J431,0)</f>
        <v>0</v>
      </c>
      <c r="BH431" s="130">
        <f>IF(N431="zníž. prenesená",J431,0)</f>
        <v>0</v>
      </c>
      <c r="BI431" s="130">
        <f>IF(N431="nulová",J431,0)</f>
        <v>0</v>
      </c>
      <c r="BJ431" s="13" t="s">
        <v>76</v>
      </c>
      <c r="BK431" s="130">
        <f>ROUND(I431*H431,2)</f>
        <v>21.94</v>
      </c>
      <c r="BL431" s="13" t="s">
        <v>235</v>
      </c>
      <c r="BM431" s="129" t="s">
        <v>2279</v>
      </c>
    </row>
    <row r="432" spans="2:65" s="1" customFormat="1" ht="16.5" customHeight="1" x14ac:dyDescent="0.2">
      <c r="B432" s="118"/>
      <c r="C432" s="205" t="s">
        <v>2280</v>
      </c>
      <c r="D432" s="119" t="s">
        <v>231</v>
      </c>
      <c r="E432" s="120" t="s">
        <v>2281</v>
      </c>
      <c r="F432" s="121" t="s">
        <v>2282</v>
      </c>
      <c r="G432" s="122" t="s">
        <v>1194</v>
      </c>
      <c r="H432" s="206">
        <v>1</v>
      </c>
      <c r="I432" s="124">
        <v>12.35</v>
      </c>
      <c r="J432" s="124">
        <f>ROUND(I432*H432,2)</f>
        <v>12.35</v>
      </c>
      <c r="K432" s="121" t="s">
        <v>1</v>
      </c>
      <c r="L432" s="469"/>
      <c r="M432" s="125"/>
      <c r="N432" s="126"/>
      <c r="O432" s="127"/>
      <c r="P432" s="127"/>
      <c r="Q432" s="127"/>
      <c r="R432" s="127"/>
      <c r="S432" s="127"/>
      <c r="T432" s="128"/>
      <c r="W432" s="199"/>
      <c r="X432" s="205" t="s">
        <v>2280</v>
      </c>
      <c r="Y432" s="119" t="s">
        <v>231</v>
      </c>
      <c r="Z432" s="120" t="s">
        <v>2281</v>
      </c>
      <c r="AA432" s="121" t="s">
        <v>2282</v>
      </c>
      <c r="AB432" s="122" t="s">
        <v>1194</v>
      </c>
      <c r="AC432" s="206">
        <v>0</v>
      </c>
      <c r="AD432" s="124">
        <v>12.35</v>
      </c>
      <c r="AE432" s="200">
        <f t="shared" si="98"/>
        <v>0</v>
      </c>
      <c r="AF432" s="227">
        <v>6</v>
      </c>
      <c r="AG432" s="374"/>
      <c r="AH432" s="477"/>
      <c r="AR432" s="129" t="s">
        <v>235</v>
      </c>
      <c r="AT432" s="129" t="s">
        <v>231</v>
      </c>
      <c r="AU432" s="129" t="s">
        <v>76</v>
      </c>
      <c r="AY432" s="13" t="s">
        <v>228</v>
      </c>
      <c r="BE432" s="130">
        <f>IF(N432="základná",J432,0)</f>
        <v>0</v>
      </c>
      <c r="BF432" s="130">
        <f>IF(N432="znížená",J432,0)</f>
        <v>0</v>
      </c>
      <c r="BG432" s="130">
        <f>IF(N432="zákl. prenesená",J432,0)</f>
        <v>0</v>
      </c>
      <c r="BH432" s="130">
        <f>IF(N432="zníž. prenesená",J432,0)</f>
        <v>0</v>
      </c>
      <c r="BI432" s="130">
        <f>IF(N432="nulová",J432,0)</f>
        <v>0</v>
      </c>
      <c r="BJ432" s="13" t="s">
        <v>76</v>
      </c>
      <c r="BK432" s="130">
        <f>ROUND(I432*H432,2)</f>
        <v>12.35</v>
      </c>
      <c r="BL432" s="13" t="s">
        <v>235</v>
      </c>
      <c r="BM432" s="129" t="s">
        <v>2283</v>
      </c>
    </row>
    <row r="433" spans="2:65" s="424" customFormat="1" ht="39.75" customHeight="1" x14ac:dyDescent="0.2">
      <c r="B433" s="118"/>
      <c r="C433" s="1234" t="s">
        <v>5205</v>
      </c>
      <c r="D433" s="1235"/>
      <c r="E433" s="1235"/>
      <c r="F433" s="1235"/>
      <c r="G433" s="1235"/>
      <c r="H433" s="1235"/>
      <c r="I433" s="1235"/>
      <c r="J433" s="1236"/>
      <c r="K433" s="222"/>
      <c r="L433" s="24"/>
      <c r="M433" s="125"/>
      <c r="N433" s="126"/>
      <c r="O433" s="127"/>
      <c r="P433" s="127"/>
      <c r="Q433" s="127"/>
      <c r="R433" s="127"/>
      <c r="S433" s="127"/>
      <c r="T433" s="128"/>
      <c r="V433" s="470"/>
      <c r="W433" s="199"/>
      <c r="X433" s="341" t="s">
        <v>6127</v>
      </c>
      <c r="Y433" s="341" t="s">
        <v>231</v>
      </c>
      <c r="Z433" s="342" t="s">
        <v>6103</v>
      </c>
      <c r="AA433" s="343" t="s">
        <v>6104</v>
      </c>
      <c r="AB433" s="344" t="s">
        <v>1194</v>
      </c>
      <c r="AC433" s="345">
        <v>1</v>
      </c>
      <c r="AD433" s="346">
        <v>43.5</v>
      </c>
      <c r="AE433" s="355">
        <f t="shared" si="98"/>
        <v>43.5</v>
      </c>
      <c r="AF433" s="227">
        <v>6</v>
      </c>
      <c r="AG433" s="374"/>
      <c r="AH433" s="477"/>
      <c r="AR433" s="129"/>
      <c r="AT433" s="129"/>
      <c r="AU433" s="129"/>
      <c r="AY433" s="13"/>
      <c r="BE433" s="130"/>
      <c r="BF433" s="130"/>
      <c r="BG433" s="130"/>
      <c r="BH433" s="130"/>
      <c r="BI433" s="130"/>
      <c r="BJ433" s="13"/>
      <c r="BK433" s="130"/>
      <c r="BL433" s="13"/>
      <c r="BM433" s="129"/>
    </row>
    <row r="434" spans="2:65" s="424" customFormat="1" ht="39.75" customHeight="1" x14ac:dyDescent="0.2">
      <c r="B434" s="118"/>
      <c r="C434" s="1234" t="s">
        <v>5205</v>
      </c>
      <c r="D434" s="1235"/>
      <c r="E434" s="1235"/>
      <c r="F434" s="1235"/>
      <c r="G434" s="1235"/>
      <c r="H434" s="1235"/>
      <c r="I434" s="1235"/>
      <c r="J434" s="1236"/>
      <c r="K434" s="222"/>
      <c r="L434" s="24"/>
      <c r="M434" s="125"/>
      <c r="N434" s="126"/>
      <c r="O434" s="127"/>
      <c r="P434" s="127"/>
      <c r="Q434" s="127"/>
      <c r="R434" s="127"/>
      <c r="S434" s="127"/>
      <c r="T434" s="128"/>
      <c r="V434" s="470"/>
      <c r="W434" s="199"/>
      <c r="X434" s="341" t="s">
        <v>6128</v>
      </c>
      <c r="Y434" s="341" t="s">
        <v>231</v>
      </c>
      <c r="Z434" s="342" t="s">
        <v>6105</v>
      </c>
      <c r="AA434" s="343" t="s">
        <v>6106</v>
      </c>
      <c r="AB434" s="344" t="s">
        <v>1194</v>
      </c>
      <c r="AC434" s="345">
        <v>1</v>
      </c>
      <c r="AD434" s="346">
        <v>44</v>
      </c>
      <c r="AE434" s="355">
        <f t="shared" si="98"/>
        <v>44</v>
      </c>
      <c r="AF434" s="227">
        <v>6</v>
      </c>
      <c r="AG434" s="374"/>
      <c r="AH434" s="477"/>
      <c r="AR434" s="129"/>
      <c r="AT434" s="129"/>
      <c r="AU434" s="129"/>
      <c r="AY434" s="13"/>
      <c r="BE434" s="130"/>
      <c r="BF434" s="130"/>
      <c r="BG434" s="130"/>
      <c r="BH434" s="130"/>
      <c r="BI434" s="130"/>
      <c r="BJ434" s="13"/>
      <c r="BK434" s="130"/>
      <c r="BL434" s="13"/>
      <c r="BM434" s="129"/>
    </row>
    <row r="435" spans="2:65" s="424" customFormat="1" ht="30" customHeight="1" x14ac:dyDescent="0.2">
      <c r="B435" s="118"/>
      <c r="C435" s="1234" t="s">
        <v>5205</v>
      </c>
      <c r="D435" s="1235"/>
      <c r="E435" s="1235"/>
      <c r="F435" s="1235"/>
      <c r="G435" s="1235"/>
      <c r="H435" s="1235"/>
      <c r="I435" s="1235"/>
      <c r="J435" s="1236"/>
      <c r="K435" s="222"/>
      <c r="L435" s="24"/>
      <c r="M435" s="125"/>
      <c r="N435" s="126"/>
      <c r="O435" s="127"/>
      <c r="P435" s="127"/>
      <c r="Q435" s="127"/>
      <c r="R435" s="127"/>
      <c r="S435" s="127"/>
      <c r="T435" s="128"/>
      <c r="V435" s="470"/>
      <c r="W435" s="199"/>
      <c r="X435" s="341" t="s">
        <v>6129</v>
      </c>
      <c r="Y435" s="341" t="s">
        <v>231</v>
      </c>
      <c r="Z435" s="342" t="s">
        <v>6107</v>
      </c>
      <c r="AA435" s="343" t="s">
        <v>6108</v>
      </c>
      <c r="AB435" s="344" t="s">
        <v>1194</v>
      </c>
      <c r="AC435" s="345">
        <v>1</v>
      </c>
      <c r="AD435" s="346">
        <v>25.4</v>
      </c>
      <c r="AE435" s="355">
        <f t="shared" si="98"/>
        <v>25.4</v>
      </c>
      <c r="AF435" s="227">
        <v>6</v>
      </c>
      <c r="AG435" s="374"/>
      <c r="AH435" s="477"/>
      <c r="AR435" s="129"/>
      <c r="AT435" s="129"/>
      <c r="AU435" s="129"/>
      <c r="AY435" s="13"/>
      <c r="BE435" s="130"/>
      <c r="BF435" s="130"/>
      <c r="BG435" s="130"/>
      <c r="BH435" s="130"/>
      <c r="BI435" s="130"/>
      <c r="BJ435" s="13"/>
      <c r="BK435" s="130"/>
      <c r="BL435" s="13"/>
      <c r="BM435" s="129"/>
    </row>
    <row r="436" spans="2:65" s="424" customFormat="1" ht="20.25" customHeight="1" x14ac:dyDescent="0.2">
      <c r="B436" s="118"/>
      <c r="C436" s="1234" t="s">
        <v>5205</v>
      </c>
      <c r="D436" s="1235"/>
      <c r="E436" s="1235"/>
      <c r="F436" s="1235"/>
      <c r="G436" s="1235"/>
      <c r="H436" s="1235"/>
      <c r="I436" s="1235"/>
      <c r="J436" s="1236"/>
      <c r="K436" s="222"/>
      <c r="L436" s="24"/>
      <c r="M436" s="125"/>
      <c r="N436" s="126"/>
      <c r="O436" s="127"/>
      <c r="P436" s="127"/>
      <c r="Q436" s="127"/>
      <c r="R436" s="127"/>
      <c r="S436" s="127"/>
      <c r="T436" s="128"/>
      <c r="V436" s="470"/>
      <c r="W436" s="199"/>
      <c r="X436" s="341" t="s">
        <v>6130</v>
      </c>
      <c r="Y436" s="341" t="s">
        <v>231</v>
      </c>
      <c r="Z436" s="342" t="s">
        <v>6101</v>
      </c>
      <c r="AA436" s="343" t="s">
        <v>6102</v>
      </c>
      <c r="AB436" s="344" t="s">
        <v>1194</v>
      </c>
      <c r="AC436" s="345">
        <v>1</v>
      </c>
      <c r="AD436" s="346">
        <v>80.2</v>
      </c>
      <c r="AE436" s="355">
        <f t="shared" si="98"/>
        <v>80.2</v>
      </c>
      <c r="AF436" s="227">
        <v>6</v>
      </c>
      <c r="AG436" s="374"/>
      <c r="AH436" s="477"/>
      <c r="AR436" s="129"/>
      <c r="AT436" s="129"/>
      <c r="AU436" s="129"/>
      <c r="AY436" s="13"/>
      <c r="BE436" s="130"/>
      <c r="BF436" s="130"/>
      <c r="BG436" s="130"/>
      <c r="BH436" s="130"/>
      <c r="BI436" s="130"/>
      <c r="BJ436" s="13"/>
      <c r="BK436" s="130"/>
      <c r="BL436" s="13"/>
      <c r="BM436" s="129"/>
    </row>
    <row r="437" spans="2:65" s="11" customFormat="1" ht="22.95" customHeight="1" x14ac:dyDescent="0.25">
      <c r="B437" s="106"/>
      <c r="D437" s="107" t="s">
        <v>57</v>
      </c>
      <c r="E437" s="116" t="s">
        <v>2284</v>
      </c>
      <c r="F437" s="116" t="s">
        <v>2285</v>
      </c>
      <c r="J437" s="117">
        <f>BK437</f>
        <v>1052.25</v>
      </c>
      <c r="L437" s="106"/>
      <c r="M437" s="110"/>
      <c r="N437" s="111"/>
      <c r="O437" s="111"/>
      <c r="P437" s="112"/>
      <c r="Q437" s="111"/>
      <c r="R437" s="112"/>
      <c r="S437" s="111"/>
      <c r="T437" s="113"/>
      <c r="W437" s="195"/>
      <c r="X437" s="111"/>
      <c r="Y437" s="196" t="s">
        <v>57</v>
      </c>
      <c r="Z437" s="201" t="s">
        <v>2284</v>
      </c>
      <c r="AA437" s="201" t="s">
        <v>2285</v>
      </c>
      <c r="AB437" s="111"/>
      <c r="AC437" s="111"/>
      <c r="AD437" s="111"/>
      <c r="AE437" s="202">
        <f>SUM(AE438:AE462)</f>
        <v>1052.25</v>
      </c>
      <c r="AF437" s="227"/>
      <c r="AG437" s="374"/>
      <c r="AH437" s="477"/>
      <c r="AR437" s="107" t="s">
        <v>63</v>
      </c>
      <c r="AT437" s="114" t="s">
        <v>57</v>
      </c>
      <c r="AU437" s="114" t="s">
        <v>63</v>
      </c>
      <c r="AY437" s="107" t="s">
        <v>228</v>
      </c>
      <c r="BK437" s="115">
        <f>SUM(BK438:BK462)</f>
        <v>1052.25</v>
      </c>
    </row>
    <row r="438" spans="2:65" s="1" customFormat="1" ht="16.5" customHeight="1" x14ac:dyDescent="0.2">
      <c r="B438" s="118"/>
      <c r="C438" s="285" t="s">
        <v>619</v>
      </c>
      <c r="D438" s="285" t="s">
        <v>231</v>
      </c>
      <c r="E438" s="286" t="s">
        <v>2286</v>
      </c>
      <c r="F438" s="240" t="s">
        <v>2287</v>
      </c>
      <c r="G438" s="287" t="s">
        <v>1194</v>
      </c>
      <c r="H438" s="288">
        <v>1</v>
      </c>
      <c r="I438" s="289">
        <v>20.309999999999999</v>
      </c>
      <c r="J438" s="289">
        <f t="shared" ref="J438:J448" si="99">ROUND(I438*H438,2)</f>
        <v>20.309999999999999</v>
      </c>
      <c r="K438" s="121" t="s">
        <v>1</v>
      </c>
      <c r="L438" s="465"/>
      <c r="M438" s="125"/>
      <c r="N438" s="126"/>
      <c r="O438" s="127"/>
      <c r="P438" s="127"/>
      <c r="Q438" s="127"/>
      <c r="R438" s="127"/>
      <c r="S438" s="127"/>
      <c r="T438" s="128"/>
      <c r="W438" s="199"/>
      <c r="X438" s="285" t="s">
        <v>619</v>
      </c>
      <c r="Y438" s="285" t="s">
        <v>231</v>
      </c>
      <c r="Z438" s="286" t="s">
        <v>2286</v>
      </c>
      <c r="AA438" s="240" t="s">
        <v>2287</v>
      </c>
      <c r="AB438" s="287" t="s">
        <v>1194</v>
      </c>
      <c r="AC438" s="288">
        <v>1</v>
      </c>
      <c r="AD438" s="289">
        <v>20.309999999999999</v>
      </c>
      <c r="AE438" s="290">
        <f t="shared" ref="AE438:AE448" si="100">ROUND(AD438*AC438,2)</f>
        <v>20.309999999999999</v>
      </c>
      <c r="AF438" s="227"/>
      <c r="AG438" s="374"/>
      <c r="AH438" s="477"/>
      <c r="AR438" s="129" t="s">
        <v>235</v>
      </c>
      <c r="AT438" s="129" t="s">
        <v>231</v>
      </c>
      <c r="AU438" s="129" t="s">
        <v>76</v>
      </c>
      <c r="AY438" s="13" t="s">
        <v>228</v>
      </c>
      <c r="BE438" s="130">
        <f t="shared" ref="BE438:BE448" si="101">IF(N438="základná",J438,0)</f>
        <v>0</v>
      </c>
      <c r="BF438" s="130">
        <f t="shared" ref="BF438:BF448" si="102">IF(N438="znížená",J438,0)</f>
        <v>0</v>
      </c>
      <c r="BG438" s="130">
        <f t="shared" ref="BG438:BG448" si="103">IF(N438="zákl. prenesená",J438,0)</f>
        <v>0</v>
      </c>
      <c r="BH438" s="130">
        <f t="shared" ref="BH438:BH448" si="104">IF(N438="zníž. prenesená",J438,0)</f>
        <v>0</v>
      </c>
      <c r="BI438" s="130">
        <f t="shared" ref="BI438:BI448" si="105">IF(N438="nulová",J438,0)</f>
        <v>0</v>
      </c>
      <c r="BJ438" s="13" t="s">
        <v>76</v>
      </c>
      <c r="BK438" s="130">
        <f t="shared" ref="BK438:BK448" si="106">ROUND(I438*H438,2)</f>
        <v>20.309999999999999</v>
      </c>
      <c r="BL438" s="13" t="s">
        <v>235</v>
      </c>
      <c r="BM438" s="129" t="s">
        <v>2288</v>
      </c>
    </row>
    <row r="439" spans="2:65" s="1" customFormat="1" ht="16.5" customHeight="1" x14ac:dyDescent="0.2">
      <c r="B439" s="118"/>
      <c r="C439" s="285" t="s">
        <v>2289</v>
      </c>
      <c r="D439" s="285" t="s">
        <v>231</v>
      </c>
      <c r="E439" s="286" t="s">
        <v>2290</v>
      </c>
      <c r="F439" s="240" t="s">
        <v>2291</v>
      </c>
      <c r="G439" s="287" t="s">
        <v>292</v>
      </c>
      <c r="H439" s="288">
        <v>1</v>
      </c>
      <c r="I439" s="289">
        <v>14.15</v>
      </c>
      <c r="J439" s="289">
        <f t="shared" si="99"/>
        <v>14.15</v>
      </c>
      <c r="K439" s="121" t="s">
        <v>1</v>
      </c>
      <c r="L439" s="465"/>
      <c r="M439" s="125"/>
      <c r="N439" s="126"/>
      <c r="O439" s="127"/>
      <c r="P439" s="127"/>
      <c r="Q439" s="127"/>
      <c r="R439" s="127"/>
      <c r="S439" s="127"/>
      <c r="T439" s="128"/>
      <c r="W439" s="199"/>
      <c r="X439" s="285" t="s">
        <v>2289</v>
      </c>
      <c r="Y439" s="285" t="s">
        <v>231</v>
      </c>
      <c r="Z439" s="286" t="s">
        <v>2290</v>
      </c>
      <c r="AA439" s="240" t="s">
        <v>2291</v>
      </c>
      <c r="AB439" s="287" t="s">
        <v>292</v>
      </c>
      <c r="AC439" s="288">
        <v>1</v>
      </c>
      <c r="AD439" s="289">
        <v>14.15</v>
      </c>
      <c r="AE439" s="290">
        <f t="shared" si="100"/>
        <v>14.15</v>
      </c>
      <c r="AF439" s="227"/>
      <c r="AG439" s="374"/>
      <c r="AH439" s="477"/>
      <c r="AR439" s="129" t="s">
        <v>235</v>
      </c>
      <c r="AT439" s="129" t="s">
        <v>231</v>
      </c>
      <c r="AU439" s="129" t="s">
        <v>76</v>
      </c>
      <c r="AY439" s="13" t="s">
        <v>228</v>
      </c>
      <c r="BE439" s="130">
        <f t="shared" si="101"/>
        <v>0</v>
      </c>
      <c r="BF439" s="130">
        <f t="shared" si="102"/>
        <v>0</v>
      </c>
      <c r="BG439" s="130">
        <f t="shared" si="103"/>
        <v>0</v>
      </c>
      <c r="BH439" s="130">
        <f t="shared" si="104"/>
        <v>0</v>
      </c>
      <c r="BI439" s="130">
        <f t="shared" si="105"/>
        <v>0</v>
      </c>
      <c r="BJ439" s="13" t="s">
        <v>76</v>
      </c>
      <c r="BK439" s="130">
        <f t="shared" si="106"/>
        <v>14.15</v>
      </c>
      <c r="BL439" s="13" t="s">
        <v>235</v>
      </c>
      <c r="BM439" s="129" t="s">
        <v>2292</v>
      </c>
    </row>
    <row r="440" spans="2:65" s="1" customFormat="1" ht="16.5" customHeight="1" x14ac:dyDescent="0.2">
      <c r="B440" s="118"/>
      <c r="C440" s="285" t="s">
        <v>623</v>
      </c>
      <c r="D440" s="285" t="s">
        <v>231</v>
      </c>
      <c r="E440" s="286" t="s">
        <v>2293</v>
      </c>
      <c r="F440" s="240" t="s">
        <v>2294</v>
      </c>
      <c r="G440" s="287" t="s">
        <v>1194</v>
      </c>
      <c r="H440" s="288">
        <v>1</v>
      </c>
      <c r="I440" s="289">
        <v>16.61</v>
      </c>
      <c r="J440" s="289">
        <f t="shared" si="99"/>
        <v>16.61</v>
      </c>
      <c r="K440" s="121" t="s">
        <v>1</v>
      </c>
      <c r="L440" s="465"/>
      <c r="M440" s="125"/>
      <c r="N440" s="126"/>
      <c r="O440" s="127"/>
      <c r="P440" s="127"/>
      <c r="Q440" s="127"/>
      <c r="R440" s="127"/>
      <c r="S440" s="127"/>
      <c r="T440" s="128"/>
      <c r="W440" s="199"/>
      <c r="X440" s="285" t="s">
        <v>623</v>
      </c>
      <c r="Y440" s="285" t="s">
        <v>231</v>
      </c>
      <c r="Z440" s="286" t="s">
        <v>2293</v>
      </c>
      <c r="AA440" s="240" t="s">
        <v>2294</v>
      </c>
      <c r="AB440" s="287" t="s">
        <v>1194</v>
      </c>
      <c r="AC440" s="288">
        <v>1</v>
      </c>
      <c r="AD440" s="289">
        <v>16.61</v>
      </c>
      <c r="AE440" s="290">
        <f t="shared" si="100"/>
        <v>16.61</v>
      </c>
      <c r="AF440" s="227"/>
      <c r="AG440" s="374"/>
      <c r="AH440" s="477"/>
      <c r="AR440" s="129" t="s">
        <v>235</v>
      </c>
      <c r="AT440" s="129" t="s">
        <v>231</v>
      </c>
      <c r="AU440" s="129" t="s">
        <v>76</v>
      </c>
      <c r="AY440" s="13" t="s">
        <v>228</v>
      </c>
      <c r="BE440" s="130">
        <f t="shared" si="101"/>
        <v>0</v>
      </c>
      <c r="BF440" s="130">
        <f t="shared" si="102"/>
        <v>0</v>
      </c>
      <c r="BG440" s="130">
        <f t="shared" si="103"/>
        <v>0</v>
      </c>
      <c r="BH440" s="130">
        <f t="shared" si="104"/>
        <v>0</v>
      </c>
      <c r="BI440" s="130">
        <f t="shared" si="105"/>
        <v>0</v>
      </c>
      <c r="BJ440" s="13" t="s">
        <v>76</v>
      </c>
      <c r="BK440" s="130">
        <f t="shared" si="106"/>
        <v>16.61</v>
      </c>
      <c r="BL440" s="13" t="s">
        <v>235</v>
      </c>
      <c r="BM440" s="129" t="s">
        <v>2295</v>
      </c>
    </row>
    <row r="441" spans="2:65" s="1" customFormat="1" ht="24" customHeight="1" x14ac:dyDescent="0.2">
      <c r="B441" s="118"/>
      <c r="C441" s="285" t="s">
        <v>2296</v>
      </c>
      <c r="D441" s="285" t="s">
        <v>231</v>
      </c>
      <c r="E441" s="286" t="s">
        <v>2297</v>
      </c>
      <c r="F441" s="240" t="s">
        <v>2298</v>
      </c>
      <c r="G441" s="287" t="s">
        <v>1194</v>
      </c>
      <c r="H441" s="288">
        <v>1</v>
      </c>
      <c r="I441" s="289">
        <v>28.17</v>
      </c>
      <c r="J441" s="289">
        <f t="shared" si="99"/>
        <v>28.17</v>
      </c>
      <c r="K441" s="121" t="s">
        <v>1</v>
      </c>
      <c r="L441" s="465"/>
      <c r="M441" s="125"/>
      <c r="N441" s="126"/>
      <c r="O441" s="127"/>
      <c r="P441" s="127"/>
      <c r="Q441" s="127"/>
      <c r="R441" s="127"/>
      <c r="S441" s="127"/>
      <c r="T441" s="128"/>
      <c r="W441" s="199"/>
      <c r="X441" s="285" t="s">
        <v>2296</v>
      </c>
      <c r="Y441" s="285" t="s">
        <v>231</v>
      </c>
      <c r="Z441" s="286" t="s">
        <v>2297</v>
      </c>
      <c r="AA441" s="240" t="s">
        <v>2298</v>
      </c>
      <c r="AB441" s="287" t="s">
        <v>1194</v>
      </c>
      <c r="AC441" s="288">
        <v>1</v>
      </c>
      <c r="AD441" s="289">
        <v>28.17</v>
      </c>
      <c r="AE441" s="290">
        <f t="shared" si="100"/>
        <v>28.17</v>
      </c>
      <c r="AF441" s="227"/>
      <c r="AG441" s="374"/>
      <c r="AH441" s="477"/>
      <c r="AR441" s="129" t="s">
        <v>235</v>
      </c>
      <c r="AT441" s="129" t="s">
        <v>231</v>
      </c>
      <c r="AU441" s="129" t="s">
        <v>76</v>
      </c>
      <c r="AY441" s="13" t="s">
        <v>228</v>
      </c>
      <c r="BE441" s="130">
        <f t="shared" si="101"/>
        <v>0</v>
      </c>
      <c r="BF441" s="130">
        <f t="shared" si="102"/>
        <v>0</v>
      </c>
      <c r="BG441" s="130">
        <f t="shared" si="103"/>
        <v>0</v>
      </c>
      <c r="BH441" s="130">
        <f t="shared" si="104"/>
        <v>0</v>
      </c>
      <c r="BI441" s="130">
        <f t="shared" si="105"/>
        <v>0</v>
      </c>
      <c r="BJ441" s="13" t="s">
        <v>76</v>
      </c>
      <c r="BK441" s="130">
        <f t="shared" si="106"/>
        <v>28.17</v>
      </c>
      <c r="BL441" s="13" t="s">
        <v>235</v>
      </c>
      <c r="BM441" s="129" t="s">
        <v>2299</v>
      </c>
    </row>
    <row r="442" spans="2:65" s="1" customFormat="1" ht="24" customHeight="1" x14ac:dyDescent="0.2">
      <c r="B442" s="118"/>
      <c r="C442" s="285" t="s">
        <v>626</v>
      </c>
      <c r="D442" s="285" t="s">
        <v>231</v>
      </c>
      <c r="E442" s="286" t="s">
        <v>2300</v>
      </c>
      <c r="F442" s="240" t="s">
        <v>2301</v>
      </c>
      <c r="G442" s="287" t="s">
        <v>1194</v>
      </c>
      <c r="H442" s="288">
        <v>1</v>
      </c>
      <c r="I442" s="289">
        <v>34.82</v>
      </c>
      <c r="J442" s="289">
        <f t="shared" si="99"/>
        <v>34.82</v>
      </c>
      <c r="K442" s="121" t="s">
        <v>1</v>
      </c>
      <c r="L442" s="465"/>
      <c r="M442" s="125"/>
      <c r="N442" s="126"/>
      <c r="O442" s="127"/>
      <c r="P442" s="127"/>
      <c r="Q442" s="127"/>
      <c r="R442" s="127"/>
      <c r="S442" s="127"/>
      <c r="T442" s="128"/>
      <c r="W442" s="199"/>
      <c r="X442" s="285" t="s">
        <v>626</v>
      </c>
      <c r="Y442" s="285" t="s">
        <v>231</v>
      </c>
      <c r="Z442" s="286" t="s">
        <v>2300</v>
      </c>
      <c r="AA442" s="240" t="s">
        <v>2301</v>
      </c>
      <c r="AB442" s="287" t="s">
        <v>1194</v>
      </c>
      <c r="AC442" s="288">
        <v>1</v>
      </c>
      <c r="AD442" s="289">
        <v>34.82</v>
      </c>
      <c r="AE442" s="290">
        <f t="shared" si="100"/>
        <v>34.82</v>
      </c>
      <c r="AF442" s="227"/>
      <c r="AG442" s="374"/>
      <c r="AH442" s="477"/>
      <c r="AR442" s="129" t="s">
        <v>235</v>
      </c>
      <c r="AT442" s="129" t="s">
        <v>231</v>
      </c>
      <c r="AU442" s="129" t="s">
        <v>76</v>
      </c>
      <c r="AY442" s="13" t="s">
        <v>228</v>
      </c>
      <c r="BE442" s="130">
        <f t="shared" si="101"/>
        <v>0</v>
      </c>
      <c r="BF442" s="130">
        <f t="shared" si="102"/>
        <v>0</v>
      </c>
      <c r="BG442" s="130">
        <f t="shared" si="103"/>
        <v>0</v>
      </c>
      <c r="BH442" s="130">
        <f t="shared" si="104"/>
        <v>0</v>
      </c>
      <c r="BI442" s="130">
        <f t="shared" si="105"/>
        <v>0</v>
      </c>
      <c r="BJ442" s="13" t="s">
        <v>76</v>
      </c>
      <c r="BK442" s="130">
        <f t="shared" si="106"/>
        <v>34.82</v>
      </c>
      <c r="BL442" s="13" t="s">
        <v>235</v>
      </c>
      <c r="BM442" s="129" t="s">
        <v>2302</v>
      </c>
    </row>
    <row r="443" spans="2:65" s="1" customFormat="1" ht="24" customHeight="1" x14ac:dyDescent="0.2">
      <c r="B443" s="118"/>
      <c r="C443" s="285" t="s">
        <v>2303</v>
      </c>
      <c r="D443" s="285" t="s">
        <v>231</v>
      </c>
      <c r="E443" s="286" t="s">
        <v>2304</v>
      </c>
      <c r="F443" s="240" t="s">
        <v>2305</v>
      </c>
      <c r="G443" s="287" t="s">
        <v>1194</v>
      </c>
      <c r="H443" s="288">
        <v>2</v>
      </c>
      <c r="I443" s="289">
        <v>32.450000000000003</v>
      </c>
      <c r="J443" s="289">
        <f t="shared" si="99"/>
        <v>64.900000000000006</v>
      </c>
      <c r="K443" s="121" t="s">
        <v>1</v>
      </c>
      <c r="L443" s="465"/>
      <c r="M443" s="125"/>
      <c r="N443" s="126"/>
      <c r="O443" s="127"/>
      <c r="P443" s="127"/>
      <c r="Q443" s="127"/>
      <c r="R443" s="127"/>
      <c r="S443" s="127"/>
      <c r="T443" s="128"/>
      <c r="W443" s="199"/>
      <c r="X443" s="285" t="s">
        <v>2303</v>
      </c>
      <c r="Y443" s="285" t="s">
        <v>231</v>
      </c>
      <c r="Z443" s="286" t="s">
        <v>2304</v>
      </c>
      <c r="AA443" s="240" t="s">
        <v>2305</v>
      </c>
      <c r="AB443" s="287" t="s">
        <v>1194</v>
      </c>
      <c r="AC443" s="288">
        <v>2</v>
      </c>
      <c r="AD443" s="289">
        <v>32.450000000000003</v>
      </c>
      <c r="AE443" s="290">
        <f t="shared" si="100"/>
        <v>64.900000000000006</v>
      </c>
      <c r="AF443" s="227"/>
      <c r="AG443" s="374"/>
      <c r="AH443" s="477"/>
      <c r="AR443" s="129" t="s">
        <v>235</v>
      </c>
      <c r="AT443" s="129" t="s">
        <v>231</v>
      </c>
      <c r="AU443" s="129" t="s">
        <v>76</v>
      </c>
      <c r="AY443" s="13" t="s">
        <v>228</v>
      </c>
      <c r="BE443" s="130">
        <f t="shared" si="101"/>
        <v>0</v>
      </c>
      <c r="BF443" s="130">
        <f t="shared" si="102"/>
        <v>0</v>
      </c>
      <c r="BG443" s="130">
        <f t="shared" si="103"/>
        <v>0</v>
      </c>
      <c r="BH443" s="130">
        <f t="shared" si="104"/>
        <v>0</v>
      </c>
      <c r="BI443" s="130">
        <f t="shared" si="105"/>
        <v>0</v>
      </c>
      <c r="BJ443" s="13" t="s">
        <v>76</v>
      </c>
      <c r="BK443" s="130">
        <f t="shared" si="106"/>
        <v>64.900000000000006</v>
      </c>
      <c r="BL443" s="13" t="s">
        <v>235</v>
      </c>
      <c r="BM443" s="129" t="s">
        <v>2306</v>
      </c>
    </row>
    <row r="444" spans="2:65" s="1" customFormat="1" ht="21.75" customHeight="1" x14ac:dyDescent="0.2">
      <c r="B444" s="118"/>
      <c r="C444" s="285" t="s">
        <v>630</v>
      </c>
      <c r="D444" s="285" t="s">
        <v>231</v>
      </c>
      <c r="E444" s="286" t="s">
        <v>2069</v>
      </c>
      <c r="F444" s="240" t="s">
        <v>2070</v>
      </c>
      <c r="G444" s="287" t="s">
        <v>1194</v>
      </c>
      <c r="H444" s="288">
        <v>1</v>
      </c>
      <c r="I444" s="289">
        <v>169.78</v>
      </c>
      <c r="J444" s="289">
        <f t="shared" si="99"/>
        <v>169.78</v>
      </c>
      <c r="K444" s="121" t="s">
        <v>1</v>
      </c>
      <c r="L444" s="465"/>
      <c r="M444" s="125"/>
      <c r="N444" s="126"/>
      <c r="O444" s="127"/>
      <c r="P444" s="127"/>
      <c r="Q444" s="127"/>
      <c r="R444" s="127"/>
      <c r="S444" s="127"/>
      <c r="T444" s="128"/>
      <c r="V444" s="464"/>
      <c r="W444" s="199"/>
      <c r="X444" s="285" t="s">
        <v>630</v>
      </c>
      <c r="Y444" s="285" t="s">
        <v>231</v>
      </c>
      <c r="Z444" s="286" t="s">
        <v>2069</v>
      </c>
      <c r="AA444" s="240" t="s">
        <v>2070</v>
      </c>
      <c r="AB444" s="287" t="s">
        <v>1194</v>
      </c>
      <c r="AC444" s="288">
        <v>1</v>
      </c>
      <c r="AD444" s="289">
        <v>169.78</v>
      </c>
      <c r="AE444" s="290">
        <f t="shared" si="100"/>
        <v>169.78</v>
      </c>
      <c r="AF444" s="227"/>
      <c r="AG444" s="374"/>
      <c r="AH444" s="477"/>
      <c r="AR444" s="129" t="s">
        <v>235</v>
      </c>
      <c r="AT444" s="129" t="s">
        <v>231</v>
      </c>
      <c r="AU444" s="129" t="s">
        <v>76</v>
      </c>
      <c r="AY444" s="13" t="s">
        <v>228</v>
      </c>
      <c r="BE444" s="130">
        <f t="shared" si="101"/>
        <v>0</v>
      </c>
      <c r="BF444" s="130">
        <f t="shared" si="102"/>
        <v>0</v>
      </c>
      <c r="BG444" s="130">
        <f t="shared" si="103"/>
        <v>0</v>
      </c>
      <c r="BH444" s="130">
        <f t="shared" si="104"/>
        <v>0</v>
      </c>
      <c r="BI444" s="130">
        <f t="shared" si="105"/>
        <v>0</v>
      </c>
      <c r="BJ444" s="13" t="s">
        <v>76</v>
      </c>
      <c r="BK444" s="130">
        <f t="shared" si="106"/>
        <v>169.78</v>
      </c>
      <c r="BL444" s="13" t="s">
        <v>235</v>
      </c>
      <c r="BM444" s="129" t="s">
        <v>2307</v>
      </c>
    </row>
    <row r="445" spans="2:65" s="1" customFormat="1" ht="24" customHeight="1" x14ac:dyDescent="0.2">
      <c r="B445" s="118"/>
      <c r="C445" s="285" t="s">
        <v>2308</v>
      </c>
      <c r="D445" s="285" t="s">
        <v>231</v>
      </c>
      <c r="E445" s="286" t="s">
        <v>2309</v>
      </c>
      <c r="F445" s="240" t="s">
        <v>2310</v>
      </c>
      <c r="G445" s="287" t="s">
        <v>1194</v>
      </c>
      <c r="H445" s="288">
        <v>1</v>
      </c>
      <c r="I445" s="289">
        <v>46.34</v>
      </c>
      <c r="J445" s="289">
        <f t="shared" si="99"/>
        <v>46.34</v>
      </c>
      <c r="K445" s="121" t="s">
        <v>1</v>
      </c>
      <c r="L445" s="465"/>
      <c r="M445" s="125"/>
      <c r="N445" s="126"/>
      <c r="O445" s="127"/>
      <c r="P445" s="127"/>
      <c r="Q445" s="127"/>
      <c r="R445" s="127"/>
      <c r="S445" s="127"/>
      <c r="T445" s="128"/>
      <c r="W445" s="199"/>
      <c r="X445" s="285" t="s">
        <v>2308</v>
      </c>
      <c r="Y445" s="285" t="s">
        <v>231</v>
      </c>
      <c r="Z445" s="286" t="s">
        <v>2309</v>
      </c>
      <c r="AA445" s="240" t="s">
        <v>2310</v>
      </c>
      <c r="AB445" s="287" t="s">
        <v>1194</v>
      </c>
      <c r="AC445" s="288">
        <v>1</v>
      </c>
      <c r="AD445" s="289">
        <v>46.34</v>
      </c>
      <c r="AE445" s="290">
        <f t="shared" si="100"/>
        <v>46.34</v>
      </c>
      <c r="AF445" s="227"/>
      <c r="AG445" s="374"/>
      <c r="AH445" s="477"/>
      <c r="AR445" s="129" t="s">
        <v>235</v>
      </c>
      <c r="AT445" s="129" t="s">
        <v>231</v>
      </c>
      <c r="AU445" s="129" t="s">
        <v>76</v>
      </c>
      <c r="AY445" s="13" t="s">
        <v>228</v>
      </c>
      <c r="BE445" s="130">
        <f t="shared" si="101"/>
        <v>0</v>
      </c>
      <c r="BF445" s="130">
        <f t="shared" si="102"/>
        <v>0</v>
      </c>
      <c r="BG445" s="130">
        <f t="shared" si="103"/>
        <v>0</v>
      </c>
      <c r="BH445" s="130">
        <f t="shared" si="104"/>
        <v>0</v>
      </c>
      <c r="BI445" s="130">
        <f t="shared" si="105"/>
        <v>0</v>
      </c>
      <c r="BJ445" s="13" t="s">
        <v>76</v>
      </c>
      <c r="BK445" s="130">
        <f t="shared" si="106"/>
        <v>46.34</v>
      </c>
      <c r="BL445" s="13" t="s">
        <v>235</v>
      </c>
      <c r="BM445" s="129" t="s">
        <v>2311</v>
      </c>
    </row>
    <row r="446" spans="2:65" s="1" customFormat="1" ht="24" customHeight="1" x14ac:dyDescent="0.2">
      <c r="B446" s="118"/>
      <c r="C446" s="285" t="s">
        <v>635</v>
      </c>
      <c r="D446" s="285" t="s">
        <v>231</v>
      </c>
      <c r="E446" s="286" t="s">
        <v>2312</v>
      </c>
      <c r="F446" s="240" t="s">
        <v>2313</v>
      </c>
      <c r="G446" s="287" t="s">
        <v>1194</v>
      </c>
      <c r="H446" s="288">
        <v>1</v>
      </c>
      <c r="I446" s="289">
        <v>75.790000000000006</v>
      </c>
      <c r="J446" s="289">
        <f t="shared" si="99"/>
        <v>75.790000000000006</v>
      </c>
      <c r="K446" s="121" t="s">
        <v>1</v>
      </c>
      <c r="L446" s="465"/>
      <c r="M446" s="125"/>
      <c r="N446" s="126"/>
      <c r="O446" s="127"/>
      <c r="P446" s="127"/>
      <c r="Q446" s="127"/>
      <c r="R446" s="127"/>
      <c r="S446" s="127"/>
      <c r="T446" s="128"/>
      <c r="W446" s="199"/>
      <c r="X446" s="285" t="s">
        <v>635</v>
      </c>
      <c r="Y446" s="285" t="s">
        <v>231</v>
      </c>
      <c r="Z446" s="286" t="s">
        <v>2312</v>
      </c>
      <c r="AA446" s="240" t="s">
        <v>2313</v>
      </c>
      <c r="AB446" s="287" t="s">
        <v>1194</v>
      </c>
      <c r="AC446" s="288">
        <v>1</v>
      </c>
      <c r="AD446" s="289">
        <v>75.790000000000006</v>
      </c>
      <c r="AE446" s="290">
        <f t="shared" si="100"/>
        <v>75.790000000000006</v>
      </c>
      <c r="AF446" s="227"/>
      <c r="AG446" s="374"/>
      <c r="AH446" s="477"/>
      <c r="AR446" s="129" t="s">
        <v>235</v>
      </c>
      <c r="AT446" s="129" t="s">
        <v>231</v>
      </c>
      <c r="AU446" s="129" t="s">
        <v>76</v>
      </c>
      <c r="AY446" s="13" t="s">
        <v>228</v>
      </c>
      <c r="BE446" s="130">
        <f t="shared" si="101"/>
        <v>0</v>
      </c>
      <c r="BF446" s="130">
        <f t="shared" si="102"/>
        <v>0</v>
      </c>
      <c r="BG446" s="130">
        <f t="shared" si="103"/>
        <v>0</v>
      </c>
      <c r="BH446" s="130">
        <f t="shared" si="104"/>
        <v>0</v>
      </c>
      <c r="BI446" s="130">
        <f t="shared" si="105"/>
        <v>0</v>
      </c>
      <c r="BJ446" s="13" t="s">
        <v>76</v>
      </c>
      <c r="BK446" s="130">
        <f t="shared" si="106"/>
        <v>75.790000000000006</v>
      </c>
      <c r="BL446" s="13" t="s">
        <v>235</v>
      </c>
      <c r="BM446" s="129" t="s">
        <v>2314</v>
      </c>
    </row>
    <row r="447" spans="2:65" s="1" customFormat="1" ht="24" customHeight="1" x14ac:dyDescent="0.2">
      <c r="B447" s="118"/>
      <c r="C447" s="285" t="s">
        <v>2315</v>
      </c>
      <c r="D447" s="285" t="s">
        <v>231</v>
      </c>
      <c r="E447" s="286" t="s">
        <v>2316</v>
      </c>
      <c r="F447" s="240" t="s">
        <v>2317</v>
      </c>
      <c r="G447" s="287" t="s">
        <v>1194</v>
      </c>
      <c r="H447" s="288">
        <v>1</v>
      </c>
      <c r="I447" s="289">
        <v>34.82</v>
      </c>
      <c r="J447" s="289">
        <f t="shared" si="99"/>
        <v>34.82</v>
      </c>
      <c r="K447" s="121" t="s">
        <v>1</v>
      </c>
      <c r="L447" s="465"/>
      <c r="M447" s="125"/>
      <c r="N447" s="126"/>
      <c r="O447" s="127"/>
      <c r="P447" s="127"/>
      <c r="Q447" s="127"/>
      <c r="R447" s="127"/>
      <c r="S447" s="127"/>
      <c r="T447" s="128"/>
      <c r="W447" s="199"/>
      <c r="X447" s="285" t="s">
        <v>2315</v>
      </c>
      <c r="Y447" s="285" t="s">
        <v>231</v>
      </c>
      <c r="Z447" s="286" t="s">
        <v>2316</v>
      </c>
      <c r="AA447" s="240" t="s">
        <v>2317</v>
      </c>
      <c r="AB447" s="287" t="s">
        <v>1194</v>
      </c>
      <c r="AC447" s="288">
        <v>1</v>
      </c>
      <c r="AD447" s="289">
        <v>34.82</v>
      </c>
      <c r="AE447" s="290">
        <f t="shared" si="100"/>
        <v>34.82</v>
      </c>
      <c r="AF447" s="227"/>
      <c r="AG447" s="374"/>
      <c r="AH447" s="477"/>
      <c r="AR447" s="129" t="s">
        <v>235</v>
      </c>
      <c r="AT447" s="129" t="s">
        <v>231</v>
      </c>
      <c r="AU447" s="129" t="s">
        <v>76</v>
      </c>
      <c r="AY447" s="13" t="s">
        <v>228</v>
      </c>
      <c r="BE447" s="130">
        <f t="shared" si="101"/>
        <v>0</v>
      </c>
      <c r="BF447" s="130">
        <f t="shared" si="102"/>
        <v>0</v>
      </c>
      <c r="BG447" s="130">
        <f t="shared" si="103"/>
        <v>0</v>
      </c>
      <c r="BH447" s="130">
        <f t="shared" si="104"/>
        <v>0</v>
      </c>
      <c r="BI447" s="130">
        <f t="shared" si="105"/>
        <v>0</v>
      </c>
      <c r="BJ447" s="13" t="s">
        <v>76</v>
      </c>
      <c r="BK447" s="130">
        <f t="shared" si="106"/>
        <v>34.82</v>
      </c>
      <c r="BL447" s="13" t="s">
        <v>235</v>
      </c>
      <c r="BM447" s="129" t="s">
        <v>2318</v>
      </c>
    </row>
    <row r="448" spans="2:65" s="1" customFormat="1" ht="24" customHeight="1" x14ac:dyDescent="0.2">
      <c r="B448" s="118"/>
      <c r="C448" s="285" t="s">
        <v>639</v>
      </c>
      <c r="D448" s="285" t="s">
        <v>231</v>
      </c>
      <c r="E448" s="286" t="s">
        <v>2319</v>
      </c>
      <c r="F448" s="240" t="s">
        <v>2320</v>
      </c>
      <c r="G448" s="287" t="s">
        <v>1194</v>
      </c>
      <c r="H448" s="288">
        <v>1</v>
      </c>
      <c r="I448" s="289">
        <v>51.88</v>
      </c>
      <c r="J448" s="289">
        <f t="shared" si="99"/>
        <v>51.88</v>
      </c>
      <c r="K448" s="121" t="s">
        <v>1</v>
      </c>
      <c r="L448" s="465"/>
      <c r="M448" s="125"/>
      <c r="N448" s="126"/>
      <c r="O448" s="127"/>
      <c r="P448" s="127"/>
      <c r="Q448" s="127"/>
      <c r="R448" s="127"/>
      <c r="S448" s="127"/>
      <c r="T448" s="128"/>
      <c r="W448" s="199"/>
      <c r="X448" s="285" t="s">
        <v>639</v>
      </c>
      <c r="Y448" s="285" t="s">
        <v>231</v>
      </c>
      <c r="Z448" s="286" t="s">
        <v>2319</v>
      </c>
      <c r="AA448" s="240" t="s">
        <v>2320</v>
      </c>
      <c r="AB448" s="287" t="s">
        <v>1194</v>
      </c>
      <c r="AC448" s="288">
        <v>1</v>
      </c>
      <c r="AD448" s="289">
        <v>51.88</v>
      </c>
      <c r="AE448" s="290">
        <f t="shared" si="100"/>
        <v>51.88</v>
      </c>
      <c r="AF448" s="227"/>
      <c r="AG448" s="374"/>
      <c r="AH448" s="477"/>
      <c r="AR448" s="129" t="s">
        <v>235</v>
      </c>
      <c r="AT448" s="129" t="s">
        <v>231</v>
      </c>
      <c r="AU448" s="129" t="s">
        <v>76</v>
      </c>
      <c r="AY448" s="13" t="s">
        <v>228</v>
      </c>
      <c r="BE448" s="130">
        <f t="shared" si="101"/>
        <v>0</v>
      </c>
      <c r="BF448" s="130">
        <f t="shared" si="102"/>
        <v>0</v>
      </c>
      <c r="BG448" s="130">
        <f t="shared" si="103"/>
        <v>0</v>
      </c>
      <c r="BH448" s="130">
        <f t="shared" si="104"/>
        <v>0</v>
      </c>
      <c r="BI448" s="130">
        <f t="shared" si="105"/>
        <v>0</v>
      </c>
      <c r="BJ448" s="13" t="s">
        <v>76</v>
      </c>
      <c r="BK448" s="130">
        <f t="shared" si="106"/>
        <v>51.88</v>
      </c>
      <c r="BL448" s="13" t="s">
        <v>235</v>
      </c>
      <c r="BM448" s="129" t="s">
        <v>2321</v>
      </c>
    </row>
    <row r="449" spans="2:65" s="1" customFormat="1" ht="19.2" x14ac:dyDescent="0.2">
      <c r="B449" s="24"/>
      <c r="C449" s="407"/>
      <c r="D449" s="492" t="s">
        <v>1259</v>
      </c>
      <c r="E449" s="407"/>
      <c r="F449" s="428" t="s">
        <v>2087</v>
      </c>
      <c r="G449" s="407"/>
      <c r="H449" s="407"/>
      <c r="I449" s="407"/>
      <c r="J449" s="407"/>
      <c r="L449" s="465"/>
      <c r="M449" s="146"/>
      <c r="N449" s="42"/>
      <c r="O449" s="42"/>
      <c r="P449" s="42"/>
      <c r="Q449" s="42"/>
      <c r="R449" s="42"/>
      <c r="S449" s="42"/>
      <c r="T449" s="43"/>
      <c r="W449" s="158"/>
      <c r="X449" s="427"/>
      <c r="Y449" s="511" t="s">
        <v>1259</v>
      </c>
      <c r="Z449" s="427"/>
      <c r="AA449" s="505" t="s">
        <v>2087</v>
      </c>
      <c r="AB449" s="427"/>
      <c r="AC449" s="427"/>
      <c r="AD449" s="427"/>
      <c r="AE449" s="512"/>
      <c r="AF449" s="227"/>
      <c r="AG449" s="374"/>
      <c r="AH449" s="477"/>
      <c r="AT449" s="13" t="s">
        <v>1259</v>
      </c>
      <c r="AU449" s="13" t="s">
        <v>76</v>
      </c>
    </row>
    <row r="450" spans="2:65" s="1" customFormat="1" ht="24" customHeight="1" x14ac:dyDescent="0.2">
      <c r="B450" s="118"/>
      <c r="C450" s="285" t="s">
        <v>2322</v>
      </c>
      <c r="D450" s="285" t="s">
        <v>231</v>
      </c>
      <c r="E450" s="286" t="s">
        <v>2323</v>
      </c>
      <c r="F450" s="240" t="s">
        <v>2324</v>
      </c>
      <c r="G450" s="287" t="s">
        <v>1194</v>
      </c>
      <c r="H450" s="288">
        <v>1</v>
      </c>
      <c r="I450" s="289">
        <v>30.89</v>
      </c>
      <c r="J450" s="289">
        <f>ROUND(I450*H450,2)</f>
        <v>30.89</v>
      </c>
      <c r="K450" s="121" t="s">
        <v>1</v>
      </c>
      <c r="L450" s="465"/>
      <c r="M450" s="125"/>
      <c r="N450" s="126"/>
      <c r="O450" s="127"/>
      <c r="P450" s="127"/>
      <c r="Q450" s="127"/>
      <c r="R450" s="127"/>
      <c r="S450" s="127"/>
      <c r="T450" s="128"/>
      <c r="W450" s="199"/>
      <c r="X450" s="285" t="s">
        <v>2322</v>
      </c>
      <c r="Y450" s="285" t="s">
        <v>231</v>
      </c>
      <c r="Z450" s="286" t="s">
        <v>2323</v>
      </c>
      <c r="AA450" s="240" t="s">
        <v>2324</v>
      </c>
      <c r="AB450" s="287" t="s">
        <v>1194</v>
      </c>
      <c r="AC450" s="288">
        <v>1</v>
      </c>
      <c r="AD450" s="289">
        <v>30.89</v>
      </c>
      <c r="AE450" s="290">
        <f>ROUND(AD450*AC450,2)</f>
        <v>30.89</v>
      </c>
      <c r="AF450" s="227"/>
      <c r="AG450" s="374"/>
      <c r="AH450" s="477"/>
      <c r="AR450" s="129" t="s">
        <v>235</v>
      </c>
      <c r="AT450" s="129" t="s">
        <v>231</v>
      </c>
      <c r="AU450" s="129" t="s">
        <v>76</v>
      </c>
      <c r="AY450" s="13" t="s">
        <v>228</v>
      </c>
      <c r="BE450" s="130">
        <f>IF(N450="základná",J450,0)</f>
        <v>0</v>
      </c>
      <c r="BF450" s="130">
        <f>IF(N450="znížená",J450,0)</f>
        <v>0</v>
      </c>
      <c r="BG450" s="130">
        <f>IF(N450="zákl. prenesená",J450,0)</f>
        <v>0</v>
      </c>
      <c r="BH450" s="130">
        <f>IF(N450="zníž. prenesená",J450,0)</f>
        <v>0</v>
      </c>
      <c r="BI450" s="130">
        <f>IF(N450="nulová",J450,0)</f>
        <v>0</v>
      </c>
      <c r="BJ450" s="13" t="s">
        <v>76</v>
      </c>
      <c r="BK450" s="130">
        <f>ROUND(I450*H450,2)</f>
        <v>30.89</v>
      </c>
      <c r="BL450" s="13" t="s">
        <v>235</v>
      </c>
      <c r="BM450" s="129" t="s">
        <v>2325</v>
      </c>
    </row>
    <row r="451" spans="2:65" s="1" customFormat="1" ht="24" customHeight="1" x14ac:dyDescent="0.2">
      <c r="B451" s="118"/>
      <c r="C451" s="285" t="s">
        <v>642</v>
      </c>
      <c r="D451" s="285" t="s">
        <v>231</v>
      </c>
      <c r="E451" s="286" t="s">
        <v>2326</v>
      </c>
      <c r="F451" s="240" t="s">
        <v>2327</v>
      </c>
      <c r="G451" s="287" t="s">
        <v>1194</v>
      </c>
      <c r="H451" s="288">
        <v>1</v>
      </c>
      <c r="I451" s="289">
        <v>49.42</v>
      </c>
      <c r="J451" s="289">
        <f>ROUND(I451*H451,2)</f>
        <v>49.42</v>
      </c>
      <c r="K451" s="121" t="s">
        <v>1</v>
      </c>
      <c r="L451" s="465"/>
      <c r="M451" s="125"/>
      <c r="N451" s="126"/>
      <c r="O451" s="127"/>
      <c r="P451" s="127"/>
      <c r="Q451" s="127"/>
      <c r="R451" s="127"/>
      <c r="S451" s="127"/>
      <c r="T451" s="128"/>
      <c r="W451" s="199"/>
      <c r="X451" s="285" t="s">
        <v>642</v>
      </c>
      <c r="Y451" s="285" t="s">
        <v>231</v>
      </c>
      <c r="Z451" s="286" t="s">
        <v>2326</v>
      </c>
      <c r="AA451" s="240" t="s">
        <v>2327</v>
      </c>
      <c r="AB451" s="287" t="s">
        <v>1194</v>
      </c>
      <c r="AC451" s="288">
        <v>1</v>
      </c>
      <c r="AD451" s="289">
        <v>49.42</v>
      </c>
      <c r="AE451" s="290">
        <f>ROUND(AD451*AC451,2)</f>
        <v>49.42</v>
      </c>
      <c r="AF451" s="227"/>
      <c r="AG451" s="374"/>
      <c r="AH451" s="477"/>
      <c r="AI451" s="407"/>
      <c r="AJ451" s="407"/>
      <c r="AR451" s="129" t="s">
        <v>235</v>
      </c>
      <c r="AT451" s="129" t="s">
        <v>231</v>
      </c>
      <c r="AU451" s="129" t="s">
        <v>76</v>
      </c>
      <c r="AY451" s="13" t="s">
        <v>228</v>
      </c>
      <c r="BE451" s="130">
        <f>IF(N451="základná",J451,0)</f>
        <v>0</v>
      </c>
      <c r="BF451" s="130">
        <f>IF(N451="znížená",J451,0)</f>
        <v>0</v>
      </c>
      <c r="BG451" s="130">
        <f>IF(N451="zákl. prenesená",J451,0)</f>
        <v>0</v>
      </c>
      <c r="BH451" s="130">
        <f>IF(N451="zníž. prenesená",J451,0)</f>
        <v>0</v>
      </c>
      <c r="BI451" s="130">
        <f>IF(N451="nulová",J451,0)</f>
        <v>0</v>
      </c>
      <c r="BJ451" s="13" t="s">
        <v>76</v>
      </c>
      <c r="BK451" s="130">
        <f>ROUND(I451*H451,2)</f>
        <v>49.42</v>
      </c>
      <c r="BL451" s="13" t="s">
        <v>235</v>
      </c>
      <c r="BM451" s="129" t="s">
        <v>2328</v>
      </c>
    </row>
    <row r="452" spans="2:65" s="1" customFormat="1" ht="24" customHeight="1" x14ac:dyDescent="0.2">
      <c r="B452" s="118"/>
      <c r="C452" s="285" t="s">
        <v>2329</v>
      </c>
      <c r="D452" s="285" t="s">
        <v>231</v>
      </c>
      <c r="E452" s="286" t="s">
        <v>2330</v>
      </c>
      <c r="F452" s="240" t="s">
        <v>2331</v>
      </c>
      <c r="G452" s="287" t="s">
        <v>1194</v>
      </c>
      <c r="H452" s="288">
        <v>1</v>
      </c>
      <c r="I452" s="289">
        <v>44.31</v>
      </c>
      <c r="J452" s="289">
        <f>ROUND(I452*H452,2)</f>
        <v>44.31</v>
      </c>
      <c r="K452" s="121" t="s">
        <v>1</v>
      </c>
      <c r="L452" s="465"/>
      <c r="M452" s="125"/>
      <c r="N452" s="126"/>
      <c r="O452" s="127"/>
      <c r="P452" s="127"/>
      <c r="Q452" s="127"/>
      <c r="R452" s="127"/>
      <c r="S452" s="127"/>
      <c r="T452" s="128"/>
      <c r="W452" s="199"/>
      <c r="X452" s="285" t="s">
        <v>2329</v>
      </c>
      <c r="Y452" s="285" t="s">
        <v>231</v>
      </c>
      <c r="Z452" s="286" t="s">
        <v>2330</v>
      </c>
      <c r="AA452" s="240" t="s">
        <v>2331</v>
      </c>
      <c r="AB452" s="287" t="s">
        <v>1194</v>
      </c>
      <c r="AC452" s="288">
        <v>1</v>
      </c>
      <c r="AD452" s="289">
        <v>44.31</v>
      </c>
      <c r="AE452" s="290">
        <f>ROUND(AD452*AC452,2)</f>
        <v>44.31</v>
      </c>
      <c r="AF452" s="227"/>
      <c r="AG452" s="374"/>
      <c r="AH452" s="477"/>
      <c r="AI452" s="407"/>
      <c r="AJ452" s="407"/>
      <c r="AR452" s="129" t="s">
        <v>235</v>
      </c>
      <c r="AT452" s="129" t="s">
        <v>231</v>
      </c>
      <c r="AU452" s="129" t="s">
        <v>76</v>
      </c>
      <c r="AY452" s="13" t="s">
        <v>228</v>
      </c>
      <c r="BE452" s="130">
        <f>IF(N452="základná",J452,0)</f>
        <v>0</v>
      </c>
      <c r="BF452" s="130">
        <f>IF(N452="znížená",J452,0)</f>
        <v>0</v>
      </c>
      <c r="BG452" s="130">
        <f>IF(N452="zákl. prenesená",J452,0)</f>
        <v>0</v>
      </c>
      <c r="BH452" s="130">
        <f>IF(N452="zníž. prenesená",J452,0)</f>
        <v>0</v>
      </c>
      <c r="BI452" s="130">
        <f>IF(N452="nulová",J452,0)</f>
        <v>0</v>
      </c>
      <c r="BJ452" s="13" t="s">
        <v>76</v>
      </c>
      <c r="BK452" s="130">
        <f>ROUND(I452*H452,2)</f>
        <v>44.31</v>
      </c>
      <c r="BL452" s="13" t="s">
        <v>235</v>
      </c>
      <c r="BM452" s="129" t="s">
        <v>2332</v>
      </c>
    </row>
    <row r="453" spans="2:65" s="1" customFormat="1" ht="19.2" x14ac:dyDescent="0.2">
      <c r="B453" s="24"/>
      <c r="C453" s="407"/>
      <c r="D453" s="492" t="s">
        <v>1259</v>
      </c>
      <c r="E453" s="407"/>
      <c r="F453" s="428" t="s">
        <v>2087</v>
      </c>
      <c r="G453" s="407"/>
      <c r="H453" s="407"/>
      <c r="I453" s="407"/>
      <c r="J453" s="407"/>
      <c r="L453" s="24"/>
      <c r="M453" s="146"/>
      <c r="N453" s="42"/>
      <c r="O453" s="42"/>
      <c r="P453" s="42"/>
      <c r="Q453" s="42"/>
      <c r="R453" s="42"/>
      <c r="S453" s="42"/>
      <c r="T453" s="43"/>
      <c r="W453" s="158"/>
      <c r="X453" s="427"/>
      <c r="Y453" s="511" t="s">
        <v>1259</v>
      </c>
      <c r="Z453" s="427"/>
      <c r="AA453" s="505" t="s">
        <v>2087</v>
      </c>
      <c r="AB453" s="427"/>
      <c r="AC453" s="427"/>
      <c r="AD453" s="427"/>
      <c r="AE453" s="512"/>
      <c r="AF453" s="227"/>
      <c r="AG453" s="374"/>
      <c r="AH453" s="477"/>
      <c r="AI453" s="407"/>
      <c r="AJ453" s="407"/>
      <c r="AT453" s="13" t="s">
        <v>1259</v>
      </c>
      <c r="AU453" s="13" t="s">
        <v>76</v>
      </c>
    </row>
    <row r="454" spans="2:65" s="1" customFormat="1" ht="24" customHeight="1" x14ac:dyDescent="0.2">
      <c r="B454" s="118"/>
      <c r="C454" s="285" t="s">
        <v>646</v>
      </c>
      <c r="D454" s="285" t="s">
        <v>231</v>
      </c>
      <c r="E454" s="286" t="s">
        <v>2333</v>
      </c>
      <c r="F454" s="240" t="s">
        <v>2334</v>
      </c>
      <c r="G454" s="287" t="s">
        <v>1194</v>
      </c>
      <c r="H454" s="288">
        <v>1</v>
      </c>
      <c r="I454" s="289">
        <v>26.13</v>
      </c>
      <c r="J454" s="289">
        <f>ROUND(I454*H454,2)</f>
        <v>26.13</v>
      </c>
      <c r="K454" s="121" t="s">
        <v>1</v>
      </c>
      <c r="L454" s="465"/>
      <c r="M454" s="125"/>
      <c r="N454" s="126"/>
      <c r="O454" s="127"/>
      <c r="P454" s="127"/>
      <c r="Q454" s="127"/>
      <c r="R454" s="127"/>
      <c r="S454" s="127"/>
      <c r="T454" s="128"/>
      <c r="W454" s="199"/>
      <c r="X454" s="285" t="s">
        <v>646</v>
      </c>
      <c r="Y454" s="285" t="s">
        <v>231</v>
      </c>
      <c r="Z454" s="286" t="s">
        <v>2333</v>
      </c>
      <c r="AA454" s="240" t="s">
        <v>2334</v>
      </c>
      <c r="AB454" s="287" t="s">
        <v>1194</v>
      </c>
      <c r="AC454" s="288">
        <v>1</v>
      </c>
      <c r="AD454" s="289">
        <v>26.13</v>
      </c>
      <c r="AE454" s="290">
        <f>ROUND(AD454*AC454,2)</f>
        <v>26.13</v>
      </c>
      <c r="AF454" s="227"/>
      <c r="AG454" s="374"/>
      <c r="AH454" s="477"/>
      <c r="AI454" s="407"/>
      <c r="AJ454" s="407"/>
      <c r="AR454" s="129" t="s">
        <v>235</v>
      </c>
      <c r="AT454" s="129" t="s">
        <v>231</v>
      </c>
      <c r="AU454" s="129" t="s">
        <v>76</v>
      </c>
      <c r="AY454" s="13" t="s">
        <v>228</v>
      </c>
      <c r="BE454" s="130">
        <f>IF(N454="základná",J454,0)</f>
        <v>0</v>
      </c>
      <c r="BF454" s="130">
        <f>IF(N454="znížená",J454,0)</f>
        <v>0</v>
      </c>
      <c r="BG454" s="130">
        <f>IF(N454="zákl. prenesená",J454,0)</f>
        <v>0</v>
      </c>
      <c r="BH454" s="130">
        <f>IF(N454="zníž. prenesená",J454,0)</f>
        <v>0</v>
      </c>
      <c r="BI454" s="130">
        <f>IF(N454="nulová",J454,0)</f>
        <v>0</v>
      </c>
      <c r="BJ454" s="13" t="s">
        <v>76</v>
      </c>
      <c r="BK454" s="130">
        <f>ROUND(I454*H454,2)</f>
        <v>26.13</v>
      </c>
      <c r="BL454" s="13" t="s">
        <v>235</v>
      </c>
      <c r="BM454" s="129" t="s">
        <v>2335</v>
      </c>
    </row>
    <row r="455" spans="2:65" s="1" customFormat="1" ht="24" customHeight="1" x14ac:dyDescent="0.2">
      <c r="B455" s="118"/>
      <c r="C455" s="285" t="s">
        <v>2336</v>
      </c>
      <c r="D455" s="285" t="s">
        <v>231</v>
      </c>
      <c r="E455" s="286" t="s">
        <v>2337</v>
      </c>
      <c r="F455" s="240" t="s">
        <v>2338</v>
      </c>
      <c r="G455" s="287" t="s">
        <v>1194</v>
      </c>
      <c r="H455" s="288">
        <v>1</v>
      </c>
      <c r="I455" s="289">
        <v>41.79</v>
      </c>
      <c r="J455" s="289">
        <f>ROUND(I455*H455,2)</f>
        <v>41.79</v>
      </c>
      <c r="K455" s="121" t="s">
        <v>1</v>
      </c>
      <c r="L455" s="465"/>
      <c r="M455" s="125"/>
      <c r="N455" s="126"/>
      <c r="O455" s="127"/>
      <c r="P455" s="127"/>
      <c r="Q455" s="127"/>
      <c r="R455" s="127"/>
      <c r="S455" s="127"/>
      <c r="T455" s="128"/>
      <c r="W455" s="199"/>
      <c r="X455" s="285" t="s">
        <v>2336</v>
      </c>
      <c r="Y455" s="285" t="s">
        <v>231</v>
      </c>
      <c r="Z455" s="286" t="s">
        <v>2337</v>
      </c>
      <c r="AA455" s="240" t="s">
        <v>2338</v>
      </c>
      <c r="AB455" s="287" t="s">
        <v>1194</v>
      </c>
      <c r="AC455" s="288">
        <v>1</v>
      </c>
      <c r="AD455" s="289">
        <v>41.79</v>
      </c>
      <c r="AE455" s="290">
        <f>ROUND(AD455*AC455,2)</f>
        <v>41.79</v>
      </c>
      <c r="AF455" s="227"/>
      <c r="AG455" s="374"/>
      <c r="AH455" s="477"/>
      <c r="AI455" s="407"/>
      <c r="AJ455" s="407"/>
      <c r="AR455" s="129" t="s">
        <v>235</v>
      </c>
      <c r="AT455" s="129" t="s">
        <v>231</v>
      </c>
      <c r="AU455" s="129" t="s">
        <v>76</v>
      </c>
      <c r="AY455" s="13" t="s">
        <v>228</v>
      </c>
      <c r="BE455" s="130">
        <f>IF(N455="základná",J455,0)</f>
        <v>0</v>
      </c>
      <c r="BF455" s="130">
        <f>IF(N455="znížená",J455,0)</f>
        <v>0</v>
      </c>
      <c r="BG455" s="130">
        <f>IF(N455="zákl. prenesená",J455,0)</f>
        <v>0</v>
      </c>
      <c r="BH455" s="130">
        <f>IF(N455="zníž. prenesená",J455,0)</f>
        <v>0</v>
      </c>
      <c r="BI455" s="130">
        <f>IF(N455="nulová",J455,0)</f>
        <v>0</v>
      </c>
      <c r="BJ455" s="13" t="s">
        <v>76</v>
      </c>
      <c r="BK455" s="130">
        <f>ROUND(I455*H455,2)</f>
        <v>41.79</v>
      </c>
      <c r="BL455" s="13" t="s">
        <v>235</v>
      </c>
      <c r="BM455" s="129" t="s">
        <v>2339</v>
      </c>
    </row>
    <row r="456" spans="2:65" s="1" customFormat="1" ht="24" customHeight="1" x14ac:dyDescent="0.2">
      <c r="B456" s="118"/>
      <c r="C456" s="285" t="s">
        <v>649</v>
      </c>
      <c r="D456" s="285" t="s">
        <v>231</v>
      </c>
      <c r="E456" s="286" t="s">
        <v>2340</v>
      </c>
      <c r="F456" s="240" t="s">
        <v>2341</v>
      </c>
      <c r="G456" s="287" t="s">
        <v>1194</v>
      </c>
      <c r="H456" s="288">
        <v>1</v>
      </c>
      <c r="I456" s="289">
        <v>42.27</v>
      </c>
      <c r="J456" s="289">
        <f>ROUND(I456*H456,2)</f>
        <v>42.27</v>
      </c>
      <c r="K456" s="121" t="s">
        <v>1</v>
      </c>
      <c r="L456" s="465"/>
      <c r="M456" s="125"/>
      <c r="N456" s="126"/>
      <c r="O456" s="127"/>
      <c r="P456" s="127"/>
      <c r="Q456" s="127"/>
      <c r="R456" s="127"/>
      <c r="S456" s="127"/>
      <c r="T456" s="128"/>
      <c r="U456" s="462"/>
      <c r="V456" s="464"/>
      <c r="W456" s="199"/>
      <c r="X456" s="285" t="s">
        <v>649</v>
      </c>
      <c r="Y456" s="285" t="s">
        <v>231</v>
      </c>
      <c r="Z456" s="286" t="s">
        <v>2340</v>
      </c>
      <c r="AA456" s="240" t="s">
        <v>2341</v>
      </c>
      <c r="AB456" s="287" t="s">
        <v>1194</v>
      </c>
      <c r="AC456" s="288">
        <v>1</v>
      </c>
      <c r="AD456" s="289">
        <v>42.27</v>
      </c>
      <c r="AE456" s="290">
        <f>ROUND(AD456*AC456,2)</f>
        <v>42.27</v>
      </c>
      <c r="AF456" s="227"/>
      <c r="AG456" s="374"/>
      <c r="AH456" s="477"/>
      <c r="AI456" s="407"/>
      <c r="AJ456" s="407"/>
      <c r="AR456" s="129" t="s">
        <v>235</v>
      </c>
      <c r="AT456" s="129" t="s">
        <v>231</v>
      </c>
      <c r="AU456" s="129" t="s">
        <v>76</v>
      </c>
      <c r="AY456" s="13" t="s">
        <v>228</v>
      </c>
      <c r="BE456" s="130">
        <f>IF(N456="základná",J456,0)</f>
        <v>0</v>
      </c>
      <c r="BF456" s="130">
        <f>IF(N456="znížená",J456,0)</f>
        <v>0</v>
      </c>
      <c r="BG456" s="130">
        <f>IF(N456="zákl. prenesená",J456,0)</f>
        <v>0</v>
      </c>
      <c r="BH456" s="130">
        <f>IF(N456="zníž. prenesená",J456,0)</f>
        <v>0</v>
      </c>
      <c r="BI456" s="130">
        <f>IF(N456="nulová",J456,0)</f>
        <v>0</v>
      </c>
      <c r="BJ456" s="13" t="s">
        <v>76</v>
      </c>
      <c r="BK456" s="130">
        <f>ROUND(I456*H456,2)</f>
        <v>42.27</v>
      </c>
      <c r="BL456" s="13" t="s">
        <v>235</v>
      </c>
      <c r="BM456" s="129" t="s">
        <v>2342</v>
      </c>
    </row>
    <row r="457" spans="2:65" s="1" customFormat="1" ht="19.2" x14ac:dyDescent="0.2">
      <c r="B457" s="24"/>
      <c r="C457" s="407"/>
      <c r="D457" s="492" t="s">
        <v>1259</v>
      </c>
      <c r="E457" s="407"/>
      <c r="F457" s="428" t="s">
        <v>2087</v>
      </c>
      <c r="G457" s="407"/>
      <c r="H457" s="407"/>
      <c r="I457" s="407"/>
      <c r="J457" s="407"/>
      <c r="L457" s="24"/>
      <c r="M457" s="146"/>
      <c r="N457" s="42"/>
      <c r="O457" s="42"/>
      <c r="P457" s="42"/>
      <c r="Q457" s="42"/>
      <c r="R457" s="42"/>
      <c r="S457" s="42"/>
      <c r="T457" s="43"/>
      <c r="W457" s="158"/>
      <c r="X457" s="427"/>
      <c r="Y457" s="511" t="s">
        <v>1259</v>
      </c>
      <c r="Z457" s="427"/>
      <c r="AA457" s="505" t="s">
        <v>2087</v>
      </c>
      <c r="AB457" s="427"/>
      <c r="AC457" s="427"/>
      <c r="AD457" s="427"/>
      <c r="AE457" s="512"/>
      <c r="AF457" s="227"/>
      <c r="AG457" s="374"/>
      <c r="AH457" s="477"/>
      <c r="AT457" s="13" t="s">
        <v>1259</v>
      </c>
      <c r="AU457" s="13" t="s">
        <v>76</v>
      </c>
    </row>
    <row r="458" spans="2:65" s="1" customFormat="1" ht="24" customHeight="1" x14ac:dyDescent="0.2">
      <c r="B458" s="118"/>
      <c r="C458" s="285" t="s">
        <v>2343</v>
      </c>
      <c r="D458" s="285" t="s">
        <v>231</v>
      </c>
      <c r="E458" s="286" t="s">
        <v>2344</v>
      </c>
      <c r="F458" s="240" t="s">
        <v>2345</v>
      </c>
      <c r="G458" s="287" t="s">
        <v>1194</v>
      </c>
      <c r="H458" s="288">
        <v>1</v>
      </c>
      <c r="I458" s="289">
        <v>20.9</v>
      </c>
      <c r="J458" s="289">
        <f>ROUND(I458*H458,2)</f>
        <v>20.9</v>
      </c>
      <c r="K458" s="121" t="s">
        <v>1</v>
      </c>
      <c r="L458" s="465"/>
      <c r="M458" s="125"/>
      <c r="N458" s="126"/>
      <c r="O458" s="127"/>
      <c r="P458" s="127"/>
      <c r="Q458" s="127"/>
      <c r="R458" s="127"/>
      <c r="S458" s="127"/>
      <c r="T458" s="128"/>
      <c r="V458" s="464"/>
      <c r="W458" s="199"/>
      <c r="X458" s="285" t="s">
        <v>2343</v>
      </c>
      <c r="Y458" s="285" t="s">
        <v>231</v>
      </c>
      <c r="Z458" s="286" t="s">
        <v>2344</v>
      </c>
      <c r="AA458" s="240" t="s">
        <v>2345</v>
      </c>
      <c r="AB458" s="287" t="s">
        <v>1194</v>
      </c>
      <c r="AC458" s="288">
        <v>1</v>
      </c>
      <c r="AD458" s="289">
        <v>20.9</v>
      </c>
      <c r="AE458" s="290">
        <f>ROUND(AD458*AC458,2)</f>
        <v>20.9</v>
      </c>
      <c r="AF458" s="227"/>
      <c r="AG458" s="374"/>
      <c r="AH458" s="477"/>
      <c r="AR458" s="129" t="s">
        <v>235</v>
      </c>
      <c r="AT458" s="129" t="s">
        <v>231</v>
      </c>
      <c r="AU458" s="129" t="s">
        <v>76</v>
      </c>
      <c r="AY458" s="13" t="s">
        <v>228</v>
      </c>
      <c r="BE458" s="130">
        <f>IF(N458="základná",J458,0)</f>
        <v>0</v>
      </c>
      <c r="BF458" s="130">
        <f>IF(N458="znížená",J458,0)</f>
        <v>0</v>
      </c>
      <c r="BG458" s="130">
        <f>IF(N458="zákl. prenesená",J458,0)</f>
        <v>0</v>
      </c>
      <c r="BH458" s="130">
        <f>IF(N458="zníž. prenesená",J458,0)</f>
        <v>0</v>
      </c>
      <c r="BI458" s="130">
        <f>IF(N458="nulová",J458,0)</f>
        <v>0</v>
      </c>
      <c r="BJ458" s="13" t="s">
        <v>76</v>
      </c>
      <c r="BK458" s="130">
        <f>ROUND(I458*H458,2)</f>
        <v>20.9</v>
      </c>
      <c r="BL458" s="13" t="s">
        <v>235</v>
      </c>
      <c r="BM458" s="129" t="s">
        <v>2346</v>
      </c>
    </row>
    <row r="459" spans="2:65" s="1" customFormat="1" ht="24" customHeight="1" x14ac:dyDescent="0.2">
      <c r="B459" s="118"/>
      <c r="C459" s="285" t="s">
        <v>653</v>
      </c>
      <c r="D459" s="285" t="s">
        <v>231</v>
      </c>
      <c r="E459" s="286" t="s">
        <v>2347</v>
      </c>
      <c r="F459" s="240" t="s">
        <v>2348</v>
      </c>
      <c r="G459" s="287" t="s">
        <v>1194</v>
      </c>
      <c r="H459" s="288">
        <v>1</v>
      </c>
      <c r="I459" s="289">
        <v>33.450000000000003</v>
      </c>
      <c r="J459" s="289">
        <f>ROUND(I459*H459,2)</f>
        <v>33.450000000000003</v>
      </c>
      <c r="K459" s="121" t="s">
        <v>1</v>
      </c>
      <c r="L459" s="465"/>
      <c r="M459" s="125"/>
      <c r="N459" s="126"/>
      <c r="O459" s="127"/>
      <c r="P459" s="127"/>
      <c r="Q459" s="127"/>
      <c r="R459" s="127"/>
      <c r="S459" s="127"/>
      <c r="T459" s="128"/>
      <c r="V459" s="464"/>
      <c r="W459" s="199"/>
      <c r="X459" s="285" t="s">
        <v>653</v>
      </c>
      <c r="Y459" s="285" t="s">
        <v>231</v>
      </c>
      <c r="Z459" s="286" t="s">
        <v>2347</v>
      </c>
      <c r="AA459" s="240" t="s">
        <v>2348</v>
      </c>
      <c r="AB459" s="287" t="s">
        <v>1194</v>
      </c>
      <c r="AC459" s="288">
        <v>1</v>
      </c>
      <c r="AD459" s="289">
        <v>33.450000000000003</v>
      </c>
      <c r="AE459" s="290">
        <f>ROUND(AD459*AC459,2)</f>
        <v>33.450000000000003</v>
      </c>
      <c r="AF459" s="227"/>
      <c r="AG459" s="374"/>
      <c r="AH459" s="477"/>
      <c r="AR459" s="129" t="s">
        <v>235</v>
      </c>
      <c r="AT459" s="129" t="s">
        <v>231</v>
      </c>
      <c r="AU459" s="129" t="s">
        <v>76</v>
      </c>
      <c r="AY459" s="13" t="s">
        <v>228</v>
      </c>
      <c r="BE459" s="130">
        <f>IF(N459="základná",J459,0)</f>
        <v>0</v>
      </c>
      <c r="BF459" s="130">
        <f>IF(N459="znížená",J459,0)</f>
        <v>0</v>
      </c>
      <c r="BG459" s="130">
        <f>IF(N459="zákl. prenesená",J459,0)</f>
        <v>0</v>
      </c>
      <c r="BH459" s="130">
        <f>IF(N459="zníž. prenesená",J459,0)</f>
        <v>0</v>
      </c>
      <c r="BI459" s="130">
        <f>IF(N459="nulová",J459,0)</f>
        <v>0</v>
      </c>
      <c r="BJ459" s="13" t="s">
        <v>76</v>
      </c>
      <c r="BK459" s="130">
        <f>ROUND(I459*H459,2)</f>
        <v>33.450000000000003</v>
      </c>
      <c r="BL459" s="13" t="s">
        <v>235</v>
      </c>
      <c r="BM459" s="129" t="s">
        <v>2349</v>
      </c>
    </row>
    <row r="460" spans="2:65" s="1" customFormat="1" ht="25.2" customHeight="1" x14ac:dyDescent="0.2">
      <c r="B460" s="118"/>
      <c r="C460" s="285" t="s">
        <v>2350</v>
      </c>
      <c r="D460" s="285" t="s">
        <v>231</v>
      </c>
      <c r="E460" s="286" t="s">
        <v>2351</v>
      </c>
      <c r="F460" s="240" t="s">
        <v>2352</v>
      </c>
      <c r="G460" s="287" t="s">
        <v>1194</v>
      </c>
      <c r="H460" s="288">
        <v>1</v>
      </c>
      <c r="I460" s="289">
        <v>34.32</v>
      </c>
      <c r="J460" s="289">
        <f>ROUND(I460*H460,2)</f>
        <v>34.32</v>
      </c>
      <c r="K460" s="121" t="s">
        <v>1</v>
      </c>
      <c r="L460" s="465"/>
      <c r="M460" s="125"/>
      <c r="N460" s="126"/>
      <c r="O460" s="127"/>
      <c r="P460" s="127"/>
      <c r="Q460" s="127"/>
      <c r="R460" s="127"/>
      <c r="S460" s="127"/>
      <c r="T460" s="128"/>
      <c r="V460" s="464"/>
      <c r="W460" s="199"/>
      <c r="X460" s="285" t="s">
        <v>2350</v>
      </c>
      <c r="Y460" s="285" t="s">
        <v>231</v>
      </c>
      <c r="Z460" s="286" t="s">
        <v>2351</v>
      </c>
      <c r="AA460" s="240" t="s">
        <v>2352</v>
      </c>
      <c r="AB460" s="287" t="s">
        <v>1194</v>
      </c>
      <c r="AC460" s="288">
        <v>1</v>
      </c>
      <c r="AD460" s="289">
        <v>34.32</v>
      </c>
      <c r="AE460" s="290">
        <f>ROUND(AD460*AC460,2)</f>
        <v>34.32</v>
      </c>
      <c r="AF460" s="227"/>
      <c r="AG460" s="374"/>
      <c r="AH460" s="477"/>
      <c r="AR460" s="129" t="s">
        <v>235</v>
      </c>
      <c r="AT460" s="129" t="s">
        <v>231</v>
      </c>
      <c r="AU460" s="129" t="s">
        <v>76</v>
      </c>
      <c r="AY460" s="13" t="s">
        <v>228</v>
      </c>
      <c r="BE460" s="130">
        <f>IF(N460="základná",J460,0)</f>
        <v>0</v>
      </c>
      <c r="BF460" s="130">
        <f>IF(N460="znížená",J460,0)</f>
        <v>0</v>
      </c>
      <c r="BG460" s="130">
        <f>IF(N460="zákl. prenesená",J460,0)</f>
        <v>0</v>
      </c>
      <c r="BH460" s="130">
        <f>IF(N460="zníž. prenesená",J460,0)</f>
        <v>0</v>
      </c>
      <c r="BI460" s="130">
        <f>IF(N460="nulová",J460,0)</f>
        <v>0</v>
      </c>
      <c r="BJ460" s="13" t="s">
        <v>76</v>
      </c>
      <c r="BK460" s="130">
        <f>ROUND(I460*H460,2)</f>
        <v>34.32</v>
      </c>
      <c r="BL460" s="13" t="s">
        <v>235</v>
      </c>
      <c r="BM460" s="129" t="s">
        <v>2353</v>
      </c>
    </row>
    <row r="461" spans="2:65" s="1" customFormat="1" ht="19.2" x14ac:dyDescent="0.2">
      <c r="B461" s="24"/>
      <c r="C461" s="407"/>
      <c r="D461" s="492" t="s">
        <v>1259</v>
      </c>
      <c r="E461" s="407"/>
      <c r="F461" s="428" t="s">
        <v>2087</v>
      </c>
      <c r="G461" s="407"/>
      <c r="H461" s="407"/>
      <c r="I461" s="407"/>
      <c r="J461" s="407"/>
      <c r="L461" s="24"/>
      <c r="M461" s="146"/>
      <c r="N461" s="42"/>
      <c r="O461" s="42"/>
      <c r="P461" s="42"/>
      <c r="Q461" s="42"/>
      <c r="R461" s="42"/>
      <c r="S461" s="42"/>
      <c r="T461" s="43"/>
      <c r="V461" s="464"/>
      <c r="W461" s="158"/>
      <c r="X461" s="427"/>
      <c r="Y461" s="511" t="s">
        <v>1259</v>
      </c>
      <c r="Z461" s="427"/>
      <c r="AA461" s="505" t="s">
        <v>2087</v>
      </c>
      <c r="AB461" s="427"/>
      <c r="AC461" s="427"/>
      <c r="AD461" s="427"/>
      <c r="AE461" s="512"/>
      <c r="AF461" s="227"/>
      <c r="AG461" s="374"/>
      <c r="AH461" s="477"/>
      <c r="AT461" s="13" t="s">
        <v>1259</v>
      </c>
      <c r="AU461" s="13" t="s">
        <v>76</v>
      </c>
    </row>
    <row r="462" spans="2:65" s="1" customFormat="1" ht="16.5" customHeight="1" x14ac:dyDescent="0.2">
      <c r="B462" s="118"/>
      <c r="C462" s="285" t="s">
        <v>656</v>
      </c>
      <c r="D462" s="285" t="s">
        <v>231</v>
      </c>
      <c r="E462" s="286" t="s">
        <v>2194</v>
      </c>
      <c r="F462" s="240" t="s">
        <v>2195</v>
      </c>
      <c r="G462" s="287" t="s">
        <v>1194</v>
      </c>
      <c r="H462" s="288">
        <v>4</v>
      </c>
      <c r="I462" s="289">
        <v>42.8</v>
      </c>
      <c r="J462" s="289">
        <f>ROUND(I462*H462,2)</f>
        <v>171.2</v>
      </c>
      <c r="K462" s="121" t="s">
        <v>1</v>
      </c>
      <c r="L462" s="465"/>
      <c r="M462" s="125"/>
      <c r="N462" s="126"/>
      <c r="O462" s="127"/>
      <c r="P462" s="127"/>
      <c r="Q462" s="127"/>
      <c r="R462" s="127"/>
      <c r="S462" s="127"/>
      <c r="T462" s="128"/>
      <c r="U462" s="462"/>
      <c r="V462" s="464"/>
      <c r="W462" s="199"/>
      <c r="X462" s="285" t="s">
        <v>656</v>
      </c>
      <c r="Y462" s="285" t="s">
        <v>231</v>
      </c>
      <c r="Z462" s="286" t="s">
        <v>2194</v>
      </c>
      <c r="AA462" s="240" t="s">
        <v>2195</v>
      </c>
      <c r="AB462" s="287" t="s">
        <v>1194</v>
      </c>
      <c r="AC462" s="288">
        <v>4</v>
      </c>
      <c r="AD462" s="289">
        <v>42.8</v>
      </c>
      <c r="AE462" s="290">
        <f>ROUND(AD462*AC462,2)</f>
        <v>171.2</v>
      </c>
      <c r="AF462" s="227"/>
      <c r="AG462" s="374"/>
      <c r="AH462" s="477"/>
      <c r="AR462" s="129" t="s">
        <v>235</v>
      </c>
      <c r="AT462" s="129" t="s">
        <v>231</v>
      </c>
      <c r="AU462" s="129" t="s">
        <v>76</v>
      </c>
      <c r="AY462" s="13" t="s">
        <v>228</v>
      </c>
      <c r="BE462" s="130">
        <f>IF(N462="základná",J462,0)</f>
        <v>0</v>
      </c>
      <c r="BF462" s="130">
        <f>IF(N462="znížená",J462,0)</f>
        <v>0</v>
      </c>
      <c r="BG462" s="130">
        <f>IF(N462="zákl. prenesená",J462,0)</f>
        <v>0</v>
      </c>
      <c r="BH462" s="130">
        <f>IF(N462="zníž. prenesená",J462,0)</f>
        <v>0</v>
      </c>
      <c r="BI462" s="130">
        <f>IF(N462="nulová",J462,0)</f>
        <v>0</v>
      </c>
      <c r="BJ462" s="13" t="s">
        <v>76</v>
      </c>
      <c r="BK462" s="130">
        <f>ROUND(I462*H462,2)</f>
        <v>171.2</v>
      </c>
      <c r="BL462" s="13" t="s">
        <v>235</v>
      </c>
      <c r="BM462" s="129" t="s">
        <v>2354</v>
      </c>
    </row>
    <row r="463" spans="2:65" s="11" customFormat="1" ht="22.95" customHeight="1" x14ac:dyDescent="0.25">
      <c r="B463" s="106"/>
      <c r="C463" s="292"/>
      <c r="D463" s="489" t="s">
        <v>57</v>
      </c>
      <c r="E463" s="490" t="s">
        <v>2355</v>
      </c>
      <c r="F463" s="490" t="s">
        <v>2356</v>
      </c>
      <c r="G463" s="292"/>
      <c r="H463" s="292"/>
      <c r="I463" s="292"/>
      <c r="J463" s="491">
        <f>BK463</f>
        <v>906.09999999999991</v>
      </c>
      <c r="L463" s="106"/>
      <c r="M463" s="110"/>
      <c r="N463" s="111"/>
      <c r="O463" s="111"/>
      <c r="P463" s="112"/>
      <c r="Q463" s="111"/>
      <c r="R463" s="112"/>
      <c r="S463" s="111"/>
      <c r="T463" s="113"/>
      <c r="W463" s="195"/>
      <c r="X463" s="347"/>
      <c r="Y463" s="506" t="s">
        <v>57</v>
      </c>
      <c r="Z463" s="507" t="s">
        <v>2355</v>
      </c>
      <c r="AA463" s="507" t="s">
        <v>2356</v>
      </c>
      <c r="AB463" s="347"/>
      <c r="AC463" s="347"/>
      <c r="AD463" s="347"/>
      <c r="AE463" s="510">
        <f>SUM(AE464:AE486)</f>
        <v>906.09999999999991</v>
      </c>
      <c r="AF463" s="227"/>
      <c r="AG463" s="374"/>
      <c r="AH463" s="477"/>
      <c r="AR463" s="107" t="s">
        <v>63</v>
      </c>
      <c r="AT463" s="114" t="s">
        <v>57</v>
      </c>
      <c r="AU463" s="114" t="s">
        <v>63</v>
      </c>
      <c r="AY463" s="107" t="s">
        <v>228</v>
      </c>
      <c r="BK463" s="115">
        <f>SUM(BK464:BK486)</f>
        <v>906.09999999999991</v>
      </c>
    </row>
    <row r="464" spans="2:65" s="1" customFormat="1" ht="16.5" customHeight="1" x14ac:dyDescent="0.2">
      <c r="B464" s="118"/>
      <c r="C464" s="285" t="s">
        <v>2357</v>
      </c>
      <c r="D464" s="285" t="s">
        <v>231</v>
      </c>
      <c r="E464" s="286" t="s">
        <v>2286</v>
      </c>
      <c r="F464" s="240" t="s">
        <v>2287</v>
      </c>
      <c r="G464" s="287" t="s">
        <v>1194</v>
      </c>
      <c r="H464" s="288">
        <v>1</v>
      </c>
      <c r="I464" s="289">
        <v>20.309999999999999</v>
      </c>
      <c r="J464" s="289">
        <f t="shared" ref="J464:J471" si="107">ROUND(I464*H464,2)</f>
        <v>20.309999999999999</v>
      </c>
      <c r="K464" s="121" t="s">
        <v>1</v>
      </c>
      <c r="L464" s="465"/>
      <c r="M464" s="125"/>
      <c r="N464" s="126"/>
      <c r="O464" s="127"/>
      <c r="P464" s="127"/>
      <c r="Q464" s="127"/>
      <c r="R464" s="127"/>
      <c r="S464" s="127"/>
      <c r="T464" s="128"/>
      <c r="W464" s="199"/>
      <c r="X464" s="285" t="s">
        <v>2357</v>
      </c>
      <c r="Y464" s="285" t="s">
        <v>231</v>
      </c>
      <c r="Z464" s="286" t="s">
        <v>2286</v>
      </c>
      <c r="AA464" s="240" t="s">
        <v>2287</v>
      </c>
      <c r="AB464" s="287" t="s">
        <v>1194</v>
      </c>
      <c r="AC464" s="288">
        <v>1</v>
      </c>
      <c r="AD464" s="289">
        <v>20.309999999999999</v>
      </c>
      <c r="AE464" s="290">
        <f t="shared" ref="AE464:AE471" si="108">ROUND(AD464*AC464,2)</f>
        <v>20.309999999999999</v>
      </c>
      <c r="AF464" s="227"/>
      <c r="AG464" s="374"/>
      <c r="AH464" s="477"/>
      <c r="AR464" s="129" t="s">
        <v>235</v>
      </c>
      <c r="AT464" s="129" t="s">
        <v>231</v>
      </c>
      <c r="AU464" s="129" t="s">
        <v>76</v>
      </c>
      <c r="AY464" s="13" t="s">
        <v>228</v>
      </c>
      <c r="BE464" s="130">
        <f t="shared" ref="BE464:BE471" si="109">IF(N464="základná",J464,0)</f>
        <v>0</v>
      </c>
      <c r="BF464" s="130">
        <f t="shared" ref="BF464:BF471" si="110">IF(N464="znížená",J464,0)</f>
        <v>0</v>
      </c>
      <c r="BG464" s="130">
        <f t="shared" ref="BG464:BG471" si="111">IF(N464="zákl. prenesená",J464,0)</f>
        <v>0</v>
      </c>
      <c r="BH464" s="130">
        <f t="shared" ref="BH464:BH471" si="112">IF(N464="zníž. prenesená",J464,0)</f>
        <v>0</v>
      </c>
      <c r="BI464" s="130">
        <f t="shared" ref="BI464:BI471" si="113">IF(N464="nulová",J464,0)</f>
        <v>0</v>
      </c>
      <c r="BJ464" s="13" t="s">
        <v>76</v>
      </c>
      <c r="BK464" s="130">
        <f t="shared" ref="BK464:BK471" si="114">ROUND(I464*H464,2)</f>
        <v>20.309999999999999</v>
      </c>
      <c r="BL464" s="13" t="s">
        <v>235</v>
      </c>
      <c r="BM464" s="129" t="s">
        <v>2358</v>
      </c>
    </row>
    <row r="465" spans="2:65" s="1" customFormat="1" ht="16.5" customHeight="1" x14ac:dyDescent="0.2">
      <c r="B465" s="118"/>
      <c r="C465" s="285" t="s">
        <v>660</v>
      </c>
      <c r="D465" s="285" t="s">
        <v>231</v>
      </c>
      <c r="E465" s="286" t="s">
        <v>2290</v>
      </c>
      <c r="F465" s="240" t="s">
        <v>2291</v>
      </c>
      <c r="G465" s="287" t="s">
        <v>292</v>
      </c>
      <c r="H465" s="288">
        <v>1</v>
      </c>
      <c r="I465" s="289">
        <v>14.15</v>
      </c>
      <c r="J465" s="289">
        <f t="shared" si="107"/>
        <v>14.15</v>
      </c>
      <c r="K465" s="121" t="s">
        <v>1</v>
      </c>
      <c r="L465" s="465"/>
      <c r="M465" s="125"/>
      <c r="N465" s="126"/>
      <c r="O465" s="127"/>
      <c r="P465" s="127"/>
      <c r="Q465" s="127"/>
      <c r="R465" s="127"/>
      <c r="S465" s="127"/>
      <c r="T465" s="128"/>
      <c r="W465" s="199"/>
      <c r="X465" s="285" t="s">
        <v>660</v>
      </c>
      <c r="Y465" s="285" t="s">
        <v>231</v>
      </c>
      <c r="Z465" s="286" t="s">
        <v>2290</v>
      </c>
      <c r="AA465" s="240" t="s">
        <v>2291</v>
      </c>
      <c r="AB465" s="287" t="s">
        <v>292</v>
      </c>
      <c r="AC465" s="288">
        <v>1</v>
      </c>
      <c r="AD465" s="289">
        <v>14.15</v>
      </c>
      <c r="AE465" s="290">
        <f t="shared" si="108"/>
        <v>14.15</v>
      </c>
      <c r="AF465" s="227"/>
      <c r="AG465" s="374"/>
      <c r="AH465" s="477"/>
      <c r="AR465" s="129" t="s">
        <v>235</v>
      </c>
      <c r="AT465" s="129" t="s">
        <v>231</v>
      </c>
      <c r="AU465" s="129" t="s">
        <v>76</v>
      </c>
      <c r="AY465" s="13" t="s">
        <v>228</v>
      </c>
      <c r="BE465" s="130">
        <f t="shared" si="109"/>
        <v>0</v>
      </c>
      <c r="BF465" s="130">
        <f t="shared" si="110"/>
        <v>0</v>
      </c>
      <c r="BG465" s="130">
        <f t="shared" si="111"/>
        <v>0</v>
      </c>
      <c r="BH465" s="130">
        <f t="shared" si="112"/>
        <v>0</v>
      </c>
      <c r="BI465" s="130">
        <f t="shared" si="113"/>
        <v>0</v>
      </c>
      <c r="BJ465" s="13" t="s">
        <v>76</v>
      </c>
      <c r="BK465" s="130">
        <f t="shared" si="114"/>
        <v>14.15</v>
      </c>
      <c r="BL465" s="13" t="s">
        <v>235</v>
      </c>
      <c r="BM465" s="129" t="s">
        <v>2359</v>
      </c>
    </row>
    <row r="466" spans="2:65" s="1" customFormat="1" ht="24" customHeight="1" x14ac:dyDescent="0.2">
      <c r="B466" s="118"/>
      <c r="C466" s="285" t="s">
        <v>2360</v>
      </c>
      <c r="D466" s="285" t="s">
        <v>231</v>
      </c>
      <c r="E466" s="286" t="s">
        <v>2361</v>
      </c>
      <c r="F466" s="240" t="s">
        <v>2362</v>
      </c>
      <c r="G466" s="287" t="s">
        <v>1194</v>
      </c>
      <c r="H466" s="288">
        <v>1</v>
      </c>
      <c r="I466" s="289">
        <v>36.54</v>
      </c>
      <c r="J466" s="289">
        <f t="shared" si="107"/>
        <v>36.54</v>
      </c>
      <c r="K466" s="121" t="s">
        <v>1</v>
      </c>
      <c r="L466" s="465"/>
      <c r="M466" s="125"/>
      <c r="N466" s="126"/>
      <c r="O466" s="127"/>
      <c r="P466" s="127"/>
      <c r="Q466" s="127"/>
      <c r="R466" s="127"/>
      <c r="S466" s="127"/>
      <c r="T466" s="128"/>
      <c r="W466" s="199"/>
      <c r="X466" s="285" t="s">
        <v>2360</v>
      </c>
      <c r="Y466" s="285" t="s">
        <v>231</v>
      </c>
      <c r="Z466" s="286" t="s">
        <v>2361</v>
      </c>
      <c r="AA466" s="240" t="s">
        <v>2362</v>
      </c>
      <c r="AB466" s="287" t="s">
        <v>1194</v>
      </c>
      <c r="AC466" s="288">
        <v>1</v>
      </c>
      <c r="AD466" s="289">
        <v>36.54</v>
      </c>
      <c r="AE466" s="290">
        <f t="shared" si="108"/>
        <v>36.54</v>
      </c>
      <c r="AF466" s="227"/>
      <c r="AG466" s="374"/>
      <c r="AH466" s="477"/>
      <c r="AR466" s="129" t="s">
        <v>235</v>
      </c>
      <c r="AT466" s="129" t="s">
        <v>231</v>
      </c>
      <c r="AU466" s="129" t="s">
        <v>76</v>
      </c>
      <c r="AY466" s="13" t="s">
        <v>228</v>
      </c>
      <c r="BE466" s="130">
        <f t="shared" si="109"/>
        <v>0</v>
      </c>
      <c r="BF466" s="130">
        <f t="shared" si="110"/>
        <v>0</v>
      </c>
      <c r="BG466" s="130">
        <f t="shared" si="111"/>
        <v>0</v>
      </c>
      <c r="BH466" s="130">
        <f t="shared" si="112"/>
        <v>0</v>
      </c>
      <c r="BI466" s="130">
        <f t="shared" si="113"/>
        <v>0</v>
      </c>
      <c r="BJ466" s="13" t="s">
        <v>76</v>
      </c>
      <c r="BK466" s="130">
        <f t="shared" si="114"/>
        <v>36.54</v>
      </c>
      <c r="BL466" s="13" t="s">
        <v>235</v>
      </c>
      <c r="BM466" s="129" t="s">
        <v>2363</v>
      </c>
    </row>
    <row r="467" spans="2:65" s="1" customFormat="1" ht="30" customHeight="1" x14ac:dyDescent="0.2">
      <c r="B467" s="118"/>
      <c r="C467" s="285" t="s">
        <v>663</v>
      </c>
      <c r="D467" s="285" t="s">
        <v>231</v>
      </c>
      <c r="E467" s="286" t="s">
        <v>2364</v>
      </c>
      <c r="F467" s="240" t="s">
        <v>2365</v>
      </c>
      <c r="G467" s="287" t="s">
        <v>1194</v>
      </c>
      <c r="H467" s="288">
        <v>1</v>
      </c>
      <c r="I467" s="289">
        <v>54.88</v>
      </c>
      <c r="J467" s="289">
        <f t="shared" si="107"/>
        <v>54.88</v>
      </c>
      <c r="K467" s="121" t="s">
        <v>1</v>
      </c>
      <c r="L467" s="465"/>
      <c r="M467" s="125"/>
      <c r="N467" s="126"/>
      <c r="O467" s="127"/>
      <c r="P467" s="127"/>
      <c r="Q467" s="127"/>
      <c r="R467" s="127"/>
      <c r="S467" s="127"/>
      <c r="T467" s="128"/>
      <c r="W467" s="199"/>
      <c r="X467" s="285" t="s">
        <v>663</v>
      </c>
      <c r="Y467" s="285" t="s">
        <v>231</v>
      </c>
      <c r="Z467" s="286" t="s">
        <v>2364</v>
      </c>
      <c r="AA467" s="240" t="s">
        <v>2365</v>
      </c>
      <c r="AB467" s="287" t="s">
        <v>1194</v>
      </c>
      <c r="AC467" s="288">
        <v>1</v>
      </c>
      <c r="AD467" s="289">
        <v>54.88</v>
      </c>
      <c r="AE467" s="290">
        <f t="shared" si="108"/>
        <v>54.88</v>
      </c>
      <c r="AF467" s="227"/>
      <c r="AG467" s="374"/>
      <c r="AH467" s="477"/>
      <c r="AR467" s="129" t="s">
        <v>235</v>
      </c>
      <c r="AT467" s="129" t="s">
        <v>231</v>
      </c>
      <c r="AU467" s="129" t="s">
        <v>76</v>
      </c>
      <c r="AY467" s="13" t="s">
        <v>228</v>
      </c>
      <c r="BE467" s="130">
        <f t="shared" si="109"/>
        <v>0</v>
      </c>
      <c r="BF467" s="130">
        <f t="shared" si="110"/>
        <v>0</v>
      </c>
      <c r="BG467" s="130">
        <f t="shared" si="111"/>
        <v>0</v>
      </c>
      <c r="BH467" s="130">
        <f t="shared" si="112"/>
        <v>0</v>
      </c>
      <c r="BI467" s="130">
        <f t="shared" si="113"/>
        <v>0</v>
      </c>
      <c r="BJ467" s="13" t="s">
        <v>76</v>
      </c>
      <c r="BK467" s="130">
        <f t="shared" si="114"/>
        <v>54.88</v>
      </c>
      <c r="BL467" s="13" t="s">
        <v>235</v>
      </c>
      <c r="BM467" s="129" t="s">
        <v>2366</v>
      </c>
    </row>
    <row r="468" spans="2:65" s="1" customFormat="1" ht="16.5" customHeight="1" x14ac:dyDescent="0.2">
      <c r="B468" s="118"/>
      <c r="C468" s="285" t="s">
        <v>2367</v>
      </c>
      <c r="D468" s="285" t="s">
        <v>231</v>
      </c>
      <c r="E468" s="286" t="s">
        <v>2069</v>
      </c>
      <c r="F468" s="240" t="s">
        <v>2070</v>
      </c>
      <c r="G468" s="287" t="s">
        <v>1194</v>
      </c>
      <c r="H468" s="288">
        <v>1</v>
      </c>
      <c r="I468" s="289">
        <v>169.78</v>
      </c>
      <c r="J468" s="289">
        <f t="shared" si="107"/>
        <v>169.78</v>
      </c>
      <c r="K468" s="121" t="s">
        <v>1</v>
      </c>
      <c r="L468" s="465"/>
      <c r="M468" s="125"/>
      <c r="N468" s="126"/>
      <c r="O468" s="127"/>
      <c r="P468" s="127"/>
      <c r="Q468" s="127"/>
      <c r="R468" s="127"/>
      <c r="S468" s="127"/>
      <c r="T468" s="128"/>
      <c r="U468" s="461"/>
      <c r="V468" s="464"/>
      <c r="W468" s="199"/>
      <c r="X468" s="285" t="s">
        <v>2367</v>
      </c>
      <c r="Y468" s="285" t="s">
        <v>231</v>
      </c>
      <c r="Z468" s="286" t="s">
        <v>2069</v>
      </c>
      <c r="AA468" s="240" t="s">
        <v>2070</v>
      </c>
      <c r="AB468" s="287" t="s">
        <v>1194</v>
      </c>
      <c r="AC468" s="288">
        <v>1</v>
      </c>
      <c r="AD468" s="289">
        <v>169.78</v>
      </c>
      <c r="AE468" s="290">
        <f t="shared" si="108"/>
        <v>169.78</v>
      </c>
      <c r="AF468" s="227"/>
      <c r="AG468" s="374"/>
      <c r="AH468" s="477"/>
      <c r="AR468" s="129" t="s">
        <v>235</v>
      </c>
      <c r="AT468" s="129" t="s">
        <v>231</v>
      </c>
      <c r="AU468" s="129" t="s">
        <v>76</v>
      </c>
      <c r="AY468" s="13" t="s">
        <v>228</v>
      </c>
      <c r="BE468" s="130">
        <f t="shared" si="109"/>
        <v>0</v>
      </c>
      <c r="BF468" s="130">
        <f t="shared" si="110"/>
        <v>0</v>
      </c>
      <c r="BG468" s="130">
        <f t="shared" si="111"/>
        <v>0</v>
      </c>
      <c r="BH468" s="130">
        <f t="shared" si="112"/>
        <v>0</v>
      </c>
      <c r="BI468" s="130">
        <f t="shared" si="113"/>
        <v>0</v>
      </c>
      <c r="BJ468" s="13" t="s">
        <v>76</v>
      </c>
      <c r="BK468" s="130">
        <f t="shared" si="114"/>
        <v>169.78</v>
      </c>
      <c r="BL468" s="13" t="s">
        <v>235</v>
      </c>
      <c r="BM468" s="129" t="s">
        <v>2368</v>
      </c>
    </row>
    <row r="469" spans="2:65" s="1" customFormat="1" ht="24" customHeight="1" x14ac:dyDescent="0.2">
      <c r="B469" s="118"/>
      <c r="C469" s="285" t="s">
        <v>667</v>
      </c>
      <c r="D469" s="285" t="s">
        <v>231</v>
      </c>
      <c r="E469" s="286" t="s">
        <v>2304</v>
      </c>
      <c r="F469" s="240" t="s">
        <v>2305</v>
      </c>
      <c r="G469" s="287" t="s">
        <v>1194</v>
      </c>
      <c r="H469" s="288">
        <v>1</v>
      </c>
      <c r="I469" s="289">
        <v>32.450000000000003</v>
      </c>
      <c r="J469" s="289">
        <f t="shared" si="107"/>
        <v>32.450000000000003</v>
      </c>
      <c r="K469" s="121" t="s">
        <v>1</v>
      </c>
      <c r="L469" s="465"/>
      <c r="M469" s="125"/>
      <c r="N469" s="126"/>
      <c r="O469" s="127"/>
      <c r="P469" s="127"/>
      <c r="Q469" s="127"/>
      <c r="R469" s="127"/>
      <c r="S469" s="127"/>
      <c r="T469" s="128"/>
      <c r="W469" s="199"/>
      <c r="X469" s="285" t="s">
        <v>667</v>
      </c>
      <c r="Y469" s="285" t="s">
        <v>231</v>
      </c>
      <c r="Z469" s="286" t="s">
        <v>2304</v>
      </c>
      <c r="AA469" s="240" t="s">
        <v>2305</v>
      </c>
      <c r="AB469" s="287" t="s">
        <v>1194</v>
      </c>
      <c r="AC469" s="288">
        <v>1</v>
      </c>
      <c r="AD469" s="289">
        <v>32.450000000000003</v>
      </c>
      <c r="AE469" s="290">
        <f t="shared" si="108"/>
        <v>32.450000000000003</v>
      </c>
      <c r="AF469" s="227"/>
      <c r="AG469" s="374"/>
      <c r="AH469" s="477"/>
      <c r="AR469" s="129" t="s">
        <v>235</v>
      </c>
      <c r="AT469" s="129" t="s">
        <v>231</v>
      </c>
      <c r="AU469" s="129" t="s">
        <v>76</v>
      </c>
      <c r="AY469" s="13" t="s">
        <v>228</v>
      </c>
      <c r="BE469" s="130">
        <f t="shared" si="109"/>
        <v>0</v>
      </c>
      <c r="BF469" s="130">
        <f t="shared" si="110"/>
        <v>0</v>
      </c>
      <c r="BG469" s="130">
        <f t="shared" si="111"/>
        <v>0</v>
      </c>
      <c r="BH469" s="130">
        <f t="shared" si="112"/>
        <v>0</v>
      </c>
      <c r="BI469" s="130">
        <f t="shared" si="113"/>
        <v>0</v>
      </c>
      <c r="BJ469" s="13" t="s">
        <v>76</v>
      </c>
      <c r="BK469" s="130">
        <f t="shared" si="114"/>
        <v>32.450000000000003</v>
      </c>
      <c r="BL469" s="13" t="s">
        <v>235</v>
      </c>
      <c r="BM469" s="129" t="s">
        <v>2369</v>
      </c>
    </row>
    <row r="470" spans="2:65" s="1" customFormat="1" ht="24" customHeight="1" x14ac:dyDescent="0.2">
      <c r="B470" s="118"/>
      <c r="C470" s="285" t="s">
        <v>2370</v>
      </c>
      <c r="D470" s="285" t="s">
        <v>231</v>
      </c>
      <c r="E470" s="286" t="s">
        <v>2312</v>
      </c>
      <c r="F470" s="240" t="s">
        <v>2313</v>
      </c>
      <c r="G470" s="287" t="s">
        <v>1194</v>
      </c>
      <c r="H470" s="288">
        <v>1</v>
      </c>
      <c r="I470" s="289">
        <v>75.790000000000006</v>
      </c>
      <c r="J470" s="289">
        <f t="shared" si="107"/>
        <v>75.790000000000006</v>
      </c>
      <c r="K470" s="121" t="s">
        <v>1</v>
      </c>
      <c r="L470" s="465"/>
      <c r="M470" s="125"/>
      <c r="N470" s="126"/>
      <c r="O470" s="127"/>
      <c r="P470" s="127"/>
      <c r="Q470" s="127"/>
      <c r="R470" s="127"/>
      <c r="S470" s="127"/>
      <c r="T470" s="128"/>
      <c r="W470" s="199"/>
      <c r="X470" s="285" t="s">
        <v>2370</v>
      </c>
      <c r="Y470" s="285" t="s">
        <v>231</v>
      </c>
      <c r="Z470" s="286" t="s">
        <v>2312</v>
      </c>
      <c r="AA470" s="240" t="s">
        <v>2313</v>
      </c>
      <c r="AB470" s="287" t="s">
        <v>1194</v>
      </c>
      <c r="AC470" s="288">
        <v>1</v>
      </c>
      <c r="AD470" s="289">
        <v>75.790000000000006</v>
      </c>
      <c r="AE470" s="290">
        <f t="shared" si="108"/>
        <v>75.790000000000006</v>
      </c>
      <c r="AF470" s="227"/>
      <c r="AG470" s="374"/>
      <c r="AH470" s="477"/>
      <c r="AR470" s="129" t="s">
        <v>235</v>
      </c>
      <c r="AT470" s="129" t="s">
        <v>231</v>
      </c>
      <c r="AU470" s="129" t="s">
        <v>76</v>
      </c>
      <c r="AY470" s="13" t="s">
        <v>228</v>
      </c>
      <c r="BE470" s="130">
        <f t="shared" si="109"/>
        <v>0</v>
      </c>
      <c r="BF470" s="130">
        <f t="shared" si="110"/>
        <v>0</v>
      </c>
      <c r="BG470" s="130">
        <f t="shared" si="111"/>
        <v>0</v>
      </c>
      <c r="BH470" s="130">
        <f t="shared" si="112"/>
        <v>0</v>
      </c>
      <c r="BI470" s="130">
        <f t="shared" si="113"/>
        <v>0</v>
      </c>
      <c r="BJ470" s="13" t="s">
        <v>76</v>
      </c>
      <c r="BK470" s="130">
        <f t="shared" si="114"/>
        <v>75.790000000000006</v>
      </c>
      <c r="BL470" s="13" t="s">
        <v>235</v>
      </c>
      <c r="BM470" s="129" t="s">
        <v>2371</v>
      </c>
    </row>
    <row r="471" spans="2:65" s="1" customFormat="1" ht="24" customHeight="1" x14ac:dyDescent="0.2">
      <c r="B471" s="118"/>
      <c r="C471" s="285" t="s">
        <v>670</v>
      </c>
      <c r="D471" s="285" t="s">
        <v>231</v>
      </c>
      <c r="E471" s="286" t="s">
        <v>2319</v>
      </c>
      <c r="F471" s="240" t="s">
        <v>2320</v>
      </c>
      <c r="G471" s="287" t="s">
        <v>1194</v>
      </c>
      <c r="H471" s="288">
        <v>1</v>
      </c>
      <c r="I471" s="289">
        <v>51.88</v>
      </c>
      <c r="J471" s="289">
        <f t="shared" si="107"/>
        <v>51.88</v>
      </c>
      <c r="K471" s="121" t="s">
        <v>1</v>
      </c>
      <c r="L471" s="465"/>
      <c r="M471" s="125"/>
      <c r="N471" s="126"/>
      <c r="O471" s="127"/>
      <c r="P471" s="127"/>
      <c r="Q471" s="127"/>
      <c r="R471" s="127"/>
      <c r="S471" s="127"/>
      <c r="T471" s="128"/>
      <c r="W471" s="199"/>
      <c r="X471" s="285" t="s">
        <v>670</v>
      </c>
      <c r="Y471" s="285" t="s">
        <v>231</v>
      </c>
      <c r="Z471" s="286" t="s">
        <v>2319</v>
      </c>
      <c r="AA471" s="240" t="s">
        <v>2320</v>
      </c>
      <c r="AB471" s="287" t="s">
        <v>1194</v>
      </c>
      <c r="AC471" s="288">
        <v>1</v>
      </c>
      <c r="AD471" s="289">
        <v>51.88</v>
      </c>
      <c r="AE471" s="290">
        <f t="shared" si="108"/>
        <v>51.88</v>
      </c>
      <c r="AF471" s="227"/>
      <c r="AG471" s="374"/>
      <c r="AH471" s="477"/>
      <c r="AR471" s="129" t="s">
        <v>235</v>
      </c>
      <c r="AT471" s="129" t="s">
        <v>231</v>
      </c>
      <c r="AU471" s="129" t="s">
        <v>76</v>
      </c>
      <c r="AY471" s="13" t="s">
        <v>228</v>
      </c>
      <c r="BE471" s="130">
        <f t="shared" si="109"/>
        <v>0</v>
      </c>
      <c r="BF471" s="130">
        <f t="shared" si="110"/>
        <v>0</v>
      </c>
      <c r="BG471" s="130">
        <f t="shared" si="111"/>
        <v>0</v>
      </c>
      <c r="BH471" s="130">
        <f t="shared" si="112"/>
        <v>0</v>
      </c>
      <c r="BI471" s="130">
        <f t="shared" si="113"/>
        <v>0</v>
      </c>
      <c r="BJ471" s="13" t="s">
        <v>76</v>
      </c>
      <c r="BK471" s="130">
        <f t="shared" si="114"/>
        <v>51.88</v>
      </c>
      <c r="BL471" s="13" t="s">
        <v>235</v>
      </c>
      <c r="BM471" s="129" t="s">
        <v>2372</v>
      </c>
    </row>
    <row r="472" spans="2:65" s="1" customFormat="1" ht="19.2" x14ac:dyDescent="0.2">
      <c r="B472" s="24"/>
      <c r="C472" s="407"/>
      <c r="D472" s="492" t="s">
        <v>1259</v>
      </c>
      <c r="E472" s="407"/>
      <c r="F472" s="428" t="s">
        <v>2087</v>
      </c>
      <c r="G472" s="407"/>
      <c r="H472" s="407"/>
      <c r="I472" s="407"/>
      <c r="J472" s="407"/>
      <c r="L472" s="24"/>
      <c r="M472" s="146"/>
      <c r="N472" s="42"/>
      <c r="O472" s="42"/>
      <c r="P472" s="42"/>
      <c r="Q472" s="42"/>
      <c r="R472" s="42"/>
      <c r="S472" s="42"/>
      <c r="T472" s="43"/>
      <c r="W472" s="158"/>
      <c r="X472" s="427"/>
      <c r="Y472" s="511" t="s">
        <v>1259</v>
      </c>
      <c r="Z472" s="427"/>
      <c r="AA472" s="505" t="s">
        <v>2087</v>
      </c>
      <c r="AB472" s="427"/>
      <c r="AC472" s="427"/>
      <c r="AD472" s="427"/>
      <c r="AE472" s="512"/>
      <c r="AF472" s="227"/>
      <c r="AG472" s="374"/>
      <c r="AH472" s="477"/>
      <c r="AT472" s="13" t="s">
        <v>1259</v>
      </c>
      <c r="AU472" s="13" t="s">
        <v>76</v>
      </c>
    </row>
    <row r="473" spans="2:65" s="424" customFormat="1" ht="19.5" customHeight="1" x14ac:dyDescent="0.2">
      <c r="B473" s="24"/>
      <c r="C473" s="407"/>
      <c r="D473" s="492"/>
      <c r="E473" s="407"/>
      <c r="F473" s="428"/>
      <c r="G473" s="407"/>
      <c r="H473" s="407"/>
      <c r="I473" s="407"/>
      <c r="J473" s="407"/>
      <c r="L473" s="24"/>
      <c r="M473" s="146"/>
      <c r="N473" s="425"/>
      <c r="O473" s="425"/>
      <c r="P473" s="425"/>
      <c r="Q473" s="425"/>
      <c r="R473" s="425"/>
      <c r="S473" s="425"/>
      <c r="T473" s="43"/>
      <c r="W473" s="158"/>
      <c r="X473" s="427"/>
      <c r="Y473" s="511"/>
      <c r="Z473" s="427"/>
      <c r="AA473" s="505"/>
      <c r="AB473" s="427"/>
      <c r="AC473" s="427"/>
      <c r="AD473" s="427"/>
      <c r="AE473" s="512"/>
      <c r="AF473" s="227"/>
      <c r="AG473" s="374"/>
      <c r="AH473" s="477"/>
      <c r="AT473" s="13"/>
      <c r="AU473" s="13"/>
    </row>
    <row r="474" spans="2:65" s="1" customFormat="1" ht="24" customHeight="1" x14ac:dyDescent="0.2">
      <c r="B474" s="118"/>
      <c r="C474" s="285" t="s">
        <v>2373</v>
      </c>
      <c r="D474" s="285" t="s">
        <v>231</v>
      </c>
      <c r="E474" s="286" t="s">
        <v>2323</v>
      </c>
      <c r="F474" s="240" t="s">
        <v>2324</v>
      </c>
      <c r="G474" s="287" t="s">
        <v>1194</v>
      </c>
      <c r="H474" s="288">
        <v>1</v>
      </c>
      <c r="I474" s="289">
        <v>30.89</v>
      </c>
      <c r="J474" s="289">
        <f>ROUND(I474*H474,2)</f>
        <v>30.89</v>
      </c>
      <c r="K474" s="121" t="s">
        <v>1</v>
      </c>
      <c r="L474" s="465"/>
      <c r="M474" s="125"/>
      <c r="N474" s="126"/>
      <c r="O474" s="127"/>
      <c r="P474" s="127"/>
      <c r="Q474" s="127"/>
      <c r="R474" s="127"/>
      <c r="S474" s="127"/>
      <c r="T474" s="128"/>
      <c r="V474" s="464"/>
      <c r="W474" s="199"/>
      <c r="X474" s="285" t="s">
        <v>2373</v>
      </c>
      <c r="Y474" s="285" t="s">
        <v>231</v>
      </c>
      <c r="Z474" s="286" t="s">
        <v>2323</v>
      </c>
      <c r="AA474" s="240" t="s">
        <v>2324</v>
      </c>
      <c r="AB474" s="287" t="s">
        <v>1194</v>
      </c>
      <c r="AC474" s="288">
        <v>1</v>
      </c>
      <c r="AD474" s="289">
        <v>30.89</v>
      </c>
      <c r="AE474" s="290">
        <f>ROUND(AD474*AC474,2)</f>
        <v>30.89</v>
      </c>
      <c r="AF474" s="227"/>
      <c r="AG474" s="374"/>
      <c r="AH474" s="477"/>
      <c r="AR474" s="129" t="s">
        <v>235</v>
      </c>
      <c r="AT474" s="129" t="s">
        <v>231</v>
      </c>
      <c r="AU474" s="129" t="s">
        <v>76</v>
      </c>
      <c r="AY474" s="13" t="s">
        <v>228</v>
      </c>
      <c r="BE474" s="130">
        <f>IF(N474="základná",J474,0)</f>
        <v>0</v>
      </c>
      <c r="BF474" s="130">
        <f>IF(N474="znížená",J474,0)</f>
        <v>0</v>
      </c>
      <c r="BG474" s="130">
        <f>IF(N474="zákl. prenesená",J474,0)</f>
        <v>0</v>
      </c>
      <c r="BH474" s="130">
        <f>IF(N474="zníž. prenesená",J474,0)</f>
        <v>0</v>
      </c>
      <c r="BI474" s="130">
        <f>IF(N474="nulová",J474,0)</f>
        <v>0</v>
      </c>
      <c r="BJ474" s="13" t="s">
        <v>76</v>
      </c>
      <c r="BK474" s="130">
        <f>ROUND(I474*H474,2)</f>
        <v>30.89</v>
      </c>
      <c r="BL474" s="13" t="s">
        <v>235</v>
      </c>
      <c r="BM474" s="129" t="s">
        <v>2374</v>
      </c>
    </row>
    <row r="475" spans="2:65" s="1" customFormat="1" ht="24" customHeight="1" x14ac:dyDescent="0.2">
      <c r="B475" s="118"/>
      <c r="C475" s="285" t="s">
        <v>674</v>
      </c>
      <c r="D475" s="285" t="s">
        <v>231</v>
      </c>
      <c r="E475" s="286" t="s">
        <v>2326</v>
      </c>
      <c r="F475" s="240" t="s">
        <v>2327</v>
      </c>
      <c r="G475" s="287" t="s">
        <v>1194</v>
      </c>
      <c r="H475" s="288">
        <v>1</v>
      </c>
      <c r="I475" s="289">
        <v>49.42</v>
      </c>
      <c r="J475" s="289">
        <f>ROUND(I475*H475,2)</f>
        <v>49.42</v>
      </c>
      <c r="K475" s="121" t="s">
        <v>1</v>
      </c>
      <c r="L475" s="465"/>
      <c r="M475" s="125"/>
      <c r="N475" s="126"/>
      <c r="O475" s="127"/>
      <c r="P475" s="127"/>
      <c r="Q475" s="127"/>
      <c r="R475" s="127"/>
      <c r="S475" s="127"/>
      <c r="T475" s="128"/>
      <c r="W475" s="199"/>
      <c r="X475" s="285" t="s">
        <v>674</v>
      </c>
      <c r="Y475" s="285" t="s">
        <v>231</v>
      </c>
      <c r="Z475" s="286" t="s">
        <v>2326</v>
      </c>
      <c r="AA475" s="240" t="s">
        <v>2327</v>
      </c>
      <c r="AB475" s="287" t="s">
        <v>1194</v>
      </c>
      <c r="AC475" s="288">
        <v>1</v>
      </c>
      <c r="AD475" s="289">
        <v>49.42</v>
      </c>
      <c r="AE475" s="290">
        <f>ROUND(AD475*AC475,2)</f>
        <v>49.42</v>
      </c>
      <c r="AF475" s="227"/>
      <c r="AG475" s="374"/>
      <c r="AH475" s="477"/>
      <c r="AR475" s="129" t="s">
        <v>235</v>
      </c>
      <c r="AT475" s="129" t="s">
        <v>231</v>
      </c>
      <c r="AU475" s="129" t="s">
        <v>76</v>
      </c>
      <c r="AY475" s="13" t="s">
        <v>228</v>
      </c>
      <c r="BE475" s="130">
        <f>IF(N475="základná",J475,0)</f>
        <v>0</v>
      </c>
      <c r="BF475" s="130">
        <f>IF(N475="znížená",J475,0)</f>
        <v>0</v>
      </c>
      <c r="BG475" s="130">
        <f>IF(N475="zákl. prenesená",J475,0)</f>
        <v>0</v>
      </c>
      <c r="BH475" s="130">
        <f>IF(N475="zníž. prenesená",J475,0)</f>
        <v>0</v>
      </c>
      <c r="BI475" s="130">
        <f>IF(N475="nulová",J475,0)</f>
        <v>0</v>
      </c>
      <c r="BJ475" s="13" t="s">
        <v>76</v>
      </c>
      <c r="BK475" s="130">
        <f>ROUND(I475*H475,2)</f>
        <v>49.42</v>
      </c>
      <c r="BL475" s="13" t="s">
        <v>235</v>
      </c>
      <c r="BM475" s="129" t="s">
        <v>2375</v>
      </c>
    </row>
    <row r="476" spans="2:65" s="1" customFormat="1" ht="24" customHeight="1" x14ac:dyDescent="0.2">
      <c r="B476" s="118"/>
      <c r="C476" s="285" t="s">
        <v>2376</v>
      </c>
      <c r="D476" s="285" t="s">
        <v>231</v>
      </c>
      <c r="E476" s="286" t="s">
        <v>2330</v>
      </c>
      <c r="F476" s="240" t="s">
        <v>2331</v>
      </c>
      <c r="G476" s="287" t="s">
        <v>1194</v>
      </c>
      <c r="H476" s="288">
        <v>1</v>
      </c>
      <c r="I476" s="289">
        <v>44.31</v>
      </c>
      <c r="J476" s="289">
        <f>ROUND(I476*H476,2)</f>
        <v>44.31</v>
      </c>
      <c r="K476" s="121" t="s">
        <v>1</v>
      </c>
      <c r="L476" s="465"/>
      <c r="M476" s="125"/>
      <c r="N476" s="126"/>
      <c r="O476" s="127"/>
      <c r="P476" s="127"/>
      <c r="Q476" s="127"/>
      <c r="R476" s="127"/>
      <c r="S476" s="127"/>
      <c r="T476" s="128"/>
      <c r="U476" s="461"/>
      <c r="V476" s="464"/>
      <c r="W476" s="199"/>
      <c r="X476" s="285" t="s">
        <v>2376</v>
      </c>
      <c r="Y476" s="285" t="s">
        <v>231</v>
      </c>
      <c r="Z476" s="286" t="s">
        <v>2330</v>
      </c>
      <c r="AA476" s="240" t="s">
        <v>2331</v>
      </c>
      <c r="AB476" s="287" t="s">
        <v>1194</v>
      </c>
      <c r="AC476" s="288">
        <v>1</v>
      </c>
      <c r="AD476" s="289">
        <v>44.31</v>
      </c>
      <c r="AE476" s="290">
        <f>ROUND(AD476*AC476,2)</f>
        <v>44.31</v>
      </c>
      <c r="AF476" s="227"/>
      <c r="AG476" s="374"/>
      <c r="AH476" s="477"/>
      <c r="AR476" s="129" t="s">
        <v>235</v>
      </c>
      <c r="AT476" s="129" t="s">
        <v>231</v>
      </c>
      <c r="AU476" s="129" t="s">
        <v>76</v>
      </c>
      <c r="AY476" s="13" t="s">
        <v>228</v>
      </c>
      <c r="BE476" s="130">
        <f>IF(N476="základná",J476,0)</f>
        <v>0</v>
      </c>
      <c r="BF476" s="130">
        <f>IF(N476="znížená",J476,0)</f>
        <v>0</v>
      </c>
      <c r="BG476" s="130">
        <f>IF(N476="zákl. prenesená",J476,0)</f>
        <v>0</v>
      </c>
      <c r="BH476" s="130">
        <f>IF(N476="zníž. prenesená",J476,0)</f>
        <v>0</v>
      </c>
      <c r="BI476" s="130">
        <f>IF(N476="nulová",J476,0)</f>
        <v>0</v>
      </c>
      <c r="BJ476" s="13" t="s">
        <v>76</v>
      </c>
      <c r="BK476" s="130">
        <f>ROUND(I476*H476,2)</f>
        <v>44.31</v>
      </c>
      <c r="BL476" s="13" t="s">
        <v>235</v>
      </c>
      <c r="BM476" s="129" t="s">
        <v>2377</v>
      </c>
    </row>
    <row r="477" spans="2:65" s="1" customFormat="1" ht="19.2" x14ac:dyDescent="0.2">
      <c r="B477" s="24"/>
      <c r="C477" s="407"/>
      <c r="D477" s="492" t="s">
        <v>1259</v>
      </c>
      <c r="E477" s="407"/>
      <c r="F477" s="428" t="s">
        <v>2087</v>
      </c>
      <c r="G477" s="407"/>
      <c r="H477" s="407"/>
      <c r="I477" s="407"/>
      <c r="J477" s="407"/>
      <c r="L477" s="24"/>
      <c r="M477" s="146"/>
      <c r="N477" s="42"/>
      <c r="O477" s="42"/>
      <c r="P477" s="42"/>
      <c r="Q477" s="42"/>
      <c r="R477" s="42"/>
      <c r="S477" s="42"/>
      <c r="T477" s="43"/>
      <c r="W477" s="158"/>
      <c r="X477" s="427"/>
      <c r="Y477" s="511" t="s">
        <v>1259</v>
      </c>
      <c r="Z477" s="427"/>
      <c r="AA477" s="505" t="s">
        <v>2087</v>
      </c>
      <c r="AB477" s="427"/>
      <c r="AC477" s="427"/>
      <c r="AD477" s="427"/>
      <c r="AE477" s="512"/>
      <c r="AF477" s="227"/>
      <c r="AG477" s="374"/>
      <c r="AH477" s="477"/>
      <c r="AT477" s="13" t="s">
        <v>1259</v>
      </c>
      <c r="AU477" s="13" t="s">
        <v>76</v>
      </c>
    </row>
    <row r="478" spans="2:65" s="1" customFormat="1" ht="24" customHeight="1" x14ac:dyDescent="0.2">
      <c r="B478" s="118"/>
      <c r="C478" s="285" t="s">
        <v>677</v>
      </c>
      <c r="D478" s="285" t="s">
        <v>231</v>
      </c>
      <c r="E478" s="286" t="s">
        <v>2333</v>
      </c>
      <c r="F478" s="240" t="s">
        <v>2334</v>
      </c>
      <c r="G478" s="287" t="s">
        <v>1194</v>
      </c>
      <c r="H478" s="288">
        <v>1</v>
      </c>
      <c r="I478" s="289">
        <v>26.13</v>
      </c>
      <c r="J478" s="289">
        <f>ROUND(I478*H478,2)</f>
        <v>26.13</v>
      </c>
      <c r="K478" s="121" t="s">
        <v>1</v>
      </c>
      <c r="L478" s="465"/>
      <c r="M478" s="125"/>
      <c r="N478" s="126"/>
      <c r="O478" s="127"/>
      <c r="P478" s="127"/>
      <c r="Q478" s="127"/>
      <c r="R478" s="127"/>
      <c r="S478" s="127"/>
      <c r="T478" s="128"/>
      <c r="U478" s="461"/>
      <c r="V478" s="464"/>
      <c r="W478" s="199"/>
      <c r="X478" s="285" t="s">
        <v>677</v>
      </c>
      <c r="Y478" s="285" t="s">
        <v>231</v>
      </c>
      <c r="Z478" s="286" t="s">
        <v>2333</v>
      </c>
      <c r="AA478" s="240" t="s">
        <v>2334</v>
      </c>
      <c r="AB478" s="287" t="s">
        <v>1194</v>
      </c>
      <c r="AC478" s="288">
        <v>1</v>
      </c>
      <c r="AD478" s="289">
        <v>26.13</v>
      </c>
      <c r="AE478" s="290">
        <f>ROUND(AD478*AC478,2)</f>
        <v>26.13</v>
      </c>
      <c r="AF478" s="227"/>
      <c r="AG478" s="374"/>
      <c r="AH478" s="477"/>
      <c r="AR478" s="129" t="s">
        <v>235</v>
      </c>
      <c r="AT478" s="129" t="s">
        <v>231</v>
      </c>
      <c r="AU478" s="129" t="s">
        <v>76</v>
      </c>
      <c r="AY478" s="13" t="s">
        <v>228</v>
      </c>
      <c r="BE478" s="130">
        <f>IF(N478="základná",J478,0)</f>
        <v>0</v>
      </c>
      <c r="BF478" s="130">
        <f>IF(N478="znížená",J478,0)</f>
        <v>0</v>
      </c>
      <c r="BG478" s="130">
        <f>IF(N478="zákl. prenesená",J478,0)</f>
        <v>0</v>
      </c>
      <c r="BH478" s="130">
        <f>IF(N478="zníž. prenesená",J478,0)</f>
        <v>0</v>
      </c>
      <c r="BI478" s="130">
        <f>IF(N478="nulová",J478,0)</f>
        <v>0</v>
      </c>
      <c r="BJ478" s="13" t="s">
        <v>76</v>
      </c>
      <c r="BK478" s="130">
        <f>ROUND(I478*H478,2)</f>
        <v>26.13</v>
      </c>
      <c r="BL478" s="13" t="s">
        <v>235</v>
      </c>
      <c r="BM478" s="129" t="s">
        <v>2378</v>
      </c>
    </row>
    <row r="479" spans="2:65" s="1" customFormat="1" ht="24" customHeight="1" x14ac:dyDescent="0.2">
      <c r="B479" s="118"/>
      <c r="C479" s="285" t="s">
        <v>2379</v>
      </c>
      <c r="D479" s="285" t="s">
        <v>231</v>
      </c>
      <c r="E479" s="286" t="s">
        <v>2337</v>
      </c>
      <c r="F479" s="240" t="s">
        <v>2338</v>
      </c>
      <c r="G479" s="287" t="s">
        <v>1194</v>
      </c>
      <c r="H479" s="288">
        <v>1</v>
      </c>
      <c r="I479" s="289">
        <v>41.79</v>
      </c>
      <c r="J479" s="289">
        <f>ROUND(I479*H479,2)</f>
        <v>41.79</v>
      </c>
      <c r="K479" s="121" t="s">
        <v>1</v>
      </c>
      <c r="L479" s="465"/>
      <c r="M479" s="125"/>
      <c r="N479" s="126"/>
      <c r="O479" s="127"/>
      <c r="P479" s="127"/>
      <c r="Q479" s="127"/>
      <c r="R479" s="127"/>
      <c r="S479" s="127"/>
      <c r="T479" s="128"/>
      <c r="W479" s="199"/>
      <c r="X479" s="285" t="s">
        <v>2379</v>
      </c>
      <c r="Y479" s="285" t="s">
        <v>231</v>
      </c>
      <c r="Z479" s="286" t="s">
        <v>2337</v>
      </c>
      <c r="AA479" s="240" t="s">
        <v>2338</v>
      </c>
      <c r="AB479" s="287" t="s">
        <v>1194</v>
      </c>
      <c r="AC479" s="288">
        <v>1</v>
      </c>
      <c r="AD479" s="289">
        <v>41.79</v>
      </c>
      <c r="AE479" s="290">
        <f>ROUND(AD479*AC479,2)</f>
        <v>41.79</v>
      </c>
      <c r="AF479" s="227"/>
      <c r="AG479" s="374"/>
      <c r="AH479" s="477"/>
      <c r="AR479" s="129" t="s">
        <v>235</v>
      </c>
      <c r="AT479" s="129" t="s">
        <v>231</v>
      </c>
      <c r="AU479" s="129" t="s">
        <v>76</v>
      </c>
      <c r="AY479" s="13" t="s">
        <v>228</v>
      </c>
      <c r="BE479" s="130">
        <f>IF(N479="základná",J479,0)</f>
        <v>0</v>
      </c>
      <c r="BF479" s="130">
        <f>IF(N479="znížená",J479,0)</f>
        <v>0</v>
      </c>
      <c r="BG479" s="130">
        <f>IF(N479="zákl. prenesená",J479,0)</f>
        <v>0</v>
      </c>
      <c r="BH479" s="130">
        <f>IF(N479="zníž. prenesená",J479,0)</f>
        <v>0</v>
      </c>
      <c r="BI479" s="130">
        <f>IF(N479="nulová",J479,0)</f>
        <v>0</v>
      </c>
      <c r="BJ479" s="13" t="s">
        <v>76</v>
      </c>
      <c r="BK479" s="130">
        <f>ROUND(I479*H479,2)</f>
        <v>41.79</v>
      </c>
      <c r="BL479" s="13" t="s">
        <v>235</v>
      </c>
      <c r="BM479" s="129" t="s">
        <v>2380</v>
      </c>
    </row>
    <row r="480" spans="2:65" s="1" customFormat="1" ht="24" customHeight="1" x14ac:dyDescent="0.2">
      <c r="B480" s="118"/>
      <c r="C480" s="285" t="s">
        <v>681</v>
      </c>
      <c r="D480" s="285" t="s">
        <v>231</v>
      </c>
      <c r="E480" s="286" t="s">
        <v>2340</v>
      </c>
      <c r="F480" s="240" t="s">
        <v>2341</v>
      </c>
      <c r="G480" s="287" t="s">
        <v>1194</v>
      </c>
      <c r="H480" s="288">
        <v>1</v>
      </c>
      <c r="I480" s="289">
        <v>42.27</v>
      </c>
      <c r="J480" s="289">
        <f>ROUND(I480*H480,2)</f>
        <v>42.27</v>
      </c>
      <c r="K480" s="121" t="s">
        <v>1</v>
      </c>
      <c r="L480" s="465"/>
      <c r="M480" s="125"/>
      <c r="N480" s="126"/>
      <c r="O480" s="127"/>
      <c r="P480" s="127"/>
      <c r="Q480" s="127"/>
      <c r="R480" s="127"/>
      <c r="S480" s="127"/>
      <c r="T480" s="128"/>
      <c r="U480" s="461"/>
      <c r="V480" s="464"/>
      <c r="W480" s="199"/>
      <c r="X480" s="285" t="s">
        <v>681</v>
      </c>
      <c r="Y480" s="285" t="s">
        <v>231</v>
      </c>
      <c r="Z480" s="286" t="s">
        <v>2340</v>
      </c>
      <c r="AA480" s="240" t="s">
        <v>2341</v>
      </c>
      <c r="AB480" s="287" t="s">
        <v>1194</v>
      </c>
      <c r="AC480" s="288">
        <v>1</v>
      </c>
      <c r="AD480" s="289">
        <v>42.27</v>
      </c>
      <c r="AE480" s="290">
        <f>ROUND(AD480*AC480,2)</f>
        <v>42.27</v>
      </c>
      <c r="AF480" s="227"/>
      <c r="AG480" s="374"/>
      <c r="AH480" s="477"/>
      <c r="AR480" s="129" t="s">
        <v>235</v>
      </c>
      <c r="AT480" s="129" t="s">
        <v>231</v>
      </c>
      <c r="AU480" s="129" t="s">
        <v>76</v>
      </c>
      <c r="AY480" s="13" t="s">
        <v>228</v>
      </c>
      <c r="BE480" s="130">
        <f>IF(N480="základná",J480,0)</f>
        <v>0</v>
      </c>
      <c r="BF480" s="130">
        <f>IF(N480="znížená",J480,0)</f>
        <v>0</v>
      </c>
      <c r="BG480" s="130">
        <f>IF(N480="zákl. prenesená",J480,0)</f>
        <v>0</v>
      </c>
      <c r="BH480" s="130">
        <f>IF(N480="zníž. prenesená",J480,0)</f>
        <v>0</v>
      </c>
      <c r="BI480" s="130">
        <f>IF(N480="nulová",J480,0)</f>
        <v>0</v>
      </c>
      <c r="BJ480" s="13" t="s">
        <v>76</v>
      </c>
      <c r="BK480" s="130">
        <f>ROUND(I480*H480,2)</f>
        <v>42.27</v>
      </c>
      <c r="BL480" s="13" t="s">
        <v>235</v>
      </c>
      <c r="BM480" s="129" t="s">
        <v>2381</v>
      </c>
    </row>
    <row r="481" spans="2:65" s="1" customFormat="1" ht="19.2" x14ac:dyDescent="0.2">
      <c r="B481" s="24"/>
      <c r="C481" s="407"/>
      <c r="D481" s="492" t="s">
        <v>1259</v>
      </c>
      <c r="E481" s="407"/>
      <c r="F481" s="428" t="s">
        <v>2087</v>
      </c>
      <c r="G481" s="407"/>
      <c r="H481" s="407"/>
      <c r="I481" s="407"/>
      <c r="J481" s="407"/>
      <c r="L481" s="24"/>
      <c r="M481" s="146"/>
      <c r="N481" s="42"/>
      <c r="O481" s="42"/>
      <c r="P481" s="42"/>
      <c r="Q481" s="42"/>
      <c r="R481" s="42"/>
      <c r="S481" s="42"/>
      <c r="T481" s="43"/>
      <c r="W481" s="158"/>
      <c r="X481" s="427"/>
      <c r="Y481" s="511" t="s">
        <v>1259</v>
      </c>
      <c r="Z481" s="427"/>
      <c r="AA481" s="505" t="s">
        <v>2087</v>
      </c>
      <c r="AB481" s="427"/>
      <c r="AC481" s="427"/>
      <c r="AD481" s="427"/>
      <c r="AE481" s="512"/>
      <c r="AF481" s="227"/>
      <c r="AG481" s="374"/>
      <c r="AH481" s="477"/>
      <c r="AT481" s="13" t="s">
        <v>1259</v>
      </c>
      <c r="AU481" s="13" t="s">
        <v>76</v>
      </c>
    </row>
    <row r="482" spans="2:65" s="1" customFormat="1" ht="24" customHeight="1" x14ac:dyDescent="0.2">
      <c r="B482" s="118"/>
      <c r="C482" s="285" t="s">
        <v>2382</v>
      </c>
      <c r="D482" s="285" t="s">
        <v>231</v>
      </c>
      <c r="E482" s="286" t="s">
        <v>2344</v>
      </c>
      <c r="F482" s="240" t="s">
        <v>2345</v>
      </c>
      <c r="G482" s="287" t="s">
        <v>1194</v>
      </c>
      <c r="H482" s="288">
        <v>1</v>
      </c>
      <c r="I482" s="289">
        <v>20.9</v>
      </c>
      <c r="J482" s="289">
        <f>ROUND(I482*H482,2)</f>
        <v>20.9</v>
      </c>
      <c r="K482" s="121" t="s">
        <v>1</v>
      </c>
      <c r="L482" s="465"/>
      <c r="M482" s="125"/>
      <c r="N482" s="126"/>
      <c r="O482" s="127"/>
      <c r="P482" s="127"/>
      <c r="Q482" s="127"/>
      <c r="R482" s="127"/>
      <c r="S482" s="127"/>
      <c r="T482" s="128"/>
      <c r="U482" s="461"/>
      <c r="V482" s="464"/>
      <c r="W482" s="199"/>
      <c r="X482" s="285" t="s">
        <v>2382</v>
      </c>
      <c r="Y482" s="285" t="s">
        <v>231</v>
      </c>
      <c r="Z482" s="286" t="s">
        <v>2344</v>
      </c>
      <c r="AA482" s="240" t="s">
        <v>2345</v>
      </c>
      <c r="AB482" s="287" t="s">
        <v>1194</v>
      </c>
      <c r="AC482" s="288">
        <v>1</v>
      </c>
      <c r="AD482" s="289">
        <v>20.9</v>
      </c>
      <c r="AE482" s="290">
        <f>ROUND(AD482*AC482,2)</f>
        <v>20.9</v>
      </c>
      <c r="AF482" s="227"/>
      <c r="AG482" s="374"/>
      <c r="AH482" s="477"/>
      <c r="AR482" s="129" t="s">
        <v>235</v>
      </c>
      <c r="AT482" s="129" t="s">
        <v>231</v>
      </c>
      <c r="AU482" s="129" t="s">
        <v>76</v>
      </c>
      <c r="AY482" s="13" t="s">
        <v>228</v>
      </c>
      <c r="BE482" s="130">
        <f>IF(N482="základná",J482,0)</f>
        <v>0</v>
      </c>
      <c r="BF482" s="130">
        <f>IF(N482="znížená",J482,0)</f>
        <v>0</v>
      </c>
      <c r="BG482" s="130">
        <f>IF(N482="zákl. prenesená",J482,0)</f>
        <v>0</v>
      </c>
      <c r="BH482" s="130">
        <f>IF(N482="zníž. prenesená",J482,0)</f>
        <v>0</v>
      </c>
      <c r="BI482" s="130">
        <f>IF(N482="nulová",J482,0)</f>
        <v>0</v>
      </c>
      <c r="BJ482" s="13" t="s">
        <v>76</v>
      </c>
      <c r="BK482" s="130">
        <f>ROUND(I482*H482,2)</f>
        <v>20.9</v>
      </c>
      <c r="BL482" s="13" t="s">
        <v>235</v>
      </c>
      <c r="BM482" s="129" t="s">
        <v>2383</v>
      </c>
    </row>
    <row r="483" spans="2:65" s="1" customFormat="1" ht="24" customHeight="1" x14ac:dyDescent="0.2">
      <c r="B483" s="118"/>
      <c r="C483" s="285" t="s">
        <v>684</v>
      </c>
      <c r="D483" s="285" t="s">
        <v>231</v>
      </c>
      <c r="E483" s="286" t="s">
        <v>2347</v>
      </c>
      <c r="F483" s="240" t="s">
        <v>2348</v>
      </c>
      <c r="G483" s="287" t="s">
        <v>1194</v>
      </c>
      <c r="H483" s="288">
        <v>1</v>
      </c>
      <c r="I483" s="289">
        <v>33.450000000000003</v>
      </c>
      <c r="J483" s="289">
        <f>ROUND(I483*H483,2)</f>
        <v>33.450000000000003</v>
      </c>
      <c r="K483" s="121" t="s">
        <v>1</v>
      </c>
      <c r="L483" s="465"/>
      <c r="M483" s="125"/>
      <c r="N483" s="126"/>
      <c r="O483" s="127"/>
      <c r="P483" s="127"/>
      <c r="Q483" s="127"/>
      <c r="R483" s="127"/>
      <c r="S483" s="127"/>
      <c r="T483" s="128"/>
      <c r="W483" s="199"/>
      <c r="X483" s="285" t="s">
        <v>684</v>
      </c>
      <c r="Y483" s="285" t="s">
        <v>231</v>
      </c>
      <c r="Z483" s="286" t="s">
        <v>2347</v>
      </c>
      <c r="AA483" s="240" t="s">
        <v>2348</v>
      </c>
      <c r="AB483" s="287" t="s">
        <v>1194</v>
      </c>
      <c r="AC483" s="288">
        <v>1</v>
      </c>
      <c r="AD483" s="289">
        <v>33.450000000000003</v>
      </c>
      <c r="AE483" s="290">
        <f>ROUND(AD483*AC483,2)</f>
        <v>33.450000000000003</v>
      </c>
      <c r="AF483" s="227"/>
      <c r="AG483" s="374"/>
      <c r="AH483" s="477"/>
      <c r="AR483" s="129" t="s">
        <v>235</v>
      </c>
      <c r="AT483" s="129" t="s">
        <v>231</v>
      </c>
      <c r="AU483" s="129" t="s">
        <v>76</v>
      </c>
      <c r="AY483" s="13" t="s">
        <v>228</v>
      </c>
      <c r="BE483" s="130">
        <f>IF(N483="základná",J483,0)</f>
        <v>0</v>
      </c>
      <c r="BF483" s="130">
        <f>IF(N483="znížená",J483,0)</f>
        <v>0</v>
      </c>
      <c r="BG483" s="130">
        <f>IF(N483="zákl. prenesená",J483,0)</f>
        <v>0</v>
      </c>
      <c r="BH483" s="130">
        <f>IF(N483="zníž. prenesená",J483,0)</f>
        <v>0</v>
      </c>
      <c r="BI483" s="130">
        <f>IF(N483="nulová",J483,0)</f>
        <v>0</v>
      </c>
      <c r="BJ483" s="13" t="s">
        <v>76</v>
      </c>
      <c r="BK483" s="130">
        <f>ROUND(I483*H483,2)</f>
        <v>33.450000000000003</v>
      </c>
      <c r="BL483" s="13" t="s">
        <v>235</v>
      </c>
      <c r="BM483" s="129" t="s">
        <v>2384</v>
      </c>
    </row>
    <row r="484" spans="2:65" s="1" customFormat="1" ht="27.45" customHeight="1" x14ac:dyDescent="0.2">
      <c r="B484" s="118"/>
      <c r="C484" s="285" t="s">
        <v>2385</v>
      </c>
      <c r="D484" s="285" t="s">
        <v>231</v>
      </c>
      <c r="E484" s="286" t="s">
        <v>2351</v>
      </c>
      <c r="F484" s="240" t="s">
        <v>2352</v>
      </c>
      <c r="G484" s="287" t="s">
        <v>1194</v>
      </c>
      <c r="H484" s="288">
        <v>1</v>
      </c>
      <c r="I484" s="289">
        <v>34.32</v>
      </c>
      <c r="J484" s="289">
        <f>ROUND(I484*H484,2)</f>
        <v>34.32</v>
      </c>
      <c r="K484" s="121" t="s">
        <v>1</v>
      </c>
      <c r="L484" s="465"/>
      <c r="M484" s="125"/>
      <c r="N484" s="126"/>
      <c r="O484" s="127"/>
      <c r="P484" s="127"/>
      <c r="Q484" s="127"/>
      <c r="R484" s="127"/>
      <c r="S484" s="127"/>
      <c r="T484" s="128"/>
      <c r="U484" s="461"/>
      <c r="V484" s="464"/>
      <c r="W484" s="199"/>
      <c r="X484" s="285" t="s">
        <v>2385</v>
      </c>
      <c r="Y484" s="285" t="s">
        <v>231</v>
      </c>
      <c r="Z484" s="286" t="s">
        <v>2351</v>
      </c>
      <c r="AA484" s="240" t="s">
        <v>2352</v>
      </c>
      <c r="AB484" s="287" t="s">
        <v>1194</v>
      </c>
      <c r="AC484" s="288">
        <v>1</v>
      </c>
      <c r="AD484" s="289">
        <v>34.32</v>
      </c>
      <c r="AE484" s="290">
        <f>ROUND(AD484*AC484,2)</f>
        <v>34.32</v>
      </c>
      <c r="AF484" s="227"/>
      <c r="AG484" s="374"/>
      <c r="AH484" s="477"/>
      <c r="AR484" s="129" t="s">
        <v>235</v>
      </c>
      <c r="AT484" s="129" t="s">
        <v>231</v>
      </c>
      <c r="AU484" s="129" t="s">
        <v>76</v>
      </c>
      <c r="AY484" s="13" t="s">
        <v>228</v>
      </c>
      <c r="BE484" s="130">
        <f>IF(N484="základná",J484,0)</f>
        <v>0</v>
      </c>
      <c r="BF484" s="130">
        <f>IF(N484="znížená",J484,0)</f>
        <v>0</v>
      </c>
      <c r="BG484" s="130">
        <f>IF(N484="zákl. prenesená",J484,0)</f>
        <v>0</v>
      </c>
      <c r="BH484" s="130">
        <f>IF(N484="zníž. prenesená",J484,0)</f>
        <v>0</v>
      </c>
      <c r="BI484" s="130">
        <f>IF(N484="nulová",J484,0)</f>
        <v>0</v>
      </c>
      <c r="BJ484" s="13" t="s">
        <v>76</v>
      </c>
      <c r="BK484" s="130">
        <f>ROUND(I484*H484,2)</f>
        <v>34.32</v>
      </c>
      <c r="BL484" s="13" t="s">
        <v>235</v>
      </c>
      <c r="BM484" s="129" t="s">
        <v>2386</v>
      </c>
    </row>
    <row r="485" spans="2:65" s="1" customFormat="1" ht="19.2" x14ac:dyDescent="0.2">
      <c r="B485" s="24"/>
      <c r="C485" s="407"/>
      <c r="D485" s="492" t="s">
        <v>1259</v>
      </c>
      <c r="E485" s="407"/>
      <c r="F485" s="428" t="s">
        <v>2087</v>
      </c>
      <c r="G485" s="407"/>
      <c r="H485" s="407"/>
      <c r="I485" s="407"/>
      <c r="J485" s="407"/>
      <c r="L485" s="24"/>
      <c r="M485" s="146"/>
      <c r="N485" s="42"/>
      <c r="O485" s="42"/>
      <c r="P485" s="42"/>
      <c r="Q485" s="42"/>
      <c r="R485" s="42"/>
      <c r="S485" s="42"/>
      <c r="T485" s="43"/>
      <c r="W485" s="158"/>
      <c r="X485" s="427"/>
      <c r="Y485" s="511" t="s">
        <v>1259</v>
      </c>
      <c r="Z485" s="427"/>
      <c r="AA485" s="505" t="s">
        <v>2087</v>
      </c>
      <c r="AB485" s="427"/>
      <c r="AC485" s="427"/>
      <c r="AD485" s="427"/>
      <c r="AE485" s="512"/>
      <c r="AF485" s="227"/>
      <c r="AG485" s="374"/>
      <c r="AH485" s="477"/>
      <c r="AT485" s="13" t="s">
        <v>1259</v>
      </c>
      <c r="AU485" s="13" t="s">
        <v>76</v>
      </c>
    </row>
    <row r="486" spans="2:65" s="1" customFormat="1" ht="16.5" customHeight="1" x14ac:dyDescent="0.2">
      <c r="B486" s="118"/>
      <c r="C486" s="285" t="s">
        <v>688</v>
      </c>
      <c r="D486" s="285" t="s">
        <v>231</v>
      </c>
      <c r="E486" s="286" t="s">
        <v>2215</v>
      </c>
      <c r="F486" s="240" t="s">
        <v>2216</v>
      </c>
      <c r="G486" s="287" t="s">
        <v>1194</v>
      </c>
      <c r="H486" s="288">
        <v>4</v>
      </c>
      <c r="I486" s="289">
        <v>31.71</v>
      </c>
      <c r="J486" s="289">
        <f>ROUND(I486*H486,2)</f>
        <v>126.84</v>
      </c>
      <c r="K486" s="121" t="s">
        <v>1</v>
      </c>
      <c r="L486" s="465"/>
      <c r="M486" s="125"/>
      <c r="N486" s="126"/>
      <c r="O486" s="127"/>
      <c r="P486" s="127"/>
      <c r="Q486" s="127"/>
      <c r="R486" s="127"/>
      <c r="S486" s="127"/>
      <c r="T486" s="128"/>
      <c r="W486" s="199"/>
      <c r="X486" s="285" t="s">
        <v>688</v>
      </c>
      <c r="Y486" s="285" t="s">
        <v>231</v>
      </c>
      <c r="Z486" s="286" t="s">
        <v>2215</v>
      </c>
      <c r="AA486" s="240" t="s">
        <v>2216</v>
      </c>
      <c r="AB486" s="287" t="s">
        <v>1194</v>
      </c>
      <c r="AC486" s="288">
        <v>4</v>
      </c>
      <c r="AD486" s="289">
        <v>31.71</v>
      </c>
      <c r="AE486" s="290">
        <f>ROUND(AD486*AC486,2)</f>
        <v>126.84</v>
      </c>
      <c r="AF486" s="227"/>
      <c r="AG486" s="374"/>
      <c r="AH486" s="477"/>
      <c r="AR486" s="129" t="s">
        <v>235</v>
      </c>
      <c r="AT486" s="129" t="s">
        <v>231</v>
      </c>
      <c r="AU486" s="129" t="s">
        <v>76</v>
      </c>
      <c r="AY486" s="13" t="s">
        <v>228</v>
      </c>
      <c r="BE486" s="130">
        <f>IF(N486="základná",J486,0)</f>
        <v>0</v>
      </c>
      <c r="BF486" s="130">
        <f>IF(N486="znížená",J486,0)</f>
        <v>0</v>
      </c>
      <c r="BG486" s="130">
        <f>IF(N486="zákl. prenesená",J486,0)</f>
        <v>0</v>
      </c>
      <c r="BH486" s="130">
        <f>IF(N486="zníž. prenesená",J486,0)</f>
        <v>0</v>
      </c>
      <c r="BI486" s="130">
        <f>IF(N486="nulová",J486,0)</f>
        <v>0</v>
      </c>
      <c r="BJ486" s="13" t="s">
        <v>76</v>
      </c>
      <c r="BK486" s="130">
        <f>ROUND(I486*H486,2)</f>
        <v>126.84</v>
      </c>
      <c r="BL486" s="13" t="s">
        <v>235</v>
      </c>
      <c r="BM486" s="129" t="s">
        <v>2387</v>
      </c>
    </row>
    <row r="487" spans="2:65" s="11" customFormat="1" ht="25.95" customHeight="1" x14ac:dyDescent="0.25">
      <c r="B487" s="106"/>
      <c r="C487" s="292"/>
      <c r="D487" s="489" t="s">
        <v>57</v>
      </c>
      <c r="E487" s="501" t="s">
        <v>2218</v>
      </c>
      <c r="F487" s="501" t="s">
        <v>2219</v>
      </c>
      <c r="G487" s="292"/>
      <c r="H487" s="292"/>
      <c r="I487" s="292"/>
      <c r="J487" s="502">
        <f>BK487</f>
        <v>346.29</v>
      </c>
      <c r="L487" s="106"/>
      <c r="M487" s="110"/>
      <c r="N487" s="111"/>
      <c r="O487" s="111"/>
      <c r="P487" s="112"/>
      <c r="Q487" s="111"/>
      <c r="R487" s="112"/>
      <c r="S487" s="111"/>
      <c r="T487" s="113"/>
      <c r="W487" s="195"/>
      <c r="X487" s="347"/>
      <c r="Y487" s="506" t="s">
        <v>57</v>
      </c>
      <c r="Z487" s="429" t="s">
        <v>2218</v>
      </c>
      <c r="AA487" s="429" t="s">
        <v>2219</v>
      </c>
      <c r="AB487" s="347"/>
      <c r="AC487" s="347"/>
      <c r="AD487" s="347"/>
      <c r="AE487" s="513">
        <f>SUM(AE488:AE490)+AE492</f>
        <v>346.28999999999996</v>
      </c>
      <c r="AF487" s="227"/>
      <c r="AG487" s="374"/>
      <c r="AH487" s="477"/>
      <c r="AR487" s="107" t="s">
        <v>63</v>
      </c>
      <c r="AT487" s="114" t="s">
        <v>57</v>
      </c>
      <c r="AU487" s="114" t="s">
        <v>58</v>
      </c>
      <c r="AY487" s="107" t="s">
        <v>228</v>
      </c>
      <c r="BK487" s="115">
        <f>BK488+SUM(BK489:BK492)</f>
        <v>346.29</v>
      </c>
    </row>
    <row r="488" spans="2:65" s="1" customFormat="1" ht="16.5" customHeight="1" x14ac:dyDescent="0.2">
      <c r="B488" s="118"/>
      <c r="C488" s="285" t="s">
        <v>2388</v>
      </c>
      <c r="D488" s="285" t="s">
        <v>231</v>
      </c>
      <c r="E488" s="286" t="s">
        <v>2220</v>
      </c>
      <c r="F488" s="240" t="s">
        <v>2221</v>
      </c>
      <c r="G488" s="287" t="s">
        <v>1194</v>
      </c>
      <c r="H488" s="288">
        <v>1</v>
      </c>
      <c r="I488" s="289">
        <v>53.81</v>
      </c>
      <c r="J488" s="289">
        <f>ROUND(I488*H488,2)</f>
        <v>53.81</v>
      </c>
      <c r="K488" s="121" t="s">
        <v>1</v>
      </c>
      <c r="L488" s="465"/>
      <c r="M488" s="125"/>
      <c r="N488" s="126"/>
      <c r="O488" s="127"/>
      <c r="P488" s="127"/>
      <c r="Q488" s="127"/>
      <c r="R488" s="127"/>
      <c r="S488" s="127"/>
      <c r="T488" s="128"/>
      <c r="U488" s="461"/>
      <c r="V488" s="464"/>
      <c r="W488" s="199"/>
      <c r="X488" s="285" t="s">
        <v>2388</v>
      </c>
      <c r="Y488" s="285" t="s">
        <v>231</v>
      </c>
      <c r="Z488" s="286" t="s">
        <v>2220</v>
      </c>
      <c r="AA488" s="240" t="s">
        <v>2221</v>
      </c>
      <c r="AB488" s="287" t="s">
        <v>1194</v>
      </c>
      <c r="AC488" s="288">
        <v>1</v>
      </c>
      <c r="AD488" s="289">
        <v>53.81</v>
      </c>
      <c r="AE488" s="290">
        <f>ROUND(AD488*AC488,2)</f>
        <v>53.81</v>
      </c>
      <c r="AF488" s="227"/>
      <c r="AG488" s="374"/>
      <c r="AH488" s="477"/>
      <c r="AR488" s="129" t="s">
        <v>235</v>
      </c>
      <c r="AT488" s="129" t="s">
        <v>231</v>
      </c>
      <c r="AU488" s="129" t="s">
        <v>63</v>
      </c>
      <c r="AY488" s="13" t="s">
        <v>228</v>
      </c>
      <c r="BE488" s="130">
        <f>IF(N488="základná",J488,0)</f>
        <v>0</v>
      </c>
      <c r="BF488" s="130">
        <f>IF(N488="znížená",J488,0)</f>
        <v>0</v>
      </c>
      <c r="BG488" s="130">
        <f>IF(N488="zákl. prenesená",J488,0)</f>
        <v>0</v>
      </c>
      <c r="BH488" s="130">
        <f>IF(N488="zníž. prenesená",J488,0)</f>
        <v>0</v>
      </c>
      <c r="BI488" s="130">
        <f>IF(N488="nulová",J488,0)</f>
        <v>0</v>
      </c>
      <c r="BJ488" s="13" t="s">
        <v>76</v>
      </c>
      <c r="BK488" s="130">
        <f>ROUND(I488*H488,2)</f>
        <v>53.81</v>
      </c>
      <c r="BL488" s="13" t="s">
        <v>235</v>
      </c>
      <c r="BM488" s="129" t="s">
        <v>2389</v>
      </c>
    </row>
    <row r="489" spans="2:65" s="1" customFormat="1" ht="24" customHeight="1" x14ac:dyDescent="0.2">
      <c r="B489" s="24"/>
      <c r="C489" s="407"/>
      <c r="D489" s="492" t="s">
        <v>1259</v>
      </c>
      <c r="E489" s="407"/>
      <c r="F489" s="428" t="s">
        <v>2223</v>
      </c>
      <c r="G489" s="407"/>
      <c r="H489" s="407"/>
      <c r="I489" s="407"/>
      <c r="J489" s="407"/>
      <c r="L489" s="24"/>
      <c r="M489" s="146"/>
      <c r="N489" s="42"/>
      <c r="O489" s="42"/>
      <c r="P489" s="42"/>
      <c r="Q489" s="42"/>
      <c r="R489" s="42"/>
      <c r="S489" s="42"/>
      <c r="T489" s="43"/>
      <c r="W489" s="158"/>
      <c r="X489" s="427"/>
      <c r="Y489" s="511" t="s">
        <v>1259</v>
      </c>
      <c r="Z489" s="427"/>
      <c r="AA489" s="505" t="s">
        <v>2223</v>
      </c>
      <c r="AB489" s="427"/>
      <c r="AC489" s="427"/>
      <c r="AD489" s="427"/>
      <c r="AE489" s="512"/>
      <c r="AF489" s="227"/>
      <c r="AG489" s="374"/>
      <c r="AH489" s="477"/>
      <c r="AT489" s="13" t="s">
        <v>1259</v>
      </c>
      <c r="AU489" s="13" t="s">
        <v>63</v>
      </c>
    </row>
    <row r="490" spans="2:65" s="1" customFormat="1" ht="16.5" customHeight="1" x14ac:dyDescent="0.2">
      <c r="B490" s="118"/>
      <c r="C490" s="285" t="s">
        <v>691</v>
      </c>
      <c r="D490" s="285" t="s">
        <v>231</v>
      </c>
      <c r="E490" s="286" t="s">
        <v>2225</v>
      </c>
      <c r="F490" s="240" t="s">
        <v>2226</v>
      </c>
      <c r="G490" s="287" t="s">
        <v>1194</v>
      </c>
      <c r="H490" s="288">
        <v>2</v>
      </c>
      <c r="I490" s="289">
        <v>80.22</v>
      </c>
      <c r="J490" s="289">
        <f>ROUND(I490*H490,2)</f>
        <v>160.44</v>
      </c>
      <c r="K490" s="121" t="s">
        <v>1</v>
      </c>
      <c r="L490" s="465"/>
      <c r="M490" s="125"/>
      <c r="N490" s="126"/>
      <c r="O490" s="127"/>
      <c r="P490" s="127"/>
      <c r="Q490" s="127"/>
      <c r="R490" s="127"/>
      <c r="S490" s="127"/>
      <c r="T490" s="128"/>
      <c r="U490" s="461"/>
      <c r="V490" s="464"/>
      <c r="W490" s="199"/>
      <c r="X490" s="285" t="s">
        <v>691</v>
      </c>
      <c r="Y490" s="285" t="s">
        <v>231</v>
      </c>
      <c r="Z490" s="286" t="s">
        <v>2225</v>
      </c>
      <c r="AA490" s="240" t="s">
        <v>2226</v>
      </c>
      <c r="AB490" s="287" t="s">
        <v>1194</v>
      </c>
      <c r="AC490" s="288">
        <v>2</v>
      </c>
      <c r="AD490" s="289">
        <v>80.22</v>
      </c>
      <c r="AE490" s="290">
        <f>ROUND(AD490*AC490,2)</f>
        <v>160.44</v>
      </c>
      <c r="AF490" s="227"/>
      <c r="AG490" s="374"/>
      <c r="AH490" s="477"/>
      <c r="AR490" s="129" t="s">
        <v>235</v>
      </c>
      <c r="AT490" s="129" t="s">
        <v>231</v>
      </c>
      <c r="AU490" s="129" t="s">
        <v>63</v>
      </c>
      <c r="AY490" s="13" t="s">
        <v>228</v>
      </c>
      <c r="BE490" s="130">
        <f>IF(N490="základná",J490,0)</f>
        <v>0</v>
      </c>
      <c r="BF490" s="130">
        <f>IF(N490="znížená",J490,0)</f>
        <v>0</v>
      </c>
      <c r="BG490" s="130">
        <f>IF(N490="zákl. prenesená",J490,0)</f>
        <v>0</v>
      </c>
      <c r="BH490" s="130">
        <f>IF(N490="zníž. prenesená",J490,0)</f>
        <v>0</v>
      </c>
      <c r="BI490" s="130">
        <f>IF(N490="nulová",J490,0)</f>
        <v>0</v>
      </c>
      <c r="BJ490" s="13" t="s">
        <v>76</v>
      </c>
      <c r="BK490" s="130">
        <f>ROUND(I490*H490,2)</f>
        <v>160.44</v>
      </c>
      <c r="BL490" s="13" t="s">
        <v>235</v>
      </c>
      <c r="BM490" s="129" t="s">
        <v>2390</v>
      </c>
    </row>
    <row r="491" spans="2:65" s="1" customFormat="1" ht="19.2" x14ac:dyDescent="0.2">
      <c r="B491" s="24"/>
      <c r="C491" s="407"/>
      <c r="D491" s="492" t="s">
        <v>1259</v>
      </c>
      <c r="E491" s="407"/>
      <c r="F491" s="428" t="s">
        <v>2228</v>
      </c>
      <c r="G491" s="407"/>
      <c r="H491" s="407"/>
      <c r="I491" s="407"/>
      <c r="J491" s="407"/>
      <c r="L491" s="24"/>
      <c r="M491" s="146"/>
      <c r="N491" s="42"/>
      <c r="O491" s="42"/>
      <c r="P491" s="42"/>
      <c r="Q491" s="42"/>
      <c r="R491" s="42"/>
      <c r="S491" s="42"/>
      <c r="T491" s="43"/>
      <c r="W491" s="158"/>
      <c r="X491" s="427"/>
      <c r="Y491" s="511" t="s">
        <v>1259</v>
      </c>
      <c r="Z491" s="427"/>
      <c r="AA491" s="505" t="s">
        <v>2228</v>
      </c>
      <c r="AB491" s="427"/>
      <c r="AC491" s="427"/>
      <c r="AD491" s="427"/>
      <c r="AE491" s="512"/>
      <c r="AF491" s="227"/>
      <c r="AG491" s="374"/>
      <c r="AH491" s="477"/>
      <c r="AT491" s="13" t="s">
        <v>1259</v>
      </c>
      <c r="AU491" s="13" t="s">
        <v>63</v>
      </c>
    </row>
    <row r="492" spans="2:65" s="11" customFormat="1" ht="22.95" customHeight="1" x14ac:dyDescent="0.25">
      <c r="B492" s="106"/>
      <c r="C492" s="292"/>
      <c r="D492" s="489" t="s">
        <v>57</v>
      </c>
      <c r="E492" s="490" t="s">
        <v>2229</v>
      </c>
      <c r="F492" s="490" t="s">
        <v>2230</v>
      </c>
      <c r="G492" s="292"/>
      <c r="H492" s="292"/>
      <c r="I492" s="292"/>
      <c r="J492" s="491">
        <f>BK492</f>
        <v>132.04</v>
      </c>
      <c r="L492" s="106"/>
      <c r="M492" s="110"/>
      <c r="N492" s="111"/>
      <c r="O492" s="111"/>
      <c r="P492" s="112"/>
      <c r="Q492" s="111"/>
      <c r="R492" s="112"/>
      <c r="S492" s="111"/>
      <c r="T492" s="113"/>
      <c r="W492" s="195"/>
      <c r="X492" s="347"/>
      <c r="Y492" s="506" t="s">
        <v>57</v>
      </c>
      <c r="Z492" s="507" t="s">
        <v>2229</v>
      </c>
      <c r="AA492" s="507" t="s">
        <v>2230</v>
      </c>
      <c r="AB492" s="347"/>
      <c r="AC492" s="347"/>
      <c r="AD492" s="347"/>
      <c r="AE492" s="510">
        <f>SUM(AE493:AE496)</f>
        <v>132.04</v>
      </c>
      <c r="AF492" s="227"/>
      <c r="AG492" s="374"/>
      <c r="AH492" s="477"/>
      <c r="AR492" s="107" t="s">
        <v>63</v>
      </c>
      <c r="AT492" s="114" t="s">
        <v>57</v>
      </c>
      <c r="AU492" s="114" t="s">
        <v>63</v>
      </c>
      <c r="AY492" s="107" t="s">
        <v>228</v>
      </c>
      <c r="BK492" s="115">
        <f>SUM(BK493:BK496)</f>
        <v>132.04</v>
      </c>
    </row>
    <row r="493" spans="2:65" s="1" customFormat="1" ht="16.5" customHeight="1" x14ac:dyDescent="0.2">
      <c r="B493" s="118"/>
      <c r="C493" s="285" t="s">
        <v>2391</v>
      </c>
      <c r="D493" s="285" t="s">
        <v>231</v>
      </c>
      <c r="E493" s="286" t="s">
        <v>2231</v>
      </c>
      <c r="F493" s="240" t="s">
        <v>2232</v>
      </c>
      <c r="G493" s="287" t="s">
        <v>292</v>
      </c>
      <c r="H493" s="288">
        <v>12</v>
      </c>
      <c r="I493" s="289">
        <v>5.3</v>
      </c>
      <c r="J493" s="289">
        <f>ROUND(I493*H493,2)</f>
        <v>63.6</v>
      </c>
      <c r="K493" s="121" t="s">
        <v>1</v>
      </c>
      <c r="L493" s="465"/>
      <c r="M493" s="125"/>
      <c r="N493" s="126"/>
      <c r="O493" s="127"/>
      <c r="P493" s="127"/>
      <c r="Q493" s="127"/>
      <c r="R493" s="127"/>
      <c r="S493" s="127"/>
      <c r="T493" s="128"/>
      <c r="U493" s="461"/>
      <c r="V493" s="464"/>
      <c r="W493" s="199"/>
      <c r="X493" s="285" t="s">
        <v>2391</v>
      </c>
      <c r="Y493" s="285" t="s">
        <v>231</v>
      </c>
      <c r="Z493" s="286" t="s">
        <v>2231</v>
      </c>
      <c r="AA493" s="240" t="s">
        <v>2232</v>
      </c>
      <c r="AB493" s="287" t="s">
        <v>292</v>
      </c>
      <c r="AC493" s="288">
        <v>12</v>
      </c>
      <c r="AD493" s="289">
        <v>5.3</v>
      </c>
      <c r="AE493" s="290">
        <f>ROUND(AD493*AC493,2)</f>
        <v>63.6</v>
      </c>
      <c r="AF493" s="227"/>
      <c r="AG493" s="374"/>
      <c r="AH493" s="477"/>
      <c r="AR493" s="129" t="s">
        <v>235</v>
      </c>
      <c r="AT493" s="129" t="s">
        <v>231</v>
      </c>
      <c r="AU493" s="129" t="s">
        <v>76</v>
      </c>
      <c r="AY493" s="13" t="s">
        <v>228</v>
      </c>
      <c r="BE493" s="130">
        <f>IF(N493="základná",J493,0)</f>
        <v>0</v>
      </c>
      <c r="BF493" s="130">
        <f>IF(N493="znížená",J493,0)</f>
        <v>0</v>
      </c>
      <c r="BG493" s="130">
        <f>IF(N493="zákl. prenesená",J493,0)</f>
        <v>0</v>
      </c>
      <c r="BH493" s="130">
        <f>IF(N493="zníž. prenesená",J493,0)</f>
        <v>0</v>
      </c>
      <c r="BI493" s="130">
        <f>IF(N493="nulová",J493,0)</f>
        <v>0</v>
      </c>
      <c r="BJ493" s="13" t="s">
        <v>76</v>
      </c>
      <c r="BK493" s="130">
        <f>ROUND(I493*H493,2)</f>
        <v>63.6</v>
      </c>
      <c r="BL493" s="13" t="s">
        <v>235</v>
      </c>
      <c r="BM493" s="129" t="s">
        <v>2392</v>
      </c>
    </row>
    <row r="494" spans="2:65" s="1" customFormat="1" ht="16.5" customHeight="1" x14ac:dyDescent="0.2">
      <c r="B494" s="118"/>
      <c r="C494" s="285" t="s">
        <v>695</v>
      </c>
      <c r="D494" s="285" t="s">
        <v>231</v>
      </c>
      <c r="E494" s="286" t="s">
        <v>2146</v>
      </c>
      <c r="F494" s="240" t="s">
        <v>2147</v>
      </c>
      <c r="G494" s="287" t="s">
        <v>1194</v>
      </c>
      <c r="H494" s="288">
        <v>6</v>
      </c>
      <c r="I494" s="289">
        <v>7.28</v>
      </c>
      <c r="J494" s="289">
        <f>ROUND(I494*H494,2)</f>
        <v>43.68</v>
      </c>
      <c r="K494" s="121" t="s">
        <v>1</v>
      </c>
      <c r="L494" s="465"/>
      <c r="M494" s="125"/>
      <c r="N494" s="126"/>
      <c r="O494" s="127"/>
      <c r="P494" s="127"/>
      <c r="Q494" s="127"/>
      <c r="R494" s="127"/>
      <c r="S494" s="127"/>
      <c r="T494" s="128"/>
      <c r="U494" s="461"/>
      <c r="V494" s="464"/>
      <c r="W494" s="199"/>
      <c r="X494" s="285" t="s">
        <v>695</v>
      </c>
      <c r="Y494" s="285" t="s">
        <v>231</v>
      </c>
      <c r="Z494" s="286" t="s">
        <v>2146</v>
      </c>
      <c r="AA494" s="240" t="s">
        <v>2147</v>
      </c>
      <c r="AB494" s="287" t="s">
        <v>1194</v>
      </c>
      <c r="AC494" s="288">
        <v>6</v>
      </c>
      <c r="AD494" s="289">
        <v>7.28</v>
      </c>
      <c r="AE494" s="290">
        <f>ROUND(AD494*AC494,2)</f>
        <v>43.68</v>
      </c>
      <c r="AF494" s="227"/>
      <c r="AG494" s="374"/>
      <c r="AH494" s="477"/>
      <c r="AR494" s="129" t="s">
        <v>235</v>
      </c>
      <c r="AT494" s="129" t="s">
        <v>231</v>
      </c>
      <c r="AU494" s="129" t="s">
        <v>76</v>
      </c>
      <c r="AY494" s="13" t="s">
        <v>228</v>
      </c>
      <c r="BE494" s="130">
        <f>IF(N494="základná",J494,0)</f>
        <v>0</v>
      </c>
      <c r="BF494" s="130">
        <f>IF(N494="znížená",J494,0)</f>
        <v>0</v>
      </c>
      <c r="BG494" s="130">
        <f>IF(N494="zákl. prenesená",J494,0)</f>
        <v>0</v>
      </c>
      <c r="BH494" s="130">
        <f>IF(N494="zníž. prenesená",J494,0)</f>
        <v>0</v>
      </c>
      <c r="BI494" s="130">
        <f>IF(N494="nulová",J494,0)</f>
        <v>0</v>
      </c>
      <c r="BJ494" s="13" t="s">
        <v>76</v>
      </c>
      <c r="BK494" s="130">
        <f>ROUND(I494*H494,2)</f>
        <v>43.68</v>
      </c>
      <c r="BL494" s="13" t="s">
        <v>235</v>
      </c>
      <c r="BM494" s="129" t="s">
        <v>2393</v>
      </c>
    </row>
    <row r="495" spans="2:65" s="1" customFormat="1" ht="16.5" customHeight="1" x14ac:dyDescent="0.2">
      <c r="B495" s="118"/>
      <c r="C495" s="285" t="s">
        <v>2394</v>
      </c>
      <c r="D495" s="285" t="s">
        <v>231</v>
      </c>
      <c r="E495" s="286" t="s">
        <v>2395</v>
      </c>
      <c r="F495" s="240" t="s">
        <v>2396</v>
      </c>
      <c r="G495" s="287" t="s">
        <v>1194</v>
      </c>
      <c r="H495" s="288">
        <v>2</v>
      </c>
      <c r="I495" s="289">
        <v>6.6</v>
      </c>
      <c r="J495" s="289">
        <f>ROUND(I495*H495,2)</f>
        <v>13.2</v>
      </c>
      <c r="K495" s="121" t="s">
        <v>1</v>
      </c>
      <c r="L495" s="465"/>
      <c r="M495" s="125"/>
      <c r="N495" s="126"/>
      <c r="O495" s="127"/>
      <c r="P495" s="127"/>
      <c r="Q495" s="127"/>
      <c r="R495" s="127"/>
      <c r="S495" s="127"/>
      <c r="T495" s="128"/>
      <c r="U495" s="461"/>
      <c r="V495" s="464"/>
      <c r="W495" s="199"/>
      <c r="X495" s="285" t="s">
        <v>2394</v>
      </c>
      <c r="Y495" s="285" t="s">
        <v>231</v>
      </c>
      <c r="Z495" s="286" t="s">
        <v>2395</v>
      </c>
      <c r="AA495" s="240" t="s">
        <v>2396</v>
      </c>
      <c r="AB495" s="287" t="s">
        <v>1194</v>
      </c>
      <c r="AC495" s="288">
        <v>2</v>
      </c>
      <c r="AD495" s="289">
        <v>6.6</v>
      </c>
      <c r="AE495" s="290">
        <f>ROUND(AD495*AC495,2)</f>
        <v>13.2</v>
      </c>
      <c r="AF495" s="227"/>
      <c r="AG495" s="374"/>
      <c r="AH495" s="477"/>
      <c r="AR495" s="129" t="s">
        <v>235</v>
      </c>
      <c r="AT495" s="129" t="s">
        <v>231</v>
      </c>
      <c r="AU495" s="129" t="s">
        <v>76</v>
      </c>
      <c r="AY495" s="13" t="s">
        <v>228</v>
      </c>
      <c r="BE495" s="130">
        <f>IF(N495="základná",J495,0)</f>
        <v>0</v>
      </c>
      <c r="BF495" s="130">
        <f>IF(N495="znížená",J495,0)</f>
        <v>0</v>
      </c>
      <c r="BG495" s="130">
        <f>IF(N495="zákl. prenesená",J495,0)</f>
        <v>0</v>
      </c>
      <c r="BH495" s="130">
        <f>IF(N495="zníž. prenesená",J495,0)</f>
        <v>0</v>
      </c>
      <c r="BI495" s="130">
        <f>IF(N495="nulová",J495,0)</f>
        <v>0</v>
      </c>
      <c r="BJ495" s="13" t="s">
        <v>76</v>
      </c>
      <c r="BK495" s="130">
        <f>ROUND(I495*H495,2)</f>
        <v>13.2</v>
      </c>
      <c r="BL495" s="13" t="s">
        <v>235</v>
      </c>
      <c r="BM495" s="129" t="s">
        <v>2397</v>
      </c>
    </row>
    <row r="496" spans="2:65" s="1" customFormat="1" ht="27.45" customHeight="1" x14ac:dyDescent="0.2">
      <c r="B496" s="118"/>
      <c r="C496" s="285" t="s">
        <v>698</v>
      </c>
      <c r="D496" s="285" t="s">
        <v>231</v>
      </c>
      <c r="E496" s="286" t="s">
        <v>2240</v>
      </c>
      <c r="F496" s="240" t="s">
        <v>2241</v>
      </c>
      <c r="G496" s="287" t="s">
        <v>1194</v>
      </c>
      <c r="H496" s="288">
        <v>1</v>
      </c>
      <c r="I496" s="289">
        <v>11.56</v>
      </c>
      <c r="J496" s="289">
        <f>ROUND(I496*H496,2)</f>
        <v>11.56</v>
      </c>
      <c r="K496" s="121" t="s">
        <v>1</v>
      </c>
      <c r="L496" s="465"/>
      <c r="M496" s="125"/>
      <c r="N496" s="126"/>
      <c r="O496" s="127"/>
      <c r="P496" s="127"/>
      <c r="Q496" s="127"/>
      <c r="R496" s="127"/>
      <c r="S496" s="127"/>
      <c r="T496" s="128"/>
      <c r="U496" s="461"/>
      <c r="V496" s="464"/>
      <c r="W496" s="199"/>
      <c r="X496" s="285" t="s">
        <v>698</v>
      </c>
      <c r="Y496" s="285" t="s">
        <v>231</v>
      </c>
      <c r="Z496" s="286" t="s">
        <v>2240</v>
      </c>
      <c r="AA496" s="240" t="s">
        <v>2241</v>
      </c>
      <c r="AB496" s="287" t="s">
        <v>1194</v>
      </c>
      <c r="AC496" s="288">
        <v>1</v>
      </c>
      <c r="AD496" s="289">
        <v>11.56</v>
      </c>
      <c r="AE496" s="290">
        <f>ROUND(AD496*AC496,2)</f>
        <v>11.56</v>
      </c>
      <c r="AF496" s="227"/>
      <c r="AG496" s="374"/>
      <c r="AH496" s="477"/>
      <c r="AR496" s="129" t="s">
        <v>235</v>
      </c>
      <c r="AT496" s="129" t="s">
        <v>231</v>
      </c>
      <c r="AU496" s="129" t="s">
        <v>76</v>
      </c>
      <c r="AY496" s="13" t="s">
        <v>228</v>
      </c>
      <c r="BE496" s="130">
        <f>IF(N496="základná",J496,0)</f>
        <v>0</v>
      </c>
      <c r="BF496" s="130">
        <f>IF(N496="znížená",J496,0)</f>
        <v>0</v>
      </c>
      <c r="BG496" s="130">
        <f>IF(N496="zákl. prenesená",J496,0)</f>
        <v>0</v>
      </c>
      <c r="BH496" s="130">
        <f>IF(N496="zníž. prenesená",J496,0)</f>
        <v>0</v>
      </c>
      <c r="BI496" s="130">
        <f>IF(N496="nulová",J496,0)</f>
        <v>0</v>
      </c>
      <c r="BJ496" s="13" t="s">
        <v>76</v>
      </c>
      <c r="BK496" s="130">
        <f>ROUND(I496*H496,2)</f>
        <v>11.56</v>
      </c>
      <c r="BL496" s="13" t="s">
        <v>235</v>
      </c>
      <c r="BM496" s="129" t="s">
        <v>2398</v>
      </c>
    </row>
    <row r="497" spans="2:65" s="11" customFormat="1" ht="25.95" customHeight="1" x14ac:dyDescent="0.25">
      <c r="B497" s="106"/>
      <c r="C497" s="292"/>
      <c r="D497" s="489" t="s">
        <v>57</v>
      </c>
      <c r="E497" s="501" t="s">
        <v>2399</v>
      </c>
      <c r="F497" s="501" t="s">
        <v>2400</v>
      </c>
      <c r="G497" s="292"/>
      <c r="H497" s="292"/>
      <c r="I497" s="292"/>
      <c r="J497" s="502">
        <f>BK497</f>
        <v>3457.2100000000005</v>
      </c>
      <c r="L497" s="106"/>
      <c r="M497" s="110"/>
      <c r="N497" s="111"/>
      <c r="O497" s="111"/>
      <c r="P497" s="112"/>
      <c r="Q497" s="111"/>
      <c r="R497" s="112"/>
      <c r="S497" s="111"/>
      <c r="T497" s="113"/>
      <c r="W497" s="195"/>
      <c r="X497" s="347"/>
      <c r="Y497" s="506" t="s">
        <v>57</v>
      </c>
      <c r="Z497" s="429" t="s">
        <v>2399</v>
      </c>
      <c r="AA497" s="429" t="s">
        <v>2400</v>
      </c>
      <c r="AB497" s="347"/>
      <c r="AC497" s="347"/>
      <c r="AD497" s="347"/>
      <c r="AE497" s="513">
        <f>SUM(AE498:AE503)</f>
        <v>3457.2100000000005</v>
      </c>
      <c r="AF497" s="227"/>
      <c r="AG497" s="374"/>
      <c r="AH497" s="477"/>
      <c r="AR497" s="107" t="s">
        <v>63</v>
      </c>
      <c r="AT497" s="114" t="s">
        <v>57</v>
      </c>
      <c r="AU497" s="114" t="s">
        <v>58</v>
      </c>
      <c r="AY497" s="107" t="s">
        <v>228</v>
      </c>
      <c r="BK497" s="115">
        <f>SUM(BK498:BK503)</f>
        <v>3457.2100000000005</v>
      </c>
    </row>
    <row r="498" spans="2:65" s="1" customFormat="1" ht="16.5" customHeight="1" x14ac:dyDescent="0.2">
      <c r="B498" s="118"/>
      <c r="C498" s="285" t="s">
        <v>2401</v>
      </c>
      <c r="D498" s="285" t="s">
        <v>231</v>
      </c>
      <c r="E498" s="286" t="s">
        <v>2402</v>
      </c>
      <c r="F498" s="240" t="s">
        <v>2403</v>
      </c>
      <c r="G498" s="287" t="s">
        <v>1194</v>
      </c>
      <c r="H498" s="288">
        <v>1</v>
      </c>
      <c r="I498" s="289">
        <v>1722.59</v>
      </c>
      <c r="J498" s="289">
        <f>ROUND(I498*H498,2)</f>
        <v>1722.59</v>
      </c>
      <c r="K498" s="121" t="s">
        <v>1</v>
      </c>
      <c r="L498" s="465"/>
      <c r="M498" s="125"/>
      <c r="N498" s="126"/>
      <c r="O498" s="127"/>
      <c r="P498" s="127"/>
      <c r="Q498" s="127"/>
      <c r="R498" s="127"/>
      <c r="S498" s="127"/>
      <c r="T498" s="128"/>
      <c r="U498" s="461"/>
      <c r="V498" s="464"/>
      <c r="W498" s="199"/>
      <c r="X498" s="285" t="s">
        <v>2401</v>
      </c>
      <c r="Y498" s="285" t="s">
        <v>231</v>
      </c>
      <c r="Z498" s="286" t="s">
        <v>2402</v>
      </c>
      <c r="AA498" s="240" t="s">
        <v>2403</v>
      </c>
      <c r="AB498" s="287" t="s">
        <v>1194</v>
      </c>
      <c r="AC498" s="288">
        <v>1</v>
      </c>
      <c r="AD498" s="289">
        <v>1722.59</v>
      </c>
      <c r="AE498" s="290">
        <f>ROUND(AD498*AC498,2)</f>
        <v>1722.59</v>
      </c>
      <c r="AF498" s="227"/>
      <c r="AG498" s="374"/>
      <c r="AH498" s="477"/>
      <c r="AR498" s="129" t="s">
        <v>235</v>
      </c>
      <c r="AT498" s="129" t="s">
        <v>231</v>
      </c>
      <c r="AU498" s="129" t="s">
        <v>63</v>
      </c>
      <c r="AY498" s="13" t="s">
        <v>228</v>
      </c>
      <c r="BE498" s="130">
        <f>IF(N498="základná",J498,0)</f>
        <v>0</v>
      </c>
      <c r="BF498" s="130">
        <f>IF(N498="znížená",J498,0)</f>
        <v>0</v>
      </c>
      <c r="BG498" s="130">
        <f>IF(N498="zákl. prenesená",J498,0)</f>
        <v>0</v>
      </c>
      <c r="BH498" s="130">
        <f>IF(N498="zníž. prenesená",J498,0)</f>
        <v>0</v>
      </c>
      <c r="BI498" s="130">
        <f>IF(N498="nulová",J498,0)</f>
        <v>0</v>
      </c>
      <c r="BJ498" s="13" t="s">
        <v>76</v>
      </c>
      <c r="BK498" s="130">
        <f>ROUND(I498*H498,2)</f>
        <v>1722.59</v>
      </c>
      <c r="BL498" s="13" t="s">
        <v>235</v>
      </c>
      <c r="BM498" s="129" t="s">
        <v>2404</v>
      </c>
    </row>
    <row r="499" spans="2:65" s="1" customFormat="1" ht="49.2" customHeight="1" x14ac:dyDescent="0.2">
      <c r="B499" s="24"/>
      <c r="C499" s="407"/>
      <c r="D499" s="492" t="s">
        <v>1259</v>
      </c>
      <c r="E499" s="407"/>
      <c r="F499" s="503" t="s">
        <v>2405</v>
      </c>
      <c r="G499" s="407"/>
      <c r="H499" s="407"/>
      <c r="I499" s="407"/>
      <c r="J499" s="407"/>
      <c r="L499" s="24"/>
      <c r="M499" s="146"/>
      <c r="N499" s="42"/>
      <c r="O499" s="42"/>
      <c r="P499" s="42"/>
      <c r="Q499" s="42"/>
      <c r="R499" s="42"/>
      <c r="S499" s="42"/>
      <c r="T499" s="43"/>
      <c r="W499" s="158"/>
      <c r="X499" s="427"/>
      <c r="Y499" s="511" t="s">
        <v>1259</v>
      </c>
      <c r="Z499" s="427"/>
      <c r="AA499" s="514" t="s">
        <v>2405</v>
      </c>
      <c r="AB499" s="427"/>
      <c r="AC499" s="427"/>
      <c r="AD499" s="427"/>
      <c r="AE499" s="512"/>
      <c r="AF499" s="227"/>
      <c r="AG499" s="374"/>
      <c r="AH499" s="477"/>
      <c r="AT499" s="13" t="s">
        <v>1259</v>
      </c>
      <c r="AU499" s="13" t="s">
        <v>63</v>
      </c>
    </row>
    <row r="500" spans="2:65" s="1" customFormat="1" ht="26.25" customHeight="1" x14ac:dyDescent="0.2">
      <c r="B500" s="118"/>
      <c r="C500" s="285" t="s">
        <v>702</v>
      </c>
      <c r="D500" s="285" t="s">
        <v>231</v>
      </c>
      <c r="E500" s="286" t="s">
        <v>2406</v>
      </c>
      <c r="F500" s="240" t="s">
        <v>2407</v>
      </c>
      <c r="G500" s="287" t="s">
        <v>1194</v>
      </c>
      <c r="H500" s="288">
        <v>2</v>
      </c>
      <c r="I500" s="289">
        <v>597.96</v>
      </c>
      <c r="J500" s="289">
        <f>ROUND(I500*H500,2)</f>
        <v>1195.92</v>
      </c>
      <c r="K500" s="121" t="s">
        <v>1</v>
      </c>
      <c r="L500" s="465"/>
      <c r="M500" s="125"/>
      <c r="N500" s="126"/>
      <c r="O500" s="127"/>
      <c r="P500" s="127"/>
      <c r="Q500" s="127"/>
      <c r="R500" s="127"/>
      <c r="S500" s="127"/>
      <c r="T500" s="128"/>
      <c r="U500" s="461"/>
      <c r="V500" s="464"/>
      <c r="W500" s="199"/>
      <c r="X500" s="285" t="s">
        <v>702</v>
      </c>
      <c r="Y500" s="285" t="s">
        <v>231</v>
      </c>
      <c r="Z500" s="286" t="s">
        <v>2406</v>
      </c>
      <c r="AA500" s="240" t="s">
        <v>2407</v>
      </c>
      <c r="AB500" s="287" t="s">
        <v>1194</v>
      </c>
      <c r="AC500" s="288">
        <v>2</v>
      </c>
      <c r="AD500" s="289">
        <v>597.96</v>
      </c>
      <c r="AE500" s="290">
        <f>ROUND(AD500*AC500,2)</f>
        <v>1195.92</v>
      </c>
      <c r="AF500" s="227"/>
      <c r="AG500" s="374"/>
      <c r="AH500" s="477"/>
      <c r="AR500" s="129" t="s">
        <v>235</v>
      </c>
      <c r="AT500" s="129" t="s">
        <v>231</v>
      </c>
      <c r="AU500" s="129" t="s">
        <v>63</v>
      </c>
      <c r="AY500" s="13" t="s">
        <v>228</v>
      </c>
      <c r="BE500" s="130">
        <f>IF(N500="základná",J500,0)</f>
        <v>0</v>
      </c>
      <c r="BF500" s="130">
        <f>IF(N500="znížená",J500,0)</f>
        <v>0</v>
      </c>
      <c r="BG500" s="130">
        <f>IF(N500="zákl. prenesená",J500,0)</f>
        <v>0</v>
      </c>
      <c r="BH500" s="130">
        <f>IF(N500="zníž. prenesená",J500,0)</f>
        <v>0</v>
      </c>
      <c r="BI500" s="130">
        <f>IF(N500="nulová",J500,0)</f>
        <v>0</v>
      </c>
      <c r="BJ500" s="13" t="s">
        <v>76</v>
      </c>
      <c r="BK500" s="130">
        <f>ROUND(I500*H500,2)</f>
        <v>1195.92</v>
      </c>
      <c r="BL500" s="13" t="s">
        <v>235</v>
      </c>
      <c r="BM500" s="129" t="s">
        <v>2408</v>
      </c>
    </row>
    <row r="501" spans="2:65" s="1" customFormat="1" ht="36.450000000000003" customHeight="1" x14ac:dyDescent="0.2">
      <c r="B501" s="24"/>
      <c r="C501" s="407"/>
      <c r="D501" s="492" t="s">
        <v>1259</v>
      </c>
      <c r="E501" s="407"/>
      <c r="F501" s="503" t="s">
        <v>2409</v>
      </c>
      <c r="G501" s="407"/>
      <c r="H501" s="407"/>
      <c r="I501" s="407"/>
      <c r="J501" s="407"/>
      <c r="L501" s="24"/>
      <c r="M501" s="146"/>
      <c r="N501" s="42"/>
      <c r="O501" s="42"/>
      <c r="P501" s="42"/>
      <c r="Q501" s="42"/>
      <c r="R501" s="42"/>
      <c r="S501" s="42"/>
      <c r="T501" s="43"/>
      <c r="W501" s="158"/>
      <c r="X501" s="427"/>
      <c r="Y501" s="511" t="s">
        <v>1259</v>
      </c>
      <c r="Z501" s="427"/>
      <c r="AA501" s="514" t="s">
        <v>2409</v>
      </c>
      <c r="AB501" s="427"/>
      <c r="AC501" s="427"/>
      <c r="AD501" s="427"/>
      <c r="AE501" s="512"/>
      <c r="AF501" s="227"/>
      <c r="AG501" s="374"/>
      <c r="AH501" s="477"/>
      <c r="AT501" s="13" t="s">
        <v>1259</v>
      </c>
      <c r="AU501" s="13" t="s">
        <v>63</v>
      </c>
    </row>
    <row r="502" spans="2:65" s="1" customFormat="1" ht="24" customHeight="1" x14ac:dyDescent="0.2">
      <c r="B502" s="118"/>
      <c r="C502" s="285" t="s">
        <v>2410</v>
      </c>
      <c r="D502" s="285" t="s">
        <v>231</v>
      </c>
      <c r="E502" s="286" t="s">
        <v>2411</v>
      </c>
      <c r="F502" s="240" t="s">
        <v>2412</v>
      </c>
      <c r="G502" s="287" t="s">
        <v>1194</v>
      </c>
      <c r="H502" s="288">
        <v>2</v>
      </c>
      <c r="I502" s="289">
        <v>39.950000000000003</v>
      </c>
      <c r="J502" s="289">
        <f>ROUND(I502*H502,2)</f>
        <v>79.900000000000006</v>
      </c>
      <c r="K502" s="121" t="s">
        <v>1</v>
      </c>
      <c r="L502" s="465"/>
      <c r="M502" s="125"/>
      <c r="N502" s="126"/>
      <c r="O502" s="127"/>
      <c r="P502" s="127"/>
      <c r="Q502" s="127"/>
      <c r="R502" s="127"/>
      <c r="S502" s="127"/>
      <c r="T502" s="128"/>
      <c r="U502" s="461"/>
      <c r="V502" s="464"/>
      <c r="W502" s="199"/>
      <c r="X502" s="285" t="s">
        <v>2410</v>
      </c>
      <c r="Y502" s="285" t="s">
        <v>231</v>
      </c>
      <c r="Z502" s="286" t="s">
        <v>2411</v>
      </c>
      <c r="AA502" s="240" t="s">
        <v>2412</v>
      </c>
      <c r="AB502" s="287" t="s">
        <v>1194</v>
      </c>
      <c r="AC502" s="288">
        <v>2</v>
      </c>
      <c r="AD502" s="289">
        <v>39.950000000000003</v>
      </c>
      <c r="AE502" s="290">
        <f>ROUND(AD502*AC502,2)</f>
        <v>79.900000000000006</v>
      </c>
      <c r="AF502" s="227"/>
      <c r="AG502" s="374"/>
      <c r="AH502" s="477"/>
      <c r="AR502" s="129" t="s">
        <v>235</v>
      </c>
      <c r="AT502" s="129" t="s">
        <v>231</v>
      </c>
      <c r="AU502" s="129" t="s">
        <v>63</v>
      </c>
      <c r="AY502" s="13" t="s">
        <v>228</v>
      </c>
      <c r="BE502" s="130">
        <f>IF(N502="základná",J502,0)</f>
        <v>0</v>
      </c>
      <c r="BF502" s="130">
        <f>IF(N502="znížená",J502,0)</f>
        <v>0</v>
      </c>
      <c r="BG502" s="130">
        <f>IF(N502="zákl. prenesená",J502,0)</f>
        <v>0</v>
      </c>
      <c r="BH502" s="130">
        <f>IF(N502="zníž. prenesená",J502,0)</f>
        <v>0</v>
      </c>
      <c r="BI502" s="130">
        <f>IF(N502="nulová",J502,0)</f>
        <v>0</v>
      </c>
      <c r="BJ502" s="13" t="s">
        <v>76</v>
      </c>
      <c r="BK502" s="130">
        <f>ROUND(I502*H502,2)</f>
        <v>79.900000000000006</v>
      </c>
      <c r="BL502" s="13" t="s">
        <v>235</v>
      </c>
      <c r="BM502" s="129" t="s">
        <v>2413</v>
      </c>
    </row>
    <row r="503" spans="2:65" s="1" customFormat="1" ht="24" customHeight="1" x14ac:dyDescent="0.2">
      <c r="B503" s="118"/>
      <c r="C503" s="285" t="s">
        <v>705</v>
      </c>
      <c r="D503" s="285" t="s">
        <v>231</v>
      </c>
      <c r="E503" s="286" t="s">
        <v>2050</v>
      </c>
      <c r="F503" s="240" t="s">
        <v>2051</v>
      </c>
      <c r="G503" s="287" t="s">
        <v>292</v>
      </c>
      <c r="H503" s="288">
        <v>20</v>
      </c>
      <c r="I503" s="289">
        <v>22.94</v>
      </c>
      <c r="J503" s="289">
        <f>ROUND(I503*H503,2)</f>
        <v>458.8</v>
      </c>
      <c r="K503" s="121" t="s">
        <v>1</v>
      </c>
      <c r="L503" s="24"/>
      <c r="M503" s="125"/>
      <c r="N503" s="126"/>
      <c r="O503" s="127"/>
      <c r="P503" s="127"/>
      <c r="Q503" s="127"/>
      <c r="R503" s="127"/>
      <c r="S503" s="127"/>
      <c r="T503" s="128"/>
      <c r="W503" s="199"/>
      <c r="X503" s="285" t="s">
        <v>705</v>
      </c>
      <c r="Y503" s="285" t="s">
        <v>231</v>
      </c>
      <c r="Z503" s="286" t="s">
        <v>2050</v>
      </c>
      <c r="AA503" s="240" t="s">
        <v>2051</v>
      </c>
      <c r="AB503" s="287" t="s">
        <v>292</v>
      </c>
      <c r="AC503" s="288">
        <v>20</v>
      </c>
      <c r="AD503" s="289">
        <v>22.94</v>
      </c>
      <c r="AE503" s="290">
        <f>ROUND(AD503*AC503,2)</f>
        <v>458.8</v>
      </c>
      <c r="AF503" s="227"/>
      <c r="AG503" s="374"/>
      <c r="AH503" s="477"/>
      <c r="AR503" s="129" t="s">
        <v>235</v>
      </c>
      <c r="AT503" s="129" t="s">
        <v>231</v>
      </c>
      <c r="AU503" s="129" t="s">
        <v>63</v>
      </c>
      <c r="AY503" s="13" t="s">
        <v>228</v>
      </c>
      <c r="BE503" s="130">
        <f>IF(N503="základná",J503,0)</f>
        <v>0</v>
      </c>
      <c r="BF503" s="130">
        <f>IF(N503="znížená",J503,0)</f>
        <v>0</v>
      </c>
      <c r="BG503" s="130">
        <f>IF(N503="zákl. prenesená",J503,0)</f>
        <v>0</v>
      </c>
      <c r="BH503" s="130">
        <f>IF(N503="zníž. prenesená",J503,0)</f>
        <v>0</v>
      </c>
      <c r="BI503" s="130">
        <f>IF(N503="nulová",J503,0)</f>
        <v>0</v>
      </c>
      <c r="BJ503" s="13" t="s">
        <v>76</v>
      </c>
      <c r="BK503" s="130">
        <f>ROUND(I503*H503,2)</f>
        <v>458.8</v>
      </c>
      <c r="BL503" s="13" t="s">
        <v>235</v>
      </c>
      <c r="BM503" s="129" t="s">
        <v>1173</v>
      </c>
    </row>
    <row r="504" spans="2:65" s="11" customFormat="1" ht="25.95" customHeight="1" x14ac:dyDescent="0.25">
      <c r="B504" s="106"/>
      <c r="C504" s="292"/>
      <c r="D504" s="489" t="s">
        <v>57</v>
      </c>
      <c r="E504" s="501" t="s">
        <v>2414</v>
      </c>
      <c r="F504" s="501" t="s">
        <v>2415</v>
      </c>
      <c r="G504" s="292"/>
      <c r="H504" s="292"/>
      <c r="I504" s="292"/>
      <c r="J504" s="502">
        <f>BK504</f>
        <v>6082.9199999999992</v>
      </c>
      <c r="L504" s="106"/>
      <c r="M504" s="110"/>
      <c r="N504" s="111"/>
      <c r="O504" s="111"/>
      <c r="P504" s="112">
        <f>SUM(P506:P519)</f>
        <v>0</v>
      </c>
      <c r="Q504" s="111"/>
      <c r="R504" s="112">
        <f>SUM(R506:R519)</f>
        <v>0</v>
      </c>
      <c r="S504" s="111"/>
      <c r="T504" s="113">
        <f>SUM(T506:T519)</f>
        <v>0</v>
      </c>
      <c r="W504" s="195"/>
      <c r="X504" s="347"/>
      <c r="Y504" s="506" t="s">
        <v>57</v>
      </c>
      <c r="Z504" s="429" t="s">
        <v>2414</v>
      </c>
      <c r="AA504" s="429" t="s">
        <v>2415</v>
      </c>
      <c r="AB504" s="347"/>
      <c r="AC504" s="347"/>
      <c r="AD504" s="347"/>
      <c r="AE504" s="513">
        <f>SUM(AE506:AE519)</f>
        <v>6097.9199999999992</v>
      </c>
      <c r="AF504" s="227"/>
      <c r="AG504" s="374"/>
      <c r="AH504" s="477"/>
      <c r="AR504" s="107" t="s">
        <v>63</v>
      </c>
      <c r="AT504" s="114" t="s">
        <v>57</v>
      </c>
      <c r="AU504" s="114" t="s">
        <v>58</v>
      </c>
      <c r="AY504" s="107" t="s">
        <v>228</v>
      </c>
      <c r="BK504" s="115">
        <f>SUM(BK506:BK519)</f>
        <v>6082.9199999999992</v>
      </c>
    </row>
    <row r="505" spans="2:65" s="11" customFormat="1" ht="18.75" customHeight="1" x14ac:dyDescent="0.25">
      <c r="B505" s="106"/>
      <c r="C505" s="292"/>
      <c r="D505" s="489"/>
      <c r="E505" s="501"/>
      <c r="F505" s="501"/>
      <c r="G505" s="292"/>
      <c r="H505" s="292"/>
      <c r="I505" s="292"/>
      <c r="J505" s="502"/>
      <c r="L505" s="106"/>
      <c r="M505" s="110"/>
      <c r="N505" s="111"/>
      <c r="O505" s="111"/>
      <c r="P505" s="112"/>
      <c r="Q505" s="111"/>
      <c r="R505" s="112"/>
      <c r="S505" s="111"/>
      <c r="T505" s="113"/>
      <c r="W505" s="195"/>
      <c r="X505" s="347"/>
      <c r="Y505" s="506"/>
      <c r="Z505" s="429"/>
      <c r="AA505" s="429"/>
      <c r="AB505" s="347"/>
      <c r="AC505" s="347"/>
      <c r="AD505" s="347"/>
      <c r="AE505" s="513"/>
      <c r="AF505" s="227"/>
      <c r="AG505" s="374"/>
      <c r="AH505" s="477"/>
      <c r="AR505" s="107"/>
      <c r="AT505" s="114"/>
      <c r="AU505" s="114"/>
      <c r="AY505" s="107"/>
      <c r="BK505" s="115"/>
    </row>
    <row r="506" spans="2:65" s="1" customFormat="1" ht="16.5" customHeight="1" x14ac:dyDescent="0.2">
      <c r="B506" s="118"/>
      <c r="C506" s="285" t="s">
        <v>2416</v>
      </c>
      <c r="D506" s="285" t="s">
        <v>231</v>
      </c>
      <c r="E506" s="286" t="s">
        <v>2417</v>
      </c>
      <c r="F506" s="240" t="s">
        <v>2418</v>
      </c>
      <c r="G506" s="287" t="s">
        <v>1194</v>
      </c>
      <c r="H506" s="288">
        <v>1</v>
      </c>
      <c r="I506" s="289">
        <v>2138.7199999999998</v>
      </c>
      <c r="J506" s="289">
        <f>ROUND(I506*H506,2)</f>
        <v>2138.7199999999998</v>
      </c>
      <c r="K506" s="121" t="s">
        <v>1</v>
      </c>
      <c r="L506" s="465"/>
      <c r="M506" s="125"/>
      <c r="N506" s="126"/>
      <c r="O506" s="127"/>
      <c r="P506" s="127"/>
      <c r="Q506" s="127"/>
      <c r="R506" s="127"/>
      <c r="S506" s="127"/>
      <c r="T506" s="128"/>
      <c r="U506" s="461"/>
      <c r="V506" s="464"/>
      <c r="W506" s="199"/>
      <c r="X506" s="285" t="s">
        <v>2416</v>
      </c>
      <c r="Y506" s="285" t="s">
        <v>231</v>
      </c>
      <c r="Z506" s="286" t="s">
        <v>2417</v>
      </c>
      <c r="AA506" s="240" t="s">
        <v>2418</v>
      </c>
      <c r="AB506" s="287" t="s">
        <v>1194</v>
      </c>
      <c r="AC506" s="288">
        <v>1</v>
      </c>
      <c r="AD506" s="289">
        <v>2138.7199999999998</v>
      </c>
      <c r="AE506" s="290">
        <f>ROUND(AD506*AC506,2)</f>
        <v>2138.7199999999998</v>
      </c>
      <c r="AF506" s="227"/>
      <c r="AG506" s="374"/>
      <c r="AH506" s="477"/>
      <c r="AR506" s="129" t="s">
        <v>235</v>
      </c>
      <c r="AT506" s="129" t="s">
        <v>231</v>
      </c>
      <c r="AU506" s="129" t="s">
        <v>63</v>
      </c>
      <c r="AY506" s="13" t="s">
        <v>228</v>
      </c>
      <c r="BE506" s="130">
        <f>IF(N506="základná",J506,0)</f>
        <v>0</v>
      </c>
      <c r="BF506" s="130">
        <f>IF(N506="znížená",J506,0)</f>
        <v>0</v>
      </c>
      <c r="BG506" s="130">
        <f>IF(N506="zákl. prenesená",J506,0)</f>
        <v>0</v>
      </c>
      <c r="BH506" s="130">
        <f>IF(N506="zníž. prenesená",J506,0)</f>
        <v>0</v>
      </c>
      <c r="BI506" s="130">
        <f>IF(N506="nulová",J506,0)</f>
        <v>0</v>
      </c>
      <c r="BJ506" s="13" t="s">
        <v>76</v>
      </c>
      <c r="BK506" s="130">
        <f>ROUND(I506*H506,2)</f>
        <v>2138.7199999999998</v>
      </c>
      <c r="BL506" s="13" t="s">
        <v>235</v>
      </c>
      <c r="BM506" s="129" t="s">
        <v>2419</v>
      </c>
    </row>
    <row r="507" spans="2:65" s="1" customFormat="1" ht="53.55" customHeight="1" x14ac:dyDescent="0.2">
      <c r="B507" s="24"/>
      <c r="C507" s="407"/>
      <c r="D507" s="492" t="s">
        <v>1259</v>
      </c>
      <c r="E507" s="407"/>
      <c r="F507" s="503" t="s">
        <v>2420</v>
      </c>
      <c r="G507" s="407"/>
      <c r="H507" s="407"/>
      <c r="I507" s="407"/>
      <c r="J507" s="407"/>
      <c r="L507" s="24"/>
      <c r="M507" s="146"/>
      <c r="N507" s="42"/>
      <c r="O507" s="42"/>
      <c r="P507" s="42"/>
      <c r="Q507" s="42"/>
      <c r="R507" s="42"/>
      <c r="S507" s="42"/>
      <c r="T507" s="43"/>
      <c r="W507" s="158"/>
      <c r="X507" s="427"/>
      <c r="Y507" s="511" t="s">
        <v>1259</v>
      </c>
      <c r="Z507" s="427"/>
      <c r="AA507" s="514" t="s">
        <v>2420</v>
      </c>
      <c r="AB507" s="427"/>
      <c r="AC507" s="427"/>
      <c r="AD507" s="427"/>
      <c r="AE507" s="512"/>
      <c r="AF507" s="227"/>
      <c r="AG507" s="374"/>
      <c r="AH507" s="477"/>
      <c r="AT507" s="13" t="s">
        <v>1259</v>
      </c>
      <c r="AU507" s="13" t="s">
        <v>63</v>
      </c>
    </row>
    <row r="508" spans="2:65" s="1" customFormat="1" ht="23.25" customHeight="1" x14ac:dyDescent="0.2">
      <c r="B508" s="118"/>
      <c r="C508" s="285" t="s">
        <v>709</v>
      </c>
      <c r="D508" s="285" t="s">
        <v>231</v>
      </c>
      <c r="E508" s="286" t="s">
        <v>2406</v>
      </c>
      <c r="F508" s="240" t="s">
        <v>2407</v>
      </c>
      <c r="G508" s="287" t="s">
        <v>1194</v>
      </c>
      <c r="H508" s="288">
        <v>1</v>
      </c>
      <c r="I508" s="289">
        <v>597.96</v>
      </c>
      <c r="J508" s="289">
        <f>ROUND(I508*H508,2)</f>
        <v>597.96</v>
      </c>
      <c r="K508" s="121" t="s">
        <v>1</v>
      </c>
      <c r="L508" s="465"/>
      <c r="M508" s="125"/>
      <c r="N508" s="126"/>
      <c r="O508" s="127"/>
      <c r="P508" s="127"/>
      <c r="Q508" s="127"/>
      <c r="R508" s="127"/>
      <c r="S508" s="127"/>
      <c r="T508" s="128"/>
      <c r="U508" s="461"/>
      <c r="V508" s="464"/>
      <c r="W508" s="199"/>
      <c r="X508" s="285" t="s">
        <v>709</v>
      </c>
      <c r="Y508" s="285" t="s">
        <v>231</v>
      </c>
      <c r="Z508" s="286" t="s">
        <v>2406</v>
      </c>
      <c r="AA508" s="240" t="s">
        <v>2407</v>
      </c>
      <c r="AB508" s="287" t="s">
        <v>1194</v>
      </c>
      <c r="AC508" s="288">
        <v>1</v>
      </c>
      <c r="AD508" s="289">
        <v>597.96</v>
      </c>
      <c r="AE508" s="290">
        <f>ROUND(AD508*AC508,2)</f>
        <v>597.96</v>
      </c>
      <c r="AF508" s="227"/>
      <c r="AG508" s="374"/>
      <c r="AH508" s="477"/>
      <c r="AR508" s="129" t="s">
        <v>235</v>
      </c>
      <c r="AT508" s="129" t="s">
        <v>231</v>
      </c>
      <c r="AU508" s="129" t="s">
        <v>63</v>
      </c>
      <c r="AY508" s="13" t="s">
        <v>228</v>
      </c>
      <c r="BE508" s="130">
        <f>IF(N508="základná",J508,0)</f>
        <v>0</v>
      </c>
      <c r="BF508" s="130">
        <f>IF(N508="znížená",J508,0)</f>
        <v>0</v>
      </c>
      <c r="BG508" s="130">
        <f>IF(N508="zákl. prenesená",J508,0)</f>
        <v>0</v>
      </c>
      <c r="BH508" s="130">
        <f>IF(N508="zníž. prenesená",J508,0)</f>
        <v>0</v>
      </c>
      <c r="BI508" s="130">
        <f>IF(N508="nulová",J508,0)</f>
        <v>0</v>
      </c>
      <c r="BJ508" s="13" t="s">
        <v>76</v>
      </c>
      <c r="BK508" s="130">
        <f>ROUND(I508*H508,2)</f>
        <v>597.96</v>
      </c>
      <c r="BL508" s="13" t="s">
        <v>235</v>
      </c>
      <c r="BM508" s="129" t="s">
        <v>2421</v>
      </c>
    </row>
    <row r="509" spans="2:65" s="1" customFormat="1" ht="36.450000000000003" customHeight="1" x14ac:dyDescent="0.2">
      <c r="B509" s="24"/>
      <c r="C509" s="407"/>
      <c r="D509" s="492" t="s">
        <v>1259</v>
      </c>
      <c r="E509" s="407"/>
      <c r="F509" s="503" t="s">
        <v>2422</v>
      </c>
      <c r="G509" s="407"/>
      <c r="H509" s="407"/>
      <c r="I509" s="407"/>
      <c r="J509" s="407"/>
      <c r="L509" s="24"/>
      <c r="M509" s="146"/>
      <c r="N509" s="42"/>
      <c r="O509" s="42"/>
      <c r="P509" s="42"/>
      <c r="Q509" s="42"/>
      <c r="R509" s="42"/>
      <c r="S509" s="42"/>
      <c r="T509" s="43"/>
      <c r="W509" s="158"/>
      <c r="X509" s="427"/>
      <c r="Y509" s="511" t="s">
        <v>1259</v>
      </c>
      <c r="Z509" s="427"/>
      <c r="AA509" s="514" t="s">
        <v>2422</v>
      </c>
      <c r="AB509" s="427"/>
      <c r="AC509" s="427"/>
      <c r="AD509" s="427"/>
      <c r="AE509" s="512"/>
      <c r="AF509" s="227"/>
      <c r="AG509" s="374"/>
      <c r="AH509" s="477"/>
      <c r="AT509" s="13" t="s">
        <v>1259</v>
      </c>
      <c r="AU509" s="13" t="s">
        <v>63</v>
      </c>
    </row>
    <row r="510" spans="2:65" s="1" customFormat="1" ht="24" customHeight="1" x14ac:dyDescent="0.2">
      <c r="B510" s="118"/>
      <c r="C510" s="285" t="s">
        <v>2423</v>
      </c>
      <c r="D510" s="285" t="s">
        <v>231</v>
      </c>
      <c r="E510" s="286" t="s">
        <v>2411</v>
      </c>
      <c r="F510" s="240" t="s">
        <v>2412</v>
      </c>
      <c r="G510" s="287" t="s">
        <v>1194</v>
      </c>
      <c r="H510" s="288">
        <v>1</v>
      </c>
      <c r="I510" s="289">
        <v>39.950000000000003</v>
      </c>
      <c r="J510" s="289">
        <f>ROUND(I510*H510,2)</f>
        <v>39.950000000000003</v>
      </c>
      <c r="K510" s="121" t="s">
        <v>1</v>
      </c>
      <c r="L510" s="465"/>
      <c r="M510" s="125"/>
      <c r="N510" s="126"/>
      <c r="O510" s="127"/>
      <c r="P510" s="127"/>
      <c r="Q510" s="127"/>
      <c r="R510" s="127"/>
      <c r="S510" s="127"/>
      <c r="T510" s="128"/>
      <c r="W510" s="199"/>
      <c r="X510" s="285" t="s">
        <v>2423</v>
      </c>
      <c r="Y510" s="285" t="s">
        <v>231</v>
      </c>
      <c r="Z510" s="286" t="s">
        <v>2411</v>
      </c>
      <c r="AA510" s="240" t="s">
        <v>2412</v>
      </c>
      <c r="AB510" s="287" t="s">
        <v>1194</v>
      </c>
      <c r="AC510" s="288">
        <v>1</v>
      </c>
      <c r="AD510" s="289">
        <v>39.950000000000003</v>
      </c>
      <c r="AE510" s="290">
        <f>ROUND(AD510*AC510,2)</f>
        <v>39.950000000000003</v>
      </c>
      <c r="AF510" s="227"/>
      <c r="AG510" s="374"/>
      <c r="AH510" s="477"/>
      <c r="AR510" s="129" t="s">
        <v>235</v>
      </c>
      <c r="AT510" s="129" t="s">
        <v>231</v>
      </c>
      <c r="AU510" s="129" t="s">
        <v>63</v>
      </c>
      <c r="AY510" s="13" t="s">
        <v>228</v>
      </c>
      <c r="BE510" s="130">
        <f>IF(N510="základná",J510,0)</f>
        <v>0</v>
      </c>
      <c r="BF510" s="130">
        <f>IF(N510="znížená",J510,0)</f>
        <v>0</v>
      </c>
      <c r="BG510" s="130">
        <f>IF(N510="zákl. prenesená",J510,0)</f>
        <v>0</v>
      </c>
      <c r="BH510" s="130">
        <f>IF(N510="zníž. prenesená",J510,0)</f>
        <v>0</v>
      </c>
      <c r="BI510" s="130">
        <f>IF(N510="nulová",J510,0)</f>
        <v>0</v>
      </c>
      <c r="BJ510" s="13" t="s">
        <v>76</v>
      </c>
      <c r="BK510" s="130">
        <f>ROUND(I510*H510,2)</f>
        <v>39.950000000000003</v>
      </c>
      <c r="BL510" s="13" t="s">
        <v>235</v>
      </c>
      <c r="BM510" s="129" t="s">
        <v>2424</v>
      </c>
    </row>
    <row r="511" spans="2:65" s="1" customFormat="1" ht="24" customHeight="1" x14ac:dyDescent="0.2">
      <c r="B511" s="118"/>
      <c r="C511" s="285" t="s">
        <v>712</v>
      </c>
      <c r="D511" s="285" t="s">
        <v>231</v>
      </c>
      <c r="E511" s="286" t="s">
        <v>2425</v>
      </c>
      <c r="F511" s="240" t="s">
        <v>2426</v>
      </c>
      <c r="G511" s="287" t="s">
        <v>1194</v>
      </c>
      <c r="H511" s="288">
        <v>2</v>
      </c>
      <c r="I511" s="289">
        <v>504.98</v>
      </c>
      <c r="J511" s="289">
        <f>ROUND(I511*H511,2)</f>
        <v>1009.96</v>
      </c>
      <c r="K511" s="121" t="s">
        <v>1</v>
      </c>
      <c r="L511" s="465"/>
      <c r="M511" s="125"/>
      <c r="N511" s="126"/>
      <c r="O511" s="127"/>
      <c r="P511" s="127"/>
      <c r="Q511" s="127"/>
      <c r="R511" s="127"/>
      <c r="S511" s="127"/>
      <c r="T511" s="128"/>
      <c r="U511" s="461"/>
      <c r="V511" s="464"/>
      <c r="W511" s="199"/>
      <c r="X511" s="285" t="s">
        <v>712</v>
      </c>
      <c r="Y511" s="285" t="s">
        <v>231</v>
      </c>
      <c r="Z511" s="286" t="s">
        <v>2425</v>
      </c>
      <c r="AA511" s="240" t="s">
        <v>2426</v>
      </c>
      <c r="AB511" s="287" t="s">
        <v>1194</v>
      </c>
      <c r="AC511" s="288">
        <v>2</v>
      </c>
      <c r="AD511" s="289">
        <v>504.98</v>
      </c>
      <c r="AE511" s="290">
        <f>ROUND(AD511*AC511,2)</f>
        <v>1009.96</v>
      </c>
      <c r="AF511" s="227"/>
      <c r="AG511" s="374"/>
      <c r="AH511" s="477"/>
      <c r="AR511" s="129" t="s">
        <v>235</v>
      </c>
      <c r="AT511" s="129" t="s">
        <v>231</v>
      </c>
      <c r="AU511" s="129" t="s">
        <v>63</v>
      </c>
      <c r="AY511" s="13" t="s">
        <v>228</v>
      </c>
      <c r="BE511" s="130">
        <f>IF(N511="základná",J511,0)</f>
        <v>0</v>
      </c>
      <c r="BF511" s="130">
        <f>IF(N511="znížená",J511,0)</f>
        <v>0</v>
      </c>
      <c r="BG511" s="130">
        <f>IF(N511="zákl. prenesená",J511,0)</f>
        <v>0</v>
      </c>
      <c r="BH511" s="130">
        <f>IF(N511="zníž. prenesená",J511,0)</f>
        <v>0</v>
      </c>
      <c r="BI511" s="130">
        <f>IF(N511="nulová",J511,0)</f>
        <v>0</v>
      </c>
      <c r="BJ511" s="13" t="s">
        <v>76</v>
      </c>
      <c r="BK511" s="130">
        <f>ROUND(I511*H511,2)</f>
        <v>1009.96</v>
      </c>
      <c r="BL511" s="13" t="s">
        <v>235</v>
      </c>
      <c r="BM511" s="129" t="s">
        <v>2427</v>
      </c>
    </row>
    <row r="512" spans="2:65" s="1" customFormat="1" ht="30.6" x14ac:dyDescent="0.2">
      <c r="B512" s="24"/>
      <c r="C512" s="407"/>
      <c r="D512" s="492" t="s">
        <v>1259</v>
      </c>
      <c r="E512" s="407"/>
      <c r="F512" s="503" t="s">
        <v>2428</v>
      </c>
      <c r="G512" s="407"/>
      <c r="H512" s="407"/>
      <c r="I512" s="407"/>
      <c r="J512" s="407"/>
      <c r="L512" s="24"/>
      <c r="M512" s="146"/>
      <c r="N512" s="42"/>
      <c r="O512" s="42"/>
      <c r="P512" s="42"/>
      <c r="Q512" s="42"/>
      <c r="R512" s="42"/>
      <c r="S512" s="42"/>
      <c r="T512" s="43"/>
      <c r="W512" s="158"/>
      <c r="X512" s="427"/>
      <c r="Y512" s="511" t="s">
        <v>1259</v>
      </c>
      <c r="Z512" s="427"/>
      <c r="AA512" s="514" t="s">
        <v>2428</v>
      </c>
      <c r="AB512" s="427"/>
      <c r="AC512" s="427"/>
      <c r="AD512" s="427"/>
      <c r="AE512" s="512"/>
      <c r="AF512" s="227"/>
      <c r="AG512" s="374"/>
      <c r="AH512" s="477"/>
      <c r="AT512" s="13" t="s">
        <v>1259</v>
      </c>
      <c r="AU512" s="13" t="s">
        <v>63</v>
      </c>
    </row>
    <row r="513" spans="2:65" s="1" customFormat="1" ht="24" customHeight="1" x14ac:dyDescent="0.2">
      <c r="B513" s="118"/>
      <c r="C513" s="285" t="s">
        <v>2429</v>
      </c>
      <c r="D513" s="285" t="s">
        <v>231</v>
      </c>
      <c r="E513" s="286" t="s">
        <v>2411</v>
      </c>
      <c r="F513" s="240" t="s">
        <v>2412</v>
      </c>
      <c r="G513" s="287" t="s">
        <v>1194</v>
      </c>
      <c r="H513" s="288">
        <v>1</v>
      </c>
      <c r="I513" s="289">
        <v>39.950000000000003</v>
      </c>
      <c r="J513" s="289">
        <f>ROUND(I513*H513,2)</f>
        <v>39.950000000000003</v>
      </c>
      <c r="K513" s="121" t="s">
        <v>1</v>
      </c>
      <c r="L513" s="465"/>
      <c r="M513" s="125"/>
      <c r="N513" s="126"/>
      <c r="O513" s="127"/>
      <c r="P513" s="127"/>
      <c r="Q513" s="127"/>
      <c r="R513" s="127"/>
      <c r="S513" s="127"/>
      <c r="T513" s="128"/>
      <c r="W513" s="199"/>
      <c r="X513" s="285" t="s">
        <v>2429</v>
      </c>
      <c r="Y513" s="285" t="s">
        <v>231</v>
      </c>
      <c r="Z513" s="286" t="s">
        <v>2411</v>
      </c>
      <c r="AA513" s="240" t="s">
        <v>2412</v>
      </c>
      <c r="AB513" s="287" t="s">
        <v>1194</v>
      </c>
      <c r="AC513" s="288">
        <v>1</v>
      </c>
      <c r="AD513" s="289">
        <v>39.950000000000003</v>
      </c>
      <c r="AE513" s="290">
        <f>ROUND(AD513*AC513,2)</f>
        <v>39.950000000000003</v>
      </c>
      <c r="AF513" s="227"/>
      <c r="AG513" s="374"/>
      <c r="AH513" s="477"/>
      <c r="AR513" s="129" t="s">
        <v>235</v>
      </c>
      <c r="AT513" s="129" t="s">
        <v>231</v>
      </c>
      <c r="AU513" s="129" t="s">
        <v>63</v>
      </c>
      <c r="AY513" s="13" t="s">
        <v>228</v>
      </c>
      <c r="BE513" s="130">
        <f>IF(N513="základná",J513,0)</f>
        <v>0</v>
      </c>
      <c r="BF513" s="130">
        <f>IF(N513="znížená",J513,0)</f>
        <v>0</v>
      </c>
      <c r="BG513" s="130">
        <f>IF(N513="zákl. prenesená",J513,0)</f>
        <v>0</v>
      </c>
      <c r="BH513" s="130">
        <f>IF(N513="zníž. prenesená",J513,0)</f>
        <v>0</v>
      </c>
      <c r="BI513" s="130">
        <f>IF(N513="nulová",J513,0)</f>
        <v>0</v>
      </c>
      <c r="BJ513" s="13" t="s">
        <v>76</v>
      </c>
      <c r="BK513" s="130">
        <f>ROUND(I513*H513,2)</f>
        <v>39.950000000000003</v>
      </c>
      <c r="BL513" s="13" t="s">
        <v>235</v>
      </c>
      <c r="BM513" s="129" t="s">
        <v>2430</v>
      </c>
    </row>
    <row r="514" spans="2:65" s="424" customFormat="1" ht="24" customHeight="1" x14ac:dyDescent="0.2">
      <c r="B514" s="118"/>
      <c r="C514" s="1234" t="s">
        <v>5205</v>
      </c>
      <c r="D514" s="1235"/>
      <c r="E514" s="1235"/>
      <c r="F514" s="1235"/>
      <c r="G514" s="1235"/>
      <c r="H514" s="1235"/>
      <c r="I514" s="1235"/>
      <c r="J514" s="1236"/>
      <c r="K514" s="121"/>
      <c r="L514" s="24"/>
      <c r="M514" s="125"/>
      <c r="N514" s="126"/>
      <c r="O514" s="127"/>
      <c r="P514" s="127"/>
      <c r="Q514" s="127"/>
      <c r="R514" s="127"/>
      <c r="S514" s="127"/>
      <c r="T514" s="128"/>
      <c r="V514" s="470"/>
      <c r="W514" s="199"/>
      <c r="X514" s="341" t="s">
        <v>6131</v>
      </c>
      <c r="Y514" s="341" t="s">
        <v>231</v>
      </c>
      <c r="Z514" s="342" t="s">
        <v>6109</v>
      </c>
      <c r="AA514" s="343" t="s">
        <v>6110</v>
      </c>
      <c r="AB514" s="344" t="s">
        <v>1194</v>
      </c>
      <c r="AC514" s="345">
        <v>2</v>
      </c>
      <c r="AD514" s="346">
        <v>5</v>
      </c>
      <c r="AE514" s="355">
        <f t="shared" ref="AE514" si="115">ROUND(AD514*AC514,2)</f>
        <v>10</v>
      </c>
      <c r="AF514" s="227">
        <v>6</v>
      </c>
      <c r="AG514" s="374"/>
      <c r="AH514" s="477"/>
      <c r="AR514" s="129"/>
      <c r="AT514" s="129"/>
      <c r="AU514" s="129"/>
      <c r="AY514" s="13"/>
      <c r="BE514" s="130"/>
      <c r="BF514" s="130"/>
      <c r="BG514" s="130"/>
      <c r="BH514" s="130"/>
      <c r="BI514" s="130"/>
      <c r="BJ514" s="13"/>
      <c r="BK514" s="130"/>
      <c r="BL514" s="13"/>
      <c r="BM514" s="129"/>
    </row>
    <row r="515" spans="2:65" s="1" customFormat="1" ht="25.5" customHeight="1" x14ac:dyDescent="0.2">
      <c r="B515" s="118"/>
      <c r="C515" s="285" t="s">
        <v>716</v>
      </c>
      <c r="D515" s="285" t="s">
        <v>231</v>
      </c>
      <c r="E515" s="286" t="s">
        <v>2431</v>
      </c>
      <c r="F515" s="240" t="s">
        <v>2432</v>
      </c>
      <c r="G515" s="287" t="s">
        <v>1194</v>
      </c>
      <c r="H515" s="288">
        <v>1</v>
      </c>
      <c r="I515" s="289">
        <v>495.93</v>
      </c>
      <c r="J515" s="289">
        <f>ROUND(I515*H515,2)</f>
        <v>495.93</v>
      </c>
      <c r="K515" s="121" t="s">
        <v>1</v>
      </c>
      <c r="L515" s="465"/>
      <c r="M515" s="125"/>
      <c r="N515" s="126"/>
      <c r="O515" s="127"/>
      <c r="P515" s="127"/>
      <c r="Q515" s="127"/>
      <c r="R515" s="127"/>
      <c r="S515" s="127"/>
      <c r="T515" s="128"/>
      <c r="U515" s="461"/>
      <c r="V515" s="464"/>
      <c r="W515" s="199"/>
      <c r="X515" s="285" t="s">
        <v>716</v>
      </c>
      <c r="Y515" s="285" t="s">
        <v>231</v>
      </c>
      <c r="Z515" s="286" t="s">
        <v>2431</v>
      </c>
      <c r="AA515" s="240" t="s">
        <v>2432</v>
      </c>
      <c r="AB515" s="287" t="s">
        <v>1194</v>
      </c>
      <c r="AC515" s="288">
        <v>1</v>
      </c>
      <c r="AD515" s="289">
        <v>495.93</v>
      </c>
      <c r="AE515" s="290">
        <f>ROUND(AD515*AC515,2)</f>
        <v>495.93</v>
      </c>
      <c r="AF515" s="227"/>
      <c r="AG515" s="374"/>
      <c r="AH515" s="477"/>
      <c r="AR515" s="129" t="s">
        <v>235</v>
      </c>
      <c r="AT515" s="129" t="s">
        <v>231</v>
      </c>
      <c r="AU515" s="129" t="s">
        <v>63</v>
      </c>
      <c r="AY515" s="13" t="s">
        <v>228</v>
      </c>
      <c r="BE515" s="130">
        <f>IF(N515="základná",J515,0)</f>
        <v>0</v>
      </c>
      <c r="BF515" s="130">
        <f>IF(N515="znížená",J515,0)</f>
        <v>0</v>
      </c>
      <c r="BG515" s="130">
        <f>IF(N515="zákl. prenesená",J515,0)</f>
        <v>0</v>
      </c>
      <c r="BH515" s="130">
        <f>IF(N515="zníž. prenesená",J515,0)</f>
        <v>0</v>
      </c>
      <c r="BI515" s="130">
        <f>IF(N515="nulová",J515,0)</f>
        <v>0</v>
      </c>
      <c r="BJ515" s="13" t="s">
        <v>76</v>
      </c>
      <c r="BK515" s="130">
        <f>ROUND(I515*H515,2)</f>
        <v>495.93</v>
      </c>
      <c r="BL515" s="13" t="s">
        <v>235</v>
      </c>
      <c r="BM515" s="129" t="s">
        <v>2433</v>
      </c>
    </row>
    <row r="516" spans="2:65" s="1" customFormat="1" ht="35.549999999999997" customHeight="1" x14ac:dyDescent="0.2">
      <c r="B516" s="24"/>
      <c r="C516" s="407"/>
      <c r="D516" s="492" t="s">
        <v>1259</v>
      </c>
      <c r="E516" s="407"/>
      <c r="F516" s="503" t="s">
        <v>2434</v>
      </c>
      <c r="G516" s="407"/>
      <c r="H516" s="407"/>
      <c r="I516" s="407"/>
      <c r="J516" s="407"/>
      <c r="L516" s="24"/>
      <c r="M516" s="146"/>
      <c r="N516" s="42"/>
      <c r="O516" s="42"/>
      <c r="P516" s="42"/>
      <c r="Q516" s="42"/>
      <c r="R516" s="42"/>
      <c r="S516" s="42"/>
      <c r="T516" s="43"/>
      <c r="W516" s="158"/>
      <c r="X516" s="427"/>
      <c r="Y516" s="511" t="s">
        <v>1259</v>
      </c>
      <c r="Z516" s="427"/>
      <c r="AA516" s="514" t="s">
        <v>2434</v>
      </c>
      <c r="AB516" s="427"/>
      <c r="AC516" s="427"/>
      <c r="AD516" s="427"/>
      <c r="AE516" s="512"/>
      <c r="AF516" s="227"/>
      <c r="AG516" s="374"/>
      <c r="AH516" s="477"/>
      <c r="AT516" s="13" t="s">
        <v>1259</v>
      </c>
      <c r="AU516" s="13" t="s">
        <v>63</v>
      </c>
    </row>
    <row r="517" spans="2:65" s="1" customFormat="1" ht="24" customHeight="1" x14ac:dyDescent="0.2">
      <c r="B517" s="118"/>
      <c r="C517" s="285" t="s">
        <v>2435</v>
      </c>
      <c r="D517" s="285" t="s">
        <v>231</v>
      </c>
      <c r="E517" s="286" t="s">
        <v>2411</v>
      </c>
      <c r="F517" s="240" t="s">
        <v>2412</v>
      </c>
      <c r="G517" s="287" t="s">
        <v>1194</v>
      </c>
      <c r="H517" s="288">
        <v>1</v>
      </c>
      <c r="I517" s="289">
        <v>39.950000000000003</v>
      </c>
      <c r="J517" s="289">
        <f>ROUND(I517*H517,2)</f>
        <v>39.950000000000003</v>
      </c>
      <c r="K517" s="121" t="s">
        <v>1</v>
      </c>
      <c r="L517" s="465"/>
      <c r="M517" s="125"/>
      <c r="N517" s="126"/>
      <c r="O517" s="127"/>
      <c r="P517" s="127"/>
      <c r="Q517" s="127"/>
      <c r="R517" s="127"/>
      <c r="S517" s="127"/>
      <c r="T517" s="128"/>
      <c r="W517" s="199"/>
      <c r="X517" s="285" t="s">
        <v>2435</v>
      </c>
      <c r="Y517" s="285" t="s">
        <v>231</v>
      </c>
      <c r="Z517" s="286" t="s">
        <v>2411</v>
      </c>
      <c r="AA517" s="240" t="s">
        <v>2412</v>
      </c>
      <c r="AB517" s="287" t="s">
        <v>1194</v>
      </c>
      <c r="AC517" s="288">
        <v>1</v>
      </c>
      <c r="AD517" s="289">
        <v>39.950000000000003</v>
      </c>
      <c r="AE517" s="290">
        <f>ROUND(AD517*AC517,2)</f>
        <v>39.950000000000003</v>
      </c>
      <c r="AF517" s="227"/>
      <c r="AG517" s="374"/>
      <c r="AH517" s="477"/>
      <c r="AR517" s="129" t="s">
        <v>235</v>
      </c>
      <c r="AT517" s="129" t="s">
        <v>231</v>
      </c>
      <c r="AU517" s="129" t="s">
        <v>63</v>
      </c>
      <c r="AY517" s="13" t="s">
        <v>228</v>
      </c>
      <c r="BE517" s="130">
        <f>IF(N517="základná",J517,0)</f>
        <v>0</v>
      </c>
      <c r="BF517" s="130">
        <f>IF(N517="znížená",J517,0)</f>
        <v>0</v>
      </c>
      <c r="BG517" s="130">
        <f>IF(N517="zákl. prenesená",J517,0)</f>
        <v>0</v>
      </c>
      <c r="BH517" s="130">
        <f>IF(N517="zníž. prenesená",J517,0)</f>
        <v>0</v>
      </c>
      <c r="BI517" s="130">
        <f>IF(N517="nulová",J517,0)</f>
        <v>0</v>
      </c>
      <c r="BJ517" s="13" t="s">
        <v>76</v>
      </c>
      <c r="BK517" s="130">
        <f>ROUND(I517*H517,2)</f>
        <v>39.950000000000003</v>
      </c>
      <c r="BL517" s="13" t="s">
        <v>235</v>
      </c>
      <c r="BM517" s="129" t="s">
        <v>2436</v>
      </c>
    </row>
    <row r="518" spans="2:65" s="424" customFormat="1" ht="24" customHeight="1" x14ac:dyDescent="0.2">
      <c r="B518" s="118"/>
      <c r="C518" s="1234" t="s">
        <v>5205</v>
      </c>
      <c r="D518" s="1235"/>
      <c r="E518" s="1235"/>
      <c r="F518" s="1235"/>
      <c r="G518" s="1235"/>
      <c r="H518" s="1235"/>
      <c r="I518" s="1235"/>
      <c r="J518" s="1236"/>
      <c r="K518" s="121"/>
      <c r="L518" s="24"/>
      <c r="M518" s="125"/>
      <c r="N518" s="126"/>
      <c r="O518" s="127"/>
      <c r="P518" s="127"/>
      <c r="Q518" s="127"/>
      <c r="R518" s="127"/>
      <c r="S518" s="127"/>
      <c r="T518" s="128"/>
      <c r="V518" s="470"/>
      <c r="W518" s="199"/>
      <c r="X518" s="341" t="s">
        <v>6132</v>
      </c>
      <c r="Y518" s="341" t="s">
        <v>231</v>
      </c>
      <c r="Z518" s="342" t="s">
        <v>6109</v>
      </c>
      <c r="AA518" s="343" t="s">
        <v>6110</v>
      </c>
      <c r="AB518" s="344" t="s">
        <v>1194</v>
      </c>
      <c r="AC518" s="345">
        <v>1</v>
      </c>
      <c r="AD518" s="346">
        <v>5</v>
      </c>
      <c r="AE518" s="355">
        <f t="shared" ref="AE518" si="116">ROUND(AD518*AC518,2)</f>
        <v>5</v>
      </c>
      <c r="AF518" s="227">
        <v>6</v>
      </c>
      <c r="AG518" s="374"/>
      <c r="AH518" s="477"/>
      <c r="AR518" s="129"/>
      <c r="AT518" s="129"/>
      <c r="AU518" s="129"/>
      <c r="AY518" s="13"/>
      <c r="BE518" s="130"/>
      <c r="BF518" s="130"/>
      <c r="BG518" s="130"/>
      <c r="BH518" s="130"/>
      <c r="BI518" s="130"/>
      <c r="BJ518" s="13"/>
      <c r="BK518" s="130"/>
      <c r="BL518" s="13"/>
      <c r="BM518" s="129"/>
    </row>
    <row r="519" spans="2:65" s="1" customFormat="1" ht="24" customHeight="1" x14ac:dyDescent="0.2">
      <c r="B519" s="118"/>
      <c r="C519" s="119" t="s">
        <v>721</v>
      </c>
      <c r="D519" s="119" t="s">
        <v>231</v>
      </c>
      <c r="E519" s="120" t="s">
        <v>2050</v>
      </c>
      <c r="F519" s="121" t="s">
        <v>2051</v>
      </c>
      <c r="G519" s="122" t="s">
        <v>292</v>
      </c>
      <c r="H519" s="123">
        <v>75</v>
      </c>
      <c r="I519" s="124">
        <v>22.94</v>
      </c>
      <c r="J519" s="124">
        <f>ROUND(I519*H519,2)</f>
        <v>1720.5</v>
      </c>
      <c r="K519" s="121" t="s">
        <v>1</v>
      </c>
      <c r="L519" s="465"/>
      <c r="M519" s="125"/>
      <c r="N519" s="126"/>
      <c r="O519" s="127"/>
      <c r="P519" s="127"/>
      <c r="Q519" s="127"/>
      <c r="R519" s="127"/>
      <c r="S519" s="127"/>
      <c r="T519" s="128"/>
      <c r="U519" s="461"/>
      <c r="V519" s="464"/>
      <c r="W519" s="199"/>
      <c r="X519" s="119" t="s">
        <v>721</v>
      </c>
      <c r="Y519" s="119" t="s">
        <v>231</v>
      </c>
      <c r="Z519" s="120" t="s">
        <v>2050</v>
      </c>
      <c r="AA519" s="121" t="s">
        <v>2051</v>
      </c>
      <c r="AB519" s="122" t="s">
        <v>292</v>
      </c>
      <c r="AC519" s="123">
        <v>75</v>
      </c>
      <c r="AD519" s="124">
        <v>22.94</v>
      </c>
      <c r="AE519" s="200">
        <f>ROUND(AD519*AC519,2)</f>
        <v>1720.5</v>
      </c>
      <c r="AF519" s="227"/>
      <c r="AG519" s="374"/>
      <c r="AH519" s="477"/>
      <c r="AR519" s="129" t="s">
        <v>235</v>
      </c>
      <c r="AT519" s="129" t="s">
        <v>231</v>
      </c>
      <c r="AU519" s="129" t="s">
        <v>63</v>
      </c>
      <c r="AY519" s="13" t="s">
        <v>228</v>
      </c>
      <c r="BE519" s="130">
        <f>IF(N519="základná",J519,0)</f>
        <v>0</v>
      </c>
      <c r="BF519" s="130">
        <f>IF(N519="znížená",J519,0)</f>
        <v>0</v>
      </c>
      <c r="BG519" s="130">
        <f>IF(N519="zákl. prenesená",J519,0)</f>
        <v>0</v>
      </c>
      <c r="BH519" s="130">
        <f>IF(N519="zníž. prenesená",J519,0)</f>
        <v>0</v>
      </c>
      <c r="BI519" s="130">
        <f>IF(N519="nulová",J519,0)</f>
        <v>0</v>
      </c>
      <c r="BJ519" s="13" t="s">
        <v>76</v>
      </c>
      <c r="BK519" s="130">
        <f>ROUND(I519*H519,2)</f>
        <v>1720.5</v>
      </c>
      <c r="BL519" s="13" t="s">
        <v>235</v>
      </c>
      <c r="BM519" s="129" t="s">
        <v>2437</v>
      </c>
    </row>
    <row r="520" spans="2:65" s="11" customFormat="1" ht="25.95" customHeight="1" x14ac:dyDescent="0.25">
      <c r="B520" s="106"/>
      <c r="D520" s="107" t="s">
        <v>57</v>
      </c>
      <c r="E520" s="108" t="s">
        <v>2438</v>
      </c>
      <c r="F520" s="108" t="s">
        <v>2439</v>
      </c>
      <c r="J520" s="109">
        <f>BK520</f>
        <v>270.94</v>
      </c>
      <c r="L520" s="106"/>
      <c r="M520" s="110"/>
      <c r="N520" s="111"/>
      <c r="O520" s="111"/>
      <c r="P520" s="112"/>
      <c r="Q520" s="111"/>
      <c r="R520" s="112"/>
      <c r="S520" s="111"/>
      <c r="T520" s="113"/>
      <c r="W520" s="195"/>
      <c r="X520" s="111"/>
      <c r="Y520" s="196" t="s">
        <v>57</v>
      </c>
      <c r="Z520" s="197" t="s">
        <v>2438</v>
      </c>
      <c r="AA520" s="508" t="s">
        <v>6111</v>
      </c>
      <c r="AB520" s="347"/>
      <c r="AC520" s="111"/>
      <c r="AD520" s="111"/>
      <c r="AE520" s="198">
        <f>AE521+AE523</f>
        <v>270.94</v>
      </c>
      <c r="AF520" s="227"/>
      <c r="AG520" s="374"/>
      <c r="AH520" s="477"/>
      <c r="AR520" s="107" t="s">
        <v>63</v>
      </c>
      <c r="AT520" s="114" t="s">
        <v>57</v>
      </c>
      <c r="AU520" s="114" t="s">
        <v>58</v>
      </c>
      <c r="AY520" s="107" t="s">
        <v>228</v>
      </c>
      <c r="BK520" s="115">
        <f>BK521+BK522+BK523</f>
        <v>270.94</v>
      </c>
    </row>
    <row r="521" spans="2:65" s="1" customFormat="1" ht="20.55" customHeight="1" x14ac:dyDescent="0.2">
      <c r="B521" s="118"/>
      <c r="C521" s="285" t="s">
        <v>2440</v>
      </c>
      <c r="D521" s="285" t="s">
        <v>231</v>
      </c>
      <c r="E521" s="286" t="s">
        <v>2441</v>
      </c>
      <c r="F521" s="240" t="s">
        <v>2442</v>
      </c>
      <c r="G521" s="287" t="s">
        <v>1194</v>
      </c>
      <c r="H521" s="288">
        <v>2</v>
      </c>
      <c r="I521" s="289">
        <v>85.38</v>
      </c>
      <c r="J521" s="289">
        <f>ROUND(I521*H521,2)</f>
        <v>170.76</v>
      </c>
      <c r="K521" s="121" t="s">
        <v>1</v>
      </c>
      <c r="L521" s="465"/>
      <c r="M521" s="125"/>
      <c r="N521" s="126"/>
      <c r="O521" s="127"/>
      <c r="P521" s="127"/>
      <c r="Q521" s="127"/>
      <c r="R521" s="127"/>
      <c r="S521" s="127"/>
      <c r="T521" s="128"/>
      <c r="U521" s="461"/>
      <c r="V521" s="464"/>
      <c r="W521" s="199"/>
      <c r="X521" s="285" t="s">
        <v>2440</v>
      </c>
      <c r="Y521" s="285" t="s">
        <v>231</v>
      </c>
      <c r="Z521" s="286" t="s">
        <v>2441</v>
      </c>
      <c r="AA521" s="240" t="s">
        <v>2442</v>
      </c>
      <c r="AB521" s="287" t="s">
        <v>1194</v>
      </c>
      <c r="AC521" s="288">
        <v>2</v>
      </c>
      <c r="AD521" s="289">
        <v>85.38</v>
      </c>
      <c r="AE521" s="290">
        <f>ROUND(AD521*AC521,2)</f>
        <v>170.76</v>
      </c>
      <c r="AF521" s="227"/>
      <c r="AG521" s="374"/>
      <c r="AH521" s="477"/>
      <c r="AR521" s="129" t="s">
        <v>235</v>
      </c>
      <c r="AT521" s="129" t="s">
        <v>231</v>
      </c>
      <c r="AU521" s="129" t="s">
        <v>63</v>
      </c>
      <c r="AY521" s="13" t="s">
        <v>228</v>
      </c>
      <c r="BE521" s="130">
        <f>IF(N521="základná",J521,0)</f>
        <v>0</v>
      </c>
      <c r="BF521" s="130">
        <f>IF(N521="znížená",J521,0)</f>
        <v>0</v>
      </c>
      <c r="BG521" s="130">
        <f>IF(N521="zákl. prenesená",J521,0)</f>
        <v>0</v>
      </c>
      <c r="BH521" s="130">
        <f>IF(N521="zníž. prenesená",J521,0)</f>
        <v>0</v>
      </c>
      <c r="BI521" s="130">
        <f>IF(N521="nulová",J521,0)</f>
        <v>0</v>
      </c>
      <c r="BJ521" s="13" t="s">
        <v>76</v>
      </c>
      <c r="BK521" s="130">
        <f>ROUND(I521*H521,2)</f>
        <v>170.76</v>
      </c>
      <c r="BL521" s="13" t="s">
        <v>235</v>
      </c>
      <c r="BM521" s="129" t="s">
        <v>2443</v>
      </c>
    </row>
    <row r="522" spans="2:65" s="1" customFormat="1" ht="22.95" customHeight="1" x14ac:dyDescent="0.2">
      <c r="B522" s="24"/>
      <c r="C522" s="407"/>
      <c r="D522" s="492" t="s">
        <v>1259</v>
      </c>
      <c r="E522" s="407"/>
      <c r="F522" s="428" t="s">
        <v>2444</v>
      </c>
      <c r="G522" s="407"/>
      <c r="H522" s="407"/>
      <c r="I522" s="407"/>
      <c r="J522" s="407"/>
      <c r="L522" s="24"/>
      <c r="M522" s="146"/>
      <c r="N522" s="42"/>
      <c r="O522" s="42"/>
      <c r="P522" s="42"/>
      <c r="Q522" s="42"/>
      <c r="R522" s="42"/>
      <c r="S522" s="42"/>
      <c r="T522" s="43"/>
      <c r="W522" s="158"/>
      <c r="X522" s="427"/>
      <c r="Y522" s="511" t="s">
        <v>1259</v>
      </c>
      <c r="Z522" s="427"/>
      <c r="AA522" s="505" t="s">
        <v>2444</v>
      </c>
      <c r="AB522" s="427"/>
      <c r="AC522" s="427"/>
      <c r="AD522" s="427"/>
      <c r="AE522" s="512"/>
      <c r="AF522" s="227"/>
      <c r="AG522" s="374"/>
      <c r="AH522" s="477"/>
      <c r="AT522" s="13" t="s">
        <v>1259</v>
      </c>
      <c r="AU522" s="13" t="s">
        <v>63</v>
      </c>
    </row>
    <row r="523" spans="2:65" s="11" customFormat="1" ht="22.95" customHeight="1" x14ac:dyDescent="0.25">
      <c r="B523" s="106"/>
      <c r="C523" s="292"/>
      <c r="D523" s="489" t="s">
        <v>57</v>
      </c>
      <c r="E523" s="490" t="s">
        <v>2229</v>
      </c>
      <c r="F523" s="490" t="s">
        <v>2230</v>
      </c>
      <c r="G523" s="292"/>
      <c r="H523" s="292"/>
      <c r="I523" s="292"/>
      <c r="J523" s="491">
        <f>BK523</f>
        <v>100.17999999999999</v>
      </c>
      <c r="L523" s="106"/>
      <c r="M523" s="110"/>
      <c r="N523" s="111"/>
      <c r="O523" s="111"/>
      <c r="P523" s="112"/>
      <c r="Q523" s="111"/>
      <c r="R523" s="112"/>
      <c r="S523" s="111"/>
      <c r="T523" s="113"/>
      <c r="W523" s="195"/>
      <c r="X523" s="347"/>
      <c r="Y523" s="506" t="s">
        <v>57</v>
      </c>
      <c r="Z523" s="507" t="s">
        <v>2229</v>
      </c>
      <c r="AA523" s="507" t="s">
        <v>2230</v>
      </c>
      <c r="AB523" s="347"/>
      <c r="AC523" s="347"/>
      <c r="AD523" s="347"/>
      <c r="AE523" s="510">
        <f>SUM(AE524:AE528)</f>
        <v>100.17999999999999</v>
      </c>
      <c r="AF523" s="227"/>
      <c r="AG523" s="374"/>
      <c r="AH523" s="477"/>
      <c r="AR523" s="107" t="s">
        <v>63</v>
      </c>
      <c r="AT523" s="114" t="s">
        <v>57</v>
      </c>
      <c r="AU523" s="114" t="s">
        <v>63</v>
      </c>
      <c r="AY523" s="107" t="s">
        <v>228</v>
      </c>
      <c r="BK523" s="115">
        <f>SUM(BK524:BK528)</f>
        <v>100.17999999999999</v>
      </c>
    </row>
    <row r="524" spans="2:65" s="1" customFormat="1" ht="16.5" customHeight="1" x14ac:dyDescent="0.2">
      <c r="B524" s="118"/>
      <c r="C524" s="285" t="s">
        <v>725</v>
      </c>
      <c r="D524" s="285" t="s">
        <v>231</v>
      </c>
      <c r="E524" s="286" t="s">
        <v>2231</v>
      </c>
      <c r="F524" s="240" t="s">
        <v>2232</v>
      </c>
      <c r="G524" s="287" t="s">
        <v>292</v>
      </c>
      <c r="H524" s="288">
        <v>12</v>
      </c>
      <c r="I524" s="289">
        <v>5.3</v>
      </c>
      <c r="J524" s="289">
        <f>ROUND(I524*H524,2)</f>
        <v>63.6</v>
      </c>
      <c r="K524" s="121" t="s">
        <v>1</v>
      </c>
      <c r="L524" s="465"/>
      <c r="M524" s="125"/>
      <c r="N524" s="126"/>
      <c r="O524" s="127"/>
      <c r="P524" s="127"/>
      <c r="Q524" s="127"/>
      <c r="R524" s="127"/>
      <c r="S524" s="127"/>
      <c r="T524" s="128"/>
      <c r="U524" s="461"/>
      <c r="V524" s="464"/>
      <c r="W524" s="199"/>
      <c r="X524" s="285" t="s">
        <v>725</v>
      </c>
      <c r="Y524" s="285" t="s">
        <v>231</v>
      </c>
      <c r="Z524" s="286" t="s">
        <v>2231</v>
      </c>
      <c r="AA524" s="240" t="s">
        <v>2232</v>
      </c>
      <c r="AB524" s="287" t="s">
        <v>292</v>
      </c>
      <c r="AC524" s="288">
        <v>12</v>
      </c>
      <c r="AD524" s="289">
        <v>5.3</v>
      </c>
      <c r="AE524" s="290">
        <f>ROUND(AD524*AC524,2)</f>
        <v>63.6</v>
      </c>
      <c r="AF524" s="227"/>
      <c r="AG524" s="374"/>
      <c r="AH524" s="477"/>
      <c r="AR524" s="129" t="s">
        <v>235</v>
      </c>
      <c r="AT524" s="129" t="s">
        <v>231</v>
      </c>
      <c r="AU524" s="129" t="s">
        <v>76</v>
      </c>
      <c r="AY524" s="13" t="s">
        <v>228</v>
      </c>
      <c r="BE524" s="130">
        <f>IF(N524="základná",J524,0)</f>
        <v>0</v>
      </c>
      <c r="BF524" s="130">
        <f>IF(N524="znížená",J524,0)</f>
        <v>0</v>
      </c>
      <c r="BG524" s="130">
        <f>IF(N524="zákl. prenesená",J524,0)</f>
        <v>0</v>
      </c>
      <c r="BH524" s="130">
        <f>IF(N524="zníž. prenesená",J524,0)</f>
        <v>0</v>
      </c>
      <c r="BI524" s="130">
        <f>IF(N524="nulová",J524,0)</f>
        <v>0</v>
      </c>
      <c r="BJ524" s="13" t="s">
        <v>76</v>
      </c>
      <c r="BK524" s="130">
        <f>ROUND(I524*H524,2)</f>
        <v>63.6</v>
      </c>
      <c r="BL524" s="13" t="s">
        <v>235</v>
      </c>
      <c r="BM524" s="129" t="s">
        <v>2445</v>
      </c>
    </row>
    <row r="525" spans="2:65" s="1" customFormat="1" ht="16.5" customHeight="1" x14ac:dyDescent="0.2">
      <c r="B525" s="118"/>
      <c r="C525" s="285" t="s">
        <v>2446</v>
      </c>
      <c r="D525" s="285" t="s">
        <v>231</v>
      </c>
      <c r="E525" s="286" t="s">
        <v>2146</v>
      </c>
      <c r="F525" s="240" t="s">
        <v>2147</v>
      </c>
      <c r="G525" s="287" t="s">
        <v>1194</v>
      </c>
      <c r="H525" s="288">
        <v>2</v>
      </c>
      <c r="I525" s="289">
        <v>7.28</v>
      </c>
      <c r="J525" s="289">
        <f>ROUND(I525*H525,2)</f>
        <v>14.56</v>
      </c>
      <c r="K525" s="121" t="s">
        <v>1</v>
      </c>
      <c r="L525" s="465"/>
      <c r="M525" s="125"/>
      <c r="N525" s="126"/>
      <c r="O525" s="127"/>
      <c r="P525" s="127"/>
      <c r="Q525" s="127"/>
      <c r="R525" s="127"/>
      <c r="S525" s="127"/>
      <c r="T525" s="128"/>
      <c r="U525" s="461"/>
      <c r="V525" s="464"/>
      <c r="W525" s="199"/>
      <c r="X525" s="285" t="s">
        <v>2446</v>
      </c>
      <c r="Y525" s="285" t="s">
        <v>231</v>
      </c>
      <c r="Z525" s="286" t="s">
        <v>2146</v>
      </c>
      <c r="AA525" s="240" t="s">
        <v>2147</v>
      </c>
      <c r="AB525" s="287" t="s">
        <v>1194</v>
      </c>
      <c r="AC525" s="288">
        <v>2</v>
      </c>
      <c r="AD525" s="289">
        <v>7.28</v>
      </c>
      <c r="AE525" s="290">
        <f>ROUND(AD525*AC525,2)</f>
        <v>14.56</v>
      </c>
      <c r="AF525" s="227"/>
      <c r="AG525" s="374"/>
      <c r="AH525" s="477"/>
      <c r="AR525" s="129" t="s">
        <v>235</v>
      </c>
      <c r="AT525" s="129" t="s">
        <v>231</v>
      </c>
      <c r="AU525" s="129" t="s">
        <v>76</v>
      </c>
      <c r="AY525" s="13" t="s">
        <v>228</v>
      </c>
      <c r="BE525" s="130">
        <f>IF(N525="základná",J525,0)</f>
        <v>0</v>
      </c>
      <c r="BF525" s="130">
        <f>IF(N525="znížená",J525,0)</f>
        <v>0</v>
      </c>
      <c r="BG525" s="130">
        <f>IF(N525="zákl. prenesená",J525,0)</f>
        <v>0</v>
      </c>
      <c r="BH525" s="130">
        <f>IF(N525="zníž. prenesená",J525,0)</f>
        <v>0</v>
      </c>
      <c r="BI525" s="130">
        <f>IF(N525="nulová",J525,0)</f>
        <v>0</v>
      </c>
      <c r="BJ525" s="13" t="s">
        <v>76</v>
      </c>
      <c r="BK525" s="130">
        <f>ROUND(I525*H525,2)</f>
        <v>14.56</v>
      </c>
      <c r="BL525" s="13" t="s">
        <v>235</v>
      </c>
      <c r="BM525" s="129" t="s">
        <v>2447</v>
      </c>
    </row>
    <row r="526" spans="2:65" s="1" customFormat="1" ht="16.5" customHeight="1" x14ac:dyDescent="0.2">
      <c r="B526" s="118"/>
      <c r="C526" s="285" t="s">
        <v>728</v>
      </c>
      <c r="D526" s="285" t="s">
        <v>231</v>
      </c>
      <c r="E526" s="286" t="s">
        <v>2448</v>
      </c>
      <c r="F526" s="240" t="s">
        <v>2449</v>
      </c>
      <c r="G526" s="287" t="s">
        <v>1194</v>
      </c>
      <c r="H526" s="288">
        <v>1</v>
      </c>
      <c r="I526" s="289">
        <v>3.86</v>
      </c>
      <c r="J526" s="289">
        <f>ROUND(I526*H526,2)</f>
        <v>3.86</v>
      </c>
      <c r="K526" s="121" t="s">
        <v>1</v>
      </c>
      <c r="L526" s="465"/>
      <c r="M526" s="125"/>
      <c r="N526" s="126"/>
      <c r="O526" s="127"/>
      <c r="P526" s="127"/>
      <c r="Q526" s="127"/>
      <c r="R526" s="127"/>
      <c r="S526" s="127"/>
      <c r="T526" s="128"/>
      <c r="U526" s="461"/>
      <c r="V526" s="464"/>
      <c r="W526" s="199"/>
      <c r="X526" s="285" t="s">
        <v>728</v>
      </c>
      <c r="Y526" s="285" t="s">
        <v>231</v>
      </c>
      <c r="Z526" s="286" t="s">
        <v>2448</v>
      </c>
      <c r="AA526" s="240" t="s">
        <v>2449</v>
      </c>
      <c r="AB526" s="287" t="s">
        <v>1194</v>
      </c>
      <c r="AC526" s="288">
        <v>1</v>
      </c>
      <c r="AD526" s="289">
        <v>3.86</v>
      </c>
      <c r="AE526" s="290">
        <f>ROUND(AD526*AC526,2)</f>
        <v>3.86</v>
      </c>
      <c r="AF526" s="227"/>
      <c r="AG526" s="374"/>
      <c r="AH526" s="477"/>
      <c r="AR526" s="129" t="s">
        <v>235</v>
      </c>
      <c r="AT526" s="129" t="s">
        <v>231</v>
      </c>
      <c r="AU526" s="129" t="s">
        <v>76</v>
      </c>
      <c r="AY526" s="13" t="s">
        <v>228</v>
      </c>
      <c r="BE526" s="130">
        <f>IF(N526="základná",J526,0)</f>
        <v>0</v>
      </c>
      <c r="BF526" s="130">
        <f>IF(N526="znížená",J526,0)</f>
        <v>0</v>
      </c>
      <c r="BG526" s="130">
        <f>IF(N526="zákl. prenesená",J526,0)</f>
        <v>0</v>
      </c>
      <c r="BH526" s="130">
        <f>IF(N526="zníž. prenesená",J526,0)</f>
        <v>0</v>
      </c>
      <c r="BI526" s="130">
        <f>IF(N526="nulová",J526,0)</f>
        <v>0</v>
      </c>
      <c r="BJ526" s="13" t="s">
        <v>76</v>
      </c>
      <c r="BK526" s="130">
        <f>ROUND(I526*H526,2)</f>
        <v>3.86</v>
      </c>
      <c r="BL526" s="13" t="s">
        <v>235</v>
      </c>
      <c r="BM526" s="129" t="s">
        <v>2450</v>
      </c>
    </row>
    <row r="527" spans="2:65" s="1" customFormat="1" ht="27.45" customHeight="1" x14ac:dyDescent="0.2">
      <c r="B527" s="118"/>
      <c r="C527" s="285" t="s">
        <v>2451</v>
      </c>
      <c r="D527" s="285" t="s">
        <v>231</v>
      </c>
      <c r="E527" s="286" t="s">
        <v>2240</v>
      </c>
      <c r="F527" s="240" t="s">
        <v>2241</v>
      </c>
      <c r="G527" s="287" t="s">
        <v>1194</v>
      </c>
      <c r="H527" s="288">
        <v>1</v>
      </c>
      <c r="I527" s="289">
        <v>11.56</v>
      </c>
      <c r="J527" s="289">
        <f>ROUND(I527*H527,2)</f>
        <v>11.56</v>
      </c>
      <c r="K527" s="121" t="s">
        <v>1</v>
      </c>
      <c r="L527" s="465"/>
      <c r="M527" s="125"/>
      <c r="N527" s="126"/>
      <c r="O527" s="127"/>
      <c r="P527" s="127"/>
      <c r="Q527" s="127"/>
      <c r="R527" s="127"/>
      <c r="S527" s="127"/>
      <c r="T527" s="128"/>
      <c r="U527" s="461"/>
      <c r="V527" s="464"/>
      <c r="W527" s="199"/>
      <c r="X527" s="285" t="s">
        <v>2451</v>
      </c>
      <c r="Y527" s="285" t="s">
        <v>231</v>
      </c>
      <c r="Z527" s="286" t="s">
        <v>2240</v>
      </c>
      <c r="AA527" s="240" t="s">
        <v>2241</v>
      </c>
      <c r="AB527" s="287" t="s">
        <v>1194</v>
      </c>
      <c r="AC527" s="288">
        <v>1</v>
      </c>
      <c r="AD527" s="289">
        <v>11.56</v>
      </c>
      <c r="AE527" s="290">
        <f>ROUND(AD527*AC527,2)</f>
        <v>11.56</v>
      </c>
      <c r="AF527" s="227"/>
      <c r="AG527" s="374"/>
      <c r="AH527" s="477"/>
      <c r="AR527" s="129" t="s">
        <v>235</v>
      </c>
      <c r="AT527" s="129" t="s">
        <v>231</v>
      </c>
      <c r="AU527" s="129" t="s">
        <v>76</v>
      </c>
      <c r="AY527" s="13" t="s">
        <v>228</v>
      </c>
      <c r="BE527" s="130">
        <f>IF(N527="základná",J527,0)</f>
        <v>0</v>
      </c>
      <c r="BF527" s="130">
        <f>IF(N527="znížená",J527,0)</f>
        <v>0</v>
      </c>
      <c r="BG527" s="130">
        <f>IF(N527="zákl. prenesená",J527,0)</f>
        <v>0</v>
      </c>
      <c r="BH527" s="130">
        <f>IF(N527="zníž. prenesená",J527,0)</f>
        <v>0</v>
      </c>
      <c r="BI527" s="130">
        <f>IF(N527="nulová",J527,0)</f>
        <v>0</v>
      </c>
      <c r="BJ527" s="13" t="s">
        <v>76</v>
      </c>
      <c r="BK527" s="130">
        <f>ROUND(I527*H527,2)</f>
        <v>11.56</v>
      </c>
      <c r="BL527" s="13" t="s">
        <v>235</v>
      </c>
      <c r="BM527" s="129" t="s">
        <v>2452</v>
      </c>
    </row>
    <row r="528" spans="2:65" s="1" customFormat="1" ht="16.5" customHeight="1" x14ac:dyDescent="0.2">
      <c r="B528" s="118"/>
      <c r="C528" s="285" t="s">
        <v>732</v>
      </c>
      <c r="D528" s="285" t="s">
        <v>231</v>
      </c>
      <c r="E528" s="286" t="s">
        <v>2395</v>
      </c>
      <c r="F528" s="240" t="s">
        <v>2396</v>
      </c>
      <c r="G528" s="287" t="s">
        <v>1194</v>
      </c>
      <c r="H528" s="288">
        <v>1</v>
      </c>
      <c r="I528" s="289">
        <v>6.6</v>
      </c>
      <c r="J528" s="289">
        <f>ROUND(I528*H528,2)</f>
        <v>6.6</v>
      </c>
      <c r="K528" s="121" t="s">
        <v>1</v>
      </c>
      <c r="L528" s="465"/>
      <c r="M528" s="125"/>
      <c r="N528" s="126"/>
      <c r="O528" s="127"/>
      <c r="P528" s="127"/>
      <c r="Q528" s="127"/>
      <c r="R528" s="127"/>
      <c r="S528" s="127"/>
      <c r="T528" s="128"/>
      <c r="U528" s="461"/>
      <c r="V528" s="464"/>
      <c r="W528" s="199"/>
      <c r="X528" s="285" t="s">
        <v>732</v>
      </c>
      <c r="Y528" s="285" t="s">
        <v>231</v>
      </c>
      <c r="Z528" s="286" t="s">
        <v>2395</v>
      </c>
      <c r="AA528" s="240" t="s">
        <v>2396</v>
      </c>
      <c r="AB528" s="287" t="s">
        <v>1194</v>
      </c>
      <c r="AC528" s="288">
        <v>1</v>
      </c>
      <c r="AD528" s="289">
        <v>6.6</v>
      </c>
      <c r="AE528" s="290">
        <f>ROUND(AD528*AC528,2)</f>
        <v>6.6</v>
      </c>
      <c r="AF528" s="227"/>
      <c r="AG528" s="374"/>
      <c r="AH528" s="477"/>
      <c r="AR528" s="129" t="s">
        <v>235</v>
      </c>
      <c r="AT528" s="129" t="s">
        <v>231</v>
      </c>
      <c r="AU528" s="129" t="s">
        <v>76</v>
      </c>
      <c r="AY528" s="13" t="s">
        <v>228</v>
      </c>
      <c r="BE528" s="130">
        <f>IF(N528="základná",J528,0)</f>
        <v>0</v>
      </c>
      <c r="BF528" s="130">
        <f>IF(N528="znížená",J528,0)</f>
        <v>0</v>
      </c>
      <c r="BG528" s="130">
        <f>IF(N528="zákl. prenesená",J528,0)</f>
        <v>0</v>
      </c>
      <c r="BH528" s="130">
        <f>IF(N528="zníž. prenesená",J528,0)</f>
        <v>0</v>
      </c>
      <c r="BI528" s="130">
        <f>IF(N528="nulová",J528,0)</f>
        <v>0</v>
      </c>
      <c r="BJ528" s="13" t="s">
        <v>76</v>
      </c>
      <c r="BK528" s="130">
        <f>ROUND(I528*H528,2)</f>
        <v>6.6</v>
      </c>
      <c r="BL528" s="13" t="s">
        <v>235</v>
      </c>
      <c r="BM528" s="129" t="s">
        <v>2453</v>
      </c>
    </row>
    <row r="529" spans="2:65" s="11" customFormat="1" ht="25.95" customHeight="1" x14ac:dyDescent="0.25">
      <c r="B529" s="106"/>
      <c r="C529" s="292"/>
      <c r="D529" s="489" t="s">
        <v>57</v>
      </c>
      <c r="E529" s="501" t="s">
        <v>2454</v>
      </c>
      <c r="F529" s="501" t="s">
        <v>2455</v>
      </c>
      <c r="G529" s="292"/>
      <c r="H529" s="292"/>
      <c r="I529" s="292"/>
      <c r="J529" s="502">
        <f>BK529</f>
        <v>445.4</v>
      </c>
      <c r="L529" s="106"/>
      <c r="M529" s="110"/>
      <c r="N529" s="111"/>
      <c r="O529" s="111"/>
      <c r="P529" s="112"/>
      <c r="Q529" s="111"/>
      <c r="R529" s="112"/>
      <c r="S529" s="111"/>
      <c r="T529" s="113"/>
      <c r="W529" s="195"/>
      <c r="X529" s="347"/>
      <c r="Y529" s="506" t="s">
        <v>57</v>
      </c>
      <c r="Z529" s="429" t="s">
        <v>2454</v>
      </c>
      <c r="AA529" s="429" t="s">
        <v>2455</v>
      </c>
      <c r="AB529" s="347"/>
      <c r="AC529" s="347"/>
      <c r="AD529" s="347"/>
      <c r="AE529" s="513">
        <f>AE530+AE532</f>
        <v>445.4</v>
      </c>
      <c r="AF529" s="227"/>
      <c r="AG529" s="374"/>
      <c r="AH529" s="477"/>
      <c r="AR529" s="107" t="s">
        <v>63</v>
      </c>
      <c r="AT529" s="114" t="s">
        <v>57</v>
      </c>
      <c r="AU529" s="114" t="s">
        <v>58</v>
      </c>
      <c r="AY529" s="107" t="s">
        <v>228</v>
      </c>
      <c r="BK529" s="115">
        <f>BK530+BK531+BK532</f>
        <v>445.4</v>
      </c>
    </row>
    <row r="530" spans="2:65" s="1" customFormat="1" ht="16.5" customHeight="1" x14ac:dyDescent="0.2">
      <c r="B530" s="118"/>
      <c r="C530" s="285" t="s">
        <v>2456</v>
      </c>
      <c r="D530" s="285" t="s">
        <v>231</v>
      </c>
      <c r="E530" s="286" t="s">
        <v>2457</v>
      </c>
      <c r="F530" s="240" t="s">
        <v>2458</v>
      </c>
      <c r="G530" s="287" t="s">
        <v>1194</v>
      </c>
      <c r="H530" s="288">
        <v>4</v>
      </c>
      <c r="I530" s="289">
        <v>85.38</v>
      </c>
      <c r="J530" s="289">
        <f>ROUND(I530*H530,2)</f>
        <v>341.52</v>
      </c>
      <c r="K530" s="121" t="s">
        <v>1</v>
      </c>
      <c r="L530" s="465"/>
      <c r="M530" s="125"/>
      <c r="N530" s="126"/>
      <c r="O530" s="127"/>
      <c r="P530" s="127"/>
      <c r="Q530" s="127"/>
      <c r="R530" s="127"/>
      <c r="S530" s="127"/>
      <c r="T530" s="128"/>
      <c r="U530" s="461"/>
      <c r="V530" s="464"/>
      <c r="W530" s="199"/>
      <c r="X530" s="285" t="s">
        <v>2456</v>
      </c>
      <c r="Y530" s="285" t="s">
        <v>231</v>
      </c>
      <c r="Z530" s="286" t="s">
        <v>2457</v>
      </c>
      <c r="AA530" s="240" t="s">
        <v>2458</v>
      </c>
      <c r="AB530" s="287" t="s">
        <v>1194</v>
      </c>
      <c r="AC530" s="288">
        <v>4</v>
      </c>
      <c r="AD530" s="289">
        <v>85.38</v>
      </c>
      <c r="AE530" s="290">
        <f>ROUND(AD530*AC530,2)</f>
        <v>341.52</v>
      </c>
      <c r="AF530" s="227"/>
      <c r="AG530" s="374"/>
      <c r="AH530" s="477"/>
      <c r="AR530" s="129" t="s">
        <v>235</v>
      </c>
      <c r="AT530" s="129" t="s">
        <v>231</v>
      </c>
      <c r="AU530" s="129" t="s">
        <v>63</v>
      </c>
      <c r="AY530" s="13" t="s">
        <v>228</v>
      </c>
      <c r="BE530" s="130">
        <f>IF(N530="základná",J530,0)</f>
        <v>0</v>
      </c>
      <c r="BF530" s="130">
        <f>IF(N530="znížená",J530,0)</f>
        <v>0</v>
      </c>
      <c r="BG530" s="130">
        <f>IF(N530="zákl. prenesená",J530,0)</f>
        <v>0</v>
      </c>
      <c r="BH530" s="130">
        <f>IF(N530="zníž. prenesená",J530,0)</f>
        <v>0</v>
      </c>
      <c r="BI530" s="130">
        <f>IF(N530="nulová",J530,0)</f>
        <v>0</v>
      </c>
      <c r="BJ530" s="13" t="s">
        <v>76</v>
      </c>
      <c r="BK530" s="130">
        <f>ROUND(I530*H530,2)</f>
        <v>341.52</v>
      </c>
      <c r="BL530" s="13" t="s">
        <v>235</v>
      </c>
      <c r="BM530" s="129" t="s">
        <v>2459</v>
      </c>
    </row>
    <row r="531" spans="2:65" s="1" customFormat="1" ht="19.2" x14ac:dyDescent="0.2">
      <c r="B531" s="24"/>
      <c r="C531" s="407"/>
      <c r="D531" s="492" t="s">
        <v>1259</v>
      </c>
      <c r="E531" s="407"/>
      <c r="F531" s="428" t="s">
        <v>2460</v>
      </c>
      <c r="G531" s="407"/>
      <c r="H531" s="407"/>
      <c r="I531" s="407"/>
      <c r="J531" s="407"/>
      <c r="L531" s="24"/>
      <c r="M531" s="146"/>
      <c r="N531" s="42"/>
      <c r="O531" s="42"/>
      <c r="P531" s="42"/>
      <c r="Q531" s="42"/>
      <c r="R531" s="42"/>
      <c r="S531" s="42"/>
      <c r="T531" s="43"/>
      <c r="W531" s="158"/>
      <c r="X531" s="427"/>
      <c r="Y531" s="511" t="s">
        <v>1259</v>
      </c>
      <c r="Z531" s="427"/>
      <c r="AA531" s="505" t="s">
        <v>2460</v>
      </c>
      <c r="AB531" s="427"/>
      <c r="AC531" s="427"/>
      <c r="AD531" s="427"/>
      <c r="AE531" s="512"/>
      <c r="AF531" s="227"/>
      <c r="AG531" s="374"/>
      <c r="AH531" s="477"/>
      <c r="AT531" s="13" t="s">
        <v>1259</v>
      </c>
      <c r="AU531" s="13" t="s">
        <v>63</v>
      </c>
    </row>
    <row r="532" spans="2:65" s="11" customFormat="1" ht="22.95" customHeight="1" x14ac:dyDescent="0.25">
      <c r="B532" s="106"/>
      <c r="C532" s="292"/>
      <c r="D532" s="489" t="s">
        <v>57</v>
      </c>
      <c r="E532" s="490" t="s">
        <v>2229</v>
      </c>
      <c r="F532" s="490" t="s">
        <v>2230</v>
      </c>
      <c r="G532" s="292"/>
      <c r="H532" s="292"/>
      <c r="I532" s="292"/>
      <c r="J532" s="491">
        <f>BK532</f>
        <v>103.88000000000001</v>
      </c>
      <c r="L532" s="106"/>
      <c r="M532" s="110"/>
      <c r="N532" s="111"/>
      <c r="O532" s="111"/>
      <c r="P532" s="112"/>
      <c r="Q532" s="111"/>
      <c r="R532" s="112"/>
      <c r="S532" s="111"/>
      <c r="T532" s="113"/>
      <c r="W532" s="195"/>
      <c r="X532" s="347"/>
      <c r="Y532" s="506" t="s">
        <v>57</v>
      </c>
      <c r="Z532" s="507" t="s">
        <v>2229</v>
      </c>
      <c r="AA532" s="507" t="s">
        <v>2230</v>
      </c>
      <c r="AB532" s="347"/>
      <c r="AC532" s="347"/>
      <c r="AD532" s="347"/>
      <c r="AE532" s="510">
        <f>SUM(AE533:AE536)</f>
        <v>103.88000000000001</v>
      </c>
      <c r="AF532" s="227"/>
      <c r="AG532" s="374"/>
      <c r="AH532" s="477"/>
      <c r="AR532" s="107" t="s">
        <v>63</v>
      </c>
      <c r="AT532" s="114" t="s">
        <v>57</v>
      </c>
      <c r="AU532" s="114" t="s">
        <v>63</v>
      </c>
      <c r="AY532" s="107" t="s">
        <v>228</v>
      </c>
      <c r="BK532" s="115">
        <f>SUM(BK533:BK536)</f>
        <v>103.88000000000001</v>
      </c>
    </row>
    <row r="533" spans="2:65" s="1" customFormat="1" ht="16.5" customHeight="1" x14ac:dyDescent="0.2">
      <c r="B533" s="118"/>
      <c r="C533" s="285" t="s">
        <v>735</v>
      </c>
      <c r="D533" s="285" t="s">
        <v>231</v>
      </c>
      <c r="E533" s="286" t="s">
        <v>2231</v>
      </c>
      <c r="F533" s="240" t="s">
        <v>2232</v>
      </c>
      <c r="G533" s="287" t="s">
        <v>292</v>
      </c>
      <c r="H533" s="288">
        <v>10</v>
      </c>
      <c r="I533" s="289">
        <v>5.3</v>
      </c>
      <c r="J533" s="289">
        <f>ROUND(I533*H533,2)</f>
        <v>53</v>
      </c>
      <c r="K533" s="121" t="s">
        <v>1</v>
      </c>
      <c r="L533" s="465"/>
      <c r="M533" s="125"/>
      <c r="N533" s="126"/>
      <c r="O533" s="127"/>
      <c r="P533" s="127"/>
      <c r="Q533" s="127"/>
      <c r="R533" s="127"/>
      <c r="S533" s="127"/>
      <c r="T533" s="128"/>
      <c r="U533" s="461"/>
      <c r="V533" s="464"/>
      <c r="W533" s="199"/>
      <c r="X533" s="285" t="s">
        <v>735</v>
      </c>
      <c r="Y533" s="285" t="s">
        <v>231</v>
      </c>
      <c r="Z533" s="286" t="s">
        <v>2231</v>
      </c>
      <c r="AA533" s="240" t="s">
        <v>2232</v>
      </c>
      <c r="AB533" s="287" t="s">
        <v>292</v>
      </c>
      <c r="AC533" s="288">
        <v>10</v>
      </c>
      <c r="AD533" s="289">
        <v>5.3</v>
      </c>
      <c r="AE533" s="290">
        <f>ROUND(AD533*AC533,2)</f>
        <v>53</v>
      </c>
      <c r="AF533" s="227"/>
      <c r="AG533" s="374"/>
      <c r="AH533" s="477"/>
      <c r="AR533" s="129" t="s">
        <v>235</v>
      </c>
      <c r="AT533" s="129" t="s">
        <v>231</v>
      </c>
      <c r="AU533" s="129" t="s">
        <v>76</v>
      </c>
      <c r="AY533" s="13" t="s">
        <v>228</v>
      </c>
      <c r="BE533" s="130">
        <f>IF(N533="základná",J533,0)</f>
        <v>0</v>
      </c>
      <c r="BF533" s="130">
        <f>IF(N533="znížená",J533,0)</f>
        <v>0</v>
      </c>
      <c r="BG533" s="130">
        <f>IF(N533="zákl. prenesená",J533,0)</f>
        <v>0</v>
      </c>
      <c r="BH533" s="130">
        <f>IF(N533="zníž. prenesená",J533,0)</f>
        <v>0</v>
      </c>
      <c r="BI533" s="130">
        <f>IF(N533="nulová",J533,0)</f>
        <v>0</v>
      </c>
      <c r="BJ533" s="13" t="s">
        <v>76</v>
      </c>
      <c r="BK533" s="130">
        <f>ROUND(I533*H533,2)</f>
        <v>53</v>
      </c>
      <c r="BL533" s="13" t="s">
        <v>235</v>
      </c>
      <c r="BM533" s="129" t="s">
        <v>2461</v>
      </c>
    </row>
    <row r="534" spans="2:65" s="1" customFormat="1" ht="16.5" customHeight="1" x14ac:dyDescent="0.2">
      <c r="B534" s="118"/>
      <c r="C534" s="285" t="s">
        <v>2462</v>
      </c>
      <c r="D534" s="285" t="s">
        <v>231</v>
      </c>
      <c r="E534" s="286" t="s">
        <v>2146</v>
      </c>
      <c r="F534" s="240" t="s">
        <v>2147</v>
      </c>
      <c r="G534" s="287" t="s">
        <v>1194</v>
      </c>
      <c r="H534" s="288">
        <v>2</v>
      </c>
      <c r="I534" s="289">
        <v>7.28</v>
      </c>
      <c r="J534" s="289">
        <f>ROUND(I534*H534,2)</f>
        <v>14.56</v>
      </c>
      <c r="K534" s="121" t="s">
        <v>1</v>
      </c>
      <c r="L534" s="465"/>
      <c r="M534" s="125"/>
      <c r="N534" s="126"/>
      <c r="O534" s="127"/>
      <c r="P534" s="127"/>
      <c r="Q534" s="127"/>
      <c r="R534" s="127"/>
      <c r="S534" s="127"/>
      <c r="T534" s="128"/>
      <c r="U534" s="461"/>
      <c r="V534" s="464"/>
      <c r="W534" s="199"/>
      <c r="X534" s="285" t="s">
        <v>2462</v>
      </c>
      <c r="Y534" s="285" t="s">
        <v>231</v>
      </c>
      <c r="Z534" s="286" t="s">
        <v>2146</v>
      </c>
      <c r="AA534" s="240" t="s">
        <v>2147</v>
      </c>
      <c r="AB534" s="287" t="s">
        <v>1194</v>
      </c>
      <c r="AC534" s="288">
        <v>2</v>
      </c>
      <c r="AD534" s="289">
        <v>7.28</v>
      </c>
      <c r="AE534" s="290">
        <f>ROUND(AD534*AC534,2)</f>
        <v>14.56</v>
      </c>
      <c r="AF534" s="227"/>
      <c r="AG534" s="374"/>
      <c r="AH534" s="477"/>
      <c r="AR534" s="129" t="s">
        <v>235</v>
      </c>
      <c r="AT534" s="129" t="s">
        <v>231</v>
      </c>
      <c r="AU534" s="129" t="s">
        <v>76</v>
      </c>
      <c r="AY534" s="13" t="s">
        <v>228</v>
      </c>
      <c r="BE534" s="130">
        <f>IF(N534="základná",J534,0)</f>
        <v>0</v>
      </c>
      <c r="BF534" s="130">
        <f>IF(N534="znížená",J534,0)</f>
        <v>0</v>
      </c>
      <c r="BG534" s="130">
        <f>IF(N534="zákl. prenesená",J534,0)</f>
        <v>0</v>
      </c>
      <c r="BH534" s="130">
        <f>IF(N534="zníž. prenesená",J534,0)</f>
        <v>0</v>
      </c>
      <c r="BI534" s="130">
        <f>IF(N534="nulová",J534,0)</f>
        <v>0</v>
      </c>
      <c r="BJ534" s="13" t="s">
        <v>76</v>
      </c>
      <c r="BK534" s="130">
        <f>ROUND(I534*H534,2)</f>
        <v>14.56</v>
      </c>
      <c r="BL534" s="13" t="s">
        <v>235</v>
      </c>
      <c r="BM534" s="129" t="s">
        <v>2463</v>
      </c>
    </row>
    <row r="535" spans="2:65" s="1" customFormat="1" ht="24" customHeight="1" x14ac:dyDescent="0.2">
      <c r="B535" s="118"/>
      <c r="C535" s="285" t="s">
        <v>739</v>
      </c>
      <c r="D535" s="285" t="s">
        <v>231</v>
      </c>
      <c r="E535" s="286" t="s">
        <v>2240</v>
      </c>
      <c r="F535" s="240" t="s">
        <v>2241</v>
      </c>
      <c r="G535" s="287" t="s">
        <v>1194</v>
      </c>
      <c r="H535" s="288">
        <v>2</v>
      </c>
      <c r="I535" s="289">
        <v>11.56</v>
      </c>
      <c r="J535" s="289">
        <f>ROUND(I535*H535,2)</f>
        <v>23.12</v>
      </c>
      <c r="K535" s="121" t="s">
        <v>1</v>
      </c>
      <c r="L535" s="465"/>
      <c r="M535" s="125"/>
      <c r="N535" s="126"/>
      <c r="O535" s="127"/>
      <c r="P535" s="127"/>
      <c r="Q535" s="127"/>
      <c r="R535" s="127"/>
      <c r="S535" s="127"/>
      <c r="T535" s="128"/>
      <c r="U535" s="461"/>
      <c r="V535" s="464"/>
      <c r="W535" s="199"/>
      <c r="X535" s="285" t="s">
        <v>739</v>
      </c>
      <c r="Y535" s="285" t="s">
        <v>231</v>
      </c>
      <c r="Z535" s="286" t="s">
        <v>2240</v>
      </c>
      <c r="AA535" s="240" t="s">
        <v>2241</v>
      </c>
      <c r="AB535" s="287" t="s">
        <v>1194</v>
      </c>
      <c r="AC535" s="288">
        <v>2</v>
      </c>
      <c r="AD535" s="289">
        <v>11.56</v>
      </c>
      <c r="AE535" s="290">
        <f>ROUND(AD535*AC535,2)</f>
        <v>23.12</v>
      </c>
      <c r="AF535" s="227"/>
      <c r="AG535" s="374"/>
      <c r="AH535" s="477"/>
      <c r="AR535" s="129" t="s">
        <v>235</v>
      </c>
      <c r="AT535" s="129" t="s">
        <v>231</v>
      </c>
      <c r="AU535" s="129" t="s">
        <v>76</v>
      </c>
      <c r="AY535" s="13" t="s">
        <v>228</v>
      </c>
      <c r="BE535" s="130">
        <f>IF(N535="základná",J535,0)</f>
        <v>0</v>
      </c>
      <c r="BF535" s="130">
        <f>IF(N535="znížená",J535,0)</f>
        <v>0</v>
      </c>
      <c r="BG535" s="130">
        <f>IF(N535="zákl. prenesená",J535,0)</f>
        <v>0</v>
      </c>
      <c r="BH535" s="130">
        <f>IF(N535="zníž. prenesená",J535,0)</f>
        <v>0</v>
      </c>
      <c r="BI535" s="130">
        <f>IF(N535="nulová",J535,0)</f>
        <v>0</v>
      </c>
      <c r="BJ535" s="13" t="s">
        <v>76</v>
      </c>
      <c r="BK535" s="130">
        <f>ROUND(I535*H535,2)</f>
        <v>23.12</v>
      </c>
      <c r="BL535" s="13" t="s">
        <v>235</v>
      </c>
      <c r="BM535" s="129" t="s">
        <v>2464</v>
      </c>
    </row>
    <row r="536" spans="2:65" s="1" customFormat="1" ht="21" customHeight="1" x14ac:dyDescent="0.2">
      <c r="B536" s="118"/>
      <c r="C536" s="285" t="s">
        <v>2465</v>
      </c>
      <c r="D536" s="285" t="s">
        <v>231</v>
      </c>
      <c r="E536" s="286" t="s">
        <v>2395</v>
      </c>
      <c r="F536" s="240" t="s">
        <v>2396</v>
      </c>
      <c r="G536" s="287" t="s">
        <v>1194</v>
      </c>
      <c r="H536" s="288">
        <v>2</v>
      </c>
      <c r="I536" s="289">
        <v>6.6</v>
      </c>
      <c r="J536" s="289">
        <f>ROUND(I536*H536,2)</f>
        <v>13.2</v>
      </c>
      <c r="K536" s="121" t="s">
        <v>1</v>
      </c>
      <c r="L536" s="465"/>
      <c r="M536" s="125"/>
      <c r="N536" s="126"/>
      <c r="O536" s="127"/>
      <c r="P536" s="127"/>
      <c r="Q536" s="127"/>
      <c r="R536" s="127"/>
      <c r="S536" s="127"/>
      <c r="T536" s="128"/>
      <c r="U536" s="461"/>
      <c r="V536" s="464"/>
      <c r="W536" s="199"/>
      <c r="X536" s="285" t="s">
        <v>2465</v>
      </c>
      <c r="Y536" s="285" t="s">
        <v>231</v>
      </c>
      <c r="Z536" s="286" t="s">
        <v>2395</v>
      </c>
      <c r="AA536" s="240" t="s">
        <v>2396</v>
      </c>
      <c r="AB536" s="287" t="s">
        <v>1194</v>
      </c>
      <c r="AC536" s="288">
        <v>2</v>
      </c>
      <c r="AD536" s="289">
        <v>6.6</v>
      </c>
      <c r="AE536" s="290">
        <f>ROUND(AD536*AC536,2)</f>
        <v>13.2</v>
      </c>
      <c r="AF536" s="227"/>
      <c r="AG536" s="374"/>
      <c r="AH536" s="477"/>
      <c r="AR536" s="129" t="s">
        <v>235</v>
      </c>
      <c r="AT536" s="129" t="s">
        <v>231</v>
      </c>
      <c r="AU536" s="129" t="s">
        <v>76</v>
      </c>
      <c r="AY536" s="13" t="s">
        <v>228</v>
      </c>
      <c r="BE536" s="130">
        <f>IF(N536="základná",J536,0)</f>
        <v>0</v>
      </c>
      <c r="BF536" s="130">
        <f>IF(N536="znížená",J536,0)</f>
        <v>0</v>
      </c>
      <c r="BG536" s="130">
        <f>IF(N536="zákl. prenesená",J536,0)</f>
        <v>0</v>
      </c>
      <c r="BH536" s="130">
        <f>IF(N536="zníž. prenesená",J536,0)</f>
        <v>0</v>
      </c>
      <c r="BI536" s="130">
        <f>IF(N536="nulová",J536,0)</f>
        <v>0</v>
      </c>
      <c r="BJ536" s="13" t="s">
        <v>76</v>
      </c>
      <c r="BK536" s="130">
        <f>ROUND(I536*H536,2)</f>
        <v>13.2</v>
      </c>
      <c r="BL536" s="13" t="s">
        <v>235</v>
      </c>
      <c r="BM536" s="129" t="s">
        <v>2466</v>
      </c>
    </row>
    <row r="537" spans="2:65" s="11" customFormat="1" ht="25.95" customHeight="1" x14ac:dyDescent="0.25">
      <c r="B537" s="106"/>
      <c r="C537" s="292"/>
      <c r="D537" s="489" t="s">
        <v>57</v>
      </c>
      <c r="E537" s="501" t="s">
        <v>2467</v>
      </c>
      <c r="F537" s="501" t="s">
        <v>2468</v>
      </c>
      <c r="G537" s="292"/>
      <c r="H537" s="292"/>
      <c r="I537" s="292"/>
      <c r="J537" s="502">
        <f>BK537</f>
        <v>89.97</v>
      </c>
      <c r="L537" s="106"/>
      <c r="M537" s="110"/>
      <c r="N537" s="111"/>
      <c r="O537" s="111"/>
      <c r="P537" s="112"/>
      <c r="Q537" s="111"/>
      <c r="R537" s="112"/>
      <c r="S537" s="111"/>
      <c r="T537" s="113"/>
      <c r="W537" s="195"/>
      <c r="X537" s="347"/>
      <c r="Y537" s="506" t="s">
        <v>57</v>
      </c>
      <c r="Z537" s="429" t="s">
        <v>2467</v>
      </c>
      <c r="AA537" s="429" t="s">
        <v>2468</v>
      </c>
      <c r="AB537" s="347"/>
      <c r="AC537" s="347"/>
      <c r="AD537" s="347"/>
      <c r="AE537" s="513">
        <f>AE538+AE541</f>
        <v>89.97</v>
      </c>
      <c r="AF537" s="227"/>
      <c r="AG537" s="374"/>
      <c r="AH537" s="477"/>
      <c r="AR537" s="107" t="s">
        <v>63</v>
      </c>
      <c r="AT537" s="114" t="s">
        <v>57</v>
      </c>
      <c r="AU537" s="114" t="s">
        <v>58</v>
      </c>
      <c r="AY537" s="107" t="s">
        <v>228</v>
      </c>
      <c r="BK537" s="115">
        <f>BK538+BK539+BK541</f>
        <v>89.97</v>
      </c>
    </row>
    <row r="538" spans="2:65" s="1" customFormat="1" ht="16.5" customHeight="1" x14ac:dyDescent="0.2">
      <c r="B538" s="118"/>
      <c r="C538" s="285" t="s">
        <v>742</v>
      </c>
      <c r="D538" s="285" t="s">
        <v>231</v>
      </c>
      <c r="E538" s="286" t="s">
        <v>2469</v>
      </c>
      <c r="F538" s="240" t="s">
        <v>2470</v>
      </c>
      <c r="G538" s="287" t="s">
        <v>1194</v>
      </c>
      <c r="H538" s="288">
        <v>1</v>
      </c>
      <c r="I538" s="289">
        <v>42.31</v>
      </c>
      <c r="J538" s="289">
        <f>ROUND(I538*H538,2)</f>
        <v>42.31</v>
      </c>
      <c r="K538" s="121" t="s">
        <v>1</v>
      </c>
      <c r="L538" s="465"/>
      <c r="M538" s="125"/>
      <c r="N538" s="126"/>
      <c r="O538" s="127"/>
      <c r="P538" s="127"/>
      <c r="Q538" s="127"/>
      <c r="R538" s="127"/>
      <c r="S538" s="127"/>
      <c r="T538" s="128"/>
      <c r="W538" s="199"/>
      <c r="X538" s="285" t="s">
        <v>742</v>
      </c>
      <c r="Y538" s="285" t="s">
        <v>231</v>
      </c>
      <c r="Z538" s="286" t="s">
        <v>2469</v>
      </c>
      <c r="AA538" s="240" t="s">
        <v>2470</v>
      </c>
      <c r="AB538" s="287" t="s">
        <v>1194</v>
      </c>
      <c r="AC538" s="288">
        <v>1</v>
      </c>
      <c r="AD538" s="289">
        <v>42.31</v>
      </c>
      <c r="AE538" s="290">
        <f>ROUND(AD538*AC538,2)</f>
        <v>42.31</v>
      </c>
      <c r="AF538" s="227"/>
      <c r="AG538" s="374"/>
      <c r="AH538" s="477"/>
      <c r="AR538" s="129" t="s">
        <v>235</v>
      </c>
      <c r="AT538" s="129" t="s">
        <v>231</v>
      </c>
      <c r="AU538" s="129" t="s">
        <v>63</v>
      </c>
      <c r="AY538" s="13" t="s">
        <v>228</v>
      </c>
      <c r="BE538" s="130">
        <f>IF(N538="základná",J538,0)</f>
        <v>0</v>
      </c>
      <c r="BF538" s="130">
        <f>IF(N538="znížená",J538,0)</f>
        <v>0</v>
      </c>
      <c r="BG538" s="130">
        <f>IF(N538="zákl. prenesená",J538,0)</f>
        <v>0</v>
      </c>
      <c r="BH538" s="130">
        <f>IF(N538="zníž. prenesená",J538,0)</f>
        <v>0</v>
      </c>
      <c r="BI538" s="130">
        <f>IF(N538="nulová",J538,0)</f>
        <v>0</v>
      </c>
      <c r="BJ538" s="13" t="s">
        <v>76</v>
      </c>
      <c r="BK538" s="130">
        <f>ROUND(I538*H538,2)</f>
        <v>42.31</v>
      </c>
      <c r="BL538" s="13" t="s">
        <v>235</v>
      </c>
      <c r="BM538" s="129" t="s">
        <v>2471</v>
      </c>
    </row>
    <row r="539" spans="2:65" s="1" customFormat="1" ht="25.2" customHeight="1" x14ac:dyDescent="0.2">
      <c r="B539" s="24"/>
      <c r="C539" s="407"/>
      <c r="D539" s="492" t="s">
        <v>1259</v>
      </c>
      <c r="E539" s="407"/>
      <c r="F539" s="428" t="s">
        <v>2472</v>
      </c>
      <c r="G539" s="407"/>
      <c r="H539" s="407"/>
      <c r="I539" s="407"/>
      <c r="J539" s="407"/>
      <c r="L539" s="24"/>
      <c r="M539" s="146"/>
      <c r="N539" s="42"/>
      <c r="O539" s="42"/>
      <c r="P539" s="42"/>
      <c r="Q539" s="42"/>
      <c r="R539" s="42"/>
      <c r="S539" s="42"/>
      <c r="T539" s="43"/>
      <c r="W539" s="158"/>
      <c r="X539" s="427"/>
      <c r="Y539" s="511" t="s">
        <v>1259</v>
      </c>
      <c r="Z539" s="427"/>
      <c r="AA539" s="505" t="s">
        <v>2472</v>
      </c>
      <c r="AB539" s="427"/>
      <c r="AC539" s="427"/>
      <c r="AD539" s="427"/>
      <c r="AE539" s="512"/>
      <c r="AF539" s="227"/>
      <c r="AG539" s="374"/>
      <c r="AH539" s="477"/>
      <c r="AT539" s="13" t="s">
        <v>1259</v>
      </c>
      <c r="AU539" s="13" t="s">
        <v>63</v>
      </c>
    </row>
    <row r="540" spans="2:65" s="424" customFormat="1" ht="19.5" customHeight="1" x14ac:dyDescent="0.2">
      <c r="B540" s="24"/>
      <c r="C540" s="407"/>
      <c r="D540" s="492"/>
      <c r="E540" s="407"/>
      <c r="F540" s="428"/>
      <c r="G540" s="407"/>
      <c r="H540" s="407"/>
      <c r="I540" s="407"/>
      <c r="J540" s="407"/>
      <c r="L540" s="24"/>
      <c r="M540" s="146"/>
      <c r="N540" s="425"/>
      <c r="O540" s="425"/>
      <c r="P540" s="425"/>
      <c r="Q540" s="425"/>
      <c r="R540" s="425"/>
      <c r="S540" s="425"/>
      <c r="T540" s="43"/>
      <c r="W540" s="158"/>
      <c r="X540" s="427"/>
      <c r="Y540" s="511"/>
      <c r="Z540" s="427"/>
      <c r="AA540" s="505"/>
      <c r="AB540" s="427"/>
      <c r="AC540" s="427"/>
      <c r="AD540" s="427"/>
      <c r="AE540" s="512"/>
      <c r="AF540" s="227"/>
      <c r="AG540" s="374"/>
      <c r="AH540" s="477"/>
      <c r="AT540" s="13"/>
      <c r="AU540" s="13"/>
    </row>
    <row r="541" spans="2:65" s="11" customFormat="1" ht="22.95" customHeight="1" x14ac:dyDescent="0.25">
      <c r="B541" s="106"/>
      <c r="C541" s="292"/>
      <c r="D541" s="489" t="s">
        <v>57</v>
      </c>
      <c r="E541" s="490" t="s">
        <v>2473</v>
      </c>
      <c r="F541" s="490" t="s">
        <v>2474</v>
      </c>
      <c r="G541" s="292"/>
      <c r="H541" s="292"/>
      <c r="I541" s="292"/>
      <c r="J541" s="491">
        <f>BK541</f>
        <v>47.660000000000004</v>
      </c>
      <c r="L541" s="106"/>
      <c r="M541" s="110"/>
      <c r="N541" s="111"/>
      <c r="O541" s="111"/>
      <c r="P541" s="112"/>
      <c r="Q541" s="111"/>
      <c r="R541" s="112"/>
      <c r="S541" s="111"/>
      <c r="T541" s="113"/>
      <c r="W541" s="195"/>
      <c r="X541" s="347"/>
      <c r="Y541" s="506" t="s">
        <v>57</v>
      </c>
      <c r="Z541" s="507" t="s">
        <v>2473</v>
      </c>
      <c r="AA541" s="507" t="s">
        <v>2474</v>
      </c>
      <c r="AB541" s="347"/>
      <c r="AC541" s="347"/>
      <c r="AD541" s="347"/>
      <c r="AE541" s="510">
        <f>SUM(AE542:AE544)</f>
        <v>47.660000000000004</v>
      </c>
      <c r="AF541" s="227"/>
      <c r="AG541" s="374"/>
      <c r="AH541" s="477"/>
      <c r="AR541" s="107" t="s">
        <v>63</v>
      </c>
      <c r="AT541" s="114" t="s">
        <v>57</v>
      </c>
      <c r="AU541" s="114" t="s">
        <v>63</v>
      </c>
      <c r="AY541" s="107" t="s">
        <v>228</v>
      </c>
      <c r="BK541" s="115">
        <f>SUM(BK542:BK544)</f>
        <v>47.660000000000004</v>
      </c>
    </row>
    <row r="542" spans="2:65" s="1" customFormat="1" ht="16.5" customHeight="1" x14ac:dyDescent="0.2">
      <c r="B542" s="118"/>
      <c r="C542" s="285" t="s">
        <v>2475</v>
      </c>
      <c r="D542" s="285" t="s">
        <v>231</v>
      </c>
      <c r="E542" s="286" t="s">
        <v>2231</v>
      </c>
      <c r="F542" s="240" t="s">
        <v>2232</v>
      </c>
      <c r="G542" s="287" t="s">
        <v>292</v>
      </c>
      <c r="H542" s="288">
        <v>5</v>
      </c>
      <c r="I542" s="289">
        <v>5.3</v>
      </c>
      <c r="J542" s="289">
        <f>ROUND(I542*H542,2)</f>
        <v>26.5</v>
      </c>
      <c r="K542" s="121" t="s">
        <v>1</v>
      </c>
      <c r="L542" s="465"/>
      <c r="M542" s="125"/>
      <c r="N542" s="126"/>
      <c r="O542" s="127"/>
      <c r="P542" s="127"/>
      <c r="Q542" s="127"/>
      <c r="R542" s="127"/>
      <c r="S542" s="127"/>
      <c r="T542" s="128"/>
      <c r="U542" s="461"/>
      <c r="V542" s="464"/>
      <c r="W542" s="199"/>
      <c r="X542" s="285" t="s">
        <v>2475</v>
      </c>
      <c r="Y542" s="285" t="s">
        <v>231</v>
      </c>
      <c r="Z542" s="286" t="s">
        <v>2231</v>
      </c>
      <c r="AA542" s="240" t="s">
        <v>2232</v>
      </c>
      <c r="AB542" s="287" t="s">
        <v>292</v>
      </c>
      <c r="AC542" s="288">
        <v>5</v>
      </c>
      <c r="AD542" s="289">
        <v>5.3</v>
      </c>
      <c r="AE542" s="290">
        <f>ROUND(AD542*AC542,2)</f>
        <v>26.5</v>
      </c>
      <c r="AF542" s="227"/>
      <c r="AG542" s="374"/>
      <c r="AH542" s="477"/>
      <c r="AR542" s="129" t="s">
        <v>235</v>
      </c>
      <c r="AT542" s="129" t="s">
        <v>231</v>
      </c>
      <c r="AU542" s="129" t="s">
        <v>76</v>
      </c>
      <c r="AY542" s="13" t="s">
        <v>228</v>
      </c>
      <c r="BE542" s="130">
        <f>IF(N542="základná",J542,0)</f>
        <v>0</v>
      </c>
      <c r="BF542" s="130">
        <f>IF(N542="znížená",J542,0)</f>
        <v>0</v>
      </c>
      <c r="BG542" s="130">
        <f>IF(N542="zákl. prenesená",J542,0)</f>
        <v>0</v>
      </c>
      <c r="BH542" s="130">
        <f>IF(N542="zníž. prenesená",J542,0)</f>
        <v>0</v>
      </c>
      <c r="BI542" s="130">
        <f>IF(N542="nulová",J542,0)</f>
        <v>0</v>
      </c>
      <c r="BJ542" s="13" t="s">
        <v>76</v>
      </c>
      <c r="BK542" s="130">
        <f>ROUND(I542*H542,2)</f>
        <v>26.5</v>
      </c>
      <c r="BL542" s="13" t="s">
        <v>235</v>
      </c>
      <c r="BM542" s="129" t="s">
        <v>2476</v>
      </c>
    </row>
    <row r="543" spans="2:65" s="1" customFormat="1" ht="16.5" customHeight="1" x14ac:dyDescent="0.2">
      <c r="B543" s="118"/>
      <c r="C543" s="285" t="s">
        <v>746</v>
      </c>
      <c r="D543" s="285" t="s">
        <v>231</v>
      </c>
      <c r="E543" s="286" t="s">
        <v>2146</v>
      </c>
      <c r="F543" s="240" t="s">
        <v>2147</v>
      </c>
      <c r="G543" s="287" t="s">
        <v>1194</v>
      </c>
      <c r="H543" s="288">
        <v>2</v>
      </c>
      <c r="I543" s="289">
        <v>7.28</v>
      </c>
      <c r="J543" s="289">
        <f>ROUND(I543*H543,2)</f>
        <v>14.56</v>
      </c>
      <c r="K543" s="121" t="s">
        <v>1</v>
      </c>
      <c r="L543" s="465"/>
      <c r="M543" s="125"/>
      <c r="N543" s="126"/>
      <c r="O543" s="127"/>
      <c r="P543" s="127"/>
      <c r="Q543" s="127"/>
      <c r="R543" s="127"/>
      <c r="S543" s="127"/>
      <c r="T543" s="128"/>
      <c r="U543" s="461"/>
      <c r="V543" s="464"/>
      <c r="W543" s="199"/>
      <c r="X543" s="285" t="s">
        <v>746</v>
      </c>
      <c r="Y543" s="285" t="s">
        <v>231</v>
      </c>
      <c r="Z543" s="286" t="s">
        <v>2146</v>
      </c>
      <c r="AA543" s="240" t="s">
        <v>2147</v>
      </c>
      <c r="AB543" s="287" t="s">
        <v>1194</v>
      </c>
      <c r="AC543" s="288">
        <v>2</v>
      </c>
      <c r="AD543" s="289">
        <v>7.28</v>
      </c>
      <c r="AE543" s="290">
        <f>ROUND(AD543*AC543,2)</f>
        <v>14.56</v>
      </c>
      <c r="AF543" s="227"/>
      <c r="AG543" s="374"/>
      <c r="AH543" s="477"/>
      <c r="AR543" s="129" t="s">
        <v>235</v>
      </c>
      <c r="AT543" s="129" t="s">
        <v>231</v>
      </c>
      <c r="AU543" s="129" t="s">
        <v>76</v>
      </c>
      <c r="AY543" s="13" t="s">
        <v>228</v>
      </c>
      <c r="BE543" s="130">
        <f>IF(N543="základná",J543,0)</f>
        <v>0</v>
      </c>
      <c r="BF543" s="130">
        <f>IF(N543="znížená",J543,0)</f>
        <v>0</v>
      </c>
      <c r="BG543" s="130">
        <f>IF(N543="zákl. prenesená",J543,0)</f>
        <v>0</v>
      </c>
      <c r="BH543" s="130">
        <f>IF(N543="zníž. prenesená",J543,0)</f>
        <v>0</v>
      </c>
      <c r="BI543" s="130">
        <f>IF(N543="nulová",J543,0)</f>
        <v>0</v>
      </c>
      <c r="BJ543" s="13" t="s">
        <v>76</v>
      </c>
      <c r="BK543" s="130">
        <f>ROUND(I543*H543,2)</f>
        <v>14.56</v>
      </c>
      <c r="BL543" s="13" t="s">
        <v>235</v>
      </c>
      <c r="BM543" s="129" t="s">
        <v>2477</v>
      </c>
    </row>
    <row r="544" spans="2:65" s="1" customFormat="1" ht="16.5" customHeight="1" x14ac:dyDescent="0.2">
      <c r="B544" s="118"/>
      <c r="C544" s="285" t="s">
        <v>2478</v>
      </c>
      <c r="D544" s="285" t="s">
        <v>231</v>
      </c>
      <c r="E544" s="286" t="s">
        <v>2395</v>
      </c>
      <c r="F544" s="240" t="s">
        <v>2396</v>
      </c>
      <c r="G544" s="287" t="s">
        <v>1194</v>
      </c>
      <c r="H544" s="288">
        <v>1</v>
      </c>
      <c r="I544" s="289">
        <v>6.6</v>
      </c>
      <c r="J544" s="289">
        <f>ROUND(I544*H544,2)</f>
        <v>6.6</v>
      </c>
      <c r="K544" s="121" t="s">
        <v>1</v>
      </c>
      <c r="L544" s="465"/>
      <c r="M544" s="125"/>
      <c r="N544" s="126"/>
      <c r="O544" s="127"/>
      <c r="P544" s="127"/>
      <c r="Q544" s="127"/>
      <c r="R544" s="127"/>
      <c r="S544" s="127"/>
      <c r="T544" s="128"/>
      <c r="U544" s="461"/>
      <c r="V544" s="464"/>
      <c r="W544" s="199"/>
      <c r="X544" s="285" t="s">
        <v>2478</v>
      </c>
      <c r="Y544" s="285" t="s">
        <v>231</v>
      </c>
      <c r="Z544" s="286" t="s">
        <v>2395</v>
      </c>
      <c r="AA544" s="240" t="s">
        <v>2396</v>
      </c>
      <c r="AB544" s="287" t="s">
        <v>1194</v>
      </c>
      <c r="AC544" s="288">
        <v>1</v>
      </c>
      <c r="AD544" s="289">
        <v>6.6</v>
      </c>
      <c r="AE544" s="290">
        <f>ROUND(AD544*AC544,2)</f>
        <v>6.6</v>
      </c>
      <c r="AF544" s="227"/>
      <c r="AG544" s="374"/>
      <c r="AH544" s="477"/>
      <c r="AR544" s="129" t="s">
        <v>235</v>
      </c>
      <c r="AT544" s="129" t="s">
        <v>231</v>
      </c>
      <c r="AU544" s="129" t="s">
        <v>76</v>
      </c>
      <c r="AY544" s="13" t="s">
        <v>228</v>
      </c>
      <c r="BE544" s="130">
        <f>IF(N544="základná",J544,0)</f>
        <v>0</v>
      </c>
      <c r="BF544" s="130">
        <f>IF(N544="znížená",J544,0)</f>
        <v>0</v>
      </c>
      <c r="BG544" s="130">
        <f>IF(N544="zákl. prenesená",J544,0)</f>
        <v>0</v>
      </c>
      <c r="BH544" s="130">
        <f>IF(N544="zníž. prenesená",J544,0)</f>
        <v>0</v>
      </c>
      <c r="BI544" s="130">
        <f>IF(N544="nulová",J544,0)</f>
        <v>0</v>
      </c>
      <c r="BJ544" s="13" t="s">
        <v>76</v>
      </c>
      <c r="BK544" s="130">
        <f>ROUND(I544*H544,2)</f>
        <v>6.6</v>
      </c>
      <c r="BL544" s="13" t="s">
        <v>235</v>
      </c>
      <c r="BM544" s="129" t="s">
        <v>2479</v>
      </c>
    </row>
    <row r="545" spans="2:65" s="11" customFormat="1" ht="25.95" customHeight="1" x14ac:dyDescent="0.25">
      <c r="B545" s="106"/>
      <c r="C545" s="292"/>
      <c r="D545" s="489" t="s">
        <v>57</v>
      </c>
      <c r="E545" s="501" t="s">
        <v>2480</v>
      </c>
      <c r="F545" s="501" t="s">
        <v>2481</v>
      </c>
      <c r="G545" s="292"/>
      <c r="H545" s="292"/>
      <c r="I545" s="292"/>
      <c r="J545" s="502">
        <f>BK545</f>
        <v>10523.779999999999</v>
      </c>
      <c r="L545" s="106"/>
      <c r="M545" s="110"/>
      <c r="N545" s="111"/>
      <c r="O545" s="111"/>
      <c r="P545" s="112"/>
      <c r="Q545" s="111"/>
      <c r="R545" s="112"/>
      <c r="S545" s="111"/>
      <c r="T545" s="113"/>
      <c r="W545" s="195"/>
      <c r="X545" s="347"/>
      <c r="Y545" s="506" t="s">
        <v>57</v>
      </c>
      <c r="Z545" s="429" t="s">
        <v>2480</v>
      </c>
      <c r="AA545" s="429" t="s">
        <v>2481</v>
      </c>
      <c r="AB545" s="347"/>
      <c r="AC545" s="347"/>
      <c r="AD545" s="347"/>
      <c r="AE545" s="513">
        <f>SUM(AE546:AE557)</f>
        <v>10755.579999999998</v>
      </c>
      <c r="AF545" s="227"/>
      <c r="AG545" s="374"/>
      <c r="AH545" s="477"/>
      <c r="AR545" s="107" t="s">
        <v>63</v>
      </c>
      <c r="AT545" s="114" t="s">
        <v>57</v>
      </c>
      <c r="AU545" s="114" t="s">
        <v>58</v>
      </c>
      <c r="AY545" s="107" t="s">
        <v>228</v>
      </c>
      <c r="BK545" s="115">
        <f>SUM(BK546:BK557)</f>
        <v>10523.779999999999</v>
      </c>
    </row>
    <row r="546" spans="2:65" s="1" customFormat="1" ht="16.5" customHeight="1" x14ac:dyDescent="0.2">
      <c r="B546" s="118"/>
      <c r="C546" s="285" t="s">
        <v>749</v>
      </c>
      <c r="D546" s="285" t="s">
        <v>231</v>
      </c>
      <c r="E546" s="286" t="s">
        <v>2482</v>
      </c>
      <c r="F546" s="240" t="s">
        <v>2483</v>
      </c>
      <c r="G546" s="287" t="s">
        <v>1194</v>
      </c>
      <c r="H546" s="288">
        <v>1</v>
      </c>
      <c r="I546" s="289">
        <v>3297.19</v>
      </c>
      <c r="J546" s="289">
        <f>ROUND(I546*H546,2)</f>
        <v>3297.19</v>
      </c>
      <c r="K546" s="121" t="s">
        <v>1</v>
      </c>
      <c r="L546" s="465"/>
      <c r="M546" s="125"/>
      <c r="N546" s="126"/>
      <c r="O546" s="127"/>
      <c r="P546" s="127"/>
      <c r="Q546" s="127"/>
      <c r="R546" s="127"/>
      <c r="S546" s="127"/>
      <c r="T546" s="128"/>
      <c r="U546" s="461"/>
      <c r="V546" s="464"/>
      <c r="W546" s="199"/>
      <c r="X546" s="285" t="s">
        <v>749</v>
      </c>
      <c r="Y546" s="285" t="s">
        <v>231</v>
      </c>
      <c r="Z546" s="286" t="s">
        <v>2482</v>
      </c>
      <c r="AA546" s="240" t="s">
        <v>2483</v>
      </c>
      <c r="AB546" s="287" t="s">
        <v>1194</v>
      </c>
      <c r="AC546" s="288">
        <v>1</v>
      </c>
      <c r="AD546" s="289">
        <v>3297.19</v>
      </c>
      <c r="AE546" s="290">
        <f>ROUND(AD546*AC546,2)</f>
        <v>3297.19</v>
      </c>
      <c r="AF546" s="227"/>
      <c r="AG546" s="374"/>
      <c r="AH546" s="477"/>
      <c r="AR546" s="129" t="s">
        <v>235</v>
      </c>
      <c r="AT546" s="129" t="s">
        <v>231</v>
      </c>
      <c r="AU546" s="129" t="s">
        <v>63</v>
      </c>
      <c r="AY546" s="13" t="s">
        <v>228</v>
      </c>
      <c r="BE546" s="130">
        <f>IF(N546="základná",J546,0)</f>
        <v>0</v>
      </c>
      <c r="BF546" s="130">
        <f>IF(N546="znížená",J546,0)</f>
        <v>0</v>
      </c>
      <c r="BG546" s="130">
        <f>IF(N546="zákl. prenesená",J546,0)</f>
        <v>0</v>
      </c>
      <c r="BH546" s="130">
        <f>IF(N546="zníž. prenesená",J546,0)</f>
        <v>0</v>
      </c>
      <c r="BI546" s="130">
        <f>IF(N546="nulová",J546,0)</f>
        <v>0</v>
      </c>
      <c r="BJ546" s="13" t="s">
        <v>76</v>
      </c>
      <c r="BK546" s="130">
        <f>ROUND(I546*H546,2)</f>
        <v>3297.19</v>
      </c>
      <c r="BL546" s="13" t="s">
        <v>235</v>
      </c>
      <c r="BM546" s="129" t="s">
        <v>2484</v>
      </c>
    </row>
    <row r="547" spans="2:65" s="1" customFormat="1" ht="48" customHeight="1" x14ac:dyDescent="0.2">
      <c r="B547" s="24"/>
      <c r="C547" s="407"/>
      <c r="D547" s="492" t="s">
        <v>1259</v>
      </c>
      <c r="E547" s="407"/>
      <c r="F547" s="503" t="s">
        <v>2485</v>
      </c>
      <c r="G547" s="407"/>
      <c r="H547" s="407"/>
      <c r="I547" s="407"/>
      <c r="J547" s="407"/>
      <c r="L547" s="24"/>
      <c r="M547" s="146"/>
      <c r="N547" s="42"/>
      <c r="O547" s="42"/>
      <c r="P547" s="42"/>
      <c r="Q547" s="42"/>
      <c r="R547" s="42"/>
      <c r="S547" s="42"/>
      <c r="T547" s="43"/>
      <c r="W547" s="158"/>
      <c r="X547" s="427"/>
      <c r="Y547" s="511" t="s">
        <v>1259</v>
      </c>
      <c r="Z547" s="427"/>
      <c r="AA547" s="514" t="s">
        <v>2485</v>
      </c>
      <c r="AB547" s="427"/>
      <c r="AC547" s="427"/>
      <c r="AD547" s="427"/>
      <c r="AE547" s="512"/>
      <c r="AF547" s="227"/>
      <c r="AG547" s="374"/>
      <c r="AH547" s="477"/>
      <c r="AT547" s="13" t="s">
        <v>1259</v>
      </c>
      <c r="AU547" s="13" t="s">
        <v>63</v>
      </c>
    </row>
    <row r="548" spans="2:65" s="1" customFormat="1" ht="16.5" customHeight="1" x14ac:dyDescent="0.2">
      <c r="B548" s="118"/>
      <c r="C548" s="285" t="s">
        <v>2486</v>
      </c>
      <c r="D548" s="285" t="s">
        <v>231</v>
      </c>
      <c r="E548" s="286" t="s">
        <v>2487</v>
      </c>
      <c r="F548" s="240" t="s">
        <v>2488</v>
      </c>
      <c r="G548" s="287" t="s">
        <v>1194</v>
      </c>
      <c r="H548" s="288">
        <v>7</v>
      </c>
      <c r="I548" s="289">
        <v>518.4</v>
      </c>
      <c r="J548" s="289">
        <f>ROUND(I548*H548,2)</f>
        <v>3628.8</v>
      </c>
      <c r="K548" s="121" t="s">
        <v>1</v>
      </c>
      <c r="L548" s="465"/>
      <c r="M548" s="125"/>
      <c r="N548" s="126"/>
      <c r="O548" s="127"/>
      <c r="P548" s="127"/>
      <c r="Q548" s="127"/>
      <c r="R548" s="127"/>
      <c r="S548" s="127"/>
      <c r="T548" s="128"/>
      <c r="V548" s="464"/>
      <c r="W548" s="199"/>
      <c r="X548" s="285" t="s">
        <v>2486</v>
      </c>
      <c r="Y548" s="285" t="s">
        <v>231</v>
      </c>
      <c r="Z548" s="286" t="s">
        <v>2487</v>
      </c>
      <c r="AA548" s="240" t="s">
        <v>2488</v>
      </c>
      <c r="AB548" s="287" t="s">
        <v>1194</v>
      </c>
      <c r="AC548" s="288">
        <v>7</v>
      </c>
      <c r="AD548" s="289">
        <v>518.4</v>
      </c>
      <c r="AE548" s="290">
        <f>ROUND(AD548*AC548,2)</f>
        <v>3628.8</v>
      </c>
      <c r="AF548" s="227"/>
      <c r="AG548" s="374"/>
      <c r="AH548" s="477"/>
      <c r="AR548" s="129" t="s">
        <v>235</v>
      </c>
      <c r="AT548" s="129" t="s">
        <v>231</v>
      </c>
      <c r="AU548" s="129" t="s">
        <v>63</v>
      </c>
      <c r="AY548" s="13" t="s">
        <v>228</v>
      </c>
      <c r="BE548" s="130">
        <f>IF(N548="základná",J548,0)</f>
        <v>0</v>
      </c>
      <c r="BF548" s="130">
        <f>IF(N548="znížená",J548,0)</f>
        <v>0</v>
      </c>
      <c r="BG548" s="130">
        <f>IF(N548="zákl. prenesená",J548,0)</f>
        <v>0</v>
      </c>
      <c r="BH548" s="130">
        <f>IF(N548="zníž. prenesená",J548,0)</f>
        <v>0</v>
      </c>
      <c r="BI548" s="130">
        <f>IF(N548="nulová",J548,0)</f>
        <v>0</v>
      </c>
      <c r="BJ548" s="13" t="s">
        <v>76</v>
      </c>
      <c r="BK548" s="130">
        <f>ROUND(I548*H548,2)</f>
        <v>3628.8</v>
      </c>
      <c r="BL548" s="13" t="s">
        <v>235</v>
      </c>
      <c r="BM548" s="129" t="s">
        <v>2489</v>
      </c>
    </row>
    <row r="549" spans="2:65" s="1" customFormat="1" ht="32.549999999999997" customHeight="1" x14ac:dyDescent="0.2">
      <c r="B549" s="24"/>
      <c r="C549" s="407"/>
      <c r="D549" s="492" t="s">
        <v>1259</v>
      </c>
      <c r="E549" s="407"/>
      <c r="F549" s="503" t="s">
        <v>2490</v>
      </c>
      <c r="G549" s="407"/>
      <c r="H549" s="407"/>
      <c r="I549" s="407"/>
      <c r="J549" s="407"/>
      <c r="L549" s="24"/>
      <c r="M549" s="146"/>
      <c r="N549" s="42"/>
      <c r="O549" s="42"/>
      <c r="P549" s="42"/>
      <c r="Q549" s="42"/>
      <c r="R549" s="42"/>
      <c r="S549" s="42"/>
      <c r="T549" s="43"/>
      <c r="W549" s="158"/>
      <c r="X549" s="427"/>
      <c r="Y549" s="511" t="s">
        <v>1259</v>
      </c>
      <c r="Z549" s="427"/>
      <c r="AA549" s="514" t="s">
        <v>2490</v>
      </c>
      <c r="AB549" s="427"/>
      <c r="AC549" s="427"/>
      <c r="AD549" s="427"/>
      <c r="AE549" s="512"/>
      <c r="AF549" s="227"/>
      <c r="AG549" s="374"/>
      <c r="AH549" s="477"/>
      <c r="AT549" s="13" t="s">
        <v>1259</v>
      </c>
      <c r="AU549" s="13" t="s">
        <v>63</v>
      </c>
    </row>
    <row r="550" spans="2:65" s="1" customFormat="1" ht="24" customHeight="1" x14ac:dyDescent="0.2">
      <c r="B550" s="118"/>
      <c r="C550" s="285" t="s">
        <v>753</v>
      </c>
      <c r="D550" s="285" t="s">
        <v>231</v>
      </c>
      <c r="E550" s="286" t="s">
        <v>2491</v>
      </c>
      <c r="F550" s="240" t="s">
        <v>2412</v>
      </c>
      <c r="G550" s="287" t="s">
        <v>1194</v>
      </c>
      <c r="H550" s="288">
        <v>7</v>
      </c>
      <c r="I550" s="289">
        <v>57.69</v>
      </c>
      <c r="J550" s="289">
        <f>ROUND(I550*H550,2)</f>
        <v>403.83</v>
      </c>
      <c r="K550" s="121" t="s">
        <v>1</v>
      </c>
      <c r="L550" s="465"/>
      <c r="M550" s="125"/>
      <c r="N550" s="126"/>
      <c r="O550" s="127"/>
      <c r="P550" s="127"/>
      <c r="Q550" s="127"/>
      <c r="R550" s="127"/>
      <c r="S550" s="127"/>
      <c r="T550" s="128"/>
      <c r="U550" s="461"/>
      <c r="V550" s="464"/>
      <c r="W550" s="199"/>
      <c r="X550" s="285" t="s">
        <v>753</v>
      </c>
      <c r="Y550" s="285" t="s">
        <v>231</v>
      </c>
      <c r="Z550" s="286" t="s">
        <v>2491</v>
      </c>
      <c r="AA550" s="240" t="s">
        <v>2412</v>
      </c>
      <c r="AB550" s="287" t="s">
        <v>1194</v>
      </c>
      <c r="AC550" s="288">
        <v>7</v>
      </c>
      <c r="AD550" s="289">
        <v>57.69</v>
      </c>
      <c r="AE550" s="290">
        <f>ROUND(AD550*AC550,2)</f>
        <v>403.83</v>
      </c>
      <c r="AF550" s="227"/>
      <c r="AG550" s="374"/>
      <c r="AH550" s="477"/>
      <c r="AR550" s="129" t="s">
        <v>235</v>
      </c>
      <c r="AT550" s="129" t="s">
        <v>231</v>
      </c>
      <c r="AU550" s="129" t="s">
        <v>63</v>
      </c>
      <c r="AY550" s="13" t="s">
        <v>228</v>
      </c>
      <c r="BE550" s="130">
        <f>IF(N550="základná",J550,0)</f>
        <v>0</v>
      </c>
      <c r="BF550" s="130">
        <f>IF(N550="znížená",J550,0)</f>
        <v>0</v>
      </c>
      <c r="BG550" s="130">
        <f>IF(N550="zákl. prenesená",J550,0)</f>
        <v>0</v>
      </c>
      <c r="BH550" s="130">
        <f>IF(N550="zníž. prenesená",J550,0)</f>
        <v>0</v>
      </c>
      <c r="BI550" s="130">
        <f>IF(N550="nulová",J550,0)</f>
        <v>0</v>
      </c>
      <c r="BJ550" s="13" t="s">
        <v>76</v>
      </c>
      <c r="BK550" s="130">
        <f>ROUND(I550*H550,2)</f>
        <v>403.83</v>
      </c>
      <c r="BL550" s="13" t="s">
        <v>235</v>
      </c>
      <c r="BM550" s="129" t="s">
        <v>2492</v>
      </c>
    </row>
    <row r="551" spans="2:65" s="1" customFormat="1" ht="16.5" customHeight="1" x14ac:dyDescent="0.2">
      <c r="B551" s="118"/>
      <c r="C551" s="285" t="s">
        <v>2493</v>
      </c>
      <c r="D551" s="285" t="s">
        <v>231</v>
      </c>
      <c r="E551" s="286" t="s">
        <v>2494</v>
      </c>
      <c r="F551" s="240" t="s">
        <v>2495</v>
      </c>
      <c r="G551" s="287" t="s">
        <v>1194</v>
      </c>
      <c r="H551" s="288">
        <v>1</v>
      </c>
      <c r="I551" s="289">
        <v>518.4</v>
      </c>
      <c r="J551" s="289">
        <f>ROUND(I551*H551,2)</f>
        <v>518.4</v>
      </c>
      <c r="K551" s="121" t="s">
        <v>1</v>
      </c>
      <c r="L551" s="465"/>
      <c r="M551" s="125"/>
      <c r="N551" s="126"/>
      <c r="O551" s="127"/>
      <c r="P551" s="127"/>
      <c r="Q551" s="127"/>
      <c r="R551" s="127"/>
      <c r="S551" s="127"/>
      <c r="T551" s="128"/>
      <c r="U551" s="461"/>
      <c r="V551" s="464"/>
      <c r="W551" s="199"/>
      <c r="X551" s="285" t="s">
        <v>2493</v>
      </c>
      <c r="Y551" s="285" t="s">
        <v>231</v>
      </c>
      <c r="Z551" s="286" t="s">
        <v>2494</v>
      </c>
      <c r="AA551" s="240" t="s">
        <v>2495</v>
      </c>
      <c r="AB551" s="287" t="s">
        <v>1194</v>
      </c>
      <c r="AC551" s="288">
        <v>1</v>
      </c>
      <c r="AD551" s="289">
        <v>518.4</v>
      </c>
      <c r="AE551" s="290">
        <f>ROUND(AD551*AC551,2)</f>
        <v>518.4</v>
      </c>
      <c r="AF551" s="227"/>
      <c r="AG551" s="374"/>
      <c r="AH551" s="477"/>
      <c r="AR551" s="129" t="s">
        <v>235</v>
      </c>
      <c r="AT551" s="129" t="s">
        <v>231</v>
      </c>
      <c r="AU551" s="129" t="s">
        <v>63</v>
      </c>
      <c r="AY551" s="13" t="s">
        <v>228</v>
      </c>
      <c r="BE551" s="130">
        <f>IF(N551="základná",J551,0)</f>
        <v>0</v>
      </c>
      <c r="BF551" s="130">
        <f>IF(N551="znížená",J551,0)</f>
        <v>0</v>
      </c>
      <c r="BG551" s="130">
        <f>IF(N551="zákl. prenesená",J551,0)</f>
        <v>0</v>
      </c>
      <c r="BH551" s="130">
        <f>IF(N551="zníž. prenesená",J551,0)</f>
        <v>0</v>
      </c>
      <c r="BI551" s="130">
        <f>IF(N551="nulová",J551,0)</f>
        <v>0</v>
      </c>
      <c r="BJ551" s="13" t="s">
        <v>76</v>
      </c>
      <c r="BK551" s="130">
        <f>ROUND(I551*H551,2)</f>
        <v>518.4</v>
      </c>
      <c r="BL551" s="13" t="s">
        <v>235</v>
      </c>
      <c r="BM551" s="129" t="s">
        <v>2496</v>
      </c>
    </row>
    <row r="552" spans="2:65" s="1" customFormat="1" ht="19.2" x14ac:dyDescent="0.2">
      <c r="B552" s="24"/>
      <c r="C552" s="407"/>
      <c r="D552" s="492" t="s">
        <v>1259</v>
      </c>
      <c r="E552" s="407"/>
      <c r="F552" s="428" t="s">
        <v>2497</v>
      </c>
      <c r="G552" s="407"/>
      <c r="H552" s="407"/>
      <c r="I552" s="407"/>
      <c r="J552" s="407"/>
      <c r="L552" s="24"/>
      <c r="M552" s="146"/>
      <c r="N552" s="42"/>
      <c r="O552" s="42"/>
      <c r="P552" s="42"/>
      <c r="Q552" s="42"/>
      <c r="R552" s="42"/>
      <c r="S552" s="42"/>
      <c r="T552" s="43"/>
      <c r="W552" s="158"/>
      <c r="X552" s="427"/>
      <c r="Y552" s="511" t="s">
        <v>1259</v>
      </c>
      <c r="Z552" s="427"/>
      <c r="AA552" s="505" t="s">
        <v>2497</v>
      </c>
      <c r="AB552" s="427"/>
      <c r="AC552" s="427"/>
      <c r="AD552" s="427"/>
      <c r="AE552" s="512"/>
      <c r="AF552" s="227"/>
      <c r="AG552" s="374"/>
      <c r="AH552" s="477"/>
      <c r="AT552" s="13" t="s">
        <v>1259</v>
      </c>
      <c r="AU552" s="13" t="s">
        <v>63</v>
      </c>
    </row>
    <row r="553" spans="2:65" s="1" customFormat="1" ht="24" customHeight="1" x14ac:dyDescent="0.2">
      <c r="B553" s="118"/>
      <c r="C553" s="285" t="s">
        <v>756</v>
      </c>
      <c r="D553" s="285" t="s">
        <v>231</v>
      </c>
      <c r="E553" s="286" t="s">
        <v>2491</v>
      </c>
      <c r="F553" s="240" t="s">
        <v>2412</v>
      </c>
      <c r="G553" s="287" t="s">
        <v>1194</v>
      </c>
      <c r="H553" s="288">
        <v>1</v>
      </c>
      <c r="I553" s="289">
        <v>57.69</v>
      </c>
      <c r="J553" s="289">
        <f>ROUND(I553*H553,2)</f>
        <v>57.69</v>
      </c>
      <c r="K553" s="121" t="s">
        <v>1</v>
      </c>
      <c r="L553" s="465"/>
      <c r="M553" s="125"/>
      <c r="N553" s="126"/>
      <c r="O553" s="127"/>
      <c r="P553" s="127"/>
      <c r="Q553" s="127"/>
      <c r="R553" s="127"/>
      <c r="S553" s="127"/>
      <c r="T553" s="128"/>
      <c r="U553" s="461"/>
      <c r="V553" s="464"/>
      <c r="W553" s="199"/>
      <c r="X553" s="285" t="s">
        <v>756</v>
      </c>
      <c r="Y553" s="285" t="s">
        <v>231</v>
      </c>
      <c r="Z553" s="286" t="s">
        <v>2491</v>
      </c>
      <c r="AA553" s="240" t="s">
        <v>2412</v>
      </c>
      <c r="AB553" s="287" t="s">
        <v>1194</v>
      </c>
      <c r="AC553" s="288">
        <v>1</v>
      </c>
      <c r="AD553" s="289">
        <v>57.69</v>
      </c>
      <c r="AE553" s="290">
        <f>ROUND(AD553*AC553,2)</f>
        <v>57.69</v>
      </c>
      <c r="AF553" s="227"/>
      <c r="AG553" s="374"/>
      <c r="AH553" s="477"/>
      <c r="AR553" s="129" t="s">
        <v>235</v>
      </c>
      <c r="AT553" s="129" t="s">
        <v>231</v>
      </c>
      <c r="AU553" s="129" t="s">
        <v>63</v>
      </c>
      <c r="AY553" s="13" t="s">
        <v>228</v>
      </c>
      <c r="BE553" s="130">
        <f>IF(N553="základná",J553,0)</f>
        <v>0</v>
      </c>
      <c r="BF553" s="130">
        <f>IF(N553="znížená",J553,0)</f>
        <v>0</v>
      </c>
      <c r="BG553" s="130">
        <f>IF(N553="zákl. prenesená",J553,0)</f>
        <v>0</v>
      </c>
      <c r="BH553" s="130">
        <f>IF(N553="zníž. prenesená",J553,0)</f>
        <v>0</v>
      </c>
      <c r="BI553" s="130">
        <f>IF(N553="nulová",J553,0)</f>
        <v>0</v>
      </c>
      <c r="BJ553" s="13" t="s">
        <v>76</v>
      </c>
      <c r="BK553" s="130">
        <f>ROUND(I553*H553,2)</f>
        <v>57.69</v>
      </c>
      <c r="BL553" s="13" t="s">
        <v>235</v>
      </c>
      <c r="BM553" s="129" t="s">
        <v>2498</v>
      </c>
    </row>
    <row r="554" spans="2:65" s="1" customFormat="1" ht="16.5" customHeight="1" x14ac:dyDescent="0.2">
      <c r="B554" s="118"/>
      <c r="C554" s="285" t="s">
        <v>2499</v>
      </c>
      <c r="D554" s="285" t="s">
        <v>231</v>
      </c>
      <c r="E554" s="286" t="s">
        <v>2500</v>
      </c>
      <c r="F554" s="240" t="s">
        <v>2501</v>
      </c>
      <c r="G554" s="287" t="s">
        <v>1194</v>
      </c>
      <c r="H554" s="288">
        <v>1</v>
      </c>
      <c r="I554" s="289">
        <v>520.74</v>
      </c>
      <c r="J554" s="289">
        <f>ROUND(I554*H554,2)</f>
        <v>520.74</v>
      </c>
      <c r="K554" s="121" t="s">
        <v>1</v>
      </c>
      <c r="L554" s="465"/>
      <c r="M554" s="125"/>
      <c r="N554" s="126"/>
      <c r="O554" s="127"/>
      <c r="P554" s="127"/>
      <c r="Q554" s="127"/>
      <c r="R554" s="127"/>
      <c r="S554" s="127"/>
      <c r="T554" s="128"/>
      <c r="W554" s="199"/>
      <c r="X554" s="285" t="s">
        <v>2499</v>
      </c>
      <c r="Y554" s="285" t="s">
        <v>231</v>
      </c>
      <c r="Z554" s="286" t="s">
        <v>2500</v>
      </c>
      <c r="AA554" s="240" t="s">
        <v>2501</v>
      </c>
      <c r="AB554" s="287" t="s">
        <v>1194</v>
      </c>
      <c r="AC554" s="288">
        <v>1</v>
      </c>
      <c r="AD554" s="289">
        <v>520.74</v>
      </c>
      <c r="AE554" s="290">
        <f>ROUND(AD554*AC554,2)</f>
        <v>520.74</v>
      </c>
      <c r="AF554" s="227"/>
      <c r="AG554" s="374"/>
      <c r="AH554" s="477"/>
      <c r="AR554" s="129" t="s">
        <v>235</v>
      </c>
      <c r="AT554" s="129" t="s">
        <v>231</v>
      </c>
      <c r="AU554" s="129" t="s">
        <v>63</v>
      </c>
      <c r="AY554" s="13" t="s">
        <v>228</v>
      </c>
      <c r="BE554" s="130">
        <f>IF(N554="základná",J554,0)</f>
        <v>0</v>
      </c>
      <c r="BF554" s="130">
        <f>IF(N554="znížená",J554,0)</f>
        <v>0</v>
      </c>
      <c r="BG554" s="130">
        <f>IF(N554="zákl. prenesená",J554,0)</f>
        <v>0</v>
      </c>
      <c r="BH554" s="130">
        <f>IF(N554="zníž. prenesená",J554,0)</f>
        <v>0</v>
      </c>
      <c r="BI554" s="130">
        <f>IF(N554="nulová",J554,0)</f>
        <v>0</v>
      </c>
      <c r="BJ554" s="13" t="s">
        <v>76</v>
      </c>
      <c r="BK554" s="130">
        <f>ROUND(I554*H554,2)</f>
        <v>520.74</v>
      </c>
      <c r="BL554" s="13" t="s">
        <v>235</v>
      </c>
      <c r="BM554" s="129" t="s">
        <v>2502</v>
      </c>
    </row>
    <row r="555" spans="2:65" s="1" customFormat="1" ht="16.5" customHeight="1" x14ac:dyDescent="0.2">
      <c r="B555" s="118"/>
      <c r="C555" s="285" t="s">
        <v>760</v>
      </c>
      <c r="D555" s="285" t="s">
        <v>231</v>
      </c>
      <c r="E555" s="286" t="s">
        <v>2503</v>
      </c>
      <c r="F555" s="240" t="s">
        <v>2504</v>
      </c>
      <c r="G555" s="287" t="s">
        <v>1194</v>
      </c>
      <c r="H555" s="288">
        <v>1</v>
      </c>
      <c r="I555" s="289">
        <v>147.22999999999999</v>
      </c>
      <c r="J555" s="289">
        <f>ROUND(I555*H555,2)</f>
        <v>147.22999999999999</v>
      </c>
      <c r="K555" s="121" t="s">
        <v>1</v>
      </c>
      <c r="L555" s="465"/>
      <c r="M555" s="125"/>
      <c r="N555" s="126"/>
      <c r="O555" s="127"/>
      <c r="P555" s="127"/>
      <c r="Q555" s="127"/>
      <c r="R555" s="127"/>
      <c r="S555" s="127"/>
      <c r="T555" s="128"/>
      <c r="W555" s="199"/>
      <c r="X555" s="285" t="s">
        <v>760</v>
      </c>
      <c r="Y555" s="285" t="s">
        <v>231</v>
      </c>
      <c r="Z555" s="286" t="s">
        <v>2503</v>
      </c>
      <c r="AA555" s="240" t="s">
        <v>2504</v>
      </c>
      <c r="AB555" s="287" t="s">
        <v>1194</v>
      </c>
      <c r="AC555" s="288">
        <v>1</v>
      </c>
      <c r="AD555" s="289">
        <v>147.22999999999999</v>
      </c>
      <c r="AE555" s="290">
        <f>ROUND(AD555*AC555,2)</f>
        <v>147.22999999999999</v>
      </c>
      <c r="AF555" s="227"/>
      <c r="AG555" s="374"/>
      <c r="AH555" s="477"/>
      <c r="AR555" s="129" t="s">
        <v>235</v>
      </c>
      <c r="AT555" s="129" t="s">
        <v>231</v>
      </c>
      <c r="AU555" s="129" t="s">
        <v>63</v>
      </c>
      <c r="AY555" s="13" t="s">
        <v>228</v>
      </c>
      <c r="BE555" s="130">
        <f>IF(N555="základná",J555,0)</f>
        <v>0</v>
      </c>
      <c r="BF555" s="130">
        <f>IF(N555="znížená",J555,0)</f>
        <v>0</v>
      </c>
      <c r="BG555" s="130">
        <f>IF(N555="zákl. prenesená",J555,0)</f>
        <v>0</v>
      </c>
      <c r="BH555" s="130">
        <f>IF(N555="zníž. prenesená",J555,0)</f>
        <v>0</v>
      </c>
      <c r="BI555" s="130">
        <f>IF(N555="nulová",J555,0)</f>
        <v>0</v>
      </c>
      <c r="BJ555" s="13" t="s">
        <v>76</v>
      </c>
      <c r="BK555" s="130">
        <f>ROUND(I555*H555,2)</f>
        <v>147.22999999999999</v>
      </c>
      <c r="BL555" s="13" t="s">
        <v>235</v>
      </c>
      <c r="BM555" s="129" t="s">
        <v>2505</v>
      </c>
    </row>
    <row r="556" spans="2:65" s="424" customFormat="1" ht="16.5" customHeight="1" x14ac:dyDescent="0.2">
      <c r="B556" s="118"/>
      <c r="C556" s="1234" t="s">
        <v>5205</v>
      </c>
      <c r="D556" s="1235"/>
      <c r="E556" s="1235"/>
      <c r="F556" s="1235"/>
      <c r="G556" s="1235"/>
      <c r="H556" s="1235"/>
      <c r="I556" s="1235"/>
      <c r="J556" s="1236"/>
      <c r="K556" s="121"/>
      <c r="L556" s="24"/>
      <c r="M556" s="125"/>
      <c r="N556" s="126"/>
      <c r="O556" s="127"/>
      <c r="P556" s="127"/>
      <c r="Q556" s="127"/>
      <c r="R556" s="127"/>
      <c r="S556" s="127"/>
      <c r="T556" s="128"/>
      <c r="V556" s="470"/>
      <c r="W556" s="199"/>
      <c r="X556" s="341" t="s">
        <v>6133</v>
      </c>
      <c r="Y556" s="341" t="s">
        <v>231</v>
      </c>
      <c r="Z556" s="342" t="s">
        <v>6112</v>
      </c>
      <c r="AA556" s="343" t="s">
        <v>6113</v>
      </c>
      <c r="AB556" s="344" t="s">
        <v>1194</v>
      </c>
      <c r="AC556" s="345">
        <v>2</v>
      </c>
      <c r="AD556" s="346">
        <v>115.9</v>
      </c>
      <c r="AE556" s="355">
        <f t="shared" ref="AE556" si="117">ROUND(AD556*AC556,2)</f>
        <v>231.8</v>
      </c>
      <c r="AF556" s="227">
        <v>6</v>
      </c>
      <c r="AG556" s="374"/>
      <c r="AH556" s="477"/>
      <c r="AR556" s="129"/>
      <c r="AT556" s="129"/>
      <c r="AU556" s="129"/>
      <c r="AY556" s="13"/>
      <c r="BE556" s="130"/>
      <c r="BF556" s="130"/>
      <c r="BG556" s="130"/>
      <c r="BH556" s="130"/>
      <c r="BI556" s="130"/>
      <c r="BJ556" s="13"/>
      <c r="BK556" s="130"/>
      <c r="BL556" s="13"/>
      <c r="BM556" s="129"/>
    </row>
    <row r="557" spans="2:65" s="1" customFormat="1" ht="24" customHeight="1" x14ac:dyDescent="0.2">
      <c r="B557" s="118"/>
      <c r="C557" s="285" t="s">
        <v>2506</v>
      </c>
      <c r="D557" s="285" t="s">
        <v>231</v>
      </c>
      <c r="E557" s="286" t="s">
        <v>2050</v>
      </c>
      <c r="F557" s="240" t="s">
        <v>2051</v>
      </c>
      <c r="G557" s="287" t="s">
        <v>292</v>
      </c>
      <c r="H557" s="288">
        <v>85</v>
      </c>
      <c r="I557" s="289">
        <v>22.94</v>
      </c>
      <c r="J557" s="289">
        <f>ROUND(I557*H557,2)</f>
        <v>1949.9</v>
      </c>
      <c r="K557" s="121" t="s">
        <v>1</v>
      </c>
      <c r="L557" s="465"/>
      <c r="M557" s="125"/>
      <c r="N557" s="126"/>
      <c r="O557" s="127"/>
      <c r="P557" s="127"/>
      <c r="Q557" s="127"/>
      <c r="R557" s="127"/>
      <c r="S557" s="127"/>
      <c r="T557" s="128"/>
      <c r="U557" s="461"/>
      <c r="V557" s="464"/>
      <c r="W557" s="199"/>
      <c r="X557" s="285" t="s">
        <v>2506</v>
      </c>
      <c r="Y557" s="285" t="s">
        <v>231</v>
      </c>
      <c r="Z557" s="286" t="s">
        <v>2050</v>
      </c>
      <c r="AA557" s="240" t="s">
        <v>2051</v>
      </c>
      <c r="AB557" s="287" t="s">
        <v>292</v>
      </c>
      <c r="AC557" s="288">
        <v>85</v>
      </c>
      <c r="AD557" s="289">
        <v>22.94</v>
      </c>
      <c r="AE557" s="290">
        <f>ROUND(AD557*AC557,2)</f>
        <v>1949.9</v>
      </c>
      <c r="AF557" s="227"/>
      <c r="AG557" s="374"/>
      <c r="AH557" s="477"/>
      <c r="AR557" s="129" t="s">
        <v>235</v>
      </c>
      <c r="AT557" s="129" t="s">
        <v>231</v>
      </c>
      <c r="AU557" s="129" t="s">
        <v>63</v>
      </c>
      <c r="AY557" s="13" t="s">
        <v>228</v>
      </c>
      <c r="BE557" s="130">
        <f>IF(N557="základná",J557,0)</f>
        <v>0</v>
      </c>
      <c r="BF557" s="130">
        <f>IF(N557="znížená",J557,0)</f>
        <v>0</v>
      </c>
      <c r="BG557" s="130">
        <f>IF(N557="zákl. prenesená",J557,0)</f>
        <v>0</v>
      </c>
      <c r="BH557" s="130">
        <f>IF(N557="zníž. prenesená",J557,0)</f>
        <v>0</v>
      </c>
      <c r="BI557" s="130">
        <f>IF(N557="nulová",J557,0)</f>
        <v>0</v>
      </c>
      <c r="BJ557" s="13" t="s">
        <v>76</v>
      </c>
      <c r="BK557" s="130">
        <f>ROUND(I557*H557,2)</f>
        <v>1949.9</v>
      </c>
      <c r="BL557" s="13" t="s">
        <v>235</v>
      </c>
      <c r="BM557" s="129" t="s">
        <v>2507</v>
      </c>
    </row>
    <row r="558" spans="2:65" s="11" customFormat="1" ht="25.95" customHeight="1" x14ac:dyDescent="0.25">
      <c r="B558" s="106"/>
      <c r="C558" s="292"/>
      <c r="D558" s="489" t="s">
        <v>57</v>
      </c>
      <c r="E558" s="501" t="s">
        <v>2508</v>
      </c>
      <c r="F558" s="501" t="s">
        <v>2509</v>
      </c>
      <c r="G558" s="292"/>
      <c r="H558" s="292"/>
      <c r="I558" s="292"/>
      <c r="J558" s="502">
        <f>BK558</f>
        <v>5796.77</v>
      </c>
      <c r="L558" s="106"/>
      <c r="M558" s="110"/>
      <c r="N558" s="111"/>
      <c r="O558" s="111"/>
      <c r="P558" s="112"/>
      <c r="Q558" s="111"/>
      <c r="R558" s="112"/>
      <c r="S558" s="111"/>
      <c r="T558" s="113"/>
      <c r="W558" s="195"/>
      <c r="X558" s="347"/>
      <c r="Y558" s="506" t="s">
        <v>57</v>
      </c>
      <c r="Z558" s="429" t="s">
        <v>2508</v>
      </c>
      <c r="AA558" s="429" t="s">
        <v>2509</v>
      </c>
      <c r="AB558" s="347"/>
      <c r="AC558" s="347"/>
      <c r="AD558" s="347"/>
      <c r="AE558" s="513">
        <f>SUM(AE559:AE564)</f>
        <v>1886.27</v>
      </c>
      <c r="AF558" s="227"/>
      <c r="AG558" s="374"/>
      <c r="AH558" s="477"/>
      <c r="AR558" s="107" t="s">
        <v>63</v>
      </c>
      <c r="AT558" s="114" t="s">
        <v>57</v>
      </c>
      <c r="AU558" s="114" t="s">
        <v>58</v>
      </c>
      <c r="AY558" s="107" t="s">
        <v>228</v>
      </c>
      <c r="BK558" s="115">
        <f>SUM(BK559:BK578)</f>
        <v>5796.77</v>
      </c>
    </row>
    <row r="559" spans="2:65" s="1" customFormat="1" ht="16.5" customHeight="1" x14ac:dyDescent="0.2">
      <c r="B559" s="118"/>
      <c r="C559" s="285" t="s">
        <v>763</v>
      </c>
      <c r="D559" s="285" t="s">
        <v>231</v>
      </c>
      <c r="E559" s="286" t="s">
        <v>2510</v>
      </c>
      <c r="F559" s="240" t="s">
        <v>2511</v>
      </c>
      <c r="G559" s="287" t="s">
        <v>1194</v>
      </c>
      <c r="H559" s="288">
        <v>1</v>
      </c>
      <c r="I559" s="289">
        <v>922.91</v>
      </c>
      <c r="J559" s="289">
        <f>ROUND(I559*H559,2)</f>
        <v>922.91</v>
      </c>
      <c r="K559" s="121" t="s">
        <v>1</v>
      </c>
      <c r="L559" s="465"/>
      <c r="M559" s="125"/>
      <c r="N559" s="126"/>
      <c r="O559" s="127"/>
      <c r="P559" s="127"/>
      <c r="Q559" s="127"/>
      <c r="R559" s="127"/>
      <c r="S559" s="127"/>
      <c r="T559" s="128"/>
      <c r="U559" s="461"/>
      <c r="V559" s="464"/>
      <c r="W559" s="199"/>
      <c r="X559" s="285" t="s">
        <v>763</v>
      </c>
      <c r="Y559" s="285" t="s">
        <v>231</v>
      </c>
      <c r="Z559" s="286" t="s">
        <v>2510</v>
      </c>
      <c r="AA559" s="240" t="s">
        <v>2511</v>
      </c>
      <c r="AB559" s="287" t="s">
        <v>1194</v>
      </c>
      <c r="AC559" s="288">
        <v>1</v>
      </c>
      <c r="AD559" s="289">
        <v>922.91</v>
      </c>
      <c r="AE559" s="290">
        <f>ROUND(AD559*AC559,2)</f>
        <v>922.91</v>
      </c>
      <c r="AF559" s="227"/>
      <c r="AG559" s="374"/>
      <c r="AH559" s="477"/>
      <c r="AR559" s="129" t="s">
        <v>235</v>
      </c>
      <c r="AT559" s="129" t="s">
        <v>231</v>
      </c>
      <c r="AU559" s="129" t="s">
        <v>63</v>
      </c>
      <c r="AY559" s="13" t="s">
        <v>228</v>
      </c>
      <c r="BE559" s="130">
        <f>IF(N559="základná",J559,0)</f>
        <v>0</v>
      </c>
      <c r="BF559" s="130">
        <f>IF(N559="znížená",J559,0)</f>
        <v>0</v>
      </c>
      <c r="BG559" s="130">
        <f>IF(N559="zákl. prenesená",J559,0)</f>
        <v>0</v>
      </c>
      <c r="BH559" s="130">
        <f>IF(N559="zníž. prenesená",J559,0)</f>
        <v>0</v>
      </c>
      <c r="BI559" s="130">
        <f>IF(N559="nulová",J559,0)</f>
        <v>0</v>
      </c>
      <c r="BJ559" s="13" t="s">
        <v>76</v>
      </c>
      <c r="BK559" s="130">
        <f>ROUND(I559*H559,2)</f>
        <v>922.91</v>
      </c>
      <c r="BL559" s="13" t="s">
        <v>235</v>
      </c>
      <c r="BM559" s="129" t="s">
        <v>2512</v>
      </c>
    </row>
    <row r="560" spans="2:65" s="1" customFormat="1" ht="58.5" customHeight="1" x14ac:dyDescent="0.2">
      <c r="B560" s="24"/>
      <c r="C560" s="407"/>
      <c r="D560" s="492" t="s">
        <v>1259</v>
      </c>
      <c r="E560" s="407"/>
      <c r="F560" s="503" t="s">
        <v>2513</v>
      </c>
      <c r="G560" s="407"/>
      <c r="H560" s="407"/>
      <c r="I560" s="407"/>
      <c r="J560" s="407"/>
      <c r="L560" s="24"/>
      <c r="M560" s="146"/>
      <c r="N560" s="42"/>
      <c r="O560" s="42"/>
      <c r="P560" s="42"/>
      <c r="Q560" s="42"/>
      <c r="R560" s="42"/>
      <c r="S560" s="42"/>
      <c r="T560" s="43"/>
      <c r="W560" s="158"/>
      <c r="X560" s="427"/>
      <c r="Y560" s="511" t="s">
        <v>1259</v>
      </c>
      <c r="Z560" s="427"/>
      <c r="AA560" s="514" t="s">
        <v>2513</v>
      </c>
      <c r="AB560" s="427"/>
      <c r="AC560" s="427"/>
      <c r="AD560" s="427"/>
      <c r="AE560" s="512"/>
      <c r="AF560" s="227"/>
      <c r="AG560" s="374"/>
      <c r="AH560" s="477"/>
      <c r="AT560" s="13" t="s">
        <v>1259</v>
      </c>
      <c r="AU560" s="13" t="s">
        <v>63</v>
      </c>
    </row>
    <row r="561" spans="2:65" s="1" customFormat="1" ht="16.5" customHeight="1" x14ac:dyDescent="0.2">
      <c r="B561" s="118"/>
      <c r="C561" s="285" t="s">
        <v>2514</v>
      </c>
      <c r="D561" s="285" t="s">
        <v>231</v>
      </c>
      <c r="E561" s="286" t="s">
        <v>2515</v>
      </c>
      <c r="F561" s="240" t="s">
        <v>2488</v>
      </c>
      <c r="G561" s="287" t="s">
        <v>1194</v>
      </c>
      <c r="H561" s="288">
        <v>2</v>
      </c>
      <c r="I561" s="289">
        <v>154.97999999999999</v>
      </c>
      <c r="J561" s="289">
        <f>ROUND(I561*H561,2)</f>
        <v>309.95999999999998</v>
      </c>
      <c r="K561" s="121" t="s">
        <v>1</v>
      </c>
      <c r="L561" s="465"/>
      <c r="M561" s="125"/>
      <c r="N561" s="126"/>
      <c r="O561" s="127"/>
      <c r="P561" s="127"/>
      <c r="Q561" s="127"/>
      <c r="R561" s="127"/>
      <c r="S561" s="127"/>
      <c r="T561" s="128"/>
      <c r="U561" s="461"/>
      <c r="V561" s="464"/>
      <c r="W561" s="199"/>
      <c r="X561" s="285" t="s">
        <v>2514</v>
      </c>
      <c r="Y561" s="285" t="s">
        <v>231</v>
      </c>
      <c r="Z561" s="286" t="s">
        <v>2515</v>
      </c>
      <c r="AA561" s="240" t="s">
        <v>2488</v>
      </c>
      <c r="AB561" s="287" t="s">
        <v>1194</v>
      </c>
      <c r="AC561" s="288">
        <v>2</v>
      </c>
      <c r="AD561" s="289">
        <v>154.97999999999999</v>
      </c>
      <c r="AE561" s="290">
        <f>ROUND(AD561*AC561,2)</f>
        <v>309.95999999999998</v>
      </c>
      <c r="AF561" s="227"/>
      <c r="AG561" s="374"/>
      <c r="AH561" s="477"/>
      <c r="AR561" s="129" t="s">
        <v>235</v>
      </c>
      <c r="AT561" s="129" t="s">
        <v>231</v>
      </c>
      <c r="AU561" s="129" t="s">
        <v>63</v>
      </c>
      <c r="AY561" s="13" t="s">
        <v>228</v>
      </c>
      <c r="BE561" s="130">
        <f>IF(N561="základná",J561,0)</f>
        <v>0</v>
      </c>
      <c r="BF561" s="130">
        <f>IF(N561="znížená",J561,0)</f>
        <v>0</v>
      </c>
      <c r="BG561" s="130">
        <f>IF(N561="zákl. prenesená",J561,0)</f>
        <v>0</v>
      </c>
      <c r="BH561" s="130">
        <f>IF(N561="zníž. prenesená",J561,0)</f>
        <v>0</v>
      </c>
      <c r="BI561" s="130">
        <f>IF(N561="nulová",J561,0)</f>
        <v>0</v>
      </c>
      <c r="BJ561" s="13" t="s">
        <v>76</v>
      </c>
      <c r="BK561" s="130">
        <f>ROUND(I561*H561,2)</f>
        <v>309.95999999999998</v>
      </c>
      <c r="BL561" s="13" t="s">
        <v>235</v>
      </c>
      <c r="BM561" s="129" t="s">
        <v>2516</v>
      </c>
    </row>
    <row r="562" spans="2:65" s="1" customFormat="1" ht="25.2" customHeight="1" x14ac:dyDescent="0.2">
      <c r="B562" s="24"/>
      <c r="C562" s="407"/>
      <c r="D562" s="492" t="s">
        <v>1259</v>
      </c>
      <c r="E562" s="407"/>
      <c r="F562" s="428" t="s">
        <v>2490</v>
      </c>
      <c r="G562" s="407"/>
      <c r="H562" s="407"/>
      <c r="I562" s="407"/>
      <c r="J562" s="407"/>
      <c r="L562" s="24"/>
      <c r="M562" s="146"/>
      <c r="N562" s="42"/>
      <c r="O562" s="42"/>
      <c r="P562" s="42"/>
      <c r="Q562" s="42"/>
      <c r="R562" s="42"/>
      <c r="S562" s="42"/>
      <c r="T562" s="43"/>
      <c r="W562" s="158"/>
      <c r="X562" s="427"/>
      <c r="Y562" s="511" t="s">
        <v>1259</v>
      </c>
      <c r="Z562" s="427"/>
      <c r="AA562" s="505" t="s">
        <v>2490</v>
      </c>
      <c r="AB562" s="427"/>
      <c r="AC562" s="427"/>
      <c r="AD562" s="427"/>
      <c r="AE562" s="512"/>
      <c r="AF562" s="227"/>
      <c r="AG562" s="374"/>
      <c r="AH562" s="477"/>
      <c r="AT562" s="13" t="s">
        <v>1259</v>
      </c>
      <c r="AU562" s="13" t="s">
        <v>63</v>
      </c>
    </row>
    <row r="563" spans="2:65" s="1" customFormat="1" ht="24" customHeight="1" x14ac:dyDescent="0.2">
      <c r="B563" s="118"/>
      <c r="C563" s="285" t="s">
        <v>767</v>
      </c>
      <c r="D563" s="285" t="s">
        <v>231</v>
      </c>
      <c r="E563" s="286" t="s">
        <v>2411</v>
      </c>
      <c r="F563" s="240" t="s">
        <v>2412</v>
      </c>
      <c r="G563" s="287" t="s">
        <v>1194</v>
      </c>
      <c r="H563" s="288">
        <v>2</v>
      </c>
      <c r="I563" s="289">
        <v>39.950000000000003</v>
      </c>
      <c r="J563" s="289">
        <f>ROUND(I563*H563,2)</f>
        <v>79.900000000000006</v>
      </c>
      <c r="K563" s="121" t="s">
        <v>1</v>
      </c>
      <c r="L563" s="465"/>
      <c r="M563" s="125"/>
      <c r="N563" s="126"/>
      <c r="O563" s="127"/>
      <c r="P563" s="127"/>
      <c r="Q563" s="127"/>
      <c r="R563" s="127"/>
      <c r="S563" s="127"/>
      <c r="T563" s="128"/>
      <c r="U563" s="461"/>
      <c r="V563" s="464"/>
      <c r="W563" s="199"/>
      <c r="X563" s="285" t="s">
        <v>767</v>
      </c>
      <c r="Y563" s="285" t="s">
        <v>231</v>
      </c>
      <c r="Z563" s="286" t="s">
        <v>2411</v>
      </c>
      <c r="AA563" s="240" t="s">
        <v>2412</v>
      </c>
      <c r="AB563" s="287" t="s">
        <v>1194</v>
      </c>
      <c r="AC563" s="288">
        <v>2</v>
      </c>
      <c r="AD563" s="289">
        <v>39.950000000000003</v>
      </c>
      <c r="AE563" s="290">
        <f>ROUND(AD563*AC563,2)</f>
        <v>79.900000000000006</v>
      </c>
      <c r="AF563" s="227"/>
      <c r="AG563" s="374"/>
      <c r="AH563" s="477"/>
      <c r="AR563" s="129" t="s">
        <v>235</v>
      </c>
      <c r="AT563" s="129" t="s">
        <v>231</v>
      </c>
      <c r="AU563" s="129" t="s">
        <v>63</v>
      </c>
      <c r="AY563" s="13" t="s">
        <v>228</v>
      </c>
      <c r="BE563" s="130">
        <f>IF(N563="základná",J563,0)</f>
        <v>0</v>
      </c>
      <c r="BF563" s="130">
        <f>IF(N563="znížená",J563,0)</f>
        <v>0</v>
      </c>
      <c r="BG563" s="130">
        <f>IF(N563="zákl. prenesená",J563,0)</f>
        <v>0</v>
      </c>
      <c r="BH563" s="130">
        <f>IF(N563="zníž. prenesená",J563,0)</f>
        <v>0</v>
      </c>
      <c r="BI563" s="130">
        <f>IF(N563="nulová",J563,0)</f>
        <v>0</v>
      </c>
      <c r="BJ563" s="13" t="s">
        <v>76</v>
      </c>
      <c r="BK563" s="130">
        <f>ROUND(I563*H563,2)</f>
        <v>79.900000000000006</v>
      </c>
      <c r="BL563" s="13" t="s">
        <v>235</v>
      </c>
      <c r="BM563" s="129" t="s">
        <v>2517</v>
      </c>
    </row>
    <row r="564" spans="2:65" s="1" customFormat="1" ht="24" customHeight="1" x14ac:dyDescent="0.2">
      <c r="B564" s="118"/>
      <c r="C564" s="285" t="s">
        <v>2518</v>
      </c>
      <c r="D564" s="285" t="s">
        <v>231</v>
      </c>
      <c r="E564" s="286" t="s">
        <v>2050</v>
      </c>
      <c r="F564" s="240" t="s">
        <v>2051</v>
      </c>
      <c r="G564" s="287" t="s">
        <v>292</v>
      </c>
      <c r="H564" s="288">
        <v>25</v>
      </c>
      <c r="I564" s="289">
        <v>22.94</v>
      </c>
      <c r="J564" s="289">
        <f>ROUND(I564*H564,2)</f>
        <v>573.5</v>
      </c>
      <c r="K564" s="121" t="s">
        <v>1</v>
      </c>
      <c r="L564" s="465"/>
      <c r="M564" s="125"/>
      <c r="N564" s="126"/>
      <c r="O564" s="127"/>
      <c r="P564" s="127"/>
      <c r="Q564" s="127"/>
      <c r="R564" s="127"/>
      <c r="S564" s="127"/>
      <c r="T564" s="128"/>
      <c r="U564" s="471"/>
      <c r="V564" s="464"/>
      <c r="W564" s="199"/>
      <c r="X564" s="285" t="s">
        <v>2518</v>
      </c>
      <c r="Y564" s="285" t="s">
        <v>231</v>
      </c>
      <c r="Z564" s="286" t="s">
        <v>2050</v>
      </c>
      <c r="AA564" s="240" t="s">
        <v>2051</v>
      </c>
      <c r="AB564" s="287" t="s">
        <v>292</v>
      </c>
      <c r="AC564" s="288">
        <v>25</v>
      </c>
      <c r="AD564" s="289">
        <v>22.94</v>
      </c>
      <c r="AE564" s="290">
        <f>ROUND(AD564*AC564,2)</f>
        <v>573.5</v>
      </c>
      <c r="AF564" s="227"/>
      <c r="AG564" s="374"/>
      <c r="AH564" s="477"/>
      <c r="AR564" s="129" t="s">
        <v>235</v>
      </c>
      <c r="AT564" s="129" t="s">
        <v>231</v>
      </c>
      <c r="AU564" s="129" t="s">
        <v>63</v>
      </c>
      <c r="AY564" s="13" t="s">
        <v>228</v>
      </c>
      <c r="BE564" s="130">
        <f>IF(N564="základná",J564,0)</f>
        <v>0</v>
      </c>
      <c r="BF564" s="130">
        <f>IF(N564="znížená",J564,0)</f>
        <v>0</v>
      </c>
      <c r="BG564" s="130">
        <f>IF(N564="zákl. prenesená",J564,0)</f>
        <v>0</v>
      </c>
      <c r="BH564" s="130">
        <f>IF(N564="zníž. prenesená",J564,0)</f>
        <v>0</v>
      </c>
      <c r="BI564" s="130">
        <f>IF(N564="nulová",J564,0)</f>
        <v>0</v>
      </c>
      <c r="BJ564" s="13" t="s">
        <v>76</v>
      </c>
      <c r="BK564" s="130">
        <f>ROUND(I564*H564,2)</f>
        <v>573.5</v>
      </c>
      <c r="BL564" s="13" t="s">
        <v>235</v>
      </c>
      <c r="BM564" s="129" t="s">
        <v>2519</v>
      </c>
    </row>
    <row r="565" spans="2:65" s="424" customFormat="1" ht="24" customHeight="1" x14ac:dyDescent="0.25">
      <c r="B565" s="118"/>
      <c r="C565" s="119"/>
      <c r="D565" s="119"/>
      <c r="E565" s="120"/>
      <c r="F565" s="121"/>
      <c r="G565" s="122"/>
      <c r="H565" s="123"/>
      <c r="I565" s="124"/>
      <c r="J565" s="124"/>
      <c r="K565" s="121"/>
      <c r="L565" s="24"/>
      <c r="M565" s="125"/>
      <c r="N565" s="126"/>
      <c r="O565" s="127"/>
      <c r="P565" s="127"/>
      <c r="Q565" s="127"/>
      <c r="R565" s="127"/>
      <c r="S565" s="127"/>
      <c r="T565" s="128"/>
      <c r="W565" s="199"/>
      <c r="X565" s="280"/>
      <c r="Y565" s="196" t="s">
        <v>57</v>
      </c>
      <c r="Z565" s="197" t="s">
        <v>3739</v>
      </c>
      <c r="AA565" s="197" t="s">
        <v>6114</v>
      </c>
      <c r="AB565" s="280"/>
      <c r="AC565" s="280"/>
      <c r="AD565" s="280"/>
      <c r="AE565" s="515">
        <f>SUM(AE566:AE577)</f>
        <v>7739.04</v>
      </c>
      <c r="AF565" s="227"/>
      <c r="AG565" s="374"/>
      <c r="AH565" s="477"/>
      <c r="AR565" s="129"/>
      <c r="AT565" s="129"/>
      <c r="AU565" s="129"/>
      <c r="AY565" s="13"/>
      <c r="BE565" s="130"/>
      <c r="BF565" s="130"/>
      <c r="BG565" s="130"/>
      <c r="BH565" s="130"/>
      <c r="BI565" s="130"/>
      <c r="BJ565" s="13"/>
      <c r="BK565" s="130"/>
      <c r="BL565" s="13"/>
      <c r="BM565" s="129"/>
    </row>
    <row r="566" spans="2:65" s="424" customFormat="1" ht="34.200000000000003" x14ac:dyDescent="0.2">
      <c r="B566" s="118"/>
      <c r="C566" s="1234" t="s">
        <v>5205</v>
      </c>
      <c r="D566" s="1235"/>
      <c r="E566" s="1235"/>
      <c r="F566" s="1235"/>
      <c r="G566" s="1235"/>
      <c r="H566" s="1235"/>
      <c r="I566" s="1235"/>
      <c r="J566" s="1236"/>
      <c r="K566" s="121"/>
      <c r="L566" s="24"/>
      <c r="M566" s="125"/>
      <c r="N566" s="126"/>
      <c r="O566" s="127"/>
      <c r="P566" s="127"/>
      <c r="Q566" s="127"/>
      <c r="R566" s="127"/>
      <c r="S566" s="127"/>
      <c r="T566" s="128"/>
      <c r="V566" s="470"/>
      <c r="W566" s="199"/>
      <c r="X566" s="207" t="s">
        <v>6134</v>
      </c>
      <c r="Y566" s="207" t="s">
        <v>231</v>
      </c>
      <c r="Z566" s="208" t="s">
        <v>6115</v>
      </c>
      <c r="AA566" s="209" t="s">
        <v>6116</v>
      </c>
      <c r="AB566" s="210" t="s">
        <v>1194</v>
      </c>
      <c r="AC566" s="211">
        <v>2</v>
      </c>
      <c r="AD566" s="212">
        <v>1217</v>
      </c>
      <c r="AE566" s="214">
        <f t="shared" ref="AE566:AE570" si="118">ROUND(AD566*AC566,2)</f>
        <v>2434</v>
      </c>
      <c r="AF566" s="227">
        <v>6</v>
      </c>
      <c r="AG566" s="374"/>
      <c r="AH566" s="477"/>
      <c r="AR566" s="129"/>
      <c r="AT566" s="129"/>
      <c r="AU566" s="129"/>
      <c r="AY566" s="13"/>
      <c r="BE566" s="130"/>
      <c r="BF566" s="130"/>
      <c r="BG566" s="130"/>
      <c r="BH566" s="130"/>
      <c r="BI566" s="130"/>
      <c r="BJ566" s="13"/>
      <c r="BK566" s="130"/>
      <c r="BL566" s="13"/>
      <c r="BM566" s="129"/>
    </row>
    <row r="567" spans="2:65" s="424" customFormat="1" ht="22.8" x14ac:dyDescent="0.2">
      <c r="B567" s="118"/>
      <c r="C567" s="1234" t="s">
        <v>5205</v>
      </c>
      <c r="D567" s="1235"/>
      <c r="E567" s="1235"/>
      <c r="F567" s="1235"/>
      <c r="G567" s="1235"/>
      <c r="H567" s="1235"/>
      <c r="I567" s="1235"/>
      <c r="J567" s="1236"/>
      <c r="K567" s="121"/>
      <c r="L567" s="24"/>
      <c r="M567" s="125"/>
      <c r="N567" s="126"/>
      <c r="O567" s="127"/>
      <c r="P567" s="127"/>
      <c r="Q567" s="127"/>
      <c r="R567" s="127"/>
      <c r="S567" s="127"/>
      <c r="T567" s="128"/>
      <c r="V567" s="470"/>
      <c r="W567" s="199"/>
      <c r="X567" s="207" t="s">
        <v>6135</v>
      </c>
      <c r="Y567" s="207" t="s">
        <v>231</v>
      </c>
      <c r="Z567" s="208" t="s">
        <v>6092</v>
      </c>
      <c r="AA567" s="209" t="s">
        <v>6093</v>
      </c>
      <c r="AB567" s="210" t="s">
        <v>1194</v>
      </c>
      <c r="AC567" s="211">
        <v>2</v>
      </c>
      <c r="AD567" s="212">
        <v>0</v>
      </c>
      <c r="AE567" s="214">
        <f t="shared" si="118"/>
        <v>0</v>
      </c>
      <c r="AF567" s="227">
        <v>6</v>
      </c>
      <c r="AG567" s="374"/>
      <c r="AH567" s="477"/>
      <c r="AR567" s="129"/>
      <c r="AT567" s="129"/>
      <c r="AU567" s="129"/>
      <c r="AY567" s="13"/>
      <c r="BE567" s="130"/>
      <c r="BF567" s="130"/>
      <c r="BG567" s="130"/>
      <c r="BH567" s="130"/>
      <c r="BI567" s="130"/>
      <c r="BJ567" s="13"/>
      <c r="BK567" s="130"/>
      <c r="BL567" s="13"/>
      <c r="BM567" s="129"/>
    </row>
    <row r="568" spans="2:65" s="424" customFormat="1" ht="24" customHeight="1" x14ac:dyDescent="0.2">
      <c r="B568" s="118"/>
      <c r="C568" s="1234" t="s">
        <v>5205</v>
      </c>
      <c r="D568" s="1235"/>
      <c r="E568" s="1235"/>
      <c r="F568" s="1235"/>
      <c r="G568" s="1235"/>
      <c r="H568" s="1235"/>
      <c r="I568" s="1235"/>
      <c r="J568" s="1236"/>
      <c r="K568" s="121"/>
      <c r="L568" s="24"/>
      <c r="M568" s="125"/>
      <c r="N568" s="126"/>
      <c r="O568" s="127"/>
      <c r="P568" s="127"/>
      <c r="Q568" s="127"/>
      <c r="R568" s="127"/>
      <c r="S568" s="127"/>
      <c r="T568" s="128"/>
      <c r="V568" s="470"/>
      <c r="W568" s="199"/>
      <c r="X568" s="207" t="s">
        <v>6136</v>
      </c>
      <c r="Y568" s="207" t="s">
        <v>231</v>
      </c>
      <c r="Z568" s="208" t="s">
        <v>6117</v>
      </c>
      <c r="AA568" s="209" t="s">
        <v>6118</v>
      </c>
      <c r="AB568" s="210" t="s">
        <v>1194</v>
      </c>
      <c r="AC568" s="211">
        <v>2</v>
      </c>
      <c r="AD568" s="212">
        <v>473.8</v>
      </c>
      <c r="AE568" s="214">
        <f t="shared" si="118"/>
        <v>947.6</v>
      </c>
      <c r="AF568" s="227">
        <v>6</v>
      </c>
      <c r="AG568" s="374"/>
      <c r="AH568" s="477"/>
      <c r="AR568" s="129"/>
      <c r="AT568" s="129"/>
      <c r="AU568" s="129"/>
      <c r="AY568" s="13"/>
      <c r="BE568" s="130"/>
      <c r="BF568" s="130"/>
      <c r="BG568" s="130"/>
      <c r="BH568" s="130"/>
      <c r="BI568" s="130"/>
      <c r="BJ568" s="13"/>
      <c r="BK568" s="130"/>
      <c r="BL568" s="13"/>
      <c r="BM568" s="129"/>
    </row>
    <row r="569" spans="2:65" s="424" customFormat="1" ht="24" customHeight="1" x14ac:dyDescent="0.2">
      <c r="B569" s="118"/>
      <c r="C569" s="1234" t="s">
        <v>5205</v>
      </c>
      <c r="D569" s="1235"/>
      <c r="E569" s="1235"/>
      <c r="F569" s="1235"/>
      <c r="G569" s="1235"/>
      <c r="H569" s="1235"/>
      <c r="I569" s="1235"/>
      <c r="J569" s="1236"/>
      <c r="K569" s="121"/>
      <c r="L569" s="24"/>
      <c r="M569" s="125"/>
      <c r="N569" s="126"/>
      <c r="O569" s="127"/>
      <c r="P569" s="127"/>
      <c r="Q569" s="127"/>
      <c r="R569" s="127"/>
      <c r="S569" s="127"/>
      <c r="T569" s="128"/>
      <c r="V569" s="470"/>
      <c r="W569" s="199"/>
      <c r="X569" s="207" t="s">
        <v>6137</v>
      </c>
      <c r="Y569" s="207" t="s">
        <v>231</v>
      </c>
      <c r="Z569" s="208" t="s">
        <v>6119</v>
      </c>
      <c r="AA569" s="209" t="s">
        <v>2412</v>
      </c>
      <c r="AB569" s="210" t="s">
        <v>1194</v>
      </c>
      <c r="AC569" s="211">
        <v>2</v>
      </c>
      <c r="AD569" s="212">
        <v>39.950000000000003</v>
      </c>
      <c r="AE569" s="214">
        <f t="shared" si="118"/>
        <v>79.900000000000006</v>
      </c>
      <c r="AF569" s="227">
        <v>6</v>
      </c>
      <c r="AG569" s="374"/>
      <c r="AH569" s="477"/>
      <c r="AR569" s="129"/>
      <c r="AT569" s="129"/>
      <c r="AU569" s="129"/>
      <c r="AY569" s="13"/>
      <c r="BE569" s="130"/>
      <c r="BF569" s="130"/>
      <c r="BG569" s="130"/>
      <c r="BH569" s="130"/>
      <c r="BI569" s="130"/>
      <c r="BJ569" s="13"/>
      <c r="BK569" s="130"/>
      <c r="BL569" s="13"/>
      <c r="BM569" s="129"/>
    </row>
    <row r="570" spans="2:65" s="424" customFormat="1" ht="24" customHeight="1" x14ac:dyDescent="0.2">
      <c r="B570" s="118"/>
      <c r="C570" s="1234" t="s">
        <v>5205</v>
      </c>
      <c r="D570" s="1235"/>
      <c r="E570" s="1235"/>
      <c r="F570" s="1235"/>
      <c r="G570" s="1235"/>
      <c r="H570" s="1235"/>
      <c r="I570" s="1235"/>
      <c r="J570" s="1236"/>
      <c r="K570" s="121"/>
      <c r="L570" s="24"/>
      <c r="M570" s="125"/>
      <c r="N570" s="126"/>
      <c r="O570" s="127"/>
      <c r="P570" s="127"/>
      <c r="Q570" s="127"/>
      <c r="R570" s="127"/>
      <c r="S570" s="127"/>
      <c r="T570" s="128"/>
      <c r="V570" s="470"/>
      <c r="W570" s="199"/>
      <c r="X570" s="207" t="s">
        <v>6138</v>
      </c>
      <c r="Y570" s="207" t="s">
        <v>231</v>
      </c>
      <c r="Z570" s="208" t="s">
        <v>6120</v>
      </c>
      <c r="AA570" s="209" t="s">
        <v>2051</v>
      </c>
      <c r="AB570" s="210" t="s">
        <v>292</v>
      </c>
      <c r="AC570" s="211">
        <v>16</v>
      </c>
      <c r="AD570" s="212">
        <v>22.94</v>
      </c>
      <c r="AE570" s="214">
        <f t="shared" si="118"/>
        <v>367.04</v>
      </c>
      <c r="AF570" s="227">
        <v>6</v>
      </c>
      <c r="AG570" s="374"/>
      <c r="AH570" s="477"/>
      <c r="AR570" s="129"/>
      <c r="AT570" s="129"/>
      <c r="AU570" s="129"/>
      <c r="AY570" s="13"/>
      <c r="BE570" s="130"/>
      <c r="BF570" s="130"/>
      <c r="BG570" s="130"/>
      <c r="BH570" s="130"/>
      <c r="BI570" s="130"/>
      <c r="BJ570" s="13"/>
      <c r="BK570" s="130"/>
      <c r="BL570" s="13"/>
      <c r="BM570" s="129"/>
    </row>
    <row r="571" spans="2:65" s="1" customFormat="1" ht="16.5" customHeight="1" x14ac:dyDescent="0.2">
      <c r="B571" s="118"/>
      <c r="C571" s="285" t="s">
        <v>770</v>
      </c>
      <c r="D571" s="285" t="s">
        <v>231</v>
      </c>
      <c r="E571" s="286" t="s">
        <v>2520</v>
      </c>
      <c r="F571" s="240" t="s">
        <v>2521</v>
      </c>
      <c r="G571" s="287" t="s">
        <v>243</v>
      </c>
      <c r="H571" s="288">
        <v>1</v>
      </c>
      <c r="I571" s="289">
        <v>861</v>
      </c>
      <c r="J571" s="289">
        <f>ROUND(I571*H571,2)</f>
        <v>861</v>
      </c>
      <c r="K571" s="121" t="s">
        <v>1</v>
      </c>
      <c r="L571" s="465"/>
      <c r="M571" s="125"/>
      <c r="N571" s="126"/>
      <c r="O571" s="127"/>
      <c r="P571" s="127"/>
      <c r="Q571" s="127"/>
      <c r="R571" s="127"/>
      <c r="S571" s="127"/>
      <c r="T571" s="128"/>
      <c r="U571" s="461"/>
      <c r="V571" s="464"/>
      <c r="W571" s="199"/>
      <c r="X571" s="285" t="s">
        <v>770</v>
      </c>
      <c r="Y571" s="285" t="s">
        <v>231</v>
      </c>
      <c r="Z571" s="286" t="s">
        <v>2520</v>
      </c>
      <c r="AA571" s="240" t="s">
        <v>2521</v>
      </c>
      <c r="AB571" s="287" t="s">
        <v>243</v>
      </c>
      <c r="AC571" s="288">
        <v>1</v>
      </c>
      <c r="AD571" s="289">
        <v>861</v>
      </c>
      <c r="AE571" s="290">
        <f>ROUND(AD571*AC571,2)</f>
        <v>861</v>
      </c>
      <c r="AF571" s="227"/>
      <c r="AG571" s="374"/>
      <c r="AH571" s="477"/>
      <c r="AR571" s="129" t="s">
        <v>235</v>
      </c>
      <c r="AT571" s="129" t="s">
        <v>231</v>
      </c>
      <c r="AU571" s="129" t="s">
        <v>63</v>
      </c>
      <c r="AY571" s="13" t="s">
        <v>228</v>
      </c>
      <c r="BE571" s="130">
        <f>IF(N571="základná",J571,0)</f>
        <v>0</v>
      </c>
      <c r="BF571" s="130">
        <f>IF(N571="znížená",J571,0)</f>
        <v>0</v>
      </c>
      <c r="BG571" s="130">
        <f>IF(N571="zákl. prenesená",J571,0)</f>
        <v>0</v>
      </c>
      <c r="BH571" s="130">
        <f>IF(N571="zníž. prenesená",J571,0)</f>
        <v>0</v>
      </c>
      <c r="BI571" s="130">
        <f>IF(N571="nulová",J571,0)</f>
        <v>0</v>
      </c>
      <c r="BJ571" s="13" t="s">
        <v>76</v>
      </c>
      <c r="BK571" s="130">
        <f>ROUND(I571*H571,2)</f>
        <v>861</v>
      </c>
      <c r="BL571" s="13" t="s">
        <v>235</v>
      </c>
      <c r="BM571" s="129" t="s">
        <v>2522</v>
      </c>
    </row>
    <row r="572" spans="2:65" s="1" customFormat="1" ht="27" customHeight="1" x14ac:dyDescent="0.2">
      <c r="B572" s="24"/>
      <c r="C572" s="407"/>
      <c r="D572" s="492" t="s">
        <v>1259</v>
      </c>
      <c r="E572" s="407"/>
      <c r="F572" s="428" t="s">
        <v>2523</v>
      </c>
      <c r="G572" s="407"/>
      <c r="H572" s="407"/>
      <c r="I572" s="407"/>
      <c r="J572" s="407"/>
      <c r="L572" s="24"/>
      <c r="M572" s="146"/>
      <c r="N572" s="42"/>
      <c r="O572" s="42"/>
      <c r="P572" s="42"/>
      <c r="Q572" s="42"/>
      <c r="R572" s="42"/>
      <c r="S572" s="42"/>
      <c r="T572" s="43"/>
      <c r="W572" s="158"/>
      <c r="X572" s="427"/>
      <c r="Y572" s="511" t="s">
        <v>1259</v>
      </c>
      <c r="Z572" s="427"/>
      <c r="AA572" s="505" t="s">
        <v>2523</v>
      </c>
      <c r="AB572" s="427"/>
      <c r="AC572" s="427"/>
      <c r="AD572" s="427"/>
      <c r="AE572" s="512"/>
      <c r="AF572" s="227"/>
      <c r="AG572" s="374"/>
      <c r="AH572" s="477"/>
      <c r="AT572" s="13" t="s">
        <v>1259</v>
      </c>
      <c r="AU572" s="13" t="s">
        <v>63</v>
      </c>
    </row>
    <row r="573" spans="2:65" s="1" customFormat="1" ht="16.5" customHeight="1" x14ac:dyDescent="0.2">
      <c r="B573" s="118"/>
      <c r="C573" s="285" t="s">
        <v>2524</v>
      </c>
      <c r="D573" s="285" t="s">
        <v>231</v>
      </c>
      <c r="E573" s="286" t="s">
        <v>2525</v>
      </c>
      <c r="F573" s="240" t="s">
        <v>2526</v>
      </c>
      <c r="G573" s="287" t="s">
        <v>243</v>
      </c>
      <c r="H573" s="288">
        <v>1</v>
      </c>
      <c r="I573" s="289">
        <v>1435</v>
      </c>
      <c r="J573" s="289">
        <f>ROUND(I573*H573,2)</f>
        <v>1435</v>
      </c>
      <c r="K573" s="121" t="s">
        <v>1</v>
      </c>
      <c r="L573" s="465"/>
      <c r="M573" s="125"/>
      <c r="N573" s="126"/>
      <c r="O573" s="127"/>
      <c r="P573" s="127"/>
      <c r="Q573" s="127"/>
      <c r="R573" s="127"/>
      <c r="S573" s="127"/>
      <c r="T573" s="128"/>
      <c r="U573" s="461"/>
      <c r="V573" s="464"/>
      <c r="W573" s="199"/>
      <c r="X573" s="285" t="s">
        <v>2524</v>
      </c>
      <c r="Y573" s="285" t="s">
        <v>231</v>
      </c>
      <c r="Z573" s="286" t="s">
        <v>2525</v>
      </c>
      <c r="AA573" s="240" t="s">
        <v>2526</v>
      </c>
      <c r="AB573" s="287" t="s">
        <v>243</v>
      </c>
      <c r="AC573" s="288">
        <v>1</v>
      </c>
      <c r="AD573" s="289">
        <v>1435</v>
      </c>
      <c r="AE573" s="290">
        <f>ROUND(AD573*AC573,2)</f>
        <v>1435</v>
      </c>
      <c r="AF573" s="227"/>
      <c r="AG573" s="374"/>
      <c r="AH573" s="477"/>
      <c r="AR573" s="129" t="s">
        <v>235</v>
      </c>
      <c r="AT573" s="129" t="s">
        <v>231</v>
      </c>
      <c r="AU573" s="129" t="s">
        <v>63</v>
      </c>
      <c r="AY573" s="13" t="s">
        <v>228</v>
      </c>
      <c r="BE573" s="130">
        <f>IF(N573="základná",J573,0)</f>
        <v>0</v>
      </c>
      <c r="BF573" s="130">
        <f>IF(N573="znížená",J573,0)</f>
        <v>0</v>
      </c>
      <c r="BG573" s="130">
        <f>IF(N573="zákl. prenesená",J573,0)</f>
        <v>0</v>
      </c>
      <c r="BH573" s="130">
        <f>IF(N573="zníž. prenesená",J573,0)</f>
        <v>0</v>
      </c>
      <c r="BI573" s="130">
        <f>IF(N573="nulová",J573,0)</f>
        <v>0</v>
      </c>
      <c r="BJ573" s="13" t="s">
        <v>76</v>
      </c>
      <c r="BK573" s="130">
        <f>ROUND(I573*H573,2)</f>
        <v>1435</v>
      </c>
      <c r="BL573" s="13" t="s">
        <v>235</v>
      </c>
      <c r="BM573" s="129" t="s">
        <v>2527</v>
      </c>
    </row>
    <row r="574" spans="2:65" s="1" customFormat="1" ht="28.8" x14ac:dyDescent="0.2">
      <c r="B574" s="24"/>
      <c r="C574" s="407"/>
      <c r="D574" s="492" t="s">
        <v>1259</v>
      </c>
      <c r="E574" s="407"/>
      <c r="F574" s="428" t="s">
        <v>2528</v>
      </c>
      <c r="G574" s="407"/>
      <c r="H574" s="407"/>
      <c r="I574" s="407"/>
      <c r="J574" s="407"/>
      <c r="L574" s="24"/>
      <c r="M574" s="146"/>
      <c r="N574" s="42"/>
      <c r="O574" s="42"/>
      <c r="P574" s="42"/>
      <c r="Q574" s="42"/>
      <c r="R574" s="42"/>
      <c r="S574" s="42"/>
      <c r="T574" s="43"/>
      <c r="W574" s="158"/>
      <c r="X574" s="427"/>
      <c r="Y574" s="511" t="s">
        <v>1259</v>
      </c>
      <c r="Z574" s="427"/>
      <c r="AA574" s="505" t="s">
        <v>2528</v>
      </c>
      <c r="AB574" s="427"/>
      <c r="AC574" s="427"/>
      <c r="AD574" s="427"/>
      <c r="AE574" s="512"/>
      <c r="AF574" s="227"/>
      <c r="AG574" s="374"/>
      <c r="AH574" s="477"/>
      <c r="AT574" s="13" t="s">
        <v>1259</v>
      </c>
      <c r="AU574" s="13" t="s">
        <v>63</v>
      </c>
    </row>
    <row r="575" spans="2:65" s="1" customFormat="1" ht="16.5" customHeight="1" x14ac:dyDescent="0.2">
      <c r="B575" s="118"/>
      <c r="C575" s="285" t="s">
        <v>774</v>
      </c>
      <c r="D575" s="285" t="s">
        <v>231</v>
      </c>
      <c r="E575" s="286" t="s">
        <v>2529</v>
      </c>
      <c r="F575" s="240" t="s">
        <v>2530</v>
      </c>
      <c r="G575" s="287" t="s">
        <v>1112</v>
      </c>
      <c r="H575" s="288">
        <v>50</v>
      </c>
      <c r="I575" s="289">
        <v>17.940000000000001</v>
      </c>
      <c r="J575" s="289">
        <f>ROUND(I575*H575,2)</f>
        <v>897</v>
      </c>
      <c r="K575" s="121" t="s">
        <v>1</v>
      </c>
      <c r="L575" s="465"/>
      <c r="M575" s="125"/>
      <c r="N575" s="126"/>
      <c r="O575" s="127"/>
      <c r="P575" s="127"/>
      <c r="Q575" s="127"/>
      <c r="R575" s="127"/>
      <c r="S575" s="127"/>
      <c r="T575" s="128"/>
      <c r="U575" s="461"/>
      <c r="V575" s="464"/>
      <c r="W575" s="199"/>
      <c r="X575" s="285" t="s">
        <v>774</v>
      </c>
      <c r="Y575" s="285" t="s">
        <v>231</v>
      </c>
      <c r="Z575" s="286" t="s">
        <v>2529</v>
      </c>
      <c r="AA575" s="240" t="s">
        <v>2530</v>
      </c>
      <c r="AB575" s="287" t="s">
        <v>1112</v>
      </c>
      <c r="AC575" s="288">
        <v>50</v>
      </c>
      <c r="AD575" s="289">
        <v>17.940000000000001</v>
      </c>
      <c r="AE575" s="290">
        <f>ROUND(AD575*AC575,2)</f>
        <v>897</v>
      </c>
      <c r="AF575" s="227"/>
      <c r="AG575" s="374"/>
      <c r="AH575" s="477"/>
      <c r="AR575" s="129" t="s">
        <v>235</v>
      </c>
      <c r="AT575" s="129" t="s">
        <v>231</v>
      </c>
      <c r="AU575" s="129" t="s">
        <v>63</v>
      </c>
      <c r="AY575" s="13" t="s">
        <v>228</v>
      </c>
      <c r="BE575" s="130">
        <f>IF(N575="základná",J575,0)</f>
        <v>0</v>
      </c>
      <c r="BF575" s="130">
        <f>IF(N575="znížená",J575,0)</f>
        <v>0</v>
      </c>
      <c r="BG575" s="130">
        <f>IF(N575="zákl. prenesená",J575,0)</f>
        <v>0</v>
      </c>
      <c r="BH575" s="130">
        <f>IF(N575="zníž. prenesená",J575,0)</f>
        <v>0</v>
      </c>
      <c r="BI575" s="130">
        <f>IF(N575="nulová",J575,0)</f>
        <v>0</v>
      </c>
      <c r="BJ575" s="13" t="s">
        <v>76</v>
      </c>
      <c r="BK575" s="130">
        <f>ROUND(I575*H575,2)</f>
        <v>897</v>
      </c>
      <c r="BL575" s="13" t="s">
        <v>235</v>
      </c>
      <c r="BM575" s="129" t="s">
        <v>2531</v>
      </c>
    </row>
    <row r="576" spans="2:65" s="1" customFormat="1" ht="19.2" x14ac:dyDescent="0.2">
      <c r="B576" s="24"/>
      <c r="C576" s="407"/>
      <c r="D576" s="492" t="s">
        <v>1259</v>
      </c>
      <c r="E576" s="407"/>
      <c r="F576" s="428" t="s">
        <v>2532</v>
      </c>
      <c r="G576" s="407"/>
      <c r="H576" s="407"/>
      <c r="I576" s="407"/>
      <c r="J576" s="407"/>
      <c r="L576" s="24"/>
      <c r="M576" s="146"/>
      <c r="N576" s="42"/>
      <c r="O576" s="42"/>
      <c r="P576" s="42"/>
      <c r="Q576" s="42"/>
      <c r="R576" s="42"/>
      <c r="S576" s="42"/>
      <c r="T576" s="43"/>
      <c r="W576" s="158"/>
      <c r="X576" s="427"/>
      <c r="Y576" s="511" t="s">
        <v>1259</v>
      </c>
      <c r="Z576" s="427"/>
      <c r="AA576" s="505" t="s">
        <v>2532</v>
      </c>
      <c r="AB576" s="427"/>
      <c r="AC576" s="427"/>
      <c r="AD576" s="427"/>
      <c r="AE576" s="512"/>
      <c r="AF576" s="227"/>
      <c r="AG576" s="374"/>
      <c r="AH576" s="477"/>
      <c r="AT576" s="13" t="s">
        <v>1259</v>
      </c>
      <c r="AU576" s="13" t="s">
        <v>63</v>
      </c>
    </row>
    <row r="577" spans="2:65" s="1" customFormat="1" ht="16.5" customHeight="1" x14ac:dyDescent="0.2">
      <c r="B577" s="118"/>
      <c r="C577" s="285" t="s">
        <v>2533</v>
      </c>
      <c r="D577" s="285" t="s">
        <v>231</v>
      </c>
      <c r="E577" s="286" t="s">
        <v>2534</v>
      </c>
      <c r="F577" s="240" t="s">
        <v>2535</v>
      </c>
      <c r="G577" s="287" t="s">
        <v>243</v>
      </c>
      <c r="H577" s="288">
        <v>1</v>
      </c>
      <c r="I577" s="289">
        <v>717.5</v>
      </c>
      <c r="J577" s="289">
        <f>ROUND(I577*H577,2)</f>
        <v>717.5</v>
      </c>
      <c r="K577" s="121" t="s">
        <v>1</v>
      </c>
      <c r="L577" s="465"/>
      <c r="M577" s="125"/>
      <c r="N577" s="126"/>
      <c r="O577" s="127"/>
      <c r="P577" s="127"/>
      <c r="Q577" s="127"/>
      <c r="R577" s="127"/>
      <c r="S577" s="127"/>
      <c r="T577" s="128"/>
      <c r="U577" s="461"/>
      <c r="V577" s="464"/>
      <c r="W577" s="199"/>
      <c r="X577" s="285" t="s">
        <v>2533</v>
      </c>
      <c r="Y577" s="285" t="s">
        <v>231</v>
      </c>
      <c r="Z577" s="286" t="s">
        <v>2534</v>
      </c>
      <c r="AA577" s="240" t="s">
        <v>2535</v>
      </c>
      <c r="AB577" s="287" t="s">
        <v>243</v>
      </c>
      <c r="AC577" s="288">
        <v>1</v>
      </c>
      <c r="AD577" s="289">
        <v>717.5</v>
      </c>
      <c r="AE577" s="290">
        <f>ROUND(AD577*AC577,2)</f>
        <v>717.5</v>
      </c>
      <c r="AF577" s="227"/>
      <c r="AG577" s="374"/>
      <c r="AH577" s="477"/>
      <c r="AR577" s="129" t="s">
        <v>235</v>
      </c>
      <c r="AT577" s="129" t="s">
        <v>231</v>
      </c>
      <c r="AU577" s="129" t="s">
        <v>63</v>
      </c>
      <c r="AY577" s="13" t="s">
        <v>228</v>
      </c>
      <c r="BE577" s="130">
        <f>IF(N577="základná",J577,0)</f>
        <v>0</v>
      </c>
      <c r="BF577" s="130">
        <f>IF(N577="znížená",J577,0)</f>
        <v>0</v>
      </c>
      <c r="BG577" s="130">
        <f>IF(N577="zákl. prenesená",J577,0)</f>
        <v>0</v>
      </c>
      <c r="BH577" s="130">
        <f>IF(N577="zníž. prenesená",J577,0)</f>
        <v>0</v>
      </c>
      <c r="BI577" s="130">
        <f>IF(N577="nulová",J577,0)</f>
        <v>0</v>
      </c>
      <c r="BJ577" s="13" t="s">
        <v>76</v>
      </c>
      <c r="BK577" s="130">
        <f>ROUND(I577*H577,2)</f>
        <v>717.5</v>
      </c>
      <c r="BL577" s="13" t="s">
        <v>235</v>
      </c>
      <c r="BM577" s="129" t="s">
        <v>2536</v>
      </c>
    </row>
    <row r="578" spans="2:65" s="1" customFormat="1" ht="19.2" x14ac:dyDescent="0.2">
      <c r="B578" s="24"/>
      <c r="D578" s="144" t="s">
        <v>1259</v>
      </c>
      <c r="F578" s="145" t="s">
        <v>2537</v>
      </c>
      <c r="L578" s="24"/>
      <c r="M578" s="146"/>
      <c r="N578" s="42"/>
      <c r="O578" s="42"/>
      <c r="P578" s="42"/>
      <c r="Q578" s="42"/>
      <c r="R578" s="42"/>
      <c r="S578" s="42"/>
      <c r="T578" s="43"/>
      <c r="W578" s="158"/>
      <c r="X578" s="475"/>
      <c r="Y578" s="203" t="s">
        <v>1259</v>
      </c>
      <c r="Z578" s="475"/>
      <c r="AA578" s="204" t="s">
        <v>2537</v>
      </c>
      <c r="AB578" s="475"/>
      <c r="AC578" s="475"/>
      <c r="AD578" s="475"/>
      <c r="AE578" s="159"/>
      <c r="AF578" s="227"/>
      <c r="AG578" s="374"/>
      <c r="AH578" s="477"/>
      <c r="AT578" s="13" t="s">
        <v>1259</v>
      </c>
      <c r="AU578" s="13" t="s">
        <v>63</v>
      </c>
    </row>
    <row r="579" spans="2:65" s="11" customFormat="1" ht="25.95" customHeight="1" x14ac:dyDescent="0.25">
      <c r="B579" s="106"/>
      <c r="D579" s="107" t="s">
        <v>57</v>
      </c>
      <c r="E579" s="108" t="s">
        <v>2538</v>
      </c>
      <c r="F579" s="108" t="s">
        <v>2539</v>
      </c>
      <c r="J579" s="109">
        <f>BK579</f>
        <v>4003.04</v>
      </c>
      <c r="L579" s="106"/>
      <c r="M579" s="110"/>
      <c r="N579" s="111"/>
      <c r="O579" s="111"/>
      <c r="P579" s="112"/>
      <c r="Q579" s="111"/>
      <c r="R579" s="112"/>
      <c r="S579" s="111"/>
      <c r="T579" s="113"/>
      <c r="W579" s="195"/>
      <c r="X579" s="111"/>
      <c r="Y579" s="196" t="s">
        <v>57</v>
      </c>
      <c r="Z579" s="197" t="s">
        <v>2538</v>
      </c>
      <c r="AA579" s="197" t="s">
        <v>2539</v>
      </c>
      <c r="AB579" s="111"/>
      <c r="AC579" s="111"/>
      <c r="AD579" s="111"/>
      <c r="AE579" s="198">
        <f>SUM(AE580:AE581)</f>
        <v>5003.04</v>
      </c>
      <c r="AF579" s="227"/>
      <c r="AG579" s="374"/>
      <c r="AH579" s="477"/>
      <c r="AR579" s="107" t="s">
        <v>63</v>
      </c>
      <c r="AT579" s="114" t="s">
        <v>57</v>
      </c>
      <c r="AU579" s="114" t="s">
        <v>58</v>
      </c>
      <c r="AY579" s="107" t="s">
        <v>228</v>
      </c>
      <c r="BK579" s="115">
        <f>SUM(BK581:BK582)</f>
        <v>4003.04</v>
      </c>
    </row>
    <row r="580" spans="2:65" s="11" customFormat="1" ht="43.2" customHeight="1" x14ac:dyDescent="0.2">
      <c r="B580" s="106"/>
      <c r="C580" s="1234" t="s">
        <v>5205</v>
      </c>
      <c r="D580" s="1235"/>
      <c r="E580" s="1235"/>
      <c r="F580" s="1235"/>
      <c r="G580" s="1235"/>
      <c r="H580" s="1235"/>
      <c r="I580" s="1235"/>
      <c r="J580" s="1236"/>
      <c r="L580" s="106"/>
      <c r="M580" s="110"/>
      <c r="N580" s="111"/>
      <c r="O580" s="111"/>
      <c r="P580" s="112"/>
      <c r="Q580" s="111"/>
      <c r="R580" s="112"/>
      <c r="S580" s="111"/>
      <c r="T580" s="113"/>
      <c r="V580" s="470"/>
      <c r="W580" s="195"/>
      <c r="X580" s="207" t="s">
        <v>6139</v>
      </c>
      <c r="Y580" s="207" t="s">
        <v>231</v>
      </c>
      <c r="Z580" s="208" t="s">
        <v>6121</v>
      </c>
      <c r="AA580" s="209" t="s">
        <v>6122</v>
      </c>
      <c r="AB580" s="210" t="s">
        <v>1172</v>
      </c>
      <c r="AC580" s="211">
        <v>1</v>
      </c>
      <c r="AD580" s="212">
        <v>1000</v>
      </c>
      <c r="AE580" s="214">
        <f>ROUND(AD580*AC580,2)</f>
        <v>1000</v>
      </c>
      <c r="AF580" s="227">
        <v>6</v>
      </c>
      <c r="AG580" s="374"/>
      <c r="AH580" s="477"/>
      <c r="AR580" s="107"/>
      <c r="AT580" s="114"/>
      <c r="AU580" s="114"/>
      <c r="AY580" s="107"/>
      <c r="BK580" s="115"/>
    </row>
    <row r="581" spans="2:65" s="1" customFormat="1" ht="24" customHeight="1" x14ac:dyDescent="0.2">
      <c r="B581" s="118"/>
      <c r="C581" s="119" t="s">
        <v>777</v>
      </c>
      <c r="D581" s="119" t="s">
        <v>231</v>
      </c>
      <c r="E581" s="120" t="s">
        <v>2540</v>
      </c>
      <c r="F581" s="121" t="s">
        <v>2541</v>
      </c>
      <c r="G581" s="122" t="s">
        <v>243</v>
      </c>
      <c r="H581" s="123">
        <v>1</v>
      </c>
      <c r="I581" s="124">
        <v>4003.04</v>
      </c>
      <c r="J581" s="124">
        <f>ROUND(I581*H581,2)</f>
        <v>4003.04</v>
      </c>
      <c r="K581" s="121" t="s">
        <v>1</v>
      </c>
      <c r="L581" s="465"/>
      <c r="M581" s="125"/>
      <c r="N581" s="126"/>
      <c r="O581" s="127"/>
      <c r="P581" s="127"/>
      <c r="Q581" s="127"/>
      <c r="R581" s="127"/>
      <c r="S581" s="127"/>
      <c r="T581" s="128"/>
      <c r="U581" s="461"/>
      <c r="V581" s="464"/>
      <c r="W581" s="199"/>
      <c r="X581" s="119" t="s">
        <v>777</v>
      </c>
      <c r="Y581" s="119" t="s">
        <v>231</v>
      </c>
      <c r="Z581" s="120" t="s">
        <v>2540</v>
      </c>
      <c r="AA581" s="121" t="s">
        <v>2541</v>
      </c>
      <c r="AB581" s="122" t="s">
        <v>243</v>
      </c>
      <c r="AC581" s="123">
        <v>1</v>
      </c>
      <c r="AD581" s="124">
        <v>4003.04</v>
      </c>
      <c r="AE581" s="200">
        <f>ROUND(AD581*AC581,2)</f>
        <v>4003.04</v>
      </c>
      <c r="AF581" s="227"/>
      <c r="AG581" s="374"/>
      <c r="AH581" s="477"/>
      <c r="AR581" s="129" t="s">
        <v>235</v>
      </c>
      <c r="AT581" s="129" t="s">
        <v>231</v>
      </c>
      <c r="AU581" s="129" t="s">
        <v>63</v>
      </c>
      <c r="AY581" s="13" t="s">
        <v>228</v>
      </c>
      <c r="BE581" s="130">
        <f>IF(N581="základná",J581,0)</f>
        <v>0</v>
      </c>
      <c r="BF581" s="130">
        <f>IF(N581="znížená",J581,0)</f>
        <v>0</v>
      </c>
      <c r="BG581" s="130">
        <f>IF(N581="zákl. prenesená",J581,0)</f>
        <v>0</v>
      </c>
      <c r="BH581" s="130">
        <f>IF(N581="zníž. prenesená",J581,0)</f>
        <v>0</v>
      </c>
      <c r="BI581" s="130">
        <f>IF(N581="nulová",J581,0)</f>
        <v>0</v>
      </c>
      <c r="BJ581" s="13" t="s">
        <v>76</v>
      </c>
      <c r="BK581" s="130">
        <f>ROUND(I581*H581,2)</f>
        <v>4003.04</v>
      </c>
      <c r="BL581" s="13" t="s">
        <v>235</v>
      </c>
      <c r="BM581" s="129" t="s">
        <v>2542</v>
      </c>
    </row>
    <row r="582" spans="2:65" s="1" customFormat="1" ht="28.8" x14ac:dyDescent="0.2">
      <c r="B582" s="24"/>
      <c r="D582" s="144" t="s">
        <v>1259</v>
      </c>
      <c r="F582" s="145" t="s">
        <v>2543</v>
      </c>
      <c r="L582" s="24"/>
      <c r="M582" s="146"/>
      <c r="N582" s="42"/>
      <c r="O582" s="42"/>
      <c r="P582" s="42"/>
      <c r="Q582" s="42"/>
      <c r="R582" s="42"/>
      <c r="S582" s="42"/>
      <c r="T582" s="43"/>
      <c r="W582" s="158"/>
      <c r="X582" s="475"/>
      <c r="Y582" s="203" t="s">
        <v>1259</v>
      </c>
      <c r="Z582" s="475"/>
      <c r="AA582" s="204" t="s">
        <v>2543</v>
      </c>
      <c r="AB582" s="475"/>
      <c r="AC582" s="475"/>
      <c r="AD582" s="475"/>
      <c r="AE582" s="159"/>
      <c r="AF582" s="227"/>
      <c r="AG582" s="374"/>
      <c r="AH582" s="477"/>
      <c r="AT582" s="13" t="s">
        <v>1259</v>
      </c>
      <c r="AU582" s="13" t="s">
        <v>63</v>
      </c>
    </row>
    <row r="583" spans="2:65" s="11" customFormat="1" ht="25.95" customHeight="1" x14ac:dyDescent="0.25">
      <c r="B583" s="106"/>
      <c r="D583" s="107" t="s">
        <v>57</v>
      </c>
      <c r="E583" s="108" t="s">
        <v>1292</v>
      </c>
      <c r="F583" s="108" t="s">
        <v>1293</v>
      </c>
      <c r="J583" s="109">
        <f>BK583</f>
        <v>3</v>
      </c>
      <c r="L583" s="106"/>
      <c r="M583" s="110"/>
      <c r="N583" s="111"/>
      <c r="O583" s="111"/>
      <c r="P583" s="112"/>
      <c r="Q583" s="111"/>
      <c r="R583" s="112"/>
      <c r="S583" s="111"/>
      <c r="T583" s="113"/>
      <c r="W583" s="195"/>
      <c r="X583" s="111"/>
      <c r="Y583" s="196" t="s">
        <v>57</v>
      </c>
      <c r="Z583" s="197" t="s">
        <v>1292</v>
      </c>
      <c r="AA583" s="197" t="s">
        <v>1293</v>
      </c>
      <c r="AB583" s="111"/>
      <c r="AC583" s="111"/>
      <c r="AD583" s="111"/>
      <c r="AE583" s="198">
        <f>AE584</f>
        <v>3</v>
      </c>
      <c r="AF583" s="227"/>
      <c r="AG583" s="374"/>
      <c r="AH583" s="477"/>
      <c r="AR583" s="107" t="s">
        <v>235</v>
      </c>
      <c r="AT583" s="114" t="s">
        <v>57</v>
      </c>
      <c r="AU583" s="114" t="s">
        <v>58</v>
      </c>
      <c r="AY583" s="107" t="s">
        <v>228</v>
      </c>
      <c r="BK583" s="115">
        <f>BK584</f>
        <v>3</v>
      </c>
    </row>
    <row r="584" spans="2:65" s="1" customFormat="1" ht="16.5" customHeight="1" x14ac:dyDescent="0.2">
      <c r="B584" s="118"/>
      <c r="C584" s="119" t="s">
        <v>2544</v>
      </c>
      <c r="D584" s="119" t="s">
        <v>231</v>
      </c>
      <c r="E584" s="120" t="s">
        <v>2545</v>
      </c>
      <c r="F584" s="121" t="s">
        <v>1293</v>
      </c>
      <c r="G584" s="122" t="s">
        <v>1194</v>
      </c>
      <c r="H584" s="123">
        <v>3</v>
      </c>
      <c r="I584" s="124">
        <v>1</v>
      </c>
      <c r="J584" s="124">
        <f>ROUND(I584*H584,2)</f>
        <v>3</v>
      </c>
      <c r="K584" s="121" t="s">
        <v>1</v>
      </c>
      <c r="L584" s="465"/>
      <c r="M584" s="125"/>
      <c r="N584" s="126"/>
      <c r="O584" s="127"/>
      <c r="P584" s="127"/>
      <c r="Q584" s="127"/>
      <c r="R584" s="127"/>
      <c r="S584" s="127"/>
      <c r="T584" s="128"/>
      <c r="U584" s="461"/>
      <c r="V584" s="464"/>
      <c r="W584" s="199"/>
      <c r="X584" s="119" t="s">
        <v>2544</v>
      </c>
      <c r="Y584" s="119" t="s">
        <v>231</v>
      </c>
      <c r="Z584" s="120" t="s">
        <v>2545</v>
      </c>
      <c r="AA584" s="121" t="s">
        <v>1293</v>
      </c>
      <c r="AB584" s="122" t="s">
        <v>1194</v>
      </c>
      <c r="AC584" s="123">
        <v>3</v>
      </c>
      <c r="AD584" s="124">
        <v>1</v>
      </c>
      <c r="AE584" s="200">
        <f>ROUND(AD584*AC584,2)</f>
        <v>3</v>
      </c>
      <c r="AF584" s="227"/>
      <c r="AG584" s="374"/>
      <c r="AH584" s="477"/>
      <c r="AR584" s="129" t="s">
        <v>1173</v>
      </c>
      <c r="AT584" s="129" t="s">
        <v>231</v>
      </c>
      <c r="AU584" s="129" t="s">
        <v>63</v>
      </c>
      <c r="AY584" s="13" t="s">
        <v>228</v>
      </c>
      <c r="BE584" s="130">
        <f>IF(N584="základná",J584,0)</f>
        <v>0</v>
      </c>
      <c r="BF584" s="130">
        <f>IF(N584="znížená",J584,0)</f>
        <v>0</v>
      </c>
      <c r="BG584" s="130">
        <f>IF(N584="zákl. prenesená",J584,0)</f>
        <v>0</v>
      </c>
      <c r="BH584" s="130">
        <f>IF(N584="zníž. prenesená",J584,0)</f>
        <v>0</v>
      </c>
      <c r="BI584" s="130">
        <f>IF(N584="nulová",J584,0)</f>
        <v>0</v>
      </c>
      <c r="BJ584" s="13" t="s">
        <v>76</v>
      </c>
      <c r="BK584" s="130">
        <f>ROUND(I584*H584,2)</f>
        <v>3</v>
      </c>
      <c r="BL584" s="13" t="s">
        <v>1173</v>
      </c>
      <c r="BM584" s="129" t="s">
        <v>2546</v>
      </c>
    </row>
    <row r="585" spans="2:65" s="1" customFormat="1" ht="7.05" customHeight="1" x14ac:dyDescent="0.2">
      <c r="B585" s="33"/>
      <c r="C585" s="34"/>
      <c r="D585" s="34"/>
      <c r="E585" s="34"/>
      <c r="F585" s="34"/>
      <c r="G585" s="34"/>
      <c r="H585" s="34"/>
      <c r="I585" s="34"/>
      <c r="J585" s="34"/>
      <c r="K585" s="34"/>
      <c r="L585" s="24"/>
      <c r="W585" s="175"/>
      <c r="X585" s="176"/>
      <c r="Y585" s="176"/>
      <c r="Z585" s="176"/>
      <c r="AA585" s="176"/>
      <c r="AB585" s="176"/>
      <c r="AC585" s="176"/>
      <c r="AD585" s="176"/>
      <c r="AE585" s="177"/>
      <c r="AF585" s="227"/>
      <c r="AG585" s="407"/>
    </row>
    <row r="586" spans="2:65" ht="12" x14ac:dyDescent="0.2">
      <c r="AF586" s="227"/>
      <c r="AG586" s="407"/>
    </row>
    <row r="587" spans="2:65" ht="12" x14ac:dyDescent="0.2">
      <c r="AF587" s="227"/>
      <c r="AG587" s="407"/>
    </row>
    <row r="588" spans="2:65" ht="12" x14ac:dyDescent="0.2">
      <c r="AF588" s="227"/>
      <c r="AG588" s="407"/>
    </row>
    <row r="589" spans="2:65" ht="12" x14ac:dyDescent="0.2">
      <c r="AF589" s="227"/>
    </row>
  </sheetData>
  <autoFilter ref="C162:K584" xr:uid="{00000000-0009-0000-0000-000007000000}"/>
  <mergeCells count="47">
    <mergeCell ref="D141:K141"/>
    <mergeCell ref="C569:J569"/>
    <mergeCell ref="C570:J570"/>
    <mergeCell ref="C580:J580"/>
    <mergeCell ref="C556:J556"/>
    <mergeCell ref="C566:J566"/>
    <mergeCell ref="C567:J567"/>
    <mergeCell ref="C568:J568"/>
    <mergeCell ref="C514:J514"/>
    <mergeCell ref="C518:J518"/>
    <mergeCell ref="C433:J433"/>
    <mergeCell ref="C434:J434"/>
    <mergeCell ref="C435:J435"/>
    <mergeCell ref="C436:J436"/>
    <mergeCell ref="C427:J427"/>
    <mergeCell ref="C428:J428"/>
    <mergeCell ref="C429:J429"/>
    <mergeCell ref="C282:J282"/>
    <mergeCell ref="C283:J283"/>
    <mergeCell ref="C200:J200"/>
    <mergeCell ref="Z87:AC87"/>
    <mergeCell ref="Z153:AC153"/>
    <mergeCell ref="Z155:AC155"/>
    <mergeCell ref="Z9:AC9"/>
    <mergeCell ref="Z18:AC18"/>
    <mergeCell ref="Z27:AC27"/>
    <mergeCell ref="Z85:AC85"/>
    <mergeCell ref="E87:H87"/>
    <mergeCell ref="E153:H153"/>
    <mergeCell ref="E155:H155"/>
    <mergeCell ref="E85:H85"/>
    <mergeCell ref="C150:J150"/>
    <mergeCell ref="E152:J152"/>
    <mergeCell ref="X150:AE150"/>
    <mergeCell ref="C82:J82"/>
    <mergeCell ref="E84:J84"/>
    <mergeCell ref="L2:V2"/>
    <mergeCell ref="E9:H9"/>
    <mergeCell ref="E18:H18"/>
    <mergeCell ref="E27:H27"/>
    <mergeCell ref="D4:J4"/>
    <mergeCell ref="F6:J7"/>
    <mergeCell ref="Z152:AE152"/>
    <mergeCell ref="X4:AE4"/>
    <mergeCell ref="AA6:AE7"/>
    <mergeCell ref="X82:AE82"/>
    <mergeCell ref="Z84:AE84"/>
  </mergeCells>
  <phoneticPr fontId="0" type="noConversion"/>
  <pageMargins left="0.39370078740157483" right="0.39370078740157483" top="0.39370078740157483" bottom="0.39370078740157483" header="0" footer="0"/>
  <pageSetup paperSize="9" fitToHeight="100" orientation="landscape" r:id="rId1"/>
  <headerFooter>
    <oddFooter>&amp;CStrana &amp;P z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M124"/>
  <sheetViews>
    <sheetView showGridLines="0" topLeftCell="A107" workbookViewId="0">
      <selection activeCell="W121" sqref="W121"/>
    </sheetView>
  </sheetViews>
  <sheetFormatPr defaultColWidth="8.7109375" defaultRowHeight="10.199999999999999" x14ac:dyDescent="0.2"/>
  <cols>
    <col min="1" max="1" width="8.28515625" customWidth="1"/>
    <col min="2" max="2" width="1.7109375" customWidth="1"/>
    <col min="3" max="4" width="4.28515625" customWidth="1"/>
    <col min="5" max="5" width="17.28515625" customWidth="1"/>
    <col min="6" max="6" width="50.7109375" customWidth="1"/>
    <col min="7" max="7" width="7" customWidth="1"/>
    <col min="8" max="8" width="11.42578125" customWidth="1"/>
    <col min="9" max="10" width="20.28515625" customWidth="1"/>
    <col min="11" max="11" width="20.28515625" hidden="1" customWidth="1"/>
    <col min="12" max="12" width="9.28515625" customWidth="1"/>
    <col min="13" max="13" width="10.7109375" hidden="1" customWidth="1"/>
    <col min="14" max="14" width="9.28515625" hidden="1"/>
    <col min="15" max="20" width="14.28515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1" spans="1:46" x14ac:dyDescent="0.2">
      <c r="A1" s="73"/>
    </row>
    <row r="2" spans="1:46" ht="37.049999999999997" customHeight="1" x14ac:dyDescent="0.2">
      <c r="L2" s="1227" t="s">
        <v>5</v>
      </c>
      <c r="M2" s="1225"/>
      <c r="N2" s="1225"/>
      <c r="O2" s="1225"/>
      <c r="P2" s="1225"/>
      <c r="Q2" s="1225"/>
      <c r="R2" s="1225"/>
      <c r="S2" s="1225"/>
      <c r="T2" s="1225"/>
      <c r="U2" s="1225"/>
      <c r="V2" s="1225"/>
      <c r="AT2" s="13" t="s">
        <v>85</v>
      </c>
    </row>
    <row r="3" spans="1:46" ht="7.05" customHeight="1" x14ac:dyDescent="0.2">
      <c r="B3" s="14"/>
      <c r="C3" s="15"/>
      <c r="D3" s="15"/>
      <c r="E3" s="15"/>
      <c r="F3" s="15"/>
      <c r="G3" s="15"/>
      <c r="H3" s="15"/>
      <c r="I3" s="15"/>
      <c r="J3" s="15"/>
      <c r="K3" s="15"/>
      <c r="L3" s="16"/>
      <c r="AT3" s="13" t="s">
        <v>58</v>
      </c>
    </row>
    <row r="4" spans="1:46" ht="25.05" customHeight="1" x14ac:dyDescent="0.2">
      <c r="B4" s="16"/>
      <c r="D4" s="1165" t="s">
        <v>185</v>
      </c>
      <c r="E4" s="1165"/>
      <c r="F4" s="1165"/>
      <c r="G4" s="1165"/>
      <c r="H4" s="1165"/>
      <c r="I4" s="1165"/>
      <c r="J4" s="1165"/>
      <c r="L4" s="16"/>
      <c r="M4" s="74" t="s">
        <v>9</v>
      </c>
      <c r="AT4" s="13" t="s">
        <v>3</v>
      </c>
    </row>
    <row r="5" spans="1:46" ht="7.05" customHeight="1" x14ac:dyDescent="0.2">
      <c r="B5" s="16"/>
      <c r="L5" s="16"/>
    </row>
    <row r="6" spans="1:46" ht="12" customHeight="1" x14ac:dyDescent="0.2">
      <c r="B6" s="16"/>
      <c r="D6" s="548" t="s">
        <v>12</v>
      </c>
      <c r="F6" s="1254" t="s">
        <v>6176</v>
      </c>
      <c r="G6" s="1254"/>
      <c r="H6" s="1254"/>
      <c r="I6" s="1254"/>
      <c r="J6" s="1254"/>
      <c r="L6" s="16"/>
    </row>
    <row r="7" spans="1:46" ht="24" customHeight="1" x14ac:dyDescent="0.2">
      <c r="B7" s="16"/>
      <c r="D7" s="527"/>
      <c r="E7" s="531"/>
      <c r="F7" s="1254"/>
      <c r="G7" s="1254"/>
      <c r="H7" s="1254"/>
      <c r="I7" s="1254"/>
      <c r="J7" s="1254"/>
      <c r="L7" s="16"/>
    </row>
    <row r="8" spans="1:46" s="1" customFormat="1" ht="12" customHeight="1" x14ac:dyDescent="0.2">
      <c r="B8" s="24"/>
      <c r="D8" s="549" t="s">
        <v>186</v>
      </c>
      <c r="F8" s="532" t="s">
        <v>2547</v>
      </c>
      <c r="L8" s="24"/>
    </row>
    <row r="9" spans="1:46" s="1" customFormat="1" ht="37.049999999999997" customHeight="1" x14ac:dyDescent="0.2">
      <c r="B9" s="24"/>
      <c r="D9" s="521"/>
      <c r="E9" s="1251"/>
      <c r="F9" s="1252"/>
      <c r="G9" s="1252"/>
      <c r="H9" s="1252"/>
      <c r="L9" s="24"/>
    </row>
    <row r="10" spans="1:46" s="1" customFormat="1" x14ac:dyDescent="0.2">
      <c r="B10" s="24"/>
      <c r="D10" s="521"/>
      <c r="L10" s="24"/>
    </row>
    <row r="11" spans="1:46" s="1" customFormat="1" ht="12" customHeight="1" x14ac:dyDescent="0.2">
      <c r="B11" s="24"/>
      <c r="D11" s="528" t="s">
        <v>13</v>
      </c>
      <c r="F11" s="19" t="s">
        <v>1</v>
      </c>
      <c r="I11" s="528" t="s">
        <v>14</v>
      </c>
      <c r="J11" s="19" t="s">
        <v>1</v>
      </c>
      <c r="L11" s="24"/>
    </row>
    <row r="12" spans="1:46" s="1" customFormat="1" ht="12" customHeight="1" x14ac:dyDescent="0.2">
      <c r="B12" s="24"/>
      <c r="D12" s="528" t="s">
        <v>15</v>
      </c>
      <c r="F12" s="520" t="s">
        <v>6173</v>
      </c>
      <c r="I12" s="528" t="s">
        <v>17</v>
      </c>
      <c r="J12" s="39"/>
      <c r="L12" s="24"/>
    </row>
    <row r="13" spans="1:46" s="1" customFormat="1" ht="10.95" customHeight="1" x14ac:dyDescent="0.2">
      <c r="B13" s="24"/>
      <c r="D13" s="521"/>
      <c r="I13" s="521"/>
      <c r="L13" s="24"/>
    </row>
    <row r="14" spans="1:46" s="1" customFormat="1" ht="12" customHeight="1" x14ac:dyDescent="0.2">
      <c r="B14" s="24"/>
      <c r="D14" s="528" t="s">
        <v>18</v>
      </c>
      <c r="F14" s="529" t="s">
        <v>6175</v>
      </c>
      <c r="I14" s="528" t="s">
        <v>19</v>
      </c>
      <c r="J14" s="19" t="str">
        <f>IF('Rekapitulácia stavby'!AN10="","",'Rekapitulácia stavby'!AN10)</f>
        <v/>
      </c>
      <c r="L14" s="24"/>
    </row>
    <row r="15" spans="1:46" s="1" customFormat="1" ht="18" customHeight="1" x14ac:dyDescent="0.2">
      <c r="B15" s="24"/>
      <c r="D15" s="521"/>
      <c r="E15" s="19" t="str">
        <f>IF('Rekapitulácia stavby'!E11="","",'Rekapitulácia stavby'!E11)</f>
        <v/>
      </c>
      <c r="I15" s="528" t="s">
        <v>20</v>
      </c>
      <c r="J15" s="19" t="str">
        <f>IF('Rekapitulácia stavby'!AN11="","",'Rekapitulácia stavby'!AN11)</f>
        <v/>
      </c>
      <c r="L15" s="24"/>
    </row>
    <row r="16" spans="1:46" s="1" customFormat="1" ht="7.05" customHeight="1" x14ac:dyDescent="0.2">
      <c r="B16" s="24"/>
      <c r="D16" s="521"/>
      <c r="I16" s="521"/>
      <c r="L16" s="24"/>
    </row>
    <row r="17" spans="2:12" s="1" customFormat="1" ht="12" customHeight="1" x14ac:dyDescent="0.2">
      <c r="B17" s="24"/>
      <c r="D17" s="528" t="s">
        <v>21</v>
      </c>
      <c r="F17" s="529" t="s">
        <v>5202</v>
      </c>
      <c r="I17" s="528" t="s">
        <v>19</v>
      </c>
      <c r="J17" s="19"/>
      <c r="L17" s="24"/>
    </row>
    <row r="18" spans="2:12" s="1" customFormat="1" ht="18" customHeight="1" x14ac:dyDescent="0.2">
      <c r="B18" s="24"/>
      <c r="D18" s="521"/>
      <c r="E18" s="1161"/>
      <c r="F18" s="1161"/>
      <c r="G18" s="1161"/>
      <c r="H18" s="1161"/>
      <c r="I18" s="528" t="s">
        <v>20</v>
      </c>
      <c r="J18" s="19" t="str">
        <f>'Rekapitulácia stavby'!AN14</f>
        <v/>
      </c>
      <c r="L18" s="24"/>
    </row>
    <row r="19" spans="2:12" s="1" customFormat="1" ht="7.05" customHeight="1" x14ac:dyDescent="0.2">
      <c r="B19" s="24"/>
      <c r="D19" s="521"/>
      <c r="I19" s="521"/>
      <c r="L19" s="24"/>
    </row>
    <row r="20" spans="2:12" s="1" customFormat="1" ht="12" customHeight="1" x14ac:dyDescent="0.2">
      <c r="B20" s="24"/>
      <c r="D20" s="528" t="s">
        <v>22</v>
      </c>
      <c r="I20" s="528" t="s">
        <v>19</v>
      </c>
      <c r="J20" s="19" t="str">
        <f>IF('Rekapitulácia stavby'!AN16="","",'Rekapitulácia stavby'!AN16)</f>
        <v/>
      </c>
      <c r="L20" s="24"/>
    </row>
    <row r="21" spans="2:12" s="1" customFormat="1" ht="18" customHeight="1" x14ac:dyDescent="0.2">
      <c r="B21" s="24"/>
      <c r="D21" s="521"/>
      <c r="E21" s="19" t="str">
        <f>IF('Rekapitulácia stavby'!E17="","",'Rekapitulácia stavby'!E17)</f>
        <v xml:space="preserve"> </v>
      </c>
      <c r="I21" s="528" t="s">
        <v>20</v>
      </c>
      <c r="J21" s="19" t="str">
        <f>IF('Rekapitulácia stavby'!AN17="","",'Rekapitulácia stavby'!AN17)</f>
        <v/>
      </c>
      <c r="L21" s="24"/>
    </row>
    <row r="22" spans="2:12" s="1" customFormat="1" ht="7.05" customHeight="1" x14ac:dyDescent="0.2">
      <c r="B22" s="24"/>
      <c r="D22" s="521"/>
      <c r="I22" s="521"/>
      <c r="L22" s="24"/>
    </row>
    <row r="23" spans="2:12" s="1" customFormat="1" ht="12" customHeight="1" x14ac:dyDescent="0.2">
      <c r="B23" s="24"/>
      <c r="D23" s="528" t="s">
        <v>24</v>
      </c>
      <c r="I23" s="528" t="s">
        <v>19</v>
      </c>
      <c r="J23" s="19" t="str">
        <f>IF('Rekapitulácia stavby'!AN19="","",'Rekapitulácia stavby'!AN19)</f>
        <v/>
      </c>
      <c r="L23" s="24"/>
    </row>
    <row r="24" spans="2:12" s="1" customFormat="1" ht="18" customHeight="1" x14ac:dyDescent="0.2">
      <c r="B24" s="24"/>
      <c r="D24" s="521"/>
      <c r="E24" s="19" t="str">
        <f>IF('Rekapitulácia stavby'!E20="","",'Rekapitulácia stavby'!E20)</f>
        <v xml:space="preserve"> </v>
      </c>
      <c r="I24" s="528" t="s">
        <v>20</v>
      </c>
      <c r="J24" s="19" t="str">
        <f>IF('Rekapitulácia stavby'!AN20="","",'Rekapitulácia stavby'!AN20)</f>
        <v/>
      </c>
      <c r="L24" s="24"/>
    </row>
    <row r="25" spans="2:12" s="1" customFormat="1" ht="7.05" customHeight="1" x14ac:dyDescent="0.2">
      <c r="B25" s="24"/>
      <c r="D25" s="521"/>
      <c r="L25" s="24"/>
    </row>
    <row r="26" spans="2:12" s="1" customFormat="1" ht="12" customHeight="1" x14ac:dyDescent="0.2">
      <c r="B26" s="24"/>
      <c r="D26" s="528" t="s">
        <v>25</v>
      </c>
      <c r="L26" s="24"/>
    </row>
    <row r="27" spans="2:12" s="7" customFormat="1" ht="16.5" customHeight="1" x14ac:dyDescent="0.2">
      <c r="B27" s="75"/>
      <c r="E27" s="1228" t="s">
        <v>1</v>
      </c>
      <c r="F27" s="1228"/>
      <c r="G27" s="1228"/>
      <c r="H27" s="1228"/>
      <c r="L27" s="75"/>
    </row>
    <row r="28" spans="2:12" s="1" customFormat="1" ht="7.05" customHeight="1" x14ac:dyDescent="0.2">
      <c r="B28" s="24"/>
      <c r="L28" s="24"/>
    </row>
    <row r="29" spans="2:12" s="1" customFormat="1" ht="7.05" customHeight="1" x14ac:dyDescent="0.2">
      <c r="B29" s="24"/>
      <c r="D29" s="40"/>
      <c r="E29" s="40"/>
      <c r="F29" s="40"/>
      <c r="G29" s="40"/>
      <c r="H29" s="40"/>
      <c r="I29" s="40"/>
      <c r="J29" s="40"/>
      <c r="K29" s="40"/>
      <c r="L29" s="24"/>
    </row>
    <row r="30" spans="2:12" s="1" customFormat="1" ht="25.2" customHeight="1" x14ac:dyDescent="0.2">
      <c r="B30" s="24"/>
      <c r="D30" s="76" t="s">
        <v>26</v>
      </c>
      <c r="J30" s="53">
        <f>ROUND(J117, 2)</f>
        <v>2500</v>
      </c>
      <c r="L30" s="24"/>
    </row>
    <row r="31" spans="2:12" s="1" customFormat="1" ht="7.05" customHeight="1" x14ac:dyDescent="0.2">
      <c r="B31" s="24"/>
      <c r="D31" s="40"/>
      <c r="E31" s="40"/>
      <c r="F31" s="40"/>
      <c r="G31" s="40"/>
      <c r="H31" s="40"/>
      <c r="I31" s="40"/>
      <c r="J31" s="40"/>
      <c r="K31" s="40"/>
      <c r="L31" s="24"/>
    </row>
    <row r="32" spans="2:12" s="1" customFormat="1" ht="14.55" customHeight="1" x14ac:dyDescent="0.2">
      <c r="B32" s="24"/>
      <c r="D32" s="521"/>
      <c r="E32" s="521"/>
      <c r="F32" s="534" t="s">
        <v>28</v>
      </c>
      <c r="G32" s="521"/>
      <c r="H32" s="521"/>
      <c r="I32" s="534" t="s">
        <v>27</v>
      </c>
      <c r="J32" s="534" t="s">
        <v>29</v>
      </c>
      <c r="L32" s="24"/>
    </row>
    <row r="33" spans="2:12" s="1" customFormat="1" ht="14.55" customHeight="1" x14ac:dyDescent="0.2">
      <c r="B33" s="24"/>
      <c r="D33" s="13" t="s">
        <v>30</v>
      </c>
      <c r="E33" s="528" t="s">
        <v>31</v>
      </c>
      <c r="F33" s="398">
        <f>ROUND((SUM(BE117:BE123)),  2)</f>
        <v>0</v>
      </c>
      <c r="G33" s="521"/>
      <c r="H33" s="521"/>
      <c r="I33" s="535">
        <v>0.2</v>
      </c>
      <c r="J33" s="398">
        <f>ROUND(((SUM(BE117:BE123))*I33),  2)</f>
        <v>0</v>
      </c>
      <c r="L33" s="24"/>
    </row>
    <row r="34" spans="2:12" s="1" customFormat="1" ht="14.55" customHeight="1" x14ac:dyDescent="0.2">
      <c r="B34" s="24"/>
      <c r="D34" s="521"/>
      <c r="E34" s="528" t="s">
        <v>32</v>
      </c>
      <c r="F34" s="398">
        <f>ROUND((SUM(BF117:BF123)),  2)</f>
        <v>2500</v>
      </c>
      <c r="G34" s="521"/>
      <c r="H34" s="521"/>
      <c r="I34" s="535">
        <v>0.2</v>
      </c>
      <c r="J34" s="398">
        <f>ROUND(((SUM(BF117:BF123))*I34),  2)</f>
        <v>500</v>
      </c>
      <c r="L34" s="24"/>
    </row>
    <row r="35" spans="2:12" s="1" customFormat="1" ht="14.55" hidden="1" customHeight="1" x14ac:dyDescent="0.2">
      <c r="B35" s="24"/>
      <c r="E35" s="21" t="s">
        <v>33</v>
      </c>
      <c r="F35" s="78">
        <f>ROUND((SUM(BG117:BG123)),  2)</f>
        <v>0</v>
      </c>
      <c r="I35" s="79">
        <v>0.2</v>
      </c>
      <c r="J35" s="78">
        <f>0</f>
        <v>0</v>
      </c>
      <c r="L35" s="24"/>
    </row>
    <row r="36" spans="2:12" s="1" customFormat="1" ht="14.55" hidden="1" customHeight="1" x14ac:dyDescent="0.2">
      <c r="B36" s="24"/>
      <c r="E36" s="21" t="s">
        <v>34</v>
      </c>
      <c r="F36" s="78">
        <f>ROUND((SUM(BH117:BH123)),  2)</f>
        <v>0</v>
      </c>
      <c r="I36" s="79">
        <v>0.2</v>
      </c>
      <c r="J36" s="78">
        <f>0</f>
        <v>0</v>
      </c>
      <c r="L36" s="24"/>
    </row>
    <row r="37" spans="2:12" s="1" customFormat="1" ht="14.55" hidden="1" customHeight="1" x14ac:dyDescent="0.2">
      <c r="B37" s="24"/>
      <c r="E37" s="21" t="s">
        <v>35</v>
      </c>
      <c r="F37" s="78">
        <f>ROUND((SUM(BI117:BI123)),  2)</f>
        <v>0</v>
      </c>
      <c r="I37" s="79">
        <v>0</v>
      </c>
      <c r="J37" s="78">
        <f>0</f>
        <v>0</v>
      </c>
      <c r="L37" s="24"/>
    </row>
    <row r="38" spans="2:12" s="1" customFormat="1" ht="7.05" customHeight="1" x14ac:dyDescent="0.2">
      <c r="B38" s="24"/>
      <c r="L38" s="24"/>
    </row>
    <row r="39" spans="2:12" s="1" customFormat="1" ht="25.2" customHeight="1" x14ac:dyDescent="0.2">
      <c r="B39" s="24"/>
      <c r="C39" s="80"/>
      <c r="D39" s="81" t="s">
        <v>36</v>
      </c>
      <c r="E39" s="44"/>
      <c r="F39" s="44"/>
      <c r="G39" s="82" t="s">
        <v>37</v>
      </c>
      <c r="H39" s="83" t="s">
        <v>38</v>
      </c>
      <c r="I39" s="44"/>
      <c r="J39" s="84">
        <f>SUM(J30:J37)</f>
        <v>3000</v>
      </c>
      <c r="K39" s="85"/>
      <c r="L39" s="24"/>
    </row>
    <row r="40" spans="2:12" s="1" customFormat="1" ht="14.55" customHeight="1" x14ac:dyDescent="0.2">
      <c r="B40" s="24"/>
      <c r="L40" s="24"/>
    </row>
    <row r="41" spans="2:12" ht="14.55" customHeight="1" x14ac:dyDescent="0.2">
      <c r="B41" s="16"/>
      <c r="L41" s="16"/>
    </row>
    <row r="42" spans="2:12" ht="14.55" customHeight="1" x14ac:dyDescent="0.2">
      <c r="B42" s="16"/>
      <c r="L42" s="16"/>
    </row>
    <row r="43" spans="2:12" ht="14.55" customHeight="1" x14ac:dyDescent="0.2">
      <c r="B43" s="16"/>
      <c r="L43" s="16"/>
    </row>
    <row r="44" spans="2:12" ht="14.55" customHeight="1" x14ac:dyDescent="0.2">
      <c r="B44" s="16"/>
      <c r="L44" s="16"/>
    </row>
    <row r="45" spans="2:12" ht="14.55" customHeight="1" x14ac:dyDescent="0.2">
      <c r="B45" s="16"/>
      <c r="L45" s="16"/>
    </row>
    <row r="46" spans="2:12" ht="14.55" customHeight="1" x14ac:dyDescent="0.2">
      <c r="B46" s="16"/>
      <c r="L46" s="16"/>
    </row>
    <row r="47" spans="2:12" ht="14.55" customHeight="1" x14ac:dyDescent="0.2">
      <c r="B47" s="16"/>
      <c r="L47" s="16"/>
    </row>
    <row r="48" spans="2:12" ht="14.55" customHeight="1" x14ac:dyDescent="0.2">
      <c r="B48" s="16"/>
      <c r="L48" s="16"/>
    </row>
    <row r="49" spans="2:12" ht="14.55" customHeight="1" x14ac:dyDescent="0.2">
      <c r="B49" s="16"/>
      <c r="D49" s="156"/>
      <c r="E49" s="156"/>
      <c r="F49" s="156"/>
      <c r="G49" s="156"/>
      <c r="H49" s="156"/>
      <c r="I49" s="156"/>
      <c r="J49" s="156"/>
      <c r="L49" s="16"/>
    </row>
    <row r="50" spans="2:12" s="1" customFormat="1" ht="14.55" customHeight="1" x14ac:dyDescent="0.2">
      <c r="B50" s="24"/>
      <c r="D50" s="530"/>
      <c r="E50" s="523"/>
      <c r="F50" s="523"/>
      <c r="G50" s="530"/>
      <c r="H50" s="523"/>
      <c r="I50" s="523"/>
      <c r="J50" s="523"/>
      <c r="K50" s="32"/>
      <c r="L50" s="24"/>
    </row>
    <row r="51" spans="2:12" x14ac:dyDescent="0.2">
      <c r="B51" s="16"/>
      <c r="D51" s="156"/>
      <c r="E51" s="156"/>
      <c r="F51" s="156"/>
      <c r="G51" s="156"/>
      <c r="H51" s="156"/>
      <c r="I51" s="156"/>
      <c r="J51" s="156"/>
      <c r="L51" s="16"/>
    </row>
    <row r="52" spans="2:12" x14ac:dyDescent="0.2">
      <c r="B52" s="16"/>
      <c r="D52" s="156"/>
      <c r="E52" s="156"/>
      <c r="F52" s="156"/>
      <c r="G52" s="156"/>
      <c r="H52" s="156"/>
      <c r="I52" s="156"/>
      <c r="J52" s="156"/>
      <c r="L52" s="16"/>
    </row>
    <row r="53" spans="2:12" x14ac:dyDescent="0.2">
      <c r="B53" s="16"/>
      <c r="D53" s="156"/>
      <c r="E53" s="156"/>
      <c r="F53" s="156"/>
      <c r="G53" s="156"/>
      <c r="H53" s="156"/>
      <c r="I53" s="156"/>
      <c r="J53" s="156"/>
      <c r="L53" s="16"/>
    </row>
    <row r="54" spans="2:12" x14ac:dyDescent="0.2">
      <c r="B54" s="16"/>
      <c r="D54" s="156"/>
      <c r="E54" s="156"/>
      <c r="F54" s="156"/>
      <c r="G54" s="156"/>
      <c r="H54" s="156"/>
      <c r="I54" s="156"/>
      <c r="J54" s="156"/>
      <c r="L54" s="16"/>
    </row>
    <row r="55" spans="2:12" x14ac:dyDescent="0.2">
      <c r="B55" s="16"/>
      <c r="D55" s="156"/>
      <c r="E55" s="156"/>
      <c r="F55" s="156"/>
      <c r="G55" s="156"/>
      <c r="H55" s="156"/>
      <c r="I55" s="156"/>
      <c r="J55" s="156"/>
      <c r="L55" s="16"/>
    </row>
    <row r="56" spans="2:12" x14ac:dyDescent="0.2">
      <c r="B56" s="16"/>
      <c r="D56" s="156"/>
      <c r="E56" s="156"/>
      <c r="F56" s="156"/>
      <c r="G56" s="156"/>
      <c r="H56" s="156"/>
      <c r="I56" s="156"/>
      <c r="J56" s="156"/>
      <c r="L56" s="16"/>
    </row>
    <row r="57" spans="2:12" x14ac:dyDescent="0.2">
      <c r="B57" s="16"/>
      <c r="D57" s="156"/>
      <c r="E57" s="156"/>
      <c r="F57" s="156"/>
      <c r="G57" s="156"/>
      <c r="H57" s="156"/>
      <c r="I57" s="156"/>
      <c r="J57" s="156"/>
      <c r="L57" s="16"/>
    </row>
    <row r="58" spans="2:12" x14ac:dyDescent="0.2">
      <c r="B58" s="16"/>
      <c r="D58" s="156"/>
      <c r="E58" s="156"/>
      <c r="F58" s="156"/>
      <c r="G58" s="156"/>
      <c r="H58" s="156"/>
      <c r="I58" s="156"/>
      <c r="J58" s="156"/>
      <c r="L58" s="16"/>
    </row>
    <row r="59" spans="2:12" x14ac:dyDescent="0.2">
      <c r="B59" s="16"/>
      <c r="D59" s="156"/>
      <c r="E59" s="156"/>
      <c r="F59" s="156"/>
      <c r="G59" s="156"/>
      <c r="H59" s="156"/>
      <c r="I59" s="156"/>
      <c r="J59" s="156"/>
      <c r="L59" s="16"/>
    </row>
    <row r="60" spans="2:12" x14ac:dyDescent="0.2">
      <c r="B60" s="16"/>
      <c r="D60" s="156"/>
      <c r="E60" s="156"/>
      <c r="F60" s="156"/>
      <c r="G60" s="156"/>
      <c r="H60" s="156"/>
      <c r="I60" s="156"/>
      <c r="J60" s="156"/>
      <c r="L60" s="16"/>
    </row>
    <row r="61" spans="2:12" s="1" customFormat="1" ht="13.2" x14ac:dyDescent="0.2">
      <c r="B61" s="24"/>
      <c r="D61" s="522"/>
      <c r="E61" s="523"/>
      <c r="F61" s="536"/>
      <c r="G61" s="522"/>
      <c r="H61" s="523"/>
      <c r="I61" s="523"/>
      <c r="J61" s="169"/>
      <c r="K61" s="26"/>
      <c r="L61" s="24"/>
    </row>
    <row r="62" spans="2:12" x14ac:dyDescent="0.2">
      <c r="B62" s="16"/>
      <c r="D62" s="156"/>
      <c r="E62" s="156"/>
      <c r="F62" s="156"/>
      <c r="G62" s="156"/>
      <c r="H62" s="156"/>
      <c r="I62" s="156"/>
      <c r="J62" s="156"/>
      <c r="L62" s="16"/>
    </row>
    <row r="63" spans="2:12" x14ac:dyDescent="0.2">
      <c r="B63" s="16"/>
      <c r="D63" s="156"/>
      <c r="E63" s="156"/>
      <c r="F63" s="156"/>
      <c r="G63" s="156"/>
      <c r="H63" s="156"/>
      <c r="I63" s="156"/>
      <c r="J63" s="156"/>
      <c r="L63" s="16"/>
    </row>
    <row r="64" spans="2:12" x14ac:dyDescent="0.2">
      <c r="B64" s="16"/>
      <c r="D64" s="156"/>
      <c r="E64" s="156"/>
      <c r="F64" s="156"/>
      <c r="G64" s="156"/>
      <c r="H64" s="156"/>
      <c r="I64" s="156"/>
      <c r="J64" s="156"/>
      <c r="L64" s="16"/>
    </row>
    <row r="65" spans="2:12" s="1" customFormat="1" ht="13.2" x14ac:dyDescent="0.2">
      <c r="B65" s="24"/>
      <c r="D65" s="530"/>
      <c r="E65" s="523"/>
      <c r="F65" s="523"/>
      <c r="G65" s="530"/>
      <c r="H65" s="523"/>
      <c r="I65" s="523"/>
      <c r="J65" s="523"/>
      <c r="K65" s="32"/>
      <c r="L65" s="24"/>
    </row>
    <row r="66" spans="2:12" x14ac:dyDescent="0.2">
      <c r="B66" s="16"/>
      <c r="D66" s="156"/>
      <c r="E66" s="156"/>
      <c r="F66" s="156"/>
      <c r="G66" s="156"/>
      <c r="H66" s="156"/>
      <c r="I66" s="156"/>
      <c r="J66" s="156"/>
      <c r="L66" s="16"/>
    </row>
    <row r="67" spans="2:12" x14ac:dyDescent="0.2">
      <c r="B67" s="16"/>
      <c r="D67" s="156"/>
      <c r="E67" s="156"/>
      <c r="F67" s="156"/>
      <c r="G67" s="156"/>
      <c r="H67" s="156"/>
      <c r="I67" s="156"/>
      <c r="J67" s="156"/>
      <c r="L67" s="16"/>
    </row>
    <row r="68" spans="2:12" x14ac:dyDescent="0.2">
      <c r="B68" s="16"/>
      <c r="D68" s="156"/>
      <c r="E68" s="156"/>
      <c r="F68" s="156"/>
      <c r="G68" s="156"/>
      <c r="H68" s="156"/>
      <c r="I68" s="156"/>
      <c r="J68" s="156"/>
      <c r="L68" s="16"/>
    </row>
    <row r="69" spans="2:12" x14ac:dyDescent="0.2">
      <c r="B69" s="16"/>
      <c r="D69" s="156"/>
      <c r="E69" s="156"/>
      <c r="F69" s="156"/>
      <c r="G69" s="156"/>
      <c r="H69" s="156"/>
      <c r="I69" s="156"/>
      <c r="J69" s="156"/>
      <c r="L69" s="16"/>
    </row>
    <row r="70" spans="2:12" x14ac:dyDescent="0.2">
      <c r="B70" s="16"/>
      <c r="D70" s="156"/>
      <c r="E70" s="156"/>
      <c r="F70" s="156"/>
      <c r="G70" s="156"/>
      <c r="H70" s="156"/>
      <c r="I70" s="156"/>
      <c r="J70" s="156"/>
      <c r="L70" s="16"/>
    </row>
    <row r="71" spans="2:12" x14ac:dyDescent="0.2">
      <c r="B71" s="16"/>
      <c r="D71" s="156"/>
      <c r="E71" s="156"/>
      <c r="F71" s="156"/>
      <c r="G71" s="156"/>
      <c r="H71" s="156"/>
      <c r="I71" s="156"/>
      <c r="J71" s="156"/>
      <c r="L71" s="16"/>
    </row>
    <row r="72" spans="2:12" x14ac:dyDescent="0.2">
      <c r="B72" s="16"/>
      <c r="D72" s="156"/>
      <c r="E72" s="156"/>
      <c r="F72" s="156"/>
      <c r="G72" s="156"/>
      <c r="H72" s="156"/>
      <c r="I72" s="156"/>
      <c r="J72" s="156"/>
      <c r="L72" s="16"/>
    </row>
    <row r="73" spans="2:12" x14ac:dyDescent="0.2">
      <c r="B73" s="16"/>
      <c r="D73" s="156"/>
      <c r="E73" s="156"/>
      <c r="F73" s="156"/>
      <c r="G73" s="156"/>
      <c r="H73" s="156"/>
      <c r="I73" s="156"/>
      <c r="J73" s="156"/>
      <c r="L73" s="16"/>
    </row>
    <row r="74" spans="2:12" x14ac:dyDescent="0.2">
      <c r="B74" s="16"/>
      <c r="D74" s="156"/>
      <c r="E74" s="156"/>
      <c r="F74" s="156"/>
      <c r="G74" s="156"/>
      <c r="H74" s="156"/>
      <c r="I74" s="156"/>
      <c r="J74" s="156"/>
      <c r="L74" s="16"/>
    </row>
    <row r="75" spans="2:12" x14ac:dyDescent="0.2">
      <c r="B75" s="16"/>
      <c r="D75" s="156"/>
      <c r="E75" s="156"/>
      <c r="F75" s="156"/>
      <c r="G75" s="156"/>
      <c r="H75" s="156"/>
      <c r="I75" s="156"/>
      <c r="J75" s="156"/>
      <c r="L75" s="16"/>
    </row>
    <row r="76" spans="2:12" s="1" customFormat="1" ht="13.2" x14ac:dyDescent="0.2">
      <c r="B76" s="24"/>
      <c r="D76" s="522"/>
      <c r="E76" s="523"/>
      <c r="F76" s="536"/>
      <c r="G76" s="522"/>
      <c r="H76" s="523"/>
      <c r="I76" s="523"/>
      <c r="J76" s="169"/>
      <c r="K76" s="26"/>
      <c r="L76" s="24"/>
    </row>
    <row r="77" spans="2:12" s="1" customFormat="1" ht="14.55" customHeight="1" x14ac:dyDescent="0.2">
      <c r="B77" s="33"/>
      <c r="C77" s="34"/>
      <c r="D77" s="34"/>
      <c r="E77" s="34"/>
      <c r="F77" s="34"/>
      <c r="G77" s="34"/>
      <c r="H77" s="34"/>
      <c r="I77" s="34"/>
      <c r="J77" s="34"/>
      <c r="K77" s="34"/>
      <c r="L77" s="24"/>
    </row>
    <row r="81" spans="2:47" s="1" customFormat="1" ht="7.05" customHeight="1" x14ac:dyDescent="0.2">
      <c r="B81" s="35"/>
      <c r="C81" s="36"/>
      <c r="D81" s="36"/>
      <c r="E81" s="36"/>
      <c r="F81" s="36"/>
      <c r="G81" s="36"/>
      <c r="H81" s="36"/>
      <c r="I81" s="36"/>
      <c r="J81" s="36"/>
      <c r="K81" s="36"/>
      <c r="L81" s="24"/>
    </row>
    <row r="82" spans="2:47" s="1" customFormat="1" ht="25.05" customHeight="1" x14ac:dyDescent="0.2">
      <c r="B82" s="24"/>
      <c r="C82" s="1165" t="s">
        <v>188</v>
      </c>
      <c r="D82" s="1165"/>
      <c r="E82" s="1165"/>
      <c r="F82" s="1165"/>
      <c r="G82" s="1165"/>
      <c r="H82" s="1165"/>
      <c r="I82" s="1165"/>
      <c r="J82" s="1165"/>
      <c r="L82" s="24"/>
    </row>
    <row r="83" spans="2:47" s="1" customFormat="1" ht="7.05" customHeight="1" x14ac:dyDescent="0.2">
      <c r="B83" s="24"/>
      <c r="L83" s="24"/>
    </row>
    <row r="84" spans="2:47" s="1" customFormat="1" ht="12" customHeight="1" x14ac:dyDescent="0.2">
      <c r="B84" s="24"/>
      <c r="C84" s="528" t="s">
        <v>12</v>
      </c>
      <c r="E84" s="1242" t="s">
        <v>6177</v>
      </c>
      <c r="F84" s="1242"/>
      <c r="G84" s="1242"/>
      <c r="H84" s="1242"/>
      <c r="I84" s="1242"/>
      <c r="J84" s="1242"/>
      <c r="L84" s="24"/>
    </row>
    <row r="85" spans="2:47" s="1" customFormat="1" ht="27" customHeight="1" x14ac:dyDescent="0.2">
      <c r="B85" s="24"/>
      <c r="C85" s="521"/>
      <c r="E85" s="1243"/>
      <c r="F85" s="1244"/>
      <c r="G85" s="1244"/>
      <c r="H85" s="1244"/>
      <c r="L85" s="24"/>
    </row>
    <row r="86" spans="2:47" s="1" customFormat="1" ht="12" customHeight="1" x14ac:dyDescent="0.2">
      <c r="B86" s="24"/>
      <c r="C86" s="528" t="s">
        <v>186</v>
      </c>
      <c r="F86" s="532" t="s">
        <v>2547</v>
      </c>
      <c r="L86" s="24"/>
    </row>
    <row r="87" spans="2:47" s="1" customFormat="1" ht="16.5" customHeight="1" x14ac:dyDescent="0.2">
      <c r="B87" s="24"/>
      <c r="C87" s="521"/>
      <c r="E87" s="1251"/>
      <c r="F87" s="1252"/>
      <c r="G87" s="1252"/>
      <c r="H87" s="1252"/>
      <c r="L87" s="24"/>
    </row>
    <row r="88" spans="2:47" s="1" customFormat="1" ht="7.05" customHeight="1" x14ac:dyDescent="0.2">
      <c r="B88" s="24"/>
      <c r="C88" s="521"/>
      <c r="L88" s="24"/>
    </row>
    <row r="89" spans="2:47" s="1" customFormat="1" ht="12" customHeight="1" x14ac:dyDescent="0.2">
      <c r="B89" s="24"/>
      <c r="C89" s="528" t="s">
        <v>15</v>
      </c>
      <c r="F89" s="19" t="str">
        <f>F12</f>
        <v>Kuzmányho nábrežie 28, 960 01 Zvolen</v>
      </c>
      <c r="I89" s="528" t="s">
        <v>17</v>
      </c>
      <c r="J89" s="39"/>
      <c r="L89" s="24"/>
    </row>
    <row r="90" spans="2:47" s="1" customFormat="1" ht="7.05" customHeight="1" x14ac:dyDescent="0.2">
      <c r="B90" s="24"/>
      <c r="C90" s="521"/>
      <c r="I90" s="521"/>
      <c r="L90" s="24"/>
    </row>
    <row r="91" spans="2:47" s="1" customFormat="1" ht="15.3" customHeight="1" x14ac:dyDescent="0.2">
      <c r="B91" s="24"/>
      <c r="C91" s="528" t="s">
        <v>18</v>
      </c>
      <c r="F91" s="529" t="s">
        <v>6175</v>
      </c>
      <c r="I91" s="528" t="s">
        <v>22</v>
      </c>
      <c r="J91" s="22" t="str">
        <f>E21</f>
        <v xml:space="preserve"> </v>
      </c>
      <c r="L91" s="24"/>
    </row>
    <row r="92" spans="2:47" s="1" customFormat="1" ht="15.3" customHeight="1" x14ac:dyDescent="0.2">
      <c r="B92" s="24"/>
      <c r="C92" s="528" t="s">
        <v>21</v>
      </c>
      <c r="F92" s="529" t="s">
        <v>5202</v>
      </c>
      <c r="I92" s="528" t="s">
        <v>24</v>
      </c>
      <c r="J92" s="22" t="str">
        <f>E24</f>
        <v xml:space="preserve"> </v>
      </c>
      <c r="L92" s="24"/>
    </row>
    <row r="93" spans="2:47" s="1" customFormat="1" ht="10.199999999999999" customHeight="1" x14ac:dyDescent="0.2">
      <c r="B93" s="24"/>
      <c r="L93" s="24"/>
    </row>
    <row r="94" spans="2:47" s="1" customFormat="1" ht="29.25" customHeight="1" x14ac:dyDescent="0.2">
      <c r="B94" s="24"/>
      <c r="C94" s="86" t="s">
        <v>189</v>
      </c>
      <c r="D94" s="80"/>
      <c r="E94" s="80"/>
      <c r="F94" s="80"/>
      <c r="G94" s="80"/>
      <c r="H94" s="80"/>
      <c r="I94" s="80"/>
      <c r="J94" s="87" t="s">
        <v>190</v>
      </c>
      <c r="K94" s="80"/>
      <c r="L94" s="24"/>
    </row>
    <row r="95" spans="2:47" s="1" customFormat="1" ht="10.199999999999999" customHeight="1" x14ac:dyDescent="0.2">
      <c r="B95" s="24"/>
      <c r="L95" s="24"/>
    </row>
    <row r="96" spans="2:47" s="1" customFormat="1" ht="22.95" customHeight="1" x14ac:dyDescent="0.2">
      <c r="B96" s="24"/>
      <c r="C96" s="88" t="s">
        <v>191</v>
      </c>
      <c r="J96" s="53">
        <f>J117</f>
        <v>2500</v>
      </c>
      <c r="L96" s="24"/>
      <c r="AU96" s="13" t="s">
        <v>192</v>
      </c>
    </row>
    <row r="97" spans="2:12" s="8" customFormat="1" ht="25.05" customHeight="1" x14ac:dyDescent="0.2">
      <c r="B97" s="89"/>
      <c r="D97" s="90" t="s">
        <v>1189</v>
      </c>
      <c r="E97" s="91"/>
      <c r="F97" s="91"/>
      <c r="G97" s="91"/>
      <c r="H97" s="91"/>
      <c r="I97" s="91"/>
      <c r="J97" s="92">
        <f>J118</f>
        <v>2500</v>
      </c>
      <c r="L97" s="89"/>
    </row>
    <row r="98" spans="2:12" s="1" customFormat="1" ht="21.75" customHeight="1" x14ac:dyDescent="0.2">
      <c r="B98" s="24"/>
      <c r="L98" s="24"/>
    </row>
    <row r="99" spans="2:12" s="1" customFormat="1" ht="7.05" customHeight="1" x14ac:dyDescent="0.2">
      <c r="B99" s="33"/>
      <c r="C99" s="34"/>
      <c r="D99" s="34"/>
      <c r="E99" s="34"/>
      <c r="F99" s="34"/>
      <c r="G99" s="34"/>
      <c r="H99" s="34"/>
      <c r="I99" s="34"/>
      <c r="J99" s="34"/>
      <c r="K99" s="34"/>
      <c r="L99" s="24"/>
    </row>
    <row r="103" spans="2:12" s="1" customFormat="1" ht="7.05" customHeight="1" x14ac:dyDescent="0.2">
      <c r="B103" s="35"/>
      <c r="C103" s="36"/>
      <c r="D103" s="36"/>
      <c r="E103" s="36"/>
      <c r="F103" s="36"/>
      <c r="G103" s="36"/>
      <c r="H103" s="36"/>
      <c r="I103" s="36"/>
      <c r="J103" s="36"/>
      <c r="K103" s="36"/>
      <c r="L103" s="24"/>
    </row>
    <row r="104" spans="2:12" s="1" customFormat="1" ht="25.05" customHeight="1" x14ac:dyDescent="0.2">
      <c r="B104" s="24"/>
      <c r="C104" s="1165" t="s">
        <v>214</v>
      </c>
      <c r="D104" s="1165"/>
      <c r="E104" s="1165"/>
      <c r="F104" s="1165"/>
      <c r="G104" s="1165"/>
      <c r="H104" s="1165"/>
      <c r="I104" s="1165"/>
      <c r="J104" s="1165"/>
      <c r="L104" s="24"/>
    </row>
    <row r="105" spans="2:12" s="1" customFormat="1" ht="7.05" customHeight="1" x14ac:dyDescent="0.2">
      <c r="B105" s="24"/>
      <c r="L105" s="24"/>
    </row>
    <row r="106" spans="2:12" s="1" customFormat="1" ht="12" customHeight="1" x14ac:dyDescent="0.2">
      <c r="B106" s="24"/>
      <c r="C106" s="528" t="s">
        <v>12</v>
      </c>
      <c r="E106" s="1242" t="s">
        <v>6177</v>
      </c>
      <c r="F106" s="1242"/>
      <c r="G106" s="1242"/>
      <c r="H106" s="1242"/>
      <c r="I106" s="1242"/>
      <c r="J106" s="1242"/>
      <c r="L106" s="24"/>
    </row>
    <row r="107" spans="2:12" s="1" customFormat="1" ht="23.55" customHeight="1" x14ac:dyDescent="0.2">
      <c r="B107" s="24"/>
      <c r="C107" s="521"/>
      <c r="E107" s="1243"/>
      <c r="F107" s="1244"/>
      <c r="G107" s="1244"/>
      <c r="H107" s="1244"/>
      <c r="L107" s="24"/>
    </row>
    <row r="108" spans="2:12" s="1" customFormat="1" ht="12" customHeight="1" x14ac:dyDescent="0.2">
      <c r="B108" s="24"/>
      <c r="C108" s="528" t="s">
        <v>186</v>
      </c>
      <c r="F108" s="532" t="s">
        <v>2547</v>
      </c>
      <c r="L108" s="24"/>
    </row>
    <row r="109" spans="2:12" s="1" customFormat="1" ht="16.5" customHeight="1" x14ac:dyDescent="0.2">
      <c r="B109" s="24"/>
      <c r="C109" s="521"/>
      <c r="E109" s="1251"/>
      <c r="F109" s="1252"/>
      <c r="G109" s="1252"/>
      <c r="H109" s="1252"/>
      <c r="L109" s="24"/>
    </row>
    <row r="110" spans="2:12" s="1" customFormat="1" ht="7.05" customHeight="1" x14ac:dyDescent="0.2">
      <c r="B110" s="24"/>
      <c r="C110" s="521"/>
      <c r="L110" s="24"/>
    </row>
    <row r="111" spans="2:12" s="1" customFormat="1" ht="12" customHeight="1" x14ac:dyDescent="0.2">
      <c r="B111" s="24"/>
      <c r="C111" s="528" t="s">
        <v>15</v>
      </c>
      <c r="F111" s="19" t="str">
        <f>F12</f>
        <v>Kuzmányho nábrežie 28, 960 01 Zvolen</v>
      </c>
      <c r="I111" s="528" t="s">
        <v>17</v>
      </c>
      <c r="J111" s="39" t="str">
        <f>IF(J12="","",J12)</f>
        <v/>
      </c>
      <c r="L111" s="24"/>
    </row>
    <row r="112" spans="2:12" s="1" customFormat="1" ht="7.05" customHeight="1" x14ac:dyDescent="0.2">
      <c r="B112" s="24"/>
      <c r="C112" s="521"/>
      <c r="I112" s="521"/>
      <c r="L112" s="24"/>
    </row>
    <row r="113" spans="2:65" s="1" customFormat="1" ht="15.3" customHeight="1" x14ac:dyDescent="0.2">
      <c r="B113" s="24"/>
      <c r="C113" s="528" t="s">
        <v>18</v>
      </c>
      <c r="F113" s="529" t="s">
        <v>6175</v>
      </c>
      <c r="I113" s="528" t="s">
        <v>22</v>
      </c>
      <c r="J113" s="22" t="str">
        <f>E21</f>
        <v xml:space="preserve"> </v>
      </c>
      <c r="L113" s="24"/>
    </row>
    <row r="114" spans="2:65" s="1" customFormat="1" ht="15.3" customHeight="1" x14ac:dyDescent="0.2">
      <c r="B114" s="24"/>
      <c r="C114" s="528" t="s">
        <v>21</v>
      </c>
      <c r="F114" s="529" t="s">
        <v>5202</v>
      </c>
      <c r="I114" s="528" t="s">
        <v>24</v>
      </c>
      <c r="J114" s="22" t="str">
        <f>E24</f>
        <v xml:space="preserve"> </v>
      </c>
      <c r="L114" s="24"/>
    </row>
    <row r="115" spans="2:65" s="1" customFormat="1" ht="10.199999999999999" customHeight="1" x14ac:dyDescent="0.2">
      <c r="B115" s="24"/>
      <c r="L115" s="24"/>
    </row>
    <row r="116" spans="2:65" s="10" customFormat="1" ht="29.25" customHeight="1" x14ac:dyDescent="0.2">
      <c r="B116" s="97"/>
      <c r="C116" s="98" t="s">
        <v>215</v>
      </c>
      <c r="D116" s="99" t="s">
        <v>43</v>
      </c>
      <c r="E116" s="99" t="s">
        <v>41</v>
      </c>
      <c r="F116" s="99" t="s">
        <v>42</v>
      </c>
      <c r="G116" s="99" t="s">
        <v>216</v>
      </c>
      <c r="H116" s="99" t="s">
        <v>217</v>
      </c>
      <c r="I116" s="99" t="s">
        <v>218</v>
      </c>
      <c r="J116" s="100" t="s">
        <v>190</v>
      </c>
      <c r="K116" s="101" t="s">
        <v>219</v>
      </c>
      <c r="L116" s="97"/>
      <c r="M116" s="46" t="s">
        <v>1</v>
      </c>
      <c r="N116" s="47" t="s">
        <v>30</v>
      </c>
      <c r="O116" s="47" t="s">
        <v>220</v>
      </c>
      <c r="P116" s="47" t="s">
        <v>221</v>
      </c>
      <c r="Q116" s="47" t="s">
        <v>222</v>
      </c>
      <c r="R116" s="47" t="s">
        <v>223</v>
      </c>
      <c r="S116" s="47" t="s">
        <v>224</v>
      </c>
      <c r="T116" s="48" t="s">
        <v>225</v>
      </c>
    </row>
    <row r="117" spans="2:65" s="1" customFormat="1" ht="22.95" customHeight="1" x14ac:dyDescent="0.3">
      <c r="B117" s="24"/>
      <c r="C117" s="51" t="s">
        <v>191</v>
      </c>
      <c r="J117" s="102">
        <f>BK117</f>
        <v>2500</v>
      </c>
      <c r="L117" s="24"/>
      <c r="M117" s="49"/>
      <c r="N117" s="40"/>
      <c r="O117" s="40"/>
      <c r="P117" s="103">
        <f>P118</f>
        <v>0</v>
      </c>
      <c r="Q117" s="40"/>
      <c r="R117" s="103">
        <f>R118</f>
        <v>0</v>
      </c>
      <c r="S117" s="40"/>
      <c r="T117" s="104">
        <f>T118</f>
        <v>0</v>
      </c>
      <c r="AT117" s="13" t="s">
        <v>57</v>
      </c>
      <c r="AU117" s="13" t="s">
        <v>192</v>
      </c>
      <c r="BK117" s="105">
        <f>BK118</f>
        <v>2500</v>
      </c>
    </row>
    <row r="118" spans="2:65" s="11" customFormat="1" ht="25.95" customHeight="1" x14ac:dyDescent="0.25">
      <c r="B118" s="106"/>
      <c r="D118" s="107" t="s">
        <v>57</v>
      </c>
      <c r="E118" s="108" t="s">
        <v>1292</v>
      </c>
      <c r="F118" s="108" t="s">
        <v>1293</v>
      </c>
      <c r="J118" s="109">
        <f>BK118</f>
        <v>2500</v>
      </c>
      <c r="L118" s="106"/>
      <c r="M118" s="110"/>
      <c r="N118" s="111"/>
      <c r="O118" s="111"/>
      <c r="P118" s="112">
        <f>SUM(P119:P123)</f>
        <v>0</v>
      </c>
      <c r="Q118" s="111"/>
      <c r="R118" s="112">
        <f>SUM(R119:R123)</f>
        <v>0</v>
      </c>
      <c r="S118" s="111"/>
      <c r="T118" s="113">
        <f>SUM(T119:T123)</f>
        <v>0</v>
      </c>
      <c r="AR118" s="107" t="s">
        <v>235</v>
      </c>
      <c r="AT118" s="114" t="s">
        <v>57</v>
      </c>
      <c r="AU118" s="114" t="s">
        <v>58</v>
      </c>
      <c r="AY118" s="107" t="s">
        <v>228</v>
      </c>
      <c r="BK118" s="115">
        <f>SUM(BK119:BK123)</f>
        <v>2500</v>
      </c>
    </row>
    <row r="119" spans="2:65" s="1" customFormat="1" ht="60" customHeight="1" x14ac:dyDescent="0.2">
      <c r="B119" s="118"/>
      <c r="C119" s="119" t="s">
        <v>63</v>
      </c>
      <c r="D119" s="119" t="s">
        <v>231</v>
      </c>
      <c r="E119" s="120" t="s">
        <v>63</v>
      </c>
      <c r="F119" s="121" t="s">
        <v>2548</v>
      </c>
      <c r="G119" s="122" t="s">
        <v>1172</v>
      </c>
      <c r="H119" s="123">
        <v>1</v>
      </c>
      <c r="I119" s="124">
        <v>500</v>
      </c>
      <c r="J119" s="124">
        <f>ROUND(I119*H119,2)</f>
        <v>500</v>
      </c>
      <c r="K119" s="121" t="s">
        <v>1</v>
      </c>
      <c r="L119" s="24"/>
      <c r="M119" s="125" t="s">
        <v>1</v>
      </c>
      <c r="N119" s="126" t="s">
        <v>32</v>
      </c>
      <c r="O119" s="127">
        <v>0</v>
      </c>
      <c r="P119" s="127">
        <f>O119*H119</f>
        <v>0</v>
      </c>
      <c r="Q119" s="127">
        <v>0</v>
      </c>
      <c r="R119" s="127">
        <f>Q119*H119</f>
        <v>0</v>
      </c>
      <c r="S119" s="127">
        <v>0</v>
      </c>
      <c r="T119" s="128">
        <f>S119*H119</f>
        <v>0</v>
      </c>
      <c r="AR119" s="129" t="s">
        <v>1173</v>
      </c>
      <c r="AT119" s="129" t="s">
        <v>231</v>
      </c>
      <c r="AU119" s="129" t="s">
        <v>63</v>
      </c>
      <c r="AY119" s="13" t="s">
        <v>228</v>
      </c>
      <c r="BE119" s="130">
        <f>IF(N119="základná",J119,0)</f>
        <v>0</v>
      </c>
      <c r="BF119" s="130">
        <f>IF(N119="znížená",J119,0)</f>
        <v>500</v>
      </c>
      <c r="BG119" s="130">
        <f>IF(N119="zákl. prenesená",J119,0)</f>
        <v>0</v>
      </c>
      <c r="BH119" s="130">
        <f>IF(N119="zníž. prenesená",J119,0)</f>
        <v>0</v>
      </c>
      <c r="BI119" s="130">
        <f>IF(N119="nulová",J119,0)</f>
        <v>0</v>
      </c>
      <c r="BJ119" s="13" t="s">
        <v>76</v>
      </c>
      <c r="BK119" s="130">
        <f>ROUND(I119*H119,2)</f>
        <v>500</v>
      </c>
      <c r="BL119" s="13" t="s">
        <v>1173</v>
      </c>
      <c r="BM119" s="129" t="s">
        <v>2549</v>
      </c>
    </row>
    <row r="120" spans="2:65" s="1" customFormat="1" ht="36" customHeight="1" x14ac:dyDescent="0.2">
      <c r="B120" s="118"/>
      <c r="C120" s="119" t="s">
        <v>76</v>
      </c>
      <c r="D120" s="119" t="s">
        <v>231</v>
      </c>
      <c r="E120" s="120" t="s">
        <v>76</v>
      </c>
      <c r="F120" s="121" t="s">
        <v>2550</v>
      </c>
      <c r="G120" s="122" t="s">
        <v>1172</v>
      </c>
      <c r="H120" s="123">
        <v>1</v>
      </c>
      <c r="I120" s="124">
        <v>500</v>
      </c>
      <c r="J120" s="124">
        <f>ROUND(I120*H120,2)</f>
        <v>500</v>
      </c>
      <c r="K120" s="121" t="s">
        <v>1</v>
      </c>
      <c r="L120" s="24"/>
      <c r="M120" s="125" t="s">
        <v>1</v>
      </c>
      <c r="N120" s="126" t="s">
        <v>32</v>
      </c>
      <c r="O120" s="127">
        <v>0</v>
      </c>
      <c r="P120" s="127">
        <f>O120*H120</f>
        <v>0</v>
      </c>
      <c r="Q120" s="127">
        <v>0</v>
      </c>
      <c r="R120" s="127">
        <f>Q120*H120</f>
        <v>0</v>
      </c>
      <c r="S120" s="127">
        <v>0</v>
      </c>
      <c r="T120" s="128">
        <f>S120*H120</f>
        <v>0</v>
      </c>
      <c r="AR120" s="129" t="s">
        <v>1173</v>
      </c>
      <c r="AT120" s="129" t="s">
        <v>231</v>
      </c>
      <c r="AU120" s="129" t="s">
        <v>63</v>
      </c>
      <c r="AY120" s="13" t="s">
        <v>228</v>
      </c>
      <c r="BE120" s="130">
        <f>IF(N120="základná",J120,0)</f>
        <v>0</v>
      </c>
      <c r="BF120" s="130">
        <f>IF(N120="znížená",J120,0)</f>
        <v>500</v>
      </c>
      <c r="BG120" s="130">
        <f>IF(N120="zákl. prenesená",J120,0)</f>
        <v>0</v>
      </c>
      <c r="BH120" s="130">
        <f>IF(N120="zníž. prenesená",J120,0)</f>
        <v>0</v>
      </c>
      <c r="BI120" s="130">
        <f>IF(N120="nulová",J120,0)</f>
        <v>0</v>
      </c>
      <c r="BJ120" s="13" t="s">
        <v>76</v>
      </c>
      <c r="BK120" s="130">
        <f>ROUND(I120*H120,2)</f>
        <v>500</v>
      </c>
      <c r="BL120" s="13" t="s">
        <v>1173</v>
      </c>
      <c r="BM120" s="129" t="s">
        <v>2551</v>
      </c>
    </row>
    <row r="121" spans="2:65" s="1" customFormat="1" ht="48" customHeight="1" x14ac:dyDescent="0.2">
      <c r="B121" s="118"/>
      <c r="C121" s="119" t="s">
        <v>229</v>
      </c>
      <c r="D121" s="119" t="s">
        <v>231</v>
      </c>
      <c r="E121" s="120" t="s">
        <v>229</v>
      </c>
      <c r="F121" s="121" t="s">
        <v>2552</v>
      </c>
      <c r="G121" s="122" t="s">
        <v>1172</v>
      </c>
      <c r="H121" s="123">
        <v>1</v>
      </c>
      <c r="I121" s="124">
        <v>900</v>
      </c>
      <c r="J121" s="124">
        <f>ROUND(I121*H121,2)</f>
        <v>900</v>
      </c>
      <c r="K121" s="121" t="s">
        <v>1</v>
      </c>
      <c r="L121" s="24"/>
      <c r="M121" s="125" t="s">
        <v>1</v>
      </c>
      <c r="N121" s="126" t="s">
        <v>32</v>
      </c>
      <c r="O121" s="127">
        <v>0</v>
      </c>
      <c r="P121" s="127">
        <f>O121*H121</f>
        <v>0</v>
      </c>
      <c r="Q121" s="127">
        <v>0</v>
      </c>
      <c r="R121" s="127">
        <f>Q121*H121</f>
        <v>0</v>
      </c>
      <c r="S121" s="127">
        <v>0</v>
      </c>
      <c r="T121" s="128">
        <f>S121*H121</f>
        <v>0</v>
      </c>
      <c r="AR121" s="129" t="s">
        <v>1173</v>
      </c>
      <c r="AT121" s="129" t="s">
        <v>231</v>
      </c>
      <c r="AU121" s="129" t="s">
        <v>63</v>
      </c>
      <c r="AY121" s="13" t="s">
        <v>228</v>
      </c>
      <c r="BE121" s="130">
        <f>IF(N121="základná",J121,0)</f>
        <v>0</v>
      </c>
      <c r="BF121" s="130">
        <f>IF(N121="znížená",J121,0)</f>
        <v>900</v>
      </c>
      <c r="BG121" s="130">
        <f>IF(N121="zákl. prenesená",J121,0)</f>
        <v>0</v>
      </c>
      <c r="BH121" s="130">
        <f>IF(N121="zníž. prenesená",J121,0)</f>
        <v>0</v>
      </c>
      <c r="BI121" s="130">
        <f>IF(N121="nulová",J121,0)</f>
        <v>0</v>
      </c>
      <c r="BJ121" s="13" t="s">
        <v>76</v>
      </c>
      <c r="BK121" s="130">
        <f>ROUND(I121*H121,2)</f>
        <v>900</v>
      </c>
      <c r="BL121" s="13" t="s">
        <v>1173</v>
      </c>
      <c r="BM121" s="129" t="s">
        <v>2553</v>
      </c>
    </row>
    <row r="122" spans="2:65" s="1" customFormat="1" ht="36" customHeight="1" x14ac:dyDescent="0.2">
      <c r="B122" s="118"/>
      <c r="C122" s="119" t="s">
        <v>235</v>
      </c>
      <c r="D122" s="119" t="s">
        <v>231</v>
      </c>
      <c r="E122" s="120" t="s">
        <v>235</v>
      </c>
      <c r="F122" s="121" t="s">
        <v>2554</v>
      </c>
      <c r="G122" s="122" t="s">
        <v>1172</v>
      </c>
      <c r="H122" s="123">
        <v>1</v>
      </c>
      <c r="I122" s="124">
        <v>300</v>
      </c>
      <c r="J122" s="124">
        <f>ROUND(I122*H122,2)</f>
        <v>300</v>
      </c>
      <c r="K122" s="121" t="s">
        <v>1</v>
      </c>
      <c r="L122" s="24"/>
      <c r="M122" s="125" t="s">
        <v>1</v>
      </c>
      <c r="N122" s="126" t="s">
        <v>32</v>
      </c>
      <c r="O122" s="127">
        <v>0</v>
      </c>
      <c r="P122" s="127">
        <f>O122*H122</f>
        <v>0</v>
      </c>
      <c r="Q122" s="127">
        <v>0</v>
      </c>
      <c r="R122" s="127">
        <f>Q122*H122</f>
        <v>0</v>
      </c>
      <c r="S122" s="127">
        <v>0</v>
      </c>
      <c r="T122" s="128">
        <f>S122*H122</f>
        <v>0</v>
      </c>
      <c r="AR122" s="129" t="s">
        <v>1173</v>
      </c>
      <c r="AT122" s="129" t="s">
        <v>231</v>
      </c>
      <c r="AU122" s="129" t="s">
        <v>63</v>
      </c>
      <c r="AY122" s="13" t="s">
        <v>228</v>
      </c>
      <c r="BE122" s="130">
        <f>IF(N122="základná",J122,0)</f>
        <v>0</v>
      </c>
      <c r="BF122" s="130">
        <f>IF(N122="znížená",J122,0)</f>
        <v>300</v>
      </c>
      <c r="BG122" s="130">
        <f>IF(N122="zákl. prenesená",J122,0)</f>
        <v>0</v>
      </c>
      <c r="BH122" s="130">
        <f>IF(N122="zníž. prenesená",J122,0)</f>
        <v>0</v>
      </c>
      <c r="BI122" s="130">
        <f>IF(N122="nulová",J122,0)</f>
        <v>0</v>
      </c>
      <c r="BJ122" s="13" t="s">
        <v>76</v>
      </c>
      <c r="BK122" s="130">
        <f>ROUND(I122*H122,2)</f>
        <v>300</v>
      </c>
      <c r="BL122" s="13" t="s">
        <v>1173</v>
      </c>
      <c r="BM122" s="129" t="s">
        <v>2555</v>
      </c>
    </row>
    <row r="123" spans="2:65" s="1" customFormat="1" ht="24" customHeight="1" x14ac:dyDescent="0.2">
      <c r="B123" s="118"/>
      <c r="C123" s="119" t="s">
        <v>245</v>
      </c>
      <c r="D123" s="119" t="s">
        <v>231</v>
      </c>
      <c r="E123" s="120" t="s">
        <v>245</v>
      </c>
      <c r="F123" s="121" t="s">
        <v>2556</v>
      </c>
      <c r="G123" s="122" t="s">
        <v>1172</v>
      </c>
      <c r="H123" s="123">
        <v>1</v>
      </c>
      <c r="I123" s="124">
        <v>300</v>
      </c>
      <c r="J123" s="124">
        <f>ROUND(I123*H123,2)</f>
        <v>300</v>
      </c>
      <c r="K123" s="121" t="s">
        <v>1</v>
      </c>
      <c r="L123" s="24"/>
      <c r="M123" s="140" t="s">
        <v>1</v>
      </c>
      <c r="N123" s="141" t="s">
        <v>32</v>
      </c>
      <c r="O123" s="142">
        <v>0</v>
      </c>
      <c r="P123" s="142">
        <f>O123*H123</f>
        <v>0</v>
      </c>
      <c r="Q123" s="142">
        <v>0</v>
      </c>
      <c r="R123" s="142">
        <f>Q123*H123</f>
        <v>0</v>
      </c>
      <c r="S123" s="142">
        <v>0</v>
      </c>
      <c r="T123" s="143">
        <f>S123*H123</f>
        <v>0</v>
      </c>
      <c r="AR123" s="129" t="s">
        <v>1173</v>
      </c>
      <c r="AT123" s="129" t="s">
        <v>231</v>
      </c>
      <c r="AU123" s="129" t="s">
        <v>63</v>
      </c>
      <c r="AY123" s="13" t="s">
        <v>228</v>
      </c>
      <c r="BE123" s="130">
        <f>IF(N123="základná",J123,0)</f>
        <v>0</v>
      </c>
      <c r="BF123" s="130">
        <f>IF(N123="znížená",J123,0)</f>
        <v>300</v>
      </c>
      <c r="BG123" s="130">
        <f>IF(N123="zákl. prenesená",J123,0)</f>
        <v>0</v>
      </c>
      <c r="BH123" s="130">
        <f>IF(N123="zníž. prenesená",J123,0)</f>
        <v>0</v>
      </c>
      <c r="BI123" s="130">
        <f>IF(N123="nulová",J123,0)</f>
        <v>0</v>
      </c>
      <c r="BJ123" s="13" t="s">
        <v>76</v>
      </c>
      <c r="BK123" s="130">
        <f>ROUND(I123*H123,2)</f>
        <v>300</v>
      </c>
      <c r="BL123" s="13" t="s">
        <v>1173</v>
      </c>
      <c r="BM123" s="129" t="s">
        <v>2557</v>
      </c>
    </row>
    <row r="124" spans="2:65" s="1" customFormat="1" ht="7.05" customHeight="1" x14ac:dyDescent="0.2">
      <c r="B124" s="33"/>
      <c r="C124" s="34"/>
      <c r="D124" s="34"/>
      <c r="E124" s="34"/>
      <c r="F124" s="34"/>
      <c r="G124" s="34"/>
      <c r="H124" s="34"/>
      <c r="I124" s="34"/>
      <c r="J124" s="34"/>
      <c r="K124" s="34"/>
      <c r="L124" s="24"/>
    </row>
  </sheetData>
  <autoFilter ref="C116:K123" xr:uid="{00000000-0009-0000-0000-000008000000}"/>
  <mergeCells count="14">
    <mergeCell ref="E87:H87"/>
    <mergeCell ref="E107:H107"/>
    <mergeCell ref="E109:H109"/>
    <mergeCell ref="L2:V2"/>
    <mergeCell ref="E9:H9"/>
    <mergeCell ref="E18:H18"/>
    <mergeCell ref="E27:H27"/>
    <mergeCell ref="E85:H85"/>
    <mergeCell ref="D4:J4"/>
    <mergeCell ref="F6:J7"/>
    <mergeCell ref="C82:J82"/>
    <mergeCell ref="E84:J84"/>
    <mergeCell ref="C104:J104"/>
    <mergeCell ref="E106:J106"/>
  </mergeCells>
  <pageMargins left="0.39374999999999999" right="0.39374999999999999" top="0.39374999999999999" bottom="0.39374999999999999" header="0" footer="0"/>
  <pageSetup paperSize="9" scale="89" fitToHeight="100" orientation="portrait" blackAndWhite="1" r:id="rId1"/>
  <headerFooter>
    <oddFooter>&amp;CStrana &amp;P z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C91996D86A118D4D97994A735E77C863" ma:contentTypeVersion="10" ma:contentTypeDescription="Umožňuje vytvoriť nový dokument." ma:contentTypeScope="" ma:versionID="731740107a029f73db62bd363d09c048">
  <xsd:schema xmlns:xsd="http://www.w3.org/2001/XMLSchema" xmlns:xs="http://www.w3.org/2001/XMLSchema" xmlns:p="http://schemas.microsoft.com/office/2006/metadata/properties" xmlns:ns2="78b472bb-c812-4df3-9774-9bc10b0ea941" targetNamespace="http://schemas.microsoft.com/office/2006/metadata/properties" ma:root="true" ma:fieldsID="3b7d75fc2a0dfa841ef57070d6ee3a25" ns2:_="">
    <xsd:import namespace="78b472bb-c812-4df3-9774-9bc10b0ea94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b472bb-c812-4df3-9774-9bc10b0ea94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3B713DD-0F39-4C5E-8FB7-952E553377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b472bb-c812-4df3-9774-9bc10b0ea9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AEA6EAF-B87A-4CC7-B075-77842A99DA62}">
  <ds:schemaRefs>
    <ds:schemaRef ds:uri="http://schemas.microsoft.com/sharepoint/v3/contenttype/forms"/>
  </ds:schemaRefs>
</ds:datastoreItem>
</file>

<file path=customXml/itemProps3.xml><?xml version="1.0" encoding="utf-8"?>
<ds:datastoreItem xmlns:ds="http://schemas.openxmlformats.org/officeDocument/2006/customXml" ds:itemID="{3CA40CC7-01C1-42BE-BB69-27DC83E3DBDE}">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43</vt:i4>
      </vt:variant>
      <vt:variant>
        <vt:lpstr>Pomenované rozsahy</vt:lpstr>
      </vt:variant>
      <vt:variant>
        <vt:i4>86</vt:i4>
      </vt:variant>
    </vt:vector>
  </HeadingPairs>
  <TitlesOfParts>
    <vt:vector size="129" baseType="lpstr">
      <vt:lpstr>Rekapitulácia stavby</vt:lpstr>
      <vt:lpstr>S01-1 - SO 01 - Urgentný ...</vt:lpstr>
      <vt:lpstr>S01-2 - SO 01 - Urgentný ...</vt:lpstr>
      <vt:lpstr>S01-3 - SO 01 - Urgentný ...</vt:lpstr>
      <vt:lpstr>S01-4 - SO 01 - UK</vt:lpstr>
      <vt:lpstr>S01-5 - SO 01 - Urgentný ...</vt:lpstr>
      <vt:lpstr>S01-51 - SO 01 - Urgentný...</vt:lpstr>
      <vt:lpstr>S01-6 - SO 01 - Urgentný ...</vt:lpstr>
      <vt:lpstr>SO01-7.0 - SO 01-7 - Čist...</vt:lpstr>
      <vt:lpstr>S01-7.1 - SO 01-71 - Vsta...</vt:lpstr>
      <vt:lpstr>S01-7.2 - SO 01-72 - Zdra...</vt:lpstr>
      <vt:lpstr>S01-7.3 - SO 01-73 - Vzdu...</vt:lpstr>
      <vt:lpstr>S01-7.4 - SO 01-74 - Trub...</vt:lpstr>
      <vt:lpstr>S01-7.5 - SO 01-75 - ELI</vt:lpstr>
      <vt:lpstr>S01-7.6 - SO 01-76 - MaR</vt:lpstr>
      <vt:lpstr>S02-1 - SO 02 - OAIM - ASR</vt:lpstr>
      <vt:lpstr>S02-2 - SO 02 - OAIM - ZTI</vt:lpstr>
      <vt:lpstr>S02-3 - SO 02 - OAIM - MP</vt:lpstr>
      <vt:lpstr>S02-4 - SO 02 - UK</vt:lpstr>
      <vt:lpstr>S02-5 - SO 02 - OAIM - ELI</vt:lpstr>
      <vt:lpstr>S02-51 - SO 02 - OAIM - EPS</vt:lpstr>
      <vt:lpstr>S02-6.0 - SO 02-6 - Čisté...</vt:lpstr>
      <vt:lpstr>S02-6.1 - SO 02-61 - Vsta...</vt:lpstr>
      <vt:lpstr>S02-6.2 - SO 02-62 - Zdra...</vt:lpstr>
      <vt:lpstr>S02-6.3 - SO 02-63 - VZT</vt:lpstr>
      <vt:lpstr>S02-6.4 - SO 02-64 - Trub...</vt:lpstr>
      <vt:lpstr>S02-6.5 - SO 02-65 - ELI ...</vt:lpstr>
      <vt:lpstr>S02-6.6 - SO 02-66 - MaR</vt:lpstr>
      <vt:lpstr>S03-1 - SO 03 - Operačky ...</vt:lpstr>
      <vt:lpstr>S03-2 - SO 03 - Nadstavba...</vt:lpstr>
      <vt:lpstr>S03-3 - SO 03 - Operačky ...</vt:lpstr>
      <vt:lpstr>S03-4 - SO 03 - Operačky ...</vt:lpstr>
      <vt:lpstr>S03-5 - SO 03 - Operačky ...</vt:lpstr>
      <vt:lpstr>S03-61 - SO 03 - Operačky...</vt:lpstr>
      <vt:lpstr>S03-6 - SO 03 - Operačky ...</vt:lpstr>
      <vt:lpstr>S03-7 - SO 03 - Operačky ...</vt:lpstr>
      <vt:lpstr>S03-7.0 - SO 03-7 - Čisté...</vt:lpstr>
      <vt:lpstr>S03-8.1 - SO 03-81 - Vsta...</vt:lpstr>
      <vt:lpstr>S03-8.2 - SO 03-82 - Zdra...</vt:lpstr>
      <vt:lpstr>S03-8.3 - SO 03-83 - VZT</vt:lpstr>
      <vt:lpstr>S03-8.4 - SO 03-84 - Trub...</vt:lpstr>
      <vt:lpstr>S03-8.5 - SO 03-85 - ELI</vt:lpstr>
      <vt:lpstr>S03-8.6 - SO 03-86 - MaR</vt:lpstr>
      <vt:lpstr>'Rekapitulácia stavby'!Názvy_tlače</vt:lpstr>
      <vt:lpstr>'S01-1 - SO 01 - Urgentný ...'!Názvy_tlače</vt:lpstr>
      <vt:lpstr>'S01-2 - SO 01 - Urgentný ...'!Názvy_tlače</vt:lpstr>
      <vt:lpstr>'S01-3 - SO 01 - Urgentný ...'!Názvy_tlače</vt:lpstr>
      <vt:lpstr>'S01-4 - SO 01 - UK'!Názvy_tlače</vt:lpstr>
      <vt:lpstr>'S01-5 - SO 01 - Urgentný ...'!Názvy_tlače</vt:lpstr>
      <vt:lpstr>'S01-51 - SO 01 - Urgentný...'!Názvy_tlače</vt:lpstr>
      <vt:lpstr>'S01-6 - SO 01 - Urgentný ...'!Názvy_tlače</vt:lpstr>
      <vt:lpstr>'S01-7.1 - SO 01-71 - Vsta...'!Názvy_tlače</vt:lpstr>
      <vt:lpstr>'S01-7.2 - SO 01-72 - Zdra...'!Názvy_tlače</vt:lpstr>
      <vt:lpstr>'S01-7.3 - SO 01-73 - Vzdu...'!Názvy_tlače</vt:lpstr>
      <vt:lpstr>'S01-7.4 - SO 01-74 - Trub...'!Názvy_tlače</vt:lpstr>
      <vt:lpstr>'S01-7.5 - SO 01-75 - ELI'!Názvy_tlače</vt:lpstr>
      <vt:lpstr>'S01-7.6 - SO 01-76 - MaR'!Názvy_tlače</vt:lpstr>
      <vt:lpstr>'S02-1 - SO 02 - OAIM - ASR'!Názvy_tlače</vt:lpstr>
      <vt:lpstr>'S02-2 - SO 02 - OAIM - ZTI'!Názvy_tlače</vt:lpstr>
      <vt:lpstr>'S02-3 - SO 02 - OAIM - MP'!Názvy_tlače</vt:lpstr>
      <vt:lpstr>'S02-4 - SO 02 - UK'!Názvy_tlače</vt:lpstr>
      <vt:lpstr>'S02-5 - SO 02 - OAIM - ELI'!Názvy_tlače</vt:lpstr>
      <vt:lpstr>'S02-51 - SO 02 - OAIM - EPS'!Názvy_tlače</vt:lpstr>
      <vt:lpstr>'S02-6.0 - SO 02-6 - Čisté...'!Názvy_tlače</vt:lpstr>
      <vt:lpstr>'S02-6.1 - SO 02-61 - Vsta...'!Názvy_tlače</vt:lpstr>
      <vt:lpstr>'S02-6.2 - SO 02-62 - Zdra...'!Názvy_tlače</vt:lpstr>
      <vt:lpstr>'S02-6.3 - SO 02-63 - VZT'!Názvy_tlače</vt:lpstr>
      <vt:lpstr>'S02-6.4 - SO 02-64 - Trub...'!Názvy_tlače</vt:lpstr>
      <vt:lpstr>'S02-6.5 - SO 02-65 - ELI ...'!Názvy_tlače</vt:lpstr>
      <vt:lpstr>'S02-6.6 - SO 02-66 - MaR'!Názvy_tlače</vt:lpstr>
      <vt:lpstr>'S03-1 - SO 03 - Operačky ...'!Názvy_tlače</vt:lpstr>
      <vt:lpstr>'S03-2 - SO 03 - Nadstavba...'!Názvy_tlače</vt:lpstr>
      <vt:lpstr>'S03-3 - SO 03 - Operačky ...'!Názvy_tlače</vt:lpstr>
      <vt:lpstr>'S03-4 - SO 03 - Operačky ...'!Názvy_tlače</vt:lpstr>
      <vt:lpstr>'S03-5 - SO 03 - Operačky ...'!Názvy_tlače</vt:lpstr>
      <vt:lpstr>'S03-6 - SO 03 - Operačky ...'!Názvy_tlače</vt:lpstr>
      <vt:lpstr>'S03-61 - SO 03 - Operačky...'!Názvy_tlače</vt:lpstr>
      <vt:lpstr>'S03-7 - SO 03 - Operačky ...'!Názvy_tlače</vt:lpstr>
      <vt:lpstr>'S03-7.0 - SO 03-7 - Čisté...'!Názvy_tlače</vt:lpstr>
      <vt:lpstr>'S03-8.1 - SO 03-81 - Vsta...'!Názvy_tlače</vt:lpstr>
      <vt:lpstr>'S03-8.2 - SO 03-82 - Zdra...'!Názvy_tlače</vt:lpstr>
      <vt:lpstr>'S03-8.3 - SO 03-83 - VZT'!Názvy_tlače</vt:lpstr>
      <vt:lpstr>'S03-8.4 - SO 03-84 - Trub...'!Názvy_tlače</vt:lpstr>
      <vt:lpstr>'S03-8.5 - SO 03-85 - ELI'!Názvy_tlače</vt:lpstr>
      <vt:lpstr>'S03-8.6 - SO 03-86 - MaR'!Názvy_tlače</vt:lpstr>
      <vt:lpstr>'SO01-7.0 - SO 01-7 - Čist...'!Názvy_tlače</vt:lpstr>
      <vt:lpstr>'Rekapitulácia stavby'!Oblasť_tlače</vt:lpstr>
      <vt:lpstr>'S01-1 - SO 01 - Urgentný ...'!Oblasť_tlače</vt:lpstr>
      <vt:lpstr>'S01-2 - SO 01 - Urgentný ...'!Oblasť_tlače</vt:lpstr>
      <vt:lpstr>'S01-3 - SO 01 - Urgentný ...'!Oblasť_tlače</vt:lpstr>
      <vt:lpstr>'S01-4 - SO 01 - UK'!Oblasť_tlače</vt:lpstr>
      <vt:lpstr>'S01-5 - SO 01 - Urgentný ...'!Oblasť_tlače</vt:lpstr>
      <vt:lpstr>'S01-51 - SO 01 - Urgentný...'!Oblasť_tlače</vt:lpstr>
      <vt:lpstr>'S01-6 - SO 01 - Urgentný ...'!Oblasť_tlače</vt:lpstr>
      <vt:lpstr>'S01-7.1 - SO 01-71 - Vsta...'!Oblasť_tlače</vt:lpstr>
      <vt:lpstr>'S01-7.2 - SO 01-72 - Zdra...'!Oblasť_tlače</vt:lpstr>
      <vt:lpstr>'S01-7.3 - SO 01-73 - Vzdu...'!Oblasť_tlače</vt:lpstr>
      <vt:lpstr>'S01-7.4 - SO 01-74 - Trub...'!Oblasť_tlače</vt:lpstr>
      <vt:lpstr>'S01-7.5 - SO 01-75 - ELI'!Oblasť_tlače</vt:lpstr>
      <vt:lpstr>'S01-7.6 - SO 01-76 - MaR'!Oblasť_tlače</vt:lpstr>
      <vt:lpstr>'S02-1 - SO 02 - OAIM - ASR'!Oblasť_tlače</vt:lpstr>
      <vt:lpstr>'S02-2 - SO 02 - OAIM - ZTI'!Oblasť_tlače</vt:lpstr>
      <vt:lpstr>'S02-3 - SO 02 - OAIM - MP'!Oblasť_tlače</vt:lpstr>
      <vt:lpstr>'S02-4 - SO 02 - UK'!Oblasť_tlače</vt:lpstr>
      <vt:lpstr>'S02-5 - SO 02 - OAIM - ELI'!Oblasť_tlače</vt:lpstr>
      <vt:lpstr>'S02-51 - SO 02 - OAIM - EPS'!Oblasť_tlače</vt:lpstr>
      <vt:lpstr>'S02-6.0 - SO 02-6 - Čisté...'!Oblasť_tlače</vt:lpstr>
      <vt:lpstr>'S02-6.1 - SO 02-61 - Vsta...'!Oblasť_tlače</vt:lpstr>
      <vt:lpstr>'S02-6.2 - SO 02-62 - Zdra...'!Oblasť_tlače</vt:lpstr>
      <vt:lpstr>'S02-6.3 - SO 02-63 - VZT'!Oblasť_tlače</vt:lpstr>
      <vt:lpstr>'S02-6.4 - SO 02-64 - Trub...'!Oblasť_tlače</vt:lpstr>
      <vt:lpstr>'S02-6.5 - SO 02-65 - ELI ...'!Oblasť_tlače</vt:lpstr>
      <vt:lpstr>'S02-6.6 - SO 02-66 - MaR'!Oblasť_tlače</vt:lpstr>
      <vt:lpstr>'S03-1 - SO 03 - Operačky ...'!Oblasť_tlače</vt:lpstr>
      <vt:lpstr>'S03-2 - SO 03 - Nadstavba...'!Oblasť_tlače</vt:lpstr>
      <vt:lpstr>'S03-3 - SO 03 - Operačky ...'!Oblasť_tlače</vt:lpstr>
      <vt:lpstr>'S03-4 - SO 03 - Operačky ...'!Oblasť_tlače</vt:lpstr>
      <vt:lpstr>'S03-5 - SO 03 - Operačky ...'!Oblasť_tlače</vt:lpstr>
      <vt:lpstr>'S03-6 - SO 03 - Operačky ...'!Oblasť_tlače</vt:lpstr>
      <vt:lpstr>'S03-61 - SO 03 - Operačky...'!Oblasť_tlače</vt:lpstr>
      <vt:lpstr>'S03-7 - SO 03 - Operačky ...'!Oblasť_tlače</vt:lpstr>
      <vt:lpstr>'S03-7.0 - SO 03-7 - Čisté...'!Oblasť_tlače</vt:lpstr>
      <vt:lpstr>'S03-8.1 - SO 03-81 - Vsta...'!Oblasť_tlače</vt:lpstr>
      <vt:lpstr>'S03-8.2 - SO 03-82 - Zdra...'!Oblasť_tlače</vt:lpstr>
      <vt:lpstr>'S03-8.3 - SO 03-83 - VZT'!Oblasť_tlače</vt:lpstr>
      <vt:lpstr>'S03-8.4 - SO 03-84 - Trub...'!Oblasť_tlače</vt:lpstr>
      <vt:lpstr>'S03-8.5 - SO 03-85 - ELI'!Oblasť_tlače</vt:lpstr>
      <vt:lpstr>'S03-8.6 - SO 03-86 - MaR'!Oblasť_tlače</vt:lpstr>
      <vt:lpstr>'SO01-7.0 - SO 01-7 - Čist...'!Oblasť_tlače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Jakubová Jana Ing.</dc:creator>
  <cp:lastModifiedBy>Jakubová Jana Ing.</cp:lastModifiedBy>
  <cp:lastPrinted>2021-03-18T00:34:34Z</cp:lastPrinted>
  <dcterms:created xsi:type="dcterms:W3CDTF">2020-06-04T17:48:48Z</dcterms:created>
  <dcterms:modified xsi:type="dcterms:W3CDTF">2021-03-23T14:26:18Z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0x010100C91996D86A118D4D97994A735E77C863</vt:lpwstr>
  </property>
</Properties>
</file>